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namedSheetViews/namedSheetView1.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24226"/>
  <mc:AlternateContent xmlns:mc="http://schemas.openxmlformats.org/markup-compatibility/2006">
    <mc:Choice Requires="x15">
      <x15ac:absPath xmlns:x15ac="http://schemas.microsoft.com/office/spreadsheetml/2010/11/ac" url="D:\Issue #039 -Reporte de Horas PGGA\"/>
    </mc:Choice>
  </mc:AlternateContent>
  <xr:revisionPtr revIDLastSave="0" documentId="13_ncr:1_{73C49F25-6641-454B-B829-0E1EE1891687}" xr6:coauthVersionLast="47" xr6:coauthVersionMax="47" xr10:uidLastSave="{00000000-0000-0000-0000-000000000000}"/>
  <bookViews>
    <workbookView xWindow="-120" yWindow="-120" windowWidth="29040" windowHeight="15720" tabRatio="751" xr2:uid="{00000000-000D-0000-FFFF-FFFF00000000}"/>
  </bookViews>
  <sheets>
    <sheet name="Plan" sheetId="14" r:id="rId1"/>
  </sheets>
  <definedNames>
    <definedName name="_1wrn.²Ä1­Ó¤ë1_Ü20¤H." hidden="1">{#N/A,#N/A,FALSE,"²Ä1­Ó¤ë"}</definedName>
    <definedName name="_A11" hidden="1">{#N/A,#N/A,FALSE,"Umsatz 99";#N/A,#N/A,FALSE,"ER 99 "}</definedName>
    <definedName name="_c" hidden="1">{"Fiesta Facer Page",#N/A,FALSE,"Q_C_S";"Fiesta Main Page",#N/A,FALSE,"V_L";"Fiesta 95BP Struct",#N/A,FALSE,"StructBP";"Fiesta Post 95BP Struct",#N/A,FALSE,"AdjStructBP"}</definedName>
    <definedName name="_xlnm._FilterDatabase" localSheetId="0" hidden="1">Plan!$A$6:$B$6</definedName>
    <definedName name="_Regression_Int" hidden="1">1</definedName>
    <definedName name="Importadas_WL">#REF!</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INT" hidden="1">"c373"</definedName>
    <definedName name="IQ_EBITDA_MARGIN" hidden="1">"c372"</definedName>
    <definedName name="IQ_EBITDA_OVER_TOTAL_IE" hidden="1">"c1371"</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NORM" hidden="1">"c1902"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REPAIR" hidden="1">"c2087"</definedName>
    <definedName name="IQ_MARKET_CAP_LFCF" hidden="1">"c2209"</definedName>
    <definedName name="IQ_MARKETCAP" hidden="1">"c712"</definedName>
    <definedName name="IQ_MARKETING" hidden="1">"c2239"</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NORMALIZED" hidden="1">"c2207"</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REVISION_DATE_" hidden="1">38959.4338194444</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EV_UFCF" hidden="1">"c2208"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IGHTED_AVG_PRICE" hidden="1">"c1334"</definedName>
    <definedName name="IQ_WIP_INV" hidden="1">"c1335"</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Z_SCORE" hidden="1">"c1339"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109" i="14" l="1"/>
  <c r="L5108" i="14"/>
  <c r="O5112" i="14"/>
  <c r="S5112" i="14" l="1"/>
  <c r="G6070" i="14"/>
  <c r="G6067" i="14"/>
  <c r="G6079" i="14"/>
  <c r="P6082" i="14"/>
  <c r="O6082" i="14"/>
  <c r="R6082" i="14" s="1"/>
  <c r="P6081" i="14"/>
  <c r="O6081" i="14"/>
  <c r="P6080" i="14"/>
  <c r="O6080" i="14"/>
  <c r="P6079" i="14"/>
  <c r="O6079" i="14"/>
  <c r="R6079" i="14" s="1"/>
  <c r="H6079" i="14"/>
  <c r="P6078" i="14"/>
  <c r="O6078" i="14"/>
  <c r="R6078" i="14" s="1"/>
  <c r="H6078" i="14"/>
  <c r="P6077" i="14"/>
  <c r="O6077" i="14"/>
  <c r="P6076" i="14"/>
  <c r="O6076" i="14"/>
  <c r="R6076" i="14" s="1"/>
  <c r="P6075" i="14"/>
  <c r="O6075" i="14"/>
  <c r="R6075" i="14" s="1"/>
  <c r="P6074" i="14"/>
  <c r="O6074" i="14"/>
  <c r="P6073" i="14"/>
  <c r="O6073" i="14"/>
  <c r="P6072" i="14"/>
  <c r="O6072" i="14"/>
  <c r="R6072" i="14" s="1"/>
  <c r="P6071" i="14"/>
  <c r="O6071" i="14"/>
  <c r="R6071" i="14" s="1"/>
  <c r="P6070" i="14"/>
  <c r="O6070" i="14"/>
  <c r="H6070" i="14"/>
  <c r="P6069" i="14"/>
  <c r="O6069" i="14"/>
  <c r="R6069" i="14" s="1"/>
  <c r="P6068" i="14"/>
  <c r="O6068" i="14"/>
  <c r="P6067" i="14"/>
  <c r="O6067" i="14"/>
  <c r="R6067" i="14" s="1"/>
  <c r="H6067" i="14"/>
  <c r="P6066" i="14"/>
  <c r="O6066" i="14"/>
  <c r="P6065" i="14"/>
  <c r="O6065" i="14"/>
  <c r="R6065" i="14" s="1"/>
  <c r="P6064" i="14"/>
  <c r="O6064" i="14"/>
  <c r="R6064" i="14" s="1"/>
  <c r="P6063" i="14"/>
  <c r="O6063" i="14"/>
  <c r="H6063" i="14"/>
  <c r="P6062" i="14"/>
  <c r="O6062" i="14"/>
  <c r="R6062" i="14" s="1"/>
  <c r="H6062" i="14"/>
  <c r="P6061" i="14"/>
  <c r="O6061" i="14"/>
  <c r="R6061" i="14" s="1"/>
  <c r="P6060" i="14"/>
  <c r="O6060" i="14"/>
  <c r="P6059" i="14"/>
  <c r="O6059" i="14"/>
  <c r="P6058" i="14"/>
  <c r="O6058" i="14"/>
  <c r="R6058" i="14" s="1"/>
  <c r="P6057" i="14"/>
  <c r="O6057" i="14"/>
  <c r="R6057" i="14" s="1"/>
  <c r="P6056" i="14"/>
  <c r="O6056" i="14"/>
  <c r="P6055" i="14"/>
  <c r="O6055" i="14"/>
  <c r="P6054" i="14"/>
  <c r="O6054" i="14"/>
  <c r="R6054" i="14" s="1"/>
  <c r="H6054" i="14"/>
  <c r="P6053" i="14"/>
  <c r="O6053" i="14"/>
  <c r="R6053" i="14" s="1"/>
  <c r="P6052" i="14"/>
  <c r="O6052" i="14"/>
  <c r="R6052" i="14" s="1"/>
  <c r="P6051" i="14"/>
  <c r="O6051" i="14"/>
  <c r="R6051" i="14" s="1"/>
  <c r="H6051" i="14"/>
  <c r="I5109" i="14"/>
  <c r="I5108" i="14"/>
  <c r="H5958" i="14"/>
  <c r="P6034" i="14"/>
  <c r="O6034" i="14"/>
  <c r="R6034" i="14" s="1"/>
  <c r="P6033" i="14"/>
  <c r="O6033" i="14"/>
  <c r="R6033" i="14" s="1"/>
  <c r="P6032" i="14"/>
  <c r="O6032" i="14"/>
  <c r="P6031" i="14"/>
  <c r="O6031" i="14"/>
  <c r="L6031" i="14"/>
  <c r="H6031" i="14"/>
  <c r="P6030" i="14"/>
  <c r="O6030" i="14"/>
  <c r="R6030" i="14" s="1"/>
  <c r="P6029" i="14"/>
  <c r="O6029" i="14"/>
  <c r="P6028" i="14"/>
  <c r="O6028" i="14"/>
  <c r="P6027" i="14"/>
  <c r="O6027" i="14"/>
  <c r="R6027" i="14" s="1"/>
  <c r="P6026" i="14"/>
  <c r="O6026" i="14"/>
  <c r="R6026" i="14" s="1"/>
  <c r="P6025" i="14"/>
  <c r="O6025" i="14"/>
  <c r="P6024" i="14"/>
  <c r="O6024" i="14"/>
  <c r="P6023" i="14"/>
  <c r="O6023" i="14"/>
  <c r="R6023" i="14" s="1"/>
  <c r="P6022" i="14"/>
  <c r="O6022" i="14"/>
  <c r="R6022" i="14" s="1"/>
  <c r="L6022" i="14"/>
  <c r="H6022" i="14"/>
  <c r="P6021" i="14"/>
  <c r="O6021" i="14"/>
  <c r="P6020" i="14"/>
  <c r="O6020" i="14"/>
  <c r="R6020" i="14" s="1"/>
  <c r="P6019" i="14"/>
  <c r="O6019" i="14"/>
  <c r="R6019" i="14" s="1"/>
  <c r="L6019" i="14"/>
  <c r="H6019" i="14"/>
  <c r="R6056" i="14" l="1"/>
  <c r="R6060" i="14"/>
  <c r="R6063" i="14"/>
  <c r="R6070" i="14"/>
  <c r="R6074" i="14"/>
  <c r="R6081" i="14"/>
  <c r="R6021" i="14"/>
  <c r="R6028" i="14"/>
  <c r="R6025" i="14"/>
  <c r="R6029" i="14"/>
  <c r="R6032" i="14"/>
  <c r="R6068" i="14"/>
  <c r="R6024" i="14"/>
  <c r="R6031" i="14"/>
  <c r="R6055" i="14"/>
  <c r="R6059" i="14"/>
  <c r="R6066" i="14"/>
  <c r="R6073" i="14"/>
  <c r="R6077" i="14"/>
  <c r="R6080" i="14"/>
  <c r="P5922" i="14"/>
  <c r="O5922" i="14"/>
  <c r="R5922" i="14" s="1"/>
  <c r="P5921" i="14"/>
  <c r="O5921" i="14"/>
  <c r="P5920" i="14"/>
  <c r="O5920" i="14"/>
  <c r="P5919" i="14"/>
  <c r="O5919" i="14"/>
  <c r="L5919" i="14"/>
  <c r="H5919" i="14"/>
  <c r="P5918" i="14"/>
  <c r="O5918" i="14"/>
  <c r="P5917" i="14"/>
  <c r="O5917" i="14"/>
  <c r="P5916" i="14"/>
  <c r="O5916" i="14"/>
  <c r="P5915" i="14"/>
  <c r="O5915" i="14"/>
  <c r="R5915" i="14" s="1"/>
  <c r="P5914" i="14"/>
  <c r="O5914" i="14"/>
  <c r="P5913" i="14"/>
  <c r="O5913" i="14"/>
  <c r="P5912" i="14"/>
  <c r="O5912" i="14"/>
  <c r="P5911" i="14"/>
  <c r="O5911" i="14"/>
  <c r="R5911" i="14" s="1"/>
  <c r="P5910" i="14"/>
  <c r="O5910" i="14"/>
  <c r="L5910" i="14"/>
  <c r="H5910" i="14"/>
  <c r="P5909" i="14"/>
  <c r="O5909" i="14"/>
  <c r="P5908" i="14"/>
  <c r="O5908" i="14"/>
  <c r="R5908" i="14" s="1"/>
  <c r="P5907" i="14"/>
  <c r="O5907" i="14"/>
  <c r="L5907" i="14"/>
  <c r="H5907" i="14"/>
  <c r="R5913" i="14" l="1"/>
  <c r="R5917" i="14"/>
  <c r="R5920" i="14"/>
  <c r="R5907" i="14"/>
  <c r="R5910" i="14"/>
  <c r="R5914" i="14"/>
  <c r="R5918" i="14"/>
  <c r="R5921" i="14"/>
  <c r="R5909" i="14"/>
  <c r="R5912" i="14"/>
  <c r="R5916" i="14"/>
  <c r="R5919" i="14"/>
  <c r="N6081" i="14" l="1"/>
  <c r="N6079" i="14"/>
  <c r="N6077" i="14"/>
  <c r="N6075" i="14"/>
  <c r="N6073" i="14"/>
  <c r="N6071" i="14"/>
  <c r="N6069" i="14"/>
  <c r="N6067" i="14"/>
  <c r="N6065" i="14"/>
  <c r="N6063" i="14"/>
  <c r="N6061" i="14"/>
  <c r="N6059" i="14"/>
  <c r="N6057" i="14"/>
  <c r="N6055" i="14"/>
  <c r="N6053" i="14"/>
  <c r="N6051" i="14"/>
  <c r="N6082" i="14"/>
  <c r="N6080" i="14"/>
  <c r="N6078" i="14"/>
  <c r="N6076" i="14"/>
  <c r="N6074" i="14"/>
  <c r="N6072" i="14"/>
  <c r="N6070" i="14"/>
  <c r="N6068" i="14"/>
  <c r="N6066" i="14"/>
  <c r="N6064" i="14"/>
  <c r="N6062" i="14"/>
  <c r="N6060" i="14"/>
  <c r="N6058" i="14"/>
  <c r="N6056" i="14"/>
  <c r="N6054" i="14"/>
  <c r="N6052" i="14"/>
  <c r="N6034" i="14"/>
  <c r="N6033" i="14"/>
  <c r="N6032" i="14"/>
  <c r="N6031" i="14"/>
  <c r="N6030" i="14"/>
  <c r="N6029" i="14"/>
  <c r="N6028" i="14"/>
  <c r="N6027" i="14"/>
  <c r="N6026" i="14"/>
  <c r="N6025" i="14"/>
  <c r="N6024" i="14"/>
  <c r="N6023" i="14"/>
  <c r="N6022" i="14"/>
  <c r="N6021" i="14"/>
  <c r="N6020" i="14"/>
  <c r="N6019" i="14"/>
  <c r="N5922" i="14"/>
  <c r="N5921" i="14"/>
  <c r="N5920" i="14"/>
  <c r="N5919" i="14"/>
  <c r="N5918" i="14"/>
  <c r="N5917" i="14"/>
  <c r="N5916" i="14"/>
  <c r="N5915" i="14"/>
  <c r="N5914" i="14"/>
  <c r="N5913" i="14"/>
  <c r="N5912" i="14"/>
  <c r="N5911" i="14"/>
  <c r="N5910" i="14"/>
  <c r="N5909" i="14"/>
  <c r="N5908" i="14"/>
  <c r="N5907" i="14"/>
  <c r="P6050" i="14"/>
  <c r="O6050" i="14"/>
  <c r="R6050" i="14" s="1"/>
  <c r="P6049" i="14"/>
  <c r="O6049" i="14"/>
  <c r="R6049" i="14" s="1"/>
  <c r="P6048" i="14"/>
  <c r="O6048" i="14"/>
  <c r="P6047" i="14"/>
  <c r="O6047" i="14"/>
  <c r="I6047" i="14"/>
  <c r="H6047" i="14"/>
  <c r="G6047" i="14"/>
  <c r="P6046" i="14"/>
  <c r="O6046" i="14"/>
  <c r="P6045" i="14"/>
  <c r="O6045" i="14"/>
  <c r="R6045" i="14" s="1"/>
  <c r="P6044" i="14"/>
  <c r="O6044" i="14"/>
  <c r="P6043" i="14"/>
  <c r="O6043" i="14"/>
  <c r="R6043" i="14" s="1"/>
  <c r="P6042" i="14"/>
  <c r="O6042" i="14"/>
  <c r="P6041" i="14"/>
  <c r="O6041" i="14"/>
  <c r="R6041" i="14" s="1"/>
  <c r="P6040" i="14"/>
  <c r="O6040" i="14"/>
  <c r="P6039" i="14"/>
  <c r="O6039" i="14"/>
  <c r="R6039" i="14" s="1"/>
  <c r="P6038" i="14"/>
  <c r="O6038" i="14"/>
  <c r="I6038" i="14"/>
  <c r="H6038" i="14"/>
  <c r="G6038" i="14"/>
  <c r="P6037" i="14"/>
  <c r="O6037" i="14"/>
  <c r="R6037" i="14" s="1"/>
  <c r="P6036" i="14"/>
  <c r="O6036" i="14"/>
  <c r="R6036" i="14" s="1"/>
  <c r="P6035" i="14"/>
  <c r="O6035" i="14"/>
  <c r="I6035" i="14"/>
  <c r="H6035" i="14"/>
  <c r="G6035" i="14"/>
  <c r="H5938" i="14"/>
  <c r="R6042" i="14" l="1"/>
  <c r="R6038" i="14"/>
  <c r="R6046" i="14"/>
  <c r="R6040" i="14"/>
  <c r="R6044" i="14"/>
  <c r="R6047" i="14"/>
  <c r="R6035" i="14"/>
  <c r="R6048" i="14"/>
  <c r="P5938" i="14"/>
  <c r="O5938" i="14"/>
  <c r="P5937" i="14"/>
  <c r="O5937" i="14"/>
  <c r="R5937" i="14" s="1"/>
  <c r="P5936" i="14"/>
  <c r="O5936" i="14"/>
  <c r="P5935" i="14"/>
  <c r="O5935" i="14"/>
  <c r="R5935" i="14" s="1"/>
  <c r="H5935" i="14"/>
  <c r="P5934" i="14"/>
  <c r="O5934" i="14"/>
  <c r="R5934" i="14" s="1"/>
  <c r="P5933" i="14"/>
  <c r="O5933" i="14"/>
  <c r="P5932" i="14"/>
  <c r="O5932" i="14"/>
  <c r="R5932" i="14" s="1"/>
  <c r="P5931" i="14"/>
  <c r="O5931" i="14"/>
  <c r="P5930" i="14"/>
  <c r="O5930" i="14"/>
  <c r="R5930" i="14" s="1"/>
  <c r="P5929" i="14"/>
  <c r="O5929" i="14"/>
  <c r="P5928" i="14"/>
  <c r="O5928" i="14"/>
  <c r="R5928" i="14" s="1"/>
  <c r="P5927" i="14"/>
  <c r="O5927" i="14"/>
  <c r="P5926" i="14"/>
  <c r="O5926" i="14"/>
  <c r="R5926" i="14" s="1"/>
  <c r="H5926" i="14"/>
  <c r="P5925" i="14"/>
  <c r="O5925" i="14"/>
  <c r="P5924" i="14"/>
  <c r="O5924" i="14"/>
  <c r="R5924" i="14" s="1"/>
  <c r="P5923" i="14"/>
  <c r="O5923" i="14"/>
  <c r="H5923" i="14"/>
  <c r="R5925" i="14" l="1"/>
  <c r="R5936" i="14"/>
  <c r="R5929" i="14"/>
  <c r="R5933" i="14"/>
  <c r="R5923" i="14"/>
  <c r="R5938" i="14"/>
  <c r="R5927" i="14"/>
  <c r="R5931" i="14"/>
  <c r="H4598" i="14"/>
  <c r="I4600" i="14"/>
  <c r="I4603" i="14"/>
  <c r="I4606" i="14"/>
  <c r="I4608" i="14"/>
  <c r="I4609" i="14"/>
  <c r="P6018" i="14"/>
  <c r="O6018" i="14"/>
  <c r="P6017" i="14"/>
  <c r="O6017" i="14"/>
  <c r="R6017" i="14" s="1"/>
  <c r="P6016" i="14"/>
  <c r="O6016" i="14"/>
  <c r="P6015" i="14"/>
  <c r="O6015" i="14"/>
  <c r="R6015" i="14" s="1"/>
  <c r="H6015" i="14"/>
  <c r="P6014" i="14"/>
  <c r="O6014" i="14"/>
  <c r="R6014" i="14" s="1"/>
  <c r="P6013" i="14"/>
  <c r="O6013" i="14"/>
  <c r="P6012" i="14"/>
  <c r="O6012" i="14"/>
  <c r="R6012" i="14" s="1"/>
  <c r="P6011" i="14"/>
  <c r="O6011" i="14"/>
  <c r="P6010" i="14"/>
  <c r="O6010" i="14"/>
  <c r="R6010" i="14" s="1"/>
  <c r="P6009" i="14"/>
  <c r="O6009" i="14"/>
  <c r="P6008" i="14"/>
  <c r="O6008" i="14"/>
  <c r="R6008" i="14" s="1"/>
  <c r="P6007" i="14"/>
  <c r="O6007" i="14"/>
  <c r="P6006" i="14"/>
  <c r="O6006" i="14"/>
  <c r="R6006" i="14" s="1"/>
  <c r="H6006" i="14"/>
  <c r="G6006" i="14"/>
  <c r="P6005" i="14"/>
  <c r="O6005" i="14"/>
  <c r="R6005" i="14" s="1"/>
  <c r="P6004" i="14"/>
  <c r="O6004" i="14"/>
  <c r="P6003" i="14"/>
  <c r="O6003" i="14"/>
  <c r="R6003" i="14" s="1"/>
  <c r="H6003" i="14"/>
  <c r="G6003" i="14"/>
  <c r="R6018" i="14" l="1"/>
  <c r="R6016" i="14"/>
  <c r="R6004" i="14"/>
  <c r="R6007" i="14"/>
  <c r="R6011" i="14"/>
  <c r="R6009" i="14"/>
  <c r="R6013" i="14"/>
  <c r="I4598" i="14"/>
  <c r="I4607" i="14"/>
  <c r="P6002" i="14"/>
  <c r="O6002" i="14"/>
  <c r="P6001" i="14"/>
  <c r="O6001" i="14"/>
  <c r="R6001" i="14" s="1"/>
  <c r="P6000" i="14"/>
  <c r="O6000" i="14"/>
  <c r="P5999" i="14"/>
  <c r="O5999" i="14"/>
  <c r="R5999" i="14" s="1"/>
  <c r="H5999" i="14"/>
  <c r="P5998" i="14"/>
  <c r="O5998" i="14"/>
  <c r="R5998" i="14" s="1"/>
  <c r="P5997" i="14"/>
  <c r="O5997" i="14"/>
  <c r="P5996" i="14"/>
  <c r="O5996" i="14"/>
  <c r="R5996" i="14" s="1"/>
  <c r="P5995" i="14"/>
  <c r="O5995" i="14"/>
  <c r="P5994" i="14"/>
  <c r="O5994" i="14"/>
  <c r="R5994" i="14" s="1"/>
  <c r="P5993" i="14"/>
  <c r="O5993" i="14"/>
  <c r="P5992" i="14"/>
  <c r="O5992" i="14"/>
  <c r="R5992" i="14" s="1"/>
  <c r="P5991" i="14"/>
  <c r="O5991" i="14"/>
  <c r="P5990" i="14"/>
  <c r="O5990" i="14"/>
  <c r="R5990" i="14" s="1"/>
  <c r="H5990" i="14"/>
  <c r="G5990" i="14"/>
  <c r="P5989" i="14"/>
  <c r="O5989" i="14"/>
  <c r="R5989" i="14" s="1"/>
  <c r="P5988" i="14"/>
  <c r="O5988" i="14"/>
  <c r="P5987" i="14"/>
  <c r="O5987" i="14"/>
  <c r="R5987" i="14" s="1"/>
  <c r="H5987" i="14"/>
  <c r="G5987" i="14"/>
  <c r="P5650" i="14"/>
  <c r="O5650" i="14"/>
  <c r="R5650" i="14" s="1"/>
  <c r="P5649" i="14"/>
  <c r="O5649" i="14"/>
  <c r="P5648" i="14"/>
  <c r="O5648" i="14"/>
  <c r="R5648" i="14" s="1"/>
  <c r="P5647" i="14"/>
  <c r="O5647" i="14"/>
  <c r="H5647" i="14"/>
  <c r="P5646" i="14"/>
  <c r="O5646" i="14"/>
  <c r="R5646" i="14" s="1"/>
  <c r="P5645" i="14"/>
  <c r="O5645" i="14"/>
  <c r="P5644" i="14"/>
  <c r="O5644" i="14"/>
  <c r="R5644" i="14" s="1"/>
  <c r="P5643" i="14"/>
  <c r="O5643" i="14"/>
  <c r="P5642" i="14"/>
  <c r="O5642" i="14"/>
  <c r="R5642" i="14" s="1"/>
  <c r="P5641" i="14"/>
  <c r="O5641" i="14"/>
  <c r="P5640" i="14"/>
  <c r="O5640" i="14"/>
  <c r="R5640" i="14" s="1"/>
  <c r="P5639" i="14"/>
  <c r="O5639" i="14"/>
  <c r="P5638" i="14"/>
  <c r="O5638" i="14"/>
  <c r="R5638" i="14" s="1"/>
  <c r="H5638" i="14"/>
  <c r="P5637" i="14"/>
  <c r="O5637" i="14"/>
  <c r="R5637" i="14" s="1"/>
  <c r="P5636" i="14"/>
  <c r="O5636" i="14"/>
  <c r="P5635" i="14"/>
  <c r="O5635" i="14"/>
  <c r="R5635" i="14" s="1"/>
  <c r="H5635" i="14"/>
  <c r="P5666" i="14"/>
  <c r="O5666" i="14"/>
  <c r="P5665" i="14"/>
  <c r="O5665" i="14"/>
  <c r="R5665" i="14" s="1"/>
  <c r="P5664" i="14"/>
  <c r="O5664" i="14"/>
  <c r="P5663" i="14"/>
  <c r="O5663" i="14"/>
  <c r="R5663" i="14" s="1"/>
  <c r="H5663" i="14"/>
  <c r="P5662" i="14"/>
  <c r="O5662" i="14"/>
  <c r="R5662" i="14" s="1"/>
  <c r="P5661" i="14"/>
  <c r="O5661" i="14"/>
  <c r="P5660" i="14"/>
  <c r="O5660" i="14"/>
  <c r="R5660" i="14" s="1"/>
  <c r="P5659" i="14"/>
  <c r="O5659" i="14"/>
  <c r="P5658" i="14"/>
  <c r="O5658" i="14"/>
  <c r="R5658" i="14" s="1"/>
  <c r="P5657" i="14"/>
  <c r="O5657" i="14"/>
  <c r="P5656" i="14"/>
  <c r="O5656" i="14"/>
  <c r="R5656" i="14" s="1"/>
  <c r="P5655" i="14"/>
  <c r="O5655" i="14"/>
  <c r="P5654" i="14"/>
  <c r="O5654" i="14"/>
  <c r="R5654" i="14" s="1"/>
  <c r="H5654" i="14"/>
  <c r="P5653" i="14"/>
  <c r="O5653" i="14"/>
  <c r="P5652" i="14"/>
  <c r="O5652" i="14"/>
  <c r="R5652" i="14" s="1"/>
  <c r="P5651" i="14"/>
  <c r="O5651" i="14"/>
  <c r="H5651" i="14"/>
  <c r="P5714" i="14"/>
  <c r="O5714" i="14"/>
  <c r="P5713" i="14"/>
  <c r="O5713" i="14"/>
  <c r="R5713" i="14" s="1"/>
  <c r="P5712" i="14"/>
  <c r="O5712" i="14"/>
  <c r="P5711" i="14"/>
  <c r="O5711" i="14"/>
  <c r="R5711" i="14" s="1"/>
  <c r="H5711" i="14"/>
  <c r="P5710" i="14"/>
  <c r="O5710" i="14"/>
  <c r="P5709" i="14"/>
  <c r="O5709" i="14"/>
  <c r="R5709" i="14" s="1"/>
  <c r="P5708" i="14"/>
  <c r="O5708" i="14"/>
  <c r="P5707" i="14"/>
  <c r="O5707" i="14"/>
  <c r="R5707" i="14" s="1"/>
  <c r="P5706" i="14"/>
  <c r="O5706" i="14"/>
  <c r="P5705" i="14"/>
  <c r="O5705" i="14"/>
  <c r="R5705" i="14" s="1"/>
  <c r="P5704" i="14"/>
  <c r="O5704" i="14"/>
  <c r="P5703" i="14"/>
  <c r="O5703" i="14"/>
  <c r="R5703" i="14" s="1"/>
  <c r="P5702" i="14"/>
  <c r="O5702" i="14"/>
  <c r="H5702" i="14"/>
  <c r="P5701" i="14"/>
  <c r="O5701" i="14"/>
  <c r="P5700" i="14"/>
  <c r="O5700" i="14"/>
  <c r="R5700" i="14" s="1"/>
  <c r="P5699" i="14"/>
  <c r="O5699" i="14"/>
  <c r="H5699" i="14"/>
  <c r="P5778" i="14"/>
  <c r="O5778" i="14"/>
  <c r="R5778" i="14" s="1"/>
  <c r="P5777" i="14"/>
  <c r="O5777" i="14"/>
  <c r="P5776" i="14"/>
  <c r="O5776" i="14"/>
  <c r="R5776" i="14" s="1"/>
  <c r="P5775" i="14"/>
  <c r="O5775" i="14"/>
  <c r="H5775" i="14"/>
  <c r="P5774" i="14"/>
  <c r="O5774" i="14"/>
  <c r="P5773" i="14"/>
  <c r="O5773" i="14"/>
  <c r="R5773" i="14" s="1"/>
  <c r="P5772" i="14"/>
  <c r="O5772" i="14"/>
  <c r="P5771" i="14"/>
  <c r="O5771" i="14"/>
  <c r="R5771" i="14" s="1"/>
  <c r="P5770" i="14"/>
  <c r="O5770" i="14"/>
  <c r="P5769" i="14"/>
  <c r="O5769" i="14"/>
  <c r="R5769" i="14" s="1"/>
  <c r="P5768" i="14"/>
  <c r="O5768" i="14"/>
  <c r="P5767" i="14"/>
  <c r="O5767" i="14"/>
  <c r="R5767" i="14" s="1"/>
  <c r="P5766" i="14"/>
  <c r="O5766" i="14"/>
  <c r="H5766" i="14"/>
  <c r="P5765" i="14"/>
  <c r="O5765" i="14"/>
  <c r="R5765" i="14" s="1"/>
  <c r="P5764" i="14"/>
  <c r="O5764" i="14"/>
  <c r="P5763" i="14"/>
  <c r="O5763" i="14"/>
  <c r="R5763" i="14" s="1"/>
  <c r="H5763" i="14"/>
  <c r="I5983" i="14"/>
  <c r="H5983" i="14"/>
  <c r="G5983" i="14"/>
  <c r="I5974" i="14"/>
  <c r="H5974" i="14"/>
  <c r="G5974" i="14"/>
  <c r="I5971" i="14"/>
  <c r="H5971" i="14"/>
  <c r="G5971" i="14"/>
  <c r="H5967" i="14"/>
  <c r="G5967" i="14"/>
  <c r="G5958" i="14"/>
  <c r="O5955" i="14"/>
  <c r="R5955" i="14" s="1"/>
  <c r="O5956" i="14"/>
  <c r="R5956" i="14" s="1"/>
  <c r="O5957" i="14"/>
  <c r="R5957" i="14" s="1"/>
  <c r="O5958" i="14"/>
  <c r="R5958" i="14" s="1"/>
  <c r="O5959" i="14"/>
  <c r="O5960" i="14"/>
  <c r="R5960" i="14" s="1"/>
  <c r="O5961" i="14"/>
  <c r="R5961" i="14" s="1"/>
  <c r="O5962" i="14"/>
  <c r="R5962" i="14" s="1"/>
  <c r="O5963" i="14"/>
  <c r="R5963" i="14" s="1"/>
  <c r="O5964" i="14"/>
  <c r="R5964" i="14" s="1"/>
  <c r="O5965" i="14"/>
  <c r="R5965" i="14" s="1"/>
  <c r="O5966" i="14"/>
  <c r="R5966" i="14" s="1"/>
  <c r="O5967" i="14"/>
  <c r="R5967" i="14" s="1"/>
  <c r="O5968" i="14"/>
  <c r="R5968" i="14" s="1"/>
  <c r="O5969" i="14"/>
  <c r="R5969" i="14" s="1"/>
  <c r="O5970" i="14"/>
  <c r="R5970" i="14" s="1"/>
  <c r="O5971" i="14"/>
  <c r="R5971" i="14" s="1"/>
  <c r="O5972" i="14"/>
  <c r="R5972" i="14" s="1"/>
  <c r="O5973" i="14"/>
  <c r="R5973" i="14" s="1"/>
  <c r="O5974" i="14"/>
  <c r="R5974" i="14" s="1"/>
  <c r="O5975" i="14"/>
  <c r="R5975" i="14" s="1"/>
  <c r="O5976" i="14"/>
  <c r="R5976" i="14" s="1"/>
  <c r="O5977" i="14"/>
  <c r="R5977" i="14" s="1"/>
  <c r="O5978" i="14"/>
  <c r="R5978" i="14" s="1"/>
  <c r="O5979" i="14"/>
  <c r="R5979" i="14" s="1"/>
  <c r="O5980" i="14"/>
  <c r="R5980" i="14" s="1"/>
  <c r="O5981" i="14"/>
  <c r="R5981" i="14" s="1"/>
  <c r="O5982" i="14"/>
  <c r="R5982" i="14" s="1"/>
  <c r="O5983" i="14"/>
  <c r="R5983" i="14" s="1"/>
  <c r="O5984" i="14"/>
  <c r="R5984" i="14" s="1"/>
  <c r="O5985" i="14"/>
  <c r="R5985" i="14" s="1"/>
  <c r="O5986" i="14"/>
  <c r="R5986" i="14" s="1"/>
  <c r="P5955" i="14"/>
  <c r="P5956" i="14"/>
  <c r="P5957" i="14"/>
  <c r="P5958" i="14"/>
  <c r="P5959" i="14"/>
  <c r="P5960" i="14"/>
  <c r="P5961" i="14"/>
  <c r="P5962" i="14"/>
  <c r="P5963" i="14"/>
  <c r="P5964" i="14"/>
  <c r="P5965" i="14"/>
  <c r="P5966" i="14"/>
  <c r="P5967" i="14"/>
  <c r="P5968" i="14"/>
  <c r="P5969" i="14"/>
  <c r="P5970" i="14"/>
  <c r="P5971" i="14"/>
  <c r="P5972" i="14"/>
  <c r="P5973" i="14"/>
  <c r="P5974" i="14"/>
  <c r="P5975" i="14"/>
  <c r="P5976" i="14"/>
  <c r="P5977" i="14"/>
  <c r="P5978" i="14"/>
  <c r="P5979" i="14"/>
  <c r="P5980" i="14"/>
  <c r="P5981" i="14"/>
  <c r="P5982" i="14"/>
  <c r="P5983" i="14"/>
  <c r="P5984" i="14"/>
  <c r="P5985" i="14"/>
  <c r="P5986" i="14"/>
  <c r="R5959" i="14" l="1"/>
  <c r="R5777" i="14"/>
  <c r="R5704" i="14"/>
  <c r="R5708" i="14"/>
  <c r="R5651" i="14"/>
  <c r="R5666" i="14"/>
  <c r="R5641" i="14"/>
  <c r="R5645" i="14"/>
  <c r="R6002" i="14"/>
  <c r="R5764" i="14"/>
  <c r="R5775" i="14"/>
  <c r="R5702" i="14"/>
  <c r="R5706" i="14"/>
  <c r="R5710" i="14"/>
  <c r="R5653" i="14"/>
  <c r="R5664" i="14"/>
  <c r="R5639" i="14"/>
  <c r="R5643" i="14"/>
  <c r="R6000" i="14"/>
  <c r="R5768" i="14"/>
  <c r="R5772" i="14"/>
  <c r="R5699" i="14"/>
  <c r="R5714" i="14"/>
  <c r="R5657" i="14"/>
  <c r="R5661" i="14"/>
  <c r="R5636" i="14"/>
  <c r="R5647" i="14"/>
  <c r="R5993" i="14"/>
  <c r="R5997" i="14"/>
  <c r="R5766" i="14"/>
  <c r="R5770" i="14"/>
  <c r="R5774" i="14"/>
  <c r="R5701" i="14"/>
  <c r="R5712" i="14"/>
  <c r="R5655" i="14"/>
  <c r="R5659" i="14"/>
  <c r="R5649" i="14"/>
  <c r="R5988" i="14"/>
  <c r="R5991" i="14"/>
  <c r="R5995" i="14"/>
  <c r="G5951" i="14"/>
  <c r="G5942" i="14"/>
  <c r="O5939" i="14"/>
  <c r="R5939" i="14" s="1"/>
  <c r="O5940" i="14"/>
  <c r="R5940" i="14" s="1"/>
  <c r="O5941" i="14"/>
  <c r="R5941" i="14" s="1"/>
  <c r="O5942" i="14"/>
  <c r="R5942" i="14" s="1"/>
  <c r="O5943" i="14"/>
  <c r="R5943" i="14" s="1"/>
  <c r="O5944" i="14"/>
  <c r="R5944" i="14" s="1"/>
  <c r="O5945" i="14"/>
  <c r="R5945" i="14" s="1"/>
  <c r="O5946" i="14"/>
  <c r="R5946" i="14" s="1"/>
  <c r="O5947" i="14"/>
  <c r="R5947" i="14" s="1"/>
  <c r="O5948" i="14"/>
  <c r="R5948" i="14" s="1"/>
  <c r="O5949" i="14"/>
  <c r="R5949" i="14" s="1"/>
  <c r="O5950" i="14"/>
  <c r="R5950" i="14" s="1"/>
  <c r="O5951" i="14"/>
  <c r="R5951" i="14" s="1"/>
  <c r="O5952" i="14"/>
  <c r="R5952" i="14" s="1"/>
  <c r="O5953" i="14"/>
  <c r="R5953" i="14" s="1"/>
  <c r="O5954" i="14"/>
  <c r="R5954" i="14" s="1"/>
  <c r="P5939" i="14"/>
  <c r="P5940" i="14"/>
  <c r="P5941" i="14"/>
  <c r="P5942" i="14"/>
  <c r="P5943" i="14"/>
  <c r="P5944" i="14"/>
  <c r="P5945" i="14"/>
  <c r="P5946" i="14"/>
  <c r="P5947" i="14"/>
  <c r="P5948" i="14"/>
  <c r="P5949" i="14"/>
  <c r="P5950" i="14"/>
  <c r="P5951" i="14"/>
  <c r="P5952" i="14"/>
  <c r="P5953" i="14"/>
  <c r="P5954" i="14"/>
  <c r="H5882" i="14"/>
  <c r="G5882" i="14"/>
  <c r="H5889" i="14"/>
  <c r="P5906" i="14" l="1"/>
  <c r="O5906" i="14"/>
  <c r="P5905" i="14"/>
  <c r="O5905" i="14"/>
  <c r="P5904" i="14"/>
  <c r="O5904" i="14"/>
  <c r="R5904" i="14" s="1"/>
  <c r="P5903" i="14"/>
  <c r="O5903" i="14"/>
  <c r="P5902" i="14"/>
  <c r="O5902" i="14"/>
  <c r="P5901" i="14"/>
  <c r="O5901" i="14"/>
  <c r="P5900" i="14"/>
  <c r="O5900" i="14"/>
  <c r="R5900" i="14" s="1"/>
  <c r="P5899" i="14"/>
  <c r="O5899" i="14"/>
  <c r="P5898" i="14"/>
  <c r="O5898" i="14"/>
  <c r="P5897" i="14"/>
  <c r="O5897" i="14"/>
  <c r="P5896" i="14"/>
  <c r="O5896" i="14"/>
  <c r="R5896" i="14" s="1"/>
  <c r="P5895" i="14"/>
  <c r="O5895" i="14"/>
  <c r="P5894" i="14"/>
  <c r="O5894" i="14"/>
  <c r="P5893" i="14"/>
  <c r="O5893" i="14"/>
  <c r="P5892" i="14"/>
  <c r="O5892" i="14"/>
  <c r="R5892" i="14" s="1"/>
  <c r="P5891" i="14"/>
  <c r="O5891" i="14"/>
  <c r="H5891" i="14"/>
  <c r="H5798" i="14"/>
  <c r="G5798" i="14"/>
  <c r="P5618" i="14"/>
  <c r="O5618" i="14"/>
  <c r="R5618" i="14" s="1"/>
  <c r="P5617" i="14"/>
  <c r="O5617" i="14"/>
  <c r="P5616" i="14"/>
  <c r="O5616" i="14"/>
  <c r="R5616" i="14" s="1"/>
  <c r="P5615" i="14"/>
  <c r="O5615" i="14"/>
  <c r="R5615" i="14" s="1"/>
  <c r="L5615" i="14"/>
  <c r="H5615" i="14"/>
  <c r="P5614" i="14"/>
  <c r="O5614" i="14"/>
  <c r="P5613" i="14"/>
  <c r="O5613" i="14"/>
  <c r="R5613" i="14" s="1"/>
  <c r="P5612" i="14"/>
  <c r="O5612" i="14"/>
  <c r="R5612" i="14" s="1"/>
  <c r="P5611" i="14"/>
  <c r="O5611" i="14"/>
  <c r="R5611" i="14" s="1"/>
  <c r="P5610" i="14"/>
  <c r="O5610" i="14"/>
  <c r="P5609" i="14"/>
  <c r="O5609" i="14"/>
  <c r="R5609" i="14" s="1"/>
  <c r="P5608" i="14"/>
  <c r="O5608" i="14"/>
  <c r="R5608" i="14" s="1"/>
  <c r="P5607" i="14"/>
  <c r="O5607" i="14"/>
  <c r="R5607" i="14" s="1"/>
  <c r="P5606" i="14"/>
  <c r="O5606" i="14"/>
  <c r="L5606" i="14"/>
  <c r="H5606" i="14"/>
  <c r="P5605" i="14"/>
  <c r="O5605" i="14"/>
  <c r="R5605" i="14" s="1"/>
  <c r="P5604" i="14"/>
  <c r="O5604" i="14"/>
  <c r="R5604" i="14" s="1"/>
  <c r="P5603" i="14"/>
  <c r="O5603" i="14"/>
  <c r="L5603" i="14"/>
  <c r="H5603" i="14"/>
  <c r="P5602" i="14"/>
  <c r="O5602" i="14"/>
  <c r="R5602" i="14" s="1"/>
  <c r="P5601" i="14"/>
  <c r="O5601" i="14"/>
  <c r="R5601" i="14" s="1"/>
  <c r="P5600" i="14"/>
  <c r="O5600" i="14"/>
  <c r="P5599" i="14"/>
  <c r="O5599" i="14"/>
  <c r="R5599" i="14" s="1"/>
  <c r="L5599" i="14"/>
  <c r="H5599" i="14"/>
  <c r="P5598" i="14"/>
  <c r="O5598" i="14"/>
  <c r="R5598" i="14" s="1"/>
  <c r="P5597" i="14"/>
  <c r="O5597" i="14"/>
  <c r="P5596" i="14"/>
  <c r="O5596" i="14"/>
  <c r="R5596" i="14" s="1"/>
  <c r="P5595" i="14"/>
  <c r="O5595" i="14"/>
  <c r="R5595" i="14" s="1"/>
  <c r="P5594" i="14"/>
  <c r="O5594" i="14"/>
  <c r="R5594" i="14" s="1"/>
  <c r="P5593" i="14"/>
  <c r="O5593" i="14"/>
  <c r="P5592" i="14"/>
  <c r="O5592" i="14"/>
  <c r="R5592" i="14" s="1"/>
  <c r="P5591" i="14"/>
  <c r="O5591" i="14"/>
  <c r="R5591" i="14" s="1"/>
  <c r="P5590" i="14"/>
  <c r="O5590" i="14"/>
  <c r="R5590" i="14" s="1"/>
  <c r="L5590" i="14"/>
  <c r="H5590" i="14"/>
  <c r="P5589" i="14"/>
  <c r="O5589" i="14"/>
  <c r="R5589" i="14" s="1"/>
  <c r="P5588" i="14"/>
  <c r="O5588" i="14"/>
  <c r="R5588" i="14" s="1"/>
  <c r="P5587" i="14"/>
  <c r="O5587" i="14"/>
  <c r="R5587" i="14" s="1"/>
  <c r="L5587" i="14"/>
  <c r="H5587" i="14"/>
  <c r="R5894" i="14" l="1"/>
  <c r="R5898" i="14"/>
  <c r="R5902" i="14"/>
  <c r="R5906" i="14"/>
  <c r="R5891" i="14"/>
  <c r="R5895" i="14"/>
  <c r="R5899" i="14"/>
  <c r="R5903" i="14"/>
  <c r="R5593" i="14"/>
  <c r="R5597" i="14"/>
  <c r="R5600" i="14"/>
  <c r="R5603" i="14"/>
  <c r="R5606" i="14"/>
  <c r="R5610" i="14"/>
  <c r="R5614" i="14"/>
  <c r="R5617" i="14"/>
  <c r="R5893" i="14"/>
  <c r="R5897" i="14"/>
  <c r="R5901" i="14"/>
  <c r="R5905" i="14"/>
  <c r="G5889" i="14"/>
  <c r="P5890" i="14"/>
  <c r="O5890" i="14"/>
  <c r="P5889" i="14"/>
  <c r="O5889" i="14"/>
  <c r="P5888" i="14"/>
  <c r="O5888" i="14"/>
  <c r="R5888" i="14" s="1"/>
  <c r="P5887" i="14"/>
  <c r="O5887" i="14"/>
  <c r="R5887" i="14" s="1"/>
  <c r="P5886" i="14"/>
  <c r="O5886" i="14"/>
  <c r="P5885" i="14"/>
  <c r="O5885" i="14"/>
  <c r="P5884" i="14"/>
  <c r="O5884" i="14"/>
  <c r="R5884" i="14" s="1"/>
  <c r="P5883" i="14"/>
  <c r="O5883" i="14"/>
  <c r="R5883" i="14" s="1"/>
  <c r="P5882" i="14"/>
  <c r="O5882" i="14"/>
  <c r="P5881" i="14"/>
  <c r="O5881" i="14"/>
  <c r="P5880" i="14"/>
  <c r="O5880" i="14"/>
  <c r="R5880" i="14" s="1"/>
  <c r="P5879" i="14"/>
  <c r="O5879" i="14"/>
  <c r="R5879" i="14" s="1"/>
  <c r="P5878" i="14"/>
  <c r="O5878" i="14"/>
  <c r="P5877" i="14"/>
  <c r="O5877" i="14"/>
  <c r="P5876" i="14"/>
  <c r="O5876" i="14"/>
  <c r="R5876" i="14" s="1"/>
  <c r="P5875" i="14"/>
  <c r="O5875" i="14"/>
  <c r="R5875" i="14" s="1"/>
  <c r="H5875" i="14"/>
  <c r="G5875" i="14"/>
  <c r="R5877" i="14" l="1"/>
  <c r="R5881" i="14"/>
  <c r="R5885" i="14"/>
  <c r="R5889" i="14"/>
  <c r="R5878" i="14"/>
  <c r="R5882" i="14"/>
  <c r="R5886" i="14"/>
  <c r="R5890" i="14"/>
  <c r="H5878" i="14"/>
  <c r="H5887" i="14"/>
  <c r="G5887" i="14"/>
  <c r="G5878" i="14"/>
  <c r="P5874" i="14" l="1"/>
  <c r="O5874" i="14"/>
  <c r="P5873" i="14"/>
  <c r="O5873" i="14"/>
  <c r="R5873" i="14" s="1"/>
  <c r="P5872" i="14"/>
  <c r="O5872" i="14"/>
  <c r="P5871" i="14"/>
  <c r="O5871" i="14"/>
  <c r="R5871" i="14" s="1"/>
  <c r="H5871" i="14"/>
  <c r="G5871" i="14"/>
  <c r="P5870" i="14"/>
  <c r="O5870" i="14"/>
  <c r="R5870" i="14" s="1"/>
  <c r="P5869" i="14"/>
  <c r="O5869" i="14"/>
  <c r="P5868" i="14"/>
  <c r="O5868" i="14"/>
  <c r="R5868" i="14" s="1"/>
  <c r="P5867" i="14"/>
  <c r="O5867" i="14"/>
  <c r="P5866" i="14"/>
  <c r="O5866" i="14"/>
  <c r="R5866" i="14" s="1"/>
  <c r="P5865" i="14"/>
  <c r="O5865" i="14"/>
  <c r="P5864" i="14"/>
  <c r="O5864" i="14"/>
  <c r="R5864" i="14" s="1"/>
  <c r="P5863" i="14"/>
  <c r="O5863" i="14"/>
  <c r="P5862" i="14"/>
  <c r="O5862" i="14"/>
  <c r="R5862" i="14" s="1"/>
  <c r="H5862" i="14"/>
  <c r="G5862" i="14"/>
  <c r="P5861" i="14"/>
  <c r="O5861" i="14"/>
  <c r="R5861" i="14" s="1"/>
  <c r="P5860" i="14"/>
  <c r="O5860" i="14"/>
  <c r="P5859" i="14"/>
  <c r="O5859" i="14"/>
  <c r="R5859" i="14" s="1"/>
  <c r="H5859" i="14"/>
  <c r="G5859" i="14"/>
  <c r="P5858" i="14"/>
  <c r="O5858" i="14"/>
  <c r="R5858" i="14" s="1"/>
  <c r="P5857" i="14"/>
  <c r="O5857" i="14"/>
  <c r="P5856" i="14"/>
  <c r="O5856" i="14"/>
  <c r="R5856" i="14" s="1"/>
  <c r="P5855" i="14"/>
  <c r="O5855" i="14"/>
  <c r="H5855" i="14"/>
  <c r="P5854" i="14"/>
  <c r="O5854" i="14"/>
  <c r="R5854" i="14" s="1"/>
  <c r="P5853" i="14"/>
  <c r="O5853" i="14"/>
  <c r="R5853" i="14" s="1"/>
  <c r="P5852" i="14"/>
  <c r="O5852" i="14"/>
  <c r="R5852" i="14" s="1"/>
  <c r="P5851" i="14"/>
  <c r="O5851" i="14"/>
  <c r="R5851" i="14" s="1"/>
  <c r="P5850" i="14"/>
  <c r="O5850" i="14"/>
  <c r="R5850" i="14" s="1"/>
  <c r="P5849" i="14"/>
  <c r="O5849" i="14"/>
  <c r="R5849" i="14" s="1"/>
  <c r="P5848" i="14"/>
  <c r="O5848" i="14"/>
  <c r="R5848" i="14" s="1"/>
  <c r="P5847" i="14"/>
  <c r="O5847" i="14"/>
  <c r="R5847" i="14" s="1"/>
  <c r="P5846" i="14"/>
  <c r="O5846" i="14"/>
  <c r="R5846" i="14" s="1"/>
  <c r="H5846" i="14"/>
  <c r="P5845" i="14"/>
  <c r="O5845" i="14"/>
  <c r="R5845" i="14" s="1"/>
  <c r="P5844" i="14"/>
  <c r="O5844" i="14"/>
  <c r="P5843" i="14"/>
  <c r="O5843" i="14"/>
  <c r="R5843" i="14" s="1"/>
  <c r="H5843" i="14"/>
  <c r="R5844" i="14" l="1"/>
  <c r="R5855" i="14"/>
  <c r="R5865" i="14"/>
  <c r="R5869" i="14"/>
  <c r="R5872" i="14"/>
  <c r="R5857" i="14"/>
  <c r="R5860" i="14"/>
  <c r="R5863" i="14"/>
  <c r="R5867" i="14"/>
  <c r="R5874" i="14"/>
  <c r="N6050" i="14"/>
  <c r="N6049" i="14"/>
  <c r="N6048" i="14"/>
  <c r="N6047" i="14"/>
  <c r="N6042" i="14"/>
  <c r="N6039" i="14"/>
  <c r="N6045" i="14"/>
  <c r="N6044" i="14"/>
  <c r="N6046" i="14"/>
  <c r="N6043" i="14"/>
  <c r="N6037" i="14"/>
  <c r="N6036" i="14"/>
  <c r="N6035" i="14"/>
  <c r="N6041" i="14"/>
  <c r="N6040" i="14"/>
  <c r="N6038" i="14"/>
  <c r="N5938" i="14"/>
  <c r="N5937" i="14"/>
  <c r="N5936" i="14"/>
  <c r="N5935" i="14"/>
  <c r="N5934" i="14"/>
  <c r="N5933" i="14"/>
  <c r="N5932" i="14"/>
  <c r="N5931" i="14"/>
  <c r="N5930" i="14"/>
  <c r="N5929" i="14"/>
  <c r="N5928" i="14"/>
  <c r="N5927" i="14"/>
  <c r="N5926" i="14"/>
  <c r="N5925" i="14"/>
  <c r="N5924" i="14"/>
  <c r="N5923" i="14"/>
  <c r="N6018" i="14"/>
  <c r="N6017" i="14"/>
  <c r="N6014" i="14"/>
  <c r="N6011" i="14"/>
  <c r="N6008" i="14"/>
  <c r="N6003" i="14"/>
  <c r="N6006" i="14"/>
  <c r="N6016" i="14"/>
  <c r="N6013" i="14"/>
  <c r="N6010" i="14"/>
  <c r="N6007" i="14"/>
  <c r="N6005" i="14"/>
  <c r="N6015" i="14"/>
  <c r="N6012" i="14"/>
  <c r="N6009" i="14"/>
  <c r="N6004" i="14"/>
  <c r="N6002" i="14"/>
  <c r="N5999" i="14"/>
  <c r="N5996" i="14"/>
  <c r="N5993" i="14"/>
  <c r="N5990" i="14"/>
  <c r="N5988" i="14"/>
  <c r="N5713" i="14"/>
  <c r="N5710" i="14"/>
  <c r="N5707" i="14"/>
  <c r="N5704" i="14"/>
  <c r="N5701" i="14"/>
  <c r="N6001" i="14"/>
  <c r="N5998" i="14"/>
  <c r="N5995" i="14"/>
  <c r="N5992" i="14"/>
  <c r="N5987" i="14"/>
  <c r="N5712" i="14"/>
  <c r="N5709" i="14"/>
  <c r="N5706" i="14"/>
  <c r="N5703" i="14"/>
  <c r="N5700" i="14"/>
  <c r="N6000" i="14"/>
  <c r="N5997" i="14"/>
  <c r="N5994" i="14"/>
  <c r="N5991" i="14"/>
  <c r="N5989" i="14"/>
  <c r="N5714" i="14"/>
  <c r="N5711" i="14"/>
  <c r="N5708" i="14"/>
  <c r="N5705" i="14"/>
  <c r="N5702" i="14"/>
  <c r="N5699" i="14"/>
  <c r="N5940" i="14"/>
  <c r="N5948" i="14"/>
  <c r="N5956" i="14"/>
  <c r="N5964" i="14"/>
  <c r="N5972" i="14"/>
  <c r="N5980" i="14"/>
  <c r="N5945" i="14"/>
  <c r="N5953" i="14"/>
  <c r="N5961" i="14"/>
  <c r="N5969" i="14"/>
  <c r="N5977" i="14"/>
  <c r="N5985" i="14"/>
  <c r="N5587" i="14"/>
  <c r="N5595" i="14"/>
  <c r="N5603" i="14"/>
  <c r="N5611" i="14"/>
  <c r="N5939" i="14"/>
  <c r="N5947" i="14"/>
  <c r="N5955" i="14"/>
  <c r="N5963" i="14"/>
  <c r="N5971" i="14"/>
  <c r="N5979" i="14"/>
  <c r="N5941" i="14"/>
  <c r="N5952" i="14"/>
  <c r="N5966" i="14"/>
  <c r="N5978" i="14"/>
  <c r="N5588" i="14"/>
  <c r="N5597" i="14"/>
  <c r="N5606" i="14"/>
  <c r="N5615" i="14"/>
  <c r="N5784" i="14"/>
  <c r="N5792" i="14"/>
  <c r="N5942" i="14"/>
  <c r="N5954" i="14"/>
  <c r="N5967" i="14"/>
  <c r="N5981" i="14"/>
  <c r="N5589" i="14"/>
  <c r="N5598" i="14"/>
  <c r="N5607" i="14"/>
  <c r="N5616" i="14"/>
  <c r="N5785" i="14"/>
  <c r="N5793" i="14"/>
  <c r="N5833" i="14"/>
  <c r="N5841" i="14"/>
  <c r="N5849" i="14"/>
  <c r="N5857" i="14"/>
  <c r="N5865" i="14"/>
  <c r="N5873" i="14"/>
  <c r="N5881" i="14"/>
  <c r="N5889" i="14"/>
  <c r="N5897" i="14"/>
  <c r="N5905" i="14"/>
  <c r="N5943" i="14"/>
  <c r="N5957" i="14"/>
  <c r="N5968" i="14"/>
  <c r="N5982" i="14"/>
  <c r="N5590" i="14"/>
  <c r="N5599" i="14"/>
  <c r="N5608" i="14"/>
  <c r="N5617" i="14"/>
  <c r="N5786" i="14"/>
  <c r="N5794" i="14"/>
  <c r="N5944" i="14"/>
  <c r="N5958" i="14"/>
  <c r="N5970" i="14"/>
  <c r="N5983" i="14"/>
  <c r="N5946" i="14"/>
  <c r="N5959" i="14"/>
  <c r="N5973" i="14"/>
  <c r="N5984" i="14"/>
  <c r="N5592" i="14"/>
  <c r="N5601" i="14"/>
  <c r="N5610" i="14"/>
  <c r="N5949" i="14"/>
  <c r="N5960" i="14"/>
  <c r="N5974" i="14"/>
  <c r="N5986" i="14"/>
  <c r="N5975" i="14"/>
  <c r="N5591" i="14"/>
  <c r="N5783" i="14"/>
  <c r="N5838" i="14"/>
  <c r="N5902" i="14"/>
  <c r="N5830" i="14"/>
  <c r="N5885" i="14"/>
  <c r="N5976" i="14"/>
  <c r="N5593" i="14"/>
  <c r="N5612" i="14"/>
  <c r="N5839" i="14"/>
  <c r="N5894" i="14"/>
  <c r="N5594" i="14"/>
  <c r="N5613" i="14"/>
  <c r="N5788" i="14"/>
  <c r="N5831" i="14"/>
  <c r="N5840" i="14"/>
  <c r="N5850" i="14"/>
  <c r="N5859" i="14"/>
  <c r="N5868" i="14"/>
  <c r="N5877" i="14"/>
  <c r="N5886" i="14"/>
  <c r="N5895" i="14"/>
  <c r="N5904" i="14"/>
  <c r="N5779" i="14"/>
  <c r="N5843" i="14"/>
  <c r="N5861" i="14"/>
  <c r="N5879" i="14"/>
  <c r="N5898" i="14"/>
  <c r="N5854" i="14"/>
  <c r="N5882" i="14"/>
  <c r="N5900" i="14"/>
  <c r="N5829" i="14"/>
  <c r="N5866" i="14"/>
  <c r="N5596" i="14"/>
  <c r="N5614" i="14"/>
  <c r="N5789" i="14"/>
  <c r="N5832" i="14"/>
  <c r="N5842" i="14"/>
  <c r="N5851" i="14"/>
  <c r="N5860" i="14"/>
  <c r="N5869" i="14"/>
  <c r="N5878" i="14"/>
  <c r="N5887" i="14"/>
  <c r="N5896" i="14"/>
  <c r="N5906" i="14"/>
  <c r="N5790" i="14"/>
  <c r="N5834" i="14"/>
  <c r="N5852" i="14"/>
  <c r="N5870" i="14"/>
  <c r="N5888" i="14"/>
  <c r="N5872" i="14"/>
  <c r="N5847" i="14"/>
  <c r="N5884" i="14"/>
  <c r="N5876" i="14"/>
  <c r="N5950" i="14"/>
  <c r="N5600" i="14"/>
  <c r="N5618" i="14"/>
  <c r="N5893" i="14"/>
  <c r="N5787" i="14"/>
  <c r="N5867" i="14"/>
  <c r="N5951" i="14"/>
  <c r="N5602" i="14"/>
  <c r="N5780" i="14"/>
  <c r="N5791" i="14"/>
  <c r="N5835" i="14"/>
  <c r="N5844" i="14"/>
  <c r="N5853" i="14"/>
  <c r="N5862" i="14"/>
  <c r="N5871" i="14"/>
  <c r="N5880" i="14"/>
  <c r="N5890" i="14"/>
  <c r="N5899" i="14"/>
  <c r="N5781" i="14"/>
  <c r="N5827" i="14"/>
  <c r="N5836" i="14"/>
  <c r="N5845" i="14"/>
  <c r="N5863" i="14"/>
  <c r="N5891" i="14"/>
  <c r="N5875" i="14"/>
  <c r="N5848" i="14"/>
  <c r="N5903" i="14"/>
  <c r="N5962" i="14"/>
  <c r="N5604" i="14"/>
  <c r="N5858" i="14"/>
  <c r="N5965" i="14"/>
  <c r="N5605" i="14"/>
  <c r="N5782" i="14"/>
  <c r="N5828" i="14"/>
  <c r="N5837" i="14"/>
  <c r="N5846" i="14"/>
  <c r="N5855" i="14"/>
  <c r="N5864" i="14"/>
  <c r="N5874" i="14"/>
  <c r="N5883" i="14"/>
  <c r="N5892" i="14"/>
  <c r="N5901" i="14"/>
  <c r="N5609" i="14"/>
  <c r="N5856" i="14"/>
  <c r="N8" i="14"/>
  <c r="N16" i="14"/>
  <c r="N24" i="14"/>
  <c r="N32" i="14"/>
  <c r="N40" i="14"/>
  <c r="N48" i="14"/>
  <c r="N56" i="14"/>
  <c r="N64" i="14"/>
  <c r="N72" i="14"/>
  <c r="N80" i="14"/>
  <c r="N88" i="14"/>
  <c r="N96" i="14"/>
  <c r="N104" i="14"/>
  <c r="N112" i="14"/>
  <c r="N120" i="14"/>
  <c r="N128" i="14"/>
  <c r="N136" i="14"/>
  <c r="N144" i="14"/>
  <c r="N152" i="14"/>
  <c r="N160" i="14"/>
  <c r="N168" i="14"/>
  <c r="N176" i="14"/>
  <c r="N184" i="14"/>
  <c r="N192" i="14"/>
  <c r="N200" i="14"/>
  <c r="N208" i="14"/>
  <c r="N216" i="14"/>
  <c r="N224" i="14"/>
  <c r="N232" i="14"/>
  <c r="N240" i="14"/>
  <c r="N248" i="14"/>
  <c r="N256" i="14"/>
  <c r="N264" i="14"/>
  <c r="N272" i="14"/>
  <c r="N280" i="14"/>
  <c r="N288" i="14"/>
  <c r="N296" i="14"/>
  <c r="N304" i="14"/>
  <c r="N312" i="14"/>
  <c r="N320" i="14"/>
  <c r="N328" i="14"/>
  <c r="N336" i="14"/>
  <c r="N9" i="14"/>
  <c r="N17" i="14"/>
  <c r="N25" i="14"/>
  <c r="N33" i="14"/>
  <c r="N41" i="14"/>
  <c r="N49" i="14"/>
  <c r="N57" i="14"/>
  <c r="N65" i="14"/>
  <c r="N73" i="14"/>
  <c r="N81" i="14"/>
  <c r="N89" i="14"/>
  <c r="N97" i="14"/>
  <c r="N105" i="14"/>
  <c r="N113" i="14"/>
  <c r="N121" i="14"/>
  <c r="N129" i="14"/>
  <c r="N137" i="14"/>
  <c r="N145" i="14"/>
  <c r="N153" i="14"/>
  <c r="N161" i="14"/>
  <c r="N169" i="14"/>
  <c r="N177" i="14"/>
  <c r="N185" i="14"/>
  <c r="N193" i="14"/>
  <c r="N201" i="14"/>
  <c r="N209" i="14"/>
  <c r="N217" i="14"/>
  <c r="N225" i="14"/>
  <c r="N233" i="14"/>
  <c r="N241" i="14"/>
  <c r="N249" i="14"/>
  <c r="N257" i="14"/>
  <c r="N265" i="14"/>
  <c r="N273" i="14"/>
  <c r="N281" i="14"/>
  <c r="N289" i="14"/>
  <c r="N297" i="14"/>
  <c r="N305" i="14"/>
  <c r="N313" i="14"/>
  <c r="N321" i="14"/>
  <c r="N329" i="14"/>
  <c r="N337" i="14"/>
  <c r="N10" i="14"/>
  <c r="N18" i="14"/>
  <c r="N26" i="14"/>
  <c r="N34" i="14"/>
  <c r="N42" i="14"/>
  <c r="N50" i="14"/>
  <c r="N58" i="14"/>
  <c r="N66" i="14"/>
  <c r="N74" i="14"/>
  <c r="N82" i="14"/>
  <c r="N90" i="14"/>
  <c r="N98" i="14"/>
  <c r="N106" i="14"/>
  <c r="N114" i="14"/>
  <c r="N122" i="14"/>
  <c r="N130" i="14"/>
  <c r="N138" i="14"/>
  <c r="N146" i="14"/>
  <c r="N154" i="14"/>
  <c r="N162" i="14"/>
  <c r="N170" i="14"/>
  <c r="N178" i="14"/>
  <c r="N186" i="14"/>
  <c r="N194" i="14"/>
  <c r="N202" i="14"/>
  <c r="N210" i="14"/>
  <c r="N218" i="14"/>
  <c r="N226" i="14"/>
  <c r="N234" i="14"/>
  <c r="N242" i="14"/>
  <c r="N250" i="14"/>
  <c r="N258" i="14"/>
  <c r="N266" i="14"/>
  <c r="N274" i="14"/>
  <c r="N282" i="14"/>
  <c r="N290" i="14"/>
  <c r="N298" i="14"/>
  <c r="N306" i="14"/>
  <c r="N314" i="14"/>
  <c r="N322" i="14"/>
  <c r="N330" i="14"/>
  <c r="N338" i="14"/>
  <c r="N11" i="14"/>
  <c r="N19" i="14"/>
  <c r="N27" i="14"/>
  <c r="N35" i="14"/>
  <c r="N43" i="14"/>
  <c r="N51" i="14"/>
  <c r="N59" i="14"/>
  <c r="N67" i="14"/>
  <c r="N75" i="14"/>
  <c r="N83" i="14"/>
  <c r="N91" i="14"/>
  <c r="N99" i="14"/>
  <c r="N107" i="14"/>
  <c r="N115" i="14"/>
  <c r="N123" i="14"/>
  <c r="N131" i="14"/>
  <c r="N139" i="14"/>
  <c r="N147" i="14"/>
  <c r="N155" i="14"/>
  <c r="N163" i="14"/>
  <c r="N171" i="14"/>
  <c r="N179" i="14"/>
  <c r="N187" i="14"/>
  <c r="N195" i="14"/>
  <c r="N203" i="14"/>
  <c r="N211" i="14"/>
  <c r="N219" i="14"/>
  <c r="N227" i="14"/>
  <c r="N235" i="14"/>
  <c r="N243" i="14"/>
  <c r="N251" i="14"/>
  <c r="N259" i="14"/>
  <c r="N267" i="14"/>
  <c r="N275" i="14"/>
  <c r="N291" i="14"/>
  <c r="N299" i="14"/>
  <c r="N307" i="14"/>
  <c r="N315" i="14"/>
  <c r="N323" i="14"/>
  <c r="N331" i="14"/>
  <c r="N339" i="14"/>
  <c r="N12" i="14"/>
  <c r="N20" i="14"/>
  <c r="N28" i="14"/>
  <c r="N36" i="14"/>
  <c r="N44" i="14"/>
  <c r="N52" i="14"/>
  <c r="N60" i="14"/>
  <c r="N68" i="14"/>
  <c r="N76" i="14"/>
  <c r="N84" i="14"/>
  <c r="N92" i="14"/>
  <c r="N100" i="14"/>
  <c r="N108" i="14"/>
  <c r="N116" i="14"/>
  <c r="N124" i="14"/>
  <c r="N132" i="14"/>
  <c r="N140" i="14"/>
  <c r="N148" i="14"/>
  <c r="N156" i="14"/>
  <c r="N164" i="14"/>
  <c r="N172" i="14"/>
  <c r="N180" i="14"/>
  <c r="N188" i="14"/>
  <c r="N196" i="14"/>
  <c r="N204" i="14"/>
  <c r="N212" i="14"/>
  <c r="N220" i="14"/>
  <c r="N228" i="14"/>
  <c r="N236" i="14"/>
  <c r="N244" i="14"/>
  <c r="N252" i="14"/>
  <c r="N260" i="14"/>
  <c r="N268" i="14"/>
  <c r="N276" i="14"/>
  <c r="N292" i="14"/>
  <c r="N300" i="14"/>
  <c r="N308" i="14"/>
  <c r="N316" i="14"/>
  <c r="N324" i="14"/>
  <c r="N332" i="14"/>
  <c r="N340" i="14"/>
  <c r="N13" i="14"/>
  <c r="N21" i="14"/>
  <c r="N29" i="14"/>
  <c r="N37" i="14"/>
  <c r="N45" i="14"/>
  <c r="N53" i="14"/>
  <c r="N61" i="14"/>
  <c r="N69" i="14"/>
  <c r="N77" i="14"/>
  <c r="N85" i="14"/>
  <c r="N93" i="14"/>
  <c r="N101" i="14"/>
  <c r="N109" i="14"/>
  <c r="N117" i="14"/>
  <c r="N125" i="14"/>
  <c r="N133" i="14"/>
  <c r="N141" i="14"/>
  <c r="N149" i="14"/>
  <c r="N157" i="14"/>
  <c r="N165" i="14"/>
  <c r="N173" i="14"/>
  <c r="N181" i="14"/>
  <c r="N189" i="14"/>
  <c r="N197" i="14"/>
  <c r="N205" i="14"/>
  <c r="N213" i="14"/>
  <c r="N221" i="14"/>
  <c r="N229" i="14"/>
  <c r="N237" i="14"/>
  <c r="N245" i="14"/>
  <c r="N253" i="14"/>
  <c r="N261" i="14"/>
  <c r="N269" i="14"/>
  <c r="N277" i="14"/>
  <c r="N293" i="14"/>
  <c r="N301" i="14"/>
  <c r="N309" i="14"/>
  <c r="N317" i="14"/>
  <c r="N325" i="14"/>
  <c r="N14" i="14"/>
  <c r="N22" i="14"/>
  <c r="N30" i="14"/>
  <c r="N38" i="14"/>
  <c r="N46" i="14"/>
  <c r="N54" i="14"/>
  <c r="N62" i="14"/>
  <c r="N70" i="14"/>
  <c r="N78" i="14"/>
  <c r="N86" i="14"/>
  <c r="N94" i="14"/>
  <c r="N102" i="14"/>
  <c r="N110" i="14"/>
  <c r="N118" i="14"/>
  <c r="N126" i="14"/>
  <c r="N134" i="14"/>
  <c r="N142" i="14"/>
  <c r="N150" i="14"/>
  <c r="N158" i="14"/>
  <c r="N166" i="14"/>
  <c r="N174" i="14"/>
  <c r="N182" i="14"/>
  <c r="N190" i="14"/>
  <c r="N198" i="14"/>
  <c r="N206" i="14"/>
  <c r="N214" i="14"/>
  <c r="N222" i="14"/>
  <c r="N230" i="14"/>
  <c r="N238" i="14"/>
  <c r="N246" i="14"/>
  <c r="N254" i="14"/>
  <c r="N262" i="14"/>
  <c r="N270" i="14"/>
  <c r="N278" i="14"/>
  <c r="N294" i="14"/>
  <c r="N302" i="14"/>
  <c r="N310" i="14"/>
  <c r="N318" i="14"/>
  <c r="N326" i="14"/>
  <c r="N334" i="14"/>
  <c r="N342" i="14"/>
  <c r="N15" i="14"/>
  <c r="N23" i="14"/>
  <c r="N31" i="14"/>
  <c r="N39" i="14"/>
  <c r="N47" i="14"/>
  <c r="N55" i="14"/>
  <c r="N63" i="14"/>
  <c r="N71" i="14"/>
  <c r="N79" i="14"/>
  <c r="N87" i="14"/>
  <c r="N95" i="14"/>
  <c r="N103" i="14"/>
  <c r="N111" i="14"/>
  <c r="N119" i="14"/>
  <c r="N127" i="14"/>
  <c r="N135" i="14"/>
  <c r="N143" i="14"/>
  <c r="N151" i="14"/>
  <c r="N159" i="14"/>
  <c r="N167" i="14"/>
  <c r="N175" i="14"/>
  <c r="N183" i="14"/>
  <c r="N191" i="14"/>
  <c r="N199" i="14"/>
  <c r="N207" i="14"/>
  <c r="N215" i="14"/>
  <c r="N223" i="14"/>
  <c r="N231" i="14"/>
  <c r="N239" i="14"/>
  <c r="N247" i="14"/>
  <c r="N255" i="14"/>
  <c r="N263" i="14"/>
  <c r="N271" i="14"/>
  <c r="N279" i="14"/>
  <c r="N287" i="14"/>
  <c r="N295" i="14"/>
  <c r="N303" i="14"/>
  <c r="N311" i="14"/>
  <c r="N319" i="14"/>
  <c r="N327" i="14"/>
  <c r="N335" i="14"/>
  <c r="N333" i="14"/>
  <c r="N341" i="14"/>
  <c r="H5839" i="14"/>
  <c r="W5839" i="14" s="1"/>
  <c r="H5830" i="14"/>
  <c r="W5830" i="14" s="1"/>
  <c r="G5830" i="14"/>
  <c r="G5827" i="14" s="1"/>
  <c r="G5839" i="14"/>
  <c r="W5842" i="14"/>
  <c r="V5842" i="14"/>
  <c r="P5842" i="14"/>
  <c r="O5842" i="14"/>
  <c r="R5842" i="14" s="1"/>
  <c r="W5841" i="14"/>
  <c r="P5841" i="14"/>
  <c r="O5841" i="14"/>
  <c r="R5841" i="14" s="1"/>
  <c r="W5840" i="14"/>
  <c r="V5840" i="14"/>
  <c r="P5840" i="14"/>
  <c r="O5840" i="14"/>
  <c r="R5840" i="14" s="1"/>
  <c r="P5839" i="14"/>
  <c r="O5839" i="14"/>
  <c r="W5838" i="14"/>
  <c r="P5838" i="14"/>
  <c r="O5838" i="14"/>
  <c r="W5837" i="14"/>
  <c r="V5837" i="14"/>
  <c r="P5837" i="14"/>
  <c r="O5837" i="14"/>
  <c r="R5837" i="14" s="1"/>
  <c r="W5836" i="14"/>
  <c r="V5836" i="14"/>
  <c r="P5836" i="14"/>
  <c r="O5836" i="14"/>
  <c r="W5835" i="14"/>
  <c r="P5835" i="14"/>
  <c r="O5835" i="14"/>
  <c r="R5835" i="14" s="1"/>
  <c r="W5834" i="14"/>
  <c r="P5834" i="14"/>
  <c r="O5834" i="14"/>
  <c r="W5833" i="14"/>
  <c r="V5833" i="14"/>
  <c r="P5833" i="14"/>
  <c r="O5833" i="14"/>
  <c r="R5833" i="14" s="1"/>
  <c r="W5832" i="14"/>
  <c r="P5832" i="14"/>
  <c r="O5832" i="14"/>
  <c r="W5831" i="14"/>
  <c r="P5831" i="14"/>
  <c r="O5831" i="14"/>
  <c r="P5830" i="14"/>
  <c r="O5830" i="14"/>
  <c r="W5829" i="14"/>
  <c r="V5829" i="14"/>
  <c r="P5829" i="14"/>
  <c r="O5829" i="14"/>
  <c r="W5828" i="14"/>
  <c r="V5828" i="14"/>
  <c r="P5828" i="14"/>
  <c r="O5828" i="14"/>
  <c r="P5827" i="14"/>
  <c r="O5827" i="14"/>
  <c r="L4965" i="14"/>
  <c r="I3862" i="14"/>
  <c r="R5831" i="14" l="1"/>
  <c r="R5836" i="14"/>
  <c r="R5838" i="14"/>
  <c r="R5829" i="14"/>
  <c r="R5834" i="14"/>
  <c r="R5832" i="14"/>
  <c r="R5827" i="14"/>
  <c r="R5839" i="14"/>
  <c r="R5828" i="14"/>
  <c r="R5830" i="14"/>
  <c r="H5827" i="14"/>
  <c r="V5827" i="14" s="1"/>
  <c r="N5761" i="14"/>
  <c r="N5800" i="14"/>
  <c r="N5823" i="14"/>
  <c r="N5796" i="14"/>
  <c r="N5798" i="14"/>
  <c r="N5821" i="14"/>
  <c r="N5813" i="14"/>
  <c r="N5747" i="14"/>
  <c r="N5753" i="14"/>
  <c r="N5808" i="14"/>
  <c r="N5816" i="14"/>
  <c r="N5803" i="14"/>
  <c r="N5825" i="14"/>
  <c r="N5756" i="14"/>
  <c r="N5811" i="14"/>
  <c r="N5806" i="14"/>
  <c r="N5750" i="14"/>
  <c r="N5818" i="14"/>
  <c r="N5817" i="14"/>
  <c r="N5760" i="14"/>
  <c r="N5819" i="14"/>
  <c r="N5820" i="14"/>
  <c r="N5795" i="14"/>
  <c r="N5814" i="14"/>
  <c r="N5759" i="14"/>
  <c r="N5822" i="14"/>
  <c r="N5757" i="14"/>
  <c r="N5802" i="14"/>
  <c r="N5809" i="14"/>
  <c r="N5752" i="14"/>
  <c r="N5807" i="14"/>
  <c r="N5751" i="14"/>
  <c r="N5797" i="14"/>
  <c r="N5748" i="14"/>
  <c r="N5812" i="14"/>
  <c r="N5801" i="14"/>
  <c r="N5826" i="14"/>
  <c r="N5749" i="14"/>
  <c r="N5799" i="14"/>
  <c r="N5815" i="14"/>
  <c r="N5824" i="14"/>
  <c r="N5762" i="14"/>
  <c r="N5810" i="14"/>
  <c r="N5755" i="14"/>
  <c r="N5805" i="14"/>
  <c r="N5804" i="14"/>
  <c r="N5758" i="14"/>
  <c r="N5754" i="14"/>
  <c r="W5827" i="14"/>
  <c r="I4660" i="14"/>
  <c r="L5071" i="14"/>
  <c r="L5062" i="14"/>
  <c r="I5071" i="14"/>
  <c r="I5062" i="14"/>
  <c r="P5826" i="14" l="1"/>
  <c r="O5826" i="14"/>
  <c r="P5825" i="14"/>
  <c r="O5825" i="14"/>
  <c r="R5825" i="14" s="1"/>
  <c r="P5824" i="14"/>
  <c r="O5824" i="14"/>
  <c r="R5824" i="14" s="1"/>
  <c r="P5823" i="14"/>
  <c r="O5823" i="14"/>
  <c r="H5823" i="14"/>
  <c r="G5823" i="14"/>
  <c r="P5822" i="14"/>
  <c r="O5822" i="14"/>
  <c r="R5822" i="14" s="1"/>
  <c r="P5821" i="14"/>
  <c r="O5821" i="14"/>
  <c r="R5821" i="14" s="1"/>
  <c r="P5820" i="14"/>
  <c r="O5820" i="14"/>
  <c r="P5819" i="14"/>
  <c r="O5819" i="14"/>
  <c r="P5818" i="14"/>
  <c r="O5818" i="14"/>
  <c r="R5818" i="14" s="1"/>
  <c r="P5817" i="14"/>
  <c r="O5817" i="14"/>
  <c r="R5817" i="14" s="1"/>
  <c r="P5816" i="14"/>
  <c r="O5816" i="14"/>
  <c r="P5815" i="14"/>
  <c r="O5815" i="14"/>
  <c r="P5814" i="14"/>
  <c r="O5814" i="14"/>
  <c r="R5814" i="14" s="1"/>
  <c r="H5814" i="14"/>
  <c r="G5814" i="14"/>
  <c r="P5813" i="14"/>
  <c r="O5813" i="14"/>
  <c r="P5812" i="14"/>
  <c r="O5812" i="14"/>
  <c r="P5811" i="14"/>
  <c r="O5811" i="14"/>
  <c r="R5811" i="14" s="1"/>
  <c r="H5811" i="14"/>
  <c r="G5811" i="14"/>
  <c r="W5810" i="14"/>
  <c r="V5810" i="14"/>
  <c r="U5810" i="14"/>
  <c r="P5810" i="14"/>
  <c r="O5810" i="14"/>
  <c r="R5810" i="14" s="1"/>
  <c r="W5809" i="14"/>
  <c r="P5809" i="14"/>
  <c r="O5809" i="14"/>
  <c r="R5809" i="14" s="1"/>
  <c r="W5808" i="14"/>
  <c r="P5808" i="14"/>
  <c r="O5808" i="14"/>
  <c r="R5808" i="14" s="1"/>
  <c r="W5807" i="14"/>
  <c r="P5807" i="14"/>
  <c r="O5807" i="14"/>
  <c r="R5807" i="14" s="1"/>
  <c r="W5806" i="14"/>
  <c r="P5806" i="14"/>
  <c r="O5806" i="14"/>
  <c r="R5806" i="14" s="1"/>
  <c r="M5806" i="14"/>
  <c r="W5805" i="14"/>
  <c r="V5805" i="14"/>
  <c r="U5805" i="14"/>
  <c r="P5805" i="14"/>
  <c r="O5805" i="14"/>
  <c r="W5804" i="14"/>
  <c r="P5804" i="14"/>
  <c r="O5804" i="14"/>
  <c r="W5803" i="14"/>
  <c r="P5803" i="14"/>
  <c r="O5803" i="14"/>
  <c r="R5803" i="14" s="1"/>
  <c r="M5803" i="14"/>
  <c r="W5802" i="14"/>
  <c r="P5802" i="14"/>
  <c r="O5802" i="14"/>
  <c r="R5802" i="14" s="1"/>
  <c r="W5801" i="14"/>
  <c r="V5801" i="14"/>
  <c r="U5801" i="14"/>
  <c r="P5801" i="14"/>
  <c r="O5801" i="14"/>
  <c r="R5801" i="14" s="1"/>
  <c r="W5800" i="14"/>
  <c r="P5800" i="14"/>
  <c r="O5800" i="14"/>
  <c r="R5800" i="14" s="1"/>
  <c r="W5799" i="14"/>
  <c r="P5799" i="14"/>
  <c r="O5799" i="14"/>
  <c r="W5798" i="14"/>
  <c r="P5798" i="14"/>
  <c r="O5798" i="14"/>
  <c r="W5797" i="14"/>
  <c r="P5797" i="14"/>
  <c r="O5797" i="14"/>
  <c r="W5796" i="14"/>
  <c r="P5796" i="14"/>
  <c r="O5796" i="14"/>
  <c r="R5796" i="14" s="1"/>
  <c r="W5795" i="14"/>
  <c r="P5795" i="14"/>
  <c r="O5795" i="14"/>
  <c r="R5795" i="14" s="1"/>
  <c r="P5794" i="14"/>
  <c r="O5794" i="14"/>
  <c r="P5793" i="14"/>
  <c r="O5793" i="14"/>
  <c r="P5792" i="14"/>
  <c r="O5792" i="14"/>
  <c r="R5792" i="14" s="1"/>
  <c r="P5791" i="14"/>
  <c r="O5791" i="14"/>
  <c r="R5791" i="14" s="1"/>
  <c r="H5791" i="14"/>
  <c r="P5790" i="14"/>
  <c r="O5790" i="14"/>
  <c r="R5790" i="14" s="1"/>
  <c r="P5789" i="14"/>
  <c r="O5789" i="14"/>
  <c r="R5789" i="14" s="1"/>
  <c r="P5788" i="14"/>
  <c r="O5788" i="14"/>
  <c r="P5787" i="14"/>
  <c r="O5787" i="14"/>
  <c r="R5787" i="14" s="1"/>
  <c r="P5786" i="14"/>
  <c r="O5786" i="14"/>
  <c r="R5786" i="14" s="1"/>
  <c r="P5785" i="14"/>
  <c r="O5785" i="14"/>
  <c r="R5785" i="14" s="1"/>
  <c r="P5784" i="14"/>
  <c r="O5784" i="14"/>
  <c r="P5783" i="14"/>
  <c r="O5783" i="14"/>
  <c r="R5783" i="14" s="1"/>
  <c r="P5782" i="14"/>
  <c r="O5782" i="14"/>
  <c r="R5782" i="14" s="1"/>
  <c r="H5782" i="14"/>
  <c r="P5781" i="14"/>
  <c r="O5781" i="14"/>
  <c r="R5781" i="14" s="1"/>
  <c r="P5780" i="14"/>
  <c r="O5780" i="14"/>
  <c r="R5780" i="14" s="1"/>
  <c r="P5779" i="14"/>
  <c r="O5779" i="14"/>
  <c r="H5779" i="14"/>
  <c r="P5746" i="14"/>
  <c r="O5746" i="14"/>
  <c r="R5746" i="14" s="1"/>
  <c r="P5745" i="14"/>
  <c r="O5745" i="14"/>
  <c r="R5745" i="14" s="1"/>
  <c r="P5744" i="14"/>
  <c r="O5744" i="14"/>
  <c r="P5743" i="14"/>
  <c r="O5743" i="14"/>
  <c r="L5743" i="14"/>
  <c r="H5743" i="14"/>
  <c r="P5742" i="14"/>
  <c r="O5742" i="14"/>
  <c r="R5742" i="14" s="1"/>
  <c r="P5741" i="14"/>
  <c r="O5741" i="14"/>
  <c r="P5740" i="14"/>
  <c r="O5740" i="14"/>
  <c r="P5739" i="14"/>
  <c r="O5739" i="14"/>
  <c r="R5739" i="14" s="1"/>
  <c r="P5738" i="14"/>
  <c r="O5738" i="14"/>
  <c r="R5738" i="14" s="1"/>
  <c r="P5737" i="14"/>
  <c r="O5737" i="14"/>
  <c r="P5736" i="14"/>
  <c r="O5736" i="14"/>
  <c r="P5735" i="14"/>
  <c r="O5735" i="14"/>
  <c r="R5735" i="14" s="1"/>
  <c r="P5734" i="14"/>
  <c r="O5734" i="14"/>
  <c r="R5734" i="14" s="1"/>
  <c r="L5734" i="14"/>
  <c r="H5734" i="14"/>
  <c r="P5733" i="14"/>
  <c r="O5733" i="14"/>
  <c r="P5732" i="14"/>
  <c r="O5732" i="14"/>
  <c r="R5732" i="14" s="1"/>
  <c r="P5731" i="14"/>
  <c r="O5731" i="14"/>
  <c r="R5731" i="14" s="1"/>
  <c r="L5731" i="14"/>
  <c r="H5731" i="14"/>
  <c r="R5779" i="14" l="1"/>
  <c r="R5794" i="14"/>
  <c r="R5797" i="14"/>
  <c r="R5804" i="14"/>
  <c r="R5813" i="14"/>
  <c r="R5816" i="14"/>
  <c r="R5820" i="14"/>
  <c r="R5823" i="14"/>
  <c r="R5733" i="14"/>
  <c r="R5736" i="14"/>
  <c r="R5740" i="14"/>
  <c r="R5743" i="14"/>
  <c r="R5741" i="14"/>
  <c r="R5784" i="14"/>
  <c r="R5788" i="14"/>
  <c r="R5798" i="14"/>
  <c r="R5805" i="14"/>
  <c r="R5737" i="14"/>
  <c r="R5744" i="14"/>
  <c r="R5793" i="14"/>
  <c r="R5799" i="14"/>
  <c r="R5812" i="14"/>
  <c r="R5815" i="14"/>
  <c r="R5819" i="14"/>
  <c r="R5826" i="14"/>
  <c r="P5586" i="14"/>
  <c r="O5586" i="14"/>
  <c r="P5585" i="14"/>
  <c r="O5585" i="14"/>
  <c r="P5584" i="14"/>
  <c r="O5584" i="14"/>
  <c r="P5583" i="14"/>
  <c r="O5583" i="14"/>
  <c r="R5583" i="14" s="1"/>
  <c r="H5583" i="14"/>
  <c r="P5582" i="14"/>
  <c r="O5582" i="14"/>
  <c r="P5581" i="14"/>
  <c r="O5581" i="14"/>
  <c r="R5581" i="14" s="1"/>
  <c r="P5580" i="14"/>
  <c r="O5580" i="14"/>
  <c r="R5580" i="14" s="1"/>
  <c r="P5579" i="14"/>
  <c r="O5579" i="14"/>
  <c r="R5579" i="14" s="1"/>
  <c r="P5578" i="14"/>
  <c r="O5578" i="14"/>
  <c r="P5577" i="14"/>
  <c r="O5577" i="14"/>
  <c r="R5577" i="14" s="1"/>
  <c r="P5576" i="14"/>
  <c r="O5576" i="14"/>
  <c r="R5576" i="14" s="1"/>
  <c r="P5575" i="14"/>
  <c r="O5575" i="14"/>
  <c r="R5575" i="14" s="1"/>
  <c r="P5574" i="14"/>
  <c r="O5574" i="14"/>
  <c r="H5574" i="14"/>
  <c r="P5573" i="14"/>
  <c r="O5573" i="14"/>
  <c r="P5572" i="14"/>
  <c r="O5572" i="14"/>
  <c r="R5572" i="14" s="1"/>
  <c r="P5571" i="14"/>
  <c r="O5571" i="14"/>
  <c r="H5571" i="14"/>
  <c r="R5571" i="14" l="1"/>
  <c r="R5586" i="14"/>
  <c r="R5573" i="14"/>
  <c r="R5584" i="14"/>
  <c r="R5574" i="14"/>
  <c r="R5578" i="14"/>
  <c r="R5582" i="14"/>
  <c r="R5585" i="14"/>
  <c r="N5778" i="14" l="1"/>
  <c r="N5763" i="14"/>
  <c r="N5771" i="14"/>
  <c r="N5767" i="14"/>
  <c r="N5776" i="14"/>
  <c r="N5772" i="14"/>
  <c r="N5775" i="14"/>
  <c r="N5777" i="14"/>
  <c r="N5768" i="14"/>
  <c r="N5764" i="14"/>
  <c r="N5773" i="14"/>
  <c r="N5769" i="14"/>
  <c r="N5774" i="14"/>
  <c r="N5765" i="14"/>
  <c r="N5766" i="14"/>
  <c r="N5770" i="14"/>
  <c r="N7" i="14"/>
  <c r="N5580" i="14"/>
  <c r="N5572" i="14"/>
  <c r="N5586" i="14"/>
  <c r="N5573" i="14"/>
  <c r="N5581" i="14"/>
  <c r="N5582" i="14"/>
  <c r="N5577" i="14"/>
  <c r="N5585" i="14"/>
  <c r="N5571" i="14"/>
  <c r="N5578" i="14"/>
  <c r="N5584" i="14"/>
  <c r="N5579" i="14"/>
  <c r="N5574" i="14"/>
  <c r="N5583" i="14"/>
  <c r="N5575" i="14"/>
  <c r="N5576" i="14"/>
  <c r="N5742" i="14" l="1"/>
  <c r="N5736" i="14"/>
  <c r="N5734" i="14"/>
  <c r="N5744" i="14"/>
  <c r="N5740" i="14"/>
  <c r="N5743" i="14"/>
  <c r="N5739" i="14"/>
  <c r="N5731" i="14"/>
  <c r="N5737" i="14"/>
  <c r="N5745" i="14"/>
  <c r="N5738" i="14"/>
  <c r="N5733" i="14"/>
  <c r="N5735" i="14"/>
  <c r="N5732" i="14"/>
  <c r="N5746" i="14"/>
  <c r="N5741" i="14"/>
  <c r="G5759" i="14"/>
  <c r="G5750" i="14"/>
  <c r="P5762" i="14" l="1"/>
  <c r="O5762" i="14"/>
  <c r="P5761" i="14"/>
  <c r="O5761" i="14"/>
  <c r="P5760" i="14"/>
  <c r="O5760" i="14"/>
  <c r="P5759" i="14"/>
  <c r="O5759" i="14"/>
  <c r="H5759" i="14"/>
  <c r="P5758" i="14"/>
  <c r="O5758" i="14"/>
  <c r="R5758" i="14" s="1"/>
  <c r="P5757" i="14"/>
  <c r="O5757" i="14"/>
  <c r="R5757" i="14" s="1"/>
  <c r="P5756" i="14"/>
  <c r="O5756" i="14"/>
  <c r="R5756" i="14" s="1"/>
  <c r="P5755" i="14"/>
  <c r="O5755" i="14"/>
  <c r="R5755" i="14" s="1"/>
  <c r="P5754" i="14"/>
  <c r="O5754" i="14"/>
  <c r="R5754" i="14" s="1"/>
  <c r="P5753" i="14"/>
  <c r="O5753" i="14"/>
  <c r="R5753" i="14" s="1"/>
  <c r="P5752" i="14"/>
  <c r="O5752" i="14"/>
  <c r="P5751" i="14"/>
  <c r="O5751" i="14"/>
  <c r="R5751" i="14" s="1"/>
  <c r="P5750" i="14"/>
  <c r="O5750" i="14"/>
  <c r="R5750" i="14" s="1"/>
  <c r="H5750" i="14"/>
  <c r="P5749" i="14"/>
  <c r="O5749" i="14"/>
  <c r="P5748" i="14"/>
  <c r="O5748" i="14"/>
  <c r="P5747" i="14"/>
  <c r="O5747" i="14"/>
  <c r="H5747" i="14"/>
  <c r="G5747" i="14"/>
  <c r="R5749" i="14" l="1"/>
  <c r="R5748" i="14"/>
  <c r="R5759" i="14"/>
  <c r="R5747" i="14"/>
  <c r="R5762" i="14"/>
  <c r="R5752" i="14"/>
  <c r="R5760" i="14"/>
  <c r="R5761" i="14"/>
  <c r="N5647" i="14" l="1"/>
  <c r="N5638" i="14"/>
  <c r="N5649" i="14"/>
  <c r="N5640" i="14"/>
  <c r="N5645" i="14"/>
  <c r="N5636" i="14"/>
  <c r="N5644" i="14"/>
  <c r="N5635" i="14"/>
  <c r="N5646" i="14"/>
  <c r="N5637" i="14"/>
  <c r="N5642" i="14"/>
  <c r="N5650" i="14"/>
  <c r="N5641" i="14"/>
  <c r="N5643" i="14"/>
  <c r="N5648" i="14"/>
  <c r="N5639" i="14"/>
  <c r="N5720" i="14"/>
  <c r="N5724" i="14"/>
  <c r="N5715" i="14"/>
  <c r="N5728" i="14"/>
  <c r="N5723" i="14"/>
  <c r="N5721" i="14"/>
  <c r="N5725" i="14"/>
  <c r="N5717" i="14"/>
  <c r="N5729" i="14"/>
  <c r="N5722" i="14"/>
  <c r="N5730" i="14"/>
  <c r="N5719" i="14"/>
  <c r="N5716" i="14"/>
  <c r="N5718" i="14"/>
  <c r="N5727" i="14"/>
  <c r="N5726" i="14"/>
  <c r="W5730" i="14"/>
  <c r="V5730" i="14"/>
  <c r="U5730" i="14"/>
  <c r="P5730" i="14"/>
  <c r="O5730" i="14"/>
  <c r="W5729" i="14"/>
  <c r="P5729" i="14"/>
  <c r="O5729" i="14"/>
  <c r="R5729" i="14" s="1"/>
  <c r="W5728" i="14"/>
  <c r="P5728" i="14"/>
  <c r="O5728" i="14"/>
  <c r="R5728" i="14" s="1"/>
  <c r="W5727" i="14"/>
  <c r="V5727" i="14"/>
  <c r="U5727" i="14"/>
  <c r="P5727" i="14"/>
  <c r="O5727" i="14"/>
  <c r="R5727" i="14" s="1"/>
  <c r="W5726" i="14"/>
  <c r="P5726" i="14"/>
  <c r="O5726" i="14"/>
  <c r="R5726" i="14" s="1"/>
  <c r="W5725" i="14"/>
  <c r="V5725" i="14"/>
  <c r="U5725" i="14"/>
  <c r="P5725" i="14"/>
  <c r="O5725" i="14"/>
  <c r="R5725" i="14" s="1"/>
  <c r="W5724" i="14"/>
  <c r="P5724" i="14"/>
  <c r="O5724" i="14"/>
  <c r="R5724" i="14" s="1"/>
  <c r="W5723" i="14"/>
  <c r="P5723" i="14"/>
  <c r="O5723" i="14"/>
  <c r="R5723" i="14" s="1"/>
  <c r="W5722" i="14"/>
  <c r="P5722" i="14"/>
  <c r="O5722" i="14"/>
  <c r="W5721" i="14"/>
  <c r="V5721" i="14"/>
  <c r="U5721" i="14"/>
  <c r="P5721" i="14"/>
  <c r="O5721" i="14"/>
  <c r="R5721" i="14" s="1"/>
  <c r="W5720" i="14"/>
  <c r="P5720" i="14"/>
  <c r="O5720" i="14"/>
  <c r="W5719" i="14"/>
  <c r="P5719" i="14"/>
  <c r="O5719" i="14"/>
  <c r="W5718" i="14"/>
  <c r="P5718" i="14"/>
  <c r="O5718" i="14"/>
  <c r="R5718" i="14" s="1"/>
  <c r="W5717" i="14"/>
  <c r="P5717" i="14"/>
  <c r="O5717" i="14"/>
  <c r="W5716" i="14"/>
  <c r="P5716" i="14"/>
  <c r="O5716" i="14"/>
  <c r="W5715" i="14"/>
  <c r="P5715" i="14"/>
  <c r="O5715" i="14"/>
  <c r="R5715" i="14" s="1"/>
  <c r="I5280" i="14"/>
  <c r="I5279" i="14" s="1"/>
  <c r="I5275" i="14"/>
  <c r="I5274" i="14"/>
  <c r="I5272" i="14"/>
  <c r="I5269" i="14"/>
  <c r="I5267" i="14" s="1"/>
  <c r="R5716" i="14" l="1"/>
  <c r="R5730" i="14"/>
  <c r="R5719" i="14"/>
  <c r="R5717" i="14"/>
  <c r="R5720" i="14"/>
  <c r="R5722" i="14"/>
  <c r="N5661" i="14"/>
  <c r="N5652" i="14"/>
  <c r="N5663" i="14"/>
  <c r="N5654" i="14"/>
  <c r="N5659" i="14"/>
  <c r="N5658" i="14"/>
  <c r="N5660" i="14"/>
  <c r="N5651" i="14"/>
  <c r="N5665" i="14"/>
  <c r="N5656" i="14"/>
  <c r="N5664" i="14"/>
  <c r="N5655" i="14"/>
  <c r="N5666" i="14"/>
  <c r="N5657" i="14"/>
  <c r="N5662" i="14"/>
  <c r="N5653" i="14"/>
  <c r="N5681" i="14"/>
  <c r="N5674" i="14"/>
  <c r="N5669" i="14"/>
  <c r="N5675" i="14"/>
  <c r="N5682" i="14"/>
  <c r="N5677" i="14"/>
  <c r="N5678" i="14"/>
  <c r="N5671" i="14"/>
  <c r="N5672" i="14"/>
  <c r="N5680" i="14"/>
  <c r="N5668" i="14"/>
  <c r="N5667" i="14"/>
  <c r="N5676" i="14"/>
  <c r="N5670" i="14"/>
  <c r="N5673" i="14"/>
  <c r="N5679" i="14"/>
  <c r="N5624" i="14"/>
  <c r="N5629" i="14"/>
  <c r="N5630" i="14"/>
  <c r="N5619" i="14"/>
  <c r="N5632" i="14"/>
  <c r="N5620" i="14"/>
  <c r="N5623" i="14"/>
  <c r="N5628" i="14"/>
  <c r="N5625" i="14"/>
  <c r="N5622" i="14"/>
  <c r="N5633" i="14"/>
  <c r="N5626" i="14"/>
  <c r="N5627" i="14"/>
  <c r="N5631" i="14"/>
  <c r="N5634" i="14"/>
  <c r="N5621" i="14"/>
  <c r="I5270" i="14"/>
  <c r="I4944" i="14"/>
  <c r="I4943" i="14" s="1"/>
  <c r="I4942" i="14"/>
  <c r="I4939" i="14"/>
  <c r="I4935" i="14"/>
  <c r="I4933" i="14"/>
  <c r="I4932" i="14"/>
  <c r="L3222" i="14"/>
  <c r="W5698" i="14"/>
  <c r="P5698" i="14"/>
  <c r="O5698" i="14"/>
  <c r="R5698" i="14" s="1"/>
  <c r="P5697" i="14"/>
  <c r="O5697" i="14"/>
  <c r="P5696" i="14"/>
  <c r="O5696" i="14"/>
  <c r="W5696" i="14"/>
  <c r="P5695" i="14"/>
  <c r="O5695" i="14"/>
  <c r="R5695" i="14" s="1"/>
  <c r="P5694" i="14"/>
  <c r="O5694" i="14"/>
  <c r="W5694" i="14"/>
  <c r="W5693" i="14"/>
  <c r="V5693" i="14"/>
  <c r="U5693" i="14"/>
  <c r="P5693" i="14"/>
  <c r="O5693" i="14"/>
  <c r="R5693" i="14" s="1"/>
  <c r="W5692" i="14"/>
  <c r="P5692" i="14"/>
  <c r="O5692" i="14"/>
  <c r="P5691" i="14"/>
  <c r="O5691" i="14"/>
  <c r="W5691" i="14"/>
  <c r="W5690" i="14"/>
  <c r="P5690" i="14"/>
  <c r="O5690" i="14"/>
  <c r="R5690" i="14" s="1"/>
  <c r="W5689" i="14"/>
  <c r="V5689" i="14"/>
  <c r="U5689" i="14"/>
  <c r="P5689" i="14"/>
  <c r="O5689" i="14"/>
  <c r="R5689" i="14" s="1"/>
  <c r="P5688" i="14"/>
  <c r="O5688" i="14"/>
  <c r="R5688" i="14" s="1"/>
  <c r="W5688" i="14"/>
  <c r="W5687" i="14"/>
  <c r="V5687" i="14"/>
  <c r="U5687" i="14"/>
  <c r="P5687" i="14"/>
  <c r="O5687" i="14"/>
  <c r="R5687" i="14" s="1"/>
  <c r="P5686" i="14"/>
  <c r="O5686" i="14"/>
  <c r="R5686" i="14" s="1"/>
  <c r="W5685" i="14"/>
  <c r="P5685" i="14"/>
  <c r="O5685" i="14"/>
  <c r="W5684" i="14"/>
  <c r="P5684" i="14"/>
  <c r="O5684" i="14"/>
  <c r="R5684" i="14" s="1"/>
  <c r="P5683" i="14"/>
  <c r="O5683" i="14"/>
  <c r="R5683" i="14" s="1"/>
  <c r="G5674" i="14"/>
  <c r="P5682" i="14"/>
  <c r="O5682" i="14"/>
  <c r="P5681" i="14"/>
  <c r="O5681" i="14"/>
  <c r="P5680" i="14"/>
  <c r="O5680" i="14"/>
  <c r="R5680" i="14" s="1"/>
  <c r="P5679" i="14"/>
  <c r="O5679" i="14"/>
  <c r="R5679" i="14" s="1"/>
  <c r="H5679" i="14"/>
  <c r="P5678" i="14"/>
  <c r="O5678" i="14"/>
  <c r="P5677" i="14"/>
  <c r="O5677" i="14"/>
  <c r="R5677" i="14" s="1"/>
  <c r="P5676" i="14"/>
  <c r="O5676" i="14"/>
  <c r="R5676" i="14" s="1"/>
  <c r="P5675" i="14"/>
  <c r="O5675" i="14"/>
  <c r="P5674" i="14"/>
  <c r="O5674" i="14"/>
  <c r="P5673" i="14"/>
  <c r="O5673" i="14"/>
  <c r="R5673" i="14" s="1"/>
  <c r="P5672" i="14"/>
  <c r="O5672" i="14"/>
  <c r="R5672" i="14" s="1"/>
  <c r="P5671" i="14"/>
  <c r="O5671" i="14"/>
  <c r="P5670" i="14"/>
  <c r="O5670" i="14"/>
  <c r="H5670" i="14"/>
  <c r="P5669" i="14"/>
  <c r="O5669" i="14"/>
  <c r="R5669" i="14" s="1"/>
  <c r="P5668" i="14"/>
  <c r="O5668" i="14"/>
  <c r="R5668" i="14" s="1"/>
  <c r="P5667" i="14"/>
  <c r="O5667" i="14"/>
  <c r="H5667" i="14"/>
  <c r="I4663" i="14"/>
  <c r="R5670" i="14" l="1"/>
  <c r="R5674" i="14"/>
  <c r="R5678" i="14"/>
  <c r="R5671" i="14"/>
  <c r="R5675" i="14"/>
  <c r="R5694" i="14"/>
  <c r="R5681" i="14"/>
  <c r="R5691" i="14"/>
  <c r="R5696" i="14"/>
  <c r="R5667" i="14"/>
  <c r="R5682" i="14"/>
  <c r="R5685" i="14"/>
  <c r="R5692" i="14"/>
  <c r="R5697" i="14"/>
  <c r="I4931" i="14"/>
  <c r="I4934" i="14"/>
  <c r="U5691" i="14"/>
  <c r="W5695" i="14"/>
  <c r="M5690" i="14"/>
  <c r="W5683" i="14"/>
  <c r="W5686" i="14"/>
  <c r="W5697" i="14"/>
  <c r="V5698" i="14"/>
  <c r="N5489" i="14" l="1"/>
  <c r="N5478" i="14"/>
  <c r="N5475" i="14"/>
  <c r="N5486" i="14"/>
  <c r="N5483" i="14"/>
  <c r="N5476" i="14"/>
  <c r="N5479" i="14"/>
  <c r="N5480" i="14"/>
  <c r="N5482" i="14"/>
  <c r="N5477" i="14"/>
  <c r="N5488" i="14"/>
  <c r="N5487" i="14"/>
  <c r="N5484" i="14"/>
  <c r="N5481" i="14"/>
  <c r="N5490" i="14"/>
  <c r="N5485" i="14"/>
  <c r="N5693" i="14"/>
  <c r="N5689" i="14"/>
  <c r="N5684" i="14"/>
  <c r="N5697" i="14"/>
  <c r="N5690" i="14"/>
  <c r="N5695" i="14"/>
  <c r="N5698" i="14"/>
  <c r="N5692" i="14"/>
  <c r="N5691" i="14"/>
  <c r="N5686" i="14"/>
  <c r="N5688" i="14"/>
  <c r="N5683" i="14"/>
  <c r="N5696" i="14"/>
  <c r="N5687" i="14"/>
  <c r="N5694" i="14"/>
  <c r="N5685" i="14"/>
  <c r="M5694" i="14"/>
  <c r="M5691" i="14"/>
  <c r="U5696" i="14"/>
  <c r="U5697" i="14"/>
  <c r="U5698" i="14"/>
  <c r="H5285" i="14"/>
  <c r="I4666" i="14"/>
  <c r="I4667" i="14"/>
  <c r="I4661" i="14"/>
  <c r="U5695" i="14" l="1"/>
  <c r="P5634" i="14"/>
  <c r="O5634" i="14"/>
  <c r="P5633" i="14"/>
  <c r="O5633" i="14"/>
  <c r="P5632" i="14"/>
  <c r="O5632" i="14"/>
  <c r="P5631" i="14"/>
  <c r="O5631" i="14"/>
  <c r="R5631" i="14" s="1"/>
  <c r="L5631" i="14"/>
  <c r="H5631" i="14"/>
  <c r="P5630" i="14"/>
  <c r="O5630" i="14"/>
  <c r="P5629" i="14"/>
  <c r="O5629" i="14"/>
  <c r="P5628" i="14"/>
  <c r="O5628" i="14"/>
  <c r="P5627" i="14"/>
  <c r="O5627" i="14"/>
  <c r="P5626" i="14"/>
  <c r="O5626" i="14"/>
  <c r="P5625" i="14"/>
  <c r="O5625" i="14"/>
  <c r="P5624" i="14"/>
  <c r="O5624" i="14"/>
  <c r="P5623" i="14"/>
  <c r="O5623" i="14"/>
  <c r="P5622" i="14"/>
  <c r="O5622" i="14"/>
  <c r="L5622" i="14"/>
  <c r="H5622" i="14"/>
  <c r="P5621" i="14"/>
  <c r="O5621" i="14"/>
  <c r="P5620" i="14"/>
  <c r="O5620" i="14"/>
  <c r="P5619" i="14"/>
  <c r="O5619" i="14"/>
  <c r="L5619" i="14"/>
  <c r="H5619" i="14"/>
  <c r="P5490" i="14"/>
  <c r="O5490" i="14"/>
  <c r="P5489" i="14"/>
  <c r="O5489" i="14"/>
  <c r="P5488" i="14"/>
  <c r="O5488" i="14"/>
  <c r="P5487" i="14"/>
  <c r="O5487" i="14"/>
  <c r="L5487" i="14"/>
  <c r="H5487" i="14"/>
  <c r="P5486" i="14"/>
  <c r="O5486" i="14"/>
  <c r="P5485" i="14"/>
  <c r="O5485" i="14"/>
  <c r="P5484" i="14"/>
  <c r="O5484" i="14"/>
  <c r="P5483" i="14"/>
  <c r="O5483" i="14"/>
  <c r="P5482" i="14"/>
  <c r="O5482" i="14"/>
  <c r="P5481" i="14"/>
  <c r="O5481" i="14"/>
  <c r="P5480" i="14"/>
  <c r="O5480" i="14"/>
  <c r="P5479" i="14"/>
  <c r="O5479" i="14"/>
  <c r="P5478" i="14"/>
  <c r="O5478" i="14"/>
  <c r="L5478" i="14"/>
  <c r="H5478" i="14"/>
  <c r="P5477" i="14"/>
  <c r="O5477" i="14"/>
  <c r="P5476" i="14"/>
  <c r="O5476" i="14"/>
  <c r="P5475" i="14"/>
  <c r="O5475" i="14"/>
  <c r="L5475" i="14"/>
  <c r="H5475" i="14"/>
  <c r="H5551" i="14"/>
  <c r="H5542" i="14"/>
  <c r="H5539" i="14"/>
  <c r="P5570" i="14"/>
  <c r="O5570" i="14"/>
  <c r="R5570" i="14" s="1"/>
  <c r="P5569" i="14"/>
  <c r="O5569" i="14"/>
  <c r="R5569" i="14" s="1"/>
  <c r="P5568" i="14"/>
  <c r="O5568" i="14"/>
  <c r="R5568" i="14" s="1"/>
  <c r="P5567" i="14"/>
  <c r="O5567" i="14"/>
  <c r="R5567" i="14" s="1"/>
  <c r="P5566" i="14"/>
  <c r="O5566" i="14"/>
  <c r="R5566" i="14" s="1"/>
  <c r="P5565" i="14"/>
  <c r="O5565" i="14"/>
  <c r="R5565" i="14" s="1"/>
  <c r="P5564" i="14"/>
  <c r="O5564" i="14"/>
  <c r="R5564" i="14" s="1"/>
  <c r="P5563" i="14"/>
  <c r="O5563" i="14"/>
  <c r="R5563" i="14" s="1"/>
  <c r="P5562" i="14"/>
  <c r="O5562" i="14"/>
  <c r="R5562" i="14" s="1"/>
  <c r="P5561" i="14"/>
  <c r="O5561" i="14"/>
  <c r="R5561" i="14" s="1"/>
  <c r="P5560" i="14"/>
  <c r="O5560" i="14"/>
  <c r="R5560" i="14" s="1"/>
  <c r="P5559" i="14"/>
  <c r="O5559" i="14"/>
  <c r="R5559" i="14" s="1"/>
  <c r="P5558" i="14"/>
  <c r="O5558" i="14"/>
  <c r="R5558" i="14" s="1"/>
  <c r="P5557" i="14"/>
  <c r="O5557" i="14"/>
  <c r="R5557" i="14" s="1"/>
  <c r="P5556" i="14"/>
  <c r="O5556" i="14"/>
  <c r="R5556" i="14" s="1"/>
  <c r="P5555" i="14"/>
  <c r="O5555" i="14"/>
  <c r="R5555" i="14" s="1"/>
  <c r="O5554" i="14"/>
  <c r="R5554" i="14" s="1"/>
  <c r="P5554" i="14"/>
  <c r="G4663" i="14"/>
  <c r="G4659" i="14" s="1"/>
  <c r="W5538" i="14"/>
  <c r="P5538" i="14"/>
  <c r="O5538" i="14"/>
  <c r="R5538" i="14" s="1"/>
  <c r="W5537" i="14"/>
  <c r="P5537" i="14"/>
  <c r="O5537" i="14"/>
  <c r="W5536" i="14"/>
  <c r="P5536" i="14"/>
  <c r="O5536" i="14"/>
  <c r="R5536" i="14" s="1"/>
  <c r="P5535" i="14"/>
  <c r="O5535" i="14"/>
  <c r="R5535" i="14" s="1"/>
  <c r="H5535" i="14"/>
  <c r="W5534" i="14"/>
  <c r="P5534" i="14"/>
  <c r="O5534" i="14"/>
  <c r="R5534" i="14" s="1"/>
  <c r="W5533" i="14"/>
  <c r="P5533" i="14"/>
  <c r="O5533" i="14"/>
  <c r="W5532" i="14"/>
  <c r="P5532" i="14"/>
  <c r="O5532" i="14"/>
  <c r="R5532" i="14" s="1"/>
  <c r="W5531" i="14"/>
  <c r="P5531" i="14"/>
  <c r="O5531" i="14"/>
  <c r="W5530" i="14"/>
  <c r="P5530" i="14"/>
  <c r="O5530" i="14"/>
  <c r="R5530" i="14" s="1"/>
  <c r="W5529" i="14"/>
  <c r="P5529" i="14"/>
  <c r="O5529" i="14"/>
  <c r="W5528" i="14"/>
  <c r="P5528" i="14"/>
  <c r="O5528" i="14"/>
  <c r="R5528" i="14" s="1"/>
  <c r="W5527" i="14"/>
  <c r="P5527" i="14"/>
  <c r="O5527" i="14"/>
  <c r="P5526" i="14"/>
  <c r="O5526" i="14"/>
  <c r="H5526" i="14"/>
  <c r="W5526" i="14" s="1"/>
  <c r="W5525" i="14"/>
  <c r="P5525" i="14"/>
  <c r="O5525" i="14"/>
  <c r="W5524" i="14"/>
  <c r="P5524" i="14"/>
  <c r="O5524" i="14"/>
  <c r="R5524" i="14" s="1"/>
  <c r="P5523" i="14"/>
  <c r="O5523" i="14"/>
  <c r="R5523" i="14" s="1"/>
  <c r="H5523" i="14"/>
  <c r="W5523" i="14" s="1"/>
  <c r="W5522" i="14"/>
  <c r="V5522" i="14"/>
  <c r="U5522" i="14"/>
  <c r="P5522" i="14"/>
  <c r="O5522" i="14"/>
  <c r="R5522" i="14" s="1"/>
  <c r="W5521" i="14"/>
  <c r="P5521" i="14"/>
  <c r="O5521" i="14"/>
  <c r="W5520" i="14"/>
  <c r="V5520" i="14"/>
  <c r="U5520" i="14"/>
  <c r="P5520" i="14"/>
  <c r="O5520" i="14"/>
  <c r="R5520" i="14" s="1"/>
  <c r="P5519" i="14"/>
  <c r="O5519" i="14"/>
  <c r="R5519" i="14" s="1"/>
  <c r="H5519" i="14"/>
  <c r="W5518" i="14"/>
  <c r="P5518" i="14"/>
  <c r="O5518" i="14"/>
  <c r="R5518" i="14" s="1"/>
  <c r="W5517" i="14"/>
  <c r="V5517" i="14"/>
  <c r="U5517" i="14"/>
  <c r="P5517" i="14"/>
  <c r="O5517" i="14"/>
  <c r="W5516" i="14"/>
  <c r="P5516" i="14"/>
  <c r="O5516" i="14"/>
  <c r="R5516" i="14" s="1"/>
  <c r="W5515" i="14"/>
  <c r="V5515" i="14"/>
  <c r="U5515" i="14"/>
  <c r="P5515" i="14"/>
  <c r="O5515" i="14"/>
  <c r="W5514" i="14"/>
  <c r="P5514" i="14"/>
  <c r="O5514" i="14"/>
  <c r="R5514" i="14" s="1"/>
  <c r="W5513" i="14"/>
  <c r="V5513" i="14"/>
  <c r="U5513" i="14"/>
  <c r="P5513" i="14"/>
  <c r="O5513" i="14"/>
  <c r="W5512" i="14"/>
  <c r="P5512" i="14"/>
  <c r="O5512" i="14"/>
  <c r="R5512" i="14" s="1"/>
  <c r="W5511" i="14"/>
  <c r="V5511" i="14"/>
  <c r="U5511" i="14"/>
  <c r="P5511" i="14"/>
  <c r="O5511" i="14"/>
  <c r="P5510" i="14"/>
  <c r="O5510" i="14"/>
  <c r="H5510" i="14"/>
  <c r="W5510" i="14" s="1"/>
  <c r="W5509" i="14"/>
  <c r="P5509" i="14"/>
  <c r="O5509" i="14"/>
  <c r="W5508" i="14"/>
  <c r="P5508" i="14"/>
  <c r="O5508" i="14"/>
  <c r="R5508" i="14" s="1"/>
  <c r="P5507" i="14"/>
  <c r="O5507" i="14"/>
  <c r="R5507" i="14" s="1"/>
  <c r="H5507" i="14"/>
  <c r="H5462" i="14"/>
  <c r="P5474" i="14"/>
  <c r="O5474" i="14"/>
  <c r="P5473" i="14"/>
  <c r="O5473" i="14"/>
  <c r="P5472" i="14"/>
  <c r="O5472" i="14"/>
  <c r="P5471" i="14"/>
  <c r="O5471" i="14"/>
  <c r="H5471" i="14"/>
  <c r="P5470" i="14"/>
  <c r="O5470" i="14"/>
  <c r="R5470" i="14" s="1"/>
  <c r="P5469" i="14"/>
  <c r="O5469" i="14"/>
  <c r="R5469" i="14" s="1"/>
  <c r="P5468" i="14"/>
  <c r="O5468" i="14"/>
  <c r="R5468" i="14" s="1"/>
  <c r="P5467" i="14"/>
  <c r="O5467" i="14"/>
  <c r="R5467" i="14" s="1"/>
  <c r="P5466" i="14"/>
  <c r="O5466" i="14"/>
  <c r="R5466" i="14" s="1"/>
  <c r="P5465" i="14"/>
  <c r="O5465" i="14"/>
  <c r="R5465" i="14" s="1"/>
  <c r="P5464" i="14"/>
  <c r="O5464" i="14"/>
  <c r="R5464" i="14" s="1"/>
  <c r="P5463" i="14"/>
  <c r="O5463" i="14"/>
  <c r="R5463" i="14" s="1"/>
  <c r="P5462" i="14"/>
  <c r="O5462" i="14"/>
  <c r="R5462" i="14" s="1"/>
  <c r="P5461" i="14"/>
  <c r="O5461" i="14"/>
  <c r="R5461" i="14" s="1"/>
  <c r="P5460" i="14"/>
  <c r="O5460" i="14"/>
  <c r="R5460" i="14" s="1"/>
  <c r="P5459" i="14"/>
  <c r="O5459" i="14"/>
  <c r="R5459" i="14" s="1"/>
  <c r="H5459" i="14"/>
  <c r="G5503" i="14"/>
  <c r="G5491" i="14"/>
  <c r="P5506" i="14"/>
  <c r="O5506" i="14"/>
  <c r="P5505" i="14"/>
  <c r="O5505" i="14"/>
  <c r="P5504" i="14"/>
  <c r="O5504" i="14"/>
  <c r="P5503" i="14"/>
  <c r="O5503" i="14"/>
  <c r="H5503" i="14"/>
  <c r="P5502" i="14"/>
  <c r="O5502" i="14"/>
  <c r="R5502" i="14" s="1"/>
  <c r="P5501" i="14"/>
  <c r="O5501" i="14"/>
  <c r="R5501" i="14" s="1"/>
  <c r="P5500" i="14"/>
  <c r="O5500" i="14"/>
  <c r="R5500" i="14" s="1"/>
  <c r="P5499" i="14"/>
  <c r="O5499" i="14"/>
  <c r="R5499" i="14" s="1"/>
  <c r="P5498" i="14"/>
  <c r="O5498" i="14"/>
  <c r="R5498" i="14" s="1"/>
  <c r="P5497" i="14"/>
  <c r="O5497" i="14"/>
  <c r="R5497" i="14" s="1"/>
  <c r="P5496" i="14"/>
  <c r="O5496" i="14"/>
  <c r="R5496" i="14" s="1"/>
  <c r="P5495" i="14"/>
  <c r="O5495" i="14"/>
  <c r="R5495" i="14" s="1"/>
  <c r="P5494" i="14"/>
  <c r="O5494" i="14"/>
  <c r="R5494" i="14" s="1"/>
  <c r="H5494" i="14"/>
  <c r="G5494" i="14"/>
  <c r="P5493" i="14"/>
  <c r="O5493" i="14"/>
  <c r="R5493" i="14" s="1"/>
  <c r="P5492" i="14"/>
  <c r="O5492" i="14"/>
  <c r="R5492" i="14" s="1"/>
  <c r="P5491" i="14"/>
  <c r="O5491" i="14"/>
  <c r="R5491" i="14" s="1"/>
  <c r="H5491" i="14"/>
  <c r="G4943" i="14"/>
  <c r="G4942" i="14"/>
  <c r="G4934" i="14"/>
  <c r="G4931" i="14"/>
  <c r="R5504" i="14" l="1"/>
  <c r="R5474" i="14"/>
  <c r="R5511" i="14"/>
  <c r="R5513" i="14"/>
  <c r="R5515" i="14"/>
  <c r="R5517" i="14"/>
  <c r="R5521" i="14"/>
  <c r="R5531" i="14"/>
  <c r="R5477" i="14"/>
  <c r="R5480" i="14"/>
  <c r="R5484" i="14"/>
  <c r="R5487" i="14"/>
  <c r="R5625" i="14"/>
  <c r="R5629" i="14"/>
  <c r="R5632" i="14"/>
  <c r="R5505" i="14"/>
  <c r="R5471" i="14"/>
  <c r="R5509" i="14"/>
  <c r="R5526" i="14"/>
  <c r="R5529" i="14"/>
  <c r="R5537" i="14"/>
  <c r="R5481" i="14"/>
  <c r="R5485" i="14"/>
  <c r="R5488" i="14"/>
  <c r="R5619" i="14"/>
  <c r="R5622" i="14"/>
  <c r="R5626" i="14"/>
  <c r="R5630" i="14"/>
  <c r="R5633" i="14"/>
  <c r="R5506" i="14"/>
  <c r="R5472" i="14"/>
  <c r="R5527" i="14"/>
  <c r="R5475" i="14"/>
  <c r="R5478" i="14"/>
  <c r="R5482" i="14"/>
  <c r="R5486" i="14"/>
  <c r="R5489" i="14"/>
  <c r="R5620" i="14"/>
  <c r="R5623" i="14"/>
  <c r="R5627" i="14"/>
  <c r="R5634" i="14"/>
  <c r="R5503" i="14"/>
  <c r="R5473" i="14"/>
  <c r="R5510" i="14"/>
  <c r="R5525" i="14"/>
  <c r="R5533" i="14"/>
  <c r="R5476" i="14"/>
  <c r="R5479" i="14"/>
  <c r="R5483" i="14"/>
  <c r="R5490" i="14"/>
  <c r="R5621" i="14"/>
  <c r="R5624" i="14"/>
  <c r="R5628" i="14"/>
  <c r="N5545" i="14"/>
  <c r="N5539" i="14"/>
  <c r="N5542" i="14"/>
  <c r="N5541" i="14"/>
  <c r="N5547" i="14"/>
  <c r="N5551" i="14"/>
  <c r="N5546" i="14"/>
  <c r="N5548" i="14"/>
  <c r="N5543" i="14"/>
  <c r="N5554" i="14"/>
  <c r="N5552" i="14"/>
  <c r="N5544" i="14"/>
  <c r="N5540" i="14"/>
  <c r="N5553" i="14"/>
  <c r="N5550" i="14"/>
  <c r="N5549" i="14"/>
  <c r="N5564" i="14"/>
  <c r="N5559" i="14"/>
  <c r="N5555" i="14"/>
  <c r="N5560" i="14"/>
  <c r="N5567" i="14"/>
  <c r="N5563" i="14"/>
  <c r="N5569" i="14"/>
  <c r="N5556" i="14"/>
  <c r="N5566" i="14"/>
  <c r="N5565" i="14"/>
  <c r="N5561" i="14"/>
  <c r="N5557" i="14"/>
  <c r="N5558" i="14"/>
  <c r="N5570" i="14"/>
  <c r="N5562" i="14"/>
  <c r="N5568" i="14"/>
  <c r="N5380" i="14"/>
  <c r="N5384" i="14"/>
  <c r="N5386" i="14"/>
  <c r="N5381" i="14"/>
  <c r="N5383" i="14"/>
  <c r="N5392" i="14"/>
  <c r="N5382" i="14"/>
  <c r="N5379" i="14"/>
  <c r="N5388" i="14"/>
  <c r="N5390" i="14"/>
  <c r="N5387" i="14"/>
  <c r="N5389" i="14"/>
  <c r="N5391" i="14"/>
  <c r="N5393" i="14"/>
  <c r="N5394" i="14"/>
  <c r="N5385" i="14"/>
  <c r="N5470" i="14"/>
  <c r="N5467" i="14"/>
  <c r="N5461" i="14"/>
  <c r="N5472" i="14"/>
  <c r="N5466" i="14"/>
  <c r="N5471" i="14"/>
  <c r="N5463" i="14"/>
  <c r="N5465" i="14"/>
  <c r="N5473" i="14"/>
  <c r="N5464" i="14"/>
  <c r="N5460" i="14"/>
  <c r="N5469" i="14"/>
  <c r="N5474" i="14"/>
  <c r="N5462" i="14"/>
  <c r="N5459" i="14"/>
  <c r="N5468" i="14"/>
  <c r="N5519" i="14"/>
  <c r="N5522" i="14"/>
  <c r="N5516" i="14"/>
  <c r="N5511" i="14"/>
  <c r="N5517" i="14"/>
  <c r="N5518" i="14"/>
  <c r="N5520" i="14"/>
  <c r="N5521" i="14"/>
  <c r="N5513" i="14"/>
  <c r="N5510" i="14"/>
  <c r="N5507" i="14"/>
  <c r="N5515" i="14"/>
  <c r="N5514" i="14"/>
  <c r="N5508" i="14"/>
  <c r="N5509" i="14"/>
  <c r="N5512" i="14"/>
  <c r="N5434" i="14"/>
  <c r="N5433" i="14"/>
  <c r="N5436" i="14"/>
  <c r="N5437" i="14"/>
  <c r="N5428" i="14"/>
  <c r="N5431" i="14"/>
  <c r="N5441" i="14"/>
  <c r="N5432" i="14"/>
  <c r="N5430" i="14"/>
  <c r="N5427" i="14"/>
  <c r="N5442" i="14"/>
  <c r="N5438" i="14"/>
  <c r="N5435" i="14"/>
  <c r="N5439" i="14"/>
  <c r="N5429" i="14"/>
  <c r="N5440" i="14"/>
  <c r="N5450" i="14"/>
  <c r="N5445" i="14"/>
  <c r="N5455" i="14"/>
  <c r="N5457" i="14"/>
  <c r="N5458" i="14"/>
  <c r="N5456" i="14"/>
  <c r="N5452" i="14"/>
  <c r="N5444" i="14"/>
  <c r="N5453" i="14"/>
  <c r="N5448" i="14"/>
  <c r="N5446" i="14"/>
  <c r="N5443" i="14"/>
  <c r="N5454" i="14"/>
  <c r="N5451" i="14"/>
  <c r="N5447" i="14"/>
  <c r="N5449" i="14"/>
  <c r="N5505" i="14"/>
  <c r="N5496" i="14"/>
  <c r="N5506" i="14"/>
  <c r="N5494" i="14"/>
  <c r="N5491" i="14"/>
  <c r="N5500" i="14"/>
  <c r="N5501" i="14"/>
  <c r="N5492" i="14"/>
  <c r="N5502" i="14"/>
  <c r="N5499" i="14"/>
  <c r="N5493" i="14"/>
  <c r="N5504" i="14"/>
  <c r="N5498" i="14"/>
  <c r="N5497" i="14"/>
  <c r="N5495" i="14"/>
  <c r="N5503" i="14"/>
  <c r="N5531" i="14"/>
  <c r="N5533" i="14"/>
  <c r="N5530" i="14"/>
  <c r="N5528" i="14"/>
  <c r="N5525" i="14"/>
  <c r="N5537" i="14"/>
  <c r="N5529" i="14"/>
  <c r="N5534" i="14"/>
  <c r="N5526" i="14"/>
  <c r="N5535" i="14"/>
  <c r="N5538" i="14"/>
  <c r="N5532" i="14"/>
  <c r="N5523" i="14"/>
  <c r="N5524" i="14"/>
  <c r="N5527" i="14"/>
  <c r="N5536" i="14"/>
  <c r="W5535" i="14"/>
  <c r="W5519" i="14"/>
  <c r="V5508" i="14"/>
  <c r="W5507" i="14"/>
  <c r="W5442" i="14"/>
  <c r="V5442" i="14"/>
  <c r="U5442" i="14"/>
  <c r="P5442" i="14"/>
  <c r="O5442" i="14"/>
  <c r="W5441" i="14"/>
  <c r="P5441" i="14"/>
  <c r="O5441" i="14"/>
  <c r="W5440" i="14"/>
  <c r="P5440" i="14"/>
  <c r="O5440" i="14"/>
  <c r="R5440" i="14" s="1"/>
  <c r="P5439" i="14"/>
  <c r="O5439" i="14"/>
  <c r="W5438" i="14"/>
  <c r="P5438" i="14"/>
  <c r="O5438" i="14"/>
  <c r="W5437" i="14"/>
  <c r="V5437" i="14"/>
  <c r="U5437" i="14"/>
  <c r="P5437" i="14"/>
  <c r="O5437" i="14"/>
  <c r="W5436" i="14"/>
  <c r="P5436" i="14"/>
  <c r="O5436" i="14"/>
  <c r="W5435" i="14"/>
  <c r="P5435" i="14"/>
  <c r="O5435" i="14"/>
  <c r="R5435" i="14" s="1"/>
  <c r="W5434" i="14"/>
  <c r="P5434" i="14"/>
  <c r="O5434" i="14"/>
  <c r="W5433" i="14"/>
  <c r="V5433" i="14"/>
  <c r="U5433" i="14"/>
  <c r="P5433" i="14"/>
  <c r="O5433" i="14"/>
  <c r="R5433" i="14" s="1"/>
  <c r="W5432" i="14"/>
  <c r="P5432" i="14"/>
  <c r="O5432" i="14"/>
  <c r="W5431" i="14"/>
  <c r="P5431" i="14"/>
  <c r="O5431" i="14"/>
  <c r="R5431" i="14" s="1"/>
  <c r="P5430" i="14"/>
  <c r="O5430" i="14"/>
  <c r="R5430" i="14" s="1"/>
  <c r="W5429" i="14"/>
  <c r="P5429" i="14"/>
  <c r="O5429" i="14"/>
  <c r="W5428" i="14"/>
  <c r="P5428" i="14"/>
  <c r="O5428" i="14"/>
  <c r="R5428" i="14" s="1"/>
  <c r="P5427" i="14"/>
  <c r="O5427" i="14"/>
  <c r="R5427" i="14" s="1"/>
  <c r="G5423" i="14"/>
  <c r="P5458" i="14"/>
  <c r="O5458" i="14"/>
  <c r="P5457" i="14"/>
  <c r="O5457" i="14"/>
  <c r="P5456" i="14"/>
  <c r="O5456" i="14"/>
  <c r="R5456" i="14" s="1"/>
  <c r="P5455" i="14"/>
  <c r="O5455" i="14"/>
  <c r="R5455" i="14" s="1"/>
  <c r="H5455" i="14"/>
  <c r="P5454" i="14"/>
  <c r="O5454" i="14"/>
  <c r="R5454" i="14" s="1"/>
  <c r="P5453" i="14"/>
  <c r="O5453" i="14"/>
  <c r="R5453" i="14" s="1"/>
  <c r="P5452" i="14"/>
  <c r="O5452" i="14"/>
  <c r="R5452" i="14" s="1"/>
  <c r="P5451" i="14"/>
  <c r="O5451" i="14"/>
  <c r="P5450" i="14"/>
  <c r="O5450" i="14"/>
  <c r="R5450" i="14" s="1"/>
  <c r="P5449" i="14"/>
  <c r="O5449" i="14"/>
  <c r="R5449" i="14" s="1"/>
  <c r="P5448" i="14"/>
  <c r="O5448" i="14"/>
  <c r="R5448" i="14" s="1"/>
  <c r="P5447" i="14"/>
  <c r="O5447" i="14"/>
  <c r="P5446" i="14"/>
  <c r="O5446" i="14"/>
  <c r="R5446" i="14" s="1"/>
  <c r="H5446" i="14"/>
  <c r="G5446" i="14"/>
  <c r="P5445" i="14"/>
  <c r="O5445" i="14"/>
  <c r="R5445" i="14" s="1"/>
  <c r="P5444" i="14"/>
  <c r="O5444" i="14"/>
  <c r="P5443" i="14"/>
  <c r="O5443" i="14"/>
  <c r="R5443" i="14" s="1"/>
  <c r="H5443" i="14"/>
  <c r="R5457" i="14" l="1"/>
  <c r="R5436" i="14"/>
  <c r="R5438" i="14"/>
  <c r="R5441" i="14"/>
  <c r="R5458" i="14"/>
  <c r="R5429" i="14"/>
  <c r="R5432" i="14"/>
  <c r="R5434" i="14"/>
  <c r="R5444" i="14"/>
  <c r="R5447" i="14"/>
  <c r="R5451" i="14"/>
  <c r="R5437" i="14"/>
  <c r="R5439" i="14"/>
  <c r="R5442" i="14"/>
  <c r="U5508" i="14"/>
  <c r="G5414" i="14"/>
  <c r="P5426" i="14"/>
  <c r="O5426" i="14"/>
  <c r="P5425" i="14"/>
  <c r="O5425" i="14"/>
  <c r="P5424" i="14"/>
  <c r="O5424" i="14"/>
  <c r="P5423" i="14"/>
  <c r="O5423" i="14"/>
  <c r="R5423" i="14" s="1"/>
  <c r="H5423" i="14"/>
  <c r="P5422" i="14"/>
  <c r="O5422" i="14"/>
  <c r="R5422" i="14" s="1"/>
  <c r="P5421" i="14"/>
  <c r="O5421" i="14"/>
  <c r="P5420" i="14"/>
  <c r="O5420" i="14"/>
  <c r="R5420" i="14" s="1"/>
  <c r="P5419" i="14"/>
  <c r="O5419" i="14"/>
  <c r="R5419" i="14" s="1"/>
  <c r="P5418" i="14"/>
  <c r="O5418" i="14"/>
  <c r="R5418" i="14" s="1"/>
  <c r="P5417" i="14"/>
  <c r="O5417" i="14"/>
  <c r="P5416" i="14"/>
  <c r="O5416" i="14"/>
  <c r="R5416" i="14" s="1"/>
  <c r="P5415" i="14"/>
  <c r="O5415" i="14"/>
  <c r="R5415" i="14" s="1"/>
  <c r="P5414" i="14"/>
  <c r="O5414" i="14"/>
  <c r="R5414" i="14" s="1"/>
  <c r="H5414" i="14"/>
  <c r="P5413" i="14"/>
  <c r="O5413" i="14"/>
  <c r="P5412" i="14"/>
  <c r="O5412" i="14"/>
  <c r="R5412" i="14" s="1"/>
  <c r="P5411" i="14"/>
  <c r="O5411" i="14"/>
  <c r="H5411" i="14"/>
  <c r="I4982" i="14"/>
  <c r="I4979" i="14"/>
  <c r="I3859" i="14"/>
  <c r="L4886" i="14"/>
  <c r="R5413" i="14" l="1"/>
  <c r="R5424" i="14"/>
  <c r="R5425" i="14"/>
  <c r="R5411" i="14"/>
  <c r="R5426" i="14"/>
  <c r="R5417" i="14"/>
  <c r="R5421" i="14"/>
  <c r="N5406" i="14"/>
  <c r="N5403" i="14"/>
  <c r="N5410" i="14"/>
  <c r="N5401" i="14"/>
  <c r="N5396" i="14"/>
  <c r="N5397" i="14"/>
  <c r="N5405" i="14"/>
  <c r="N5408" i="14"/>
  <c r="N5404" i="14"/>
  <c r="N5402" i="14"/>
  <c r="N5399" i="14"/>
  <c r="N5398" i="14"/>
  <c r="N5395" i="14"/>
  <c r="N5409" i="14"/>
  <c r="N5400" i="14"/>
  <c r="N5407" i="14"/>
  <c r="N5214" i="14"/>
  <c r="N5211" i="14"/>
  <c r="N5218" i="14"/>
  <c r="N5212" i="14"/>
  <c r="N5205" i="14"/>
  <c r="N5213" i="14"/>
  <c r="N5208" i="14"/>
  <c r="N5216" i="14"/>
  <c r="N5210" i="14"/>
  <c r="N5209" i="14"/>
  <c r="N5215" i="14"/>
  <c r="N5204" i="14"/>
  <c r="N5206" i="14"/>
  <c r="N5203" i="14"/>
  <c r="N5217" i="14"/>
  <c r="N5207" i="14"/>
  <c r="P5410" i="14"/>
  <c r="O5410" i="14"/>
  <c r="P5409" i="14"/>
  <c r="O5409" i="14"/>
  <c r="P5408" i="14"/>
  <c r="O5408" i="14"/>
  <c r="R5408" i="14" s="1"/>
  <c r="P5407" i="14"/>
  <c r="O5407" i="14"/>
  <c r="H5407" i="14"/>
  <c r="P5406" i="14"/>
  <c r="O5406" i="14"/>
  <c r="R5406" i="14" s="1"/>
  <c r="H5406" i="14"/>
  <c r="P5405" i="14"/>
  <c r="O5405" i="14"/>
  <c r="R5405" i="14" s="1"/>
  <c r="P5404" i="14"/>
  <c r="O5404" i="14"/>
  <c r="P5403" i="14"/>
  <c r="O5403" i="14"/>
  <c r="P5402" i="14"/>
  <c r="O5402" i="14"/>
  <c r="P5401" i="14"/>
  <c r="O5401" i="14"/>
  <c r="R5401" i="14" s="1"/>
  <c r="P5400" i="14"/>
  <c r="O5400" i="14"/>
  <c r="P5399" i="14"/>
  <c r="O5399" i="14"/>
  <c r="P5398" i="14"/>
  <c r="O5398" i="14"/>
  <c r="H5398" i="14"/>
  <c r="P5397" i="14"/>
  <c r="O5397" i="14"/>
  <c r="P5396" i="14"/>
  <c r="O5396" i="14"/>
  <c r="R5396" i="14" s="1"/>
  <c r="P5395" i="14"/>
  <c r="O5395" i="14"/>
  <c r="R5395" i="14" s="1"/>
  <c r="H5395" i="14"/>
  <c r="P5394" i="14"/>
  <c r="O5394" i="14"/>
  <c r="R5394" i="14" s="1"/>
  <c r="P5393" i="14"/>
  <c r="O5393" i="14"/>
  <c r="P5392" i="14"/>
  <c r="O5392" i="14"/>
  <c r="P5391" i="14"/>
  <c r="O5391" i="14"/>
  <c r="H5391" i="14"/>
  <c r="P5390" i="14"/>
  <c r="O5390" i="14"/>
  <c r="P5389" i="14"/>
  <c r="O5389" i="14"/>
  <c r="R5389" i="14" s="1"/>
  <c r="P5388" i="14"/>
  <c r="O5388" i="14"/>
  <c r="R5388" i="14" s="1"/>
  <c r="P5387" i="14"/>
  <c r="O5387" i="14"/>
  <c r="R5387" i="14" s="1"/>
  <c r="P5386" i="14"/>
  <c r="O5386" i="14"/>
  <c r="P5385" i="14"/>
  <c r="O5385" i="14"/>
  <c r="R5385" i="14" s="1"/>
  <c r="P5384" i="14"/>
  <c r="O5384" i="14"/>
  <c r="R5384" i="14" s="1"/>
  <c r="P5383" i="14"/>
  <c r="O5383" i="14"/>
  <c r="R5383" i="14" s="1"/>
  <c r="P5382" i="14"/>
  <c r="O5382" i="14"/>
  <c r="H5382" i="14"/>
  <c r="P5381" i="14"/>
  <c r="O5381" i="14"/>
  <c r="P5380" i="14"/>
  <c r="O5380" i="14"/>
  <c r="P5379" i="14"/>
  <c r="O5379" i="14"/>
  <c r="R5379" i="14" s="1"/>
  <c r="H5379" i="14"/>
  <c r="R5380" i="14" l="1"/>
  <c r="R5391" i="14"/>
  <c r="R5398" i="14"/>
  <c r="R5402" i="14"/>
  <c r="R5409" i="14"/>
  <c r="R5381" i="14"/>
  <c r="R5392" i="14"/>
  <c r="R5399" i="14"/>
  <c r="R5403" i="14"/>
  <c r="R5410" i="14"/>
  <c r="R5393" i="14"/>
  <c r="R5400" i="14"/>
  <c r="R5404" i="14"/>
  <c r="R5407" i="14"/>
  <c r="R5382" i="14"/>
  <c r="R5386" i="14"/>
  <c r="R5390" i="14"/>
  <c r="R5397" i="14"/>
  <c r="N5420" i="14"/>
  <c r="N5414" i="14"/>
  <c r="N5411" i="14"/>
  <c r="N5421" i="14"/>
  <c r="N5422" i="14"/>
  <c r="N5419" i="14"/>
  <c r="N5423" i="14"/>
  <c r="N5417" i="14"/>
  <c r="N5426" i="14"/>
  <c r="N5418" i="14"/>
  <c r="N5425" i="14"/>
  <c r="N5413" i="14"/>
  <c r="N5424" i="14"/>
  <c r="N5412" i="14"/>
  <c r="N5415" i="14"/>
  <c r="N5416" i="14"/>
  <c r="H5359" i="14"/>
  <c r="H5350" i="14"/>
  <c r="H5347" i="14"/>
  <c r="O5539" i="14"/>
  <c r="R5539" i="14" s="1"/>
  <c r="P5539" i="14"/>
  <c r="O5540" i="14"/>
  <c r="R5540" i="14" s="1"/>
  <c r="P5540" i="14"/>
  <c r="O5541" i="14"/>
  <c r="R5541" i="14" s="1"/>
  <c r="P5541" i="14"/>
  <c r="O5542" i="14"/>
  <c r="R5542" i="14" s="1"/>
  <c r="P5542" i="14"/>
  <c r="O5543" i="14"/>
  <c r="R5543" i="14" s="1"/>
  <c r="P5543" i="14"/>
  <c r="O5544" i="14"/>
  <c r="R5544" i="14" s="1"/>
  <c r="P5544" i="14"/>
  <c r="O5545" i="14"/>
  <c r="R5545" i="14" s="1"/>
  <c r="P5545" i="14"/>
  <c r="O5546" i="14"/>
  <c r="R5546" i="14" s="1"/>
  <c r="P5546" i="14"/>
  <c r="O5547" i="14"/>
  <c r="R5547" i="14" s="1"/>
  <c r="P5547" i="14"/>
  <c r="O5548" i="14"/>
  <c r="R5548" i="14" s="1"/>
  <c r="P5548" i="14"/>
  <c r="O5549" i="14"/>
  <c r="R5549" i="14" s="1"/>
  <c r="P5549" i="14"/>
  <c r="O5550" i="14"/>
  <c r="R5550" i="14" s="1"/>
  <c r="P5550" i="14"/>
  <c r="O5551" i="14"/>
  <c r="R5551" i="14" s="1"/>
  <c r="P5551" i="14"/>
  <c r="O5552" i="14"/>
  <c r="R5552" i="14" s="1"/>
  <c r="P5552" i="14"/>
  <c r="O5553" i="14"/>
  <c r="R5553" i="14" s="1"/>
  <c r="P5553" i="14"/>
  <c r="N5286" i="14" l="1"/>
  <c r="N5283" i="14"/>
  <c r="N5284" i="14"/>
  <c r="N5294" i="14"/>
  <c r="N5291" i="14"/>
  <c r="N5292" i="14"/>
  <c r="N5297" i="14"/>
  <c r="N5288" i="14"/>
  <c r="N5287" i="14"/>
  <c r="N5290" i="14"/>
  <c r="N5285" i="14"/>
  <c r="N5298" i="14"/>
  <c r="N5293" i="14"/>
  <c r="N5295" i="14"/>
  <c r="N5296" i="14"/>
  <c r="N5289" i="14"/>
  <c r="N5317" i="14"/>
  <c r="N5321" i="14"/>
  <c r="N5325" i="14"/>
  <c r="N5328" i="14"/>
  <c r="N5319" i="14"/>
  <c r="N5322" i="14"/>
  <c r="N5318" i="14"/>
  <c r="N5315" i="14"/>
  <c r="N5330" i="14"/>
  <c r="N5326" i="14"/>
  <c r="N5323" i="14"/>
  <c r="N5324" i="14"/>
  <c r="N5327" i="14"/>
  <c r="N5320" i="14"/>
  <c r="N5316" i="14"/>
  <c r="N5329" i="14"/>
  <c r="N5342" i="14"/>
  <c r="N5339" i="14"/>
  <c r="N5332" i="14"/>
  <c r="N5345" i="14"/>
  <c r="N5335" i="14"/>
  <c r="N5333" i="14"/>
  <c r="N5346" i="14"/>
  <c r="N5341" i="14"/>
  <c r="N5340" i="14"/>
  <c r="N5343" i="14"/>
  <c r="N5338" i="14"/>
  <c r="N5336" i="14"/>
  <c r="N5344" i="14"/>
  <c r="N5334" i="14"/>
  <c r="N5331" i="14"/>
  <c r="N5337" i="14"/>
  <c r="N5349" i="14"/>
  <c r="N5352" i="14"/>
  <c r="N5362" i="14"/>
  <c r="N5350" i="14"/>
  <c r="N5347" i="14"/>
  <c r="N5360" i="14"/>
  <c r="N5358" i="14"/>
  <c r="N5355" i="14"/>
  <c r="N5356" i="14"/>
  <c r="N5361" i="14"/>
  <c r="N5357" i="14"/>
  <c r="N5351" i="14"/>
  <c r="N5348" i="14"/>
  <c r="N5354" i="14"/>
  <c r="N5359" i="14"/>
  <c r="N5353" i="14"/>
  <c r="V5369" i="14"/>
  <c r="V5377" i="14"/>
  <c r="V5378" i="14"/>
  <c r="G5375" i="14"/>
  <c r="G5366" i="14"/>
  <c r="W5378" i="14"/>
  <c r="P5378" i="14"/>
  <c r="O5378" i="14"/>
  <c r="W5377" i="14"/>
  <c r="U5377" i="14"/>
  <c r="P5377" i="14"/>
  <c r="O5377" i="14"/>
  <c r="W5376" i="14"/>
  <c r="P5376" i="14"/>
  <c r="O5376" i="14"/>
  <c r="P5375" i="14"/>
  <c r="O5375" i="14"/>
  <c r="R5375" i="14" s="1"/>
  <c r="H5375" i="14"/>
  <c r="W5375" i="14" s="1"/>
  <c r="W5374" i="14"/>
  <c r="P5374" i="14"/>
  <c r="O5374" i="14"/>
  <c r="R5374" i="14" s="1"/>
  <c r="W5373" i="14"/>
  <c r="P5373" i="14"/>
  <c r="O5373" i="14"/>
  <c r="W5372" i="14"/>
  <c r="P5372" i="14"/>
  <c r="O5372" i="14"/>
  <c r="W5371" i="14"/>
  <c r="P5371" i="14"/>
  <c r="O5371" i="14"/>
  <c r="R5371" i="14" s="1"/>
  <c r="W5370" i="14"/>
  <c r="P5370" i="14"/>
  <c r="O5370" i="14"/>
  <c r="R5370" i="14" s="1"/>
  <c r="W5369" i="14"/>
  <c r="P5369" i="14"/>
  <c r="O5369" i="14"/>
  <c r="W5368" i="14"/>
  <c r="P5368" i="14"/>
  <c r="O5368" i="14"/>
  <c r="W5367" i="14"/>
  <c r="P5367" i="14"/>
  <c r="O5367" i="14"/>
  <c r="P5366" i="14"/>
  <c r="O5366" i="14"/>
  <c r="H5366" i="14"/>
  <c r="W5366" i="14" s="1"/>
  <c r="W5365" i="14"/>
  <c r="P5365" i="14"/>
  <c r="O5365" i="14"/>
  <c r="W5364" i="14"/>
  <c r="P5364" i="14"/>
  <c r="O5364" i="14"/>
  <c r="P5363" i="14"/>
  <c r="O5363" i="14"/>
  <c r="R5363" i="14" s="1"/>
  <c r="H5363" i="14"/>
  <c r="W5363" i="14" s="1"/>
  <c r="G5363" i="14"/>
  <c r="R5368" i="14" l="1"/>
  <c r="R5376" i="14"/>
  <c r="R5366" i="14"/>
  <c r="R5369" i="14"/>
  <c r="R5377" i="14"/>
  <c r="R5364" i="14"/>
  <c r="R5372" i="14"/>
  <c r="R5367" i="14"/>
  <c r="R5365" i="14"/>
  <c r="R5373" i="14"/>
  <c r="R5378" i="14"/>
  <c r="V5368" i="14"/>
  <c r="V5372" i="14"/>
  <c r="V5373" i="14"/>
  <c r="P5330" i="14" l="1"/>
  <c r="O5330" i="14"/>
  <c r="P5329" i="14"/>
  <c r="O5329" i="14"/>
  <c r="P5328" i="14"/>
  <c r="O5328" i="14"/>
  <c r="P5327" i="14"/>
  <c r="O5327" i="14"/>
  <c r="R5327" i="14" s="1"/>
  <c r="L5327" i="14"/>
  <c r="H5327" i="14"/>
  <c r="P5326" i="14"/>
  <c r="O5326" i="14"/>
  <c r="P5325" i="14"/>
  <c r="O5325" i="14"/>
  <c r="P5324" i="14"/>
  <c r="O5324" i="14"/>
  <c r="P5323" i="14"/>
  <c r="O5323" i="14"/>
  <c r="P5322" i="14"/>
  <c r="O5322" i="14"/>
  <c r="P5321" i="14"/>
  <c r="O5321" i="14"/>
  <c r="P5320" i="14"/>
  <c r="O5320" i="14"/>
  <c r="P5319" i="14"/>
  <c r="O5319" i="14"/>
  <c r="P5318" i="14"/>
  <c r="O5318" i="14"/>
  <c r="L5318" i="14"/>
  <c r="H5318" i="14"/>
  <c r="P5317" i="14"/>
  <c r="O5317" i="14"/>
  <c r="P5316" i="14"/>
  <c r="O5316" i="14"/>
  <c r="P5315" i="14"/>
  <c r="O5315" i="14"/>
  <c r="L5315" i="14"/>
  <c r="H5315" i="14"/>
  <c r="W5347" i="14"/>
  <c r="P5362" i="14"/>
  <c r="O5362" i="14"/>
  <c r="R5362" i="14" s="1"/>
  <c r="W5346" i="14"/>
  <c r="P5361" i="14"/>
  <c r="O5361" i="14"/>
  <c r="W5345" i="14"/>
  <c r="P5360" i="14"/>
  <c r="O5360" i="14"/>
  <c r="R5360" i="14" s="1"/>
  <c r="W5344" i="14"/>
  <c r="P5359" i="14"/>
  <c r="O5359" i="14"/>
  <c r="P5358" i="14"/>
  <c r="O5358" i="14"/>
  <c r="W5342" i="14"/>
  <c r="P5357" i="14"/>
  <c r="O5357" i="14"/>
  <c r="R5357" i="14" s="1"/>
  <c r="W5341" i="14"/>
  <c r="P5356" i="14"/>
  <c r="O5356" i="14"/>
  <c r="W5340" i="14"/>
  <c r="P5355" i="14"/>
  <c r="O5355" i="14"/>
  <c r="R5355" i="14" s="1"/>
  <c r="W5339" i="14"/>
  <c r="P5354" i="14"/>
  <c r="O5354" i="14"/>
  <c r="W5338" i="14"/>
  <c r="P5353" i="14"/>
  <c r="O5353" i="14"/>
  <c r="R5353" i="14" s="1"/>
  <c r="W5337" i="14"/>
  <c r="P5352" i="14"/>
  <c r="O5352" i="14"/>
  <c r="W5336" i="14"/>
  <c r="P5351" i="14"/>
  <c r="O5351" i="14"/>
  <c r="R5351" i="14" s="1"/>
  <c r="W5335" i="14"/>
  <c r="P5350" i="14"/>
  <c r="O5350" i="14"/>
  <c r="P5349" i="14"/>
  <c r="O5349" i="14"/>
  <c r="W5333" i="14"/>
  <c r="P5348" i="14"/>
  <c r="O5348" i="14"/>
  <c r="R5348" i="14" s="1"/>
  <c r="W5332" i="14"/>
  <c r="P5347" i="14"/>
  <c r="O5347" i="14"/>
  <c r="P5346" i="14"/>
  <c r="O5346" i="14"/>
  <c r="P5345" i="14"/>
  <c r="O5345" i="14"/>
  <c r="P5344" i="14"/>
  <c r="O5344" i="14"/>
  <c r="P5343" i="14"/>
  <c r="O5343" i="14"/>
  <c r="P5342" i="14"/>
  <c r="O5342" i="14"/>
  <c r="P5341" i="14"/>
  <c r="O5341" i="14"/>
  <c r="P5340" i="14"/>
  <c r="O5340" i="14"/>
  <c r="P5339" i="14"/>
  <c r="O5339" i="14"/>
  <c r="P5338" i="14"/>
  <c r="O5338" i="14"/>
  <c r="P5337" i="14"/>
  <c r="O5337" i="14"/>
  <c r="P5336" i="14"/>
  <c r="O5336" i="14"/>
  <c r="P5335" i="14"/>
  <c r="O5335" i="14"/>
  <c r="P5334" i="14"/>
  <c r="O5334" i="14"/>
  <c r="P5333" i="14"/>
  <c r="O5333" i="14"/>
  <c r="P5332" i="14"/>
  <c r="O5332" i="14"/>
  <c r="P5331" i="14"/>
  <c r="O5331" i="14"/>
  <c r="H5343" i="14"/>
  <c r="H5334" i="14"/>
  <c r="H5331" i="14"/>
  <c r="W5427" i="14" s="1"/>
  <c r="R5332" i="14" l="1"/>
  <c r="R5344" i="14"/>
  <c r="R5356" i="14"/>
  <c r="R5316" i="14"/>
  <c r="R5330" i="14"/>
  <c r="R5333" i="14"/>
  <c r="R5345" i="14"/>
  <c r="R5354" i="14"/>
  <c r="R5317" i="14"/>
  <c r="R5320" i="14"/>
  <c r="R5324" i="14"/>
  <c r="R5340" i="14"/>
  <c r="R5359" i="14"/>
  <c r="R5319" i="14"/>
  <c r="R5337" i="14"/>
  <c r="R5341" i="14"/>
  <c r="R5334" i="14"/>
  <c r="R5338" i="14"/>
  <c r="R5342" i="14"/>
  <c r="R5346" i="14"/>
  <c r="R5349" i="14"/>
  <c r="R5352" i="14"/>
  <c r="R5321" i="14"/>
  <c r="R5325" i="14"/>
  <c r="R5328" i="14"/>
  <c r="R5336" i="14"/>
  <c r="R5331" i="14"/>
  <c r="R5335" i="14"/>
  <c r="R5339" i="14"/>
  <c r="R5343" i="14"/>
  <c r="R5347" i="14"/>
  <c r="R5350" i="14"/>
  <c r="R5358" i="14"/>
  <c r="R5361" i="14"/>
  <c r="R5315" i="14"/>
  <c r="R5318" i="14"/>
  <c r="R5322" i="14"/>
  <c r="R5326" i="14"/>
  <c r="R5329" i="14"/>
  <c r="R5323" i="14"/>
  <c r="W5430" i="14"/>
  <c r="W5439" i="14"/>
  <c r="W5348" i="14"/>
  <c r="U5349" i="14"/>
  <c r="W5349" i="14"/>
  <c r="W5350" i="14"/>
  <c r="V5351" i="14"/>
  <c r="W5351" i="14"/>
  <c r="W5352" i="14"/>
  <c r="V5353" i="14"/>
  <c r="W5353" i="14"/>
  <c r="W5354" i="14"/>
  <c r="O5314" i="14"/>
  <c r="R5314" i="14" s="1"/>
  <c r="P5314" i="14"/>
  <c r="W5314" i="14"/>
  <c r="N5177" i="14" l="1"/>
  <c r="N5183" i="14"/>
  <c r="N5172" i="14"/>
  <c r="N5185" i="14"/>
  <c r="N5174" i="14"/>
  <c r="N5171" i="14"/>
  <c r="N5184" i="14"/>
  <c r="N5175" i="14"/>
  <c r="N5182" i="14"/>
  <c r="N5179" i="14"/>
  <c r="N5178" i="14"/>
  <c r="N5186" i="14"/>
  <c r="N5180" i="14"/>
  <c r="N5173" i="14"/>
  <c r="N5176" i="14"/>
  <c r="N5181" i="14"/>
  <c r="N5365" i="14"/>
  <c r="N5376" i="14"/>
  <c r="N5375" i="14"/>
  <c r="N5370" i="14"/>
  <c r="N5366" i="14"/>
  <c r="N5363" i="14"/>
  <c r="N5367" i="14"/>
  <c r="N5374" i="14"/>
  <c r="N5371" i="14"/>
  <c r="N5377" i="14"/>
  <c r="N5368" i="14"/>
  <c r="N5378" i="14"/>
  <c r="N5369" i="14"/>
  <c r="N5372" i="14"/>
  <c r="N5373" i="14"/>
  <c r="N5364" i="14"/>
  <c r="G5311" i="14"/>
  <c r="G5302" i="14"/>
  <c r="G5299" i="14"/>
  <c r="W5313" i="14"/>
  <c r="P5313" i="14"/>
  <c r="O5313" i="14"/>
  <c r="R5313" i="14" s="1"/>
  <c r="W5312" i="14"/>
  <c r="P5312" i="14"/>
  <c r="O5312" i="14"/>
  <c r="P5311" i="14"/>
  <c r="O5311" i="14"/>
  <c r="H5311" i="14"/>
  <c r="W5311" i="14" s="1"/>
  <c r="W5310" i="14"/>
  <c r="P5310" i="14"/>
  <c r="O5310" i="14"/>
  <c r="W5309" i="14"/>
  <c r="P5309" i="14"/>
  <c r="O5309" i="14"/>
  <c r="R5309" i="14" s="1"/>
  <c r="W5308" i="14"/>
  <c r="P5308" i="14"/>
  <c r="O5308" i="14"/>
  <c r="W5307" i="14"/>
  <c r="P5307" i="14"/>
  <c r="O5307" i="14"/>
  <c r="W5306" i="14"/>
  <c r="P5306" i="14"/>
  <c r="O5306" i="14"/>
  <c r="W5305" i="14"/>
  <c r="P5305" i="14"/>
  <c r="O5305" i="14"/>
  <c r="R5305" i="14" s="1"/>
  <c r="W5304" i="14"/>
  <c r="P5304" i="14"/>
  <c r="O5304" i="14"/>
  <c r="W5303" i="14"/>
  <c r="P5303" i="14"/>
  <c r="O5303" i="14"/>
  <c r="R5303" i="14" s="1"/>
  <c r="P5302" i="14"/>
  <c r="O5302" i="14"/>
  <c r="R5302" i="14" s="1"/>
  <c r="H5302" i="14"/>
  <c r="W5302" i="14" s="1"/>
  <c r="W5301" i="14"/>
  <c r="P5301" i="14"/>
  <c r="O5301" i="14"/>
  <c r="R5301" i="14" s="1"/>
  <c r="W5300" i="14"/>
  <c r="P5300" i="14"/>
  <c r="O5300" i="14"/>
  <c r="P5299" i="14"/>
  <c r="O5299" i="14"/>
  <c r="H5299" i="14"/>
  <c r="W5299" i="14" s="1"/>
  <c r="H5297" i="14"/>
  <c r="H5296" i="14"/>
  <c r="H5291" i="14"/>
  <c r="H5288" i="14"/>
  <c r="R5300" i="14" l="1"/>
  <c r="R5306" i="14"/>
  <c r="R5311" i="14"/>
  <c r="R5308" i="14"/>
  <c r="R5312" i="14"/>
  <c r="R5307" i="14"/>
  <c r="R5304" i="14"/>
  <c r="R5299" i="14"/>
  <c r="R5310" i="14"/>
  <c r="V5308" i="14"/>
  <c r="U5307" i="14"/>
  <c r="V5306" i="14"/>
  <c r="V5307" i="14"/>
  <c r="H5276" i="14"/>
  <c r="H5275" i="14"/>
  <c r="H5271" i="14"/>
  <c r="U5304" i="14" l="1"/>
  <c r="W5298" i="14"/>
  <c r="V5298" i="14"/>
  <c r="U5298" i="14"/>
  <c r="P5298" i="14"/>
  <c r="O5298" i="14"/>
  <c r="W5297" i="14"/>
  <c r="P5297" i="14"/>
  <c r="O5297" i="14"/>
  <c r="R5297" i="14" s="1"/>
  <c r="W5296" i="14"/>
  <c r="P5296" i="14"/>
  <c r="O5296" i="14"/>
  <c r="P5295" i="14"/>
  <c r="O5295" i="14"/>
  <c r="H5295" i="14"/>
  <c r="W5295" i="14" s="1"/>
  <c r="W5294" i="14"/>
  <c r="P5294" i="14"/>
  <c r="O5294" i="14"/>
  <c r="W5293" i="14"/>
  <c r="V5293" i="14"/>
  <c r="U5293" i="14"/>
  <c r="P5293" i="14"/>
  <c r="O5293" i="14"/>
  <c r="R5293" i="14" s="1"/>
  <c r="W5292" i="14"/>
  <c r="P5292" i="14"/>
  <c r="O5292" i="14"/>
  <c r="W5291" i="14"/>
  <c r="P5291" i="14"/>
  <c r="O5291" i="14"/>
  <c r="R5291" i="14" s="1"/>
  <c r="W5290" i="14"/>
  <c r="P5290" i="14"/>
  <c r="O5290" i="14"/>
  <c r="R5290" i="14" s="1"/>
  <c r="W5289" i="14"/>
  <c r="V5289" i="14"/>
  <c r="U5289" i="14"/>
  <c r="P5289" i="14"/>
  <c r="O5289" i="14"/>
  <c r="R5289" i="14" s="1"/>
  <c r="W5288" i="14"/>
  <c r="P5288" i="14"/>
  <c r="O5288" i="14"/>
  <c r="R5288" i="14" s="1"/>
  <c r="W5287" i="14"/>
  <c r="P5287" i="14"/>
  <c r="O5287" i="14"/>
  <c r="R5287" i="14" s="1"/>
  <c r="P5286" i="14"/>
  <c r="O5286" i="14"/>
  <c r="R5286" i="14" s="1"/>
  <c r="H5286" i="14"/>
  <c r="W5286" i="14" s="1"/>
  <c r="W5285" i="14"/>
  <c r="P5285" i="14"/>
  <c r="O5285" i="14"/>
  <c r="R5285" i="14" s="1"/>
  <c r="W5284" i="14"/>
  <c r="P5284" i="14"/>
  <c r="O5284" i="14"/>
  <c r="P5283" i="14"/>
  <c r="O5283" i="14"/>
  <c r="H5283" i="14"/>
  <c r="W5283" i="14" s="1"/>
  <c r="W5282" i="14"/>
  <c r="V5282" i="14"/>
  <c r="U5282" i="14"/>
  <c r="P5282" i="14"/>
  <c r="O5282" i="14"/>
  <c r="W5281" i="14"/>
  <c r="P5281" i="14"/>
  <c r="O5281" i="14"/>
  <c r="R5281" i="14" s="1"/>
  <c r="W5280" i="14"/>
  <c r="P5280" i="14"/>
  <c r="O5280" i="14"/>
  <c r="P5279" i="14"/>
  <c r="O5279" i="14"/>
  <c r="H5279" i="14"/>
  <c r="W5278" i="14"/>
  <c r="P5278" i="14"/>
  <c r="O5278" i="14"/>
  <c r="R5278" i="14" s="1"/>
  <c r="W5277" i="14"/>
  <c r="V5277" i="14"/>
  <c r="P5277" i="14"/>
  <c r="O5277" i="14"/>
  <c r="W5276" i="14"/>
  <c r="P5276" i="14"/>
  <c r="O5276" i="14"/>
  <c r="R5276" i="14" s="1"/>
  <c r="W5275" i="14"/>
  <c r="P5275" i="14"/>
  <c r="O5275" i="14"/>
  <c r="W5274" i="14"/>
  <c r="P5274" i="14"/>
  <c r="O5274" i="14"/>
  <c r="R5274" i="14" s="1"/>
  <c r="W5273" i="14"/>
  <c r="V5273" i="14"/>
  <c r="U5273" i="14"/>
  <c r="P5273" i="14"/>
  <c r="O5273" i="14"/>
  <c r="W5272" i="14"/>
  <c r="P5272" i="14"/>
  <c r="O5272" i="14"/>
  <c r="R5272" i="14" s="1"/>
  <c r="W5271" i="14"/>
  <c r="P5271" i="14"/>
  <c r="O5271" i="14"/>
  <c r="R5271" i="14" s="1"/>
  <c r="P5270" i="14"/>
  <c r="O5270" i="14"/>
  <c r="H5270" i="14"/>
  <c r="W5270" i="14" s="1"/>
  <c r="W5269" i="14"/>
  <c r="P5269" i="14"/>
  <c r="O5269" i="14"/>
  <c r="W5268" i="14"/>
  <c r="P5268" i="14"/>
  <c r="O5268" i="14"/>
  <c r="R5268" i="14" s="1"/>
  <c r="P5267" i="14"/>
  <c r="O5267" i="14"/>
  <c r="R5267" i="14" s="1"/>
  <c r="H5267" i="14"/>
  <c r="W5267" i="14" s="1"/>
  <c r="W5266" i="14"/>
  <c r="V5266" i="14"/>
  <c r="U5266" i="14"/>
  <c r="P5266" i="14"/>
  <c r="O5266" i="14"/>
  <c r="R5266" i="14" s="1"/>
  <c r="W5265" i="14"/>
  <c r="P5265" i="14"/>
  <c r="O5265" i="14"/>
  <c r="W5264" i="14"/>
  <c r="V5264" i="14"/>
  <c r="U5264" i="14"/>
  <c r="P5264" i="14"/>
  <c r="O5264" i="14"/>
  <c r="P5263" i="14"/>
  <c r="O5263" i="14"/>
  <c r="R5263" i="14" s="1"/>
  <c r="H5263" i="14"/>
  <c r="W5262" i="14"/>
  <c r="P5262" i="14"/>
  <c r="O5262" i="14"/>
  <c r="R5262" i="14" s="1"/>
  <c r="W5261" i="14"/>
  <c r="V5261" i="14"/>
  <c r="U5261" i="14"/>
  <c r="P5261" i="14"/>
  <c r="O5261" i="14"/>
  <c r="W5260" i="14"/>
  <c r="P5260" i="14"/>
  <c r="O5260" i="14"/>
  <c r="R5260" i="14" s="1"/>
  <c r="W5259" i="14"/>
  <c r="V5259" i="14"/>
  <c r="U5259" i="14"/>
  <c r="P5259" i="14"/>
  <c r="O5259" i="14"/>
  <c r="W5258" i="14"/>
  <c r="P5258" i="14"/>
  <c r="O5258" i="14"/>
  <c r="R5258" i="14" s="1"/>
  <c r="W5257" i="14"/>
  <c r="V5257" i="14"/>
  <c r="U5257" i="14"/>
  <c r="P5257" i="14"/>
  <c r="O5257" i="14"/>
  <c r="W5256" i="14"/>
  <c r="P5256" i="14"/>
  <c r="O5256" i="14"/>
  <c r="R5256" i="14" s="1"/>
  <c r="W5255" i="14"/>
  <c r="V5255" i="14"/>
  <c r="U5255" i="14"/>
  <c r="P5255" i="14"/>
  <c r="O5255" i="14"/>
  <c r="P5254" i="14"/>
  <c r="O5254" i="14"/>
  <c r="H5254" i="14"/>
  <c r="W5254" i="14" s="1"/>
  <c r="W5253" i="14"/>
  <c r="P5253" i="14"/>
  <c r="O5253" i="14"/>
  <c r="W5252" i="14"/>
  <c r="P5252" i="14"/>
  <c r="O5252" i="14"/>
  <c r="R5252" i="14" s="1"/>
  <c r="P5251" i="14"/>
  <c r="O5251" i="14"/>
  <c r="R5251" i="14" s="1"/>
  <c r="H5251" i="14"/>
  <c r="W5251" i="14" s="1"/>
  <c r="W5250" i="14"/>
  <c r="P5250" i="14"/>
  <c r="O5250" i="14"/>
  <c r="R5250" i="14" s="1"/>
  <c r="W5249" i="14"/>
  <c r="P5249" i="14"/>
  <c r="O5249" i="14"/>
  <c r="W5248" i="14"/>
  <c r="P5248" i="14"/>
  <c r="O5248" i="14"/>
  <c r="P5247" i="14"/>
  <c r="O5247" i="14"/>
  <c r="R5247" i="14" s="1"/>
  <c r="H5247" i="14"/>
  <c r="W5246" i="14"/>
  <c r="P5246" i="14"/>
  <c r="O5246" i="14"/>
  <c r="R5246" i="14" s="1"/>
  <c r="W5245" i="14"/>
  <c r="P5245" i="14"/>
  <c r="O5245" i="14"/>
  <c r="W5244" i="14"/>
  <c r="P5244" i="14"/>
  <c r="O5244" i="14"/>
  <c r="R5244" i="14" s="1"/>
  <c r="W5243" i="14"/>
  <c r="P5243" i="14"/>
  <c r="O5243" i="14"/>
  <c r="R5243" i="14" s="1"/>
  <c r="P5242" i="14"/>
  <c r="O5242" i="14"/>
  <c r="W5241" i="14"/>
  <c r="P5241" i="14"/>
  <c r="O5241" i="14"/>
  <c r="R5241" i="14" s="1"/>
  <c r="W5240" i="14"/>
  <c r="P5240" i="14"/>
  <c r="O5240" i="14"/>
  <c r="R5240" i="14" s="1"/>
  <c r="W5239" i="14"/>
  <c r="P5239" i="14"/>
  <c r="O5239" i="14"/>
  <c r="R5239" i="14" s="1"/>
  <c r="P5238" i="14"/>
  <c r="O5238" i="14"/>
  <c r="R5238" i="14" s="1"/>
  <c r="H5238" i="14"/>
  <c r="W5237" i="14"/>
  <c r="P5237" i="14"/>
  <c r="O5237" i="14"/>
  <c r="W5236" i="14"/>
  <c r="P5236" i="14"/>
  <c r="O5236" i="14"/>
  <c r="P5235" i="14"/>
  <c r="O5235" i="14"/>
  <c r="H5235" i="14"/>
  <c r="W5234" i="14"/>
  <c r="V5234" i="14"/>
  <c r="U5234" i="14"/>
  <c r="P5234" i="14"/>
  <c r="O5234" i="14"/>
  <c r="W5233" i="14"/>
  <c r="P5233" i="14"/>
  <c r="O5233" i="14"/>
  <c r="R5233" i="14" s="1"/>
  <c r="W5232" i="14"/>
  <c r="V5232" i="14"/>
  <c r="U5232" i="14"/>
  <c r="P5232" i="14"/>
  <c r="O5232" i="14"/>
  <c r="P5231" i="14"/>
  <c r="O5231" i="14"/>
  <c r="H5231" i="14"/>
  <c r="W5231" i="14" s="1"/>
  <c r="W5230" i="14"/>
  <c r="P5230" i="14"/>
  <c r="O5230" i="14"/>
  <c r="W5229" i="14"/>
  <c r="V5229" i="14"/>
  <c r="U5229" i="14"/>
  <c r="P5229" i="14"/>
  <c r="O5229" i="14"/>
  <c r="R5229" i="14" s="1"/>
  <c r="W5228" i="14"/>
  <c r="P5228" i="14"/>
  <c r="O5228" i="14"/>
  <c r="W5227" i="14"/>
  <c r="V5227" i="14"/>
  <c r="U5227" i="14"/>
  <c r="P5227" i="14"/>
  <c r="O5227" i="14"/>
  <c r="R5227" i="14" s="1"/>
  <c r="W5226" i="14"/>
  <c r="P5226" i="14"/>
  <c r="O5226" i="14"/>
  <c r="W5225" i="14"/>
  <c r="V5225" i="14"/>
  <c r="U5225" i="14"/>
  <c r="P5225" i="14"/>
  <c r="O5225" i="14"/>
  <c r="R5225" i="14" s="1"/>
  <c r="W5224" i="14"/>
  <c r="P5224" i="14"/>
  <c r="O5224" i="14"/>
  <c r="W5223" i="14"/>
  <c r="V5223" i="14"/>
  <c r="U5223" i="14"/>
  <c r="P5223" i="14"/>
  <c r="O5223" i="14"/>
  <c r="R5223" i="14" s="1"/>
  <c r="P5222" i="14"/>
  <c r="O5222" i="14"/>
  <c r="H5222" i="14"/>
  <c r="W5222" i="14" s="1"/>
  <c r="W5221" i="14"/>
  <c r="P5221" i="14"/>
  <c r="O5221" i="14"/>
  <c r="R5221" i="14" s="1"/>
  <c r="W5220" i="14"/>
  <c r="P5220" i="14"/>
  <c r="O5220" i="14"/>
  <c r="R5220" i="14" s="1"/>
  <c r="P5219" i="14"/>
  <c r="O5219" i="14"/>
  <c r="H5219" i="14"/>
  <c r="W5219" i="14" s="1"/>
  <c r="W5218" i="14"/>
  <c r="V5218" i="14"/>
  <c r="U5218" i="14"/>
  <c r="P5218" i="14"/>
  <c r="O5218" i="14"/>
  <c r="R5218" i="14" s="1"/>
  <c r="W5217" i="14"/>
  <c r="P5217" i="14"/>
  <c r="O5217" i="14"/>
  <c r="R5217" i="14" s="1"/>
  <c r="W5216" i="14"/>
  <c r="V5216" i="14"/>
  <c r="U5216" i="14"/>
  <c r="P5216" i="14"/>
  <c r="O5216" i="14"/>
  <c r="R5216" i="14" s="1"/>
  <c r="P5215" i="14"/>
  <c r="O5215" i="14"/>
  <c r="H5215" i="14"/>
  <c r="W5214" i="14"/>
  <c r="P5214" i="14"/>
  <c r="O5214" i="14"/>
  <c r="W5213" i="14"/>
  <c r="V5213" i="14"/>
  <c r="U5213" i="14"/>
  <c r="P5213" i="14"/>
  <c r="O5213" i="14"/>
  <c r="R5213" i="14" s="1"/>
  <c r="W5212" i="14"/>
  <c r="P5212" i="14"/>
  <c r="O5212" i="14"/>
  <c r="W5211" i="14"/>
  <c r="V5211" i="14"/>
  <c r="U5211" i="14"/>
  <c r="P5211" i="14"/>
  <c r="O5211" i="14"/>
  <c r="R5211" i="14" s="1"/>
  <c r="W5210" i="14"/>
  <c r="P5210" i="14"/>
  <c r="O5210" i="14"/>
  <c r="W5209" i="14"/>
  <c r="V5209" i="14"/>
  <c r="U5209" i="14"/>
  <c r="P5209" i="14"/>
  <c r="O5209" i="14"/>
  <c r="R5209" i="14" s="1"/>
  <c r="W5208" i="14"/>
  <c r="P5208" i="14"/>
  <c r="O5208" i="14"/>
  <c r="W5207" i="14"/>
  <c r="V5207" i="14"/>
  <c r="U5207" i="14"/>
  <c r="P5207" i="14"/>
  <c r="O5207" i="14"/>
  <c r="R5207" i="14" s="1"/>
  <c r="P5206" i="14"/>
  <c r="O5206" i="14"/>
  <c r="R5206" i="14" s="1"/>
  <c r="H5206" i="14"/>
  <c r="W5206" i="14" s="1"/>
  <c r="W5205" i="14"/>
  <c r="P5205" i="14"/>
  <c r="O5205" i="14"/>
  <c r="W5204" i="14"/>
  <c r="P5204" i="14"/>
  <c r="O5204" i="14"/>
  <c r="P5203" i="14"/>
  <c r="O5203" i="14"/>
  <c r="H5203" i="14"/>
  <c r="W5203" i="14" s="1"/>
  <c r="H5139" i="14"/>
  <c r="W5139" i="14" s="1"/>
  <c r="O5139" i="14"/>
  <c r="R5139" i="14" s="1"/>
  <c r="P5139" i="14"/>
  <c r="O5140" i="14"/>
  <c r="R5140" i="14" s="1"/>
  <c r="P5140" i="14"/>
  <c r="W5140" i="14"/>
  <c r="O5141" i="14"/>
  <c r="P5141" i="14"/>
  <c r="W5141" i="14"/>
  <c r="H5142" i="14"/>
  <c r="O5142" i="14"/>
  <c r="P5142" i="14"/>
  <c r="O5143" i="14"/>
  <c r="P5143" i="14"/>
  <c r="U5143" i="14"/>
  <c r="V5143" i="14"/>
  <c r="W5143" i="14"/>
  <c r="O5144" i="14"/>
  <c r="R5144" i="14" s="1"/>
  <c r="P5144" i="14"/>
  <c r="W5144" i="14"/>
  <c r="O5145" i="14"/>
  <c r="P5145" i="14"/>
  <c r="U5145" i="14"/>
  <c r="V5145" i="14"/>
  <c r="W5145" i="14"/>
  <c r="O5146" i="14"/>
  <c r="R5146" i="14" s="1"/>
  <c r="P5146" i="14"/>
  <c r="W5146" i="14"/>
  <c r="O5147" i="14"/>
  <c r="P5147" i="14"/>
  <c r="U5147" i="14"/>
  <c r="V5147" i="14"/>
  <c r="W5147" i="14"/>
  <c r="O5148" i="14"/>
  <c r="R5148" i="14" s="1"/>
  <c r="P5148" i="14"/>
  <c r="W5148" i="14"/>
  <c r="O5149" i="14"/>
  <c r="P5149" i="14"/>
  <c r="U5149" i="14"/>
  <c r="V5149" i="14"/>
  <c r="W5149" i="14"/>
  <c r="O5150" i="14"/>
  <c r="R5150" i="14" s="1"/>
  <c r="P5150" i="14"/>
  <c r="W5150" i="14"/>
  <c r="H5151" i="14"/>
  <c r="W5151" i="14" s="1"/>
  <c r="O5151" i="14"/>
  <c r="R5151" i="14" s="1"/>
  <c r="P5151" i="14"/>
  <c r="O5152" i="14"/>
  <c r="P5152" i="14"/>
  <c r="U5152" i="14"/>
  <c r="V5152" i="14"/>
  <c r="W5152" i="14"/>
  <c r="O5153" i="14"/>
  <c r="P5153" i="14"/>
  <c r="W5153" i="14"/>
  <c r="O5154" i="14"/>
  <c r="P5154" i="14"/>
  <c r="U5154" i="14"/>
  <c r="V5154" i="14"/>
  <c r="W5154" i="14"/>
  <c r="W5202" i="14"/>
  <c r="V5202" i="14"/>
  <c r="U5202" i="14"/>
  <c r="P5202" i="14"/>
  <c r="O5202" i="14"/>
  <c r="R5202" i="14" s="1"/>
  <c r="W5201" i="14"/>
  <c r="P5201" i="14"/>
  <c r="O5201" i="14"/>
  <c r="R5201" i="14" s="1"/>
  <c r="W5200" i="14"/>
  <c r="V5200" i="14"/>
  <c r="U5200" i="14"/>
  <c r="P5200" i="14"/>
  <c r="O5200" i="14"/>
  <c r="R5200" i="14" s="1"/>
  <c r="P5199" i="14"/>
  <c r="O5199" i="14"/>
  <c r="H5199" i="14"/>
  <c r="W5199" i="14" s="1"/>
  <c r="W5198" i="14"/>
  <c r="P5198" i="14"/>
  <c r="O5198" i="14"/>
  <c r="W5197" i="14"/>
  <c r="V5197" i="14"/>
  <c r="U5197" i="14"/>
  <c r="P5197" i="14"/>
  <c r="O5197" i="14"/>
  <c r="R5197" i="14" s="1"/>
  <c r="W5196" i="14"/>
  <c r="P5196" i="14"/>
  <c r="O5196" i="14"/>
  <c r="W5195" i="14"/>
  <c r="V5195" i="14"/>
  <c r="U5195" i="14"/>
  <c r="P5195" i="14"/>
  <c r="O5195" i="14"/>
  <c r="R5195" i="14" s="1"/>
  <c r="W5194" i="14"/>
  <c r="P5194" i="14"/>
  <c r="O5194" i="14"/>
  <c r="W5193" i="14"/>
  <c r="V5193" i="14"/>
  <c r="U5193" i="14"/>
  <c r="P5193" i="14"/>
  <c r="O5193" i="14"/>
  <c r="R5193" i="14" s="1"/>
  <c r="W5192" i="14"/>
  <c r="P5192" i="14"/>
  <c r="O5192" i="14"/>
  <c r="W5191" i="14"/>
  <c r="V5191" i="14"/>
  <c r="U5191" i="14"/>
  <c r="P5191" i="14"/>
  <c r="O5191" i="14"/>
  <c r="R5191" i="14" s="1"/>
  <c r="P5190" i="14"/>
  <c r="O5190" i="14"/>
  <c r="R5190" i="14" s="1"/>
  <c r="H5190" i="14"/>
  <c r="W5190" i="14" s="1"/>
  <c r="W5189" i="14"/>
  <c r="P5189" i="14"/>
  <c r="O5189" i="14"/>
  <c r="W5188" i="14"/>
  <c r="P5188" i="14"/>
  <c r="O5188" i="14"/>
  <c r="P5187" i="14"/>
  <c r="O5187" i="14"/>
  <c r="H5187" i="14"/>
  <c r="W5187" i="14" s="1"/>
  <c r="R5154" i="14" l="1"/>
  <c r="R5152" i="14"/>
  <c r="R5187" i="14"/>
  <c r="R5192" i="14"/>
  <c r="R5194" i="14"/>
  <c r="R5196" i="14"/>
  <c r="R5198" i="14"/>
  <c r="R5141" i="14"/>
  <c r="R5203" i="14"/>
  <c r="R5208" i="14"/>
  <c r="R5210" i="14"/>
  <c r="R5212" i="14"/>
  <c r="R5214" i="14"/>
  <c r="R5231" i="14"/>
  <c r="R5235" i="14"/>
  <c r="R5249" i="14"/>
  <c r="R5254" i="14"/>
  <c r="R5269" i="14"/>
  <c r="R5283" i="14"/>
  <c r="R5295" i="14"/>
  <c r="R5298" i="14"/>
  <c r="R5188" i="14"/>
  <c r="R5153" i="14"/>
  <c r="R5149" i="14"/>
  <c r="R5147" i="14"/>
  <c r="R5145" i="14"/>
  <c r="R5143" i="14"/>
  <c r="R5204" i="14"/>
  <c r="R5232" i="14"/>
  <c r="R5234" i="14"/>
  <c r="R5236" i="14"/>
  <c r="R5255" i="14"/>
  <c r="R5257" i="14"/>
  <c r="R5259" i="14"/>
  <c r="R5261" i="14"/>
  <c r="R5265" i="14"/>
  <c r="R5277" i="14"/>
  <c r="R5279" i="14"/>
  <c r="R5282" i="14"/>
  <c r="R5284" i="14"/>
  <c r="R5296" i="14"/>
  <c r="R5199" i="14"/>
  <c r="R5142" i="14"/>
  <c r="R5215" i="14"/>
  <c r="R5219" i="14"/>
  <c r="R5224" i="14"/>
  <c r="R5226" i="14"/>
  <c r="R5228" i="14"/>
  <c r="R5230" i="14"/>
  <c r="R5242" i="14"/>
  <c r="R5245" i="14"/>
  <c r="R5253" i="14"/>
  <c r="R5270" i="14"/>
  <c r="R5273" i="14"/>
  <c r="R5275" i="14"/>
  <c r="R5280" i="14"/>
  <c r="R5292" i="14"/>
  <c r="R5294" i="14"/>
  <c r="R5189" i="14"/>
  <c r="R5205" i="14"/>
  <c r="R5222" i="14"/>
  <c r="R5237" i="14"/>
  <c r="R5248" i="14"/>
  <c r="R5264" i="14"/>
  <c r="W5247" i="14"/>
  <c r="W5343" i="14"/>
  <c r="W5334" i="14"/>
  <c r="W5331" i="14"/>
  <c r="N5253" i="14"/>
  <c r="N5266" i="14"/>
  <c r="N5263" i="14"/>
  <c r="N5261" i="14"/>
  <c r="N5260" i="14"/>
  <c r="N5256" i="14"/>
  <c r="N5252" i="14"/>
  <c r="N5264" i="14"/>
  <c r="N5257" i="14"/>
  <c r="N5254" i="14"/>
  <c r="N5251" i="14"/>
  <c r="N5262" i="14"/>
  <c r="N5259" i="14"/>
  <c r="N5265" i="14"/>
  <c r="N5255" i="14"/>
  <c r="N5258" i="14"/>
  <c r="N5278" i="14"/>
  <c r="N5275" i="14"/>
  <c r="N5272" i="14"/>
  <c r="N5279" i="14"/>
  <c r="N5280" i="14"/>
  <c r="N5274" i="14"/>
  <c r="N5269" i="14"/>
  <c r="N5273" i="14"/>
  <c r="N5277" i="14"/>
  <c r="N5268" i="14"/>
  <c r="N5281" i="14"/>
  <c r="N5271" i="14"/>
  <c r="N5282" i="14"/>
  <c r="N5276" i="14"/>
  <c r="N5270" i="14"/>
  <c r="N5267" i="14"/>
  <c r="N5164" i="14"/>
  <c r="N5169" i="14"/>
  <c r="N5160" i="14"/>
  <c r="N5161" i="14"/>
  <c r="N5158" i="14"/>
  <c r="N5155" i="14"/>
  <c r="N5159" i="14"/>
  <c r="N5166" i="14"/>
  <c r="N5163" i="14"/>
  <c r="N5170" i="14"/>
  <c r="N5167" i="14"/>
  <c r="N5157" i="14"/>
  <c r="N5168" i="14"/>
  <c r="N5162" i="14"/>
  <c r="N5165" i="14"/>
  <c r="N5156" i="14"/>
  <c r="N5302" i="14"/>
  <c r="N5299" i="14"/>
  <c r="N5305" i="14"/>
  <c r="N5311" i="14"/>
  <c r="N5300" i="14"/>
  <c r="N5303" i="14"/>
  <c r="N5304" i="14"/>
  <c r="N5314" i="14"/>
  <c r="N5310" i="14"/>
  <c r="N5307" i="14"/>
  <c r="N5313" i="14"/>
  <c r="N5312" i="14"/>
  <c r="N5301" i="14"/>
  <c r="N5306" i="14"/>
  <c r="N5309" i="14"/>
  <c r="N5308" i="14"/>
  <c r="U5277" i="14"/>
  <c r="W5279" i="14"/>
  <c r="U5265" i="14"/>
  <c r="V5265" i="14"/>
  <c r="W5263" i="14"/>
  <c r="U5228" i="14"/>
  <c r="U5233" i="14"/>
  <c r="V5233" i="14"/>
  <c r="V5231" i="14"/>
  <c r="V5220" i="14"/>
  <c r="V5228" i="14"/>
  <c r="U5208" i="14"/>
  <c r="V5208" i="14"/>
  <c r="W5215" i="14"/>
  <c r="V5204" i="14"/>
  <c r="W5142" i="14"/>
  <c r="V5189" i="14"/>
  <c r="U5192" i="14"/>
  <c r="V5192" i="14"/>
  <c r="V5188" i="14"/>
  <c r="H5167" i="14"/>
  <c r="W5186" i="14"/>
  <c r="P5186" i="14"/>
  <c r="O5186" i="14"/>
  <c r="R5186" i="14" s="1"/>
  <c r="W5185" i="14"/>
  <c r="P5185" i="14"/>
  <c r="O5185" i="14"/>
  <c r="W5184" i="14"/>
  <c r="V5184" i="14"/>
  <c r="U5184" i="14"/>
  <c r="P5184" i="14"/>
  <c r="O5184" i="14"/>
  <c r="R5184" i="14" s="1"/>
  <c r="P5183" i="14"/>
  <c r="O5183" i="14"/>
  <c r="H5183" i="14"/>
  <c r="W5183" i="14" s="1"/>
  <c r="W5182" i="14"/>
  <c r="P5182" i="14"/>
  <c r="O5182" i="14"/>
  <c r="R5182" i="14" s="1"/>
  <c r="W5181" i="14"/>
  <c r="P5181" i="14"/>
  <c r="O5181" i="14"/>
  <c r="W5180" i="14"/>
  <c r="P5180" i="14"/>
  <c r="O5180" i="14"/>
  <c r="R5180" i="14" s="1"/>
  <c r="W5179" i="14"/>
  <c r="V5179" i="14"/>
  <c r="U5179" i="14"/>
  <c r="P5179" i="14"/>
  <c r="O5179" i="14"/>
  <c r="W5178" i="14"/>
  <c r="P5178" i="14"/>
  <c r="O5178" i="14"/>
  <c r="R5178" i="14" s="1"/>
  <c r="W5177" i="14"/>
  <c r="P5177" i="14"/>
  <c r="O5177" i="14"/>
  <c r="W5176" i="14"/>
  <c r="P5176" i="14"/>
  <c r="O5176" i="14"/>
  <c r="W5175" i="14"/>
  <c r="V5175" i="14"/>
  <c r="U5175" i="14"/>
  <c r="P5175" i="14"/>
  <c r="O5175" i="14"/>
  <c r="P5174" i="14"/>
  <c r="O5174" i="14"/>
  <c r="H5174" i="14"/>
  <c r="W5173" i="14"/>
  <c r="P5173" i="14"/>
  <c r="O5173" i="14"/>
  <c r="W5172" i="14"/>
  <c r="P5172" i="14"/>
  <c r="O5172" i="14"/>
  <c r="R5172" i="14" s="1"/>
  <c r="P5171" i="14"/>
  <c r="O5171" i="14"/>
  <c r="H5171" i="14"/>
  <c r="W5170" i="14"/>
  <c r="V5170" i="14"/>
  <c r="U5170" i="14"/>
  <c r="P5170" i="14"/>
  <c r="O5170" i="14"/>
  <c r="R5170" i="14" s="1"/>
  <c r="W5169" i="14"/>
  <c r="P5169" i="14"/>
  <c r="O5169" i="14"/>
  <c r="W5168" i="14"/>
  <c r="V5168" i="14"/>
  <c r="U5168" i="14"/>
  <c r="P5168" i="14"/>
  <c r="O5168" i="14"/>
  <c r="R5168" i="14" s="1"/>
  <c r="P5167" i="14"/>
  <c r="O5167" i="14"/>
  <c r="W5166" i="14"/>
  <c r="P5166" i="14"/>
  <c r="O5166" i="14"/>
  <c r="W5165" i="14"/>
  <c r="V5165" i="14"/>
  <c r="U5165" i="14"/>
  <c r="P5165" i="14"/>
  <c r="O5165" i="14"/>
  <c r="W5164" i="14"/>
  <c r="P5164" i="14"/>
  <c r="O5164" i="14"/>
  <c r="W5163" i="14"/>
  <c r="V5163" i="14"/>
  <c r="U5163" i="14"/>
  <c r="P5163" i="14"/>
  <c r="O5163" i="14"/>
  <c r="W5162" i="14"/>
  <c r="P5162" i="14"/>
  <c r="O5162" i="14"/>
  <c r="W5161" i="14"/>
  <c r="V5161" i="14"/>
  <c r="U5161" i="14"/>
  <c r="P5161" i="14"/>
  <c r="O5161" i="14"/>
  <c r="W5160" i="14"/>
  <c r="P5160" i="14"/>
  <c r="O5160" i="14"/>
  <c r="W5159" i="14"/>
  <c r="V5159" i="14"/>
  <c r="U5159" i="14"/>
  <c r="P5159" i="14"/>
  <c r="O5159" i="14"/>
  <c r="P5158" i="14"/>
  <c r="O5158" i="14"/>
  <c r="R5158" i="14" s="1"/>
  <c r="H5158" i="14"/>
  <c r="W5158" i="14" s="1"/>
  <c r="W5157" i="14"/>
  <c r="P5157" i="14"/>
  <c r="O5157" i="14"/>
  <c r="R5157" i="14" s="1"/>
  <c r="W5156" i="14"/>
  <c r="V5156" i="14"/>
  <c r="U5156" i="14"/>
  <c r="P5156" i="14"/>
  <c r="O5156" i="14"/>
  <c r="P5155" i="14"/>
  <c r="O5155" i="14"/>
  <c r="H5155" i="14"/>
  <c r="W5155" i="14" s="1"/>
  <c r="H4881" i="14"/>
  <c r="R5156" i="14" l="1"/>
  <c r="R5160" i="14"/>
  <c r="R5162" i="14"/>
  <c r="R5164" i="14"/>
  <c r="R5166" i="14"/>
  <c r="R5173" i="14"/>
  <c r="R5159" i="14"/>
  <c r="R5161" i="14"/>
  <c r="R5163" i="14"/>
  <c r="R5165" i="14"/>
  <c r="R5167" i="14"/>
  <c r="R5171" i="14"/>
  <c r="R5176" i="14"/>
  <c r="R5183" i="14"/>
  <c r="R5169" i="14"/>
  <c r="R5185" i="14"/>
  <c r="R5155" i="14"/>
  <c r="R5175" i="14"/>
  <c r="R5177" i="14"/>
  <c r="R5174" i="14"/>
  <c r="R5179" i="14"/>
  <c r="R5181" i="14"/>
  <c r="N5248" i="14"/>
  <c r="N5242" i="14"/>
  <c r="N5244" i="14"/>
  <c r="N5250" i="14"/>
  <c r="N5238" i="14"/>
  <c r="N5235" i="14"/>
  <c r="N5240" i="14"/>
  <c r="N5246" i="14"/>
  <c r="N5243" i="14"/>
  <c r="N5239" i="14"/>
  <c r="N5237" i="14"/>
  <c r="N5241" i="14"/>
  <c r="N5247" i="14"/>
  <c r="N5236" i="14"/>
  <c r="N5245" i="14"/>
  <c r="N5249" i="14"/>
  <c r="V5263" i="14"/>
  <c r="V5219" i="14"/>
  <c r="U5220" i="14"/>
  <c r="U5204" i="14"/>
  <c r="U5188" i="14"/>
  <c r="W5174" i="14"/>
  <c r="W5171" i="14"/>
  <c r="W5167" i="14"/>
  <c r="U5157" i="14"/>
  <c r="V5157" i="14"/>
  <c r="N5189" i="14" l="1"/>
  <c r="N5188" i="14"/>
  <c r="N5197" i="14"/>
  <c r="N5200" i="14"/>
  <c r="N5201" i="14"/>
  <c r="N5191" i="14"/>
  <c r="N5194" i="14"/>
  <c r="N5202" i="14"/>
  <c r="N5199" i="14"/>
  <c r="N5196" i="14"/>
  <c r="N5190" i="14"/>
  <c r="N5187" i="14"/>
  <c r="N5192" i="14"/>
  <c r="N5198" i="14"/>
  <c r="N5195" i="14"/>
  <c r="N5193" i="14"/>
  <c r="N5231" i="14"/>
  <c r="N5222" i="14"/>
  <c r="N5219" i="14"/>
  <c r="N5232" i="14"/>
  <c r="N5230" i="14"/>
  <c r="N5227" i="14"/>
  <c r="N5221" i="14"/>
  <c r="N5220" i="14"/>
  <c r="N5225" i="14"/>
  <c r="N5229" i="14"/>
  <c r="N5228" i="14"/>
  <c r="N5233" i="14"/>
  <c r="N5224" i="14"/>
  <c r="N5223" i="14"/>
  <c r="N5234" i="14"/>
  <c r="N5226" i="14"/>
  <c r="N5116" i="14"/>
  <c r="N5108" i="14"/>
  <c r="N5122" i="14"/>
  <c r="N5110" i="14"/>
  <c r="N5112" i="14"/>
  <c r="N5118" i="14"/>
  <c r="N5115" i="14"/>
  <c r="N5113" i="14"/>
  <c r="N5119" i="14"/>
  <c r="N5121" i="14"/>
  <c r="N5109" i="14"/>
  <c r="N5120" i="14"/>
  <c r="N5117" i="14"/>
  <c r="N5114" i="14"/>
  <c r="N5111" i="14"/>
  <c r="N5125" i="14"/>
  <c r="N5128" i="14"/>
  <c r="N5137" i="14"/>
  <c r="N5133" i="14"/>
  <c r="N5129" i="14"/>
  <c r="N5136" i="14"/>
  <c r="N5126" i="14"/>
  <c r="N5123" i="14"/>
  <c r="N5127" i="14"/>
  <c r="N5130" i="14"/>
  <c r="N5124" i="14"/>
  <c r="N5134" i="14"/>
  <c r="N5131" i="14"/>
  <c r="N5138" i="14"/>
  <c r="N5135" i="14"/>
  <c r="N5132" i="14"/>
  <c r="U5164" i="14"/>
  <c r="V5155" i="14"/>
  <c r="U5166" i="14"/>
  <c r="W5138" i="14" l="1"/>
  <c r="V5138" i="14"/>
  <c r="U5138" i="14"/>
  <c r="P5138" i="14"/>
  <c r="O5138" i="14"/>
  <c r="W5137" i="14"/>
  <c r="P5137" i="14"/>
  <c r="O5137" i="14"/>
  <c r="W5136" i="14"/>
  <c r="P5136" i="14"/>
  <c r="O5136" i="14"/>
  <c r="P5135" i="14"/>
  <c r="O5135" i="14"/>
  <c r="H5135" i="14"/>
  <c r="W5134" i="14"/>
  <c r="P5134" i="14"/>
  <c r="O5134" i="14"/>
  <c r="R5134" i="14" s="1"/>
  <c r="W5133" i="14"/>
  <c r="V5133" i="14"/>
  <c r="U5133" i="14"/>
  <c r="P5133" i="14"/>
  <c r="O5133" i="14"/>
  <c r="R5133" i="14" s="1"/>
  <c r="W5132" i="14"/>
  <c r="P5132" i="14"/>
  <c r="O5132" i="14"/>
  <c r="R5132" i="14" s="1"/>
  <c r="W5131" i="14"/>
  <c r="P5131" i="14"/>
  <c r="O5131" i="14"/>
  <c r="R5131" i="14" s="1"/>
  <c r="W5130" i="14"/>
  <c r="P5130" i="14"/>
  <c r="O5130" i="14"/>
  <c r="R5130" i="14" s="1"/>
  <c r="W5129" i="14"/>
  <c r="V5129" i="14"/>
  <c r="U5129" i="14"/>
  <c r="P5129" i="14"/>
  <c r="O5129" i="14"/>
  <c r="R5129" i="14" s="1"/>
  <c r="W5128" i="14"/>
  <c r="P5128" i="14"/>
  <c r="O5128" i="14"/>
  <c r="W5127" i="14"/>
  <c r="P5127" i="14"/>
  <c r="O5127" i="14"/>
  <c r="R5127" i="14" s="1"/>
  <c r="P5126" i="14"/>
  <c r="O5126" i="14"/>
  <c r="R5126" i="14" s="1"/>
  <c r="H5126" i="14"/>
  <c r="W5126" i="14" s="1"/>
  <c r="W5125" i="14"/>
  <c r="P5125" i="14"/>
  <c r="O5125" i="14"/>
  <c r="W5124" i="14"/>
  <c r="P5124" i="14"/>
  <c r="O5124" i="14"/>
  <c r="P5123" i="14"/>
  <c r="O5123" i="14"/>
  <c r="H5123" i="14"/>
  <c r="W5123" i="14" s="1"/>
  <c r="W5122" i="14"/>
  <c r="P5122" i="14"/>
  <c r="O5122" i="14"/>
  <c r="R5122" i="14" s="1"/>
  <c r="W5121" i="14"/>
  <c r="P5121" i="14"/>
  <c r="O5121" i="14"/>
  <c r="R5121" i="14" s="1"/>
  <c r="W5120" i="14"/>
  <c r="P5120" i="14"/>
  <c r="O5120" i="14"/>
  <c r="P5119" i="14"/>
  <c r="O5119" i="14"/>
  <c r="R5119" i="14" s="1"/>
  <c r="H5119" i="14"/>
  <c r="W5118" i="14"/>
  <c r="P5118" i="14"/>
  <c r="O5118" i="14"/>
  <c r="W5117" i="14"/>
  <c r="V5117" i="14"/>
  <c r="U5117" i="14"/>
  <c r="P5117" i="14"/>
  <c r="O5117" i="14"/>
  <c r="R5117" i="14" s="1"/>
  <c r="W5116" i="14"/>
  <c r="P5116" i="14"/>
  <c r="O5116" i="14"/>
  <c r="W5115" i="14"/>
  <c r="P5115" i="14"/>
  <c r="O5115" i="14"/>
  <c r="W5114" i="14"/>
  <c r="P5114" i="14"/>
  <c r="O5114" i="14"/>
  <c r="W5113" i="14"/>
  <c r="P5113" i="14"/>
  <c r="O5113" i="14"/>
  <c r="R5113" i="14" s="1"/>
  <c r="W5112" i="14"/>
  <c r="P5112" i="14"/>
  <c r="R5112" i="14"/>
  <c r="W5111" i="14"/>
  <c r="P5111" i="14"/>
  <c r="S5111" i="14" s="1"/>
  <c r="O5111" i="14"/>
  <c r="R5111" i="14" s="1"/>
  <c r="P5110" i="14"/>
  <c r="O5110" i="14"/>
  <c r="R5110" i="14" s="1"/>
  <c r="H5110" i="14"/>
  <c r="W5109" i="14"/>
  <c r="P5109" i="14"/>
  <c r="O5109" i="14"/>
  <c r="R5109" i="14" s="1"/>
  <c r="W5108" i="14"/>
  <c r="P5108" i="14"/>
  <c r="O5108" i="14"/>
  <c r="P5107" i="14"/>
  <c r="O5107" i="14"/>
  <c r="R5107" i="14" s="1"/>
  <c r="H5107" i="14"/>
  <c r="R5137" i="14" l="1"/>
  <c r="R5120" i="14"/>
  <c r="R5128" i="14"/>
  <c r="R5108" i="14"/>
  <c r="R5116" i="14"/>
  <c r="R5118" i="14"/>
  <c r="R5123" i="14"/>
  <c r="R5135" i="14"/>
  <c r="R5138" i="14"/>
  <c r="R5125" i="14"/>
  <c r="R5114" i="14"/>
  <c r="R5124" i="14"/>
  <c r="R5136" i="14"/>
  <c r="R5115" i="14"/>
  <c r="N5150" i="14"/>
  <c r="N5147" i="14"/>
  <c r="N5145" i="14"/>
  <c r="N5148" i="14"/>
  <c r="N5151" i="14"/>
  <c r="N5140" i="14"/>
  <c r="N5141" i="14"/>
  <c r="N5153" i="14"/>
  <c r="N5143" i="14"/>
  <c r="N5149" i="14"/>
  <c r="N5154" i="14"/>
  <c r="N5144" i="14"/>
  <c r="N5142" i="14"/>
  <c r="N5139" i="14"/>
  <c r="N5152" i="14"/>
  <c r="N5146" i="14"/>
  <c r="W5135" i="14"/>
  <c r="V5136" i="14"/>
  <c r="W5107" i="14"/>
  <c r="W5110" i="14"/>
  <c r="W5119" i="14"/>
  <c r="V5122" i="14"/>
  <c r="H2927" i="14"/>
  <c r="W5106" i="14"/>
  <c r="P5106" i="14"/>
  <c r="O5106" i="14"/>
  <c r="W5105" i="14"/>
  <c r="V5105" i="14"/>
  <c r="U5105" i="14"/>
  <c r="P5105" i="14"/>
  <c r="O5105" i="14"/>
  <c r="W5104" i="14"/>
  <c r="V5104" i="14"/>
  <c r="U5104" i="14"/>
  <c r="P5104" i="14"/>
  <c r="O5104" i="14"/>
  <c r="P5103" i="14"/>
  <c r="O5103" i="14"/>
  <c r="R5103" i="14" s="1"/>
  <c r="L5103" i="14"/>
  <c r="H5103" i="14"/>
  <c r="G5103" i="14"/>
  <c r="W5102" i="14"/>
  <c r="P5102" i="14"/>
  <c r="O5102" i="14"/>
  <c r="W5101" i="14"/>
  <c r="P5101" i="14"/>
  <c r="O5101" i="14"/>
  <c r="W5100" i="14"/>
  <c r="V5100" i="14"/>
  <c r="U5100" i="14"/>
  <c r="P5100" i="14"/>
  <c r="O5100" i="14"/>
  <c r="W5099" i="14"/>
  <c r="V5099" i="14"/>
  <c r="U5099" i="14"/>
  <c r="P5099" i="14"/>
  <c r="O5099" i="14"/>
  <c r="R5099" i="14" s="1"/>
  <c r="W5098" i="14"/>
  <c r="V5098" i="14"/>
  <c r="U5098" i="14"/>
  <c r="P5098" i="14"/>
  <c r="O5098" i="14"/>
  <c r="R5098" i="14" s="1"/>
  <c r="W5097" i="14"/>
  <c r="P5097" i="14"/>
  <c r="O5097" i="14"/>
  <c r="R5097" i="14" s="1"/>
  <c r="W5096" i="14"/>
  <c r="V5096" i="14"/>
  <c r="U5096" i="14"/>
  <c r="P5096" i="14"/>
  <c r="O5096" i="14"/>
  <c r="R5096" i="14" s="1"/>
  <c r="W5095" i="14"/>
  <c r="V5095" i="14"/>
  <c r="U5095" i="14"/>
  <c r="P5095" i="14"/>
  <c r="O5095" i="14"/>
  <c r="P5094" i="14"/>
  <c r="O5094" i="14"/>
  <c r="R5094" i="14" s="1"/>
  <c r="L5094" i="14"/>
  <c r="H5094" i="14"/>
  <c r="G5094" i="14"/>
  <c r="W5093" i="14"/>
  <c r="P5093" i="14"/>
  <c r="O5093" i="14"/>
  <c r="W5092" i="14"/>
  <c r="P5092" i="14"/>
  <c r="O5092" i="14"/>
  <c r="R5092" i="14" s="1"/>
  <c r="P5091" i="14"/>
  <c r="O5091" i="14"/>
  <c r="L5091" i="14"/>
  <c r="H5091" i="14"/>
  <c r="W5091" i="14" s="1"/>
  <c r="G5091" i="14"/>
  <c r="H4671" i="14"/>
  <c r="H4662" i="14"/>
  <c r="H4659" i="14"/>
  <c r="W5090" i="14"/>
  <c r="P5090" i="14"/>
  <c r="O5090" i="14"/>
  <c r="R5090" i="14" s="1"/>
  <c r="W5089" i="14"/>
  <c r="V5089" i="14"/>
  <c r="U5089" i="14"/>
  <c r="P5089" i="14"/>
  <c r="O5089" i="14"/>
  <c r="R5089" i="14" s="1"/>
  <c r="W5088" i="14"/>
  <c r="P5088" i="14"/>
  <c r="O5088" i="14"/>
  <c r="R5088" i="14" s="1"/>
  <c r="P5087" i="14"/>
  <c r="O5087" i="14"/>
  <c r="H5087" i="14"/>
  <c r="G5087" i="14"/>
  <c r="W5086" i="14"/>
  <c r="P5086" i="14"/>
  <c r="O5086" i="14"/>
  <c r="W5085" i="14"/>
  <c r="P5085" i="14"/>
  <c r="O5085" i="14"/>
  <c r="W5084" i="14"/>
  <c r="V5084" i="14"/>
  <c r="U5084" i="14"/>
  <c r="P5084" i="14"/>
  <c r="O5084" i="14"/>
  <c r="W5083" i="14"/>
  <c r="P5083" i="14"/>
  <c r="O5083" i="14"/>
  <c r="W5082" i="14"/>
  <c r="P5082" i="14"/>
  <c r="O5082" i="14"/>
  <c r="R5082" i="14" s="1"/>
  <c r="W5081" i="14"/>
  <c r="P5081" i="14"/>
  <c r="O5081" i="14"/>
  <c r="R5081" i="14" s="1"/>
  <c r="W5080" i="14"/>
  <c r="V5080" i="14"/>
  <c r="U5080" i="14"/>
  <c r="P5080" i="14"/>
  <c r="O5080" i="14"/>
  <c r="R5080" i="14" s="1"/>
  <c r="W5079" i="14"/>
  <c r="P5079" i="14"/>
  <c r="O5079" i="14"/>
  <c r="R5079" i="14" s="1"/>
  <c r="P5078" i="14"/>
  <c r="O5078" i="14"/>
  <c r="H5078" i="14"/>
  <c r="W5078" i="14" s="1"/>
  <c r="G5078" i="14"/>
  <c r="W5077" i="14"/>
  <c r="P5077" i="14"/>
  <c r="O5077" i="14"/>
  <c r="W5076" i="14"/>
  <c r="P5076" i="14"/>
  <c r="O5076" i="14"/>
  <c r="P5075" i="14"/>
  <c r="O5075" i="14"/>
  <c r="R5075" i="14" s="1"/>
  <c r="H5075" i="14"/>
  <c r="W5075" i="14" s="1"/>
  <c r="G5075" i="14"/>
  <c r="G5071" i="14"/>
  <c r="G5062" i="14"/>
  <c r="G5059" i="14"/>
  <c r="W5074" i="14"/>
  <c r="P5074" i="14"/>
  <c r="O5074" i="14"/>
  <c r="W5073" i="14"/>
  <c r="V5073" i="14"/>
  <c r="U5073" i="14"/>
  <c r="P5073" i="14"/>
  <c r="O5073" i="14"/>
  <c r="W5072" i="14"/>
  <c r="V5072" i="14"/>
  <c r="U5072" i="14"/>
  <c r="P5072" i="14"/>
  <c r="O5072" i="14"/>
  <c r="R5072" i="14" s="1"/>
  <c r="P5071" i="14"/>
  <c r="O5071" i="14"/>
  <c r="H5071" i="14"/>
  <c r="W5070" i="14"/>
  <c r="P5070" i="14"/>
  <c r="O5070" i="14"/>
  <c r="W5069" i="14"/>
  <c r="P5069" i="14"/>
  <c r="O5069" i="14"/>
  <c r="R5069" i="14" s="1"/>
  <c r="W5068" i="14"/>
  <c r="V5068" i="14"/>
  <c r="U5068" i="14"/>
  <c r="P5068" i="14"/>
  <c r="O5068" i="14"/>
  <c r="W5067" i="14"/>
  <c r="V5067" i="14"/>
  <c r="U5067" i="14"/>
  <c r="P5067" i="14"/>
  <c r="O5067" i="14"/>
  <c r="W5066" i="14"/>
  <c r="V5066" i="14"/>
  <c r="U5066" i="14"/>
  <c r="P5066" i="14"/>
  <c r="O5066" i="14"/>
  <c r="R5066" i="14" s="1"/>
  <c r="W5065" i="14"/>
  <c r="P5065" i="14"/>
  <c r="O5065" i="14"/>
  <c r="W5064" i="14"/>
  <c r="V5064" i="14"/>
  <c r="U5064" i="14"/>
  <c r="P5064" i="14"/>
  <c r="O5064" i="14"/>
  <c r="R5064" i="14" s="1"/>
  <c r="W5063" i="14"/>
  <c r="V5063" i="14"/>
  <c r="U5063" i="14"/>
  <c r="P5063" i="14"/>
  <c r="O5063" i="14"/>
  <c r="P5062" i="14"/>
  <c r="O5062" i="14"/>
  <c r="R5062" i="14" s="1"/>
  <c r="H5062" i="14"/>
  <c r="W5061" i="14"/>
  <c r="P5061" i="14"/>
  <c r="O5061" i="14"/>
  <c r="W5060" i="14"/>
  <c r="P5060" i="14"/>
  <c r="O5060" i="14"/>
  <c r="P5059" i="14"/>
  <c r="O5059" i="14"/>
  <c r="R5059" i="14" s="1"/>
  <c r="L5059" i="14"/>
  <c r="H5059" i="14"/>
  <c r="W5059" i="14" s="1"/>
  <c r="P5058" i="14"/>
  <c r="O5058" i="14"/>
  <c r="R5058" i="14" s="1"/>
  <c r="P5057" i="14"/>
  <c r="O5057" i="14"/>
  <c r="P5056" i="14"/>
  <c r="O5056" i="14"/>
  <c r="R5056" i="14" s="1"/>
  <c r="P5055" i="14"/>
  <c r="O5055" i="14"/>
  <c r="L5055" i="14"/>
  <c r="H5055" i="14"/>
  <c r="P5054" i="14"/>
  <c r="O5054" i="14"/>
  <c r="P5053" i="14"/>
  <c r="O5053" i="14"/>
  <c r="R5053" i="14" s="1"/>
  <c r="P5052" i="14"/>
  <c r="O5052" i="14"/>
  <c r="P5051" i="14"/>
  <c r="O5051" i="14"/>
  <c r="R5051" i="14" s="1"/>
  <c r="P5050" i="14"/>
  <c r="O5050" i="14"/>
  <c r="P5049" i="14"/>
  <c r="O5049" i="14"/>
  <c r="R5049" i="14" s="1"/>
  <c r="P5048" i="14"/>
  <c r="O5048" i="14"/>
  <c r="P5047" i="14"/>
  <c r="O5047" i="14"/>
  <c r="R5047" i="14" s="1"/>
  <c r="P5046" i="14"/>
  <c r="O5046" i="14"/>
  <c r="L5046" i="14"/>
  <c r="H5046" i="14"/>
  <c r="P5045" i="14"/>
  <c r="O5045" i="14"/>
  <c r="P5044" i="14"/>
  <c r="O5044" i="14"/>
  <c r="R5044" i="14" s="1"/>
  <c r="P5043" i="14"/>
  <c r="O5043" i="14"/>
  <c r="L5043" i="14"/>
  <c r="H5043" i="14"/>
  <c r="H5030" i="14"/>
  <c r="W5042" i="14"/>
  <c r="P5042" i="14"/>
  <c r="O5042" i="14"/>
  <c r="R5042" i="14" s="1"/>
  <c r="W5041" i="14"/>
  <c r="V5041" i="14"/>
  <c r="U5041" i="14"/>
  <c r="P5041" i="14"/>
  <c r="O5041" i="14"/>
  <c r="R5041" i="14" s="1"/>
  <c r="W5040" i="14"/>
  <c r="V5040" i="14"/>
  <c r="U5040" i="14"/>
  <c r="P5040" i="14"/>
  <c r="O5040" i="14"/>
  <c r="P5039" i="14"/>
  <c r="O5039" i="14"/>
  <c r="R5039" i="14" s="1"/>
  <c r="L5039" i="14"/>
  <c r="H5039" i="14"/>
  <c r="W5038" i="14"/>
  <c r="P5038" i="14"/>
  <c r="O5038" i="14"/>
  <c r="W5037" i="14"/>
  <c r="V5037" i="14"/>
  <c r="U5037" i="14"/>
  <c r="P5037" i="14"/>
  <c r="O5037" i="14"/>
  <c r="W5036" i="14"/>
  <c r="P5036" i="14"/>
  <c r="O5036" i="14"/>
  <c r="W5035" i="14"/>
  <c r="V5035" i="14"/>
  <c r="U5035" i="14"/>
  <c r="P5035" i="14"/>
  <c r="O5035" i="14"/>
  <c r="W5034" i="14"/>
  <c r="P5034" i="14"/>
  <c r="O5034" i="14"/>
  <c r="W5033" i="14"/>
  <c r="P5033" i="14"/>
  <c r="O5033" i="14"/>
  <c r="R5033" i="14" s="1"/>
  <c r="W5032" i="14"/>
  <c r="P5032" i="14"/>
  <c r="O5032" i="14"/>
  <c r="W5031" i="14"/>
  <c r="V5031" i="14"/>
  <c r="U5031" i="14"/>
  <c r="P5031" i="14"/>
  <c r="O5031" i="14"/>
  <c r="R5031" i="14" s="1"/>
  <c r="P5030" i="14"/>
  <c r="O5030" i="14"/>
  <c r="L5030" i="14"/>
  <c r="W5029" i="14"/>
  <c r="V5029" i="14"/>
  <c r="U5029" i="14"/>
  <c r="P5029" i="14"/>
  <c r="O5029" i="14"/>
  <c r="R5029" i="14" s="1"/>
  <c r="W5028" i="14"/>
  <c r="V5028" i="14"/>
  <c r="U5028" i="14"/>
  <c r="P5028" i="14"/>
  <c r="O5028" i="14"/>
  <c r="P5027" i="14"/>
  <c r="O5027" i="14"/>
  <c r="R5027" i="14" s="1"/>
  <c r="L5027" i="14"/>
  <c r="H5027" i="14"/>
  <c r="W5027" i="14" s="1"/>
  <c r="O3859" i="14"/>
  <c r="R3859" i="14" s="1"/>
  <c r="P3859" i="14"/>
  <c r="O3860" i="14"/>
  <c r="R3860" i="14" s="1"/>
  <c r="P3860" i="14"/>
  <c r="O3861" i="14"/>
  <c r="P3861" i="14"/>
  <c r="O3862" i="14"/>
  <c r="P3862" i="14"/>
  <c r="O3863" i="14"/>
  <c r="R3863" i="14" s="1"/>
  <c r="P3863" i="14"/>
  <c r="O3864" i="14"/>
  <c r="R3864" i="14" s="1"/>
  <c r="P3864" i="14"/>
  <c r="O3865" i="14"/>
  <c r="P3865" i="14"/>
  <c r="O3866" i="14"/>
  <c r="P3866" i="14"/>
  <c r="O3867" i="14"/>
  <c r="R3867" i="14" s="1"/>
  <c r="P3867" i="14"/>
  <c r="O3868" i="14"/>
  <c r="R3868" i="14" s="1"/>
  <c r="P3868" i="14"/>
  <c r="O3869" i="14"/>
  <c r="P3869" i="14"/>
  <c r="O3870" i="14"/>
  <c r="P3870" i="14"/>
  <c r="L3871" i="14"/>
  <c r="O3871" i="14"/>
  <c r="P3871" i="14"/>
  <c r="O3872" i="14"/>
  <c r="R3872" i="14" s="1"/>
  <c r="P3872" i="14"/>
  <c r="O3873" i="14"/>
  <c r="R3873" i="14" s="1"/>
  <c r="P3873" i="14"/>
  <c r="O3874" i="14"/>
  <c r="R3874" i="14" s="1"/>
  <c r="P3874" i="14"/>
  <c r="R3870" i="14" l="1"/>
  <c r="R3866" i="14"/>
  <c r="R3862" i="14"/>
  <c r="R3869" i="14"/>
  <c r="R3865" i="14"/>
  <c r="R3861" i="14"/>
  <c r="R5040" i="14"/>
  <c r="R5043" i="14"/>
  <c r="R5046" i="14"/>
  <c r="R5050" i="14"/>
  <c r="R5054" i="14"/>
  <c r="R5057" i="14"/>
  <c r="R5060" i="14"/>
  <c r="R5068" i="14"/>
  <c r="R5070" i="14"/>
  <c r="R5074" i="14"/>
  <c r="R5076" i="14"/>
  <c r="R5078" i="14"/>
  <c r="R5083" i="14"/>
  <c r="R5085" i="14"/>
  <c r="R5087" i="14"/>
  <c r="R5093" i="14"/>
  <c r="R5095" i="14"/>
  <c r="R5100" i="14"/>
  <c r="R5102" i="14"/>
  <c r="R5104" i="14"/>
  <c r="R5028" i="14"/>
  <c r="R5034" i="14"/>
  <c r="R5036" i="14"/>
  <c r="R5038" i="14"/>
  <c r="R5063" i="14"/>
  <c r="R5106" i="14"/>
  <c r="R3871" i="14"/>
  <c r="R5032" i="14"/>
  <c r="R5061" i="14"/>
  <c r="R5065" i="14"/>
  <c r="R5067" i="14"/>
  <c r="R5073" i="14"/>
  <c r="R5077" i="14"/>
  <c r="R5084" i="14"/>
  <c r="R5086" i="14"/>
  <c r="R5091" i="14"/>
  <c r="R5030" i="14"/>
  <c r="R5035" i="14"/>
  <c r="R5037" i="14"/>
  <c r="R5045" i="14"/>
  <c r="R5048" i="14"/>
  <c r="R5052" i="14"/>
  <c r="R5055" i="14"/>
  <c r="R5071" i="14"/>
  <c r="R5101" i="14"/>
  <c r="R5105" i="14"/>
  <c r="U5127" i="14"/>
  <c r="U5124" i="14"/>
  <c r="U5136" i="14"/>
  <c r="U5113" i="14"/>
  <c r="U5122" i="14"/>
  <c r="V5092" i="14"/>
  <c r="U5101" i="14"/>
  <c r="U5092" i="14"/>
  <c r="W5094" i="14"/>
  <c r="V5101" i="14"/>
  <c r="W5103" i="14"/>
  <c r="W5087" i="14"/>
  <c r="W5062" i="14"/>
  <c r="W5071" i="14"/>
  <c r="V5032" i="14"/>
  <c r="U5034" i="14"/>
  <c r="U5032" i="14"/>
  <c r="V5027" i="14"/>
  <c r="L3862" i="14"/>
  <c r="U5027" i="14"/>
  <c r="W5030" i="14"/>
  <c r="V5034" i="14"/>
  <c r="W5039" i="14"/>
  <c r="L3859" i="14"/>
  <c r="H4943" i="14"/>
  <c r="H4934" i="14"/>
  <c r="H4927" i="14"/>
  <c r="H4931" i="14"/>
  <c r="H4926" i="14"/>
  <c r="N285" i="14" l="1"/>
  <c r="N286" i="14"/>
  <c r="N283" i="14"/>
  <c r="N284" i="14"/>
  <c r="N346" i="14"/>
  <c r="N344" i="14"/>
  <c r="N345" i="14"/>
  <c r="N343" i="14"/>
  <c r="U5093" i="14"/>
  <c r="V5091" i="14"/>
  <c r="U5036" i="14"/>
  <c r="P4946" i="14"/>
  <c r="O4946" i="14"/>
  <c r="P4945" i="14"/>
  <c r="O4945" i="14"/>
  <c r="P4944" i="14"/>
  <c r="O4944" i="14"/>
  <c r="R4944" i="14" s="1"/>
  <c r="P4943" i="14"/>
  <c r="O4943" i="14"/>
  <c r="P4942" i="14"/>
  <c r="O4942" i="14"/>
  <c r="P4941" i="14"/>
  <c r="O4941" i="14"/>
  <c r="P4940" i="14"/>
  <c r="O4940" i="14"/>
  <c r="R4940" i="14" s="1"/>
  <c r="P4939" i="14"/>
  <c r="O4939" i="14"/>
  <c r="P4938" i="14"/>
  <c r="O4938" i="14"/>
  <c r="P4937" i="14"/>
  <c r="O4937" i="14"/>
  <c r="P4936" i="14"/>
  <c r="O4936" i="14"/>
  <c r="R4936" i="14" s="1"/>
  <c r="P4935" i="14"/>
  <c r="O4935" i="14"/>
  <c r="P4934" i="14"/>
  <c r="O4934" i="14"/>
  <c r="P4933" i="14"/>
  <c r="O4933" i="14"/>
  <c r="P4932" i="14"/>
  <c r="O4932" i="14"/>
  <c r="R4932" i="14" s="1"/>
  <c r="P4931" i="14"/>
  <c r="O4931" i="14"/>
  <c r="H4682" i="14"/>
  <c r="W5242" i="14" s="1"/>
  <c r="W5026" i="14"/>
  <c r="V5026" i="14"/>
  <c r="U5026" i="14"/>
  <c r="P5026" i="14"/>
  <c r="O5026" i="14"/>
  <c r="R5026" i="14" s="1"/>
  <c r="W5025" i="14"/>
  <c r="V5025" i="14"/>
  <c r="U5025" i="14"/>
  <c r="P5025" i="14"/>
  <c r="O5025" i="14"/>
  <c r="R5025" i="14" s="1"/>
  <c r="W5024" i="14"/>
  <c r="V5024" i="14"/>
  <c r="U5024" i="14"/>
  <c r="P5024" i="14"/>
  <c r="O5024" i="14"/>
  <c r="P5023" i="14"/>
  <c r="O5023" i="14"/>
  <c r="L5023" i="14"/>
  <c r="H5023" i="14"/>
  <c r="W5023" i="14" s="1"/>
  <c r="W5022" i="14"/>
  <c r="P5022" i="14"/>
  <c r="O5022" i="14"/>
  <c r="R5022" i="14" s="1"/>
  <c r="W5021" i="14"/>
  <c r="V5021" i="14"/>
  <c r="U5021" i="14"/>
  <c r="P5021" i="14"/>
  <c r="O5021" i="14"/>
  <c r="W5020" i="14"/>
  <c r="P5020" i="14"/>
  <c r="O5020" i="14"/>
  <c r="R5020" i="14" s="1"/>
  <c r="W5019" i="14"/>
  <c r="V5019" i="14"/>
  <c r="U5019" i="14"/>
  <c r="P5019" i="14"/>
  <c r="O5019" i="14"/>
  <c r="W5018" i="14"/>
  <c r="P5018" i="14"/>
  <c r="O5018" i="14"/>
  <c r="R5018" i="14" s="1"/>
  <c r="W5017" i="14"/>
  <c r="V5017" i="14"/>
  <c r="U5017" i="14"/>
  <c r="P5017" i="14"/>
  <c r="O5017" i="14"/>
  <c r="W5016" i="14"/>
  <c r="P5016" i="14"/>
  <c r="O5016" i="14"/>
  <c r="R5016" i="14" s="1"/>
  <c r="W5015" i="14"/>
  <c r="V5015" i="14"/>
  <c r="U5015" i="14"/>
  <c r="P5015" i="14"/>
  <c r="O5015" i="14"/>
  <c r="P5014" i="14"/>
  <c r="O5014" i="14"/>
  <c r="R5014" i="14" s="1"/>
  <c r="L5014" i="14"/>
  <c r="H5014" i="14"/>
  <c r="W5014" i="14" s="1"/>
  <c r="W5013" i="14"/>
  <c r="P5013" i="14"/>
  <c r="O5013" i="14"/>
  <c r="R5013" i="14" s="1"/>
  <c r="W5012" i="14"/>
  <c r="P5012" i="14"/>
  <c r="O5012" i="14"/>
  <c r="R5012" i="14" s="1"/>
  <c r="P5011" i="14"/>
  <c r="O5011" i="14"/>
  <c r="L5011" i="14"/>
  <c r="H5011" i="14"/>
  <c r="W5011" i="14" s="1"/>
  <c r="W5010" i="14"/>
  <c r="V5010" i="14"/>
  <c r="U5010" i="14"/>
  <c r="P5010" i="14"/>
  <c r="O5010" i="14"/>
  <c r="R5010" i="14" s="1"/>
  <c r="W5009" i="14"/>
  <c r="P5009" i="14"/>
  <c r="O5009" i="14"/>
  <c r="W5008" i="14"/>
  <c r="V5008" i="14"/>
  <c r="U5008" i="14"/>
  <c r="P5008" i="14"/>
  <c r="O5008" i="14"/>
  <c r="R5008" i="14" s="1"/>
  <c r="P5007" i="14"/>
  <c r="O5007" i="14"/>
  <c r="R5007" i="14" s="1"/>
  <c r="L5007" i="14"/>
  <c r="H5007" i="14"/>
  <c r="W5006" i="14"/>
  <c r="P5006" i="14"/>
  <c r="O5006" i="14"/>
  <c r="R5006" i="14" s="1"/>
  <c r="W5005" i="14"/>
  <c r="V5005" i="14"/>
  <c r="U5005" i="14"/>
  <c r="P5005" i="14"/>
  <c r="O5005" i="14"/>
  <c r="R5005" i="14" s="1"/>
  <c r="W5004" i="14"/>
  <c r="P5004" i="14"/>
  <c r="O5004" i="14"/>
  <c r="R5004" i="14" s="1"/>
  <c r="W5003" i="14"/>
  <c r="V5003" i="14"/>
  <c r="U5003" i="14"/>
  <c r="P5003" i="14"/>
  <c r="O5003" i="14"/>
  <c r="R5003" i="14" s="1"/>
  <c r="W5002" i="14"/>
  <c r="P5002" i="14"/>
  <c r="O5002" i="14"/>
  <c r="R5002" i="14" s="1"/>
  <c r="W5001" i="14"/>
  <c r="V5001" i="14"/>
  <c r="U5001" i="14"/>
  <c r="P5001" i="14"/>
  <c r="O5001" i="14"/>
  <c r="R5001" i="14" s="1"/>
  <c r="W5000" i="14"/>
  <c r="P5000" i="14"/>
  <c r="O5000" i="14"/>
  <c r="R5000" i="14" s="1"/>
  <c r="W4999" i="14"/>
  <c r="V4999" i="14"/>
  <c r="U4999" i="14"/>
  <c r="P4999" i="14"/>
  <c r="O4999" i="14"/>
  <c r="R4999" i="14" s="1"/>
  <c r="P4998" i="14"/>
  <c r="O4998" i="14"/>
  <c r="R4998" i="14" s="1"/>
  <c r="L4998" i="14"/>
  <c r="H4998" i="14"/>
  <c r="W4998" i="14" s="1"/>
  <c r="W4997" i="14"/>
  <c r="P4997" i="14"/>
  <c r="O4997" i="14"/>
  <c r="W4996" i="14"/>
  <c r="P4996" i="14"/>
  <c r="O4996" i="14"/>
  <c r="R4996" i="14" s="1"/>
  <c r="P4995" i="14"/>
  <c r="O4995" i="14"/>
  <c r="R4995" i="14" s="1"/>
  <c r="L4995" i="14"/>
  <c r="H4995" i="14"/>
  <c r="W4994" i="14"/>
  <c r="P4994" i="14"/>
  <c r="O4994" i="14"/>
  <c r="W4993" i="14"/>
  <c r="P4993" i="14"/>
  <c r="O4993" i="14"/>
  <c r="R4993" i="14" s="1"/>
  <c r="W4992" i="14"/>
  <c r="P4992" i="14"/>
  <c r="O4992" i="14"/>
  <c r="P4991" i="14"/>
  <c r="O4991" i="14"/>
  <c r="H4991" i="14"/>
  <c r="W4991" i="14" s="1"/>
  <c r="W4990" i="14"/>
  <c r="P4990" i="14"/>
  <c r="O4990" i="14"/>
  <c r="R4990" i="14" s="1"/>
  <c r="W4989" i="14"/>
  <c r="V4989" i="14"/>
  <c r="U4989" i="14"/>
  <c r="P4989" i="14"/>
  <c r="O4989" i="14"/>
  <c r="R4989" i="14" s="1"/>
  <c r="W4988" i="14"/>
  <c r="P4988" i="14"/>
  <c r="O4988" i="14"/>
  <c r="R4988" i="14" s="1"/>
  <c r="W4987" i="14"/>
  <c r="P4987" i="14"/>
  <c r="O4987" i="14"/>
  <c r="R4987" i="14" s="1"/>
  <c r="W4986" i="14"/>
  <c r="P4986" i="14"/>
  <c r="O4986" i="14"/>
  <c r="W4985" i="14"/>
  <c r="P4985" i="14"/>
  <c r="O4985" i="14"/>
  <c r="R4985" i="14" s="1"/>
  <c r="W4984" i="14"/>
  <c r="P4984" i="14"/>
  <c r="O4984" i="14"/>
  <c r="W4983" i="14"/>
  <c r="P4983" i="14"/>
  <c r="O4983" i="14"/>
  <c r="R4983" i="14" s="1"/>
  <c r="P4982" i="14"/>
  <c r="O4982" i="14"/>
  <c r="R4982" i="14" s="1"/>
  <c r="H4982" i="14"/>
  <c r="W4982" i="14" s="1"/>
  <c r="W4981" i="14"/>
  <c r="P4981" i="14"/>
  <c r="O4981" i="14"/>
  <c r="R4981" i="14" s="1"/>
  <c r="W4980" i="14"/>
  <c r="P4980" i="14"/>
  <c r="O4980" i="14"/>
  <c r="R4980" i="14" s="1"/>
  <c r="P4979" i="14"/>
  <c r="O4979" i="14"/>
  <c r="H4979" i="14"/>
  <c r="W4978" i="14"/>
  <c r="P4978" i="14"/>
  <c r="O4978" i="14"/>
  <c r="W4977" i="14"/>
  <c r="P4977" i="14"/>
  <c r="O4977" i="14"/>
  <c r="R4977" i="14" s="1"/>
  <c r="W4976" i="14"/>
  <c r="P4976" i="14"/>
  <c r="O4976" i="14"/>
  <c r="P4975" i="14"/>
  <c r="O4975" i="14"/>
  <c r="H4975" i="14"/>
  <c r="W4975" i="14" s="1"/>
  <c r="W4974" i="14"/>
  <c r="P4974" i="14"/>
  <c r="O4974" i="14"/>
  <c r="W4973" i="14"/>
  <c r="V4973" i="14"/>
  <c r="U4973" i="14"/>
  <c r="P4973" i="14"/>
  <c r="O4973" i="14"/>
  <c r="R4973" i="14" s="1"/>
  <c r="W4972" i="14"/>
  <c r="P4972" i="14"/>
  <c r="O4972" i="14"/>
  <c r="W4971" i="14"/>
  <c r="P4971" i="14"/>
  <c r="O4971" i="14"/>
  <c r="R4971" i="14" s="1"/>
  <c r="W4970" i="14"/>
  <c r="P4970" i="14"/>
  <c r="O4970" i="14"/>
  <c r="R4970" i="14" s="1"/>
  <c r="W4969" i="14"/>
  <c r="P4969" i="14"/>
  <c r="O4969" i="14"/>
  <c r="R4969" i="14" s="1"/>
  <c r="W4968" i="14"/>
  <c r="P4968" i="14"/>
  <c r="O4968" i="14"/>
  <c r="W4967" i="14"/>
  <c r="P4967" i="14"/>
  <c r="O4967" i="14"/>
  <c r="R4967" i="14" s="1"/>
  <c r="P4966" i="14"/>
  <c r="O4966" i="14"/>
  <c r="R4966" i="14" s="1"/>
  <c r="H4966" i="14"/>
  <c r="W4966" i="14" s="1"/>
  <c r="W4965" i="14"/>
  <c r="P4965" i="14"/>
  <c r="O4965" i="14"/>
  <c r="R4965" i="14" s="1"/>
  <c r="W4964" i="14"/>
  <c r="P4964" i="14"/>
  <c r="O4964" i="14"/>
  <c r="P4963" i="14"/>
  <c r="O4963" i="14"/>
  <c r="H4963" i="14"/>
  <c r="P4866" i="14"/>
  <c r="O4866" i="14"/>
  <c r="R4866" i="14" s="1"/>
  <c r="P4865" i="14"/>
  <c r="O4865" i="14"/>
  <c r="R4865" i="14" s="1"/>
  <c r="P4864" i="14"/>
  <c r="O4864" i="14"/>
  <c r="R4864" i="14" s="1"/>
  <c r="P4863" i="14"/>
  <c r="O4863" i="14"/>
  <c r="R4863" i="14" s="1"/>
  <c r="L4863" i="14"/>
  <c r="H4863" i="14"/>
  <c r="P4862" i="14"/>
  <c r="O4862" i="14"/>
  <c r="R4862" i="14" s="1"/>
  <c r="P4861" i="14"/>
  <c r="O4861" i="14"/>
  <c r="R4861" i="14" s="1"/>
  <c r="P4860" i="14"/>
  <c r="O4860" i="14"/>
  <c r="R4860" i="14" s="1"/>
  <c r="P4859" i="14"/>
  <c r="O4859" i="14"/>
  <c r="R4859" i="14" s="1"/>
  <c r="P4858" i="14"/>
  <c r="O4858" i="14"/>
  <c r="R4858" i="14" s="1"/>
  <c r="P4857" i="14"/>
  <c r="O4857" i="14"/>
  <c r="R4857" i="14" s="1"/>
  <c r="P4856" i="14"/>
  <c r="O4856" i="14"/>
  <c r="R4856" i="14" s="1"/>
  <c r="P4855" i="14"/>
  <c r="O4855" i="14"/>
  <c r="R4855" i="14" s="1"/>
  <c r="P4854" i="14"/>
  <c r="O4854" i="14"/>
  <c r="R4854" i="14" s="1"/>
  <c r="L4854" i="14"/>
  <c r="H4854" i="14"/>
  <c r="P4853" i="14"/>
  <c r="O4853" i="14"/>
  <c r="R4853" i="14" s="1"/>
  <c r="P4852" i="14"/>
  <c r="O4852" i="14"/>
  <c r="R4852" i="14" s="1"/>
  <c r="P4851" i="14"/>
  <c r="O4851" i="14"/>
  <c r="R4851" i="14" s="1"/>
  <c r="L4851" i="14"/>
  <c r="H4851" i="14"/>
  <c r="R4968" i="14" l="1"/>
  <c r="R4975" i="14"/>
  <c r="R4978" i="14"/>
  <c r="R4986" i="14"/>
  <c r="R5015" i="14"/>
  <c r="R5017" i="14"/>
  <c r="R5019" i="14"/>
  <c r="R5021" i="14"/>
  <c r="R4933" i="14"/>
  <c r="R4937" i="14"/>
  <c r="R4941" i="14"/>
  <c r="R4945" i="14"/>
  <c r="R4963" i="14"/>
  <c r="R4976" i="14"/>
  <c r="R4984" i="14"/>
  <c r="R4991" i="14"/>
  <c r="R4994" i="14"/>
  <c r="R4997" i="14"/>
  <c r="R5009" i="14"/>
  <c r="R5023" i="14"/>
  <c r="R4934" i="14"/>
  <c r="R4938" i="14"/>
  <c r="R4942" i="14"/>
  <c r="R4946" i="14"/>
  <c r="R4964" i="14"/>
  <c r="R4972" i="14"/>
  <c r="R4974" i="14"/>
  <c r="R4979" i="14"/>
  <c r="R4992" i="14"/>
  <c r="R5011" i="14"/>
  <c r="R5024" i="14"/>
  <c r="R4931" i="14"/>
  <c r="R4935" i="14"/>
  <c r="R4939" i="14"/>
  <c r="R4943" i="14"/>
  <c r="N4660" i="14"/>
  <c r="U5012" i="14"/>
  <c r="V5012" i="14"/>
  <c r="U5023" i="14"/>
  <c r="V5023" i="14"/>
  <c r="U5000" i="14"/>
  <c r="W4995" i="14"/>
  <c r="V5007" i="14"/>
  <c r="W5007" i="14"/>
  <c r="V5000" i="14"/>
  <c r="U4990" i="14"/>
  <c r="V4990" i="14"/>
  <c r="W4979" i="14"/>
  <c r="W4963" i="14"/>
  <c r="L4470" i="14"/>
  <c r="H4947" i="14"/>
  <c r="O4947" i="14"/>
  <c r="R4947" i="14" s="1"/>
  <c r="P4947" i="14"/>
  <c r="O4948" i="14"/>
  <c r="R4948" i="14" s="1"/>
  <c r="P4948" i="14"/>
  <c r="O4949" i="14"/>
  <c r="P4949" i="14"/>
  <c r="H4950" i="14"/>
  <c r="O4950" i="14"/>
  <c r="R4950" i="14" s="1"/>
  <c r="P4950" i="14"/>
  <c r="O4951" i="14"/>
  <c r="R4951" i="14" s="1"/>
  <c r="P4951" i="14"/>
  <c r="U4951" i="14"/>
  <c r="V4951" i="14"/>
  <c r="O4952" i="14"/>
  <c r="R4952" i="14" s="1"/>
  <c r="P4952" i="14"/>
  <c r="O4953" i="14"/>
  <c r="R4953" i="14" s="1"/>
  <c r="P4953" i="14"/>
  <c r="U4953" i="14"/>
  <c r="V4953" i="14"/>
  <c r="O4954" i="14"/>
  <c r="R4954" i="14" s="1"/>
  <c r="P4954" i="14"/>
  <c r="O4955" i="14"/>
  <c r="R4955" i="14" s="1"/>
  <c r="P4955" i="14"/>
  <c r="U4955" i="14"/>
  <c r="V4955" i="14"/>
  <c r="O4956" i="14"/>
  <c r="R4956" i="14" s="1"/>
  <c r="P4956" i="14"/>
  <c r="O4957" i="14"/>
  <c r="R4957" i="14" s="1"/>
  <c r="P4957" i="14"/>
  <c r="U4957" i="14"/>
  <c r="V4957" i="14"/>
  <c r="O4958" i="14"/>
  <c r="R4958" i="14" s="1"/>
  <c r="P4958" i="14"/>
  <c r="U4958" i="14"/>
  <c r="V4958" i="14"/>
  <c r="H4959" i="14"/>
  <c r="O4959" i="14"/>
  <c r="P4959" i="14"/>
  <c r="O4960" i="14"/>
  <c r="R4960" i="14" s="1"/>
  <c r="P4960" i="14"/>
  <c r="U4960" i="14"/>
  <c r="V4960" i="14"/>
  <c r="O4961" i="14"/>
  <c r="R4961" i="14" s="1"/>
  <c r="P4961" i="14"/>
  <c r="O4962" i="14"/>
  <c r="P4962" i="14"/>
  <c r="U4962" i="14"/>
  <c r="V4962" i="14"/>
  <c r="P4930" i="14"/>
  <c r="O4930" i="14"/>
  <c r="P4929" i="14"/>
  <c r="O4929" i="14"/>
  <c r="P4928" i="14"/>
  <c r="O4928" i="14"/>
  <c r="R4928" i="14" s="1"/>
  <c r="P4927" i="14"/>
  <c r="O4927" i="14"/>
  <c r="P4926" i="14"/>
  <c r="O4926" i="14"/>
  <c r="P4925" i="14"/>
  <c r="O4925" i="14"/>
  <c r="P4924" i="14"/>
  <c r="O4924" i="14"/>
  <c r="R4924" i="14" s="1"/>
  <c r="P4923" i="14"/>
  <c r="O4923" i="14"/>
  <c r="P4922" i="14"/>
  <c r="O4922" i="14"/>
  <c r="P4921" i="14"/>
  <c r="O4921" i="14"/>
  <c r="P4920" i="14"/>
  <c r="O4920" i="14"/>
  <c r="R4920" i="14" s="1"/>
  <c r="P4919" i="14"/>
  <c r="O4919" i="14"/>
  <c r="P4918" i="14"/>
  <c r="O4918" i="14"/>
  <c r="H4918" i="14"/>
  <c r="P4917" i="14"/>
  <c r="O4917" i="14"/>
  <c r="P4916" i="14"/>
  <c r="O4916" i="14"/>
  <c r="P4915" i="14"/>
  <c r="O4915" i="14"/>
  <c r="R4915" i="14" s="1"/>
  <c r="H4915" i="14"/>
  <c r="P4914" i="14"/>
  <c r="O4914" i="14"/>
  <c r="P4913" i="14"/>
  <c r="O4913" i="14"/>
  <c r="R4913" i="14" s="1"/>
  <c r="P4912" i="14"/>
  <c r="O4912" i="14"/>
  <c r="P4911" i="14"/>
  <c r="O4911" i="14"/>
  <c r="L4911" i="14"/>
  <c r="H4911" i="14"/>
  <c r="P4910" i="14"/>
  <c r="O4910" i="14"/>
  <c r="R4910" i="14" s="1"/>
  <c r="P4909" i="14"/>
  <c r="O4909" i="14"/>
  <c r="P4908" i="14"/>
  <c r="O4908" i="14"/>
  <c r="P4907" i="14"/>
  <c r="O4907" i="14"/>
  <c r="P4906" i="14"/>
  <c r="O4906" i="14"/>
  <c r="R4906" i="14" s="1"/>
  <c r="P4905" i="14"/>
  <c r="O4905" i="14"/>
  <c r="P4904" i="14"/>
  <c r="O4904" i="14"/>
  <c r="P4903" i="14"/>
  <c r="O4903" i="14"/>
  <c r="P4902" i="14"/>
  <c r="O4902" i="14"/>
  <c r="R4902" i="14" s="1"/>
  <c r="H4902" i="14"/>
  <c r="P4901" i="14"/>
  <c r="O4901" i="14"/>
  <c r="R4901" i="14" s="1"/>
  <c r="P4900" i="14"/>
  <c r="O4900" i="14"/>
  <c r="R4900" i="14" s="1"/>
  <c r="P4899" i="14"/>
  <c r="O4899" i="14"/>
  <c r="L4899" i="14"/>
  <c r="H4899" i="14"/>
  <c r="R4904" i="14" l="1"/>
  <c r="R4908" i="14"/>
  <c r="R4911" i="14"/>
  <c r="R4918" i="14"/>
  <c r="R4922" i="14"/>
  <c r="R4926" i="14"/>
  <c r="R4930" i="14"/>
  <c r="R4899" i="14"/>
  <c r="R4917" i="14"/>
  <c r="R4962" i="14"/>
  <c r="R4959" i="14"/>
  <c r="R4949" i="14"/>
  <c r="R4905" i="14"/>
  <c r="R4909" i="14"/>
  <c r="R4912" i="14"/>
  <c r="R4919" i="14"/>
  <c r="R4923" i="14"/>
  <c r="R4927" i="14"/>
  <c r="R4916" i="14"/>
  <c r="R4903" i="14"/>
  <c r="R4907" i="14"/>
  <c r="R4914" i="14"/>
  <c r="R4921" i="14"/>
  <c r="R4925" i="14"/>
  <c r="R4929" i="14"/>
  <c r="U5013" i="14"/>
  <c r="V5011" i="14"/>
  <c r="U4985" i="14"/>
  <c r="U4994" i="14"/>
  <c r="P4850" i="14"/>
  <c r="O4850" i="14"/>
  <c r="P4849" i="14"/>
  <c r="O4849" i="14"/>
  <c r="P4848" i="14"/>
  <c r="O4848" i="14"/>
  <c r="P4847" i="14"/>
  <c r="O4847" i="14"/>
  <c r="R4847" i="14" s="1"/>
  <c r="H4847" i="14"/>
  <c r="P4846" i="14"/>
  <c r="O4846" i="14"/>
  <c r="R4846" i="14" s="1"/>
  <c r="P4845" i="14"/>
  <c r="O4845" i="14"/>
  <c r="R4845" i="14" s="1"/>
  <c r="P4844" i="14"/>
  <c r="O4844" i="14"/>
  <c r="P4843" i="14"/>
  <c r="O4843" i="14"/>
  <c r="R4843" i="14" s="1"/>
  <c r="P4842" i="14"/>
  <c r="O4842" i="14"/>
  <c r="R4842" i="14" s="1"/>
  <c r="P4841" i="14"/>
  <c r="O4841" i="14"/>
  <c r="R4841" i="14" s="1"/>
  <c r="P4840" i="14"/>
  <c r="O4840" i="14"/>
  <c r="P4839" i="14"/>
  <c r="O4839" i="14"/>
  <c r="R4839" i="14" s="1"/>
  <c r="P4838" i="14"/>
  <c r="O4838" i="14"/>
  <c r="R4838" i="14" s="1"/>
  <c r="H4838" i="14"/>
  <c r="P4837" i="14"/>
  <c r="O4837" i="14"/>
  <c r="P4836" i="14"/>
  <c r="O4836" i="14"/>
  <c r="R4836" i="14" s="1"/>
  <c r="P4835" i="14"/>
  <c r="O4835" i="14"/>
  <c r="H4835" i="14"/>
  <c r="R4835" i="14" l="1"/>
  <c r="R4850" i="14"/>
  <c r="R4849" i="14"/>
  <c r="R4840" i="14"/>
  <c r="R4844" i="14"/>
  <c r="R4837" i="14"/>
  <c r="R4848" i="14"/>
  <c r="I4549" i="14"/>
  <c r="I4547" i="14" s="1"/>
  <c r="O4675" i="14"/>
  <c r="R4675" i="14" s="1"/>
  <c r="P4675" i="14"/>
  <c r="O4676" i="14"/>
  <c r="R4676" i="14" s="1"/>
  <c r="P4676" i="14"/>
  <c r="O4677" i="14"/>
  <c r="R4677" i="14" s="1"/>
  <c r="P4677" i="14"/>
  <c r="O4678" i="14"/>
  <c r="P4678" i="14"/>
  <c r="O4679" i="14"/>
  <c r="R4679" i="14" s="1"/>
  <c r="P4679" i="14"/>
  <c r="O4680" i="14"/>
  <c r="R4680" i="14" s="1"/>
  <c r="P4680" i="14"/>
  <c r="O4681" i="14"/>
  <c r="R4681" i="14" s="1"/>
  <c r="P4681" i="14"/>
  <c r="O4682" i="14"/>
  <c r="P4682" i="14"/>
  <c r="O4683" i="14"/>
  <c r="R4683" i="14" s="1"/>
  <c r="P4683" i="14"/>
  <c r="O4684" i="14"/>
  <c r="R4684" i="14" s="1"/>
  <c r="P4684" i="14"/>
  <c r="O4685" i="14"/>
  <c r="R4685" i="14" s="1"/>
  <c r="P4685" i="14"/>
  <c r="O4686" i="14"/>
  <c r="P4686" i="14"/>
  <c r="O4687" i="14"/>
  <c r="R4687" i="14" s="1"/>
  <c r="P4687" i="14"/>
  <c r="O4688" i="14"/>
  <c r="R4688" i="14" s="1"/>
  <c r="P4688" i="14"/>
  <c r="O4689" i="14"/>
  <c r="R4689" i="14" s="1"/>
  <c r="P4689" i="14"/>
  <c r="O4690" i="14"/>
  <c r="P4690" i="14"/>
  <c r="L4742" i="14"/>
  <c r="G4607" i="14"/>
  <c r="R4690" i="14" l="1"/>
  <c r="R4686" i="14"/>
  <c r="R4678" i="14"/>
  <c r="R4682" i="14"/>
  <c r="H4886" i="14"/>
  <c r="P4898" i="14"/>
  <c r="O4898" i="14"/>
  <c r="R4898" i="14" s="1"/>
  <c r="P4897" i="14"/>
  <c r="O4897" i="14"/>
  <c r="P4896" i="14"/>
  <c r="O4896" i="14"/>
  <c r="P4895" i="14"/>
  <c r="O4895" i="14"/>
  <c r="L4895" i="14"/>
  <c r="H4895" i="14"/>
  <c r="P4894" i="14"/>
  <c r="O4894" i="14"/>
  <c r="P4893" i="14"/>
  <c r="O4893" i="14"/>
  <c r="P4892" i="14"/>
  <c r="O4892" i="14"/>
  <c r="P4891" i="14"/>
  <c r="O4891" i="14"/>
  <c r="R4891" i="14" s="1"/>
  <c r="P4890" i="14"/>
  <c r="O4890" i="14"/>
  <c r="P4889" i="14"/>
  <c r="O4889" i="14"/>
  <c r="P4888" i="14"/>
  <c r="O4888" i="14"/>
  <c r="P4887" i="14"/>
  <c r="O4887" i="14"/>
  <c r="R4887" i="14" s="1"/>
  <c r="P4886" i="14"/>
  <c r="O4886" i="14"/>
  <c r="P4885" i="14"/>
  <c r="O4885" i="14"/>
  <c r="P4884" i="14"/>
  <c r="O4884" i="14"/>
  <c r="P4883" i="14"/>
  <c r="O4883" i="14"/>
  <c r="R4883" i="14" s="1"/>
  <c r="L4883" i="14"/>
  <c r="H4883" i="14"/>
  <c r="W4881" i="14"/>
  <c r="H4876" i="14"/>
  <c r="W4876" i="14" s="1"/>
  <c r="W4882" i="14"/>
  <c r="P4882" i="14"/>
  <c r="O4882" i="14"/>
  <c r="R4882" i="14" s="1"/>
  <c r="P4881" i="14"/>
  <c r="O4881" i="14"/>
  <c r="W4880" i="14"/>
  <c r="V4880" i="14"/>
  <c r="U4880" i="14"/>
  <c r="P4880" i="14"/>
  <c r="O4880" i="14"/>
  <c r="P4879" i="14"/>
  <c r="O4879" i="14"/>
  <c r="R4879" i="14" s="1"/>
  <c r="W4878" i="14"/>
  <c r="P4878" i="14"/>
  <c r="O4878" i="14"/>
  <c r="R4878" i="14" s="1"/>
  <c r="W4877" i="14"/>
  <c r="V4877" i="14"/>
  <c r="U4877" i="14"/>
  <c r="P4877" i="14"/>
  <c r="O4877" i="14"/>
  <c r="R4877" i="14" s="1"/>
  <c r="P4876" i="14"/>
  <c r="O4876" i="14"/>
  <c r="W4875" i="14"/>
  <c r="V4875" i="14"/>
  <c r="U4875" i="14"/>
  <c r="P4875" i="14"/>
  <c r="O4875" i="14"/>
  <c r="R4875" i="14" s="1"/>
  <c r="W4874" i="14"/>
  <c r="P4874" i="14"/>
  <c r="O4874" i="14"/>
  <c r="W4873" i="14"/>
  <c r="P4873" i="14"/>
  <c r="O4873" i="14"/>
  <c r="R4873" i="14" s="1"/>
  <c r="W4872" i="14"/>
  <c r="P4872" i="14"/>
  <c r="O4872" i="14"/>
  <c r="R4872" i="14" s="1"/>
  <c r="W4871" i="14"/>
  <c r="V4871" i="14"/>
  <c r="U4871" i="14"/>
  <c r="P4871" i="14"/>
  <c r="O4871" i="14"/>
  <c r="R4871" i="14" s="1"/>
  <c r="P4870" i="14"/>
  <c r="O4870" i="14"/>
  <c r="R4870" i="14" s="1"/>
  <c r="W4869" i="14"/>
  <c r="V4869" i="14"/>
  <c r="U4869" i="14"/>
  <c r="P4869" i="14"/>
  <c r="O4869" i="14"/>
  <c r="W4868" i="14"/>
  <c r="V4868" i="14"/>
  <c r="U4868" i="14"/>
  <c r="P4868" i="14"/>
  <c r="O4868" i="14"/>
  <c r="P4867" i="14"/>
  <c r="O4867" i="14"/>
  <c r="R4867" i="14" s="1"/>
  <c r="H4867" i="14"/>
  <c r="V4867" i="14" s="1"/>
  <c r="R4880" i="14" l="1"/>
  <c r="R4884" i="14"/>
  <c r="R4888" i="14"/>
  <c r="R4892" i="14"/>
  <c r="R4895" i="14"/>
  <c r="R4869" i="14"/>
  <c r="R4889" i="14"/>
  <c r="R4893" i="14"/>
  <c r="R4876" i="14"/>
  <c r="R4886" i="14"/>
  <c r="R4890" i="14"/>
  <c r="R4897" i="14"/>
  <c r="R4868" i="14"/>
  <c r="R4881" i="14"/>
  <c r="R4885" i="14"/>
  <c r="R4896" i="14"/>
  <c r="R4874" i="14"/>
  <c r="R4894" i="14"/>
  <c r="H4870" i="14"/>
  <c r="W4870" i="14" s="1"/>
  <c r="H4879" i="14"/>
  <c r="W4879" i="14" s="1"/>
  <c r="U4872" i="14"/>
  <c r="U4882" i="14"/>
  <c r="V4872" i="14"/>
  <c r="U4867" i="14"/>
  <c r="W4867" i="14"/>
  <c r="V4882" i="14"/>
  <c r="P4834" i="14"/>
  <c r="O4834" i="14"/>
  <c r="P4833" i="14"/>
  <c r="O4833" i="14"/>
  <c r="R4833" i="14" s="1"/>
  <c r="P4832" i="14"/>
  <c r="O4832" i="14"/>
  <c r="P4831" i="14"/>
  <c r="O4831" i="14"/>
  <c r="R4831" i="14" s="1"/>
  <c r="H4831" i="14"/>
  <c r="P4830" i="14"/>
  <c r="O4830" i="14"/>
  <c r="P4829" i="14"/>
  <c r="O4829" i="14"/>
  <c r="P4828" i="14"/>
  <c r="O4828" i="14"/>
  <c r="R4828" i="14" s="1"/>
  <c r="P4827" i="14"/>
  <c r="O4827" i="14"/>
  <c r="R4827" i="14" s="1"/>
  <c r="P4826" i="14"/>
  <c r="O4826" i="14"/>
  <c r="P4825" i="14"/>
  <c r="O4825" i="14"/>
  <c r="P4824" i="14"/>
  <c r="O4824" i="14"/>
  <c r="R4824" i="14" s="1"/>
  <c r="P4823" i="14"/>
  <c r="O4823" i="14"/>
  <c r="R4823" i="14" s="1"/>
  <c r="P4822" i="14"/>
  <c r="O4822" i="14"/>
  <c r="H4822" i="14"/>
  <c r="P4821" i="14"/>
  <c r="O4821" i="14"/>
  <c r="P4820" i="14"/>
  <c r="O4820" i="14"/>
  <c r="R4820" i="14" s="1"/>
  <c r="P4819" i="14"/>
  <c r="O4819" i="14"/>
  <c r="H4819" i="14"/>
  <c r="P4802" i="14"/>
  <c r="O4802" i="14"/>
  <c r="P4801" i="14"/>
  <c r="O4801" i="14"/>
  <c r="R4801" i="14" s="1"/>
  <c r="P4800" i="14"/>
  <c r="O4800" i="14"/>
  <c r="R4800" i="14" s="1"/>
  <c r="P4799" i="14"/>
  <c r="O4799" i="14"/>
  <c r="H4799" i="14"/>
  <c r="P4798" i="14"/>
  <c r="O4798" i="14"/>
  <c r="P4797" i="14"/>
  <c r="O4797" i="14"/>
  <c r="R4797" i="14" s="1"/>
  <c r="P4796" i="14"/>
  <c r="O4796" i="14"/>
  <c r="P4795" i="14"/>
  <c r="O4795" i="14"/>
  <c r="R4795" i="14" s="1"/>
  <c r="P4794" i="14"/>
  <c r="O4794" i="14"/>
  <c r="P4793" i="14"/>
  <c r="O4793" i="14"/>
  <c r="R4793" i="14" s="1"/>
  <c r="P4792" i="14"/>
  <c r="O4792" i="14"/>
  <c r="P4791" i="14"/>
  <c r="O4791" i="14"/>
  <c r="R4791" i="14" s="1"/>
  <c r="P4790" i="14"/>
  <c r="O4790" i="14"/>
  <c r="H4790" i="14"/>
  <c r="P4789" i="14"/>
  <c r="O4789" i="14"/>
  <c r="R4789" i="14" s="1"/>
  <c r="P4788" i="14"/>
  <c r="O4788" i="14"/>
  <c r="P4787" i="14"/>
  <c r="O4787" i="14"/>
  <c r="H4787" i="14"/>
  <c r="G4735" i="14"/>
  <c r="G4726" i="14"/>
  <c r="G4723" i="14" s="1"/>
  <c r="R4790" i="14" l="1"/>
  <c r="R4794" i="14"/>
  <c r="R4798" i="14"/>
  <c r="R4821" i="14"/>
  <c r="R4832" i="14"/>
  <c r="R4787" i="14"/>
  <c r="R4802" i="14"/>
  <c r="R4825" i="14"/>
  <c r="R4829" i="14"/>
  <c r="R4788" i="14"/>
  <c r="R4799" i="14"/>
  <c r="R4822" i="14"/>
  <c r="R4826" i="14"/>
  <c r="R4830" i="14"/>
  <c r="R4792" i="14"/>
  <c r="R4796" i="14"/>
  <c r="R4819" i="14"/>
  <c r="R4834" i="14"/>
  <c r="U4873" i="14"/>
  <c r="L4735" i="14"/>
  <c r="L4726" i="14"/>
  <c r="L4723" i="14"/>
  <c r="P4738" i="14"/>
  <c r="O4738" i="14"/>
  <c r="P4737" i="14"/>
  <c r="O4737" i="14"/>
  <c r="P4736" i="14"/>
  <c r="O4736" i="14"/>
  <c r="R4736" i="14" s="1"/>
  <c r="P4735" i="14"/>
  <c r="O4735" i="14"/>
  <c r="P4734" i="14"/>
  <c r="O4734" i="14"/>
  <c r="P4733" i="14"/>
  <c r="O4733" i="14"/>
  <c r="P4732" i="14"/>
  <c r="O4732" i="14"/>
  <c r="R4732" i="14" s="1"/>
  <c r="P4731" i="14"/>
  <c r="O4731" i="14"/>
  <c r="P4730" i="14"/>
  <c r="O4730" i="14"/>
  <c r="P4729" i="14"/>
  <c r="O4729" i="14"/>
  <c r="P4728" i="14"/>
  <c r="O4728" i="14"/>
  <c r="R4728" i="14" s="1"/>
  <c r="P4727" i="14"/>
  <c r="O4727" i="14"/>
  <c r="P4726" i="14"/>
  <c r="O4726" i="14"/>
  <c r="H4726" i="14"/>
  <c r="P4725" i="14"/>
  <c r="O4725" i="14"/>
  <c r="R4725" i="14" s="1"/>
  <c r="P4724" i="14"/>
  <c r="O4724" i="14"/>
  <c r="P4723" i="14"/>
  <c r="O4723" i="14"/>
  <c r="H4723" i="14"/>
  <c r="R4726" i="14" l="1"/>
  <c r="R4730" i="14"/>
  <c r="R4734" i="14"/>
  <c r="R4738" i="14"/>
  <c r="R4723" i="14"/>
  <c r="R4727" i="14"/>
  <c r="R4731" i="14"/>
  <c r="R4735" i="14"/>
  <c r="R4724" i="14"/>
  <c r="R4729" i="14"/>
  <c r="R4733" i="14"/>
  <c r="R4737" i="14"/>
  <c r="W4818" i="14"/>
  <c r="P4818" i="14"/>
  <c r="O4818" i="14"/>
  <c r="W4817" i="14"/>
  <c r="P4817" i="14"/>
  <c r="O4817" i="14"/>
  <c r="W4816" i="14"/>
  <c r="P4816" i="14"/>
  <c r="O4816" i="14"/>
  <c r="R4816" i="14" s="1"/>
  <c r="P4815" i="14"/>
  <c r="O4815" i="14"/>
  <c r="L4815" i="14"/>
  <c r="H4815" i="14"/>
  <c r="W4815" i="14" s="1"/>
  <c r="W4814" i="14"/>
  <c r="P4814" i="14"/>
  <c r="O4814" i="14"/>
  <c r="R4814" i="14" s="1"/>
  <c r="W4813" i="14"/>
  <c r="P4813" i="14"/>
  <c r="O4813" i="14"/>
  <c r="W4812" i="14"/>
  <c r="P4812" i="14"/>
  <c r="O4812" i="14"/>
  <c r="W4811" i="14"/>
  <c r="P4811" i="14"/>
  <c r="O4811" i="14"/>
  <c r="R4811" i="14" s="1"/>
  <c r="W4810" i="14"/>
  <c r="P4810" i="14"/>
  <c r="O4810" i="14"/>
  <c r="R4810" i="14" s="1"/>
  <c r="W4809" i="14"/>
  <c r="P4809" i="14"/>
  <c r="O4809" i="14"/>
  <c r="W4808" i="14"/>
  <c r="P4808" i="14"/>
  <c r="O4808" i="14"/>
  <c r="R4808" i="14" s="1"/>
  <c r="W4807" i="14"/>
  <c r="P4807" i="14"/>
  <c r="O4807" i="14"/>
  <c r="P4806" i="14"/>
  <c r="O4806" i="14"/>
  <c r="L4806" i="14"/>
  <c r="H4806" i="14"/>
  <c r="W4806" i="14" s="1"/>
  <c r="W4805" i="14"/>
  <c r="P4805" i="14"/>
  <c r="O4805" i="14"/>
  <c r="R4805" i="14" s="1"/>
  <c r="W4804" i="14"/>
  <c r="P4804" i="14"/>
  <c r="O4804" i="14"/>
  <c r="P4803" i="14"/>
  <c r="O4803" i="14"/>
  <c r="R4803" i="14" s="1"/>
  <c r="L4803" i="14"/>
  <c r="H4803" i="14"/>
  <c r="W4803" i="14" s="1"/>
  <c r="R4812" i="14" l="1"/>
  <c r="R4817" i="14"/>
  <c r="R4807" i="14"/>
  <c r="R4813" i="14"/>
  <c r="R4815" i="14"/>
  <c r="R4818" i="14"/>
  <c r="R4804" i="14"/>
  <c r="R4806" i="14"/>
  <c r="R4809" i="14"/>
  <c r="V4804" i="14"/>
  <c r="U4811" i="14"/>
  <c r="U4804" i="14"/>
  <c r="U4807" i="14"/>
  <c r="U4816" i="14"/>
  <c r="V4807" i="14"/>
  <c r="V4811" i="14"/>
  <c r="V4816" i="14"/>
  <c r="U4809" i="14" l="1"/>
  <c r="U4805" i="14"/>
  <c r="U4818" i="14"/>
  <c r="U4813" i="14"/>
  <c r="W4786" i="14" l="1"/>
  <c r="P4786" i="14"/>
  <c r="O4786" i="14"/>
  <c r="W4785" i="14"/>
  <c r="P4785" i="14"/>
  <c r="O4785" i="14"/>
  <c r="W4784" i="14"/>
  <c r="P4784" i="14"/>
  <c r="O4784" i="14"/>
  <c r="P4783" i="14"/>
  <c r="O4783" i="14"/>
  <c r="L4783" i="14"/>
  <c r="H4783" i="14"/>
  <c r="W4783" i="14" s="1"/>
  <c r="W4782" i="14"/>
  <c r="P4782" i="14"/>
  <c r="O4782" i="14"/>
  <c r="W4781" i="14"/>
  <c r="P4781" i="14"/>
  <c r="O4781" i="14"/>
  <c r="W4780" i="14"/>
  <c r="P4780" i="14"/>
  <c r="O4780" i="14"/>
  <c r="W4779" i="14"/>
  <c r="P4779" i="14"/>
  <c r="O4779" i="14"/>
  <c r="W4778" i="14"/>
  <c r="P4778" i="14"/>
  <c r="O4778" i="14"/>
  <c r="R4778" i="14" s="1"/>
  <c r="W4777" i="14"/>
  <c r="P4777" i="14"/>
  <c r="O4777" i="14"/>
  <c r="R4777" i="14" s="1"/>
  <c r="W4776" i="14"/>
  <c r="P4776" i="14"/>
  <c r="O4776" i="14"/>
  <c r="R4776" i="14" s="1"/>
  <c r="W4775" i="14"/>
  <c r="P4775" i="14"/>
  <c r="O4775" i="14"/>
  <c r="R4775" i="14" s="1"/>
  <c r="P4774" i="14"/>
  <c r="O4774" i="14"/>
  <c r="R4774" i="14" s="1"/>
  <c r="L4774" i="14"/>
  <c r="H4774" i="14"/>
  <c r="W4774" i="14" s="1"/>
  <c r="W4773" i="14"/>
  <c r="P4773" i="14"/>
  <c r="O4773" i="14"/>
  <c r="R4773" i="14" s="1"/>
  <c r="W4772" i="14"/>
  <c r="P4772" i="14"/>
  <c r="O4772" i="14"/>
  <c r="R4772" i="14" s="1"/>
  <c r="P4771" i="14"/>
  <c r="O4771" i="14"/>
  <c r="L4771" i="14"/>
  <c r="H4771" i="14"/>
  <c r="W4771" i="14" s="1"/>
  <c r="W4770" i="14"/>
  <c r="V4770" i="14"/>
  <c r="U4770" i="14"/>
  <c r="P4770" i="14"/>
  <c r="O4770" i="14"/>
  <c r="W4769" i="14"/>
  <c r="P4769" i="14"/>
  <c r="O4769" i="14"/>
  <c r="W4768" i="14"/>
  <c r="V4768" i="14"/>
  <c r="U4768" i="14"/>
  <c r="P4768" i="14"/>
  <c r="O4768" i="14"/>
  <c r="P4767" i="14"/>
  <c r="O4767" i="14"/>
  <c r="R4767" i="14" s="1"/>
  <c r="L4767" i="14"/>
  <c r="H4767" i="14"/>
  <c r="W4767" i="14" s="1"/>
  <c r="W4766" i="14"/>
  <c r="P4766" i="14"/>
  <c r="O4766" i="14"/>
  <c r="R4766" i="14" s="1"/>
  <c r="W4765" i="14"/>
  <c r="P4765" i="14"/>
  <c r="O4765" i="14"/>
  <c r="R4765" i="14" s="1"/>
  <c r="W4764" i="14"/>
  <c r="P4764" i="14"/>
  <c r="O4764" i="14"/>
  <c r="W4763" i="14"/>
  <c r="V4763" i="14"/>
  <c r="U4763" i="14"/>
  <c r="P4763" i="14"/>
  <c r="O4763" i="14"/>
  <c r="R4763" i="14" s="1"/>
  <c r="W4762" i="14"/>
  <c r="P4762" i="14"/>
  <c r="O4762" i="14"/>
  <c r="W4761" i="14"/>
  <c r="P4761" i="14"/>
  <c r="O4761" i="14"/>
  <c r="W4760" i="14"/>
  <c r="P4760" i="14"/>
  <c r="O4760" i="14"/>
  <c r="W4759" i="14"/>
  <c r="V4759" i="14"/>
  <c r="U4759" i="14"/>
  <c r="P4759" i="14"/>
  <c r="O4759" i="14"/>
  <c r="P4758" i="14"/>
  <c r="O4758" i="14"/>
  <c r="R4758" i="14" s="1"/>
  <c r="L4758" i="14"/>
  <c r="H4758" i="14"/>
  <c r="W4758" i="14" s="1"/>
  <c r="W4757" i="14"/>
  <c r="P4757" i="14"/>
  <c r="O4757" i="14"/>
  <c r="R4757" i="14" s="1"/>
  <c r="W4756" i="14"/>
  <c r="P4756" i="14"/>
  <c r="O4756" i="14"/>
  <c r="R4756" i="14" s="1"/>
  <c r="P4755" i="14"/>
  <c r="O4755" i="14"/>
  <c r="R4755" i="14" s="1"/>
  <c r="L4755" i="14"/>
  <c r="H4755" i="14"/>
  <c r="W4755" i="14" s="1"/>
  <c r="H4742" i="14"/>
  <c r="P4754" i="14"/>
  <c r="O4754" i="14"/>
  <c r="P4753" i="14"/>
  <c r="O4753" i="14"/>
  <c r="P4752" i="14"/>
  <c r="O4752" i="14"/>
  <c r="P4751" i="14"/>
  <c r="O4751" i="14"/>
  <c r="R4751" i="14" s="1"/>
  <c r="L4751" i="14"/>
  <c r="H4751" i="14"/>
  <c r="P4750" i="14"/>
  <c r="O4750" i="14"/>
  <c r="P4749" i="14"/>
  <c r="O4749" i="14"/>
  <c r="P4748" i="14"/>
  <c r="O4748" i="14"/>
  <c r="R4748" i="14" s="1"/>
  <c r="P4747" i="14"/>
  <c r="O4747" i="14"/>
  <c r="P4746" i="14"/>
  <c r="O4746" i="14"/>
  <c r="P4745" i="14"/>
  <c r="O4745" i="14"/>
  <c r="P4744" i="14"/>
  <c r="O4744" i="14"/>
  <c r="R4744" i="14" s="1"/>
  <c r="P4743" i="14"/>
  <c r="O4743" i="14"/>
  <c r="P4742" i="14"/>
  <c r="O4742" i="14"/>
  <c r="P4741" i="14"/>
  <c r="O4741" i="14"/>
  <c r="P4740" i="14"/>
  <c r="O4740" i="14"/>
  <c r="R4740" i="14" s="1"/>
  <c r="P4739" i="14"/>
  <c r="O4739" i="14"/>
  <c r="L4739" i="14"/>
  <c r="H4739" i="14"/>
  <c r="R4780" i="14" l="1"/>
  <c r="R4785" i="14"/>
  <c r="R4745" i="14"/>
  <c r="R4752" i="14"/>
  <c r="R4762" i="14"/>
  <c r="R4764" i="14"/>
  <c r="R4741" i="14"/>
  <c r="R4749" i="14"/>
  <c r="R4742" i="14"/>
  <c r="R4746" i="14"/>
  <c r="R4750" i="14"/>
  <c r="R4753" i="14"/>
  <c r="R4760" i="14"/>
  <c r="R4769" i="14"/>
  <c r="R4781" i="14"/>
  <c r="R4783" i="14"/>
  <c r="R4786" i="14"/>
  <c r="R4739" i="14"/>
  <c r="R4743" i="14"/>
  <c r="R4747" i="14"/>
  <c r="R4754" i="14"/>
  <c r="R4771" i="14"/>
  <c r="R4779" i="14"/>
  <c r="R4784" i="14"/>
  <c r="R4759" i="14"/>
  <c r="R4761" i="14"/>
  <c r="R4768" i="14"/>
  <c r="R4770" i="14"/>
  <c r="R4782" i="14"/>
  <c r="V4757" i="14"/>
  <c r="U4757" i="14"/>
  <c r="V4756" i="14"/>
  <c r="I3760" i="14"/>
  <c r="I3759" i="14" s="1"/>
  <c r="I3751" i="14"/>
  <c r="H4675" i="14"/>
  <c r="W5235" i="14" s="1"/>
  <c r="G4675" i="14"/>
  <c r="G4287" i="14"/>
  <c r="G4275" i="14"/>
  <c r="H4678" i="14"/>
  <c r="W5238" i="14" s="1"/>
  <c r="G4684" i="14"/>
  <c r="G4678" i="14" s="1"/>
  <c r="U4756" i="14" l="1"/>
  <c r="U4762" i="14"/>
  <c r="L4707" i="14"/>
  <c r="P4722" i="14" l="1"/>
  <c r="O4722" i="14"/>
  <c r="P4721" i="14"/>
  <c r="O4721" i="14"/>
  <c r="P4720" i="14"/>
  <c r="O4720" i="14"/>
  <c r="P4719" i="14"/>
  <c r="O4719" i="14"/>
  <c r="L4719" i="14"/>
  <c r="H4719" i="14"/>
  <c r="P4718" i="14"/>
  <c r="O4718" i="14"/>
  <c r="P4717" i="14"/>
  <c r="O4717" i="14"/>
  <c r="P4716" i="14"/>
  <c r="O4716" i="14"/>
  <c r="P4715" i="14"/>
  <c r="O4715" i="14"/>
  <c r="P4714" i="14"/>
  <c r="O4714" i="14"/>
  <c r="P4713" i="14"/>
  <c r="O4713" i="14"/>
  <c r="P4712" i="14"/>
  <c r="O4712" i="14"/>
  <c r="P4711" i="14"/>
  <c r="O4711" i="14"/>
  <c r="P4710" i="14"/>
  <c r="O4710" i="14"/>
  <c r="L4710" i="14"/>
  <c r="H4710" i="14"/>
  <c r="P4709" i="14"/>
  <c r="O4709" i="14"/>
  <c r="P4708" i="14"/>
  <c r="O4708" i="14"/>
  <c r="P4707" i="14"/>
  <c r="O4707" i="14"/>
  <c r="H4707" i="14"/>
  <c r="P4706" i="14"/>
  <c r="O4706" i="14"/>
  <c r="R4706" i="14" s="1"/>
  <c r="P4705" i="14"/>
  <c r="O4705" i="14"/>
  <c r="R4705" i="14" s="1"/>
  <c r="P4704" i="14"/>
  <c r="O4704" i="14"/>
  <c r="R4704" i="14" s="1"/>
  <c r="P4703" i="14"/>
  <c r="O4703" i="14"/>
  <c r="R4703" i="14" s="1"/>
  <c r="L4703" i="14"/>
  <c r="H4703" i="14"/>
  <c r="P4702" i="14"/>
  <c r="O4702" i="14"/>
  <c r="R4702" i="14" s="1"/>
  <c r="P4701" i="14"/>
  <c r="O4701" i="14"/>
  <c r="R4701" i="14" s="1"/>
  <c r="P4700" i="14"/>
  <c r="O4700" i="14"/>
  <c r="R4700" i="14" s="1"/>
  <c r="P4699" i="14"/>
  <c r="O4699" i="14"/>
  <c r="R4699" i="14" s="1"/>
  <c r="P4698" i="14"/>
  <c r="O4698" i="14"/>
  <c r="R4698" i="14" s="1"/>
  <c r="P4697" i="14"/>
  <c r="O4697" i="14"/>
  <c r="R4697" i="14" s="1"/>
  <c r="P4696" i="14"/>
  <c r="O4696" i="14"/>
  <c r="R4696" i="14" s="1"/>
  <c r="P4695" i="14"/>
  <c r="O4695" i="14"/>
  <c r="R4695" i="14" s="1"/>
  <c r="P4694" i="14"/>
  <c r="O4694" i="14"/>
  <c r="R4694" i="14" s="1"/>
  <c r="L4694" i="14"/>
  <c r="H4694" i="14"/>
  <c r="P4693" i="14"/>
  <c r="O4693" i="14"/>
  <c r="R4693" i="14" s="1"/>
  <c r="P4692" i="14"/>
  <c r="O4692" i="14"/>
  <c r="R4692" i="14" s="1"/>
  <c r="P4691" i="14"/>
  <c r="O4691" i="14"/>
  <c r="R4691" i="14" s="1"/>
  <c r="L4691" i="14"/>
  <c r="H4691" i="14"/>
  <c r="H4555" i="14"/>
  <c r="H4551" i="14"/>
  <c r="H4549" i="14"/>
  <c r="H4548" i="14"/>
  <c r="I4002" i="14"/>
  <c r="I3999" i="14" s="1"/>
  <c r="R4709" i="14" l="1"/>
  <c r="R4712" i="14"/>
  <c r="R4716" i="14"/>
  <c r="R4719" i="14"/>
  <c r="R4713" i="14"/>
  <c r="R4717" i="14"/>
  <c r="R4720" i="14"/>
  <c r="R4707" i="14"/>
  <c r="R4710" i="14"/>
  <c r="R4714" i="14"/>
  <c r="R4718" i="14"/>
  <c r="R4721" i="14"/>
  <c r="R4708" i="14"/>
  <c r="R4711" i="14"/>
  <c r="R4715" i="14"/>
  <c r="R4722" i="14"/>
  <c r="P4674" i="14"/>
  <c r="O4674" i="14"/>
  <c r="P4673" i="14"/>
  <c r="O4673" i="14"/>
  <c r="R4673" i="14" s="1"/>
  <c r="P4672" i="14"/>
  <c r="O4672" i="14"/>
  <c r="P4671" i="14"/>
  <c r="O4671" i="14"/>
  <c r="P4670" i="14"/>
  <c r="O4670" i="14"/>
  <c r="P4669" i="14"/>
  <c r="O4669" i="14"/>
  <c r="R4669" i="14" s="1"/>
  <c r="P4668" i="14"/>
  <c r="O4668" i="14"/>
  <c r="P4667" i="14"/>
  <c r="O4667" i="14"/>
  <c r="P4666" i="14"/>
  <c r="O4666" i="14"/>
  <c r="P4665" i="14"/>
  <c r="O4665" i="14"/>
  <c r="R4665" i="14" s="1"/>
  <c r="P4664" i="14"/>
  <c r="O4664" i="14"/>
  <c r="P4663" i="14"/>
  <c r="O4663" i="14"/>
  <c r="P4662" i="14"/>
  <c r="O4662" i="14"/>
  <c r="P4661" i="14"/>
  <c r="O4661" i="14"/>
  <c r="R4661" i="14" s="1"/>
  <c r="P4660" i="14"/>
  <c r="O4660" i="14"/>
  <c r="P4659" i="14"/>
  <c r="O4659" i="14"/>
  <c r="W4660" i="14"/>
  <c r="W4661" i="14"/>
  <c r="W4662" i="14"/>
  <c r="W4663" i="14"/>
  <c r="U4664" i="14"/>
  <c r="V4664" i="14"/>
  <c r="W4664" i="14"/>
  <c r="W4665" i="14"/>
  <c r="W4666" i="14"/>
  <c r="W4667" i="14"/>
  <c r="U4668" i="14"/>
  <c r="V4668" i="14"/>
  <c r="W4668" i="14"/>
  <c r="W4669" i="14"/>
  <c r="W4670" i="14"/>
  <c r="W4671" i="14"/>
  <c r="W4672" i="14"/>
  <c r="U4673" i="14"/>
  <c r="V4673" i="14"/>
  <c r="W4673" i="14"/>
  <c r="W4674" i="14"/>
  <c r="R4659" i="14" l="1"/>
  <c r="R4663" i="14"/>
  <c r="R4667" i="14"/>
  <c r="R4671" i="14"/>
  <c r="R4660" i="14"/>
  <c r="R4664" i="14"/>
  <c r="R4668" i="14"/>
  <c r="R4672" i="14"/>
  <c r="R4662" i="14"/>
  <c r="R4666" i="14"/>
  <c r="R4670" i="14"/>
  <c r="R4674" i="14"/>
  <c r="W4659" i="14"/>
  <c r="P4658" i="14" l="1"/>
  <c r="O4658" i="14"/>
  <c r="P4657" i="14"/>
  <c r="O4657" i="14"/>
  <c r="R4657" i="14" s="1"/>
  <c r="P4656" i="14"/>
  <c r="O4656" i="14"/>
  <c r="P4655" i="14"/>
  <c r="O4655" i="14"/>
  <c r="L4655" i="14"/>
  <c r="H4655" i="14"/>
  <c r="P4654" i="14"/>
  <c r="O4654" i="14"/>
  <c r="P4653" i="14"/>
  <c r="O4653" i="14"/>
  <c r="P4652" i="14"/>
  <c r="O4652" i="14"/>
  <c r="P4651" i="14"/>
  <c r="O4651" i="14"/>
  <c r="P4650" i="14"/>
  <c r="O4650" i="14"/>
  <c r="P4649" i="14"/>
  <c r="O4649" i="14"/>
  <c r="P4648" i="14"/>
  <c r="O4648" i="14"/>
  <c r="P4647" i="14"/>
  <c r="O4647" i="14"/>
  <c r="P4646" i="14"/>
  <c r="O4646" i="14"/>
  <c r="H4646" i="14"/>
  <c r="P4645" i="14"/>
  <c r="O4645" i="14"/>
  <c r="R4645" i="14" s="1"/>
  <c r="P4644" i="14"/>
  <c r="O4644" i="14"/>
  <c r="R4644" i="14" s="1"/>
  <c r="P4643" i="14"/>
  <c r="O4643" i="14"/>
  <c r="R4643" i="14" s="1"/>
  <c r="L4643" i="14"/>
  <c r="H4643" i="14"/>
  <c r="L4630" i="14"/>
  <c r="R4650" i="14" l="1"/>
  <c r="R4646" i="14"/>
  <c r="R4654" i="14"/>
  <c r="R4648" i="14"/>
  <c r="R4655" i="14"/>
  <c r="R4649" i="14"/>
  <c r="R4656" i="14"/>
  <c r="R4647" i="14"/>
  <c r="R4651" i="14"/>
  <c r="R4658" i="14"/>
  <c r="R4652" i="14"/>
  <c r="R4653" i="14"/>
  <c r="P4642" i="14"/>
  <c r="O4642" i="14"/>
  <c r="P4641" i="14"/>
  <c r="O4641" i="14"/>
  <c r="R4641" i="14" s="1"/>
  <c r="P4640" i="14"/>
  <c r="O4640" i="14"/>
  <c r="R4640" i="14" s="1"/>
  <c r="P4639" i="14"/>
  <c r="O4639" i="14"/>
  <c r="L4639" i="14"/>
  <c r="H4639" i="14"/>
  <c r="P4638" i="14"/>
  <c r="O4638" i="14"/>
  <c r="P4637" i="14"/>
  <c r="O4637" i="14"/>
  <c r="R4637" i="14" s="1"/>
  <c r="P4636" i="14"/>
  <c r="O4636" i="14"/>
  <c r="P4635" i="14"/>
  <c r="O4635" i="14"/>
  <c r="P4634" i="14"/>
  <c r="O4634" i="14"/>
  <c r="P4633" i="14"/>
  <c r="O4633" i="14"/>
  <c r="R4633" i="14" s="1"/>
  <c r="P4632" i="14"/>
  <c r="O4632" i="14"/>
  <c r="P4631" i="14"/>
  <c r="O4631" i="14"/>
  <c r="P4630" i="14"/>
  <c r="O4630" i="14"/>
  <c r="H4630" i="14"/>
  <c r="P4629" i="14"/>
  <c r="O4629" i="14"/>
  <c r="P4628" i="14"/>
  <c r="O4628" i="14"/>
  <c r="R4628" i="14" s="1"/>
  <c r="P4627" i="14"/>
  <c r="O4627" i="14"/>
  <c r="R4627" i="14" s="1"/>
  <c r="L4627" i="14"/>
  <c r="H4627" i="14"/>
  <c r="P4530" i="14"/>
  <c r="O4530" i="14"/>
  <c r="R4530" i="14" s="1"/>
  <c r="P4529" i="14"/>
  <c r="O4529" i="14"/>
  <c r="R4529" i="14" s="1"/>
  <c r="P4528" i="14"/>
  <c r="O4528" i="14"/>
  <c r="R4528" i="14" s="1"/>
  <c r="P4527" i="14"/>
  <c r="O4527" i="14"/>
  <c r="H4527" i="14"/>
  <c r="P4526" i="14"/>
  <c r="O4526" i="14"/>
  <c r="P4525" i="14"/>
  <c r="O4525" i="14"/>
  <c r="P4524" i="14"/>
  <c r="O4524" i="14"/>
  <c r="R4524" i="14" s="1"/>
  <c r="P4523" i="14"/>
  <c r="O4523" i="14"/>
  <c r="P4522" i="14"/>
  <c r="O4522" i="14"/>
  <c r="P4521" i="14"/>
  <c r="O4521" i="14"/>
  <c r="P4520" i="14"/>
  <c r="O4520" i="14"/>
  <c r="R4520" i="14" s="1"/>
  <c r="P4519" i="14"/>
  <c r="O4519" i="14"/>
  <c r="P4518" i="14"/>
  <c r="O4518" i="14"/>
  <c r="H4518" i="14"/>
  <c r="P4517" i="14"/>
  <c r="O4517" i="14"/>
  <c r="R4517" i="14" s="1"/>
  <c r="P4516" i="14"/>
  <c r="O4516" i="14"/>
  <c r="P4515" i="14"/>
  <c r="O4515" i="14"/>
  <c r="R4515" i="14" s="1"/>
  <c r="L4515" i="14"/>
  <c r="H4515" i="14"/>
  <c r="P4594" i="14"/>
  <c r="O4594" i="14"/>
  <c r="R4594" i="14" s="1"/>
  <c r="P4593" i="14"/>
  <c r="O4593" i="14"/>
  <c r="P4592" i="14"/>
  <c r="O4592" i="14"/>
  <c r="R4592" i="14" s="1"/>
  <c r="P4591" i="14"/>
  <c r="O4591" i="14"/>
  <c r="R4591" i="14" s="1"/>
  <c r="L4591" i="14"/>
  <c r="H4591" i="14"/>
  <c r="P4590" i="14"/>
  <c r="O4590" i="14"/>
  <c r="P4589" i="14"/>
  <c r="O4589" i="14"/>
  <c r="R4589" i="14" s="1"/>
  <c r="P4588" i="14"/>
  <c r="O4588" i="14"/>
  <c r="R4588" i="14" s="1"/>
  <c r="P4587" i="14"/>
  <c r="O4587" i="14"/>
  <c r="R4587" i="14" s="1"/>
  <c r="P4586" i="14"/>
  <c r="O4586" i="14"/>
  <c r="P4585" i="14"/>
  <c r="O4585" i="14"/>
  <c r="R4585" i="14" s="1"/>
  <c r="P4584" i="14"/>
  <c r="O4584" i="14"/>
  <c r="R4584" i="14" s="1"/>
  <c r="P4583" i="14"/>
  <c r="O4583" i="14"/>
  <c r="R4583" i="14" s="1"/>
  <c r="P4582" i="14"/>
  <c r="O4582" i="14"/>
  <c r="L4582" i="14"/>
  <c r="H4582" i="14"/>
  <c r="P4581" i="14"/>
  <c r="O4581" i="14"/>
  <c r="R4581" i="14" s="1"/>
  <c r="P4580" i="14"/>
  <c r="O4580" i="14"/>
  <c r="R4580" i="14" s="1"/>
  <c r="P4579" i="14"/>
  <c r="O4579" i="14"/>
  <c r="L4579" i="14"/>
  <c r="H4579" i="14"/>
  <c r="W4626" i="14"/>
  <c r="V4626" i="14"/>
  <c r="U4626" i="14"/>
  <c r="P4626" i="14"/>
  <c r="O4626" i="14"/>
  <c r="R4626" i="14" s="1"/>
  <c r="W4625" i="14"/>
  <c r="P4625" i="14"/>
  <c r="O4625" i="14"/>
  <c r="R4625" i="14" s="1"/>
  <c r="W4624" i="14"/>
  <c r="V4624" i="14"/>
  <c r="U4624" i="14"/>
  <c r="P4624" i="14"/>
  <c r="O4624" i="14"/>
  <c r="R4624" i="14" s="1"/>
  <c r="P4623" i="14"/>
  <c r="O4623" i="14"/>
  <c r="L4623" i="14"/>
  <c r="H4623" i="14"/>
  <c r="W4622" i="14"/>
  <c r="P4622" i="14"/>
  <c r="O4622" i="14"/>
  <c r="R4622" i="14" s="1"/>
  <c r="W4621" i="14"/>
  <c r="V4621" i="14"/>
  <c r="U4621" i="14"/>
  <c r="P4621" i="14"/>
  <c r="O4621" i="14"/>
  <c r="W4620" i="14"/>
  <c r="P4620" i="14"/>
  <c r="O4620" i="14"/>
  <c r="R4620" i="14" s="1"/>
  <c r="W4619" i="14"/>
  <c r="V4619" i="14"/>
  <c r="U4619" i="14"/>
  <c r="P4619" i="14"/>
  <c r="O4619" i="14"/>
  <c r="W4618" i="14"/>
  <c r="P4618" i="14"/>
  <c r="O4618" i="14"/>
  <c r="R4618" i="14" s="1"/>
  <c r="W4617" i="14"/>
  <c r="V4617" i="14"/>
  <c r="U4617" i="14"/>
  <c r="P4617" i="14"/>
  <c r="O4617" i="14"/>
  <c r="W4616" i="14"/>
  <c r="P4616" i="14"/>
  <c r="O4616" i="14"/>
  <c r="R4616" i="14" s="1"/>
  <c r="W4615" i="14"/>
  <c r="V4615" i="14"/>
  <c r="U4615" i="14"/>
  <c r="P4615" i="14"/>
  <c r="O4615" i="14"/>
  <c r="P4614" i="14"/>
  <c r="O4614" i="14"/>
  <c r="L4614" i="14"/>
  <c r="H4614" i="14"/>
  <c r="W4614" i="14" s="1"/>
  <c r="W4613" i="14"/>
  <c r="P4613" i="14"/>
  <c r="O4613" i="14"/>
  <c r="R4613" i="14" s="1"/>
  <c r="W4612" i="14"/>
  <c r="P4612" i="14"/>
  <c r="O4612" i="14"/>
  <c r="P4611" i="14"/>
  <c r="O4611" i="14"/>
  <c r="R4611" i="14" s="1"/>
  <c r="L4611" i="14"/>
  <c r="H4611" i="14"/>
  <c r="W4610" i="14"/>
  <c r="P4610" i="14"/>
  <c r="O4610" i="14"/>
  <c r="R4610" i="14" s="1"/>
  <c r="W4609" i="14"/>
  <c r="P4609" i="14"/>
  <c r="O4609" i="14"/>
  <c r="R4609" i="14" s="1"/>
  <c r="W4608" i="14"/>
  <c r="P4608" i="14"/>
  <c r="O4608" i="14"/>
  <c r="R4608" i="14" s="1"/>
  <c r="P4607" i="14"/>
  <c r="O4607" i="14"/>
  <c r="R4607" i="14" s="1"/>
  <c r="H4607" i="14"/>
  <c r="W4607" i="14" s="1"/>
  <c r="W4606" i="14"/>
  <c r="P4606" i="14"/>
  <c r="O4606" i="14"/>
  <c r="W4605" i="14"/>
  <c r="P4605" i="14"/>
  <c r="O4605" i="14"/>
  <c r="W4604" i="14"/>
  <c r="P4604" i="14"/>
  <c r="O4604" i="14"/>
  <c r="R4604" i="14" s="1"/>
  <c r="W4603" i="14"/>
  <c r="P4603" i="14"/>
  <c r="O4603" i="14"/>
  <c r="W4602" i="14"/>
  <c r="P4602" i="14"/>
  <c r="O4602" i="14"/>
  <c r="R4602" i="14" s="1"/>
  <c r="W4601" i="14"/>
  <c r="V4601" i="14"/>
  <c r="U4601" i="14"/>
  <c r="P4601" i="14"/>
  <c r="O4601" i="14"/>
  <c r="W4600" i="14"/>
  <c r="V4600" i="14"/>
  <c r="P4600" i="14"/>
  <c r="O4600" i="14"/>
  <c r="W4599" i="14"/>
  <c r="V4599" i="14"/>
  <c r="U4599" i="14"/>
  <c r="P4599" i="14"/>
  <c r="O4599" i="14"/>
  <c r="R4599" i="14" s="1"/>
  <c r="P4598" i="14"/>
  <c r="O4598" i="14"/>
  <c r="R4598" i="14" s="1"/>
  <c r="W4598" i="14"/>
  <c r="W4597" i="14"/>
  <c r="P4597" i="14"/>
  <c r="O4597" i="14"/>
  <c r="W4596" i="14"/>
  <c r="V4596" i="14"/>
  <c r="U4596" i="14"/>
  <c r="P4596" i="14"/>
  <c r="O4596" i="14"/>
  <c r="P4595" i="14"/>
  <c r="O4595" i="14"/>
  <c r="R4595" i="14" s="1"/>
  <c r="H4595" i="14"/>
  <c r="R4596" i="14" l="1"/>
  <c r="R4600" i="14"/>
  <c r="R4612" i="14"/>
  <c r="R4614" i="14"/>
  <c r="R4521" i="14"/>
  <c r="R4525" i="14"/>
  <c r="R4630" i="14"/>
  <c r="R4634" i="14"/>
  <c r="R4638" i="14"/>
  <c r="R4605" i="14"/>
  <c r="R4615" i="14"/>
  <c r="R4617" i="14"/>
  <c r="R4619" i="14"/>
  <c r="R4621" i="14"/>
  <c r="R4518" i="14"/>
  <c r="R4522" i="14"/>
  <c r="R4526" i="14"/>
  <c r="R4631" i="14"/>
  <c r="R4635" i="14"/>
  <c r="R4642" i="14"/>
  <c r="R4601" i="14"/>
  <c r="R4603" i="14"/>
  <c r="R4623" i="14"/>
  <c r="R4519" i="14"/>
  <c r="R4523" i="14"/>
  <c r="R4632" i="14"/>
  <c r="R4636" i="14"/>
  <c r="R4639" i="14"/>
  <c r="R4597" i="14"/>
  <c r="R4606" i="14"/>
  <c r="R4579" i="14"/>
  <c r="R4582" i="14"/>
  <c r="R4586" i="14"/>
  <c r="R4590" i="14"/>
  <c r="R4593" i="14"/>
  <c r="R4516" i="14"/>
  <c r="R4527" i="14"/>
  <c r="R4629" i="14"/>
  <c r="W4595" i="14"/>
  <c r="W4611" i="14"/>
  <c r="W4623" i="14"/>
  <c r="P4578" i="14" l="1"/>
  <c r="O4578" i="14"/>
  <c r="P4577" i="14"/>
  <c r="O4577" i="14"/>
  <c r="P4576" i="14"/>
  <c r="O4576" i="14"/>
  <c r="P4575" i="14"/>
  <c r="O4575" i="14"/>
  <c r="L4575" i="14"/>
  <c r="H4575" i="14"/>
  <c r="P4574" i="14"/>
  <c r="O4574" i="14"/>
  <c r="P4573" i="14"/>
  <c r="O4573" i="14"/>
  <c r="P4572" i="14"/>
  <c r="O4572" i="14"/>
  <c r="P4571" i="14"/>
  <c r="O4571" i="14"/>
  <c r="P4570" i="14"/>
  <c r="O4570" i="14"/>
  <c r="P4569" i="14"/>
  <c r="O4569" i="14"/>
  <c r="P4568" i="14"/>
  <c r="O4568" i="14"/>
  <c r="P4567" i="14"/>
  <c r="O4567" i="14"/>
  <c r="P4566" i="14"/>
  <c r="O4566" i="14"/>
  <c r="L4566" i="14"/>
  <c r="H4566" i="14"/>
  <c r="P4565" i="14"/>
  <c r="O4565" i="14"/>
  <c r="P4564" i="14"/>
  <c r="O4564" i="14"/>
  <c r="P4563" i="14"/>
  <c r="O4563" i="14"/>
  <c r="L4563" i="14"/>
  <c r="H4563" i="14"/>
  <c r="R4565" i="14" l="1"/>
  <c r="R4568" i="14"/>
  <c r="R4572" i="14"/>
  <c r="R4575" i="14"/>
  <c r="R4569" i="14"/>
  <c r="R4573" i="14"/>
  <c r="R4576" i="14"/>
  <c r="R4563" i="14"/>
  <c r="R4566" i="14"/>
  <c r="R4570" i="14"/>
  <c r="R4574" i="14"/>
  <c r="R4577" i="14"/>
  <c r="R4564" i="14"/>
  <c r="R4567" i="14"/>
  <c r="R4571" i="14"/>
  <c r="R4578" i="14"/>
  <c r="W4562" i="14"/>
  <c r="V4562" i="14"/>
  <c r="U4562" i="14"/>
  <c r="P4562" i="14"/>
  <c r="O4562" i="14"/>
  <c r="W4561" i="14"/>
  <c r="P4561" i="14"/>
  <c r="O4561" i="14"/>
  <c r="R4561" i="14" s="1"/>
  <c r="W4560" i="14"/>
  <c r="P4560" i="14"/>
  <c r="O4560" i="14"/>
  <c r="P4559" i="14"/>
  <c r="O4559" i="14"/>
  <c r="H4559" i="14"/>
  <c r="W4558" i="14"/>
  <c r="P4558" i="14"/>
  <c r="O4558" i="14"/>
  <c r="R4558" i="14" s="1"/>
  <c r="W4557" i="14"/>
  <c r="V4557" i="14"/>
  <c r="U4557" i="14"/>
  <c r="P4557" i="14"/>
  <c r="O4557" i="14"/>
  <c r="R4557" i="14" s="1"/>
  <c r="W4556" i="14"/>
  <c r="V4556" i="14"/>
  <c r="U4556" i="14"/>
  <c r="P4556" i="14"/>
  <c r="O4556" i="14"/>
  <c r="W4555" i="14"/>
  <c r="P4555" i="14"/>
  <c r="O4555" i="14"/>
  <c r="R4555" i="14" s="1"/>
  <c r="W4554" i="14"/>
  <c r="P4554" i="14"/>
  <c r="O4554" i="14"/>
  <c r="R4554" i="14" s="1"/>
  <c r="W4553" i="14"/>
  <c r="V4553" i="14"/>
  <c r="U4553" i="14"/>
  <c r="P4553" i="14"/>
  <c r="O4553" i="14"/>
  <c r="R4553" i="14" s="1"/>
  <c r="W4552" i="14"/>
  <c r="P4552" i="14"/>
  <c r="O4552" i="14"/>
  <c r="W4551" i="14"/>
  <c r="P4551" i="14"/>
  <c r="O4551" i="14"/>
  <c r="R4551" i="14" s="1"/>
  <c r="P4550" i="14"/>
  <c r="O4550" i="14"/>
  <c r="H4550" i="14"/>
  <c r="W4550" i="14" s="1"/>
  <c r="W4549" i="14"/>
  <c r="P4549" i="14"/>
  <c r="O4549" i="14"/>
  <c r="R4549" i="14" s="1"/>
  <c r="W4548" i="14"/>
  <c r="P4548" i="14"/>
  <c r="O4548" i="14"/>
  <c r="P4547" i="14"/>
  <c r="O4547" i="14"/>
  <c r="R4547" i="14" s="1"/>
  <c r="L4547" i="14"/>
  <c r="H4547" i="14"/>
  <c r="R4548" i="14" l="1"/>
  <c r="R4559" i="14"/>
  <c r="R4562" i="14"/>
  <c r="R4556" i="14"/>
  <c r="R4560" i="14"/>
  <c r="R4552" i="14"/>
  <c r="R4550" i="14"/>
  <c r="U4552" i="14"/>
  <c r="U4561" i="14"/>
  <c r="V4552" i="14"/>
  <c r="W4547" i="14"/>
  <c r="V4561" i="14"/>
  <c r="W4559" i="14"/>
  <c r="P4546" i="14"/>
  <c r="O4546" i="14"/>
  <c r="P4545" i="14"/>
  <c r="O4545" i="14"/>
  <c r="P4544" i="14"/>
  <c r="O4544" i="14"/>
  <c r="R4544" i="14" s="1"/>
  <c r="P4543" i="14"/>
  <c r="O4543" i="14"/>
  <c r="L4543" i="14"/>
  <c r="H4543" i="14"/>
  <c r="P4542" i="14"/>
  <c r="O4542" i="14"/>
  <c r="P4541" i="14"/>
  <c r="O4541" i="14"/>
  <c r="R4541" i="14" s="1"/>
  <c r="P4540" i="14"/>
  <c r="O4540" i="14"/>
  <c r="P4539" i="14"/>
  <c r="O4539" i="14"/>
  <c r="P4538" i="14"/>
  <c r="O4538" i="14"/>
  <c r="P4537" i="14"/>
  <c r="O4537" i="14"/>
  <c r="R4537" i="14" s="1"/>
  <c r="P4536" i="14"/>
  <c r="O4536" i="14"/>
  <c r="P4535" i="14"/>
  <c r="O4535" i="14"/>
  <c r="P4534" i="14"/>
  <c r="O4534" i="14"/>
  <c r="L4534" i="14"/>
  <c r="H4534" i="14"/>
  <c r="P4533" i="14"/>
  <c r="O4533" i="14"/>
  <c r="P4532" i="14"/>
  <c r="O4532" i="14"/>
  <c r="P4531" i="14"/>
  <c r="O4531" i="14"/>
  <c r="L4531" i="14"/>
  <c r="H4531" i="14"/>
  <c r="P4514" i="14"/>
  <c r="O4514" i="14"/>
  <c r="P4513" i="14"/>
  <c r="O4513" i="14"/>
  <c r="P4512" i="14"/>
  <c r="O4512" i="14"/>
  <c r="P4511" i="14"/>
  <c r="O4511" i="14"/>
  <c r="R4511" i="14" s="1"/>
  <c r="L4511" i="14"/>
  <c r="H4511" i="14"/>
  <c r="P4510" i="14"/>
  <c r="O4510" i="14"/>
  <c r="P4509" i="14"/>
  <c r="O4509" i="14"/>
  <c r="P4508" i="14"/>
  <c r="O4508" i="14"/>
  <c r="R4508" i="14" s="1"/>
  <c r="P4507" i="14"/>
  <c r="O4507" i="14"/>
  <c r="P4506" i="14"/>
  <c r="O4506" i="14"/>
  <c r="P4505" i="14"/>
  <c r="O4505" i="14"/>
  <c r="P4504" i="14"/>
  <c r="O4504" i="14"/>
  <c r="R4504" i="14" s="1"/>
  <c r="P4503" i="14"/>
  <c r="O4503" i="14"/>
  <c r="P4502" i="14"/>
  <c r="O4502" i="14"/>
  <c r="L4502" i="14"/>
  <c r="H4502" i="14"/>
  <c r="P4501" i="14"/>
  <c r="O4501" i="14"/>
  <c r="R4501" i="14" s="1"/>
  <c r="P4500" i="14"/>
  <c r="O4500" i="14"/>
  <c r="P4499" i="14"/>
  <c r="O4499" i="14"/>
  <c r="L4499" i="14"/>
  <c r="H4499" i="14"/>
  <c r="H4495" i="14"/>
  <c r="H4486" i="14"/>
  <c r="H4483" i="14"/>
  <c r="P4498" i="14"/>
  <c r="O4498" i="14"/>
  <c r="R4498" i="14" s="1"/>
  <c r="P4497" i="14"/>
  <c r="O4497" i="14"/>
  <c r="R4497" i="14" s="1"/>
  <c r="P4496" i="14"/>
  <c r="O4496" i="14"/>
  <c r="R4496" i="14" s="1"/>
  <c r="P4495" i="14"/>
  <c r="O4495" i="14"/>
  <c r="L4495" i="14"/>
  <c r="P4494" i="14"/>
  <c r="O4494" i="14"/>
  <c r="P4493" i="14"/>
  <c r="O4493" i="14"/>
  <c r="P4492" i="14"/>
  <c r="O4492" i="14"/>
  <c r="R4492" i="14" s="1"/>
  <c r="P4491" i="14"/>
  <c r="O4491" i="14"/>
  <c r="P4490" i="14"/>
  <c r="O4490" i="14"/>
  <c r="P4489" i="14"/>
  <c r="O4489" i="14"/>
  <c r="P4488" i="14"/>
  <c r="O4488" i="14"/>
  <c r="R4488" i="14" s="1"/>
  <c r="P4487" i="14"/>
  <c r="O4487" i="14"/>
  <c r="P4486" i="14"/>
  <c r="O4486" i="14"/>
  <c r="L4486" i="14"/>
  <c r="P4485" i="14"/>
  <c r="O4485" i="14"/>
  <c r="R4485" i="14" s="1"/>
  <c r="P4484" i="14"/>
  <c r="O4484" i="14"/>
  <c r="P4483" i="14"/>
  <c r="O4483" i="14"/>
  <c r="R4483" i="14" s="1"/>
  <c r="L4483" i="14"/>
  <c r="R4493" i="14" l="1"/>
  <c r="R4505" i="14"/>
  <c r="R4509" i="14"/>
  <c r="R4531" i="14"/>
  <c r="R4534" i="14"/>
  <c r="R4538" i="14"/>
  <c r="R4542" i="14"/>
  <c r="R4545" i="14"/>
  <c r="R4486" i="14"/>
  <c r="R4490" i="14"/>
  <c r="R4494" i="14"/>
  <c r="R4499" i="14"/>
  <c r="R4502" i="14"/>
  <c r="R4506" i="14"/>
  <c r="R4510" i="14"/>
  <c r="R4513" i="14"/>
  <c r="R4532" i="14"/>
  <c r="R4535" i="14"/>
  <c r="R4539" i="14"/>
  <c r="R4546" i="14"/>
  <c r="R4487" i="14"/>
  <c r="R4491" i="14"/>
  <c r="R4500" i="14"/>
  <c r="R4503" i="14"/>
  <c r="R4507" i="14"/>
  <c r="R4514" i="14"/>
  <c r="R4533" i="14"/>
  <c r="R4536" i="14"/>
  <c r="R4540" i="14"/>
  <c r="R4543" i="14"/>
  <c r="R4484" i="14"/>
  <c r="R4495" i="14"/>
  <c r="R4489" i="14"/>
  <c r="R4512" i="14"/>
  <c r="P4482" i="14" l="1"/>
  <c r="O4482" i="14"/>
  <c r="P4481" i="14"/>
  <c r="O4481" i="14"/>
  <c r="P4480" i="14"/>
  <c r="O4480" i="14"/>
  <c r="P4479" i="14"/>
  <c r="O4479" i="14"/>
  <c r="R4479" i="14" s="1"/>
  <c r="L4479" i="14"/>
  <c r="H4479" i="14"/>
  <c r="P4478" i="14"/>
  <c r="O4478" i="14"/>
  <c r="P4477" i="14"/>
  <c r="O4477" i="14"/>
  <c r="P4476" i="14"/>
  <c r="O4476" i="14"/>
  <c r="P4475" i="14"/>
  <c r="O4475" i="14"/>
  <c r="P4474" i="14"/>
  <c r="O4474" i="14"/>
  <c r="P4473" i="14"/>
  <c r="O4473" i="14"/>
  <c r="P4472" i="14"/>
  <c r="O4472" i="14"/>
  <c r="P4471" i="14"/>
  <c r="O4471" i="14"/>
  <c r="P4470" i="14"/>
  <c r="O4470" i="14"/>
  <c r="H4470" i="14"/>
  <c r="P4469" i="14"/>
  <c r="O4469" i="14"/>
  <c r="R4469" i="14" s="1"/>
  <c r="P4468" i="14"/>
  <c r="O4468" i="14"/>
  <c r="R4468" i="14" s="1"/>
  <c r="P4467" i="14"/>
  <c r="O4467" i="14"/>
  <c r="R4467" i="14" s="1"/>
  <c r="L4467" i="14"/>
  <c r="H4467" i="14"/>
  <c r="R4472" i="14" l="1"/>
  <c r="R4476" i="14"/>
  <c r="R4480" i="14"/>
  <c r="R4473" i="14"/>
  <c r="R4481" i="14"/>
  <c r="R4477" i="14"/>
  <c r="R4470" i="14"/>
  <c r="R4474" i="14"/>
  <c r="R4478" i="14"/>
  <c r="R4471" i="14"/>
  <c r="R4475" i="14"/>
  <c r="R4482" i="14"/>
  <c r="P4466" i="14"/>
  <c r="O4466" i="14"/>
  <c r="P4465" i="14"/>
  <c r="O4465" i="14"/>
  <c r="R4465" i="14" s="1"/>
  <c r="P4464" i="14"/>
  <c r="O4464" i="14"/>
  <c r="P4463" i="14"/>
  <c r="O4463" i="14"/>
  <c r="L4463" i="14"/>
  <c r="H4463" i="14"/>
  <c r="P4462" i="14"/>
  <c r="O4462" i="14"/>
  <c r="P4461" i="14"/>
  <c r="O4461" i="14"/>
  <c r="P4460" i="14"/>
  <c r="O4460" i="14"/>
  <c r="P4459" i="14"/>
  <c r="O4459" i="14"/>
  <c r="P4458" i="14"/>
  <c r="O4458" i="14"/>
  <c r="P4457" i="14"/>
  <c r="O4457" i="14"/>
  <c r="P4456" i="14"/>
  <c r="O4456" i="14"/>
  <c r="P4455" i="14"/>
  <c r="O4455" i="14"/>
  <c r="P4454" i="14"/>
  <c r="O4454" i="14"/>
  <c r="L4454" i="14"/>
  <c r="H4454" i="14"/>
  <c r="P4453" i="14"/>
  <c r="O4453" i="14"/>
  <c r="P4452" i="14"/>
  <c r="O4452" i="14"/>
  <c r="P4451" i="14"/>
  <c r="O4451" i="14"/>
  <c r="L4451" i="14"/>
  <c r="H4451" i="14"/>
  <c r="R4451" i="14" l="1"/>
  <c r="R4454" i="14"/>
  <c r="R4458" i="14"/>
  <c r="R4462" i="14"/>
  <c r="R4452" i="14"/>
  <c r="R4455" i="14"/>
  <c r="R4459" i="14"/>
  <c r="R4466" i="14"/>
  <c r="R4453" i="14"/>
  <c r="R4456" i="14"/>
  <c r="R4460" i="14"/>
  <c r="R4463" i="14"/>
  <c r="R4457" i="14"/>
  <c r="R4461" i="14"/>
  <c r="R4464" i="14"/>
  <c r="H3861" i="14"/>
  <c r="W4450" i="14" l="1"/>
  <c r="V4450" i="14"/>
  <c r="U4450" i="14"/>
  <c r="P4450" i="14"/>
  <c r="O4450" i="14"/>
  <c r="W4449" i="14"/>
  <c r="P4449" i="14"/>
  <c r="O4449" i="14"/>
  <c r="W4448" i="14"/>
  <c r="V4448" i="14"/>
  <c r="U4448" i="14"/>
  <c r="P4448" i="14"/>
  <c r="O4448" i="14"/>
  <c r="P4447" i="14"/>
  <c r="O4447" i="14"/>
  <c r="R4447" i="14" s="1"/>
  <c r="H4447" i="14"/>
  <c r="W4446" i="14"/>
  <c r="P4446" i="14"/>
  <c r="O4446" i="14"/>
  <c r="W4445" i="14"/>
  <c r="V4445" i="14"/>
  <c r="U4445" i="14"/>
  <c r="P4445" i="14"/>
  <c r="O4445" i="14"/>
  <c r="W4444" i="14"/>
  <c r="P4444" i="14"/>
  <c r="O4444" i="14"/>
  <c r="W4443" i="14"/>
  <c r="V4443" i="14"/>
  <c r="U4443" i="14"/>
  <c r="P4443" i="14"/>
  <c r="O4443" i="14"/>
  <c r="W4442" i="14"/>
  <c r="P4442" i="14"/>
  <c r="O4442" i="14"/>
  <c r="W4441" i="14"/>
  <c r="V4441" i="14"/>
  <c r="U4441" i="14"/>
  <c r="P4441" i="14"/>
  <c r="O4441" i="14"/>
  <c r="W4440" i="14"/>
  <c r="P4440" i="14"/>
  <c r="O4440" i="14"/>
  <c r="W4439" i="14"/>
  <c r="V4439" i="14"/>
  <c r="U4439" i="14"/>
  <c r="P4439" i="14"/>
  <c r="O4439" i="14"/>
  <c r="P4438" i="14"/>
  <c r="O4438" i="14"/>
  <c r="H4438" i="14"/>
  <c r="W4438" i="14" s="1"/>
  <c r="W4437" i="14"/>
  <c r="V4437" i="14"/>
  <c r="U4437" i="14"/>
  <c r="P4437" i="14"/>
  <c r="O4437" i="14"/>
  <c r="W4436" i="14"/>
  <c r="V4436" i="14"/>
  <c r="U4436" i="14"/>
  <c r="P4436" i="14"/>
  <c r="O4436" i="14"/>
  <c r="P4435" i="14"/>
  <c r="O4435" i="14"/>
  <c r="L4435" i="14"/>
  <c r="H4435" i="14"/>
  <c r="V4435" i="14" s="1"/>
  <c r="R4441" i="14" l="1"/>
  <c r="R4436" i="14"/>
  <c r="R4439" i="14"/>
  <c r="R4449" i="14"/>
  <c r="R4442" i="14"/>
  <c r="R4437" i="14"/>
  <c r="R4445" i="14"/>
  <c r="R4435" i="14"/>
  <c r="R4448" i="14"/>
  <c r="R4446" i="14"/>
  <c r="R4443" i="14"/>
  <c r="R4450" i="14"/>
  <c r="R4440" i="14"/>
  <c r="R4444" i="14"/>
  <c r="R4438" i="14"/>
  <c r="W4435" i="14"/>
  <c r="U4435" i="14"/>
  <c r="W4447" i="14"/>
  <c r="W4434" i="14"/>
  <c r="V4434" i="14"/>
  <c r="U4434" i="14"/>
  <c r="P4434" i="14"/>
  <c r="O4434" i="14"/>
  <c r="W4433" i="14"/>
  <c r="P4433" i="14"/>
  <c r="O4433" i="14"/>
  <c r="W4432" i="14"/>
  <c r="P4432" i="14"/>
  <c r="O4432" i="14"/>
  <c r="P4431" i="14"/>
  <c r="O4431" i="14"/>
  <c r="L4431" i="14"/>
  <c r="H4431" i="14"/>
  <c r="W4430" i="14"/>
  <c r="P4430" i="14"/>
  <c r="O4430" i="14"/>
  <c r="W4429" i="14"/>
  <c r="V4429" i="14"/>
  <c r="U4429" i="14"/>
  <c r="P4429" i="14"/>
  <c r="O4429" i="14"/>
  <c r="W4428" i="14"/>
  <c r="P4428" i="14"/>
  <c r="O4428" i="14"/>
  <c r="W4427" i="14"/>
  <c r="P4427" i="14"/>
  <c r="O4427" i="14"/>
  <c r="W4426" i="14"/>
  <c r="P4426" i="14"/>
  <c r="O4426" i="14"/>
  <c r="W4425" i="14"/>
  <c r="V4425" i="14"/>
  <c r="U4425" i="14"/>
  <c r="P4425" i="14"/>
  <c r="O4425" i="14"/>
  <c r="W4424" i="14"/>
  <c r="P4424" i="14"/>
  <c r="O4424" i="14"/>
  <c r="W4423" i="14"/>
  <c r="P4423" i="14"/>
  <c r="O4423" i="14"/>
  <c r="P4422" i="14"/>
  <c r="O4422" i="14"/>
  <c r="L4422" i="14"/>
  <c r="H4422" i="14"/>
  <c r="W4421" i="14"/>
  <c r="P4421" i="14"/>
  <c r="O4421" i="14"/>
  <c r="W4420" i="14"/>
  <c r="P4420" i="14"/>
  <c r="O4420" i="14"/>
  <c r="P4419" i="14"/>
  <c r="O4419" i="14"/>
  <c r="L4419" i="14"/>
  <c r="H4419" i="14"/>
  <c r="W4419" i="14" s="1"/>
  <c r="R4423" i="14" l="1"/>
  <c r="R4432" i="14"/>
  <c r="R4419" i="14"/>
  <c r="R4429" i="14"/>
  <c r="R4420" i="14"/>
  <c r="R4422" i="14"/>
  <c r="R4425" i="14"/>
  <c r="R4427" i="14"/>
  <c r="R4431" i="14"/>
  <c r="R4434" i="14"/>
  <c r="R4421" i="14"/>
  <c r="R4428" i="14"/>
  <c r="R4430" i="14"/>
  <c r="R4424" i="14"/>
  <c r="R4426" i="14"/>
  <c r="R4433" i="14"/>
  <c r="U4444" i="14"/>
  <c r="W4422" i="14"/>
  <c r="W4431" i="14"/>
  <c r="P7" i="14" l="1"/>
  <c r="P8" i="14"/>
  <c r="P9" i="14"/>
  <c r="P10" i="14"/>
  <c r="P11" i="14"/>
  <c r="P12" i="14"/>
  <c r="P13" i="14"/>
  <c r="P14" i="14"/>
  <c r="P15" i="14"/>
  <c r="P16" i="14"/>
  <c r="P17" i="14"/>
  <c r="P18" i="14"/>
  <c r="P19" i="14"/>
  <c r="P20" i="14"/>
  <c r="P21" i="14"/>
  <c r="P22" i="14"/>
  <c r="P23" i="14"/>
  <c r="P24" i="14"/>
  <c r="P25" i="14"/>
  <c r="P26" i="14"/>
  <c r="P27" i="14"/>
  <c r="P28" i="14"/>
  <c r="P29" i="14"/>
  <c r="P30" i="14"/>
  <c r="P31" i="14"/>
  <c r="P32" i="14"/>
  <c r="P33" i="14"/>
  <c r="P34" i="14"/>
  <c r="P35" i="14"/>
  <c r="P36" i="14"/>
  <c r="P37" i="14"/>
  <c r="P38" i="14"/>
  <c r="P39" i="14"/>
  <c r="P40" i="14"/>
  <c r="P41" i="14"/>
  <c r="P42" i="14"/>
  <c r="P43" i="14"/>
  <c r="P44" i="14"/>
  <c r="P45" i="14"/>
  <c r="P46" i="14"/>
  <c r="P47" i="14"/>
  <c r="P48" i="14"/>
  <c r="P49" i="14"/>
  <c r="P50" i="14"/>
  <c r="P51" i="14"/>
  <c r="P52" i="14"/>
  <c r="P53" i="14"/>
  <c r="P54" i="14"/>
  <c r="P55" i="14"/>
  <c r="P56" i="14"/>
  <c r="P57" i="14"/>
  <c r="P58" i="14"/>
  <c r="P59" i="14"/>
  <c r="P60" i="14"/>
  <c r="P61" i="14"/>
  <c r="P62" i="14"/>
  <c r="P63" i="14"/>
  <c r="P64" i="14"/>
  <c r="P65" i="14"/>
  <c r="P66" i="14"/>
  <c r="P67" i="14"/>
  <c r="P68" i="14"/>
  <c r="P69" i="14"/>
  <c r="P70" i="14"/>
  <c r="P71" i="14"/>
  <c r="P72" i="14"/>
  <c r="P73" i="14"/>
  <c r="P74" i="14"/>
  <c r="P75" i="14"/>
  <c r="P76" i="14"/>
  <c r="P77" i="14"/>
  <c r="P78" i="14"/>
  <c r="P79" i="14"/>
  <c r="P80" i="14"/>
  <c r="P81" i="14"/>
  <c r="P82" i="14"/>
  <c r="P83" i="14"/>
  <c r="P84" i="14"/>
  <c r="P85" i="14"/>
  <c r="P86" i="14"/>
  <c r="P87" i="14"/>
  <c r="P88" i="14"/>
  <c r="P89" i="14"/>
  <c r="P90" i="14"/>
  <c r="P91" i="14"/>
  <c r="P92" i="14"/>
  <c r="P93" i="14"/>
  <c r="P94" i="14"/>
  <c r="P95" i="14"/>
  <c r="P96" i="14"/>
  <c r="P97" i="14"/>
  <c r="P98" i="14"/>
  <c r="P99" i="14"/>
  <c r="P100" i="14"/>
  <c r="P101" i="14"/>
  <c r="P102" i="14"/>
  <c r="P103" i="14"/>
  <c r="P104" i="14"/>
  <c r="P105" i="14"/>
  <c r="P106" i="14"/>
  <c r="P107" i="14"/>
  <c r="P108" i="14"/>
  <c r="P109" i="14"/>
  <c r="P110" i="14"/>
  <c r="P111" i="14"/>
  <c r="P112" i="14"/>
  <c r="P113" i="14"/>
  <c r="P114" i="14"/>
  <c r="P115" i="14"/>
  <c r="P116" i="14"/>
  <c r="P117" i="14"/>
  <c r="P118" i="14"/>
  <c r="P119" i="14"/>
  <c r="P120" i="14"/>
  <c r="P121" i="14"/>
  <c r="P122" i="14"/>
  <c r="P123" i="14"/>
  <c r="P124" i="14"/>
  <c r="P125" i="14"/>
  <c r="P126" i="14"/>
  <c r="P127" i="14"/>
  <c r="P128" i="14"/>
  <c r="P129" i="14"/>
  <c r="P130" i="14"/>
  <c r="P131" i="14"/>
  <c r="P132" i="14"/>
  <c r="P133" i="14"/>
  <c r="P134" i="14"/>
  <c r="P135" i="14"/>
  <c r="P136" i="14"/>
  <c r="P137" i="14"/>
  <c r="P138" i="14"/>
  <c r="P139" i="14"/>
  <c r="P140" i="14"/>
  <c r="P141" i="14"/>
  <c r="P142" i="14"/>
  <c r="P143" i="14"/>
  <c r="P144" i="14"/>
  <c r="P145" i="14"/>
  <c r="P146" i="14"/>
  <c r="P147" i="14"/>
  <c r="P148" i="14"/>
  <c r="P149" i="14"/>
  <c r="P150" i="14"/>
  <c r="P151" i="14"/>
  <c r="P152" i="14"/>
  <c r="P153" i="14"/>
  <c r="P154" i="14"/>
  <c r="P155" i="14"/>
  <c r="P156" i="14"/>
  <c r="P157" i="14"/>
  <c r="P158" i="14"/>
  <c r="P159" i="14"/>
  <c r="P160" i="14"/>
  <c r="P161" i="14"/>
  <c r="P162" i="14"/>
  <c r="P163" i="14"/>
  <c r="P164" i="14"/>
  <c r="P165" i="14"/>
  <c r="P166" i="14"/>
  <c r="P167" i="14"/>
  <c r="P168" i="14"/>
  <c r="P169" i="14"/>
  <c r="P170" i="14"/>
  <c r="P171" i="14"/>
  <c r="P172" i="14"/>
  <c r="P173" i="14"/>
  <c r="P174" i="14"/>
  <c r="P175" i="14"/>
  <c r="P176" i="14"/>
  <c r="P177" i="14"/>
  <c r="P178" i="14"/>
  <c r="P179" i="14"/>
  <c r="P180" i="14"/>
  <c r="P181" i="14"/>
  <c r="P182" i="14"/>
  <c r="P183" i="14"/>
  <c r="P184" i="14"/>
  <c r="P185" i="14"/>
  <c r="P186" i="14"/>
  <c r="P187" i="14"/>
  <c r="P188" i="14"/>
  <c r="P189" i="14"/>
  <c r="P190" i="14"/>
  <c r="P191" i="14"/>
  <c r="P192" i="14"/>
  <c r="P193" i="14"/>
  <c r="P194" i="14"/>
  <c r="P195" i="14"/>
  <c r="P196" i="14"/>
  <c r="P197" i="14"/>
  <c r="P198" i="14"/>
  <c r="P199" i="14"/>
  <c r="P200" i="14"/>
  <c r="P201" i="14"/>
  <c r="P202" i="14"/>
  <c r="P203" i="14"/>
  <c r="P204" i="14"/>
  <c r="P205" i="14"/>
  <c r="P206" i="14"/>
  <c r="P207" i="14"/>
  <c r="P208" i="14"/>
  <c r="P209" i="14"/>
  <c r="P210" i="14"/>
  <c r="P211" i="14"/>
  <c r="P212" i="14"/>
  <c r="P213" i="14"/>
  <c r="P214" i="14"/>
  <c r="P215" i="14"/>
  <c r="P216" i="14"/>
  <c r="P217" i="14"/>
  <c r="P218" i="14"/>
  <c r="P219" i="14"/>
  <c r="P220" i="14"/>
  <c r="P221" i="14"/>
  <c r="P222" i="14"/>
  <c r="P223" i="14"/>
  <c r="P224" i="14"/>
  <c r="P225" i="14"/>
  <c r="P226" i="14"/>
  <c r="P227" i="14"/>
  <c r="P228" i="14"/>
  <c r="P229" i="14"/>
  <c r="P230" i="14"/>
  <c r="P231" i="14"/>
  <c r="P232" i="14"/>
  <c r="P233" i="14"/>
  <c r="P234" i="14"/>
  <c r="P235" i="14"/>
  <c r="P236" i="14"/>
  <c r="P237" i="14"/>
  <c r="P238" i="14"/>
  <c r="P239" i="14"/>
  <c r="P240" i="14"/>
  <c r="P241" i="14"/>
  <c r="P242" i="14"/>
  <c r="P243" i="14"/>
  <c r="P244" i="14"/>
  <c r="P245" i="14"/>
  <c r="P246" i="14"/>
  <c r="P247" i="14"/>
  <c r="P248" i="14"/>
  <c r="P249" i="14"/>
  <c r="P250" i="14"/>
  <c r="P251" i="14"/>
  <c r="P252" i="14"/>
  <c r="P253" i="14"/>
  <c r="P254" i="14"/>
  <c r="P255" i="14"/>
  <c r="P256" i="14"/>
  <c r="P257" i="14"/>
  <c r="P258" i="14"/>
  <c r="P259" i="14"/>
  <c r="P260" i="14"/>
  <c r="P261" i="14"/>
  <c r="P262" i="14"/>
  <c r="P263" i="14"/>
  <c r="P264" i="14"/>
  <c r="P265" i="14"/>
  <c r="P266" i="14"/>
  <c r="P267" i="14"/>
  <c r="P268" i="14"/>
  <c r="P269" i="14"/>
  <c r="P270" i="14"/>
  <c r="P271" i="14"/>
  <c r="P272" i="14"/>
  <c r="P273" i="14"/>
  <c r="P274" i="14"/>
  <c r="P275" i="14"/>
  <c r="P276" i="14"/>
  <c r="P277" i="14"/>
  <c r="P278" i="14"/>
  <c r="P279" i="14"/>
  <c r="P280" i="14"/>
  <c r="P281" i="14"/>
  <c r="P282" i="14"/>
  <c r="P283" i="14"/>
  <c r="P284" i="14"/>
  <c r="P285" i="14"/>
  <c r="P286" i="14"/>
  <c r="P287" i="14"/>
  <c r="P288" i="14"/>
  <c r="P289" i="14"/>
  <c r="P290" i="14"/>
  <c r="P291" i="14"/>
  <c r="P292" i="14"/>
  <c r="P293" i="14"/>
  <c r="P294" i="14"/>
  <c r="P295" i="14"/>
  <c r="P296" i="14"/>
  <c r="P297" i="14"/>
  <c r="P298" i="14"/>
  <c r="P299" i="14"/>
  <c r="P300" i="14"/>
  <c r="P301" i="14"/>
  <c r="P302" i="14"/>
  <c r="P303" i="14"/>
  <c r="P304" i="14"/>
  <c r="P305" i="14"/>
  <c r="P306" i="14"/>
  <c r="P307" i="14"/>
  <c r="P308" i="14"/>
  <c r="P309" i="14"/>
  <c r="P310" i="14"/>
  <c r="P311" i="14"/>
  <c r="P312" i="14"/>
  <c r="P313" i="14"/>
  <c r="P314" i="14"/>
  <c r="P315" i="14"/>
  <c r="P316" i="14"/>
  <c r="P317" i="14"/>
  <c r="P318" i="14"/>
  <c r="P319" i="14"/>
  <c r="P320" i="14"/>
  <c r="P321" i="14"/>
  <c r="P322" i="14"/>
  <c r="P323" i="14"/>
  <c r="P324" i="14"/>
  <c r="P325" i="14"/>
  <c r="P326" i="14"/>
  <c r="P327" i="14"/>
  <c r="P328" i="14"/>
  <c r="P329" i="14"/>
  <c r="P330" i="14"/>
  <c r="P331" i="14"/>
  <c r="P332" i="14"/>
  <c r="P333" i="14"/>
  <c r="P334" i="14"/>
  <c r="P335" i="14"/>
  <c r="P336" i="14"/>
  <c r="P337" i="14"/>
  <c r="P338" i="14"/>
  <c r="P339" i="14"/>
  <c r="P340" i="14"/>
  <c r="P341" i="14"/>
  <c r="P342" i="14"/>
  <c r="P343" i="14"/>
  <c r="P344" i="14"/>
  <c r="P345" i="14"/>
  <c r="P346" i="14"/>
  <c r="P347" i="14"/>
  <c r="P348" i="14"/>
  <c r="P349" i="14"/>
  <c r="P350" i="14"/>
  <c r="P351" i="14"/>
  <c r="P352" i="14"/>
  <c r="P353" i="14"/>
  <c r="P354" i="14"/>
  <c r="P355" i="14"/>
  <c r="P356" i="14"/>
  <c r="P357" i="14"/>
  <c r="P358" i="14"/>
  <c r="P359" i="14"/>
  <c r="P360" i="14"/>
  <c r="P361" i="14"/>
  <c r="P362" i="14"/>
  <c r="P363" i="14"/>
  <c r="P364" i="14"/>
  <c r="P365" i="14"/>
  <c r="P366" i="14"/>
  <c r="P367" i="14"/>
  <c r="P368" i="14"/>
  <c r="P369" i="14"/>
  <c r="P370" i="14"/>
  <c r="P371" i="14"/>
  <c r="P372" i="14"/>
  <c r="P373" i="14"/>
  <c r="P374" i="14"/>
  <c r="P375" i="14"/>
  <c r="P376" i="14"/>
  <c r="P377" i="14"/>
  <c r="P378" i="14"/>
  <c r="P379" i="14"/>
  <c r="P380" i="14"/>
  <c r="P381" i="14"/>
  <c r="P382" i="14"/>
  <c r="P383" i="14"/>
  <c r="P384" i="14"/>
  <c r="P385" i="14"/>
  <c r="P386" i="14"/>
  <c r="P387" i="14"/>
  <c r="P388" i="14"/>
  <c r="P389" i="14"/>
  <c r="P390" i="14"/>
  <c r="P391" i="14"/>
  <c r="P392" i="14"/>
  <c r="P393" i="14"/>
  <c r="P394" i="14"/>
  <c r="P395" i="14"/>
  <c r="P396" i="14"/>
  <c r="P397" i="14"/>
  <c r="P398" i="14"/>
  <c r="P399" i="14"/>
  <c r="P400" i="14"/>
  <c r="P401" i="14"/>
  <c r="P402" i="14"/>
  <c r="P403" i="14"/>
  <c r="P404" i="14"/>
  <c r="P405" i="14"/>
  <c r="P406" i="14"/>
  <c r="P407" i="14"/>
  <c r="P408" i="14"/>
  <c r="P409" i="14"/>
  <c r="P410" i="14"/>
  <c r="P411" i="14"/>
  <c r="P412" i="14"/>
  <c r="P413" i="14"/>
  <c r="P414" i="14"/>
  <c r="P415" i="14"/>
  <c r="P416" i="14"/>
  <c r="P417" i="14"/>
  <c r="P418" i="14"/>
  <c r="P419" i="14"/>
  <c r="P420" i="14"/>
  <c r="P421" i="14"/>
  <c r="P422" i="14"/>
  <c r="P423" i="14"/>
  <c r="P424" i="14"/>
  <c r="P425" i="14"/>
  <c r="P426" i="14"/>
  <c r="P427" i="14"/>
  <c r="P428" i="14"/>
  <c r="P429" i="14"/>
  <c r="P430" i="14"/>
  <c r="P431" i="14"/>
  <c r="P432" i="14"/>
  <c r="P433" i="14"/>
  <c r="P434" i="14"/>
  <c r="P435" i="14"/>
  <c r="P436" i="14"/>
  <c r="P437" i="14"/>
  <c r="P438" i="14"/>
  <c r="P439" i="14"/>
  <c r="P440" i="14"/>
  <c r="P441" i="14"/>
  <c r="P442" i="14"/>
  <c r="P443" i="14"/>
  <c r="P444" i="14"/>
  <c r="P445" i="14"/>
  <c r="P446" i="14"/>
  <c r="P447" i="14"/>
  <c r="P448" i="14"/>
  <c r="P449" i="14"/>
  <c r="P450" i="14"/>
  <c r="P451" i="14"/>
  <c r="P452" i="14"/>
  <c r="P453" i="14"/>
  <c r="P454" i="14"/>
  <c r="P455" i="14"/>
  <c r="P456" i="14"/>
  <c r="P457" i="14"/>
  <c r="P458" i="14"/>
  <c r="P459" i="14"/>
  <c r="P460" i="14"/>
  <c r="P461" i="14"/>
  <c r="P462" i="14"/>
  <c r="P463" i="14"/>
  <c r="P464" i="14"/>
  <c r="P465" i="14"/>
  <c r="P466" i="14"/>
  <c r="P467" i="14"/>
  <c r="P468" i="14"/>
  <c r="P469" i="14"/>
  <c r="P470" i="14"/>
  <c r="P471" i="14"/>
  <c r="P472" i="14"/>
  <c r="P473" i="14"/>
  <c r="P474" i="14"/>
  <c r="P475" i="14"/>
  <c r="P476" i="14"/>
  <c r="P477" i="14"/>
  <c r="P478" i="14"/>
  <c r="P479" i="14"/>
  <c r="P480" i="14"/>
  <c r="P481" i="14"/>
  <c r="P482" i="14"/>
  <c r="P483" i="14"/>
  <c r="P484" i="14"/>
  <c r="P485" i="14"/>
  <c r="P486" i="14"/>
  <c r="P487" i="14"/>
  <c r="P488" i="14"/>
  <c r="P489" i="14"/>
  <c r="P490" i="14"/>
  <c r="P491" i="14"/>
  <c r="P492" i="14"/>
  <c r="P493" i="14"/>
  <c r="P494" i="14"/>
  <c r="P495" i="14"/>
  <c r="P496" i="14"/>
  <c r="P497" i="14"/>
  <c r="P498" i="14"/>
  <c r="P499" i="14"/>
  <c r="P500" i="14"/>
  <c r="P501" i="14"/>
  <c r="P502" i="14"/>
  <c r="P503" i="14"/>
  <c r="P504" i="14"/>
  <c r="P505" i="14"/>
  <c r="P506" i="14"/>
  <c r="P507" i="14"/>
  <c r="P508" i="14"/>
  <c r="P509" i="14"/>
  <c r="P510" i="14"/>
  <c r="P511" i="14"/>
  <c r="P512" i="14"/>
  <c r="P513" i="14"/>
  <c r="P514" i="14"/>
  <c r="P515" i="14"/>
  <c r="P516" i="14"/>
  <c r="P517" i="14"/>
  <c r="P518" i="14"/>
  <c r="P519" i="14"/>
  <c r="P520" i="14"/>
  <c r="P521" i="14"/>
  <c r="P522" i="14"/>
  <c r="P523" i="14"/>
  <c r="P524" i="14"/>
  <c r="P525" i="14"/>
  <c r="P526" i="14"/>
  <c r="P527" i="14"/>
  <c r="P528" i="14"/>
  <c r="P529" i="14"/>
  <c r="P530" i="14"/>
  <c r="P531" i="14"/>
  <c r="P532" i="14"/>
  <c r="P533" i="14"/>
  <c r="P534" i="14"/>
  <c r="P535" i="14"/>
  <c r="P536" i="14"/>
  <c r="P537" i="14"/>
  <c r="P538" i="14"/>
  <c r="P539" i="14"/>
  <c r="P540" i="14"/>
  <c r="P541" i="14"/>
  <c r="P542" i="14"/>
  <c r="P543" i="14"/>
  <c r="P544" i="14"/>
  <c r="P545" i="14"/>
  <c r="P546" i="14"/>
  <c r="P547" i="14"/>
  <c r="P548" i="14"/>
  <c r="P549" i="14"/>
  <c r="P550" i="14"/>
  <c r="P551" i="14"/>
  <c r="P552" i="14"/>
  <c r="P553" i="14"/>
  <c r="P554" i="14"/>
  <c r="P555" i="14"/>
  <c r="P556" i="14"/>
  <c r="P557" i="14"/>
  <c r="P558" i="14"/>
  <c r="P559" i="14"/>
  <c r="P560" i="14"/>
  <c r="P561" i="14"/>
  <c r="P562" i="14"/>
  <c r="P563" i="14"/>
  <c r="P564" i="14"/>
  <c r="P565" i="14"/>
  <c r="P566" i="14"/>
  <c r="P567" i="14"/>
  <c r="P568" i="14"/>
  <c r="P569" i="14"/>
  <c r="P570" i="14"/>
  <c r="P571" i="14"/>
  <c r="P572" i="14"/>
  <c r="P573" i="14"/>
  <c r="P574" i="14"/>
  <c r="P575" i="14"/>
  <c r="P576" i="14"/>
  <c r="P577" i="14"/>
  <c r="P578" i="14"/>
  <c r="P579" i="14"/>
  <c r="P580" i="14"/>
  <c r="P581" i="14"/>
  <c r="P582" i="14"/>
  <c r="P583" i="14"/>
  <c r="P584" i="14"/>
  <c r="P585" i="14"/>
  <c r="P586" i="14"/>
  <c r="P587" i="14"/>
  <c r="P588" i="14"/>
  <c r="P589" i="14"/>
  <c r="P590" i="14"/>
  <c r="P591" i="14"/>
  <c r="P592" i="14"/>
  <c r="P593" i="14"/>
  <c r="P594" i="14"/>
  <c r="P595" i="14"/>
  <c r="P596" i="14"/>
  <c r="P597" i="14"/>
  <c r="P598" i="14"/>
  <c r="P599" i="14"/>
  <c r="P600" i="14"/>
  <c r="P601" i="14"/>
  <c r="P602" i="14"/>
  <c r="P603" i="14"/>
  <c r="P604" i="14"/>
  <c r="P605" i="14"/>
  <c r="P606" i="14"/>
  <c r="P607" i="14"/>
  <c r="P608" i="14"/>
  <c r="P609" i="14"/>
  <c r="P610" i="14"/>
  <c r="P611" i="14"/>
  <c r="P612" i="14"/>
  <c r="P613" i="14"/>
  <c r="P614" i="14"/>
  <c r="P615" i="14"/>
  <c r="P616" i="14"/>
  <c r="P617" i="14"/>
  <c r="P618" i="14"/>
  <c r="P619" i="14"/>
  <c r="P620" i="14"/>
  <c r="P621" i="14"/>
  <c r="P622" i="14"/>
  <c r="P623" i="14"/>
  <c r="P624" i="14"/>
  <c r="P625" i="14"/>
  <c r="P626" i="14"/>
  <c r="P627" i="14"/>
  <c r="P628" i="14"/>
  <c r="P629" i="14"/>
  <c r="P630" i="14"/>
  <c r="P631" i="14"/>
  <c r="P632" i="14"/>
  <c r="P633" i="14"/>
  <c r="P634" i="14"/>
  <c r="P635" i="14"/>
  <c r="P636" i="14"/>
  <c r="P637" i="14"/>
  <c r="P638" i="14"/>
  <c r="P639" i="14"/>
  <c r="P640" i="14"/>
  <c r="P641" i="14"/>
  <c r="P642" i="14"/>
  <c r="P643" i="14"/>
  <c r="P644" i="14"/>
  <c r="P645" i="14"/>
  <c r="P646" i="14"/>
  <c r="P647" i="14"/>
  <c r="P648" i="14"/>
  <c r="P649" i="14"/>
  <c r="P650" i="14"/>
  <c r="P651" i="14"/>
  <c r="P652" i="14"/>
  <c r="P653" i="14"/>
  <c r="P654" i="14"/>
  <c r="P655" i="14"/>
  <c r="P656" i="14"/>
  <c r="P657" i="14"/>
  <c r="P658" i="14"/>
  <c r="P659" i="14"/>
  <c r="P660" i="14"/>
  <c r="P661" i="14"/>
  <c r="P662" i="14"/>
  <c r="P663" i="14"/>
  <c r="P664" i="14"/>
  <c r="P665" i="14"/>
  <c r="P666" i="14"/>
  <c r="P667" i="14"/>
  <c r="P668" i="14"/>
  <c r="P669" i="14"/>
  <c r="P670" i="14"/>
  <c r="P671" i="14"/>
  <c r="P672" i="14"/>
  <c r="P673" i="14"/>
  <c r="P674" i="14"/>
  <c r="P675" i="14"/>
  <c r="P676" i="14"/>
  <c r="P677" i="14"/>
  <c r="P678" i="14"/>
  <c r="P679" i="14"/>
  <c r="P680" i="14"/>
  <c r="P681" i="14"/>
  <c r="P682" i="14"/>
  <c r="P683" i="14"/>
  <c r="P684" i="14"/>
  <c r="P685" i="14"/>
  <c r="P686" i="14"/>
  <c r="P687" i="14"/>
  <c r="P688" i="14"/>
  <c r="P689" i="14"/>
  <c r="P690" i="14"/>
  <c r="P691" i="14"/>
  <c r="P692" i="14"/>
  <c r="P693" i="14"/>
  <c r="P694" i="14"/>
  <c r="P695" i="14"/>
  <c r="P696" i="14"/>
  <c r="P697" i="14"/>
  <c r="P698" i="14"/>
  <c r="P699" i="14"/>
  <c r="P700" i="14"/>
  <c r="P701" i="14"/>
  <c r="P702" i="14"/>
  <c r="P703" i="14"/>
  <c r="P704" i="14"/>
  <c r="P705" i="14"/>
  <c r="P706" i="14"/>
  <c r="P707" i="14"/>
  <c r="P708" i="14"/>
  <c r="P709" i="14"/>
  <c r="P710" i="14"/>
  <c r="P711" i="14"/>
  <c r="P712" i="14"/>
  <c r="P713" i="14"/>
  <c r="P714" i="14"/>
  <c r="P715" i="14"/>
  <c r="P716" i="14"/>
  <c r="P717" i="14"/>
  <c r="P718" i="14"/>
  <c r="P719" i="14"/>
  <c r="P720" i="14"/>
  <c r="P721" i="14"/>
  <c r="P722" i="14"/>
  <c r="P723" i="14"/>
  <c r="P724" i="14"/>
  <c r="P725" i="14"/>
  <c r="P726" i="14"/>
  <c r="P727" i="14"/>
  <c r="P728" i="14"/>
  <c r="P729" i="14"/>
  <c r="P730" i="14"/>
  <c r="P731" i="14"/>
  <c r="P732" i="14"/>
  <c r="P733" i="14"/>
  <c r="P734" i="14"/>
  <c r="P735" i="14"/>
  <c r="P736" i="14"/>
  <c r="P737" i="14"/>
  <c r="P738" i="14"/>
  <c r="P739" i="14"/>
  <c r="P740" i="14"/>
  <c r="P741" i="14"/>
  <c r="P742" i="14"/>
  <c r="P743" i="14"/>
  <c r="P744" i="14"/>
  <c r="P745" i="14"/>
  <c r="P746" i="14"/>
  <c r="P747" i="14"/>
  <c r="P748" i="14"/>
  <c r="P749" i="14"/>
  <c r="P750" i="14"/>
  <c r="P751" i="14"/>
  <c r="P752" i="14"/>
  <c r="P753" i="14"/>
  <c r="P754" i="14"/>
  <c r="P755" i="14"/>
  <c r="P756" i="14"/>
  <c r="P757" i="14"/>
  <c r="P758" i="14"/>
  <c r="P759" i="14"/>
  <c r="P760" i="14"/>
  <c r="P761" i="14"/>
  <c r="P762" i="14"/>
  <c r="P763" i="14"/>
  <c r="P764" i="14"/>
  <c r="P765" i="14"/>
  <c r="P766" i="14"/>
  <c r="P767" i="14"/>
  <c r="P768" i="14"/>
  <c r="P769" i="14"/>
  <c r="P770" i="14"/>
  <c r="P771" i="14"/>
  <c r="P772" i="14"/>
  <c r="P773" i="14"/>
  <c r="P774" i="14"/>
  <c r="P775" i="14"/>
  <c r="P776" i="14"/>
  <c r="P777" i="14"/>
  <c r="P778" i="14"/>
  <c r="P779" i="14"/>
  <c r="P780" i="14"/>
  <c r="P781" i="14"/>
  <c r="P782" i="14"/>
  <c r="P783" i="14"/>
  <c r="P784" i="14"/>
  <c r="P785" i="14"/>
  <c r="P786" i="14"/>
  <c r="P787" i="14"/>
  <c r="P788" i="14"/>
  <c r="P789" i="14"/>
  <c r="P790" i="14"/>
  <c r="P791" i="14"/>
  <c r="P792" i="14"/>
  <c r="P793" i="14"/>
  <c r="P794" i="14"/>
  <c r="P795" i="14"/>
  <c r="P796" i="14"/>
  <c r="P797" i="14"/>
  <c r="P798" i="14"/>
  <c r="P799" i="14"/>
  <c r="P800" i="14"/>
  <c r="P801" i="14"/>
  <c r="P802" i="14"/>
  <c r="P803" i="14"/>
  <c r="P804" i="14"/>
  <c r="P805" i="14"/>
  <c r="P806" i="14"/>
  <c r="P807" i="14"/>
  <c r="P808" i="14"/>
  <c r="P809" i="14"/>
  <c r="P810" i="14"/>
  <c r="P811" i="14"/>
  <c r="P812" i="14"/>
  <c r="P813" i="14"/>
  <c r="P814" i="14"/>
  <c r="P815" i="14"/>
  <c r="P816" i="14"/>
  <c r="P817" i="14"/>
  <c r="P818" i="14"/>
  <c r="P819" i="14"/>
  <c r="P820" i="14"/>
  <c r="P821" i="14"/>
  <c r="P822" i="14"/>
  <c r="P823" i="14"/>
  <c r="P824" i="14"/>
  <c r="P825" i="14"/>
  <c r="P826" i="14"/>
  <c r="P827" i="14"/>
  <c r="P828" i="14"/>
  <c r="P829" i="14"/>
  <c r="P830" i="14"/>
  <c r="P831" i="14"/>
  <c r="P832" i="14"/>
  <c r="P833" i="14"/>
  <c r="P834" i="14"/>
  <c r="P835" i="14"/>
  <c r="P836" i="14"/>
  <c r="P837" i="14"/>
  <c r="P838" i="14"/>
  <c r="P839" i="14"/>
  <c r="P840" i="14"/>
  <c r="P841" i="14"/>
  <c r="P842" i="14"/>
  <c r="P843" i="14"/>
  <c r="P844" i="14"/>
  <c r="P845" i="14"/>
  <c r="P846" i="14"/>
  <c r="P847" i="14"/>
  <c r="P848" i="14"/>
  <c r="P849" i="14"/>
  <c r="P850" i="14"/>
  <c r="P851" i="14"/>
  <c r="P852" i="14"/>
  <c r="P853" i="14"/>
  <c r="P854" i="14"/>
  <c r="P855" i="14"/>
  <c r="P856" i="14"/>
  <c r="P857" i="14"/>
  <c r="P858" i="14"/>
  <c r="P859" i="14"/>
  <c r="P860" i="14"/>
  <c r="P861" i="14"/>
  <c r="P862" i="14"/>
  <c r="P863" i="14"/>
  <c r="P864" i="14"/>
  <c r="P865" i="14"/>
  <c r="P866" i="14"/>
  <c r="P867" i="14"/>
  <c r="P868" i="14"/>
  <c r="P869" i="14"/>
  <c r="P870" i="14"/>
  <c r="P871" i="14"/>
  <c r="P872" i="14"/>
  <c r="P873" i="14"/>
  <c r="P874" i="14"/>
  <c r="P875" i="14"/>
  <c r="P876" i="14"/>
  <c r="P877" i="14"/>
  <c r="P878" i="14"/>
  <c r="P879" i="14"/>
  <c r="P880" i="14"/>
  <c r="P881" i="14"/>
  <c r="P882" i="14"/>
  <c r="P883" i="14"/>
  <c r="P884" i="14"/>
  <c r="P885" i="14"/>
  <c r="P886" i="14"/>
  <c r="P887" i="14"/>
  <c r="P888" i="14"/>
  <c r="P889" i="14"/>
  <c r="P890" i="14"/>
  <c r="P891" i="14"/>
  <c r="P892" i="14"/>
  <c r="P893" i="14"/>
  <c r="P894" i="14"/>
  <c r="P895" i="14"/>
  <c r="P896" i="14"/>
  <c r="P897" i="14"/>
  <c r="P898" i="14"/>
  <c r="P899" i="14"/>
  <c r="P900" i="14"/>
  <c r="P901" i="14"/>
  <c r="P902" i="14"/>
  <c r="P903" i="14"/>
  <c r="P904" i="14"/>
  <c r="P905" i="14"/>
  <c r="P906" i="14"/>
  <c r="P907" i="14"/>
  <c r="P908" i="14"/>
  <c r="P909" i="14"/>
  <c r="P910" i="14"/>
  <c r="P911" i="14"/>
  <c r="P912" i="14"/>
  <c r="P913" i="14"/>
  <c r="P914" i="14"/>
  <c r="P915" i="14"/>
  <c r="P916" i="14"/>
  <c r="P917" i="14"/>
  <c r="P918" i="14"/>
  <c r="P919" i="14"/>
  <c r="P920" i="14"/>
  <c r="P921" i="14"/>
  <c r="P922" i="14"/>
  <c r="P923" i="14"/>
  <c r="P924" i="14"/>
  <c r="P925" i="14"/>
  <c r="P926" i="14"/>
  <c r="P927" i="14"/>
  <c r="P928" i="14"/>
  <c r="P929" i="14"/>
  <c r="P930" i="14"/>
  <c r="P931" i="14"/>
  <c r="P932" i="14"/>
  <c r="P933" i="14"/>
  <c r="P934" i="14"/>
  <c r="P935" i="14"/>
  <c r="P936" i="14"/>
  <c r="P937" i="14"/>
  <c r="P938" i="14"/>
  <c r="P939" i="14"/>
  <c r="P940" i="14"/>
  <c r="P941" i="14"/>
  <c r="P942" i="14"/>
  <c r="P943" i="14"/>
  <c r="P944" i="14"/>
  <c r="P945" i="14"/>
  <c r="P946" i="14"/>
  <c r="P947" i="14"/>
  <c r="P948" i="14"/>
  <c r="P949" i="14"/>
  <c r="P950" i="14"/>
  <c r="P951" i="14"/>
  <c r="P952" i="14"/>
  <c r="P953" i="14"/>
  <c r="P954" i="14"/>
  <c r="P955" i="14"/>
  <c r="P956" i="14"/>
  <c r="P957" i="14"/>
  <c r="P958" i="14"/>
  <c r="P959" i="14"/>
  <c r="P960" i="14"/>
  <c r="P961" i="14"/>
  <c r="P962" i="14"/>
  <c r="P963" i="14"/>
  <c r="P964" i="14"/>
  <c r="P965" i="14"/>
  <c r="P966" i="14"/>
  <c r="P967" i="14"/>
  <c r="P968" i="14"/>
  <c r="P969" i="14"/>
  <c r="P970" i="14"/>
  <c r="P971" i="14"/>
  <c r="P972" i="14"/>
  <c r="P973" i="14"/>
  <c r="P974" i="14"/>
  <c r="P975" i="14"/>
  <c r="P976" i="14"/>
  <c r="P977" i="14"/>
  <c r="P978" i="14"/>
  <c r="P979" i="14"/>
  <c r="P980" i="14"/>
  <c r="P981" i="14"/>
  <c r="P982" i="14"/>
  <c r="P983" i="14"/>
  <c r="P984" i="14"/>
  <c r="P985" i="14"/>
  <c r="P986" i="14"/>
  <c r="P987" i="14"/>
  <c r="P988" i="14"/>
  <c r="P989" i="14"/>
  <c r="P990" i="14"/>
  <c r="P991" i="14"/>
  <c r="P992" i="14"/>
  <c r="P993" i="14"/>
  <c r="P994" i="14"/>
  <c r="P995" i="14"/>
  <c r="P996" i="14"/>
  <c r="P997" i="14"/>
  <c r="P998" i="14"/>
  <c r="P999" i="14"/>
  <c r="P1000" i="14"/>
  <c r="P1001" i="14"/>
  <c r="P1002" i="14"/>
  <c r="P1003" i="14"/>
  <c r="P1004" i="14"/>
  <c r="P1005" i="14"/>
  <c r="P1006" i="14"/>
  <c r="P1007" i="14"/>
  <c r="P1008" i="14"/>
  <c r="P1009" i="14"/>
  <c r="P1010" i="14"/>
  <c r="P1011" i="14"/>
  <c r="P1012" i="14"/>
  <c r="P1013" i="14"/>
  <c r="P1014" i="14"/>
  <c r="P1015" i="14"/>
  <c r="P1016" i="14"/>
  <c r="P1017" i="14"/>
  <c r="P1018" i="14"/>
  <c r="P1019" i="14"/>
  <c r="P1020" i="14"/>
  <c r="P1021" i="14"/>
  <c r="P1022" i="14"/>
  <c r="P1023" i="14"/>
  <c r="P1024" i="14"/>
  <c r="P1025" i="14"/>
  <c r="P1026" i="14"/>
  <c r="P1027" i="14"/>
  <c r="P1028" i="14"/>
  <c r="P1029" i="14"/>
  <c r="P1030" i="14"/>
  <c r="P1031" i="14"/>
  <c r="P1032" i="14"/>
  <c r="P1033" i="14"/>
  <c r="P1034" i="14"/>
  <c r="P1035" i="14"/>
  <c r="P1036" i="14"/>
  <c r="P1037" i="14"/>
  <c r="P1038" i="14"/>
  <c r="P1039" i="14"/>
  <c r="P1040" i="14"/>
  <c r="P1041" i="14"/>
  <c r="P1042" i="14"/>
  <c r="P1043" i="14"/>
  <c r="P1044" i="14"/>
  <c r="P1045" i="14"/>
  <c r="P1046" i="14"/>
  <c r="P1047" i="14"/>
  <c r="P1048" i="14"/>
  <c r="P1049" i="14"/>
  <c r="P1050" i="14"/>
  <c r="P1051" i="14"/>
  <c r="P1052" i="14"/>
  <c r="P1053" i="14"/>
  <c r="P1054" i="14"/>
  <c r="P1055" i="14"/>
  <c r="P1056" i="14"/>
  <c r="P1057" i="14"/>
  <c r="P1058" i="14"/>
  <c r="P1059" i="14"/>
  <c r="P1060" i="14"/>
  <c r="P1061" i="14"/>
  <c r="P1062" i="14"/>
  <c r="P1063" i="14"/>
  <c r="P1064" i="14"/>
  <c r="P1065" i="14"/>
  <c r="P1066" i="14"/>
  <c r="P1067" i="14"/>
  <c r="P1068" i="14"/>
  <c r="P1069" i="14"/>
  <c r="P1070" i="14"/>
  <c r="P1071" i="14"/>
  <c r="P1072" i="14"/>
  <c r="P1073" i="14"/>
  <c r="P1074" i="14"/>
  <c r="P1075" i="14"/>
  <c r="P1076" i="14"/>
  <c r="P1077" i="14"/>
  <c r="P1078" i="14"/>
  <c r="P1079" i="14"/>
  <c r="P1080" i="14"/>
  <c r="P1081" i="14"/>
  <c r="P1082" i="14"/>
  <c r="P1083" i="14"/>
  <c r="P1084" i="14"/>
  <c r="P1085" i="14"/>
  <c r="P1086" i="14"/>
  <c r="P1087" i="14"/>
  <c r="P1088" i="14"/>
  <c r="P1089" i="14"/>
  <c r="P1090" i="14"/>
  <c r="P1091" i="14"/>
  <c r="P1092" i="14"/>
  <c r="P1093" i="14"/>
  <c r="P1094" i="14"/>
  <c r="P1095" i="14"/>
  <c r="P1096" i="14"/>
  <c r="P1097" i="14"/>
  <c r="P1098" i="14"/>
  <c r="P1099" i="14"/>
  <c r="P1100" i="14"/>
  <c r="P1101" i="14"/>
  <c r="P1102" i="14"/>
  <c r="P1103" i="14"/>
  <c r="P1104" i="14"/>
  <c r="P1105" i="14"/>
  <c r="P1106" i="14"/>
  <c r="P1107" i="14"/>
  <c r="P1108" i="14"/>
  <c r="P1109" i="14"/>
  <c r="P1110" i="14"/>
  <c r="P1111" i="14"/>
  <c r="P1112" i="14"/>
  <c r="P1113" i="14"/>
  <c r="P1114" i="14"/>
  <c r="P1115" i="14"/>
  <c r="P1116" i="14"/>
  <c r="P1117" i="14"/>
  <c r="P1118" i="14"/>
  <c r="P1119" i="14"/>
  <c r="P1120" i="14"/>
  <c r="P1121" i="14"/>
  <c r="P1122" i="14"/>
  <c r="P1123" i="14"/>
  <c r="P1124" i="14"/>
  <c r="P1125" i="14"/>
  <c r="P1126" i="14"/>
  <c r="P1127" i="14"/>
  <c r="P1128" i="14"/>
  <c r="P1129" i="14"/>
  <c r="P1130" i="14"/>
  <c r="P1131" i="14"/>
  <c r="P1132" i="14"/>
  <c r="P1133" i="14"/>
  <c r="P1134" i="14"/>
  <c r="P1135" i="14"/>
  <c r="P1136" i="14"/>
  <c r="P1137" i="14"/>
  <c r="P1138" i="14"/>
  <c r="P1139" i="14"/>
  <c r="P1140" i="14"/>
  <c r="P1141" i="14"/>
  <c r="P1142" i="14"/>
  <c r="P1143" i="14"/>
  <c r="P1144" i="14"/>
  <c r="P1145" i="14"/>
  <c r="P1146" i="14"/>
  <c r="P1147" i="14"/>
  <c r="P1148" i="14"/>
  <c r="P1149" i="14"/>
  <c r="P1150" i="14"/>
  <c r="P1151" i="14"/>
  <c r="P1152" i="14"/>
  <c r="P1153" i="14"/>
  <c r="P1154" i="14"/>
  <c r="P1155" i="14"/>
  <c r="P1156" i="14"/>
  <c r="P1157" i="14"/>
  <c r="P1158" i="14"/>
  <c r="P1159" i="14"/>
  <c r="P1160" i="14"/>
  <c r="P1161" i="14"/>
  <c r="P1162" i="14"/>
  <c r="P1163" i="14"/>
  <c r="P1164" i="14"/>
  <c r="P1165" i="14"/>
  <c r="P1166" i="14"/>
  <c r="P1167" i="14"/>
  <c r="P1168" i="14"/>
  <c r="P1169" i="14"/>
  <c r="P1170" i="14"/>
  <c r="P1171" i="14"/>
  <c r="P1172" i="14"/>
  <c r="P1173" i="14"/>
  <c r="P1174" i="14"/>
  <c r="P1175" i="14"/>
  <c r="P1176" i="14"/>
  <c r="P1177" i="14"/>
  <c r="P1178" i="14"/>
  <c r="P1179" i="14"/>
  <c r="P1180" i="14"/>
  <c r="P1181" i="14"/>
  <c r="P1182" i="14"/>
  <c r="P1183" i="14"/>
  <c r="P1184" i="14"/>
  <c r="P1185" i="14"/>
  <c r="P1186" i="14"/>
  <c r="P1187" i="14"/>
  <c r="P1188" i="14"/>
  <c r="P1189" i="14"/>
  <c r="P1190" i="14"/>
  <c r="P1191" i="14"/>
  <c r="P1192" i="14"/>
  <c r="P1193" i="14"/>
  <c r="P1194" i="14"/>
  <c r="P1195" i="14"/>
  <c r="P1196" i="14"/>
  <c r="P1197" i="14"/>
  <c r="P1198" i="14"/>
  <c r="P1199" i="14"/>
  <c r="P1200" i="14"/>
  <c r="P1201" i="14"/>
  <c r="P1202" i="14"/>
  <c r="P1203" i="14"/>
  <c r="P1204" i="14"/>
  <c r="P1205" i="14"/>
  <c r="P1206" i="14"/>
  <c r="P1207" i="14"/>
  <c r="P1208" i="14"/>
  <c r="P1209" i="14"/>
  <c r="P1210" i="14"/>
  <c r="P1211" i="14"/>
  <c r="P1212" i="14"/>
  <c r="P1213" i="14"/>
  <c r="P1214" i="14"/>
  <c r="P1215" i="14"/>
  <c r="P1216" i="14"/>
  <c r="P1217" i="14"/>
  <c r="P1218" i="14"/>
  <c r="P1219" i="14"/>
  <c r="P1220" i="14"/>
  <c r="P1221" i="14"/>
  <c r="P1222" i="14"/>
  <c r="P1223" i="14"/>
  <c r="P1224" i="14"/>
  <c r="P1225" i="14"/>
  <c r="P1226" i="14"/>
  <c r="P1227" i="14"/>
  <c r="P1228" i="14"/>
  <c r="P1229" i="14"/>
  <c r="P1230" i="14"/>
  <c r="P1231" i="14"/>
  <c r="P1232" i="14"/>
  <c r="P1233" i="14"/>
  <c r="P1234" i="14"/>
  <c r="P1235" i="14"/>
  <c r="P1236" i="14"/>
  <c r="P1237" i="14"/>
  <c r="P1238" i="14"/>
  <c r="P1239" i="14"/>
  <c r="P1240" i="14"/>
  <c r="P1241" i="14"/>
  <c r="P1242" i="14"/>
  <c r="P1243" i="14"/>
  <c r="P1244" i="14"/>
  <c r="P1245" i="14"/>
  <c r="P1246" i="14"/>
  <c r="P1247" i="14"/>
  <c r="P1248" i="14"/>
  <c r="P1249" i="14"/>
  <c r="P1250" i="14"/>
  <c r="P1251" i="14"/>
  <c r="P1252" i="14"/>
  <c r="P1253" i="14"/>
  <c r="P1254" i="14"/>
  <c r="P1255" i="14"/>
  <c r="P1256" i="14"/>
  <c r="P1257" i="14"/>
  <c r="P1258" i="14"/>
  <c r="P1259" i="14"/>
  <c r="P1260" i="14"/>
  <c r="P1261" i="14"/>
  <c r="P1262" i="14"/>
  <c r="P1263" i="14"/>
  <c r="P1264" i="14"/>
  <c r="P1265" i="14"/>
  <c r="P1266" i="14"/>
  <c r="P1267" i="14"/>
  <c r="P1268" i="14"/>
  <c r="P1269" i="14"/>
  <c r="P1270" i="14"/>
  <c r="P1271" i="14"/>
  <c r="P1272" i="14"/>
  <c r="P1273" i="14"/>
  <c r="P1274" i="14"/>
  <c r="P1275" i="14"/>
  <c r="P1276" i="14"/>
  <c r="P1277" i="14"/>
  <c r="P1278" i="14"/>
  <c r="P1279" i="14"/>
  <c r="P1280" i="14"/>
  <c r="P1281" i="14"/>
  <c r="P1282" i="14"/>
  <c r="P1283" i="14"/>
  <c r="P1284" i="14"/>
  <c r="P1285" i="14"/>
  <c r="P1286" i="14"/>
  <c r="P1287" i="14"/>
  <c r="P1288" i="14"/>
  <c r="P1289" i="14"/>
  <c r="P1290" i="14"/>
  <c r="P1291" i="14"/>
  <c r="P1292" i="14"/>
  <c r="P1293" i="14"/>
  <c r="P1294" i="14"/>
  <c r="P1295" i="14"/>
  <c r="P1296" i="14"/>
  <c r="P1297" i="14"/>
  <c r="P1298" i="14"/>
  <c r="P1299" i="14"/>
  <c r="P1300" i="14"/>
  <c r="P1301" i="14"/>
  <c r="P1302" i="14"/>
  <c r="P1303" i="14"/>
  <c r="P1304" i="14"/>
  <c r="P1305" i="14"/>
  <c r="P1306" i="14"/>
  <c r="P1307" i="14"/>
  <c r="P1308" i="14"/>
  <c r="P1309" i="14"/>
  <c r="P1310" i="14"/>
  <c r="P1311" i="14"/>
  <c r="P1312" i="14"/>
  <c r="P1313" i="14"/>
  <c r="P1314" i="14"/>
  <c r="P1315" i="14"/>
  <c r="P1316" i="14"/>
  <c r="P1317" i="14"/>
  <c r="P1318" i="14"/>
  <c r="P1319" i="14"/>
  <c r="P1320" i="14"/>
  <c r="P1321" i="14"/>
  <c r="P1322" i="14"/>
  <c r="P1323" i="14"/>
  <c r="P1324" i="14"/>
  <c r="P1325" i="14"/>
  <c r="P1326" i="14"/>
  <c r="P1327" i="14"/>
  <c r="P1328" i="14"/>
  <c r="P1329" i="14"/>
  <c r="P1330" i="14"/>
  <c r="P1331" i="14"/>
  <c r="P1332" i="14"/>
  <c r="P1333" i="14"/>
  <c r="P1334" i="14"/>
  <c r="P1335" i="14"/>
  <c r="P1336" i="14"/>
  <c r="P1337" i="14"/>
  <c r="P1338" i="14"/>
  <c r="P1339" i="14"/>
  <c r="P1340" i="14"/>
  <c r="P1341" i="14"/>
  <c r="P1342" i="14"/>
  <c r="P1343" i="14"/>
  <c r="P1344" i="14"/>
  <c r="P1345" i="14"/>
  <c r="P1346" i="14"/>
  <c r="P1347" i="14"/>
  <c r="P1348" i="14"/>
  <c r="P1349" i="14"/>
  <c r="P1350" i="14"/>
  <c r="P1351" i="14"/>
  <c r="P1352" i="14"/>
  <c r="P1353" i="14"/>
  <c r="P1354" i="14"/>
  <c r="P1355" i="14"/>
  <c r="P1356" i="14"/>
  <c r="P1357" i="14"/>
  <c r="P1358" i="14"/>
  <c r="P1359" i="14"/>
  <c r="P1360" i="14"/>
  <c r="P1361" i="14"/>
  <c r="P1362" i="14"/>
  <c r="P1363" i="14"/>
  <c r="P1364" i="14"/>
  <c r="P1365" i="14"/>
  <c r="P1366" i="14"/>
  <c r="P1367" i="14"/>
  <c r="P1368" i="14"/>
  <c r="P1369" i="14"/>
  <c r="P1370" i="14"/>
  <c r="P1371" i="14"/>
  <c r="P1372" i="14"/>
  <c r="P1373" i="14"/>
  <c r="P1374" i="14"/>
  <c r="P1375" i="14"/>
  <c r="P1376" i="14"/>
  <c r="P1377" i="14"/>
  <c r="P1378" i="14"/>
  <c r="P1379" i="14"/>
  <c r="P1380" i="14"/>
  <c r="P1381" i="14"/>
  <c r="P1382" i="14"/>
  <c r="P1383" i="14"/>
  <c r="P1384" i="14"/>
  <c r="P1385" i="14"/>
  <c r="P1386" i="14"/>
  <c r="P1387" i="14"/>
  <c r="P1388" i="14"/>
  <c r="P1389" i="14"/>
  <c r="P1390" i="14"/>
  <c r="P1391" i="14"/>
  <c r="P1392" i="14"/>
  <c r="P1393" i="14"/>
  <c r="P1394" i="14"/>
  <c r="P1395" i="14"/>
  <c r="P1396" i="14"/>
  <c r="P1397" i="14"/>
  <c r="P1398" i="14"/>
  <c r="P1399" i="14"/>
  <c r="P1400" i="14"/>
  <c r="P1401" i="14"/>
  <c r="P1402" i="14"/>
  <c r="P1403" i="14"/>
  <c r="P1404" i="14"/>
  <c r="P1405" i="14"/>
  <c r="P1406" i="14"/>
  <c r="P1407" i="14"/>
  <c r="P1408" i="14"/>
  <c r="P1409" i="14"/>
  <c r="P1410" i="14"/>
  <c r="P1411" i="14"/>
  <c r="P1412" i="14"/>
  <c r="P1413" i="14"/>
  <c r="P1414" i="14"/>
  <c r="P1415" i="14"/>
  <c r="P1416" i="14"/>
  <c r="P1417" i="14"/>
  <c r="P1418" i="14"/>
  <c r="P1419" i="14"/>
  <c r="P1420" i="14"/>
  <c r="P1421" i="14"/>
  <c r="P1422" i="14"/>
  <c r="P1423" i="14"/>
  <c r="P1424" i="14"/>
  <c r="P1425" i="14"/>
  <c r="P1426" i="14"/>
  <c r="P1427" i="14"/>
  <c r="P1428" i="14"/>
  <c r="P1429" i="14"/>
  <c r="P1430" i="14"/>
  <c r="P1431" i="14"/>
  <c r="P1432" i="14"/>
  <c r="P1433" i="14"/>
  <c r="P1434" i="14"/>
  <c r="P1435" i="14"/>
  <c r="P1436" i="14"/>
  <c r="P1437" i="14"/>
  <c r="P1438" i="14"/>
  <c r="P1439" i="14"/>
  <c r="P1440" i="14"/>
  <c r="P1441" i="14"/>
  <c r="P1442" i="14"/>
  <c r="P1443" i="14"/>
  <c r="P1444" i="14"/>
  <c r="P1445" i="14"/>
  <c r="P1446" i="14"/>
  <c r="P1447" i="14"/>
  <c r="P1448" i="14"/>
  <c r="P1449" i="14"/>
  <c r="P1450" i="14"/>
  <c r="P1451" i="14"/>
  <c r="P1452" i="14"/>
  <c r="P1453" i="14"/>
  <c r="P1454" i="14"/>
  <c r="P1455" i="14"/>
  <c r="P1456" i="14"/>
  <c r="P1457" i="14"/>
  <c r="P1458" i="14"/>
  <c r="P1459" i="14"/>
  <c r="P1460" i="14"/>
  <c r="P1461" i="14"/>
  <c r="P1462" i="14"/>
  <c r="P1463" i="14"/>
  <c r="P1464" i="14"/>
  <c r="P1465" i="14"/>
  <c r="P1466" i="14"/>
  <c r="P1467" i="14"/>
  <c r="P1468" i="14"/>
  <c r="P1469" i="14"/>
  <c r="P1470" i="14"/>
  <c r="P1471" i="14"/>
  <c r="P1472" i="14"/>
  <c r="P1473" i="14"/>
  <c r="P1474" i="14"/>
  <c r="P1475" i="14"/>
  <c r="P1476" i="14"/>
  <c r="P1477" i="14"/>
  <c r="P1478" i="14"/>
  <c r="P1479" i="14"/>
  <c r="P1480" i="14"/>
  <c r="P1481" i="14"/>
  <c r="P1482" i="14"/>
  <c r="P1483" i="14"/>
  <c r="P1484" i="14"/>
  <c r="P1485" i="14"/>
  <c r="P1486" i="14"/>
  <c r="P1487" i="14"/>
  <c r="P1488" i="14"/>
  <c r="P1489" i="14"/>
  <c r="P1490" i="14"/>
  <c r="P1491" i="14"/>
  <c r="P1492" i="14"/>
  <c r="P1493" i="14"/>
  <c r="P1494" i="14"/>
  <c r="P1495" i="14"/>
  <c r="P1496" i="14"/>
  <c r="P1497" i="14"/>
  <c r="P1498" i="14"/>
  <c r="P1499" i="14"/>
  <c r="P1500" i="14"/>
  <c r="P1501" i="14"/>
  <c r="P1502" i="14"/>
  <c r="P1503" i="14"/>
  <c r="P1504" i="14"/>
  <c r="P1505" i="14"/>
  <c r="P1506" i="14"/>
  <c r="P1507" i="14"/>
  <c r="P1508" i="14"/>
  <c r="P1509" i="14"/>
  <c r="P1510" i="14"/>
  <c r="P1511" i="14"/>
  <c r="P1512" i="14"/>
  <c r="P1513" i="14"/>
  <c r="P1514" i="14"/>
  <c r="P1515" i="14"/>
  <c r="P1516" i="14"/>
  <c r="P1517" i="14"/>
  <c r="P1518" i="14"/>
  <c r="P1519" i="14"/>
  <c r="P1520" i="14"/>
  <c r="P1521" i="14"/>
  <c r="P1522" i="14"/>
  <c r="P1523" i="14"/>
  <c r="P1524" i="14"/>
  <c r="P1525" i="14"/>
  <c r="P1526" i="14"/>
  <c r="P1527" i="14"/>
  <c r="P1528" i="14"/>
  <c r="P1529" i="14"/>
  <c r="P1530" i="14"/>
  <c r="P1531" i="14"/>
  <c r="P1532" i="14"/>
  <c r="P1533" i="14"/>
  <c r="P1534" i="14"/>
  <c r="P1535" i="14"/>
  <c r="P1536" i="14"/>
  <c r="P1537" i="14"/>
  <c r="P1538" i="14"/>
  <c r="P1539" i="14"/>
  <c r="P1540" i="14"/>
  <c r="P1541" i="14"/>
  <c r="P1542" i="14"/>
  <c r="P1543" i="14"/>
  <c r="P1544" i="14"/>
  <c r="P1545" i="14"/>
  <c r="P1546" i="14"/>
  <c r="P1547" i="14"/>
  <c r="P1548" i="14"/>
  <c r="P1549" i="14"/>
  <c r="P1550" i="14"/>
  <c r="P1551" i="14"/>
  <c r="P1552" i="14"/>
  <c r="P1553" i="14"/>
  <c r="P1554" i="14"/>
  <c r="P1555" i="14"/>
  <c r="P1556" i="14"/>
  <c r="P1557" i="14"/>
  <c r="P1558" i="14"/>
  <c r="P1559" i="14"/>
  <c r="P1560" i="14"/>
  <c r="P1561" i="14"/>
  <c r="P1562" i="14"/>
  <c r="P1563" i="14"/>
  <c r="P1564" i="14"/>
  <c r="P1565" i="14"/>
  <c r="P1566" i="14"/>
  <c r="P1567" i="14"/>
  <c r="P1568" i="14"/>
  <c r="P1569" i="14"/>
  <c r="P1570" i="14"/>
  <c r="P1571" i="14"/>
  <c r="P1572" i="14"/>
  <c r="P1573" i="14"/>
  <c r="P1574" i="14"/>
  <c r="P1575" i="14"/>
  <c r="P1576" i="14"/>
  <c r="P1577" i="14"/>
  <c r="P1578" i="14"/>
  <c r="P1579" i="14"/>
  <c r="P1580" i="14"/>
  <c r="P1581" i="14"/>
  <c r="P1582" i="14"/>
  <c r="P1583" i="14"/>
  <c r="P1584" i="14"/>
  <c r="P1585" i="14"/>
  <c r="P1586" i="14"/>
  <c r="P1587" i="14"/>
  <c r="P1588" i="14"/>
  <c r="P1589" i="14"/>
  <c r="P1590" i="14"/>
  <c r="P1591" i="14"/>
  <c r="P1592" i="14"/>
  <c r="P1593" i="14"/>
  <c r="P1594" i="14"/>
  <c r="P1595" i="14"/>
  <c r="P1596" i="14"/>
  <c r="P1597" i="14"/>
  <c r="P1598" i="14"/>
  <c r="P1599" i="14"/>
  <c r="P1600" i="14"/>
  <c r="P1601" i="14"/>
  <c r="P1602" i="14"/>
  <c r="P1603" i="14"/>
  <c r="P1604" i="14"/>
  <c r="P1605" i="14"/>
  <c r="P1606" i="14"/>
  <c r="P1607" i="14"/>
  <c r="P1608" i="14"/>
  <c r="P1609" i="14"/>
  <c r="P1610" i="14"/>
  <c r="P1611" i="14"/>
  <c r="P1612" i="14"/>
  <c r="P1613" i="14"/>
  <c r="P1614" i="14"/>
  <c r="P1615" i="14"/>
  <c r="P1616" i="14"/>
  <c r="P1617" i="14"/>
  <c r="P1618" i="14"/>
  <c r="P1619" i="14"/>
  <c r="P1620" i="14"/>
  <c r="P1621" i="14"/>
  <c r="P1622" i="14"/>
  <c r="P1623" i="14"/>
  <c r="P1624" i="14"/>
  <c r="P1625" i="14"/>
  <c r="P1626" i="14"/>
  <c r="P1627" i="14"/>
  <c r="P1628" i="14"/>
  <c r="P1629" i="14"/>
  <c r="P1630" i="14"/>
  <c r="P1631" i="14"/>
  <c r="P1632" i="14"/>
  <c r="P1633" i="14"/>
  <c r="P1634" i="14"/>
  <c r="P1635" i="14"/>
  <c r="P1636" i="14"/>
  <c r="P1637" i="14"/>
  <c r="P1638" i="14"/>
  <c r="P1639" i="14"/>
  <c r="P1640" i="14"/>
  <c r="P1641" i="14"/>
  <c r="P1642" i="14"/>
  <c r="P1643" i="14"/>
  <c r="P1644" i="14"/>
  <c r="P1645" i="14"/>
  <c r="P1646" i="14"/>
  <c r="P1647" i="14"/>
  <c r="P1648" i="14"/>
  <c r="P1649" i="14"/>
  <c r="P1650" i="14"/>
  <c r="P1651" i="14"/>
  <c r="P1652" i="14"/>
  <c r="P1653" i="14"/>
  <c r="P1654" i="14"/>
  <c r="P1655" i="14"/>
  <c r="P1656" i="14"/>
  <c r="P1657" i="14"/>
  <c r="P1658" i="14"/>
  <c r="P1659" i="14"/>
  <c r="P1660" i="14"/>
  <c r="P1661" i="14"/>
  <c r="P1662" i="14"/>
  <c r="P1663" i="14"/>
  <c r="P1664" i="14"/>
  <c r="P1665" i="14"/>
  <c r="P1666" i="14"/>
  <c r="P1667" i="14"/>
  <c r="P1668" i="14"/>
  <c r="P1669" i="14"/>
  <c r="P1670" i="14"/>
  <c r="P1671" i="14"/>
  <c r="P1672" i="14"/>
  <c r="P1673" i="14"/>
  <c r="P1674" i="14"/>
  <c r="P1675" i="14"/>
  <c r="P1676" i="14"/>
  <c r="P1677" i="14"/>
  <c r="P1678" i="14"/>
  <c r="P1679" i="14"/>
  <c r="P1680" i="14"/>
  <c r="P1681" i="14"/>
  <c r="P1682" i="14"/>
  <c r="P1683" i="14"/>
  <c r="P1684" i="14"/>
  <c r="P1685" i="14"/>
  <c r="P1686" i="14"/>
  <c r="P1687" i="14"/>
  <c r="P1688" i="14"/>
  <c r="P1689" i="14"/>
  <c r="P1690" i="14"/>
  <c r="P1691" i="14"/>
  <c r="P1692" i="14"/>
  <c r="P1693" i="14"/>
  <c r="P1694" i="14"/>
  <c r="P1695" i="14"/>
  <c r="P1696" i="14"/>
  <c r="P1697" i="14"/>
  <c r="P1698" i="14"/>
  <c r="P1699" i="14"/>
  <c r="P1700" i="14"/>
  <c r="P1701" i="14"/>
  <c r="P1702" i="14"/>
  <c r="P1703" i="14"/>
  <c r="P1704" i="14"/>
  <c r="P1705" i="14"/>
  <c r="P1706" i="14"/>
  <c r="P1707" i="14"/>
  <c r="P1708" i="14"/>
  <c r="P1709" i="14"/>
  <c r="P1710" i="14"/>
  <c r="P1711" i="14"/>
  <c r="P1712" i="14"/>
  <c r="P1713" i="14"/>
  <c r="P1714" i="14"/>
  <c r="P1715" i="14"/>
  <c r="P1716" i="14"/>
  <c r="P1717" i="14"/>
  <c r="P1718" i="14"/>
  <c r="P1719" i="14"/>
  <c r="P1720" i="14"/>
  <c r="P1721" i="14"/>
  <c r="P1722" i="14"/>
  <c r="P1723" i="14"/>
  <c r="P1724" i="14"/>
  <c r="P1725" i="14"/>
  <c r="P1726" i="14"/>
  <c r="P1727" i="14"/>
  <c r="P1728" i="14"/>
  <c r="P1729" i="14"/>
  <c r="P1730" i="14"/>
  <c r="P1731" i="14"/>
  <c r="P1732" i="14"/>
  <c r="P1733" i="14"/>
  <c r="P1734" i="14"/>
  <c r="P1735" i="14"/>
  <c r="P1736" i="14"/>
  <c r="P1737" i="14"/>
  <c r="P1738" i="14"/>
  <c r="P1739" i="14"/>
  <c r="P1740" i="14"/>
  <c r="P1741" i="14"/>
  <c r="P1742" i="14"/>
  <c r="P1743" i="14"/>
  <c r="P1744" i="14"/>
  <c r="P1745" i="14"/>
  <c r="P1746" i="14"/>
  <c r="P1747" i="14"/>
  <c r="P1748" i="14"/>
  <c r="P1749" i="14"/>
  <c r="P1750" i="14"/>
  <c r="P1751" i="14"/>
  <c r="P1752" i="14"/>
  <c r="P1753" i="14"/>
  <c r="P1754" i="14"/>
  <c r="P1755" i="14"/>
  <c r="P1756" i="14"/>
  <c r="P1757" i="14"/>
  <c r="P1758" i="14"/>
  <c r="P1759" i="14"/>
  <c r="P1760" i="14"/>
  <c r="P1761" i="14"/>
  <c r="P1762" i="14"/>
  <c r="P1763" i="14"/>
  <c r="P1764" i="14"/>
  <c r="P1765" i="14"/>
  <c r="P1766" i="14"/>
  <c r="P1767" i="14"/>
  <c r="P1768" i="14"/>
  <c r="P1769" i="14"/>
  <c r="P1770" i="14"/>
  <c r="P1771" i="14"/>
  <c r="P1772" i="14"/>
  <c r="P1773" i="14"/>
  <c r="P1774" i="14"/>
  <c r="P1775" i="14"/>
  <c r="P1776" i="14"/>
  <c r="P1777" i="14"/>
  <c r="P1778" i="14"/>
  <c r="P1779" i="14"/>
  <c r="P1780" i="14"/>
  <c r="P1781" i="14"/>
  <c r="P1782" i="14"/>
  <c r="P1783" i="14"/>
  <c r="P1784" i="14"/>
  <c r="P1785" i="14"/>
  <c r="P1786" i="14"/>
  <c r="P1787" i="14"/>
  <c r="P1788" i="14"/>
  <c r="P1789" i="14"/>
  <c r="P1790" i="14"/>
  <c r="P1791" i="14"/>
  <c r="P1792" i="14"/>
  <c r="P1793" i="14"/>
  <c r="P1794" i="14"/>
  <c r="P1795" i="14"/>
  <c r="P1796" i="14"/>
  <c r="P1797" i="14"/>
  <c r="P1798" i="14"/>
  <c r="P1799" i="14"/>
  <c r="P1800" i="14"/>
  <c r="P1801" i="14"/>
  <c r="P1802" i="14"/>
  <c r="P1803" i="14"/>
  <c r="P1804" i="14"/>
  <c r="P1805" i="14"/>
  <c r="P1806" i="14"/>
  <c r="P1807" i="14"/>
  <c r="P1808" i="14"/>
  <c r="P1809" i="14"/>
  <c r="P1810" i="14"/>
  <c r="P1811" i="14"/>
  <c r="P1812" i="14"/>
  <c r="P1813" i="14"/>
  <c r="P1814" i="14"/>
  <c r="P1815" i="14"/>
  <c r="P1816" i="14"/>
  <c r="P1817" i="14"/>
  <c r="P1818" i="14"/>
  <c r="P1819" i="14"/>
  <c r="P1820" i="14"/>
  <c r="P1821" i="14"/>
  <c r="P1822" i="14"/>
  <c r="P1823" i="14"/>
  <c r="P1824" i="14"/>
  <c r="P1825" i="14"/>
  <c r="P1826" i="14"/>
  <c r="P1827" i="14"/>
  <c r="P1828" i="14"/>
  <c r="P1829" i="14"/>
  <c r="P1830" i="14"/>
  <c r="P1831" i="14"/>
  <c r="P1832" i="14"/>
  <c r="P1833" i="14"/>
  <c r="P1834" i="14"/>
  <c r="P1835" i="14"/>
  <c r="P1836" i="14"/>
  <c r="P1837" i="14"/>
  <c r="P1838" i="14"/>
  <c r="P1839" i="14"/>
  <c r="P1840" i="14"/>
  <c r="P1841" i="14"/>
  <c r="P1842" i="14"/>
  <c r="P1843" i="14"/>
  <c r="P1844" i="14"/>
  <c r="P1845" i="14"/>
  <c r="P1846" i="14"/>
  <c r="P1847" i="14"/>
  <c r="P1848" i="14"/>
  <c r="P1849" i="14"/>
  <c r="P1850" i="14"/>
  <c r="P1851" i="14"/>
  <c r="P1852" i="14"/>
  <c r="P1853" i="14"/>
  <c r="P1854" i="14"/>
  <c r="P1855" i="14"/>
  <c r="P1856" i="14"/>
  <c r="P1857" i="14"/>
  <c r="P1858" i="14"/>
  <c r="P1859" i="14"/>
  <c r="P1860" i="14"/>
  <c r="P1861" i="14"/>
  <c r="P1862" i="14"/>
  <c r="P1863" i="14"/>
  <c r="P1864" i="14"/>
  <c r="P1865" i="14"/>
  <c r="P1866" i="14"/>
  <c r="P1867" i="14"/>
  <c r="P1868" i="14"/>
  <c r="P1869" i="14"/>
  <c r="P1870" i="14"/>
  <c r="P1871" i="14"/>
  <c r="P1872" i="14"/>
  <c r="P1873" i="14"/>
  <c r="P1874" i="14"/>
  <c r="P1875" i="14"/>
  <c r="P1876" i="14"/>
  <c r="P1877" i="14"/>
  <c r="P1878" i="14"/>
  <c r="P1879" i="14"/>
  <c r="P1880" i="14"/>
  <c r="P1881" i="14"/>
  <c r="P1882" i="14"/>
  <c r="P1883" i="14"/>
  <c r="P1884" i="14"/>
  <c r="P1885" i="14"/>
  <c r="P1886" i="14"/>
  <c r="P1887" i="14"/>
  <c r="P1888" i="14"/>
  <c r="P1889" i="14"/>
  <c r="P1890" i="14"/>
  <c r="P1891" i="14"/>
  <c r="P1892" i="14"/>
  <c r="P1893" i="14"/>
  <c r="P1894" i="14"/>
  <c r="P1895" i="14"/>
  <c r="P1896" i="14"/>
  <c r="P1897" i="14"/>
  <c r="P1898" i="14"/>
  <c r="P1899" i="14"/>
  <c r="P1900" i="14"/>
  <c r="P1901" i="14"/>
  <c r="P1902" i="14"/>
  <c r="P1903" i="14"/>
  <c r="P1904" i="14"/>
  <c r="P1905" i="14"/>
  <c r="P1906" i="14"/>
  <c r="P1907" i="14"/>
  <c r="P1908" i="14"/>
  <c r="P1909" i="14"/>
  <c r="P1910" i="14"/>
  <c r="P1911" i="14"/>
  <c r="P1912" i="14"/>
  <c r="P1913" i="14"/>
  <c r="P1914" i="14"/>
  <c r="P1915" i="14"/>
  <c r="P1916" i="14"/>
  <c r="P1917" i="14"/>
  <c r="P1918" i="14"/>
  <c r="P1919" i="14"/>
  <c r="P1920" i="14"/>
  <c r="P1921" i="14"/>
  <c r="P1922" i="14"/>
  <c r="P1923" i="14"/>
  <c r="P1924" i="14"/>
  <c r="P1925" i="14"/>
  <c r="P1926" i="14"/>
  <c r="P1927" i="14"/>
  <c r="P1928" i="14"/>
  <c r="P1929" i="14"/>
  <c r="P1930" i="14"/>
  <c r="P1931" i="14"/>
  <c r="P1932" i="14"/>
  <c r="P1933" i="14"/>
  <c r="P1934" i="14"/>
  <c r="P1935" i="14"/>
  <c r="P1936" i="14"/>
  <c r="P1937" i="14"/>
  <c r="P1938" i="14"/>
  <c r="P1939" i="14"/>
  <c r="P1940" i="14"/>
  <c r="P1941" i="14"/>
  <c r="P1942" i="14"/>
  <c r="P1943" i="14"/>
  <c r="P1944" i="14"/>
  <c r="P1945" i="14"/>
  <c r="P1946" i="14"/>
  <c r="P1947" i="14"/>
  <c r="P1948" i="14"/>
  <c r="P1949" i="14"/>
  <c r="P1950" i="14"/>
  <c r="P1951" i="14"/>
  <c r="P1952" i="14"/>
  <c r="P1953" i="14"/>
  <c r="P1954" i="14"/>
  <c r="P1955" i="14"/>
  <c r="P1956" i="14"/>
  <c r="P1957" i="14"/>
  <c r="P1958" i="14"/>
  <c r="P1959" i="14"/>
  <c r="P1960" i="14"/>
  <c r="P1961" i="14"/>
  <c r="P1962" i="14"/>
  <c r="P1963" i="14"/>
  <c r="P1964" i="14"/>
  <c r="P1965" i="14"/>
  <c r="P1966" i="14"/>
  <c r="P1967" i="14"/>
  <c r="P1968" i="14"/>
  <c r="P1969" i="14"/>
  <c r="P1970" i="14"/>
  <c r="P1971" i="14"/>
  <c r="P1972" i="14"/>
  <c r="P1973" i="14"/>
  <c r="P1974" i="14"/>
  <c r="P1975" i="14"/>
  <c r="P1976" i="14"/>
  <c r="P1977" i="14"/>
  <c r="P1978" i="14"/>
  <c r="P1979" i="14"/>
  <c r="P1980" i="14"/>
  <c r="P1981" i="14"/>
  <c r="P1982" i="14"/>
  <c r="P1983" i="14"/>
  <c r="P1984" i="14"/>
  <c r="P1985" i="14"/>
  <c r="P1986" i="14"/>
  <c r="P1987" i="14"/>
  <c r="P1988" i="14"/>
  <c r="P1989" i="14"/>
  <c r="P1990" i="14"/>
  <c r="P1991" i="14"/>
  <c r="P1992" i="14"/>
  <c r="P1993" i="14"/>
  <c r="P1994" i="14"/>
  <c r="P1995" i="14"/>
  <c r="P1996" i="14"/>
  <c r="P1997" i="14"/>
  <c r="P1998" i="14"/>
  <c r="P1999" i="14"/>
  <c r="P2000" i="14"/>
  <c r="P2001" i="14"/>
  <c r="P2002" i="14"/>
  <c r="P2003" i="14"/>
  <c r="P2004" i="14"/>
  <c r="P2005" i="14"/>
  <c r="P2006" i="14"/>
  <c r="P2007" i="14"/>
  <c r="P2008" i="14"/>
  <c r="P2009" i="14"/>
  <c r="P2010" i="14"/>
  <c r="P2011" i="14"/>
  <c r="P2012" i="14"/>
  <c r="P2013" i="14"/>
  <c r="P2014" i="14"/>
  <c r="P2015" i="14"/>
  <c r="P2016" i="14"/>
  <c r="P2017" i="14"/>
  <c r="P2018" i="14"/>
  <c r="P2019" i="14"/>
  <c r="P2020" i="14"/>
  <c r="P2021" i="14"/>
  <c r="P2022" i="14"/>
  <c r="P2023" i="14"/>
  <c r="P2024" i="14"/>
  <c r="P2025" i="14"/>
  <c r="P2026" i="14"/>
  <c r="P2027" i="14"/>
  <c r="P2028" i="14"/>
  <c r="P2029" i="14"/>
  <c r="P2030" i="14"/>
  <c r="P2031" i="14"/>
  <c r="P2032" i="14"/>
  <c r="P2033" i="14"/>
  <c r="P2034" i="14"/>
  <c r="P2035" i="14"/>
  <c r="P2036" i="14"/>
  <c r="P2037" i="14"/>
  <c r="P2038" i="14"/>
  <c r="P2039" i="14"/>
  <c r="P2040" i="14"/>
  <c r="P2041" i="14"/>
  <c r="P2042" i="14"/>
  <c r="P2043" i="14"/>
  <c r="P2044" i="14"/>
  <c r="P2045" i="14"/>
  <c r="P2046" i="14"/>
  <c r="P2047" i="14"/>
  <c r="P2048" i="14"/>
  <c r="P2049" i="14"/>
  <c r="P2050" i="14"/>
  <c r="P2051" i="14"/>
  <c r="P2052" i="14"/>
  <c r="P2053" i="14"/>
  <c r="P2054" i="14"/>
  <c r="P2055" i="14"/>
  <c r="P2056" i="14"/>
  <c r="P2057" i="14"/>
  <c r="P2058" i="14"/>
  <c r="P2059" i="14"/>
  <c r="P2060" i="14"/>
  <c r="P2061" i="14"/>
  <c r="P2062" i="14"/>
  <c r="P2063" i="14"/>
  <c r="P2064" i="14"/>
  <c r="P2065" i="14"/>
  <c r="P2066" i="14"/>
  <c r="P2067" i="14"/>
  <c r="P2068" i="14"/>
  <c r="P2069" i="14"/>
  <c r="P2070" i="14"/>
  <c r="P2071" i="14"/>
  <c r="P2072" i="14"/>
  <c r="P2073" i="14"/>
  <c r="P2074" i="14"/>
  <c r="P2075" i="14"/>
  <c r="P2076" i="14"/>
  <c r="P2077" i="14"/>
  <c r="P2078" i="14"/>
  <c r="P2079" i="14"/>
  <c r="P2080" i="14"/>
  <c r="P2081" i="14"/>
  <c r="P2082" i="14"/>
  <c r="P2083" i="14"/>
  <c r="P2084" i="14"/>
  <c r="P2085" i="14"/>
  <c r="P2086" i="14"/>
  <c r="P2087" i="14"/>
  <c r="P2088" i="14"/>
  <c r="P2089" i="14"/>
  <c r="P2090" i="14"/>
  <c r="P2091" i="14"/>
  <c r="P2092" i="14"/>
  <c r="P2093" i="14"/>
  <c r="P2094" i="14"/>
  <c r="P2095" i="14"/>
  <c r="P2096" i="14"/>
  <c r="P2097" i="14"/>
  <c r="P2098" i="14"/>
  <c r="P2099" i="14"/>
  <c r="P2100" i="14"/>
  <c r="P2101" i="14"/>
  <c r="P2102" i="14"/>
  <c r="P2103" i="14"/>
  <c r="P2104" i="14"/>
  <c r="P2105" i="14"/>
  <c r="P2106" i="14"/>
  <c r="P2107" i="14"/>
  <c r="P2108" i="14"/>
  <c r="P2109" i="14"/>
  <c r="P2110" i="14"/>
  <c r="P2111" i="14"/>
  <c r="P2112" i="14"/>
  <c r="P2113" i="14"/>
  <c r="P2114" i="14"/>
  <c r="P2115" i="14"/>
  <c r="P2116" i="14"/>
  <c r="P2117" i="14"/>
  <c r="P2118" i="14"/>
  <c r="P2119" i="14"/>
  <c r="P2120" i="14"/>
  <c r="P2121" i="14"/>
  <c r="P2122" i="14"/>
  <c r="P2123" i="14"/>
  <c r="P2124" i="14"/>
  <c r="P2125" i="14"/>
  <c r="P2126" i="14"/>
  <c r="P2127" i="14"/>
  <c r="P2128" i="14"/>
  <c r="P2129" i="14"/>
  <c r="P2130" i="14"/>
  <c r="P2131" i="14"/>
  <c r="P2132" i="14"/>
  <c r="P2133" i="14"/>
  <c r="P2134" i="14"/>
  <c r="P2135" i="14"/>
  <c r="P2136" i="14"/>
  <c r="P2137" i="14"/>
  <c r="P2138" i="14"/>
  <c r="P2139" i="14"/>
  <c r="P2140" i="14"/>
  <c r="P2141" i="14"/>
  <c r="P2142" i="14"/>
  <c r="P2143" i="14"/>
  <c r="P2144" i="14"/>
  <c r="P2145" i="14"/>
  <c r="P2146" i="14"/>
  <c r="P2147" i="14"/>
  <c r="P2148" i="14"/>
  <c r="P2149" i="14"/>
  <c r="P2150" i="14"/>
  <c r="P2151" i="14"/>
  <c r="P2152" i="14"/>
  <c r="P2153" i="14"/>
  <c r="P2154" i="14"/>
  <c r="P2155" i="14"/>
  <c r="P2156" i="14"/>
  <c r="P2157" i="14"/>
  <c r="P2158" i="14"/>
  <c r="P2159" i="14"/>
  <c r="P2160" i="14"/>
  <c r="P2161" i="14"/>
  <c r="P2162" i="14"/>
  <c r="P2163" i="14"/>
  <c r="P2164" i="14"/>
  <c r="P2165" i="14"/>
  <c r="P2166" i="14"/>
  <c r="P2167" i="14"/>
  <c r="P2168" i="14"/>
  <c r="P2169" i="14"/>
  <c r="P2170" i="14"/>
  <c r="P2171" i="14"/>
  <c r="P2172" i="14"/>
  <c r="P2173" i="14"/>
  <c r="P2174" i="14"/>
  <c r="P2175" i="14"/>
  <c r="P2176" i="14"/>
  <c r="P2177" i="14"/>
  <c r="P2178" i="14"/>
  <c r="P2179" i="14"/>
  <c r="P2180" i="14"/>
  <c r="P2181" i="14"/>
  <c r="P2182" i="14"/>
  <c r="P2183" i="14"/>
  <c r="P2184" i="14"/>
  <c r="P2185" i="14"/>
  <c r="P2186" i="14"/>
  <c r="P2187" i="14"/>
  <c r="P2188" i="14"/>
  <c r="P2189" i="14"/>
  <c r="P2190" i="14"/>
  <c r="P2191" i="14"/>
  <c r="P2192" i="14"/>
  <c r="P2193" i="14"/>
  <c r="P2194" i="14"/>
  <c r="P2195" i="14"/>
  <c r="P2196" i="14"/>
  <c r="P2197" i="14"/>
  <c r="P2198" i="14"/>
  <c r="P2199" i="14"/>
  <c r="P2200" i="14"/>
  <c r="P2201" i="14"/>
  <c r="P2202" i="14"/>
  <c r="P2203" i="14"/>
  <c r="P2204" i="14"/>
  <c r="P2205" i="14"/>
  <c r="P2206" i="14"/>
  <c r="P2207" i="14"/>
  <c r="P2208" i="14"/>
  <c r="P2209" i="14"/>
  <c r="P2210" i="14"/>
  <c r="P2211" i="14"/>
  <c r="P2212" i="14"/>
  <c r="P2213" i="14"/>
  <c r="P2214" i="14"/>
  <c r="P2215" i="14"/>
  <c r="P2216" i="14"/>
  <c r="P2217" i="14"/>
  <c r="P2218" i="14"/>
  <c r="P2219" i="14"/>
  <c r="P2220" i="14"/>
  <c r="P2221" i="14"/>
  <c r="P2222" i="14"/>
  <c r="P2223" i="14"/>
  <c r="P2224" i="14"/>
  <c r="P2225" i="14"/>
  <c r="P2226" i="14"/>
  <c r="P2227" i="14"/>
  <c r="P2228" i="14"/>
  <c r="P2229" i="14"/>
  <c r="P2230" i="14"/>
  <c r="P2231" i="14"/>
  <c r="P2232" i="14"/>
  <c r="P2233" i="14"/>
  <c r="P2234" i="14"/>
  <c r="P2235" i="14"/>
  <c r="P2236" i="14"/>
  <c r="P2237" i="14"/>
  <c r="P2238" i="14"/>
  <c r="P2239" i="14"/>
  <c r="P2240" i="14"/>
  <c r="P2241" i="14"/>
  <c r="P2242" i="14"/>
  <c r="P2243" i="14"/>
  <c r="P2244" i="14"/>
  <c r="P2245" i="14"/>
  <c r="P2246" i="14"/>
  <c r="P2247" i="14"/>
  <c r="P2248" i="14"/>
  <c r="P2249" i="14"/>
  <c r="P2250" i="14"/>
  <c r="P2251" i="14"/>
  <c r="P2252" i="14"/>
  <c r="P2253" i="14"/>
  <c r="P2254" i="14"/>
  <c r="P2255" i="14"/>
  <c r="P2256" i="14"/>
  <c r="P2257" i="14"/>
  <c r="P2258" i="14"/>
  <c r="P2259" i="14"/>
  <c r="P2260" i="14"/>
  <c r="P2261" i="14"/>
  <c r="P2262" i="14"/>
  <c r="P2263" i="14"/>
  <c r="P2264" i="14"/>
  <c r="P2265" i="14"/>
  <c r="P2266" i="14"/>
  <c r="P2267" i="14"/>
  <c r="P2268" i="14"/>
  <c r="P2269" i="14"/>
  <c r="P2270" i="14"/>
  <c r="P2271" i="14"/>
  <c r="P2272" i="14"/>
  <c r="P2273" i="14"/>
  <c r="P2274" i="14"/>
  <c r="P2275" i="14"/>
  <c r="P2276" i="14"/>
  <c r="P2277" i="14"/>
  <c r="P2278" i="14"/>
  <c r="P2279" i="14"/>
  <c r="P2280" i="14"/>
  <c r="P2281" i="14"/>
  <c r="P2282" i="14"/>
  <c r="P2283" i="14"/>
  <c r="P2284" i="14"/>
  <c r="P2285" i="14"/>
  <c r="P2286" i="14"/>
  <c r="P2287" i="14"/>
  <c r="P2288" i="14"/>
  <c r="P2289" i="14"/>
  <c r="P2290" i="14"/>
  <c r="P2291" i="14"/>
  <c r="P2292" i="14"/>
  <c r="P2293" i="14"/>
  <c r="P2294" i="14"/>
  <c r="P2295" i="14"/>
  <c r="P2296" i="14"/>
  <c r="P2297" i="14"/>
  <c r="P2298" i="14"/>
  <c r="P2299" i="14"/>
  <c r="P2300" i="14"/>
  <c r="P2301" i="14"/>
  <c r="P2302" i="14"/>
  <c r="P2303" i="14"/>
  <c r="P2304" i="14"/>
  <c r="P2305" i="14"/>
  <c r="P2306" i="14"/>
  <c r="P2307" i="14"/>
  <c r="P2308" i="14"/>
  <c r="P2309" i="14"/>
  <c r="P2310" i="14"/>
  <c r="P2311" i="14"/>
  <c r="P2312" i="14"/>
  <c r="P2313" i="14"/>
  <c r="P2314" i="14"/>
  <c r="P2315" i="14"/>
  <c r="P2316" i="14"/>
  <c r="P2317" i="14"/>
  <c r="P2318" i="14"/>
  <c r="P2319" i="14"/>
  <c r="P2320" i="14"/>
  <c r="P2321" i="14"/>
  <c r="P2322" i="14"/>
  <c r="P2323" i="14"/>
  <c r="P2324" i="14"/>
  <c r="P2325" i="14"/>
  <c r="P2326" i="14"/>
  <c r="P2327" i="14"/>
  <c r="P2328" i="14"/>
  <c r="P2329" i="14"/>
  <c r="P2330" i="14"/>
  <c r="P2331" i="14"/>
  <c r="P2332" i="14"/>
  <c r="P2333" i="14"/>
  <c r="P2334" i="14"/>
  <c r="P2335" i="14"/>
  <c r="P2336" i="14"/>
  <c r="P2337" i="14"/>
  <c r="P2338" i="14"/>
  <c r="P2339" i="14"/>
  <c r="P2340" i="14"/>
  <c r="P2341" i="14"/>
  <c r="P2342" i="14"/>
  <c r="P2343" i="14"/>
  <c r="P2344" i="14"/>
  <c r="P2345" i="14"/>
  <c r="P2346" i="14"/>
  <c r="P2347" i="14"/>
  <c r="P2348" i="14"/>
  <c r="P2349" i="14"/>
  <c r="P2350" i="14"/>
  <c r="P2351" i="14"/>
  <c r="P2352" i="14"/>
  <c r="P2353" i="14"/>
  <c r="P2354" i="14"/>
  <c r="P2355" i="14"/>
  <c r="P2356" i="14"/>
  <c r="P2357" i="14"/>
  <c r="P2358" i="14"/>
  <c r="P2359" i="14"/>
  <c r="P2360" i="14"/>
  <c r="P2361" i="14"/>
  <c r="P2362" i="14"/>
  <c r="P2363" i="14"/>
  <c r="P2364" i="14"/>
  <c r="P2365" i="14"/>
  <c r="P2366" i="14"/>
  <c r="P2367" i="14"/>
  <c r="P2368" i="14"/>
  <c r="P2369" i="14"/>
  <c r="P2370" i="14"/>
  <c r="P2371" i="14"/>
  <c r="P2372" i="14"/>
  <c r="P2373" i="14"/>
  <c r="P2374" i="14"/>
  <c r="P2375" i="14"/>
  <c r="P2376" i="14"/>
  <c r="P2377" i="14"/>
  <c r="P2378" i="14"/>
  <c r="P2379" i="14"/>
  <c r="P2380" i="14"/>
  <c r="P2381" i="14"/>
  <c r="P2382" i="14"/>
  <c r="P2383" i="14"/>
  <c r="P2384" i="14"/>
  <c r="P2385" i="14"/>
  <c r="P2386" i="14"/>
  <c r="P2387" i="14"/>
  <c r="P2388" i="14"/>
  <c r="P2389" i="14"/>
  <c r="P2390" i="14"/>
  <c r="P2391" i="14"/>
  <c r="P2392" i="14"/>
  <c r="P2393" i="14"/>
  <c r="P2394" i="14"/>
  <c r="P2395" i="14"/>
  <c r="P2396" i="14"/>
  <c r="P2397" i="14"/>
  <c r="P2398" i="14"/>
  <c r="P2399" i="14"/>
  <c r="P2400" i="14"/>
  <c r="P2401" i="14"/>
  <c r="P2402" i="14"/>
  <c r="P2403" i="14"/>
  <c r="P2404" i="14"/>
  <c r="P2405" i="14"/>
  <c r="P2406" i="14"/>
  <c r="P2407" i="14"/>
  <c r="P2408" i="14"/>
  <c r="P2409" i="14"/>
  <c r="P2410" i="14"/>
  <c r="P2411" i="14"/>
  <c r="P2412" i="14"/>
  <c r="P2413" i="14"/>
  <c r="P2414" i="14"/>
  <c r="P2415" i="14"/>
  <c r="P2416" i="14"/>
  <c r="P2417" i="14"/>
  <c r="P2418" i="14"/>
  <c r="P2419" i="14"/>
  <c r="P2420" i="14"/>
  <c r="P2421" i="14"/>
  <c r="P2422" i="14"/>
  <c r="P2423" i="14"/>
  <c r="P2424" i="14"/>
  <c r="P2425" i="14"/>
  <c r="P2426" i="14"/>
  <c r="P2427" i="14"/>
  <c r="P2428" i="14"/>
  <c r="P2429" i="14"/>
  <c r="P2430" i="14"/>
  <c r="P2431" i="14"/>
  <c r="P2432" i="14"/>
  <c r="P2433" i="14"/>
  <c r="P2434" i="14"/>
  <c r="P2435" i="14"/>
  <c r="P2436" i="14"/>
  <c r="P2437" i="14"/>
  <c r="P2438" i="14"/>
  <c r="P2439" i="14"/>
  <c r="P2440" i="14"/>
  <c r="P2441" i="14"/>
  <c r="P2442" i="14"/>
  <c r="P2443" i="14"/>
  <c r="P2444" i="14"/>
  <c r="P2445" i="14"/>
  <c r="P2446" i="14"/>
  <c r="P2447" i="14"/>
  <c r="P2448" i="14"/>
  <c r="P2449" i="14"/>
  <c r="P2450" i="14"/>
  <c r="P2451" i="14"/>
  <c r="P2452" i="14"/>
  <c r="P2453" i="14"/>
  <c r="P2454" i="14"/>
  <c r="P2455" i="14"/>
  <c r="P2456" i="14"/>
  <c r="P2457" i="14"/>
  <c r="P2458" i="14"/>
  <c r="P2459" i="14"/>
  <c r="P2460" i="14"/>
  <c r="P2461" i="14"/>
  <c r="P2462" i="14"/>
  <c r="P2463" i="14"/>
  <c r="P2464" i="14"/>
  <c r="P2465" i="14"/>
  <c r="P2466" i="14"/>
  <c r="P2467" i="14"/>
  <c r="P2468" i="14"/>
  <c r="P2469" i="14"/>
  <c r="P2470" i="14"/>
  <c r="P2471" i="14"/>
  <c r="P2472" i="14"/>
  <c r="P2473" i="14"/>
  <c r="P2474" i="14"/>
  <c r="P2475" i="14"/>
  <c r="P2476" i="14"/>
  <c r="P2477" i="14"/>
  <c r="P2478" i="14"/>
  <c r="P2479" i="14"/>
  <c r="P2480" i="14"/>
  <c r="P2481" i="14"/>
  <c r="P2482" i="14"/>
  <c r="P2483" i="14"/>
  <c r="P2484" i="14"/>
  <c r="P2485" i="14"/>
  <c r="P2486" i="14"/>
  <c r="P2487" i="14"/>
  <c r="P2488" i="14"/>
  <c r="P2489" i="14"/>
  <c r="P2490" i="14"/>
  <c r="P2491" i="14"/>
  <c r="P2492" i="14"/>
  <c r="P2493" i="14"/>
  <c r="P2494" i="14"/>
  <c r="P2495" i="14"/>
  <c r="P2496" i="14"/>
  <c r="P2497" i="14"/>
  <c r="P2498" i="14"/>
  <c r="P2499" i="14"/>
  <c r="P2500" i="14"/>
  <c r="P2501" i="14"/>
  <c r="P2502" i="14"/>
  <c r="P2503" i="14"/>
  <c r="P2504" i="14"/>
  <c r="P2505" i="14"/>
  <c r="P2506" i="14"/>
  <c r="P2507" i="14"/>
  <c r="P2508" i="14"/>
  <c r="P2509" i="14"/>
  <c r="P2510" i="14"/>
  <c r="P2511" i="14"/>
  <c r="P2512" i="14"/>
  <c r="P2513" i="14"/>
  <c r="P2514" i="14"/>
  <c r="P2515" i="14"/>
  <c r="P2516" i="14"/>
  <c r="P2517" i="14"/>
  <c r="P2518" i="14"/>
  <c r="P2519" i="14"/>
  <c r="P2520" i="14"/>
  <c r="P2521" i="14"/>
  <c r="P2522" i="14"/>
  <c r="P2523" i="14"/>
  <c r="P2524" i="14"/>
  <c r="P2525" i="14"/>
  <c r="P2526" i="14"/>
  <c r="P2527" i="14"/>
  <c r="P2528" i="14"/>
  <c r="P2529" i="14"/>
  <c r="P2530" i="14"/>
  <c r="P2531" i="14"/>
  <c r="P2532" i="14"/>
  <c r="P2533" i="14"/>
  <c r="P2534" i="14"/>
  <c r="P2535" i="14"/>
  <c r="P2536" i="14"/>
  <c r="P2537" i="14"/>
  <c r="P2538" i="14"/>
  <c r="P2539" i="14"/>
  <c r="P2540" i="14"/>
  <c r="P2541" i="14"/>
  <c r="P2542" i="14"/>
  <c r="P2543" i="14"/>
  <c r="P2544" i="14"/>
  <c r="P2545" i="14"/>
  <c r="P2546" i="14"/>
  <c r="P2547" i="14"/>
  <c r="P2548" i="14"/>
  <c r="P2549" i="14"/>
  <c r="P2550" i="14"/>
  <c r="P2551" i="14"/>
  <c r="P2552" i="14"/>
  <c r="P2553" i="14"/>
  <c r="P2554" i="14"/>
  <c r="P2555" i="14"/>
  <c r="P2556" i="14"/>
  <c r="P2557" i="14"/>
  <c r="P2558" i="14"/>
  <c r="P2559" i="14"/>
  <c r="P2560" i="14"/>
  <c r="P2561" i="14"/>
  <c r="P2562" i="14"/>
  <c r="P2563" i="14"/>
  <c r="P2564" i="14"/>
  <c r="P2565" i="14"/>
  <c r="P2566" i="14"/>
  <c r="P2567" i="14"/>
  <c r="P2568" i="14"/>
  <c r="P2569" i="14"/>
  <c r="P2570" i="14"/>
  <c r="P2571" i="14"/>
  <c r="P2572" i="14"/>
  <c r="P2573" i="14"/>
  <c r="P2574" i="14"/>
  <c r="P2575" i="14"/>
  <c r="P2576" i="14"/>
  <c r="P2577" i="14"/>
  <c r="P2578" i="14"/>
  <c r="P2579" i="14"/>
  <c r="P2580" i="14"/>
  <c r="P2581" i="14"/>
  <c r="P2582" i="14"/>
  <c r="P2583" i="14"/>
  <c r="P2584" i="14"/>
  <c r="P2585" i="14"/>
  <c r="P2586" i="14"/>
  <c r="P2587" i="14"/>
  <c r="P2588" i="14"/>
  <c r="P2589" i="14"/>
  <c r="P2590" i="14"/>
  <c r="P2591" i="14"/>
  <c r="P2592" i="14"/>
  <c r="P2593" i="14"/>
  <c r="P2594" i="14"/>
  <c r="P2595" i="14"/>
  <c r="P2596" i="14"/>
  <c r="P2597" i="14"/>
  <c r="P2598" i="14"/>
  <c r="P2599" i="14"/>
  <c r="P2600" i="14"/>
  <c r="P2601" i="14"/>
  <c r="P2602" i="14"/>
  <c r="P2603" i="14"/>
  <c r="P2604" i="14"/>
  <c r="P2605" i="14"/>
  <c r="P2606" i="14"/>
  <c r="P2607" i="14"/>
  <c r="P2608" i="14"/>
  <c r="P2609" i="14"/>
  <c r="P2610" i="14"/>
  <c r="P2611" i="14"/>
  <c r="P2612" i="14"/>
  <c r="P2613" i="14"/>
  <c r="P2614" i="14"/>
  <c r="P2615" i="14"/>
  <c r="P2616" i="14"/>
  <c r="P2617" i="14"/>
  <c r="P2618" i="14"/>
  <c r="P2619" i="14"/>
  <c r="P2620" i="14"/>
  <c r="P2621" i="14"/>
  <c r="P2622" i="14"/>
  <c r="P2623" i="14"/>
  <c r="P2624" i="14"/>
  <c r="P2625" i="14"/>
  <c r="P2626" i="14"/>
  <c r="P2627" i="14"/>
  <c r="P2628" i="14"/>
  <c r="P2629" i="14"/>
  <c r="P2630" i="14"/>
  <c r="P2631" i="14"/>
  <c r="P2632" i="14"/>
  <c r="P2633" i="14"/>
  <c r="P2634" i="14"/>
  <c r="P2635" i="14"/>
  <c r="P2636" i="14"/>
  <c r="P2637" i="14"/>
  <c r="P2638" i="14"/>
  <c r="P2639" i="14"/>
  <c r="P2640" i="14"/>
  <c r="P2641" i="14"/>
  <c r="P2642" i="14"/>
  <c r="P2643" i="14"/>
  <c r="P2644" i="14"/>
  <c r="P2645" i="14"/>
  <c r="P2646" i="14"/>
  <c r="P2647" i="14"/>
  <c r="P2648" i="14"/>
  <c r="P2649" i="14"/>
  <c r="P2650" i="14"/>
  <c r="P2651" i="14"/>
  <c r="P2652" i="14"/>
  <c r="P2653" i="14"/>
  <c r="P2654" i="14"/>
  <c r="P2655" i="14"/>
  <c r="P2656" i="14"/>
  <c r="P2657" i="14"/>
  <c r="P2658" i="14"/>
  <c r="P2659" i="14"/>
  <c r="P2660" i="14"/>
  <c r="P2661" i="14"/>
  <c r="P2662" i="14"/>
  <c r="P2663" i="14"/>
  <c r="P2664" i="14"/>
  <c r="P2665" i="14"/>
  <c r="P2666" i="14"/>
  <c r="P2667" i="14"/>
  <c r="P2668" i="14"/>
  <c r="P2669" i="14"/>
  <c r="P2670" i="14"/>
  <c r="P2671" i="14"/>
  <c r="P2672" i="14"/>
  <c r="P2673" i="14"/>
  <c r="P2674" i="14"/>
  <c r="P2675" i="14"/>
  <c r="P2676" i="14"/>
  <c r="P2677" i="14"/>
  <c r="P2678" i="14"/>
  <c r="P2679" i="14"/>
  <c r="P2680" i="14"/>
  <c r="P2681" i="14"/>
  <c r="P2682" i="14"/>
  <c r="P2683" i="14"/>
  <c r="P2684" i="14"/>
  <c r="P2685" i="14"/>
  <c r="P2686" i="14"/>
  <c r="P2687" i="14"/>
  <c r="P2688" i="14"/>
  <c r="P2689" i="14"/>
  <c r="P2690" i="14"/>
  <c r="P2691" i="14"/>
  <c r="P2692" i="14"/>
  <c r="P2693" i="14"/>
  <c r="P2694" i="14"/>
  <c r="P2695" i="14"/>
  <c r="P2696" i="14"/>
  <c r="P2697" i="14"/>
  <c r="P2698" i="14"/>
  <c r="P2699" i="14"/>
  <c r="P2700" i="14"/>
  <c r="P2701" i="14"/>
  <c r="P2702" i="14"/>
  <c r="P2703" i="14"/>
  <c r="P2704" i="14"/>
  <c r="P2705" i="14"/>
  <c r="P2706" i="14"/>
  <c r="P2707" i="14"/>
  <c r="P2708" i="14"/>
  <c r="P2709" i="14"/>
  <c r="P2710" i="14"/>
  <c r="P2711" i="14"/>
  <c r="P2712" i="14"/>
  <c r="P2713" i="14"/>
  <c r="P2714" i="14"/>
  <c r="P2715" i="14"/>
  <c r="P2716" i="14"/>
  <c r="P2717" i="14"/>
  <c r="P2718" i="14"/>
  <c r="P2719" i="14"/>
  <c r="P2720" i="14"/>
  <c r="P2721" i="14"/>
  <c r="P2722" i="14"/>
  <c r="P2723" i="14"/>
  <c r="P2724" i="14"/>
  <c r="P2725" i="14"/>
  <c r="P2726" i="14"/>
  <c r="P2727" i="14"/>
  <c r="P2728" i="14"/>
  <c r="P2729" i="14"/>
  <c r="P2730" i="14"/>
  <c r="P2731" i="14"/>
  <c r="P2732" i="14"/>
  <c r="P2733" i="14"/>
  <c r="P2734" i="14"/>
  <c r="P2735" i="14"/>
  <c r="P2736" i="14"/>
  <c r="P2737" i="14"/>
  <c r="P2738" i="14"/>
  <c r="P2739" i="14"/>
  <c r="P2740" i="14"/>
  <c r="P2741" i="14"/>
  <c r="P2742" i="14"/>
  <c r="P2743" i="14"/>
  <c r="P2744" i="14"/>
  <c r="P2745" i="14"/>
  <c r="P2746" i="14"/>
  <c r="P2747" i="14"/>
  <c r="P2748" i="14"/>
  <c r="P2749" i="14"/>
  <c r="P2750" i="14"/>
  <c r="P2751" i="14"/>
  <c r="P2752" i="14"/>
  <c r="P2753" i="14"/>
  <c r="P2754" i="14"/>
  <c r="P2755" i="14"/>
  <c r="P2756" i="14"/>
  <c r="P2757" i="14"/>
  <c r="P2758" i="14"/>
  <c r="P2759" i="14"/>
  <c r="P2760" i="14"/>
  <c r="P2761" i="14"/>
  <c r="P2762" i="14"/>
  <c r="P2763" i="14"/>
  <c r="P2764" i="14"/>
  <c r="P2765" i="14"/>
  <c r="P2766" i="14"/>
  <c r="P2767" i="14"/>
  <c r="P2768" i="14"/>
  <c r="P2769" i="14"/>
  <c r="P2770" i="14"/>
  <c r="P2771" i="14"/>
  <c r="P2772" i="14"/>
  <c r="P2773" i="14"/>
  <c r="P2774" i="14"/>
  <c r="P2775" i="14"/>
  <c r="P2776" i="14"/>
  <c r="P2777" i="14"/>
  <c r="P2778" i="14"/>
  <c r="P2779" i="14"/>
  <c r="P2780" i="14"/>
  <c r="P2781" i="14"/>
  <c r="P2782" i="14"/>
  <c r="P2783" i="14"/>
  <c r="P2784" i="14"/>
  <c r="P2785" i="14"/>
  <c r="P2786" i="14"/>
  <c r="P2787" i="14"/>
  <c r="P2788" i="14"/>
  <c r="P2789" i="14"/>
  <c r="P2790" i="14"/>
  <c r="P2791" i="14"/>
  <c r="P2792" i="14"/>
  <c r="P2793" i="14"/>
  <c r="P2794" i="14"/>
  <c r="P2795" i="14"/>
  <c r="P2796" i="14"/>
  <c r="P2797" i="14"/>
  <c r="P2798" i="14"/>
  <c r="P2799" i="14"/>
  <c r="P2800" i="14"/>
  <c r="P2801" i="14"/>
  <c r="P2802" i="14"/>
  <c r="P2803" i="14"/>
  <c r="P2804" i="14"/>
  <c r="P2805" i="14"/>
  <c r="P2806" i="14"/>
  <c r="P2807" i="14"/>
  <c r="P2808" i="14"/>
  <c r="P2809" i="14"/>
  <c r="P2810" i="14"/>
  <c r="P2811" i="14"/>
  <c r="P2812" i="14"/>
  <c r="P2813" i="14"/>
  <c r="P2814" i="14"/>
  <c r="P2815" i="14"/>
  <c r="P2816" i="14"/>
  <c r="P2817" i="14"/>
  <c r="P2818" i="14"/>
  <c r="P2819" i="14"/>
  <c r="P2820" i="14"/>
  <c r="P2821" i="14"/>
  <c r="P2822" i="14"/>
  <c r="P2823" i="14"/>
  <c r="P2824" i="14"/>
  <c r="P2825" i="14"/>
  <c r="P2826" i="14"/>
  <c r="P2827" i="14"/>
  <c r="P2828" i="14"/>
  <c r="P2829" i="14"/>
  <c r="P2830" i="14"/>
  <c r="P2831" i="14"/>
  <c r="P2832" i="14"/>
  <c r="P2833" i="14"/>
  <c r="P2834" i="14"/>
  <c r="P2835" i="14"/>
  <c r="P2836" i="14"/>
  <c r="P2837" i="14"/>
  <c r="P2838" i="14"/>
  <c r="P2839" i="14"/>
  <c r="P2840" i="14"/>
  <c r="P2841" i="14"/>
  <c r="P2842" i="14"/>
  <c r="P2843" i="14"/>
  <c r="P2844" i="14"/>
  <c r="P2845" i="14"/>
  <c r="P2846" i="14"/>
  <c r="P2847" i="14"/>
  <c r="P2848" i="14"/>
  <c r="P2849" i="14"/>
  <c r="P2850" i="14"/>
  <c r="P2851" i="14"/>
  <c r="P2852" i="14"/>
  <c r="P2853" i="14"/>
  <c r="P2854" i="14"/>
  <c r="P2855" i="14"/>
  <c r="P2856" i="14"/>
  <c r="P2857" i="14"/>
  <c r="P2858" i="14"/>
  <c r="P2859" i="14"/>
  <c r="P2860" i="14"/>
  <c r="P2861" i="14"/>
  <c r="P2862" i="14"/>
  <c r="P2863" i="14"/>
  <c r="P2864" i="14"/>
  <c r="P2865" i="14"/>
  <c r="P2866" i="14"/>
  <c r="P2867" i="14"/>
  <c r="P2868" i="14"/>
  <c r="P2869" i="14"/>
  <c r="P2870" i="14"/>
  <c r="P2871" i="14"/>
  <c r="P2872" i="14"/>
  <c r="P2873" i="14"/>
  <c r="P2874" i="14"/>
  <c r="P2875" i="14"/>
  <c r="P2876" i="14"/>
  <c r="P2877" i="14"/>
  <c r="P2878" i="14"/>
  <c r="P2879" i="14"/>
  <c r="P2880" i="14"/>
  <c r="P2881" i="14"/>
  <c r="P2882" i="14"/>
  <c r="P2883" i="14"/>
  <c r="P2884" i="14"/>
  <c r="P2885" i="14"/>
  <c r="P2886" i="14"/>
  <c r="P2887" i="14"/>
  <c r="P2888" i="14"/>
  <c r="P2889" i="14"/>
  <c r="P2890" i="14"/>
  <c r="P2891" i="14"/>
  <c r="P2892" i="14"/>
  <c r="P2893" i="14"/>
  <c r="P2894" i="14"/>
  <c r="P2895" i="14"/>
  <c r="P2896" i="14"/>
  <c r="P2897" i="14"/>
  <c r="P2898" i="14"/>
  <c r="P2899" i="14"/>
  <c r="P2900" i="14"/>
  <c r="P2901" i="14"/>
  <c r="P2902" i="14"/>
  <c r="P2903" i="14"/>
  <c r="P2904" i="14"/>
  <c r="P2905" i="14"/>
  <c r="P2906" i="14"/>
  <c r="P2907" i="14"/>
  <c r="P2908" i="14"/>
  <c r="P2909" i="14"/>
  <c r="P2910" i="14"/>
  <c r="P2911" i="14"/>
  <c r="P2912" i="14"/>
  <c r="P2913" i="14"/>
  <c r="P2914" i="14"/>
  <c r="P2915" i="14"/>
  <c r="P2916" i="14"/>
  <c r="P2917" i="14"/>
  <c r="P2918" i="14"/>
  <c r="P2919" i="14"/>
  <c r="P2920" i="14"/>
  <c r="P2921" i="14"/>
  <c r="P2922" i="14"/>
  <c r="P2923" i="14"/>
  <c r="P2924" i="14"/>
  <c r="P2925" i="14"/>
  <c r="P2926" i="14"/>
  <c r="P2927" i="14"/>
  <c r="P2928" i="14"/>
  <c r="P2929" i="14"/>
  <c r="P2930" i="14"/>
  <c r="P2931" i="14"/>
  <c r="P2932" i="14"/>
  <c r="P2933" i="14"/>
  <c r="P2934" i="14"/>
  <c r="P2935" i="14"/>
  <c r="P2936" i="14"/>
  <c r="P2937" i="14"/>
  <c r="P2938" i="14"/>
  <c r="P2939" i="14"/>
  <c r="P2940" i="14"/>
  <c r="P2941" i="14"/>
  <c r="P2942" i="14"/>
  <c r="P2943" i="14"/>
  <c r="P2944" i="14"/>
  <c r="P2945" i="14"/>
  <c r="P2946" i="14"/>
  <c r="P2947" i="14"/>
  <c r="P2948" i="14"/>
  <c r="P2949" i="14"/>
  <c r="P2950" i="14"/>
  <c r="P2951" i="14"/>
  <c r="P2952" i="14"/>
  <c r="P2953" i="14"/>
  <c r="P2954" i="14"/>
  <c r="P2955" i="14"/>
  <c r="P2956" i="14"/>
  <c r="P2957" i="14"/>
  <c r="P2958" i="14"/>
  <c r="P2959" i="14"/>
  <c r="P2960" i="14"/>
  <c r="P2961" i="14"/>
  <c r="P2962" i="14"/>
  <c r="P2963" i="14"/>
  <c r="P2964" i="14"/>
  <c r="P2965" i="14"/>
  <c r="P2966" i="14"/>
  <c r="P2967" i="14"/>
  <c r="P2968" i="14"/>
  <c r="P2969" i="14"/>
  <c r="P2970" i="14"/>
  <c r="P2971" i="14"/>
  <c r="P2972" i="14"/>
  <c r="P2973" i="14"/>
  <c r="P2974" i="14"/>
  <c r="P2975" i="14"/>
  <c r="P2976" i="14"/>
  <c r="P2977" i="14"/>
  <c r="P2978" i="14"/>
  <c r="P2979" i="14"/>
  <c r="P2980" i="14"/>
  <c r="P2981" i="14"/>
  <c r="P2982" i="14"/>
  <c r="P2983" i="14"/>
  <c r="P2984" i="14"/>
  <c r="P2985" i="14"/>
  <c r="P2986" i="14"/>
  <c r="P2987" i="14"/>
  <c r="P2988" i="14"/>
  <c r="P2989" i="14"/>
  <c r="P2990" i="14"/>
  <c r="P2991" i="14"/>
  <c r="P2992" i="14"/>
  <c r="P2993" i="14"/>
  <c r="P2994" i="14"/>
  <c r="P2995" i="14"/>
  <c r="P2996" i="14"/>
  <c r="P2997" i="14"/>
  <c r="P2998" i="14"/>
  <c r="P2999" i="14"/>
  <c r="P3000" i="14"/>
  <c r="P3001" i="14"/>
  <c r="P3002" i="14"/>
  <c r="P3003" i="14"/>
  <c r="P3004" i="14"/>
  <c r="P3005" i="14"/>
  <c r="P3006" i="14"/>
  <c r="P3007" i="14"/>
  <c r="P3008" i="14"/>
  <c r="P3009" i="14"/>
  <c r="P3010" i="14"/>
  <c r="P3011" i="14"/>
  <c r="P3012" i="14"/>
  <c r="P3013" i="14"/>
  <c r="P3014" i="14"/>
  <c r="P3015" i="14"/>
  <c r="P3016" i="14"/>
  <c r="P3017" i="14"/>
  <c r="P3018" i="14"/>
  <c r="P3019" i="14"/>
  <c r="P3020" i="14"/>
  <c r="P3021" i="14"/>
  <c r="P3022" i="14"/>
  <c r="P3023" i="14"/>
  <c r="P3024" i="14"/>
  <c r="P3025" i="14"/>
  <c r="P3026" i="14"/>
  <c r="P3027" i="14"/>
  <c r="P3028" i="14"/>
  <c r="P3029" i="14"/>
  <c r="P3030" i="14"/>
  <c r="P3031" i="14"/>
  <c r="P3032" i="14"/>
  <c r="P3033" i="14"/>
  <c r="P3034" i="14"/>
  <c r="P3035" i="14"/>
  <c r="P3036" i="14"/>
  <c r="P3037" i="14"/>
  <c r="P3038" i="14"/>
  <c r="P3039" i="14"/>
  <c r="P3040" i="14"/>
  <c r="P3041" i="14"/>
  <c r="P3042" i="14"/>
  <c r="P3043" i="14"/>
  <c r="P3044" i="14"/>
  <c r="P3045" i="14"/>
  <c r="P3046" i="14"/>
  <c r="P3047" i="14"/>
  <c r="P3048" i="14"/>
  <c r="P3049" i="14"/>
  <c r="P3050" i="14"/>
  <c r="P3051" i="14"/>
  <c r="P3052" i="14"/>
  <c r="P3053" i="14"/>
  <c r="P3054" i="14"/>
  <c r="P3055" i="14"/>
  <c r="P3056" i="14"/>
  <c r="P3057" i="14"/>
  <c r="P3058" i="14"/>
  <c r="P3059" i="14"/>
  <c r="P3060" i="14"/>
  <c r="P3061" i="14"/>
  <c r="P3062" i="14"/>
  <c r="P3063" i="14"/>
  <c r="P3064" i="14"/>
  <c r="P3065" i="14"/>
  <c r="P3066" i="14"/>
  <c r="P3067" i="14"/>
  <c r="P3068" i="14"/>
  <c r="P3069" i="14"/>
  <c r="P3070" i="14"/>
  <c r="P3071" i="14"/>
  <c r="P3072" i="14"/>
  <c r="P3073" i="14"/>
  <c r="P3074" i="14"/>
  <c r="P3075" i="14"/>
  <c r="P3076" i="14"/>
  <c r="P3077" i="14"/>
  <c r="P3078" i="14"/>
  <c r="P3079" i="14"/>
  <c r="P3080" i="14"/>
  <c r="P3081" i="14"/>
  <c r="P3082" i="14"/>
  <c r="P3083" i="14"/>
  <c r="P3084" i="14"/>
  <c r="P3085" i="14"/>
  <c r="P3086" i="14"/>
  <c r="P3087" i="14"/>
  <c r="P3088" i="14"/>
  <c r="P3089" i="14"/>
  <c r="P3090" i="14"/>
  <c r="P3091" i="14"/>
  <c r="P3092" i="14"/>
  <c r="P3093" i="14"/>
  <c r="P3094" i="14"/>
  <c r="P3095" i="14"/>
  <c r="P3096" i="14"/>
  <c r="P3097" i="14"/>
  <c r="P3098" i="14"/>
  <c r="P3099" i="14"/>
  <c r="P3100" i="14"/>
  <c r="P3101" i="14"/>
  <c r="P3102" i="14"/>
  <c r="P3103" i="14"/>
  <c r="P3104" i="14"/>
  <c r="P3105" i="14"/>
  <c r="P3106" i="14"/>
  <c r="P3107" i="14"/>
  <c r="P3108" i="14"/>
  <c r="P3109" i="14"/>
  <c r="P3110" i="14"/>
  <c r="P3111" i="14"/>
  <c r="P3112" i="14"/>
  <c r="P3113" i="14"/>
  <c r="P3114" i="14"/>
  <c r="P3115" i="14"/>
  <c r="P3116" i="14"/>
  <c r="P3117" i="14"/>
  <c r="P3118" i="14"/>
  <c r="P3119" i="14"/>
  <c r="P3120" i="14"/>
  <c r="P3121" i="14"/>
  <c r="P3122" i="14"/>
  <c r="P3123" i="14"/>
  <c r="P3124" i="14"/>
  <c r="P3125" i="14"/>
  <c r="P3126" i="14"/>
  <c r="P3127" i="14"/>
  <c r="P3128" i="14"/>
  <c r="P3129" i="14"/>
  <c r="P3130" i="14"/>
  <c r="P3131" i="14"/>
  <c r="P3132" i="14"/>
  <c r="P3133" i="14"/>
  <c r="P3134" i="14"/>
  <c r="P3135" i="14"/>
  <c r="P3136" i="14"/>
  <c r="P3137" i="14"/>
  <c r="P3138" i="14"/>
  <c r="P3139" i="14"/>
  <c r="P3140" i="14"/>
  <c r="P3141" i="14"/>
  <c r="P3142" i="14"/>
  <c r="P3143" i="14"/>
  <c r="P3144" i="14"/>
  <c r="P3145" i="14"/>
  <c r="P3146" i="14"/>
  <c r="P3147" i="14"/>
  <c r="P3148" i="14"/>
  <c r="P3149" i="14"/>
  <c r="P3150" i="14"/>
  <c r="P3151" i="14"/>
  <c r="P3152" i="14"/>
  <c r="P3153" i="14"/>
  <c r="P3154" i="14"/>
  <c r="P3155" i="14"/>
  <c r="P3156" i="14"/>
  <c r="P3157" i="14"/>
  <c r="P3158" i="14"/>
  <c r="P3159" i="14"/>
  <c r="P3160" i="14"/>
  <c r="P3161" i="14"/>
  <c r="P3162" i="14"/>
  <c r="P3163" i="14"/>
  <c r="P3164" i="14"/>
  <c r="P3165" i="14"/>
  <c r="P3166" i="14"/>
  <c r="P3167" i="14"/>
  <c r="P3168" i="14"/>
  <c r="P3169" i="14"/>
  <c r="P3170" i="14"/>
  <c r="P3171" i="14"/>
  <c r="P3172" i="14"/>
  <c r="P3173" i="14"/>
  <c r="P3174" i="14"/>
  <c r="P3175" i="14"/>
  <c r="P3176" i="14"/>
  <c r="P3177" i="14"/>
  <c r="P3178" i="14"/>
  <c r="P3179" i="14"/>
  <c r="P3180" i="14"/>
  <c r="P3181" i="14"/>
  <c r="P3182" i="14"/>
  <c r="P3183" i="14"/>
  <c r="P3184" i="14"/>
  <c r="P3185" i="14"/>
  <c r="P3186" i="14"/>
  <c r="P3187" i="14"/>
  <c r="P3188" i="14"/>
  <c r="P3189" i="14"/>
  <c r="P3190" i="14"/>
  <c r="P3191" i="14"/>
  <c r="P3192" i="14"/>
  <c r="P3193" i="14"/>
  <c r="P3194" i="14"/>
  <c r="P3195" i="14"/>
  <c r="P3196" i="14"/>
  <c r="P3197" i="14"/>
  <c r="P3198" i="14"/>
  <c r="P3199" i="14"/>
  <c r="P3200" i="14"/>
  <c r="P3201" i="14"/>
  <c r="P3202" i="14"/>
  <c r="P3203" i="14"/>
  <c r="P3204" i="14"/>
  <c r="P3205" i="14"/>
  <c r="P3206" i="14"/>
  <c r="P3207" i="14"/>
  <c r="P3208" i="14"/>
  <c r="P3209" i="14"/>
  <c r="P3210" i="14"/>
  <c r="P3211" i="14"/>
  <c r="P3212" i="14"/>
  <c r="P3213" i="14"/>
  <c r="P3214" i="14"/>
  <c r="P3215" i="14"/>
  <c r="P3216" i="14"/>
  <c r="P3217" i="14"/>
  <c r="P3218" i="14"/>
  <c r="P3219" i="14"/>
  <c r="P3220" i="14"/>
  <c r="P3221" i="14"/>
  <c r="P3222" i="14"/>
  <c r="P3223" i="14"/>
  <c r="P3224" i="14"/>
  <c r="P3225" i="14"/>
  <c r="P3226" i="14"/>
  <c r="P3227" i="14"/>
  <c r="P3228" i="14"/>
  <c r="P3229" i="14"/>
  <c r="P3230" i="14"/>
  <c r="P3231" i="14"/>
  <c r="P3232" i="14"/>
  <c r="P3233" i="14"/>
  <c r="P3234" i="14"/>
  <c r="P3235" i="14"/>
  <c r="P3236" i="14"/>
  <c r="P3237" i="14"/>
  <c r="P3238" i="14"/>
  <c r="P3239" i="14"/>
  <c r="P3240" i="14"/>
  <c r="P3241" i="14"/>
  <c r="P3242" i="14"/>
  <c r="P3243" i="14"/>
  <c r="P3244" i="14"/>
  <c r="P3245" i="14"/>
  <c r="P3246" i="14"/>
  <c r="P3247" i="14"/>
  <c r="P3248" i="14"/>
  <c r="P3249" i="14"/>
  <c r="P3250" i="14"/>
  <c r="P3251" i="14"/>
  <c r="P3252" i="14"/>
  <c r="P3253" i="14"/>
  <c r="P3254" i="14"/>
  <c r="P3255" i="14"/>
  <c r="P3256" i="14"/>
  <c r="P3257" i="14"/>
  <c r="P3258" i="14"/>
  <c r="P3259" i="14"/>
  <c r="P3260" i="14"/>
  <c r="P3261" i="14"/>
  <c r="P3262" i="14"/>
  <c r="P3263" i="14"/>
  <c r="P3264" i="14"/>
  <c r="P3265" i="14"/>
  <c r="P3266" i="14"/>
  <c r="P3267" i="14"/>
  <c r="P3268" i="14"/>
  <c r="P3269" i="14"/>
  <c r="P3270" i="14"/>
  <c r="P3271" i="14"/>
  <c r="P3272" i="14"/>
  <c r="P3273" i="14"/>
  <c r="P3274" i="14"/>
  <c r="P3275" i="14"/>
  <c r="P3276" i="14"/>
  <c r="P3277" i="14"/>
  <c r="P3278" i="14"/>
  <c r="P3279" i="14"/>
  <c r="P3280" i="14"/>
  <c r="P3281" i="14"/>
  <c r="P3282" i="14"/>
  <c r="P3283" i="14"/>
  <c r="P3284" i="14"/>
  <c r="P3285" i="14"/>
  <c r="P3286" i="14"/>
  <c r="P3287" i="14"/>
  <c r="P3288" i="14"/>
  <c r="P3289" i="14"/>
  <c r="P3290" i="14"/>
  <c r="P3291" i="14"/>
  <c r="P3292" i="14"/>
  <c r="P3293" i="14"/>
  <c r="P3294" i="14"/>
  <c r="P3295" i="14"/>
  <c r="P3296" i="14"/>
  <c r="P3297" i="14"/>
  <c r="P3298" i="14"/>
  <c r="P3299" i="14"/>
  <c r="P3300" i="14"/>
  <c r="P3301" i="14"/>
  <c r="P3302" i="14"/>
  <c r="P3303" i="14"/>
  <c r="P3304" i="14"/>
  <c r="P3305" i="14"/>
  <c r="P3306" i="14"/>
  <c r="P3307" i="14"/>
  <c r="P3308" i="14"/>
  <c r="P3309" i="14"/>
  <c r="P3310" i="14"/>
  <c r="P3311" i="14"/>
  <c r="P3312" i="14"/>
  <c r="P3313" i="14"/>
  <c r="P3314" i="14"/>
  <c r="P3315" i="14"/>
  <c r="P3316" i="14"/>
  <c r="P3317" i="14"/>
  <c r="P3318" i="14"/>
  <c r="P3319" i="14"/>
  <c r="P3320" i="14"/>
  <c r="P3321" i="14"/>
  <c r="P3322" i="14"/>
  <c r="P3323" i="14"/>
  <c r="P3324" i="14"/>
  <c r="P3325" i="14"/>
  <c r="P3326" i="14"/>
  <c r="P3327" i="14"/>
  <c r="P3328" i="14"/>
  <c r="P3329" i="14"/>
  <c r="P3330" i="14"/>
  <c r="P3331" i="14"/>
  <c r="P3332" i="14"/>
  <c r="P3333" i="14"/>
  <c r="P3334" i="14"/>
  <c r="P3335" i="14"/>
  <c r="P3336" i="14"/>
  <c r="P3337" i="14"/>
  <c r="P3338" i="14"/>
  <c r="P3339" i="14"/>
  <c r="P3340" i="14"/>
  <c r="P3341" i="14"/>
  <c r="P3342" i="14"/>
  <c r="P3343" i="14"/>
  <c r="P3344" i="14"/>
  <c r="P3345" i="14"/>
  <c r="P3346" i="14"/>
  <c r="P3347" i="14"/>
  <c r="P3348" i="14"/>
  <c r="P3349" i="14"/>
  <c r="P3350" i="14"/>
  <c r="P3351" i="14"/>
  <c r="P3352" i="14"/>
  <c r="P3353" i="14"/>
  <c r="P3354" i="14"/>
  <c r="P3355" i="14"/>
  <c r="P3356" i="14"/>
  <c r="P3357" i="14"/>
  <c r="P3358" i="14"/>
  <c r="P3359" i="14"/>
  <c r="P3360" i="14"/>
  <c r="P3361" i="14"/>
  <c r="P3362" i="14"/>
  <c r="P3363" i="14"/>
  <c r="P3364" i="14"/>
  <c r="P3365" i="14"/>
  <c r="P3366" i="14"/>
  <c r="P3367" i="14"/>
  <c r="P3368" i="14"/>
  <c r="P3369" i="14"/>
  <c r="P3370" i="14"/>
  <c r="P3371" i="14"/>
  <c r="P3372" i="14"/>
  <c r="P3373" i="14"/>
  <c r="P3374" i="14"/>
  <c r="P3375" i="14"/>
  <c r="P3376" i="14"/>
  <c r="P3377" i="14"/>
  <c r="P3378" i="14"/>
  <c r="P3379" i="14"/>
  <c r="P3380" i="14"/>
  <c r="P3381" i="14"/>
  <c r="P3382" i="14"/>
  <c r="P3383" i="14"/>
  <c r="P3384" i="14"/>
  <c r="P3385" i="14"/>
  <c r="P3386" i="14"/>
  <c r="P3387" i="14"/>
  <c r="P3388" i="14"/>
  <c r="P3389" i="14"/>
  <c r="P3390" i="14"/>
  <c r="P3391" i="14"/>
  <c r="P3392" i="14"/>
  <c r="P3393" i="14"/>
  <c r="P3394" i="14"/>
  <c r="P3395" i="14"/>
  <c r="P3396" i="14"/>
  <c r="P3397" i="14"/>
  <c r="P3398" i="14"/>
  <c r="P3399" i="14"/>
  <c r="P3400" i="14"/>
  <c r="P3401" i="14"/>
  <c r="P3402" i="14"/>
  <c r="P3403" i="14"/>
  <c r="P3404" i="14"/>
  <c r="P3405" i="14"/>
  <c r="P3406" i="14"/>
  <c r="P3407" i="14"/>
  <c r="P3408" i="14"/>
  <c r="P3409" i="14"/>
  <c r="P3410" i="14"/>
  <c r="P3411" i="14"/>
  <c r="P3412" i="14"/>
  <c r="P3413" i="14"/>
  <c r="P3414" i="14"/>
  <c r="P3415" i="14"/>
  <c r="P3416" i="14"/>
  <c r="P3417" i="14"/>
  <c r="P3418" i="14"/>
  <c r="P3419" i="14"/>
  <c r="P3420" i="14"/>
  <c r="P3421" i="14"/>
  <c r="P3422" i="14"/>
  <c r="P3423" i="14"/>
  <c r="P3424" i="14"/>
  <c r="P3425" i="14"/>
  <c r="P3426" i="14"/>
  <c r="P3427" i="14"/>
  <c r="P3428" i="14"/>
  <c r="P3429" i="14"/>
  <c r="P3430" i="14"/>
  <c r="P3431" i="14"/>
  <c r="P3432" i="14"/>
  <c r="P3433" i="14"/>
  <c r="P3434" i="14"/>
  <c r="P3435" i="14"/>
  <c r="P3436" i="14"/>
  <c r="P3437" i="14"/>
  <c r="P3438" i="14"/>
  <c r="P3439" i="14"/>
  <c r="P3440" i="14"/>
  <c r="P3441" i="14"/>
  <c r="P3442" i="14"/>
  <c r="P3443" i="14"/>
  <c r="P3444" i="14"/>
  <c r="P3445" i="14"/>
  <c r="P3446" i="14"/>
  <c r="P3447" i="14"/>
  <c r="P3448" i="14"/>
  <c r="P3449" i="14"/>
  <c r="P3450" i="14"/>
  <c r="P3451" i="14"/>
  <c r="P3452" i="14"/>
  <c r="P3453" i="14"/>
  <c r="P3454" i="14"/>
  <c r="P3455" i="14"/>
  <c r="P3456" i="14"/>
  <c r="P3457" i="14"/>
  <c r="P3458" i="14"/>
  <c r="P3459" i="14"/>
  <c r="P3460" i="14"/>
  <c r="P3461" i="14"/>
  <c r="P3462" i="14"/>
  <c r="P3463" i="14"/>
  <c r="P3464" i="14"/>
  <c r="P3465" i="14"/>
  <c r="P3466" i="14"/>
  <c r="P3467" i="14"/>
  <c r="P3468" i="14"/>
  <c r="P3469" i="14"/>
  <c r="P3470" i="14"/>
  <c r="P3471" i="14"/>
  <c r="P3472" i="14"/>
  <c r="P3473" i="14"/>
  <c r="P3474" i="14"/>
  <c r="P3475" i="14"/>
  <c r="P3476" i="14"/>
  <c r="P3477" i="14"/>
  <c r="P3478" i="14"/>
  <c r="P3479" i="14"/>
  <c r="P3480" i="14"/>
  <c r="P3481" i="14"/>
  <c r="P3482" i="14"/>
  <c r="P3483" i="14"/>
  <c r="P3484" i="14"/>
  <c r="P3485" i="14"/>
  <c r="P3486" i="14"/>
  <c r="P3487" i="14"/>
  <c r="P3488" i="14"/>
  <c r="P3489" i="14"/>
  <c r="P3490" i="14"/>
  <c r="P3491" i="14"/>
  <c r="P3492" i="14"/>
  <c r="P3493" i="14"/>
  <c r="P3494" i="14"/>
  <c r="P3495" i="14"/>
  <c r="P3496" i="14"/>
  <c r="P3497" i="14"/>
  <c r="P3498" i="14"/>
  <c r="P3499" i="14"/>
  <c r="P3500" i="14"/>
  <c r="P3501" i="14"/>
  <c r="P3502" i="14"/>
  <c r="P3503" i="14"/>
  <c r="P3504" i="14"/>
  <c r="P3505" i="14"/>
  <c r="P3506" i="14"/>
  <c r="P3507" i="14"/>
  <c r="P3508" i="14"/>
  <c r="P3509" i="14"/>
  <c r="P3510" i="14"/>
  <c r="P3511" i="14"/>
  <c r="P3512" i="14"/>
  <c r="P3513" i="14"/>
  <c r="P3514" i="14"/>
  <c r="P3515" i="14"/>
  <c r="P3516" i="14"/>
  <c r="P3517" i="14"/>
  <c r="P3518" i="14"/>
  <c r="P3519" i="14"/>
  <c r="P3520" i="14"/>
  <c r="P3521" i="14"/>
  <c r="P3522" i="14"/>
  <c r="P3523" i="14"/>
  <c r="P3524" i="14"/>
  <c r="P3525" i="14"/>
  <c r="P3526" i="14"/>
  <c r="P3527" i="14"/>
  <c r="P3528" i="14"/>
  <c r="P3529" i="14"/>
  <c r="P3530" i="14"/>
  <c r="P3531" i="14"/>
  <c r="P3532" i="14"/>
  <c r="P3533" i="14"/>
  <c r="P3534" i="14"/>
  <c r="P3535" i="14"/>
  <c r="P3536" i="14"/>
  <c r="P3537" i="14"/>
  <c r="P3538" i="14"/>
  <c r="P3539" i="14"/>
  <c r="P3540" i="14"/>
  <c r="P3541" i="14"/>
  <c r="P3542" i="14"/>
  <c r="P3543" i="14"/>
  <c r="P3544" i="14"/>
  <c r="P3545" i="14"/>
  <c r="P3546" i="14"/>
  <c r="P3547" i="14"/>
  <c r="P3548" i="14"/>
  <c r="P3549" i="14"/>
  <c r="P3550" i="14"/>
  <c r="P3551" i="14"/>
  <c r="P3552" i="14"/>
  <c r="P3553" i="14"/>
  <c r="P3554" i="14"/>
  <c r="P3555" i="14"/>
  <c r="P3556" i="14"/>
  <c r="P3557" i="14"/>
  <c r="P3558" i="14"/>
  <c r="P3559" i="14"/>
  <c r="P3560" i="14"/>
  <c r="P3561" i="14"/>
  <c r="P3562" i="14"/>
  <c r="P3563" i="14"/>
  <c r="P3564" i="14"/>
  <c r="P3565" i="14"/>
  <c r="P3566" i="14"/>
  <c r="P3567" i="14"/>
  <c r="P3568" i="14"/>
  <c r="P3569" i="14"/>
  <c r="P3570" i="14"/>
  <c r="P3571" i="14"/>
  <c r="P3572" i="14"/>
  <c r="P3573" i="14"/>
  <c r="P3574" i="14"/>
  <c r="P3575" i="14"/>
  <c r="P3576" i="14"/>
  <c r="P3577" i="14"/>
  <c r="P3578" i="14"/>
  <c r="P3579" i="14"/>
  <c r="P3580" i="14"/>
  <c r="P3581" i="14"/>
  <c r="P3582" i="14"/>
  <c r="P3583" i="14"/>
  <c r="P3584" i="14"/>
  <c r="P3585" i="14"/>
  <c r="P3586" i="14"/>
  <c r="P3587" i="14"/>
  <c r="P3588" i="14"/>
  <c r="P3589" i="14"/>
  <c r="P3590" i="14"/>
  <c r="P3591" i="14"/>
  <c r="P3592" i="14"/>
  <c r="P3593" i="14"/>
  <c r="P3594" i="14"/>
  <c r="P3595" i="14"/>
  <c r="P3596" i="14"/>
  <c r="P3597" i="14"/>
  <c r="P3598" i="14"/>
  <c r="P3599" i="14"/>
  <c r="P3600" i="14"/>
  <c r="P3601" i="14"/>
  <c r="P3602" i="14"/>
  <c r="P3603" i="14"/>
  <c r="P3604" i="14"/>
  <c r="P3605" i="14"/>
  <c r="P3606" i="14"/>
  <c r="P3607" i="14"/>
  <c r="P3608" i="14"/>
  <c r="P3609" i="14"/>
  <c r="P3610" i="14"/>
  <c r="P3611" i="14"/>
  <c r="P3612" i="14"/>
  <c r="P3613" i="14"/>
  <c r="P3614" i="14"/>
  <c r="P3615" i="14"/>
  <c r="P3616" i="14"/>
  <c r="P3617" i="14"/>
  <c r="P3618" i="14"/>
  <c r="P3619" i="14"/>
  <c r="P3620" i="14"/>
  <c r="P3621" i="14"/>
  <c r="P3622" i="14"/>
  <c r="P3623" i="14"/>
  <c r="P3624" i="14"/>
  <c r="P3625" i="14"/>
  <c r="P3626" i="14"/>
  <c r="P3627" i="14"/>
  <c r="P3628" i="14"/>
  <c r="P3629" i="14"/>
  <c r="P3630" i="14"/>
  <c r="P3631" i="14"/>
  <c r="P3632" i="14"/>
  <c r="P3633" i="14"/>
  <c r="P3634" i="14"/>
  <c r="P3635" i="14"/>
  <c r="P3636" i="14"/>
  <c r="P3637" i="14"/>
  <c r="P3638" i="14"/>
  <c r="P3639" i="14"/>
  <c r="P3640" i="14"/>
  <c r="P3641" i="14"/>
  <c r="P3642" i="14"/>
  <c r="P3643" i="14"/>
  <c r="P3644" i="14"/>
  <c r="P3645" i="14"/>
  <c r="P3646" i="14"/>
  <c r="P3647" i="14"/>
  <c r="P3648" i="14"/>
  <c r="P3649" i="14"/>
  <c r="P3650" i="14"/>
  <c r="P3651" i="14"/>
  <c r="P3652" i="14"/>
  <c r="P3653" i="14"/>
  <c r="P3654" i="14"/>
  <c r="P3655" i="14"/>
  <c r="P3656" i="14"/>
  <c r="P3657" i="14"/>
  <c r="P3658" i="14"/>
  <c r="P3659" i="14"/>
  <c r="P3660" i="14"/>
  <c r="P3661" i="14"/>
  <c r="P3662" i="14"/>
  <c r="P3663" i="14"/>
  <c r="P3664" i="14"/>
  <c r="P3665" i="14"/>
  <c r="P3666" i="14"/>
  <c r="P3667" i="14"/>
  <c r="P3668" i="14"/>
  <c r="P3669" i="14"/>
  <c r="P3670" i="14"/>
  <c r="P3671" i="14"/>
  <c r="P3672" i="14"/>
  <c r="P3673" i="14"/>
  <c r="P3674" i="14"/>
  <c r="P3675" i="14"/>
  <c r="P3676" i="14"/>
  <c r="P3677" i="14"/>
  <c r="P3678" i="14"/>
  <c r="P3679" i="14"/>
  <c r="P3680" i="14"/>
  <c r="P3681" i="14"/>
  <c r="P3682" i="14"/>
  <c r="P3683" i="14"/>
  <c r="P3684" i="14"/>
  <c r="P3685" i="14"/>
  <c r="P3686" i="14"/>
  <c r="P3687" i="14"/>
  <c r="P3688" i="14"/>
  <c r="P3689" i="14"/>
  <c r="P3690" i="14"/>
  <c r="P3691" i="14"/>
  <c r="P3692" i="14"/>
  <c r="P3693" i="14"/>
  <c r="P3694" i="14"/>
  <c r="P3695" i="14"/>
  <c r="P3696" i="14"/>
  <c r="P3697" i="14"/>
  <c r="P3698" i="14"/>
  <c r="P3699" i="14"/>
  <c r="P3700" i="14"/>
  <c r="P3701" i="14"/>
  <c r="P3702" i="14"/>
  <c r="P3703" i="14"/>
  <c r="P3704" i="14"/>
  <c r="P3705" i="14"/>
  <c r="P3706" i="14"/>
  <c r="P3707" i="14"/>
  <c r="P3708" i="14"/>
  <c r="P3709" i="14"/>
  <c r="P3710" i="14"/>
  <c r="P3711" i="14"/>
  <c r="P3712" i="14"/>
  <c r="P3713" i="14"/>
  <c r="P3714" i="14"/>
  <c r="P3715" i="14"/>
  <c r="P3716" i="14"/>
  <c r="P3717" i="14"/>
  <c r="P3718" i="14"/>
  <c r="P3719" i="14"/>
  <c r="P3720" i="14"/>
  <c r="P3721" i="14"/>
  <c r="P3722" i="14"/>
  <c r="P3723" i="14"/>
  <c r="P3724" i="14"/>
  <c r="P3725" i="14"/>
  <c r="P3726" i="14"/>
  <c r="P3727" i="14"/>
  <c r="P3728" i="14"/>
  <c r="P3729" i="14"/>
  <c r="P3730" i="14"/>
  <c r="P3731" i="14"/>
  <c r="P3732" i="14"/>
  <c r="P3733" i="14"/>
  <c r="P3734" i="14"/>
  <c r="P3735" i="14"/>
  <c r="P3736" i="14"/>
  <c r="P3737" i="14"/>
  <c r="P3738" i="14"/>
  <c r="P3739" i="14"/>
  <c r="P3740" i="14"/>
  <c r="P3741" i="14"/>
  <c r="P3742" i="14"/>
  <c r="P3743" i="14"/>
  <c r="P3744" i="14"/>
  <c r="P3745" i="14"/>
  <c r="P3746" i="14"/>
  <c r="P3747" i="14"/>
  <c r="P3748" i="14"/>
  <c r="P3749" i="14"/>
  <c r="P3750" i="14"/>
  <c r="P3751" i="14"/>
  <c r="P3752" i="14"/>
  <c r="P3753" i="14"/>
  <c r="P3754" i="14"/>
  <c r="P3755" i="14"/>
  <c r="P3756" i="14"/>
  <c r="P3757" i="14"/>
  <c r="P3758" i="14"/>
  <c r="P3759" i="14"/>
  <c r="P3760" i="14"/>
  <c r="P3761" i="14"/>
  <c r="P3762" i="14"/>
  <c r="P3763" i="14"/>
  <c r="P3764" i="14"/>
  <c r="P3765" i="14"/>
  <c r="P3766" i="14"/>
  <c r="P3767" i="14"/>
  <c r="P3768" i="14"/>
  <c r="P3769" i="14"/>
  <c r="P3770" i="14"/>
  <c r="P3771" i="14"/>
  <c r="P3772" i="14"/>
  <c r="P3773" i="14"/>
  <c r="P3774" i="14"/>
  <c r="P3775" i="14"/>
  <c r="P3776" i="14"/>
  <c r="P3777" i="14"/>
  <c r="P3778" i="14"/>
  <c r="P3779" i="14"/>
  <c r="P3780" i="14"/>
  <c r="P3781" i="14"/>
  <c r="P3782" i="14"/>
  <c r="P3783" i="14"/>
  <c r="P3784" i="14"/>
  <c r="P3785" i="14"/>
  <c r="P3786" i="14"/>
  <c r="P3787" i="14"/>
  <c r="P3788" i="14"/>
  <c r="P3789" i="14"/>
  <c r="P3790" i="14"/>
  <c r="P3791" i="14"/>
  <c r="P3792" i="14"/>
  <c r="P3793" i="14"/>
  <c r="P3794" i="14"/>
  <c r="P3795" i="14"/>
  <c r="P3796" i="14"/>
  <c r="P3797" i="14"/>
  <c r="P3798" i="14"/>
  <c r="P3799" i="14"/>
  <c r="P3800" i="14"/>
  <c r="P3801" i="14"/>
  <c r="P3802" i="14"/>
  <c r="P3803" i="14"/>
  <c r="P3804" i="14"/>
  <c r="P3805" i="14"/>
  <c r="P3806" i="14"/>
  <c r="P3807" i="14"/>
  <c r="P3808" i="14"/>
  <c r="P3809" i="14"/>
  <c r="P3810" i="14"/>
  <c r="P3811" i="14"/>
  <c r="P3812" i="14"/>
  <c r="P3813" i="14"/>
  <c r="P3814" i="14"/>
  <c r="P3815" i="14"/>
  <c r="P3816" i="14"/>
  <c r="P3817" i="14"/>
  <c r="P3818" i="14"/>
  <c r="P3819" i="14"/>
  <c r="P3820" i="14"/>
  <c r="P3821" i="14"/>
  <c r="P3822" i="14"/>
  <c r="P3823" i="14"/>
  <c r="P3824" i="14"/>
  <c r="P3825" i="14"/>
  <c r="P3826" i="14"/>
  <c r="P3827" i="14"/>
  <c r="P3828" i="14"/>
  <c r="P3829" i="14"/>
  <c r="P3830" i="14"/>
  <c r="P3831" i="14"/>
  <c r="P3832" i="14"/>
  <c r="P3833" i="14"/>
  <c r="P3834" i="14"/>
  <c r="P3835" i="14"/>
  <c r="P3836" i="14"/>
  <c r="P3837" i="14"/>
  <c r="P3838" i="14"/>
  <c r="P3839" i="14"/>
  <c r="P3840" i="14"/>
  <c r="P3841" i="14"/>
  <c r="P3842" i="14"/>
  <c r="P3843" i="14"/>
  <c r="P3844" i="14"/>
  <c r="P3845" i="14"/>
  <c r="P3846" i="14"/>
  <c r="P3847" i="14"/>
  <c r="P3848" i="14"/>
  <c r="P3849" i="14"/>
  <c r="P3850" i="14"/>
  <c r="P3851" i="14"/>
  <c r="P3852" i="14"/>
  <c r="P3853" i="14"/>
  <c r="P3854" i="14"/>
  <c r="P3855" i="14"/>
  <c r="P3856" i="14"/>
  <c r="P3857" i="14"/>
  <c r="P3858" i="14"/>
  <c r="P3875" i="14"/>
  <c r="P3876" i="14"/>
  <c r="P3877" i="14"/>
  <c r="P3878" i="14"/>
  <c r="P3879" i="14"/>
  <c r="P3880" i="14"/>
  <c r="P3881" i="14"/>
  <c r="P3882" i="14"/>
  <c r="P3883" i="14"/>
  <c r="P3884" i="14"/>
  <c r="P3885" i="14"/>
  <c r="P3886" i="14"/>
  <c r="P3887" i="14"/>
  <c r="P3888" i="14"/>
  <c r="P3889" i="14"/>
  <c r="P3890" i="14"/>
  <c r="P3891" i="14"/>
  <c r="P3892" i="14"/>
  <c r="P3893" i="14"/>
  <c r="P3894" i="14"/>
  <c r="P3895" i="14"/>
  <c r="P3896" i="14"/>
  <c r="P3897" i="14"/>
  <c r="P3898" i="14"/>
  <c r="P3899" i="14"/>
  <c r="P3900" i="14"/>
  <c r="P3901" i="14"/>
  <c r="P3902" i="14"/>
  <c r="P3903" i="14"/>
  <c r="P3904" i="14"/>
  <c r="P3905" i="14"/>
  <c r="P3906" i="14"/>
  <c r="P3907" i="14"/>
  <c r="P3908" i="14"/>
  <c r="P3909" i="14"/>
  <c r="P3910" i="14"/>
  <c r="P3911" i="14"/>
  <c r="P3912" i="14"/>
  <c r="P3913" i="14"/>
  <c r="P3914" i="14"/>
  <c r="P3915" i="14"/>
  <c r="P3916" i="14"/>
  <c r="P3917" i="14"/>
  <c r="P3918" i="14"/>
  <c r="P3919" i="14"/>
  <c r="P3920" i="14"/>
  <c r="P3921" i="14"/>
  <c r="P3922" i="14"/>
  <c r="P3923" i="14"/>
  <c r="P3924" i="14"/>
  <c r="P3925" i="14"/>
  <c r="P3926" i="14"/>
  <c r="P3927" i="14"/>
  <c r="P3928" i="14"/>
  <c r="P3929" i="14"/>
  <c r="P3930" i="14"/>
  <c r="P3931" i="14"/>
  <c r="P3932" i="14"/>
  <c r="P3933" i="14"/>
  <c r="P3934" i="14"/>
  <c r="P3935" i="14"/>
  <c r="P3936" i="14"/>
  <c r="P3937" i="14"/>
  <c r="P3938" i="14"/>
  <c r="P3939" i="14"/>
  <c r="P3940" i="14"/>
  <c r="P3941" i="14"/>
  <c r="P3942" i="14"/>
  <c r="P3943" i="14"/>
  <c r="P3944" i="14"/>
  <c r="P3945" i="14"/>
  <c r="P3946" i="14"/>
  <c r="P3947" i="14"/>
  <c r="P3948" i="14"/>
  <c r="P3949" i="14"/>
  <c r="P3950" i="14"/>
  <c r="P3951" i="14"/>
  <c r="P3952" i="14"/>
  <c r="P3953" i="14"/>
  <c r="P3954" i="14"/>
  <c r="P3955" i="14"/>
  <c r="P3956" i="14"/>
  <c r="P3957" i="14"/>
  <c r="P3958" i="14"/>
  <c r="P3959" i="14"/>
  <c r="P3960" i="14"/>
  <c r="P3961" i="14"/>
  <c r="P3962" i="14"/>
  <c r="P3963" i="14"/>
  <c r="P3964" i="14"/>
  <c r="P3965" i="14"/>
  <c r="P3966" i="14"/>
  <c r="P3967" i="14"/>
  <c r="P3968" i="14"/>
  <c r="P3969" i="14"/>
  <c r="P3970" i="14"/>
  <c r="P3971" i="14"/>
  <c r="P3972" i="14"/>
  <c r="P3973" i="14"/>
  <c r="P3974" i="14"/>
  <c r="P3975" i="14"/>
  <c r="P3976" i="14"/>
  <c r="P3977" i="14"/>
  <c r="P3978" i="14"/>
  <c r="P3979" i="14"/>
  <c r="P3980" i="14"/>
  <c r="P3981" i="14"/>
  <c r="P3982" i="14"/>
  <c r="P3983" i="14"/>
  <c r="P3984" i="14"/>
  <c r="P3985" i="14"/>
  <c r="P3986" i="14"/>
  <c r="P3987" i="14"/>
  <c r="P3988" i="14"/>
  <c r="P3989" i="14"/>
  <c r="P3990" i="14"/>
  <c r="P3991" i="14"/>
  <c r="P3992" i="14"/>
  <c r="P3993" i="14"/>
  <c r="P3994" i="14"/>
  <c r="P3995" i="14"/>
  <c r="P3996" i="14"/>
  <c r="P3997" i="14"/>
  <c r="P3998" i="14"/>
  <c r="P3999" i="14"/>
  <c r="P4000" i="14"/>
  <c r="P4001" i="14"/>
  <c r="P4002" i="14"/>
  <c r="P4003" i="14"/>
  <c r="P4004" i="14"/>
  <c r="P4005" i="14"/>
  <c r="P4006" i="14"/>
  <c r="P4007" i="14"/>
  <c r="P4008" i="14"/>
  <c r="P4009" i="14"/>
  <c r="P4010" i="14"/>
  <c r="P4011" i="14"/>
  <c r="P4012" i="14"/>
  <c r="P4013" i="14"/>
  <c r="P4014" i="14"/>
  <c r="P4015" i="14"/>
  <c r="P4016" i="14"/>
  <c r="P4017" i="14"/>
  <c r="P4018" i="14"/>
  <c r="P4019" i="14"/>
  <c r="P4020" i="14"/>
  <c r="P4021" i="14"/>
  <c r="P4022" i="14"/>
  <c r="P4023" i="14"/>
  <c r="P4024" i="14"/>
  <c r="P4025" i="14"/>
  <c r="P4026" i="14"/>
  <c r="P4027" i="14"/>
  <c r="P4028" i="14"/>
  <c r="P4029" i="14"/>
  <c r="P4030" i="14"/>
  <c r="P4031" i="14"/>
  <c r="P4032" i="14"/>
  <c r="P4033" i="14"/>
  <c r="P4034" i="14"/>
  <c r="P4035" i="14"/>
  <c r="P4036" i="14"/>
  <c r="P4037" i="14"/>
  <c r="P4038" i="14"/>
  <c r="P4039" i="14"/>
  <c r="P4040" i="14"/>
  <c r="P4041" i="14"/>
  <c r="P4042" i="14"/>
  <c r="P4043" i="14"/>
  <c r="P4044" i="14"/>
  <c r="P4045" i="14"/>
  <c r="P4046" i="14"/>
  <c r="P4047" i="14"/>
  <c r="P4048" i="14"/>
  <c r="P4049" i="14"/>
  <c r="P4050" i="14"/>
  <c r="P4051" i="14"/>
  <c r="P4052" i="14"/>
  <c r="P4053" i="14"/>
  <c r="P4054" i="14"/>
  <c r="P4055" i="14"/>
  <c r="P4056" i="14"/>
  <c r="P4057" i="14"/>
  <c r="P4058" i="14"/>
  <c r="P4059" i="14"/>
  <c r="P4060" i="14"/>
  <c r="P4061" i="14"/>
  <c r="P4062" i="14"/>
  <c r="P4063" i="14"/>
  <c r="P4064" i="14"/>
  <c r="P4065" i="14"/>
  <c r="P4066" i="14"/>
  <c r="P4067" i="14"/>
  <c r="P4068" i="14"/>
  <c r="P4069" i="14"/>
  <c r="P4070" i="14"/>
  <c r="P4071" i="14"/>
  <c r="P4072" i="14"/>
  <c r="P4073" i="14"/>
  <c r="P4074" i="14"/>
  <c r="P4075" i="14"/>
  <c r="P4076" i="14"/>
  <c r="P4077" i="14"/>
  <c r="P4078" i="14"/>
  <c r="P4079" i="14"/>
  <c r="P4080" i="14"/>
  <c r="P4081" i="14"/>
  <c r="P4082" i="14"/>
  <c r="P4083" i="14"/>
  <c r="P4084" i="14"/>
  <c r="P4085" i="14"/>
  <c r="P4086" i="14"/>
  <c r="P4087" i="14"/>
  <c r="P4088" i="14"/>
  <c r="P4089" i="14"/>
  <c r="P4090" i="14"/>
  <c r="P4091" i="14"/>
  <c r="P4092" i="14"/>
  <c r="P4093" i="14"/>
  <c r="P4094" i="14"/>
  <c r="P4095" i="14"/>
  <c r="P4096" i="14"/>
  <c r="P4097" i="14"/>
  <c r="P4098" i="14"/>
  <c r="P4099" i="14"/>
  <c r="P4100" i="14"/>
  <c r="P4101" i="14"/>
  <c r="P4102" i="14"/>
  <c r="P4103" i="14"/>
  <c r="P4104" i="14"/>
  <c r="P4105" i="14"/>
  <c r="P4106" i="14"/>
  <c r="P4107" i="14"/>
  <c r="P4108" i="14"/>
  <c r="P4109" i="14"/>
  <c r="P4110" i="14"/>
  <c r="P4111" i="14"/>
  <c r="P4112" i="14"/>
  <c r="P4113" i="14"/>
  <c r="P4114" i="14"/>
  <c r="P4115" i="14"/>
  <c r="P4116" i="14"/>
  <c r="P4117" i="14"/>
  <c r="P4118" i="14"/>
  <c r="P4119" i="14"/>
  <c r="P4120" i="14"/>
  <c r="P4121" i="14"/>
  <c r="P4122" i="14"/>
  <c r="P4123" i="14"/>
  <c r="P4124" i="14"/>
  <c r="P4125" i="14"/>
  <c r="P4126" i="14"/>
  <c r="P4127" i="14"/>
  <c r="P4128" i="14"/>
  <c r="P4129" i="14"/>
  <c r="P4130" i="14"/>
  <c r="P4131" i="14"/>
  <c r="P4132" i="14"/>
  <c r="P4133" i="14"/>
  <c r="P4134" i="14"/>
  <c r="P4135" i="14"/>
  <c r="P4136" i="14"/>
  <c r="P4137" i="14"/>
  <c r="P4138" i="14"/>
  <c r="P4139" i="14"/>
  <c r="P4140" i="14"/>
  <c r="P4141" i="14"/>
  <c r="P4142" i="14"/>
  <c r="P4143" i="14"/>
  <c r="P4144" i="14"/>
  <c r="P4145" i="14"/>
  <c r="P4146" i="14"/>
  <c r="P4147" i="14"/>
  <c r="P4148" i="14"/>
  <c r="P4149" i="14"/>
  <c r="P4150" i="14"/>
  <c r="P4151" i="14"/>
  <c r="P4152" i="14"/>
  <c r="P4153" i="14"/>
  <c r="P4154" i="14"/>
  <c r="P4155" i="14"/>
  <c r="P4156" i="14"/>
  <c r="P4157" i="14"/>
  <c r="P4158" i="14"/>
  <c r="P4159" i="14"/>
  <c r="P4160" i="14"/>
  <c r="P4161" i="14"/>
  <c r="P4162" i="14"/>
  <c r="P4163" i="14"/>
  <c r="P4164" i="14"/>
  <c r="P4165" i="14"/>
  <c r="P4166" i="14"/>
  <c r="P4167" i="14"/>
  <c r="P4168" i="14"/>
  <c r="P4169" i="14"/>
  <c r="P4170" i="14"/>
  <c r="P4171" i="14"/>
  <c r="P4172" i="14"/>
  <c r="P4173" i="14"/>
  <c r="P4174" i="14"/>
  <c r="P4175" i="14"/>
  <c r="P4176" i="14"/>
  <c r="P4177" i="14"/>
  <c r="P4178" i="14"/>
  <c r="P4179" i="14"/>
  <c r="P4180" i="14"/>
  <c r="P4181" i="14"/>
  <c r="P4182" i="14"/>
  <c r="P4183" i="14"/>
  <c r="P4184" i="14"/>
  <c r="P4185" i="14"/>
  <c r="P4186" i="14"/>
  <c r="P4187" i="14"/>
  <c r="P4188" i="14"/>
  <c r="P4189" i="14"/>
  <c r="P4190" i="14"/>
  <c r="P4191" i="14"/>
  <c r="P4192" i="14"/>
  <c r="P4193" i="14"/>
  <c r="P4194" i="14"/>
  <c r="P4195" i="14"/>
  <c r="P4196" i="14"/>
  <c r="P4197" i="14"/>
  <c r="P4198" i="14"/>
  <c r="P4199" i="14"/>
  <c r="P4200" i="14"/>
  <c r="P4201" i="14"/>
  <c r="P4202" i="14"/>
  <c r="P4203" i="14"/>
  <c r="P4204" i="14"/>
  <c r="P4205" i="14"/>
  <c r="P4206" i="14"/>
  <c r="P4207" i="14"/>
  <c r="P4208" i="14"/>
  <c r="P4209" i="14"/>
  <c r="P4210" i="14"/>
  <c r="P4211" i="14"/>
  <c r="P4212" i="14"/>
  <c r="P4213" i="14"/>
  <c r="P4214" i="14"/>
  <c r="P4215" i="14"/>
  <c r="P4216" i="14"/>
  <c r="P4217" i="14"/>
  <c r="P4218" i="14"/>
  <c r="P4219" i="14"/>
  <c r="P4220" i="14"/>
  <c r="P4221" i="14"/>
  <c r="P4222" i="14"/>
  <c r="P4223" i="14"/>
  <c r="P4224" i="14"/>
  <c r="P4225" i="14"/>
  <c r="P4226" i="14"/>
  <c r="P4227" i="14"/>
  <c r="P4228" i="14"/>
  <c r="P4229" i="14"/>
  <c r="P4230" i="14"/>
  <c r="P4231" i="14"/>
  <c r="P4232" i="14"/>
  <c r="P4233" i="14"/>
  <c r="P4234" i="14"/>
  <c r="P4235" i="14"/>
  <c r="P4236" i="14"/>
  <c r="P4237" i="14"/>
  <c r="P4238" i="14"/>
  <c r="P4239" i="14"/>
  <c r="P4240" i="14"/>
  <c r="P4241" i="14"/>
  <c r="P4242" i="14"/>
  <c r="P4243" i="14"/>
  <c r="P4244" i="14"/>
  <c r="P4245" i="14"/>
  <c r="P4246" i="14"/>
  <c r="P4247" i="14"/>
  <c r="P4248" i="14"/>
  <c r="P4249" i="14"/>
  <c r="P4250" i="14"/>
  <c r="P4251" i="14"/>
  <c r="P4252" i="14"/>
  <c r="P4253" i="14"/>
  <c r="P4254" i="14"/>
  <c r="P4255" i="14"/>
  <c r="P4256" i="14"/>
  <c r="P4257" i="14"/>
  <c r="P4258" i="14"/>
  <c r="P4259" i="14"/>
  <c r="P4260" i="14"/>
  <c r="P4261" i="14"/>
  <c r="P4262" i="14"/>
  <c r="P4263" i="14"/>
  <c r="P4264" i="14"/>
  <c r="P4265" i="14"/>
  <c r="P4266" i="14"/>
  <c r="P4267" i="14"/>
  <c r="P4268" i="14"/>
  <c r="P4269" i="14"/>
  <c r="P4270" i="14"/>
  <c r="P4271" i="14"/>
  <c r="P4272" i="14"/>
  <c r="P4273" i="14"/>
  <c r="P4274" i="14"/>
  <c r="P4275" i="14"/>
  <c r="P4276" i="14"/>
  <c r="P4277" i="14"/>
  <c r="P4278" i="14"/>
  <c r="P4279" i="14"/>
  <c r="P4280" i="14"/>
  <c r="P4281" i="14"/>
  <c r="P4282" i="14"/>
  <c r="P4283" i="14"/>
  <c r="P4284" i="14"/>
  <c r="P4285" i="14"/>
  <c r="P4286" i="14"/>
  <c r="P4287" i="14"/>
  <c r="P4288" i="14"/>
  <c r="P4289" i="14"/>
  <c r="P4290" i="14"/>
  <c r="P4291" i="14"/>
  <c r="P4292" i="14"/>
  <c r="P4293" i="14"/>
  <c r="P4294" i="14"/>
  <c r="P4295" i="14"/>
  <c r="P4296" i="14"/>
  <c r="P4297" i="14"/>
  <c r="P4298" i="14"/>
  <c r="P4299" i="14"/>
  <c r="P4300" i="14"/>
  <c r="P4301" i="14"/>
  <c r="P4302" i="14"/>
  <c r="P4303" i="14"/>
  <c r="P4304" i="14"/>
  <c r="P4305" i="14"/>
  <c r="P4306" i="14"/>
  <c r="P4307" i="14"/>
  <c r="P4308" i="14"/>
  <c r="P4309" i="14"/>
  <c r="P4310" i="14"/>
  <c r="P4311" i="14"/>
  <c r="P4312" i="14"/>
  <c r="P4313" i="14"/>
  <c r="P4314" i="14"/>
  <c r="P4315" i="14"/>
  <c r="P4316" i="14"/>
  <c r="P4317" i="14"/>
  <c r="P4318" i="14"/>
  <c r="P4319" i="14"/>
  <c r="P4320" i="14"/>
  <c r="P4321" i="14"/>
  <c r="P4322" i="14"/>
  <c r="P4323" i="14"/>
  <c r="P4324" i="14"/>
  <c r="P4325" i="14"/>
  <c r="P4326" i="14"/>
  <c r="P4327" i="14"/>
  <c r="P4328" i="14"/>
  <c r="P4329" i="14"/>
  <c r="P4330" i="14"/>
  <c r="P4331" i="14"/>
  <c r="P4332" i="14"/>
  <c r="P4333" i="14"/>
  <c r="P4334" i="14"/>
  <c r="P4335" i="14"/>
  <c r="P4336" i="14"/>
  <c r="P4337" i="14"/>
  <c r="P4338" i="14"/>
  <c r="P4339" i="14"/>
  <c r="P4340" i="14"/>
  <c r="P4341" i="14"/>
  <c r="P4342" i="14"/>
  <c r="P4343" i="14"/>
  <c r="P4344" i="14"/>
  <c r="P4345" i="14"/>
  <c r="P4346" i="14"/>
  <c r="P4347" i="14"/>
  <c r="P4348" i="14"/>
  <c r="P4349" i="14"/>
  <c r="P4350" i="14"/>
  <c r="P4351" i="14"/>
  <c r="P4352" i="14"/>
  <c r="P4353" i="14"/>
  <c r="P4354" i="14"/>
  <c r="P4355" i="14"/>
  <c r="P4356" i="14"/>
  <c r="P4357" i="14"/>
  <c r="P4358" i="14"/>
  <c r="P4359" i="14"/>
  <c r="P4360" i="14"/>
  <c r="P4361" i="14"/>
  <c r="P4362" i="14"/>
  <c r="P4363" i="14"/>
  <c r="P4364" i="14"/>
  <c r="P4365" i="14"/>
  <c r="P4366" i="14"/>
  <c r="P4367" i="14"/>
  <c r="P4368" i="14"/>
  <c r="P4369" i="14"/>
  <c r="P4370" i="14"/>
  <c r="P4371" i="14"/>
  <c r="P4372" i="14"/>
  <c r="P4373" i="14"/>
  <c r="P4374" i="14"/>
  <c r="P4375" i="14"/>
  <c r="P4376" i="14"/>
  <c r="P4377" i="14"/>
  <c r="P4378" i="14"/>
  <c r="P4379" i="14"/>
  <c r="P4380" i="14"/>
  <c r="P4381" i="14"/>
  <c r="P4382" i="14"/>
  <c r="P4383" i="14"/>
  <c r="P4384" i="14"/>
  <c r="P4385" i="14"/>
  <c r="P4386" i="14"/>
  <c r="P4387" i="14"/>
  <c r="P4388" i="14"/>
  <c r="P4389" i="14"/>
  <c r="P4390" i="14"/>
  <c r="P4391" i="14"/>
  <c r="P4392" i="14"/>
  <c r="P4393" i="14"/>
  <c r="P4394" i="14"/>
  <c r="P4395" i="14"/>
  <c r="P4396" i="14"/>
  <c r="P4397" i="14"/>
  <c r="P4398" i="14"/>
  <c r="P4399" i="14"/>
  <c r="P4400" i="14"/>
  <c r="P4401" i="14"/>
  <c r="P4402" i="14"/>
  <c r="P4403" i="14"/>
  <c r="P4404" i="14"/>
  <c r="P4405" i="14"/>
  <c r="P4406" i="14"/>
  <c r="P4407" i="14"/>
  <c r="P4408" i="14"/>
  <c r="P4409" i="14"/>
  <c r="P4410" i="14"/>
  <c r="P4411" i="14"/>
  <c r="P4412" i="14"/>
  <c r="P4413" i="14"/>
  <c r="P4414" i="14"/>
  <c r="P4415" i="14"/>
  <c r="P4416" i="14"/>
  <c r="P4417" i="14"/>
  <c r="P4418" i="14"/>
  <c r="O7" i="14"/>
  <c r="O8" i="14"/>
  <c r="O9" i="14"/>
  <c r="O10" i="14"/>
  <c r="O11" i="14"/>
  <c r="O12" i="14"/>
  <c r="O13" i="14"/>
  <c r="O14" i="14"/>
  <c r="O15" i="14"/>
  <c r="O16" i="14"/>
  <c r="O17" i="14"/>
  <c r="O18" i="14"/>
  <c r="O19" i="14"/>
  <c r="O20" i="14"/>
  <c r="O21" i="14"/>
  <c r="O22" i="14"/>
  <c r="O23" i="14"/>
  <c r="O24" i="14"/>
  <c r="O25" i="14"/>
  <c r="O26" i="14"/>
  <c r="O27" i="14"/>
  <c r="O28" i="14"/>
  <c r="O29" i="14"/>
  <c r="O30" i="14"/>
  <c r="O31" i="14"/>
  <c r="O32" i="14"/>
  <c r="O33" i="14"/>
  <c r="O34" i="14"/>
  <c r="O35" i="14"/>
  <c r="O36" i="14"/>
  <c r="O37" i="14"/>
  <c r="O38" i="14"/>
  <c r="O39" i="14"/>
  <c r="O40" i="14"/>
  <c r="O41" i="14"/>
  <c r="O42" i="14"/>
  <c r="O43" i="14"/>
  <c r="O44" i="14"/>
  <c r="O45" i="14"/>
  <c r="O46" i="14"/>
  <c r="O47" i="14"/>
  <c r="O48" i="14"/>
  <c r="O49" i="14"/>
  <c r="O50" i="14"/>
  <c r="O51" i="14"/>
  <c r="O52" i="14"/>
  <c r="O53" i="14"/>
  <c r="O54" i="14"/>
  <c r="O55" i="14"/>
  <c r="O56" i="14"/>
  <c r="O57" i="14"/>
  <c r="O58" i="14"/>
  <c r="O59" i="14"/>
  <c r="O60" i="14"/>
  <c r="O61" i="14"/>
  <c r="O62" i="14"/>
  <c r="O63" i="14"/>
  <c r="O64" i="14"/>
  <c r="O65" i="14"/>
  <c r="O66" i="14"/>
  <c r="O67" i="14"/>
  <c r="O68" i="14"/>
  <c r="O69" i="14"/>
  <c r="O70" i="14"/>
  <c r="O71" i="14"/>
  <c r="O72" i="14"/>
  <c r="O73" i="14"/>
  <c r="O74" i="14"/>
  <c r="O75" i="14"/>
  <c r="O76" i="14"/>
  <c r="O77" i="14"/>
  <c r="O78" i="14"/>
  <c r="O79" i="14"/>
  <c r="O80" i="14"/>
  <c r="O81" i="14"/>
  <c r="O82" i="14"/>
  <c r="O83" i="14"/>
  <c r="O84" i="14"/>
  <c r="O85" i="14"/>
  <c r="O86" i="14"/>
  <c r="O87" i="14"/>
  <c r="O88" i="14"/>
  <c r="O89" i="14"/>
  <c r="O90" i="14"/>
  <c r="O91" i="14"/>
  <c r="O92" i="14"/>
  <c r="O93" i="14"/>
  <c r="O94" i="14"/>
  <c r="O95" i="14"/>
  <c r="O96" i="14"/>
  <c r="O97" i="14"/>
  <c r="O98" i="14"/>
  <c r="O99" i="14"/>
  <c r="O100" i="14"/>
  <c r="O101" i="14"/>
  <c r="O102" i="14"/>
  <c r="O103" i="14"/>
  <c r="O104" i="14"/>
  <c r="O105" i="14"/>
  <c r="O106" i="14"/>
  <c r="O107" i="14"/>
  <c r="O108" i="14"/>
  <c r="O109" i="14"/>
  <c r="O110" i="14"/>
  <c r="O111" i="14"/>
  <c r="O112" i="14"/>
  <c r="O113" i="14"/>
  <c r="O114" i="14"/>
  <c r="O115" i="14"/>
  <c r="O116" i="14"/>
  <c r="O117" i="14"/>
  <c r="O118" i="14"/>
  <c r="O119" i="14"/>
  <c r="O120" i="14"/>
  <c r="O121" i="14"/>
  <c r="O122" i="14"/>
  <c r="O123" i="14"/>
  <c r="O124" i="14"/>
  <c r="O125" i="14"/>
  <c r="O126" i="14"/>
  <c r="O127" i="14"/>
  <c r="O128" i="14"/>
  <c r="O129" i="14"/>
  <c r="O130" i="14"/>
  <c r="O131" i="14"/>
  <c r="O132" i="14"/>
  <c r="O133" i="14"/>
  <c r="O134" i="14"/>
  <c r="O135" i="14"/>
  <c r="O136" i="14"/>
  <c r="O137" i="14"/>
  <c r="O138" i="14"/>
  <c r="O139" i="14"/>
  <c r="O140" i="14"/>
  <c r="O141" i="14"/>
  <c r="O142" i="14"/>
  <c r="O143" i="14"/>
  <c r="O144" i="14"/>
  <c r="O145" i="14"/>
  <c r="O146" i="14"/>
  <c r="O147" i="14"/>
  <c r="O148" i="14"/>
  <c r="O149" i="14"/>
  <c r="O150" i="14"/>
  <c r="O151" i="14"/>
  <c r="O152" i="14"/>
  <c r="O153" i="14"/>
  <c r="O154" i="14"/>
  <c r="O155" i="14"/>
  <c r="O156" i="14"/>
  <c r="O157" i="14"/>
  <c r="O158" i="14"/>
  <c r="O159" i="14"/>
  <c r="O160" i="14"/>
  <c r="O161" i="14"/>
  <c r="O162" i="14"/>
  <c r="O163" i="14"/>
  <c r="O164" i="14"/>
  <c r="O165" i="14"/>
  <c r="O166" i="14"/>
  <c r="O167" i="14"/>
  <c r="O168" i="14"/>
  <c r="O169" i="14"/>
  <c r="O170" i="14"/>
  <c r="O171" i="14"/>
  <c r="O172" i="14"/>
  <c r="O173" i="14"/>
  <c r="O174" i="14"/>
  <c r="O175" i="14"/>
  <c r="O176" i="14"/>
  <c r="O177" i="14"/>
  <c r="O178" i="14"/>
  <c r="O179" i="14"/>
  <c r="O180" i="14"/>
  <c r="O181" i="14"/>
  <c r="O182" i="14"/>
  <c r="O183" i="14"/>
  <c r="O184" i="14"/>
  <c r="O185" i="14"/>
  <c r="O186" i="14"/>
  <c r="O187" i="14"/>
  <c r="O188" i="14"/>
  <c r="O189" i="14"/>
  <c r="O190" i="14"/>
  <c r="O191" i="14"/>
  <c r="O192" i="14"/>
  <c r="O193" i="14"/>
  <c r="O194" i="14"/>
  <c r="O195" i="14"/>
  <c r="O196" i="14"/>
  <c r="O197" i="14"/>
  <c r="O198" i="14"/>
  <c r="O199" i="14"/>
  <c r="O200" i="14"/>
  <c r="O201" i="14"/>
  <c r="O202" i="14"/>
  <c r="O203" i="14"/>
  <c r="O204" i="14"/>
  <c r="O205" i="14"/>
  <c r="O206" i="14"/>
  <c r="O207" i="14"/>
  <c r="O208" i="14"/>
  <c r="O209" i="14"/>
  <c r="O210" i="14"/>
  <c r="O211" i="14"/>
  <c r="O212" i="14"/>
  <c r="O213" i="14"/>
  <c r="O214" i="14"/>
  <c r="O215" i="14"/>
  <c r="O216" i="14"/>
  <c r="O217" i="14"/>
  <c r="O218" i="14"/>
  <c r="O219" i="14"/>
  <c r="O220" i="14"/>
  <c r="O221" i="14"/>
  <c r="O222" i="14"/>
  <c r="O223" i="14"/>
  <c r="O224" i="14"/>
  <c r="O225" i="14"/>
  <c r="O226" i="14"/>
  <c r="O227" i="14"/>
  <c r="O228" i="14"/>
  <c r="O229" i="14"/>
  <c r="O230" i="14"/>
  <c r="O231" i="14"/>
  <c r="O232" i="14"/>
  <c r="O233" i="14"/>
  <c r="O234" i="14"/>
  <c r="O235" i="14"/>
  <c r="O236" i="14"/>
  <c r="O237" i="14"/>
  <c r="O238" i="14"/>
  <c r="O239" i="14"/>
  <c r="O240" i="14"/>
  <c r="O241" i="14"/>
  <c r="O242" i="14"/>
  <c r="O243" i="14"/>
  <c r="O244" i="14"/>
  <c r="O245" i="14"/>
  <c r="O246" i="14"/>
  <c r="O247" i="14"/>
  <c r="O248" i="14"/>
  <c r="O249" i="14"/>
  <c r="O250" i="14"/>
  <c r="O251" i="14"/>
  <c r="O252" i="14"/>
  <c r="O253" i="14"/>
  <c r="O254" i="14"/>
  <c r="O255" i="14"/>
  <c r="O256" i="14"/>
  <c r="O257" i="14"/>
  <c r="O258" i="14"/>
  <c r="O259" i="14"/>
  <c r="O260" i="14"/>
  <c r="O261" i="14"/>
  <c r="O262" i="14"/>
  <c r="O263" i="14"/>
  <c r="O264" i="14"/>
  <c r="O265" i="14"/>
  <c r="O266" i="14"/>
  <c r="O267" i="14"/>
  <c r="O268" i="14"/>
  <c r="O269" i="14"/>
  <c r="O270" i="14"/>
  <c r="O271" i="14"/>
  <c r="O272" i="14"/>
  <c r="O273" i="14"/>
  <c r="O274" i="14"/>
  <c r="O275" i="14"/>
  <c r="O276" i="14"/>
  <c r="O277" i="14"/>
  <c r="O278" i="14"/>
  <c r="O279" i="14"/>
  <c r="O280" i="14"/>
  <c r="O281" i="14"/>
  <c r="O282" i="14"/>
  <c r="O283" i="14"/>
  <c r="O284" i="14"/>
  <c r="O285" i="14"/>
  <c r="O286" i="14"/>
  <c r="O287" i="14"/>
  <c r="O288" i="14"/>
  <c r="O289" i="14"/>
  <c r="O290" i="14"/>
  <c r="O291" i="14"/>
  <c r="O292" i="14"/>
  <c r="O293" i="14"/>
  <c r="O294" i="14"/>
  <c r="O295" i="14"/>
  <c r="O296" i="14"/>
  <c r="O297" i="14"/>
  <c r="O298" i="14"/>
  <c r="O299" i="14"/>
  <c r="O300" i="14"/>
  <c r="O301" i="14"/>
  <c r="O302" i="14"/>
  <c r="O303" i="14"/>
  <c r="O304" i="14"/>
  <c r="O305" i="14"/>
  <c r="O306" i="14"/>
  <c r="O307" i="14"/>
  <c r="O308" i="14"/>
  <c r="O309" i="14"/>
  <c r="O310" i="14"/>
  <c r="O311" i="14"/>
  <c r="O312" i="14"/>
  <c r="O313" i="14"/>
  <c r="O314" i="14"/>
  <c r="O315" i="14"/>
  <c r="O316" i="14"/>
  <c r="O317" i="14"/>
  <c r="O318" i="14"/>
  <c r="O319" i="14"/>
  <c r="O320" i="14"/>
  <c r="O321" i="14"/>
  <c r="O322" i="14"/>
  <c r="O323" i="14"/>
  <c r="O324" i="14"/>
  <c r="O325" i="14"/>
  <c r="O326" i="14"/>
  <c r="O327" i="14"/>
  <c r="O328" i="14"/>
  <c r="O329" i="14"/>
  <c r="O330" i="14"/>
  <c r="O331" i="14"/>
  <c r="O332" i="14"/>
  <c r="O333" i="14"/>
  <c r="O334" i="14"/>
  <c r="O335" i="14"/>
  <c r="O336" i="14"/>
  <c r="O337" i="14"/>
  <c r="O338" i="14"/>
  <c r="O339" i="14"/>
  <c r="O340" i="14"/>
  <c r="O341" i="14"/>
  <c r="O342" i="14"/>
  <c r="O343" i="14"/>
  <c r="O344" i="14"/>
  <c r="O345" i="14"/>
  <c r="O346" i="14"/>
  <c r="O347" i="14"/>
  <c r="O348" i="14"/>
  <c r="O349" i="14"/>
  <c r="O350" i="14"/>
  <c r="O351" i="14"/>
  <c r="O352" i="14"/>
  <c r="O353" i="14"/>
  <c r="O354" i="14"/>
  <c r="O355" i="14"/>
  <c r="O356" i="14"/>
  <c r="O357" i="14"/>
  <c r="O358" i="14"/>
  <c r="O359" i="14"/>
  <c r="O360" i="14"/>
  <c r="O361" i="14"/>
  <c r="O362" i="14"/>
  <c r="O363" i="14"/>
  <c r="O364" i="14"/>
  <c r="O365" i="14"/>
  <c r="O366" i="14"/>
  <c r="O367" i="14"/>
  <c r="O368" i="14"/>
  <c r="O369" i="14"/>
  <c r="O370" i="14"/>
  <c r="O371" i="14"/>
  <c r="O372" i="14"/>
  <c r="O373" i="14"/>
  <c r="O374" i="14"/>
  <c r="O375" i="14"/>
  <c r="O376" i="14"/>
  <c r="O377" i="14"/>
  <c r="O378" i="14"/>
  <c r="O379" i="14"/>
  <c r="O380" i="14"/>
  <c r="O381" i="14"/>
  <c r="O382" i="14"/>
  <c r="O383" i="14"/>
  <c r="O384" i="14"/>
  <c r="O385" i="14"/>
  <c r="O386" i="14"/>
  <c r="O387" i="14"/>
  <c r="O388" i="14"/>
  <c r="O389" i="14"/>
  <c r="O390" i="14"/>
  <c r="O391" i="14"/>
  <c r="O392" i="14"/>
  <c r="O393" i="14"/>
  <c r="O394" i="14"/>
  <c r="O395" i="14"/>
  <c r="O396" i="14"/>
  <c r="O397" i="14"/>
  <c r="O398" i="14"/>
  <c r="O399" i="14"/>
  <c r="O400" i="14"/>
  <c r="O401" i="14"/>
  <c r="O402" i="14"/>
  <c r="O403" i="14"/>
  <c r="O404" i="14"/>
  <c r="O405" i="14"/>
  <c r="O406" i="14"/>
  <c r="O407" i="14"/>
  <c r="O408" i="14"/>
  <c r="O409" i="14"/>
  <c r="O410" i="14"/>
  <c r="O411" i="14"/>
  <c r="O412" i="14"/>
  <c r="O413" i="14"/>
  <c r="O414" i="14"/>
  <c r="O415" i="14"/>
  <c r="O416" i="14"/>
  <c r="O417" i="14"/>
  <c r="O418" i="14"/>
  <c r="O419" i="14"/>
  <c r="O420" i="14"/>
  <c r="O421" i="14"/>
  <c r="O422" i="14"/>
  <c r="O423" i="14"/>
  <c r="O424" i="14"/>
  <c r="O425" i="14"/>
  <c r="O426" i="14"/>
  <c r="O427" i="14"/>
  <c r="O428" i="14"/>
  <c r="O429" i="14"/>
  <c r="O430" i="14"/>
  <c r="O431" i="14"/>
  <c r="O432" i="14"/>
  <c r="O433" i="14"/>
  <c r="O434" i="14"/>
  <c r="O435" i="14"/>
  <c r="O436" i="14"/>
  <c r="O437" i="14"/>
  <c r="O438" i="14"/>
  <c r="O439" i="14"/>
  <c r="O440" i="14"/>
  <c r="O441" i="14"/>
  <c r="O442" i="14"/>
  <c r="O443" i="14"/>
  <c r="O444" i="14"/>
  <c r="O445" i="14"/>
  <c r="O446" i="14"/>
  <c r="O447" i="14"/>
  <c r="O448" i="14"/>
  <c r="O449" i="14"/>
  <c r="O450" i="14"/>
  <c r="O451" i="14"/>
  <c r="O452" i="14"/>
  <c r="O453" i="14"/>
  <c r="O454" i="14"/>
  <c r="O455" i="14"/>
  <c r="O456" i="14"/>
  <c r="O457" i="14"/>
  <c r="O458" i="14"/>
  <c r="O459" i="14"/>
  <c r="O460" i="14"/>
  <c r="O461" i="14"/>
  <c r="O462" i="14"/>
  <c r="O463" i="14"/>
  <c r="O464" i="14"/>
  <c r="O465" i="14"/>
  <c r="O466" i="14"/>
  <c r="O467" i="14"/>
  <c r="O468" i="14"/>
  <c r="O469" i="14"/>
  <c r="O470" i="14"/>
  <c r="O471" i="14"/>
  <c r="O472" i="14"/>
  <c r="O473" i="14"/>
  <c r="O474" i="14"/>
  <c r="O475" i="14"/>
  <c r="O476" i="14"/>
  <c r="O477" i="14"/>
  <c r="O478" i="14"/>
  <c r="O479" i="14"/>
  <c r="O480" i="14"/>
  <c r="O481" i="14"/>
  <c r="O482" i="14"/>
  <c r="O483" i="14"/>
  <c r="O484" i="14"/>
  <c r="O485" i="14"/>
  <c r="O486" i="14"/>
  <c r="O487" i="14"/>
  <c r="O488" i="14"/>
  <c r="O489" i="14"/>
  <c r="O490" i="14"/>
  <c r="O491" i="14"/>
  <c r="O492" i="14"/>
  <c r="O493" i="14"/>
  <c r="O494" i="14"/>
  <c r="O495" i="14"/>
  <c r="O496" i="14"/>
  <c r="O497" i="14"/>
  <c r="O498" i="14"/>
  <c r="O499" i="14"/>
  <c r="O500" i="14"/>
  <c r="O501" i="14"/>
  <c r="O502" i="14"/>
  <c r="O503" i="14"/>
  <c r="O504" i="14"/>
  <c r="O505" i="14"/>
  <c r="O506" i="14"/>
  <c r="O507" i="14"/>
  <c r="O508" i="14"/>
  <c r="O509" i="14"/>
  <c r="O510" i="14"/>
  <c r="O511" i="14"/>
  <c r="O512" i="14"/>
  <c r="O513" i="14"/>
  <c r="O514" i="14"/>
  <c r="O515" i="14"/>
  <c r="O516" i="14"/>
  <c r="O517" i="14"/>
  <c r="O518" i="14"/>
  <c r="O519" i="14"/>
  <c r="O520" i="14"/>
  <c r="O521" i="14"/>
  <c r="O522" i="14"/>
  <c r="O523" i="14"/>
  <c r="O524" i="14"/>
  <c r="O525" i="14"/>
  <c r="O526" i="14"/>
  <c r="O527" i="14"/>
  <c r="O528" i="14"/>
  <c r="O529" i="14"/>
  <c r="O530" i="14"/>
  <c r="O531" i="14"/>
  <c r="O532" i="14"/>
  <c r="O533" i="14"/>
  <c r="O534" i="14"/>
  <c r="O535" i="14"/>
  <c r="O536" i="14"/>
  <c r="O537" i="14"/>
  <c r="O538" i="14"/>
  <c r="O539" i="14"/>
  <c r="O540" i="14"/>
  <c r="O541" i="14"/>
  <c r="O542" i="14"/>
  <c r="O543" i="14"/>
  <c r="O544" i="14"/>
  <c r="O545" i="14"/>
  <c r="O546" i="14"/>
  <c r="O547" i="14"/>
  <c r="O548" i="14"/>
  <c r="O549" i="14"/>
  <c r="O550" i="14"/>
  <c r="O551" i="14"/>
  <c r="O552" i="14"/>
  <c r="O553" i="14"/>
  <c r="O554" i="14"/>
  <c r="O555" i="14"/>
  <c r="O556" i="14"/>
  <c r="O557" i="14"/>
  <c r="O558" i="14"/>
  <c r="O559" i="14"/>
  <c r="O560" i="14"/>
  <c r="O561" i="14"/>
  <c r="O562" i="14"/>
  <c r="O563" i="14"/>
  <c r="O564" i="14"/>
  <c r="O565" i="14"/>
  <c r="O566" i="14"/>
  <c r="O567" i="14"/>
  <c r="O568" i="14"/>
  <c r="O569" i="14"/>
  <c r="O570" i="14"/>
  <c r="O571" i="14"/>
  <c r="O572" i="14"/>
  <c r="O573" i="14"/>
  <c r="O574" i="14"/>
  <c r="O575" i="14"/>
  <c r="O576" i="14"/>
  <c r="O577" i="14"/>
  <c r="O578" i="14"/>
  <c r="O579" i="14"/>
  <c r="O580" i="14"/>
  <c r="O581" i="14"/>
  <c r="O582" i="14"/>
  <c r="O583" i="14"/>
  <c r="O584" i="14"/>
  <c r="O585" i="14"/>
  <c r="O586" i="14"/>
  <c r="O587" i="14"/>
  <c r="O588" i="14"/>
  <c r="O589" i="14"/>
  <c r="O590" i="14"/>
  <c r="O591" i="14"/>
  <c r="O592" i="14"/>
  <c r="O593" i="14"/>
  <c r="O594" i="14"/>
  <c r="O595" i="14"/>
  <c r="O596" i="14"/>
  <c r="O597" i="14"/>
  <c r="O598" i="14"/>
  <c r="O599" i="14"/>
  <c r="O600" i="14"/>
  <c r="O601" i="14"/>
  <c r="O602" i="14"/>
  <c r="O603" i="14"/>
  <c r="O604" i="14"/>
  <c r="O605" i="14"/>
  <c r="O606" i="14"/>
  <c r="O607" i="14"/>
  <c r="O608" i="14"/>
  <c r="O609" i="14"/>
  <c r="O610" i="14"/>
  <c r="O611" i="14"/>
  <c r="O612" i="14"/>
  <c r="O613" i="14"/>
  <c r="O614" i="14"/>
  <c r="O615" i="14"/>
  <c r="O616" i="14"/>
  <c r="O617" i="14"/>
  <c r="O618" i="14"/>
  <c r="O619" i="14"/>
  <c r="O620" i="14"/>
  <c r="O621" i="14"/>
  <c r="O622" i="14"/>
  <c r="O623" i="14"/>
  <c r="O624" i="14"/>
  <c r="O625" i="14"/>
  <c r="O626" i="14"/>
  <c r="O627" i="14"/>
  <c r="O628" i="14"/>
  <c r="O629" i="14"/>
  <c r="O630" i="14"/>
  <c r="O631" i="14"/>
  <c r="O632" i="14"/>
  <c r="O633" i="14"/>
  <c r="O634" i="14"/>
  <c r="O635" i="14"/>
  <c r="O636" i="14"/>
  <c r="O637" i="14"/>
  <c r="O638" i="14"/>
  <c r="O639" i="14"/>
  <c r="O640" i="14"/>
  <c r="O641" i="14"/>
  <c r="O642" i="14"/>
  <c r="O643" i="14"/>
  <c r="O644" i="14"/>
  <c r="O645" i="14"/>
  <c r="O646" i="14"/>
  <c r="O647" i="14"/>
  <c r="O648" i="14"/>
  <c r="O649" i="14"/>
  <c r="O650" i="14"/>
  <c r="O651" i="14"/>
  <c r="O652" i="14"/>
  <c r="O653" i="14"/>
  <c r="O654" i="14"/>
  <c r="O655" i="14"/>
  <c r="O656" i="14"/>
  <c r="O657" i="14"/>
  <c r="O658" i="14"/>
  <c r="O659" i="14"/>
  <c r="O660" i="14"/>
  <c r="O661" i="14"/>
  <c r="O662" i="14"/>
  <c r="O663" i="14"/>
  <c r="O664" i="14"/>
  <c r="O665" i="14"/>
  <c r="O666" i="14"/>
  <c r="O667" i="14"/>
  <c r="O668" i="14"/>
  <c r="O669" i="14"/>
  <c r="O670" i="14"/>
  <c r="O671" i="14"/>
  <c r="O672" i="14"/>
  <c r="O673" i="14"/>
  <c r="O674" i="14"/>
  <c r="O675" i="14"/>
  <c r="O676" i="14"/>
  <c r="O677" i="14"/>
  <c r="O678" i="14"/>
  <c r="O679" i="14"/>
  <c r="O680" i="14"/>
  <c r="O681" i="14"/>
  <c r="O682" i="14"/>
  <c r="O683" i="14"/>
  <c r="O684" i="14"/>
  <c r="O685" i="14"/>
  <c r="O686" i="14"/>
  <c r="O687" i="14"/>
  <c r="O688" i="14"/>
  <c r="O689" i="14"/>
  <c r="O690" i="14"/>
  <c r="O691" i="14"/>
  <c r="O692" i="14"/>
  <c r="O693" i="14"/>
  <c r="O694" i="14"/>
  <c r="O695" i="14"/>
  <c r="O696" i="14"/>
  <c r="O697" i="14"/>
  <c r="O698" i="14"/>
  <c r="O699" i="14"/>
  <c r="O700" i="14"/>
  <c r="O701" i="14"/>
  <c r="O702" i="14"/>
  <c r="O703" i="14"/>
  <c r="O704" i="14"/>
  <c r="O705" i="14"/>
  <c r="O706" i="14"/>
  <c r="O707" i="14"/>
  <c r="O708" i="14"/>
  <c r="O709" i="14"/>
  <c r="O710" i="14"/>
  <c r="O711" i="14"/>
  <c r="O712" i="14"/>
  <c r="O713" i="14"/>
  <c r="O714" i="14"/>
  <c r="O715" i="14"/>
  <c r="O716" i="14"/>
  <c r="O717" i="14"/>
  <c r="O718" i="14"/>
  <c r="O719" i="14"/>
  <c r="O720" i="14"/>
  <c r="O721" i="14"/>
  <c r="O722" i="14"/>
  <c r="O723" i="14"/>
  <c r="O724" i="14"/>
  <c r="O725" i="14"/>
  <c r="O726" i="14"/>
  <c r="O727" i="14"/>
  <c r="O728" i="14"/>
  <c r="O729" i="14"/>
  <c r="O730" i="14"/>
  <c r="O731" i="14"/>
  <c r="O732" i="14"/>
  <c r="O733" i="14"/>
  <c r="O734" i="14"/>
  <c r="O735" i="14"/>
  <c r="O736" i="14"/>
  <c r="O737" i="14"/>
  <c r="O738" i="14"/>
  <c r="O739" i="14"/>
  <c r="O740" i="14"/>
  <c r="O741" i="14"/>
  <c r="O742" i="14"/>
  <c r="O743" i="14"/>
  <c r="O744" i="14"/>
  <c r="O745" i="14"/>
  <c r="O746" i="14"/>
  <c r="O747" i="14"/>
  <c r="O748" i="14"/>
  <c r="O749" i="14"/>
  <c r="O750" i="14"/>
  <c r="O751" i="14"/>
  <c r="O752" i="14"/>
  <c r="O753" i="14"/>
  <c r="O754" i="14"/>
  <c r="O755" i="14"/>
  <c r="O756" i="14"/>
  <c r="O757" i="14"/>
  <c r="O758" i="14"/>
  <c r="O759" i="14"/>
  <c r="O760" i="14"/>
  <c r="O761" i="14"/>
  <c r="O762" i="14"/>
  <c r="O763" i="14"/>
  <c r="O764" i="14"/>
  <c r="O765" i="14"/>
  <c r="O766" i="14"/>
  <c r="O767" i="14"/>
  <c r="O768" i="14"/>
  <c r="O769" i="14"/>
  <c r="O770" i="14"/>
  <c r="O771" i="14"/>
  <c r="O772" i="14"/>
  <c r="O773" i="14"/>
  <c r="O774" i="14"/>
  <c r="O775" i="14"/>
  <c r="O776" i="14"/>
  <c r="O777" i="14"/>
  <c r="O778" i="14"/>
  <c r="O779" i="14"/>
  <c r="O780" i="14"/>
  <c r="O781" i="14"/>
  <c r="O782" i="14"/>
  <c r="O783" i="14"/>
  <c r="O784" i="14"/>
  <c r="O785" i="14"/>
  <c r="O786" i="14"/>
  <c r="O787" i="14"/>
  <c r="O788" i="14"/>
  <c r="O789" i="14"/>
  <c r="O790" i="14"/>
  <c r="O791" i="14"/>
  <c r="O792" i="14"/>
  <c r="O793" i="14"/>
  <c r="O794" i="14"/>
  <c r="O795" i="14"/>
  <c r="O796" i="14"/>
  <c r="O797" i="14"/>
  <c r="O798" i="14"/>
  <c r="O799" i="14"/>
  <c r="O800" i="14"/>
  <c r="O801" i="14"/>
  <c r="O802" i="14"/>
  <c r="O803" i="14"/>
  <c r="O804" i="14"/>
  <c r="O805" i="14"/>
  <c r="O806" i="14"/>
  <c r="O807" i="14"/>
  <c r="O808" i="14"/>
  <c r="O809" i="14"/>
  <c r="O810" i="14"/>
  <c r="O811" i="14"/>
  <c r="O812" i="14"/>
  <c r="O813" i="14"/>
  <c r="O814" i="14"/>
  <c r="O815" i="14"/>
  <c r="O816" i="14"/>
  <c r="O817" i="14"/>
  <c r="O818" i="14"/>
  <c r="O819" i="14"/>
  <c r="O820" i="14"/>
  <c r="O821" i="14"/>
  <c r="O822" i="14"/>
  <c r="O823" i="14"/>
  <c r="O824" i="14"/>
  <c r="O825" i="14"/>
  <c r="O826" i="14"/>
  <c r="O827" i="14"/>
  <c r="O828" i="14"/>
  <c r="O829" i="14"/>
  <c r="O830" i="14"/>
  <c r="O831" i="14"/>
  <c r="O832" i="14"/>
  <c r="O833" i="14"/>
  <c r="O834" i="14"/>
  <c r="O835" i="14"/>
  <c r="O836" i="14"/>
  <c r="O837" i="14"/>
  <c r="O838" i="14"/>
  <c r="O839" i="14"/>
  <c r="O840" i="14"/>
  <c r="O841" i="14"/>
  <c r="O842" i="14"/>
  <c r="O843" i="14"/>
  <c r="O844" i="14"/>
  <c r="O845" i="14"/>
  <c r="O846" i="14"/>
  <c r="O847" i="14"/>
  <c r="O848" i="14"/>
  <c r="O849" i="14"/>
  <c r="O850" i="14"/>
  <c r="O851" i="14"/>
  <c r="O852" i="14"/>
  <c r="O853" i="14"/>
  <c r="O854" i="14"/>
  <c r="O855" i="14"/>
  <c r="O856" i="14"/>
  <c r="O857" i="14"/>
  <c r="O858" i="14"/>
  <c r="O859" i="14"/>
  <c r="O860" i="14"/>
  <c r="O861" i="14"/>
  <c r="O862" i="14"/>
  <c r="O863" i="14"/>
  <c r="O864" i="14"/>
  <c r="O865" i="14"/>
  <c r="O866" i="14"/>
  <c r="O867" i="14"/>
  <c r="O868" i="14"/>
  <c r="O869" i="14"/>
  <c r="O870" i="14"/>
  <c r="O871" i="14"/>
  <c r="O872" i="14"/>
  <c r="O873" i="14"/>
  <c r="O874" i="14"/>
  <c r="O875" i="14"/>
  <c r="O876" i="14"/>
  <c r="O877" i="14"/>
  <c r="O878" i="14"/>
  <c r="O879" i="14"/>
  <c r="O880" i="14"/>
  <c r="O881" i="14"/>
  <c r="O882" i="14"/>
  <c r="O883" i="14"/>
  <c r="O884" i="14"/>
  <c r="O885" i="14"/>
  <c r="O886" i="14"/>
  <c r="O887" i="14"/>
  <c r="O888" i="14"/>
  <c r="O889" i="14"/>
  <c r="O890" i="14"/>
  <c r="O891" i="14"/>
  <c r="O892" i="14"/>
  <c r="O893" i="14"/>
  <c r="O894" i="14"/>
  <c r="O895" i="14"/>
  <c r="O896" i="14"/>
  <c r="O897" i="14"/>
  <c r="O898" i="14"/>
  <c r="O899" i="14"/>
  <c r="O900" i="14"/>
  <c r="O901" i="14"/>
  <c r="O902" i="14"/>
  <c r="O903" i="14"/>
  <c r="O904" i="14"/>
  <c r="O905" i="14"/>
  <c r="O906" i="14"/>
  <c r="O907" i="14"/>
  <c r="O908" i="14"/>
  <c r="O909" i="14"/>
  <c r="O910" i="14"/>
  <c r="O911" i="14"/>
  <c r="O912" i="14"/>
  <c r="O913" i="14"/>
  <c r="O914" i="14"/>
  <c r="O915" i="14"/>
  <c r="O916" i="14"/>
  <c r="O917" i="14"/>
  <c r="O918" i="14"/>
  <c r="O919" i="14"/>
  <c r="O920" i="14"/>
  <c r="O921" i="14"/>
  <c r="O922" i="14"/>
  <c r="O923" i="14"/>
  <c r="O924" i="14"/>
  <c r="O925" i="14"/>
  <c r="O926" i="14"/>
  <c r="O927" i="14"/>
  <c r="O928" i="14"/>
  <c r="O929" i="14"/>
  <c r="O930" i="14"/>
  <c r="O931" i="14"/>
  <c r="O932" i="14"/>
  <c r="O933" i="14"/>
  <c r="O934" i="14"/>
  <c r="O935" i="14"/>
  <c r="O936" i="14"/>
  <c r="O937" i="14"/>
  <c r="O938" i="14"/>
  <c r="O939" i="14"/>
  <c r="O940" i="14"/>
  <c r="O941" i="14"/>
  <c r="O942" i="14"/>
  <c r="O943" i="14"/>
  <c r="O944" i="14"/>
  <c r="O945" i="14"/>
  <c r="O946" i="14"/>
  <c r="O947" i="14"/>
  <c r="O948" i="14"/>
  <c r="O949" i="14"/>
  <c r="O950" i="14"/>
  <c r="O951" i="14"/>
  <c r="O952" i="14"/>
  <c r="O953" i="14"/>
  <c r="O954" i="14"/>
  <c r="O955" i="14"/>
  <c r="O956" i="14"/>
  <c r="O957" i="14"/>
  <c r="O958" i="14"/>
  <c r="O959" i="14"/>
  <c r="O960" i="14"/>
  <c r="O961" i="14"/>
  <c r="O962" i="14"/>
  <c r="O963" i="14"/>
  <c r="O964" i="14"/>
  <c r="O965" i="14"/>
  <c r="O966" i="14"/>
  <c r="O967" i="14"/>
  <c r="O968" i="14"/>
  <c r="O969" i="14"/>
  <c r="O970" i="14"/>
  <c r="O971" i="14"/>
  <c r="O972" i="14"/>
  <c r="O973" i="14"/>
  <c r="O974" i="14"/>
  <c r="O975" i="14"/>
  <c r="O976" i="14"/>
  <c r="O977" i="14"/>
  <c r="O978" i="14"/>
  <c r="O979" i="14"/>
  <c r="O980" i="14"/>
  <c r="O981" i="14"/>
  <c r="O982" i="14"/>
  <c r="O983" i="14"/>
  <c r="O984" i="14"/>
  <c r="O985" i="14"/>
  <c r="O986" i="14"/>
  <c r="O987" i="14"/>
  <c r="O988" i="14"/>
  <c r="O989" i="14"/>
  <c r="O990" i="14"/>
  <c r="O991" i="14"/>
  <c r="O992" i="14"/>
  <c r="O993" i="14"/>
  <c r="O994" i="14"/>
  <c r="O995" i="14"/>
  <c r="O996" i="14"/>
  <c r="O997" i="14"/>
  <c r="O998" i="14"/>
  <c r="O999" i="14"/>
  <c r="O1000" i="14"/>
  <c r="O1001" i="14"/>
  <c r="O1002" i="14"/>
  <c r="O1003" i="14"/>
  <c r="O1004" i="14"/>
  <c r="O1005" i="14"/>
  <c r="O1006" i="14"/>
  <c r="O1007" i="14"/>
  <c r="O1008" i="14"/>
  <c r="O1009" i="14"/>
  <c r="O1010" i="14"/>
  <c r="O1011" i="14"/>
  <c r="O1012" i="14"/>
  <c r="O1013" i="14"/>
  <c r="O1014" i="14"/>
  <c r="O1015" i="14"/>
  <c r="O1016" i="14"/>
  <c r="O1017" i="14"/>
  <c r="O1018" i="14"/>
  <c r="O1019" i="14"/>
  <c r="O1020" i="14"/>
  <c r="O1021" i="14"/>
  <c r="O1022" i="14"/>
  <c r="O1023" i="14"/>
  <c r="O1024" i="14"/>
  <c r="O1025" i="14"/>
  <c r="O1026" i="14"/>
  <c r="O1027" i="14"/>
  <c r="O1028" i="14"/>
  <c r="O1029" i="14"/>
  <c r="O1030" i="14"/>
  <c r="O1031" i="14"/>
  <c r="O1032" i="14"/>
  <c r="O1033" i="14"/>
  <c r="O1034" i="14"/>
  <c r="O1035" i="14"/>
  <c r="O1036" i="14"/>
  <c r="O1037" i="14"/>
  <c r="O1038" i="14"/>
  <c r="O1039" i="14"/>
  <c r="O1040" i="14"/>
  <c r="O1041" i="14"/>
  <c r="O1042" i="14"/>
  <c r="O1043" i="14"/>
  <c r="O1044" i="14"/>
  <c r="O1045" i="14"/>
  <c r="O1046" i="14"/>
  <c r="O1047" i="14"/>
  <c r="O1048" i="14"/>
  <c r="O1049" i="14"/>
  <c r="O1050" i="14"/>
  <c r="O1051" i="14"/>
  <c r="O1052" i="14"/>
  <c r="O1053" i="14"/>
  <c r="O1054" i="14"/>
  <c r="O1055" i="14"/>
  <c r="O1056" i="14"/>
  <c r="O1057" i="14"/>
  <c r="O1058" i="14"/>
  <c r="O1059" i="14"/>
  <c r="O1060" i="14"/>
  <c r="O1061" i="14"/>
  <c r="O1062" i="14"/>
  <c r="O1063" i="14"/>
  <c r="O1064" i="14"/>
  <c r="O1065" i="14"/>
  <c r="O1066" i="14"/>
  <c r="O1067" i="14"/>
  <c r="O1068" i="14"/>
  <c r="O1069" i="14"/>
  <c r="O1070" i="14"/>
  <c r="O1071" i="14"/>
  <c r="O1072" i="14"/>
  <c r="O1073" i="14"/>
  <c r="O1074" i="14"/>
  <c r="O1075" i="14"/>
  <c r="O1076" i="14"/>
  <c r="O1077" i="14"/>
  <c r="O1078" i="14"/>
  <c r="O1079" i="14"/>
  <c r="O1080" i="14"/>
  <c r="O1081" i="14"/>
  <c r="O1082" i="14"/>
  <c r="O1083" i="14"/>
  <c r="O1084" i="14"/>
  <c r="O1085" i="14"/>
  <c r="O1086" i="14"/>
  <c r="O1087" i="14"/>
  <c r="O1088" i="14"/>
  <c r="O1089" i="14"/>
  <c r="O1090" i="14"/>
  <c r="O1091" i="14"/>
  <c r="O1092" i="14"/>
  <c r="O1093" i="14"/>
  <c r="O1094" i="14"/>
  <c r="O1095" i="14"/>
  <c r="O1096" i="14"/>
  <c r="O1097" i="14"/>
  <c r="O1098" i="14"/>
  <c r="O1099" i="14"/>
  <c r="O1100" i="14"/>
  <c r="O1101" i="14"/>
  <c r="O1102" i="14"/>
  <c r="O1103" i="14"/>
  <c r="O1104" i="14"/>
  <c r="O1105" i="14"/>
  <c r="O1106" i="14"/>
  <c r="O1107" i="14"/>
  <c r="O1108" i="14"/>
  <c r="O1109" i="14"/>
  <c r="O1110" i="14"/>
  <c r="O1111" i="14"/>
  <c r="O1112" i="14"/>
  <c r="O1113" i="14"/>
  <c r="O1114" i="14"/>
  <c r="O1115" i="14"/>
  <c r="O1116" i="14"/>
  <c r="O1117" i="14"/>
  <c r="O1118" i="14"/>
  <c r="O1119" i="14"/>
  <c r="O1120" i="14"/>
  <c r="O1121" i="14"/>
  <c r="O1122" i="14"/>
  <c r="O1123" i="14"/>
  <c r="O1124" i="14"/>
  <c r="O1125" i="14"/>
  <c r="O1126" i="14"/>
  <c r="O1127" i="14"/>
  <c r="O1128" i="14"/>
  <c r="O1129" i="14"/>
  <c r="O1130" i="14"/>
  <c r="O1131" i="14"/>
  <c r="O1132" i="14"/>
  <c r="O1133" i="14"/>
  <c r="O1134" i="14"/>
  <c r="O1135" i="14"/>
  <c r="O1136" i="14"/>
  <c r="O1137" i="14"/>
  <c r="O1138" i="14"/>
  <c r="O1139" i="14"/>
  <c r="O1140" i="14"/>
  <c r="O1141" i="14"/>
  <c r="O1142" i="14"/>
  <c r="O1143" i="14"/>
  <c r="O1144" i="14"/>
  <c r="O1145" i="14"/>
  <c r="O1146" i="14"/>
  <c r="O1147" i="14"/>
  <c r="O1148" i="14"/>
  <c r="O1149" i="14"/>
  <c r="O1150" i="14"/>
  <c r="O1151" i="14"/>
  <c r="O1152" i="14"/>
  <c r="O1153" i="14"/>
  <c r="O1154" i="14"/>
  <c r="O1155" i="14"/>
  <c r="O1156" i="14"/>
  <c r="O1157" i="14"/>
  <c r="O1158" i="14"/>
  <c r="O1159" i="14"/>
  <c r="O1160" i="14"/>
  <c r="O1161" i="14"/>
  <c r="O1162" i="14"/>
  <c r="O1163" i="14"/>
  <c r="O1164" i="14"/>
  <c r="O1165" i="14"/>
  <c r="O1166" i="14"/>
  <c r="O1167" i="14"/>
  <c r="O1168" i="14"/>
  <c r="O1169" i="14"/>
  <c r="O1170" i="14"/>
  <c r="O1171" i="14"/>
  <c r="O1172" i="14"/>
  <c r="O1173" i="14"/>
  <c r="O1174" i="14"/>
  <c r="O1175" i="14"/>
  <c r="O1176" i="14"/>
  <c r="O1177" i="14"/>
  <c r="O1178" i="14"/>
  <c r="O1179" i="14"/>
  <c r="O1180" i="14"/>
  <c r="O1181" i="14"/>
  <c r="O1182" i="14"/>
  <c r="O1183" i="14"/>
  <c r="O1184" i="14"/>
  <c r="O1185" i="14"/>
  <c r="O1186" i="14"/>
  <c r="O1187" i="14"/>
  <c r="O1188" i="14"/>
  <c r="O1189" i="14"/>
  <c r="O1190" i="14"/>
  <c r="O1191" i="14"/>
  <c r="O1192" i="14"/>
  <c r="O1193" i="14"/>
  <c r="O1194" i="14"/>
  <c r="O1195" i="14"/>
  <c r="O1196" i="14"/>
  <c r="O1197" i="14"/>
  <c r="O1198" i="14"/>
  <c r="O1199" i="14"/>
  <c r="O1200" i="14"/>
  <c r="O1201" i="14"/>
  <c r="O1202" i="14"/>
  <c r="O1203" i="14"/>
  <c r="O1204" i="14"/>
  <c r="O1205" i="14"/>
  <c r="O1206" i="14"/>
  <c r="O1207" i="14"/>
  <c r="O1208" i="14"/>
  <c r="O1209" i="14"/>
  <c r="O1210" i="14"/>
  <c r="O1211" i="14"/>
  <c r="O1212" i="14"/>
  <c r="O1213" i="14"/>
  <c r="O1214" i="14"/>
  <c r="O1215" i="14"/>
  <c r="O1216" i="14"/>
  <c r="O1217" i="14"/>
  <c r="O1218" i="14"/>
  <c r="O1219" i="14"/>
  <c r="O1220" i="14"/>
  <c r="O1221" i="14"/>
  <c r="O1222" i="14"/>
  <c r="O1223" i="14"/>
  <c r="O1224" i="14"/>
  <c r="O1225" i="14"/>
  <c r="O1226" i="14"/>
  <c r="O1227" i="14"/>
  <c r="O1228" i="14"/>
  <c r="O1229" i="14"/>
  <c r="O1230" i="14"/>
  <c r="O1231" i="14"/>
  <c r="O1232" i="14"/>
  <c r="O1233" i="14"/>
  <c r="O1234" i="14"/>
  <c r="O1235" i="14"/>
  <c r="O1236" i="14"/>
  <c r="O1237" i="14"/>
  <c r="O1238" i="14"/>
  <c r="O1239" i="14"/>
  <c r="O1240" i="14"/>
  <c r="O1241" i="14"/>
  <c r="O1242" i="14"/>
  <c r="O1243" i="14"/>
  <c r="O1244" i="14"/>
  <c r="O1245" i="14"/>
  <c r="O1246" i="14"/>
  <c r="O1247" i="14"/>
  <c r="O1248" i="14"/>
  <c r="O1249" i="14"/>
  <c r="O1250" i="14"/>
  <c r="O1251" i="14"/>
  <c r="O1252" i="14"/>
  <c r="O1253" i="14"/>
  <c r="O1254" i="14"/>
  <c r="O1255" i="14"/>
  <c r="O1256" i="14"/>
  <c r="O1257" i="14"/>
  <c r="O1258" i="14"/>
  <c r="O1259" i="14"/>
  <c r="O1260" i="14"/>
  <c r="O1261" i="14"/>
  <c r="O1262" i="14"/>
  <c r="O1263" i="14"/>
  <c r="O1264" i="14"/>
  <c r="O1265" i="14"/>
  <c r="O1266" i="14"/>
  <c r="O1267" i="14"/>
  <c r="O1268" i="14"/>
  <c r="O1269" i="14"/>
  <c r="O1270" i="14"/>
  <c r="O1271" i="14"/>
  <c r="O1272" i="14"/>
  <c r="O1273" i="14"/>
  <c r="O1274" i="14"/>
  <c r="O1275" i="14"/>
  <c r="O1276" i="14"/>
  <c r="O1277" i="14"/>
  <c r="O1278" i="14"/>
  <c r="O1279" i="14"/>
  <c r="O1280" i="14"/>
  <c r="O1281" i="14"/>
  <c r="O1282" i="14"/>
  <c r="O1283" i="14"/>
  <c r="O1284" i="14"/>
  <c r="O1285" i="14"/>
  <c r="O1286" i="14"/>
  <c r="O1287" i="14"/>
  <c r="O1288" i="14"/>
  <c r="O1289" i="14"/>
  <c r="O1290" i="14"/>
  <c r="O1291" i="14"/>
  <c r="O1292" i="14"/>
  <c r="O1293" i="14"/>
  <c r="O1294" i="14"/>
  <c r="O1295" i="14"/>
  <c r="O1296" i="14"/>
  <c r="O1297" i="14"/>
  <c r="O1298" i="14"/>
  <c r="O1299" i="14"/>
  <c r="O1300" i="14"/>
  <c r="O1301" i="14"/>
  <c r="O1302" i="14"/>
  <c r="O1303" i="14"/>
  <c r="O1304" i="14"/>
  <c r="O1305" i="14"/>
  <c r="O1306" i="14"/>
  <c r="O1307" i="14"/>
  <c r="O1308" i="14"/>
  <c r="O1309" i="14"/>
  <c r="O1310" i="14"/>
  <c r="O1311" i="14"/>
  <c r="O1312" i="14"/>
  <c r="O1313" i="14"/>
  <c r="O1314" i="14"/>
  <c r="O1315" i="14"/>
  <c r="O1316" i="14"/>
  <c r="O1317" i="14"/>
  <c r="O1318" i="14"/>
  <c r="O1319" i="14"/>
  <c r="O1320" i="14"/>
  <c r="O1321" i="14"/>
  <c r="O1322" i="14"/>
  <c r="O1323" i="14"/>
  <c r="O1324" i="14"/>
  <c r="O1325" i="14"/>
  <c r="O1326" i="14"/>
  <c r="O1327" i="14"/>
  <c r="O1328" i="14"/>
  <c r="O1329" i="14"/>
  <c r="O1330" i="14"/>
  <c r="O1331" i="14"/>
  <c r="O1332" i="14"/>
  <c r="O1333" i="14"/>
  <c r="O1334" i="14"/>
  <c r="O1335" i="14"/>
  <c r="O1336" i="14"/>
  <c r="O1337" i="14"/>
  <c r="O1338" i="14"/>
  <c r="O1339" i="14"/>
  <c r="O1340" i="14"/>
  <c r="O1341" i="14"/>
  <c r="O1342" i="14"/>
  <c r="O1343" i="14"/>
  <c r="O1344" i="14"/>
  <c r="O1345" i="14"/>
  <c r="O1346" i="14"/>
  <c r="O1347" i="14"/>
  <c r="O1348" i="14"/>
  <c r="O1349" i="14"/>
  <c r="O1350" i="14"/>
  <c r="O1351" i="14"/>
  <c r="O1352" i="14"/>
  <c r="O1353" i="14"/>
  <c r="O1354" i="14"/>
  <c r="O1355" i="14"/>
  <c r="O1356" i="14"/>
  <c r="O1357" i="14"/>
  <c r="O1358" i="14"/>
  <c r="O1359" i="14"/>
  <c r="O1360" i="14"/>
  <c r="O1361" i="14"/>
  <c r="O1362" i="14"/>
  <c r="O1363" i="14"/>
  <c r="O1364" i="14"/>
  <c r="O1365" i="14"/>
  <c r="O1366" i="14"/>
  <c r="O1367" i="14"/>
  <c r="O1368" i="14"/>
  <c r="O1369" i="14"/>
  <c r="O1370" i="14"/>
  <c r="O1371" i="14"/>
  <c r="O1372" i="14"/>
  <c r="O1373" i="14"/>
  <c r="O1374" i="14"/>
  <c r="O1375" i="14"/>
  <c r="O1376" i="14"/>
  <c r="O1377" i="14"/>
  <c r="O1378" i="14"/>
  <c r="O1379" i="14"/>
  <c r="O1380" i="14"/>
  <c r="O1381" i="14"/>
  <c r="O1382" i="14"/>
  <c r="O1383" i="14"/>
  <c r="O1384" i="14"/>
  <c r="O1385" i="14"/>
  <c r="O1386" i="14"/>
  <c r="O1387" i="14"/>
  <c r="O1388" i="14"/>
  <c r="O1389" i="14"/>
  <c r="O1390" i="14"/>
  <c r="O1391" i="14"/>
  <c r="O1392" i="14"/>
  <c r="O1393" i="14"/>
  <c r="O1394" i="14"/>
  <c r="O1395" i="14"/>
  <c r="O1396" i="14"/>
  <c r="O1397" i="14"/>
  <c r="O1398" i="14"/>
  <c r="O1399" i="14"/>
  <c r="O1400" i="14"/>
  <c r="O1401" i="14"/>
  <c r="O1402" i="14"/>
  <c r="O1403" i="14"/>
  <c r="O1404" i="14"/>
  <c r="O1405" i="14"/>
  <c r="O1406" i="14"/>
  <c r="O1407" i="14"/>
  <c r="O1408" i="14"/>
  <c r="O1409" i="14"/>
  <c r="O1410" i="14"/>
  <c r="O1411" i="14"/>
  <c r="O1412" i="14"/>
  <c r="O1413" i="14"/>
  <c r="O1414" i="14"/>
  <c r="O1415" i="14"/>
  <c r="O1416" i="14"/>
  <c r="O1417" i="14"/>
  <c r="O1418" i="14"/>
  <c r="O1419" i="14"/>
  <c r="O1420" i="14"/>
  <c r="O1421" i="14"/>
  <c r="O1422" i="14"/>
  <c r="O1423" i="14"/>
  <c r="O1424" i="14"/>
  <c r="O1425" i="14"/>
  <c r="O1426" i="14"/>
  <c r="O1427" i="14"/>
  <c r="O1428" i="14"/>
  <c r="O1429" i="14"/>
  <c r="O1430" i="14"/>
  <c r="O1431" i="14"/>
  <c r="O1432" i="14"/>
  <c r="O1433" i="14"/>
  <c r="O1434" i="14"/>
  <c r="O1435" i="14"/>
  <c r="O1436" i="14"/>
  <c r="O1437" i="14"/>
  <c r="O1438" i="14"/>
  <c r="O1439" i="14"/>
  <c r="O1440" i="14"/>
  <c r="O1441" i="14"/>
  <c r="O1442" i="14"/>
  <c r="O1443" i="14"/>
  <c r="O1444" i="14"/>
  <c r="O1445" i="14"/>
  <c r="O1446" i="14"/>
  <c r="O1447" i="14"/>
  <c r="O1448" i="14"/>
  <c r="O1449" i="14"/>
  <c r="O1450" i="14"/>
  <c r="O1451" i="14"/>
  <c r="O1452" i="14"/>
  <c r="O1453" i="14"/>
  <c r="O1454" i="14"/>
  <c r="O1455" i="14"/>
  <c r="O1456" i="14"/>
  <c r="O1457" i="14"/>
  <c r="O1458" i="14"/>
  <c r="O1459" i="14"/>
  <c r="O1460" i="14"/>
  <c r="O1461" i="14"/>
  <c r="O1462" i="14"/>
  <c r="O1463" i="14"/>
  <c r="O1464" i="14"/>
  <c r="O1465" i="14"/>
  <c r="O1466" i="14"/>
  <c r="O1467" i="14"/>
  <c r="O1468" i="14"/>
  <c r="O1469" i="14"/>
  <c r="O1470" i="14"/>
  <c r="O1471" i="14"/>
  <c r="O1472" i="14"/>
  <c r="O1473" i="14"/>
  <c r="O1474" i="14"/>
  <c r="O1475" i="14"/>
  <c r="O1476" i="14"/>
  <c r="O1477" i="14"/>
  <c r="O1478" i="14"/>
  <c r="O1479" i="14"/>
  <c r="O1480" i="14"/>
  <c r="O1481" i="14"/>
  <c r="O1482" i="14"/>
  <c r="O1483" i="14"/>
  <c r="O1484" i="14"/>
  <c r="O1485" i="14"/>
  <c r="O1486" i="14"/>
  <c r="O1487" i="14"/>
  <c r="O1488" i="14"/>
  <c r="O1489" i="14"/>
  <c r="O1490" i="14"/>
  <c r="O1491" i="14"/>
  <c r="O1492" i="14"/>
  <c r="O1493" i="14"/>
  <c r="O1494" i="14"/>
  <c r="O1495" i="14"/>
  <c r="O1496" i="14"/>
  <c r="O1497" i="14"/>
  <c r="O1498" i="14"/>
  <c r="O1499" i="14"/>
  <c r="O1500" i="14"/>
  <c r="O1501" i="14"/>
  <c r="O1502" i="14"/>
  <c r="O1503" i="14"/>
  <c r="O1504" i="14"/>
  <c r="O1505" i="14"/>
  <c r="O1506" i="14"/>
  <c r="O1507" i="14"/>
  <c r="O1508" i="14"/>
  <c r="O1509" i="14"/>
  <c r="O1510" i="14"/>
  <c r="O1511" i="14"/>
  <c r="O1512" i="14"/>
  <c r="O1513" i="14"/>
  <c r="O1514" i="14"/>
  <c r="O1515" i="14"/>
  <c r="O1516" i="14"/>
  <c r="O1517" i="14"/>
  <c r="O1518" i="14"/>
  <c r="O1519" i="14"/>
  <c r="O1520" i="14"/>
  <c r="O1521" i="14"/>
  <c r="O1522" i="14"/>
  <c r="O1523" i="14"/>
  <c r="O1524" i="14"/>
  <c r="O1525" i="14"/>
  <c r="O1526" i="14"/>
  <c r="O1527" i="14"/>
  <c r="O1528" i="14"/>
  <c r="O1529" i="14"/>
  <c r="O1530" i="14"/>
  <c r="O1531" i="14"/>
  <c r="O1532" i="14"/>
  <c r="O1533" i="14"/>
  <c r="O1534" i="14"/>
  <c r="O1535" i="14"/>
  <c r="O1536" i="14"/>
  <c r="O1537" i="14"/>
  <c r="O1538" i="14"/>
  <c r="O1539" i="14"/>
  <c r="O1540" i="14"/>
  <c r="O1541" i="14"/>
  <c r="O1542" i="14"/>
  <c r="O1543" i="14"/>
  <c r="O1544" i="14"/>
  <c r="O1545" i="14"/>
  <c r="O1546" i="14"/>
  <c r="O1547" i="14"/>
  <c r="O1548" i="14"/>
  <c r="O1549" i="14"/>
  <c r="O1550" i="14"/>
  <c r="O1551" i="14"/>
  <c r="O1552" i="14"/>
  <c r="O1553" i="14"/>
  <c r="O1554" i="14"/>
  <c r="O1555" i="14"/>
  <c r="O1556" i="14"/>
  <c r="O1557" i="14"/>
  <c r="O1558" i="14"/>
  <c r="O1559" i="14"/>
  <c r="O1560" i="14"/>
  <c r="O1561" i="14"/>
  <c r="O1562" i="14"/>
  <c r="O1563" i="14"/>
  <c r="O1564" i="14"/>
  <c r="O1565" i="14"/>
  <c r="O1566" i="14"/>
  <c r="O1567" i="14"/>
  <c r="O1568" i="14"/>
  <c r="O1569" i="14"/>
  <c r="O1570" i="14"/>
  <c r="O1571" i="14"/>
  <c r="O1572" i="14"/>
  <c r="O1573" i="14"/>
  <c r="O1574" i="14"/>
  <c r="O1575" i="14"/>
  <c r="O1576" i="14"/>
  <c r="O1577" i="14"/>
  <c r="O1578" i="14"/>
  <c r="O1579" i="14"/>
  <c r="O1580" i="14"/>
  <c r="O1581" i="14"/>
  <c r="O1582" i="14"/>
  <c r="O1583" i="14"/>
  <c r="O1584" i="14"/>
  <c r="O1585" i="14"/>
  <c r="O1586" i="14"/>
  <c r="O1587" i="14"/>
  <c r="O1588" i="14"/>
  <c r="O1589" i="14"/>
  <c r="O1590" i="14"/>
  <c r="O1591" i="14"/>
  <c r="O1592" i="14"/>
  <c r="O1593" i="14"/>
  <c r="O1594" i="14"/>
  <c r="O1595" i="14"/>
  <c r="O1596" i="14"/>
  <c r="O1597" i="14"/>
  <c r="O1598" i="14"/>
  <c r="O1599" i="14"/>
  <c r="O1600" i="14"/>
  <c r="O1601" i="14"/>
  <c r="O1602" i="14"/>
  <c r="O1603" i="14"/>
  <c r="O1604" i="14"/>
  <c r="O1605" i="14"/>
  <c r="O1606" i="14"/>
  <c r="O1607" i="14"/>
  <c r="O1608" i="14"/>
  <c r="O1609" i="14"/>
  <c r="O1610" i="14"/>
  <c r="O1611" i="14"/>
  <c r="O1612" i="14"/>
  <c r="O1613" i="14"/>
  <c r="O1614" i="14"/>
  <c r="O1615" i="14"/>
  <c r="O1616" i="14"/>
  <c r="O1617" i="14"/>
  <c r="O1618" i="14"/>
  <c r="O1619" i="14"/>
  <c r="O1620" i="14"/>
  <c r="O1621" i="14"/>
  <c r="O1622" i="14"/>
  <c r="O1623" i="14"/>
  <c r="O1624" i="14"/>
  <c r="O1625" i="14"/>
  <c r="O1626" i="14"/>
  <c r="O1627" i="14"/>
  <c r="O1628" i="14"/>
  <c r="O1629" i="14"/>
  <c r="O1630" i="14"/>
  <c r="O1631" i="14"/>
  <c r="O1632" i="14"/>
  <c r="O1633" i="14"/>
  <c r="O1634" i="14"/>
  <c r="O1635" i="14"/>
  <c r="O1636" i="14"/>
  <c r="O1637" i="14"/>
  <c r="O1638" i="14"/>
  <c r="O1639" i="14"/>
  <c r="O1640" i="14"/>
  <c r="O1641" i="14"/>
  <c r="O1642" i="14"/>
  <c r="O1643" i="14"/>
  <c r="O1644" i="14"/>
  <c r="O1645" i="14"/>
  <c r="O1646" i="14"/>
  <c r="O1647" i="14"/>
  <c r="O1648" i="14"/>
  <c r="O1649" i="14"/>
  <c r="O1650" i="14"/>
  <c r="O1651" i="14"/>
  <c r="O1652" i="14"/>
  <c r="O1653" i="14"/>
  <c r="O1654" i="14"/>
  <c r="O1655" i="14"/>
  <c r="O1656" i="14"/>
  <c r="O1657" i="14"/>
  <c r="O1658" i="14"/>
  <c r="O1659" i="14"/>
  <c r="O1660" i="14"/>
  <c r="O1661" i="14"/>
  <c r="O1662" i="14"/>
  <c r="O1663" i="14"/>
  <c r="O1664" i="14"/>
  <c r="O1665" i="14"/>
  <c r="O1666" i="14"/>
  <c r="O1667" i="14"/>
  <c r="O1668" i="14"/>
  <c r="O1669" i="14"/>
  <c r="O1670" i="14"/>
  <c r="O1671" i="14"/>
  <c r="O1672" i="14"/>
  <c r="O1673" i="14"/>
  <c r="O1674" i="14"/>
  <c r="O1675" i="14"/>
  <c r="O1676" i="14"/>
  <c r="O1677" i="14"/>
  <c r="O1678" i="14"/>
  <c r="O1679" i="14"/>
  <c r="O1680" i="14"/>
  <c r="O1681" i="14"/>
  <c r="O1682" i="14"/>
  <c r="O1683" i="14"/>
  <c r="O1684" i="14"/>
  <c r="O1685" i="14"/>
  <c r="O1686" i="14"/>
  <c r="O1687" i="14"/>
  <c r="O1688" i="14"/>
  <c r="O1689" i="14"/>
  <c r="O1690" i="14"/>
  <c r="O1691" i="14"/>
  <c r="O1692" i="14"/>
  <c r="O1693" i="14"/>
  <c r="O1694" i="14"/>
  <c r="O1695" i="14"/>
  <c r="O1696" i="14"/>
  <c r="O1697" i="14"/>
  <c r="O1698" i="14"/>
  <c r="O1699" i="14"/>
  <c r="O1700" i="14"/>
  <c r="O1701" i="14"/>
  <c r="O1702" i="14"/>
  <c r="O1703" i="14"/>
  <c r="O1704" i="14"/>
  <c r="O1705" i="14"/>
  <c r="O1706" i="14"/>
  <c r="O1707" i="14"/>
  <c r="O1708" i="14"/>
  <c r="O1709" i="14"/>
  <c r="O1710" i="14"/>
  <c r="O1711" i="14"/>
  <c r="O1712" i="14"/>
  <c r="O1713" i="14"/>
  <c r="O1714" i="14"/>
  <c r="O1715" i="14"/>
  <c r="O1716" i="14"/>
  <c r="O1717" i="14"/>
  <c r="O1718" i="14"/>
  <c r="O1719" i="14"/>
  <c r="O1720" i="14"/>
  <c r="O1721" i="14"/>
  <c r="O1722" i="14"/>
  <c r="O1723" i="14"/>
  <c r="O1724" i="14"/>
  <c r="O1725" i="14"/>
  <c r="O1726" i="14"/>
  <c r="O1727" i="14"/>
  <c r="O1728" i="14"/>
  <c r="O1729" i="14"/>
  <c r="O1730" i="14"/>
  <c r="O1731" i="14"/>
  <c r="O1732" i="14"/>
  <c r="O1733" i="14"/>
  <c r="O1734" i="14"/>
  <c r="O1735" i="14"/>
  <c r="O1736" i="14"/>
  <c r="O1737" i="14"/>
  <c r="O1738" i="14"/>
  <c r="O1739" i="14"/>
  <c r="O1740" i="14"/>
  <c r="O1741" i="14"/>
  <c r="O1742" i="14"/>
  <c r="O1743" i="14"/>
  <c r="O1744" i="14"/>
  <c r="O1745" i="14"/>
  <c r="O1746" i="14"/>
  <c r="O1747" i="14"/>
  <c r="O1748" i="14"/>
  <c r="O1749" i="14"/>
  <c r="O1750" i="14"/>
  <c r="O1751" i="14"/>
  <c r="O1752" i="14"/>
  <c r="O1753" i="14"/>
  <c r="O1754" i="14"/>
  <c r="O1755" i="14"/>
  <c r="O1756" i="14"/>
  <c r="O1757" i="14"/>
  <c r="O1758" i="14"/>
  <c r="O1759" i="14"/>
  <c r="O1760" i="14"/>
  <c r="O1761" i="14"/>
  <c r="O1762" i="14"/>
  <c r="O1763" i="14"/>
  <c r="O1764" i="14"/>
  <c r="O1765" i="14"/>
  <c r="O1766" i="14"/>
  <c r="O1767" i="14"/>
  <c r="O1768" i="14"/>
  <c r="O1769" i="14"/>
  <c r="O1770" i="14"/>
  <c r="O1771" i="14"/>
  <c r="O1772" i="14"/>
  <c r="O1773" i="14"/>
  <c r="O1774" i="14"/>
  <c r="O1775" i="14"/>
  <c r="O1776" i="14"/>
  <c r="O1777" i="14"/>
  <c r="O1778" i="14"/>
  <c r="O1779" i="14"/>
  <c r="O1780" i="14"/>
  <c r="O1781" i="14"/>
  <c r="O1782" i="14"/>
  <c r="O1783" i="14"/>
  <c r="O1784" i="14"/>
  <c r="O1785" i="14"/>
  <c r="O1786" i="14"/>
  <c r="O1787" i="14"/>
  <c r="O1788" i="14"/>
  <c r="O1789" i="14"/>
  <c r="O1790" i="14"/>
  <c r="O1791" i="14"/>
  <c r="O1792" i="14"/>
  <c r="O1793" i="14"/>
  <c r="O1794" i="14"/>
  <c r="O1795" i="14"/>
  <c r="O1796" i="14"/>
  <c r="O1797" i="14"/>
  <c r="O1798" i="14"/>
  <c r="O1799" i="14"/>
  <c r="O1800" i="14"/>
  <c r="O1801" i="14"/>
  <c r="O1802" i="14"/>
  <c r="O1803" i="14"/>
  <c r="O1804" i="14"/>
  <c r="O1805" i="14"/>
  <c r="O1806" i="14"/>
  <c r="O1807" i="14"/>
  <c r="O1808" i="14"/>
  <c r="O1809" i="14"/>
  <c r="O1810" i="14"/>
  <c r="O1811" i="14"/>
  <c r="O1812" i="14"/>
  <c r="O1813" i="14"/>
  <c r="O1814" i="14"/>
  <c r="O1815" i="14"/>
  <c r="O1816" i="14"/>
  <c r="O1817" i="14"/>
  <c r="O1818" i="14"/>
  <c r="O1819" i="14"/>
  <c r="O1820" i="14"/>
  <c r="O1821" i="14"/>
  <c r="O1822" i="14"/>
  <c r="O1823" i="14"/>
  <c r="O1824" i="14"/>
  <c r="O1825" i="14"/>
  <c r="O1826" i="14"/>
  <c r="O1827" i="14"/>
  <c r="O1828" i="14"/>
  <c r="O1829" i="14"/>
  <c r="O1830" i="14"/>
  <c r="O1831" i="14"/>
  <c r="O1832" i="14"/>
  <c r="O1833" i="14"/>
  <c r="O1834" i="14"/>
  <c r="O1835" i="14"/>
  <c r="O1836" i="14"/>
  <c r="O1837" i="14"/>
  <c r="O1838" i="14"/>
  <c r="O1839" i="14"/>
  <c r="O1840" i="14"/>
  <c r="O1841" i="14"/>
  <c r="O1842" i="14"/>
  <c r="O1843" i="14"/>
  <c r="O1844" i="14"/>
  <c r="O1845" i="14"/>
  <c r="O1846" i="14"/>
  <c r="O1847" i="14"/>
  <c r="O1848" i="14"/>
  <c r="O1849" i="14"/>
  <c r="O1850" i="14"/>
  <c r="O1851" i="14"/>
  <c r="O1852" i="14"/>
  <c r="O1853" i="14"/>
  <c r="O1854" i="14"/>
  <c r="O1855" i="14"/>
  <c r="O1856" i="14"/>
  <c r="O1857" i="14"/>
  <c r="O1858" i="14"/>
  <c r="O1859" i="14"/>
  <c r="O1860" i="14"/>
  <c r="O1861" i="14"/>
  <c r="O1862" i="14"/>
  <c r="O1863" i="14"/>
  <c r="O1864" i="14"/>
  <c r="O1865" i="14"/>
  <c r="O1866" i="14"/>
  <c r="O1867" i="14"/>
  <c r="O1868" i="14"/>
  <c r="O1869" i="14"/>
  <c r="O1870" i="14"/>
  <c r="O1871" i="14"/>
  <c r="O1872" i="14"/>
  <c r="O1873" i="14"/>
  <c r="O1874" i="14"/>
  <c r="O1875" i="14"/>
  <c r="O1876" i="14"/>
  <c r="O1877" i="14"/>
  <c r="O1878" i="14"/>
  <c r="O1879" i="14"/>
  <c r="O1880" i="14"/>
  <c r="O1881" i="14"/>
  <c r="O1882" i="14"/>
  <c r="O1883" i="14"/>
  <c r="O1884" i="14"/>
  <c r="O1885" i="14"/>
  <c r="O1886" i="14"/>
  <c r="O1887" i="14"/>
  <c r="O1888" i="14"/>
  <c r="O1889" i="14"/>
  <c r="O1890" i="14"/>
  <c r="O1891" i="14"/>
  <c r="O1892" i="14"/>
  <c r="O1893" i="14"/>
  <c r="O1894" i="14"/>
  <c r="O1895" i="14"/>
  <c r="O1896" i="14"/>
  <c r="O1897" i="14"/>
  <c r="O1898" i="14"/>
  <c r="O1899" i="14"/>
  <c r="O1900" i="14"/>
  <c r="O1901" i="14"/>
  <c r="O1902" i="14"/>
  <c r="O1903" i="14"/>
  <c r="O1904" i="14"/>
  <c r="O1905" i="14"/>
  <c r="O1906" i="14"/>
  <c r="O1907" i="14"/>
  <c r="O1908" i="14"/>
  <c r="O1909" i="14"/>
  <c r="O1910" i="14"/>
  <c r="O1911" i="14"/>
  <c r="O1912" i="14"/>
  <c r="O1913" i="14"/>
  <c r="O1914" i="14"/>
  <c r="O1915" i="14"/>
  <c r="O1916" i="14"/>
  <c r="O1917" i="14"/>
  <c r="O1918" i="14"/>
  <c r="O1919" i="14"/>
  <c r="O1920" i="14"/>
  <c r="O1921" i="14"/>
  <c r="O1922" i="14"/>
  <c r="O1923" i="14"/>
  <c r="O1924" i="14"/>
  <c r="O1925" i="14"/>
  <c r="O1926" i="14"/>
  <c r="O1927" i="14"/>
  <c r="O1928" i="14"/>
  <c r="O1929" i="14"/>
  <c r="O1930" i="14"/>
  <c r="O1931" i="14"/>
  <c r="O1932" i="14"/>
  <c r="O1933" i="14"/>
  <c r="O1934" i="14"/>
  <c r="O1935" i="14"/>
  <c r="O1936" i="14"/>
  <c r="O1937" i="14"/>
  <c r="O1938" i="14"/>
  <c r="O1939" i="14"/>
  <c r="O1940" i="14"/>
  <c r="O1941" i="14"/>
  <c r="O1942" i="14"/>
  <c r="O1943" i="14"/>
  <c r="O1944" i="14"/>
  <c r="O1945" i="14"/>
  <c r="O1946" i="14"/>
  <c r="O1947" i="14"/>
  <c r="O1948" i="14"/>
  <c r="O1949" i="14"/>
  <c r="O1950" i="14"/>
  <c r="O1951" i="14"/>
  <c r="O1952" i="14"/>
  <c r="O1953" i="14"/>
  <c r="O1954" i="14"/>
  <c r="O1955" i="14"/>
  <c r="O1956" i="14"/>
  <c r="O1957" i="14"/>
  <c r="O1958" i="14"/>
  <c r="O1959" i="14"/>
  <c r="O1960" i="14"/>
  <c r="O1961" i="14"/>
  <c r="O1962" i="14"/>
  <c r="O1963" i="14"/>
  <c r="O1964" i="14"/>
  <c r="O1965" i="14"/>
  <c r="O1966" i="14"/>
  <c r="O1967" i="14"/>
  <c r="O1968" i="14"/>
  <c r="O1969" i="14"/>
  <c r="O1970" i="14"/>
  <c r="O1971" i="14"/>
  <c r="O1972" i="14"/>
  <c r="O1973" i="14"/>
  <c r="O1974" i="14"/>
  <c r="O1975" i="14"/>
  <c r="O1976" i="14"/>
  <c r="O1977" i="14"/>
  <c r="O1978" i="14"/>
  <c r="O1979" i="14"/>
  <c r="O1980" i="14"/>
  <c r="O1981" i="14"/>
  <c r="O1982" i="14"/>
  <c r="O1983" i="14"/>
  <c r="O1984" i="14"/>
  <c r="O1985" i="14"/>
  <c r="O1986" i="14"/>
  <c r="O1987" i="14"/>
  <c r="O1988" i="14"/>
  <c r="O1989" i="14"/>
  <c r="O1990" i="14"/>
  <c r="O1991" i="14"/>
  <c r="O1992" i="14"/>
  <c r="O1993" i="14"/>
  <c r="O1994" i="14"/>
  <c r="O1995" i="14"/>
  <c r="O1996" i="14"/>
  <c r="O1997" i="14"/>
  <c r="O1998" i="14"/>
  <c r="O1999" i="14"/>
  <c r="O2000" i="14"/>
  <c r="O2001" i="14"/>
  <c r="O2002" i="14"/>
  <c r="O2003" i="14"/>
  <c r="O2004" i="14"/>
  <c r="O2005" i="14"/>
  <c r="O2006" i="14"/>
  <c r="O2007" i="14"/>
  <c r="O2008" i="14"/>
  <c r="O2009" i="14"/>
  <c r="O2010" i="14"/>
  <c r="O2011" i="14"/>
  <c r="O2012" i="14"/>
  <c r="O2013" i="14"/>
  <c r="O2014" i="14"/>
  <c r="O2015" i="14"/>
  <c r="O2016" i="14"/>
  <c r="O2017" i="14"/>
  <c r="O2018" i="14"/>
  <c r="O2019" i="14"/>
  <c r="O2020" i="14"/>
  <c r="O2021" i="14"/>
  <c r="O2022" i="14"/>
  <c r="O2023" i="14"/>
  <c r="O2024" i="14"/>
  <c r="O2025" i="14"/>
  <c r="O2026" i="14"/>
  <c r="O2027" i="14"/>
  <c r="O2028" i="14"/>
  <c r="O2029" i="14"/>
  <c r="O2030" i="14"/>
  <c r="O2031" i="14"/>
  <c r="O2032" i="14"/>
  <c r="O2033" i="14"/>
  <c r="O2034" i="14"/>
  <c r="O2035" i="14"/>
  <c r="O2036" i="14"/>
  <c r="O2037" i="14"/>
  <c r="O2038" i="14"/>
  <c r="O2039" i="14"/>
  <c r="O2040" i="14"/>
  <c r="O2041" i="14"/>
  <c r="O2042" i="14"/>
  <c r="O2043" i="14"/>
  <c r="O2044" i="14"/>
  <c r="O2045" i="14"/>
  <c r="O2046" i="14"/>
  <c r="O2047" i="14"/>
  <c r="O2048" i="14"/>
  <c r="O2049" i="14"/>
  <c r="O2050" i="14"/>
  <c r="O2051" i="14"/>
  <c r="O2052" i="14"/>
  <c r="O2053" i="14"/>
  <c r="O2054" i="14"/>
  <c r="O2055" i="14"/>
  <c r="O2056" i="14"/>
  <c r="O2057" i="14"/>
  <c r="O2058" i="14"/>
  <c r="O2059" i="14"/>
  <c r="O2060" i="14"/>
  <c r="O2061" i="14"/>
  <c r="O2062" i="14"/>
  <c r="O2063" i="14"/>
  <c r="O2064" i="14"/>
  <c r="O2065" i="14"/>
  <c r="O2066" i="14"/>
  <c r="O2067" i="14"/>
  <c r="O2068" i="14"/>
  <c r="O2069" i="14"/>
  <c r="O2070" i="14"/>
  <c r="O2071" i="14"/>
  <c r="O2072" i="14"/>
  <c r="O2073" i="14"/>
  <c r="O2074" i="14"/>
  <c r="O2075" i="14"/>
  <c r="O2076" i="14"/>
  <c r="O2077" i="14"/>
  <c r="O2078" i="14"/>
  <c r="O2079" i="14"/>
  <c r="O2080" i="14"/>
  <c r="O2081" i="14"/>
  <c r="O2082" i="14"/>
  <c r="O2083" i="14"/>
  <c r="O2084" i="14"/>
  <c r="O2085" i="14"/>
  <c r="O2086" i="14"/>
  <c r="O2087" i="14"/>
  <c r="O2088" i="14"/>
  <c r="O2089" i="14"/>
  <c r="O2090" i="14"/>
  <c r="O2091" i="14"/>
  <c r="O2092" i="14"/>
  <c r="O2093" i="14"/>
  <c r="O2094" i="14"/>
  <c r="O2095" i="14"/>
  <c r="O2096" i="14"/>
  <c r="O2097" i="14"/>
  <c r="O2098" i="14"/>
  <c r="O2099" i="14"/>
  <c r="O2100" i="14"/>
  <c r="O2101" i="14"/>
  <c r="O2102" i="14"/>
  <c r="O2103" i="14"/>
  <c r="O2104" i="14"/>
  <c r="O2105" i="14"/>
  <c r="O2106" i="14"/>
  <c r="O2107" i="14"/>
  <c r="O2108" i="14"/>
  <c r="O2109" i="14"/>
  <c r="O2110" i="14"/>
  <c r="O2111" i="14"/>
  <c r="O2112" i="14"/>
  <c r="O2113" i="14"/>
  <c r="O2114" i="14"/>
  <c r="O2115" i="14"/>
  <c r="O2116" i="14"/>
  <c r="O2117" i="14"/>
  <c r="O2118" i="14"/>
  <c r="O2119" i="14"/>
  <c r="O2120" i="14"/>
  <c r="O2121" i="14"/>
  <c r="O2122" i="14"/>
  <c r="O2123" i="14"/>
  <c r="O2124" i="14"/>
  <c r="O2125" i="14"/>
  <c r="O2126" i="14"/>
  <c r="O2127" i="14"/>
  <c r="O2128" i="14"/>
  <c r="O2129" i="14"/>
  <c r="O2130" i="14"/>
  <c r="O2131" i="14"/>
  <c r="O2132" i="14"/>
  <c r="O2133" i="14"/>
  <c r="O2134" i="14"/>
  <c r="O2135" i="14"/>
  <c r="O2136" i="14"/>
  <c r="O2137" i="14"/>
  <c r="O2138" i="14"/>
  <c r="O2139" i="14"/>
  <c r="O2140" i="14"/>
  <c r="O2141" i="14"/>
  <c r="O2142" i="14"/>
  <c r="O2143" i="14"/>
  <c r="O2144" i="14"/>
  <c r="O2145" i="14"/>
  <c r="O2146" i="14"/>
  <c r="O2147" i="14"/>
  <c r="O2148" i="14"/>
  <c r="O2149" i="14"/>
  <c r="O2150" i="14"/>
  <c r="O2151" i="14"/>
  <c r="O2152" i="14"/>
  <c r="O2153" i="14"/>
  <c r="O2154" i="14"/>
  <c r="O2155" i="14"/>
  <c r="O2156" i="14"/>
  <c r="O2157" i="14"/>
  <c r="O2158" i="14"/>
  <c r="O2159" i="14"/>
  <c r="O2160" i="14"/>
  <c r="O2161" i="14"/>
  <c r="O2162" i="14"/>
  <c r="O2163" i="14"/>
  <c r="O2164" i="14"/>
  <c r="O2165" i="14"/>
  <c r="O2166" i="14"/>
  <c r="O2167" i="14"/>
  <c r="O2168" i="14"/>
  <c r="O2169" i="14"/>
  <c r="O2170" i="14"/>
  <c r="O2171" i="14"/>
  <c r="O2172" i="14"/>
  <c r="O2173" i="14"/>
  <c r="O2174" i="14"/>
  <c r="O2175" i="14"/>
  <c r="O2176" i="14"/>
  <c r="O2177" i="14"/>
  <c r="O2178" i="14"/>
  <c r="O2179" i="14"/>
  <c r="O2180" i="14"/>
  <c r="O2181" i="14"/>
  <c r="O2182" i="14"/>
  <c r="O2183" i="14"/>
  <c r="O2184" i="14"/>
  <c r="O2185" i="14"/>
  <c r="O2186" i="14"/>
  <c r="O2187" i="14"/>
  <c r="O2188" i="14"/>
  <c r="O2189" i="14"/>
  <c r="O2190" i="14"/>
  <c r="O2191" i="14"/>
  <c r="O2192" i="14"/>
  <c r="O2193" i="14"/>
  <c r="O2194" i="14"/>
  <c r="O2195" i="14"/>
  <c r="O2196" i="14"/>
  <c r="O2197" i="14"/>
  <c r="O2198" i="14"/>
  <c r="O2199" i="14"/>
  <c r="O2200" i="14"/>
  <c r="O2201" i="14"/>
  <c r="O2202" i="14"/>
  <c r="O2203" i="14"/>
  <c r="O2204" i="14"/>
  <c r="O2205" i="14"/>
  <c r="O2206" i="14"/>
  <c r="O2207" i="14"/>
  <c r="O2208" i="14"/>
  <c r="O2209" i="14"/>
  <c r="O2210" i="14"/>
  <c r="O2211" i="14"/>
  <c r="O2212" i="14"/>
  <c r="O2213" i="14"/>
  <c r="O2214" i="14"/>
  <c r="O2215" i="14"/>
  <c r="O2216" i="14"/>
  <c r="O2217" i="14"/>
  <c r="O2218" i="14"/>
  <c r="O2219" i="14"/>
  <c r="O2220" i="14"/>
  <c r="O2221" i="14"/>
  <c r="O2222" i="14"/>
  <c r="O2223" i="14"/>
  <c r="O2224" i="14"/>
  <c r="O2225" i="14"/>
  <c r="O2226" i="14"/>
  <c r="O2227" i="14"/>
  <c r="O2228" i="14"/>
  <c r="O2229" i="14"/>
  <c r="O2230" i="14"/>
  <c r="O2231" i="14"/>
  <c r="O2232" i="14"/>
  <c r="O2233" i="14"/>
  <c r="O2234" i="14"/>
  <c r="O2235" i="14"/>
  <c r="O2236" i="14"/>
  <c r="O2237" i="14"/>
  <c r="O2238" i="14"/>
  <c r="O2239" i="14"/>
  <c r="O2240" i="14"/>
  <c r="O2241" i="14"/>
  <c r="O2242" i="14"/>
  <c r="O2243" i="14"/>
  <c r="O2244" i="14"/>
  <c r="O2245" i="14"/>
  <c r="O2246" i="14"/>
  <c r="O2247" i="14"/>
  <c r="O2248" i="14"/>
  <c r="O2249" i="14"/>
  <c r="O2250" i="14"/>
  <c r="O2251" i="14"/>
  <c r="O2252" i="14"/>
  <c r="O2253" i="14"/>
  <c r="O2254" i="14"/>
  <c r="O2255" i="14"/>
  <c r="O2256" i="14"/>
  <c r="O2257" i="14"/>
  <c r="O2258" i="14"/>
  <c r="O2259" i="14"/>
  <c r="O2260" i="14"/>
  <c r="O2261" i="14"/>
  <c r="O2262" i="14"/>
  <c r="O2263" i="14"/>
  <c r="O2264" i="14"/>
  <c r="O2265" i="14"/>
  <c r="O2266" i="14"/>
  <c r="O2267" i="14"/>
  <c r="O2268" i="14"/>
  <c r="O2269" i="14"/>
  <c r="O2270" i="14"/>
  <c r="O2271" i="14"/>
  <c r="O2272" i="14"/>
  <c r="O2273" i="14"/>
  <c r="O2274" i="14"/>
  <c r="O2275" i="14"/>
  <c r="O2276" i="14"/>
  <c r="O2277" i="14"/>
  <c r="O2278" i="14"/>
  <c r="O2279" i="14"/>
  <c r="O2280" i="14"/>
  <c r="O2281" i="14"/>
  <c r="O2282" i="14"/>
  <c r="O2283" i="14"/>
  <c r="O2284" i="14"/>
  <c r="O2285" i="14"/>
  <c r="O2286" i="14"/>
  <c r="O2287" i="14"/>
  <c r="O2288" i="14"/>
  <c r="O2289" i="14"/>
  <c r="O2290" i="14"/>
  <c r="O2291" i="14"/>
  <c r="O2292" i="14"/>
  <c r="O2293" i="14"/>
  <c r="O2294" i="14"/>
  <c r="O2295" i="14"/>
  <c r="O2296" i="14"/>
  <c r="O2297" i="14"/>
  <c r="O2298" i="14"/>
  <c r="O2299" i="14"/>
  <c r="O2300" i="14"/>
  <c r="O2301" i="14"/>
  <c r="O2302" i="14"/>
  <c r="O2303" i="14"/>
  <c r="O2304" i="14"/>
  <c r="O2305" i="14"/>
  <c r="O2306" i="14"/>
  <c r="O2307" i="14"/>
  <c r="O2308" i="14"/>
  <c r="O2309" i="14"/>
  <c r="O2310" i="14"/>
  <c r="O2311" i="14"/>
  <c r="O2312" i="14"/>
  <c r="O2313" i="14"/>
  <c r="O2314" i="14"/>
  <c r="O2315" i="14"/>
  <c r="O2316" i="14"/>
  <c r="O2317" i="14"/>
  <c r="O2318" i="14"/>
  <c r="O2319" i="14"/>
  <c r="O2320" i="14"/>
  <c r="O2321" i="14"/>
  <c r="O2322" i="14"/>
  <c r="O2323" i="14"/>
  <c r="O2324" i="14"/>
  <c r="O2325" i="14"/>
  <c r="O2326" i="14"/>
  <c r="O2327" i="14"/>
  <c r="O2328" i="14"/>
  <c r="O2329" i="14"/>
  <c r="O2330" i="14"/>
  <c r="O2331" i="14"/>
  <c r="O2332" i="14"/>
  <c r="O2333" i="14"/>
  <c r="O2334" i="14"/>
  <c r="O2335" i="14"/>
  <c r="O2336" i="14"/>
  <c r="O2337" i="14"/>
  <c r="O2338" i="14"/>
  <c r="O2339" i="14"/>
  <c r="O2340" i="14"/>
  <c r="O2341" i="14"/>
  <c r="O2342" i="14"/>
  <c r="O2343" i="14"/>
  <c r="O2344" i="14"/>
  <c r="O2345" i="14"/>
  <c r="O2346" i="14"/>
  <c r="O2347" i="14"/>
  <c r="O2348" i="14"/>
  <c r="O2349" i="14"/>
  <c r="O2350" i="14"/>
  <c r="O2351" i="14"/>
  <c r="O2352" i="14"/>
  <c r="O2353" i="14"/>
  <c r="O2354" i="14"/>
  <c r="O2355" i="14"/>
  <c r="O2356" i="14"/>
  <c r="O2357" i="14"/>
  <c r="O2358" i="14"/>
  <c r="O2359" i="14"/>
  <c r="O2360" i="14"/>
  <c r="O2361" i="14"/>
  <c r="O2362" i="14"/>
  <c r="O2363" i="14"/>
  <c r="O2364" i="14"/>
  <c r="O2365" i="14"/>
  <c r="O2366" i="14"/>
  <c r="O2367" i="14"/>
  <c r="O2368" i="14"/>
  <c r="O2369" i="14"/>
  <c r="O2370" i="14"/>
  <c r="O2371" i="14"/>
  <c r="O2372" i="14"/>
  <c r="O2373" i="14"/>
  <c r="O2374" i="14"/>
  <c r="O2375" i="14"/>
  <c r="O2376" i="14"/>
  <c r="O2377" i="14"/>
  <c r="O2378" i="14"/>
  <c r="O2379" i="14"/>
  <c r="O2380" i="14"/>
  <c r="O2381" i="14"/>
  <c r="O2382" i="14"/>
  <c r="O2383" i="14"/>
  <c r="O2384" i="14"/>
  <c r="O2385" i="14"/>
  <c r="O2386" i="14"/>
  <c r="O2387" i="14"/>
  <c r="O2388" i="14"/>
  <c r="O2389" i="14"/>
  <c r="O2390" i="14"/>
  <c r="O2391" i="14"/>
  <c r="O2392" i="14"/>
  <c r="O2393" i="14"/>
  <c r="O2394" i="14"/>
  <c r="O2395" i="14"/>
  <c r="O2396" i="14"/>
  <c r="O2397" i="14"/>
  <c r="O2398" i="14"/>
  <c r="O2399" i="14"/>
  <c r="O2400" i="14"/>
  <c r="O2401" i="14"/>
  <c r="O2402" i="14"/>
  <c r="O2403" i="14"/>
  <c r="O2404" i="14"/>
  <c r="O2405" i="14"/>
  <c r="O2406" i="14"/>
  <c r="O2407" i="14"/>
  <c r="O2408" i="14"/>
  <c r="O2409" i="14"/>
  <c r="O2410" i="14"/>
  <c r="O2411" i="14"/>
  <c r="O2412" i="14"/>
  <c r="O2413" i="14"/>
  <c r="O2414" i="14"/>
  <c r="O2415" i="14"/>
  <c r="O2416" i="14"/>
  <c r="O2417" i="14"/>
  <c r="O2418" i="14"/>
  <c r="O2419" i="14"/>
  <c r="O2420" i="14"/>
  <c r="O2421" i="14"/>
  <c r="O2422" i="14"/>
  <c r="O2423" i="14"/>
  <c r="O2424" i="14"/>
  <c r="O2425" i="14"/>
  <c r="O2426" i="14"/>
  <c r="O2427" i="14"/>
  <c r="O2428" i="14"/>
  <c r="O2429" i="14"/>
  <c r="O2430" i="14"/>
  <c r="O2431" i="14"/>
  <c r="O2432" i="14"/>
  <c r="O2433" i="14"/>
  <c r="O2434" i="14"/>
  <c r="O2435" i="14"/>
  <c r="O2436" i="14"/>
  <c r="O2437" i="14"/>
  <c r="O2438" i="14"/>
  <c r="O2439" i="14"/>
  <c r="O2440" i="14"/>
  <c r="O2441" i="14"/>
  <c r="O2442" i="14"/>
  <c r="O2443" i="14"/>
  <c r="O2444" i="14"/>
  <c r="O2445" i="14"/>
  <c r="O2446" i="14"/>
  <c r="O2447" i="14"/>
  <c r="O2448" i="14"/>
  <c r="O2449" i="14"/>
  <c r="O2450" i="14"/>
  <c r="O2451" i="14"/>
  <c r="O2452" i="14"/>
  <c r="O2453" i="14"/>
  <c r="O2454" i="14"/>
  <c r="O2455" i="14"/>
  <c r="O2456" i="14"/>
  <c r="O2457" i="14"/>
  <c r="O2458" i="14"/>
  <c r="O2459" i="14"/>
  <c r="O2460" i="14"/>
  <c r="O2461" i="14"/>
  <c r="O2462" i="14"/>
  <c r="O2463" i="14"/>
  <c r="O2464" i="14"/>
  <c r="O2465" i="14"/>
  <c r="O2466" i="14"/>
  <c r="O2467" i="14"/>
  <c r="O2468" i="14"/>
  <c r="O2469" i="14"/>
  <c r="O2470" i="14"/>
  <c r="O2471" i="14"/>
  <c r="O2472" i="14"/>
  <c r="O2473" i="14"/>
  <c r="O2474" i="14"/>
  <c r="O2475" i="14"/>
  <c r="O2476" i="14"/>
  <c r="O2477" i="14"/>
  <c r="O2478" i="14"/>
  <c r="O2479" i="14"/>
  <c r="O2480" i="14"/>
  <c r="O2481" i="14"/>
  <c r="O2482" i="14"/>
  <c r="O2483" i="14"/>
  <c r="O2484" i="14"/>
  <c r="O2485" i="14"/>
  <c r="O2486" i="14"/>
  <c r="O2487" i="14"/>
  <c r="O2488" i="14"/>
  <c r="O2489" i="14"/>
  <c r="O2490" i="14"/>
  <c r="O2491" i="14"/>
  <c r="O2492" i="14"/>
  <c r="O2493" i="14"/>
  <c r="O2494" i="14"/>
  <c r="O2495" i="14"/>
  <c r="O2496" i="14"/>
  <c r="O2497" i="14"/>
  <c r="O2498" i="14"/>
  <c r="O2499" i="14"/>
  <c r="O2500" i="14"/>
  <c r="O2501" i="14"/>
  <c r="O2502" i="14"/>
  <c r="O2503" i="14"/>
  <c r="O2504" i="14"/>
  <c r="O2505" i="14"/>
  <c r="O2506" i="14"/>
  <c r="O2507" i="14"/>
  <c r="O2508" i="14"/>
  <c r="O2509" i="14"/>
  <c r="O2510" i="14"/>
  <c r="O2511" i="14"/>
  <c r="O2512" i="14"/>
  <c r="O2513" i="14"/>
  <c r="O2514" i="14"/>
  <c r="O2515" i="14"/>
  <c r="O2516" i="14"/>
  <c r="O2517" i="14"/>
  <c r="O2518" i="14"/>
  <c r="O2519" i="14"/>
  <c r="O2520" i="14"/>
  <c r="O2521" i="14"/>
  <c r="O2522" i="14"/>
  <c r="O2523" i="14"/>
  <c r="O2524" i="14"/>
  <c r="O2525" i="14"/>
  <c r="O2526" i="14"/>
  <c r="O2527" i="14"/>
  <c r="O2528" i="14"/>
  <c r="O2529" i="14"/>
  <c r="O2530" i="14"/>
  <c r="O2531" i="14"/>
  <c r="O2532" i="14"/>
  <c r="O2533" i="14"/>
  <c r="O2534" i="14"/>
  <c r="O2535" i="14"/>
  <c r="O2536" i="14"/>
  <c r="O2537" i="14"/>
  <c r="O2538" i="14"/>
  <c r="O2539" i="14"/>
  <c r="O2540" i="14"/>
  <c r="O2541" i="14"/>
  <c r="O2542" i="14"/>
  <c r="O2543" i="14"/>
  <c r="O2544" i="14"/>
  <c r="O2545" i="14"/>
  <c r="O2546" i="14"/>
  <c r="O2547" i="14"/>
  <c r="O2548" i="14"/>
  <c r="O2549" i="14"/>
  <c r="O2550" i="14"/>
  <c r="O2551" i="14"/>
  <c r="O2552" i="14"/>
  <c r="O2553" i="14"/>
  <c r="O2554" i="14"/>
  <c r="O2555" i="14"/>
  <c r="O2556" i="14"/>
  <c r="O2557" i="14"/>
  <c r="O2558" i="14"/>
  <c r="O2559" i="14"/>
  <c r="O2560" i="14"/>
  <c r="O2561" i="14"/>
  <c r="O2562" i="14"/>
  <c r="O2563" i="14"/>
  <c r="O2564" i="14"/>
  <c r="O2565" i="14"/>
  <c r="O2566" i="14"/>
  <c r="O2567" i="14"/>
  <c r="O2568" i="14"/>
  <c r="O2569" i="14"/>
  <c r="O2570" i="14"/>
  <c r="O2571" i="14"/>
  <c r="O2572" i="14"/>
  <c r="O2573" i="14"/>
  <c r="O2574" i="14"/>
  <c r="O2575" i="14"/>
  <c r="O2576" i="14"/>
  <c r="O2577" i="14"/>
  <c r="O2578" i="14"/>
  <c r="O2579" i="14"/>
  <c r="O2580" i="14"/>
  <c r="O2581" i="14"/>
  <c r="O2582" i="14"/>
  <c r="O2583" i="14"/>
  <c r="O2584" i="14"/>
  <c r="O2585" i="14"/>
  <c r="O2586" i="14"/>
  <c r="O2587" i="14"/>
  <c r="O2588" i="14"/>
  <c r="O2589" i="14"/>
  <c r="O2590" i="14"/>
  <c r="O2591" i="14"/>
  <c r="O2592" i="14"/>
  <c r="O2593" i="14"/>
  <c r="O2594" i="14"/>
  <c r="O2595" i="14"/>
  <c r="O2596" i="14"/>
  <c r="O2597" i="14"/>
  <c r="O2598" i="14"/>
  <c r="O2599" i="14"/>
  <c r="O2600" i="14"/>
  <c r="O2601" i="14"/>
  <c r="O2602" i="14"/>
  <c r="O2603" i="14"/>
  <c r="O2604" i="14"/>
  <c r="O2605" i="14"/>
  <c r="O2606" i="14"/>
  <c r="O2607" i="14"/>
  <c r="O2608" i="14"/>
  <c r="O2609" i="14"/>
  <c r="O2610" i="14"/>
  <c r="O2611" i="14"/>
  <c r="O2612" i="14"/>
  <c r="O2613" i="14"/>
  <c r="O2614" i="14"/>
  <c r="O2615" i="14"/>
  <c r="O2616" i="14"/>
  <c r="O2617" i="14"/>
  <c r="O2618" i="14"/>
  <c r="O2619" i="14"/>
  <c r="O2620" i="14"/>
  <c r="O2621" i="14"/>
  <c r="O2622" i="14"/>
  <c r="O2623" i="14"/>
  <c r="O2624" i="14"/>
  <c r="O2625" i="14"/>
  <c r="O2626" i="14"/>
  <c r="O2627" i="14"/>
  <c r="O2628" i="14"/>
  <c r="O2629" i="14"/>
  <c r="O2630" i="14"/>
  <c r="O2631" i="14"/>
  <c r="O2632" i="14"/>
  <c r="O2633" i="14"/>
  <c r="O2634" i="14"/>
  <c r="O2635" i="14"/>
  <c r="O2636" i="14"/>
  <c r="O2637" i="14"/>
  <c r="O2638" i="14"/>
  <c r="O2639" i="14"/>
  <c r="O2640" i="14"/>
  <c r="O2641" i="14"/>
  <c r="O2642" i="14"/>
  <c r="O2643" i="14"/>
  <c r="O2644" i="14"/>
  <c r="O2645" i="14"/>
  <c r="O2646" i="14"/>
  <c r="O2647" i="14"/>
  <c r="O2648" i="14"/>
  <c r="O2649" i="14"/>
  <c r="O2650" i="14"/>
  <c r="O2651" i="14"/>
  <c r="O2652" i="14"/>
  <c r="O2653" i="14"/>
  <c r="O2654" i="14"/>
  <c r="O2655" i="14"/>
  <c r="O2656" i="14"/>
  <c r="O2657" i="14"/>
  <c r="O2658" i="14"/>
  <c r="O2659" i="14"/>
  <c r="O2660" i="14"/>
  <c r="O2661" i="14"/>
  <c r="O2662" i="14"/>
  <c r="O2663" i="14"/>
  <c r="O2664" i="14"/>
  <c r="O2665" i="14"/>
  <c r="O2666" i="14"/>
  <c r="O2667" i="14"/>
  <c r="O2668" i="14"/>
  <c r="O2669" i="14"/>
  <c r="O2670" i="14"/>
  <c r="O2671" i="14"/>
  <c r="O2672" i="14"/>
  <c r="O2673" i="14"/>
  <c r="O2674" i="14"/>
  <c r="O2675" i="14"/>
  <c r="O2676" i="14"/>
  <c r="O2677" i="14"/>
  <c r="O2678" i="14"/>
  <c r="O2679" i="14"/>
  <c r="O2680" i="14"/>
  <c r="O2681" i="14"/>
  <c r="O2682" i="14"/>
  <c r="O2683" i="14"/>
  <c r="O2684" i="14"/>
  <c r="O2685" i="14"/>
  <c r="O2686" i="14"/>
  <c r="O2687" i="14"/>
  <c r="O2688" i="14"/>
  <c r="O2689" i="14"/>
  <c r="O2690" i="14"/>
  <c r="O2691" i="14"/>
  <c r="O2692" i="14"/>
  <c r="O2693" i="14"/>
  <c r="O2694" i="14"/>
  <c r="O2695" i="14"/>
  <c r="O2696" i="14"/>
  <c r="O2697" i="14"/>
  <c r="O2698" i="14"/>
  <c r="O2699" i="14"/>
  <c r="O2700" i="14"/>
  <c r="O2701" i="14"/>
  <c r="O2702" i="14"/>
  <c r="O2703" i="14"/>
  <c r="O2704" i="14"/>
  <c r="O2705" i="14"/>
  <c r="O2706" i="14"/>
  <c r="O2707" i="14"/>
  <c r="O2708" i="14"/>
  <c r="O2709" i="14"/>
  <c r="O2710" i="14"/>
  <c r="O2711" i="14"/>
  <c r="O2712" i="14"/>
  <c r="O2713" i="14"/>
  <c r="O2714" i="14"/>
  <c r="O2715" i="14"/>
  <c r="O2716" i="14"/>
  <c r="O2717" i="14"/>
  <c r="O2718" i="14"/>
  <c r="O2719" i="14"/>
  <c r="O2720" i="14"/>
  <c r="O2721" i="14"/>
  <c r="O2722" i="14"/>
  <c r="O2723" i="14"/>
  <c r="O2724" i="14"/>
  <c r="O2725" i="14"/>
  <c r="O2726" i="14"/>
  <c r="O2727" i="14"/>
  <c r="O2728" i="14"/>
  <c r="O2729" i="14"/>
  <c r="O2730" i="14"/>
  <c r="O2731" i="14"/>
  <c r="O2732" i="14"/>
  <c r="O2733" i="14"/>
  <c r="O2734" i="14"/>
  <c r="O2735" i="14"/>
  <c r="O2736" i="14"/>
  <c r="O2737" i="14"/>
  <c r="O2738" i="14"/>
  <c r="O2739" i="14"/>
  <c r="O2740" i="14"/>
  <c r="O2741" i="14"/>
  <c r="O2742" i="14"/>
  <c r="O2743" i="14"/>
  <c r="O2744" i="14"/>
  <c r="O2745" i="14"/>
  <c r="O2746" i="14"/>
  <c r="O2747" i="14"/>
  <c r="O2748" i="14"/>
  <c r="O2749" i="14"/>
  <c r="O2750" i="14"/>
  <c r="O2751" i="14"/>
  <c r="O2752" i="14"/>
  <c r="O2753" i="14"/>
  <c r="O2754" i="14"/>
  <c r="O2755" i="14"/>
  <c r="O2756" i="14"/>
  <c r="O2757" i="14"/>
  <c r="O2758" i="14"/>
  <c r="O2759" i="14"/>
  <c r="O2760" i="14"/>
  <c r="O2761" i="14"/>
  <c r="O2762" i="14"/>
  <c r="O2763" i="14"/>
  <c r="O2764" i="14"/>
  <c r="O2765" i="14"/>
  <c r="O2766" i="14"/>
  <c r="O2767" i="14"/>
  <c r="O2768" i="14"/>
  <c r="O2769" i="14"/>
  <c r="O2770" i="14"/>
  <c r="O2771" i="14"/>
  <c r="O2772" i="14"/>
  <c r="O2773" i="14"/>
  <c r="O2774" i="14"/>
  <c r="O2775" i="14"/>
  <c r="O2776" i="14"/>
  <c r="O2777" i="14"/>
  <c r="O2778" i="14"/>
  <c r="O2779" i="14"/>
  <c r="O2780" i="14"/>
  <c r="O2781" i="14"/>
  <c r="O2782" i="14"/>
  <c r="O2783" i="14"/>
  <c r="O2784" i="14"/>
  <c r="O2785" i="14"/>
  <c r="O2786" i="14"/>
  <c r="O2787" i="14"/>
  <c r="O2788" i="14"/>
  <c r="O2789" i="14"/>
  <c r="O2790" i="14"/>
  <c r="O2791" i="14"/>
  <c r="O2792" i="14"/>
  <c r="O2793" i="14"/>
  <c r="O2794" i="14"/>
  <c r="O2795" i="14"/>
  <c r="O2796" i="14"/>
  <c r="O2797" i="14"/>
  <c r="O2798" i="14"/>
  <c r="O2799" i="14"/>
  <c r="O2800" i="14"/>
  <c r="O2801" i="14"/>
  <c r="O2802" i="14"/>
  <c r="O2803" i="14"/>
  <c r="O2804" i="14"/>
  <c r="O2805" i="14"/>
  <c r="O2806" i="14"/>
  <c r="O2807" i="14"/>
  <c r="O2808" i="14"/>
  <c r="O2809" i="14"/>
  <c r="O2810" i="14"/>
  <c r="O2811" i="14"/>
  <c r="O2812" i="14"/>
  <c r="O2813" i="14"/>
  <c r="O2814" i="14"/>
  <c r="O2815" i="14"/>
  <c r="O2816" i="14"/>
  <c r="O2817" i="14"/>
  <c r="O2818" i="14"/>
  <c r="O2819" i="14"/>
  <c r="O2820" i="14"/>
  <c r="O2821" i="14"/>
  <c r="O2822" i="14"/>
  <c r="O2823" i="14"/>
  <c r="O2824" i="14"/>
  <c r="O2825" i="14"/>
  <c r="O2826" i="14"/>
  <c r="O2827" i="14"/>
  <c r="O2828" i="14"/>
  <c r="O2829" i="14"/>
  <c r="O2830" i="14"/>
  <c r="O2831" i="14"/>
  <c r="O2832" i="14"/>
  <c r="O2833" i="14"/>
  <c r="O2834" i="14"/>
  <c r="O2835" i="14"/>
  <c r="O2836" i="14"/>
  <c r="O2837" i="14"/>
  <c r="O2838" i="14"/>
  <c r="O2839" i="14"/>
  <c r="O2840" i="14"/>
  <c r="O2841" i="14"/>
  <c r="O2842" i="14"/>
  <c r="O2843" i="14"/>
  <c r="O2844" i="14"/>
  <c r="O2845" i="14"/>
  <c r="O2846" i="14"/>
  <c r="O2847" i="14"/>
  <c r="O2848" i="14"/>
  <c r="O2849" i="14"/>
  <c r="O2850" i="14"/>
  <c r="O2851" i="14"/>
  <c r="O2852" i="14"/>
  <c r="O2853" i="14"/>
  <c r="O2854" i="14"/>
  <c r="O2855" i="14"/>
  <c r="O2856" i="14"/>
  <c r="O2857" i="14"/>
  <c r="O2858" i="14"/>
  <c r="O2859" i="14"/>
  <c r="O2860" i="14"/>
  <c r="O2861" i="14"/>
  <c r="O2862" i="14"/>
  <c r="O2863" i="14"/>
  <c r="O2864" i="14"/>
  <c r="O2865" i="14"/>
  <c r="O2866" i="14"/>
  <c r="O2867" i="14"/>
  <c r="O2868" i="14"/>
  <c r="O2869" i="14"/>
  <c r="O2870" i="14"/>
  <c r="O2871" i="14"/>
  <c r="O2872" i="14"/>
  <c r="O2873" i="14"/>
  <c r="O2874" i="14"/>
  <c r="O2875" i="14"/>
  <c r="O2876" i="14"/>
  <c r="O2877" i="14"/>
  <c r="O2878" i="14"/>
  <c r="O2879" i="14"/>
  <c r="O2880" i="14"/>
  <c r="O2881" i="14"/>
  <c r="O2882" i="14"/>
  <c r="O2883" i="14"/>
  <c r="O2884" i="14"/>
  <c r="O2885" i="14"/>
  <c r="O2886" i="14"/>
  <c r="O2887" i="14"/>
  <c r="O2888" i="14"/>
  <c r="O2889" i="14"/>
  <c r="O2890" i="14"/>
  <c r="O2891" i="14"/>
  <c r="O2892" i="14"/>
  <c r="O2893" i="14"/>
  <c r="O2894" i="14"/>
  <c r="O2895" i="14"/>
  <c r="O2896" i="14"/>
  <c r="O2897" i="14"/>
  <c r="O2898" i="14"/>
  <c r="O2899" i="14"/>
  <c r="O2900" i="14"/>
  <c r="O2901" i="14"/>
  <c r="O2902" i="14"/>
  <c r="O2903" i="14"/>
  <c r="O2904" i="14"/>
  <c r="O2905" i="14"/>
  <c r="O2906" i="14"/>
  <c r="O2907" i="14"/>
  <c r="O2908" i="14"/>
  <c r="O2909" i="14"/>
  <c r="O2910" i="14"/>
  <c r="O2911" i="14"/>
  <c r="O2912" i="14"/>
  <c r="O2913" i="14"/>
  <c r="O2914" i="14"/>
  <c r="O2915" i="14"/>
  <c r="O2916" i="14"/>
  <c r="O2917" i="14"/>
  <c r="O2918" i="14"/>
  <c r="O2919" i="14"/>
  <c r="O2920" i="14"/>
  <c r="O2921" i="14"/>
  <c r="O2922" i="14"/>
  <c r="O2923" i="14"/>
  <c r="O2924" i="14"/>
  <c r="O2925" i="14"/>
  <c r="O2926" i="14"/>
  <c r="O2927" i="14"/>
  <c r="O2928" i="14"/>
  <c r="O2929" i="14"/>
  <c r="O2930" i="14"/>
  <c r="O2931" i="14"/>
  <c r="O2932" i="14"/>
  <c r="O2933" i="14"/>
  <c r="O2934" i="14"/>
  <c r="O2935" i="14"/>
  <c r="O2936" i="14"/>
  <c r="O2937" i="14"/>
  <c r="O2938" i="14"/>
  <c r="O2939" i="14"/>
  <c r="O2940" i="14"/>
  <c r="O2941" i="14"/>
  <c r="O2942" i="14"/>
  <c r="O2943" i="14"/>
  <c r="O2944" i="14"/>
  <c r="O2945" i="14"/>
  <c r="O2946" i="14"/>
  <c r="O2947" i="14"/>
  <c r="O2948" i="14"/>
  <c r="O2949" i="14"/>
  <c r="O2950" i="14"/>
  <c r="O2951" i="14"/>
  <c r="O2952" i="14"/>
  <c r="O2953" i="14"/>
  <c r="O2954" i="14"/>
  <c r="O2955" i="14"/>
  <c r="O2956" i="14"/>
  <c r="O2957" i="14"/>
  <c r="O2958" i="14"/>
  <c r="O2959" i="14"/>
  <c r="O2960" i="14"/>
  <c r="O2961" i="14"/>
  <c r="O2962" i="14"/>
  <c r="O2963" i="14"/>
  <c r="O2964" i="14"/>
  <c r="O2965" i="14"/>
  <c r="O2966" i="14"/>
  <c r="O2967" i="14"/>
  <c r="O2968" i="14"/>
  <c r="O2969" i="14"/>
  <c r="O2970" i="14"/>
  <c r="O2971" i="14"/>
  <c r="O2972" i="14"/>
  <c r="O2973" i="14"/>
  <c r="O2974" i="14"/>
  <c r="O2975" i="14"/>
  <c r="O2976" i="14"/>
  <c r="O2977" i="14"/>
  <c r="O2978" i="14"/>
  <c r="O2979" i="14"/>
  <c r="O2980" i="14"/>
  <c r="O2981" i="14"/>
  <c r="O2982" i="14"/>
  <c r="O2983" i="14"/>
  <c r="O2984" i="14"/>
  <c r="O2985" i="14"/>
  <c r="O2986" i="14"/>
  <c r="O2987" i="14"/>
  <c r="O2988" i="14"/>
  <c r="O2989" i="14"/>
  <c r="O2990" i="14"/>
  <c r="O2991" i="14"/>
  <c r="O2992" i="14"/>
  <c r="O2993" i="14"/>
  <c r="O2994" i="14"/>
  <c r="O2995" i="14"/>
  <c r="O2996" i="14"/>
  <c r="O2997" i="14"/>
  <c r="O2998" i="14"/>
  <c r="O2999" i="14"/>
  <c r="O3000" i="14"/>
  <c r="O3001" i="14"/>
  <c r="O3002" i="14"/>
  <c r="O3003" i="14"/>
  <c r="O3004" i="14"/>
  <c r="O3005" i="14"/>
  <c r="O3006" i="14"/>
  <c r="O3007" i="14"/>
  <c r="O3008" i="14"/>
  <c r="O3009" i="14"/>
  <c r="O3010" i="14"/>
  <c r="O3011" i="14"/>
  <c r="O3012" i="14"/>
  <c r="O3013" i="14"/>
  <c r="O3014" i="14"/>
  <c r="O3015" i="14"/>
  <c r="O3016" i="14"/>
  <c r="O3017" i="14"/>
  <c r="O3018" i="14"/>
  <c r="O3019" i="14"/>
  <c r="O3020" i="14"/>
  <c r="O3021" i="14"/>
  <c r="O3022" i="14"/>
  <c r="O3023" i="14"/>
  <c r="O3024" i="14"/>
  <c r="O3025" i="14"/>
  <c r="O3026" i="14"/>
  <c r="O3027" i="14"/>
  <c r="O3028" i="14"/>
  <c r="O3029" i="14"/>
  <c r="O3030" i="14"/>
  <c r="O3031" i="14"/>
  <c r="O3032" i="14"/>
  <c r="O3033" i="14"/>
  <c r="O3034" i="14"/>
  <c r="O3035" i="14"/>
  <c r="O3036" i="14"/>
  <c r="O3037" i="14"/>
  <c r="O3038" i="14"/>
  <c r="O3039" i="14"/>
  <c r="O3040" i="14"/>
  <c r="O3041" i="14"/>
  <c r="O3042" i="14"/>
  <c r="O3043" i="14"/>
  <c r="O3044" i="14"/>
  <c r="O3045" i="14"/>
  <c r="O3046" i="14"/>
  <c r="O3047" i="14"/>
  <c r="O3048" i="14"/>
  <c r="O3049" i="14"/>
  <c r="O3050" i="14"/>
  <c r="O3051" i="14"/>
  <c r="O3052" i="14"/>
  <c r="O3053" i="14"/>
  <c r="O3054" i="14"/>
  <c r="O3055" i="14"/>
  <c r="O3056" i="14"/>
  <c r="O3057" i="14"/>
  <c r="O3058" i="14"/>
  <c r="O3059" i="14"/>
  <c r="O3060" i="14"/>
  <c r="O3061" i="14"/>
  <c r="O3062" i="14"/>
  <c r="O3063" i="14"/>
  <c r="O3064" i="14"/>
  <c r="O3065" i="14"/>
  <c r="O3066" i="14"/>
  <c r="O3067" i="14"/>
  <c r="O3068" i="14"/>
  <c r="O3069" i="14"/>
  <c r="O3070" i="14"/>
  <c r="O3071" i="14"/>
  <c r="O3072" i="14"/>
  <c r="O3073" i="14"/>
  <c r="O3074" i="14"/>
  <c r="O3075" i="14"/>
  <c r="O3076" i="14"/>
  <c r="O3077" i="14"/>
  <c r="O3078" i="14"/>
  <c r="O3079" i="14"/>
  <c r="O3080" i="14"/>
  <c r="O3081" i="14"/>
  <c r="O3082" i="14"/>
  <c r="O3083" i="14"/>
  <c r="O3084" i="14"/>
  <c r="O3085" i="14"/>
  <c r="O3086" i="14"/>
  <c r="O3087" i="14"/>
  <c r="O3088" i="14"/>
  <c r="O3089" i="14"/>
  <c r="O3090" i="14"/>
  <c r="O3091" i="14"/>
  <c r="O3092" i="14"/>
  <c r="O3093" i="14"/>
  <c r="O3094" i="14"/>
  <c r="O3095" i="14"/>
  <c r="O3096" i="14"/>
  <c r="O3097" i="14"/>
  <c r="O3098" i="14"/>
  <c r="O3099" i="14"/>
  <c r="O3100" i="14"/>
  <c r="O3101" i="14"/>
  <c r="O3102" i="14"/>
  <c r="O3103" i="14"/>
  <c r="O3104" i="14"/>
  <c r="O3105" i="14"/>
  <c r="O3106" i="14"/>
  <c r="O3107" i="14"/>
  <c r="O3108" i="14"/>
  <c r="O3109" i="14"/>
  <c r="O3110" i="14"/>
  <c r="O3111" i="14"/>
  <c r="O3112" i="14"/>
  <c r="O3113" i="14"/>
  <c r="O3114" i="14"/>
  <c r="O3115" i="14"/>
  <c r="O3116" i="14"/>
  <c r="O3117" i="14"/>
  <c r="O3118" i="14"/>
  <c r="O3119" i="14"/>
  <c r="O3120" i="14"/>
  <c r="O3121" i="14"/>
  <c r="O3122" i="14"/>
  <c r="O3123" i="14"/>
  <c r="O3124" i="14"/>
  <c r="O3125" i="14"/>
  <c r="O3126" i="14"/>
  <c r="O3127" i="14"/>
  <c r="O3128" i="14"/>
  <c r="O3129" i="14"/>
  <c r="O3130" i="14"/>
  <c r="O3131" i="14"/>
  <c r="O3132" i="14"/>
  <c r="O3133" i="14"/>
  <c r="O3134" i="14"/>
  <c r="O3135" i="14"/>
  <c r="O3136" i="14"/>
  <c r="O3137" i="14"/>
  <c r="O3138" i="14"/>
  <c r="O3139" i="14"/>
  <c r="O3140" i="14"/>
  <c r="O3141" i="14"/>
  <c r="O3142" i="14"/>
  <c r="O3143" i="14"/>
  <c r="O3144" i="14"/>
  <c r="O3145" i="14"/>
  <c r="O3146" i="14"/>
  <c r="O3147" i="14"/>
  <c r="O3148" i="14"/>
  <c r="O3149" i="14"/>
  <c r="O3150" i="14"/>
  <c r="O3151" i="14"/>
  <c r="O3152" i="14"/>
  <c r="O3153" i="14"/>
  <c r="O3154" i="14"/>
  <c r="O3155" i="14"/>
  <c r="O3156" i="14"/>
  <c r="O3157" i="14"/>
  <c r="O3158" i="14"/>
  <c r="O3159" i="14"/>
  <c r="O3160" i="14"/>
  <c r="O3161" i="14"/>
  <c r="O3162" i="14"/>
  <c r="O3163" i="14"/>
  <c r="O3164" i="14"/>
  <c r="O3165" i="14"/>
  <c r="O3166" i="14"/>
  <c r="O3167" i="14"/>
  <c r="O3168" i="14"/>
  <c r="O3169" i="14"/>
  <c r="O3170" i="14"/>
  <c r="O3171" i="14"/>
  <c r="O3172" i="14"/>
  <c r="O3173" i="14"/>
  <c r="O3174" i="14"/>
  <c r="O3175" i="14"/>
  <c r="O3176" i="14"/>
  <c r="O3177" i="14"/>
  <c r="O3178" i="14"/>
  <c r="O3179" i="14"/>
  <c r="O3180" i="14"/>
  <c r="O3181" i="14"/>
  <c r="O3182" i="14"/>
  <c r="O3183" i="14"/>
  <c r="O3184" i="14"/>
  <c r="O3185" i="14"/>
  <c r="O3186" i="14"/>
  <c r="O3187" i="14"/>
  <c r="O3188" i="14"/>
  <c r="O3189" i="14"/>
  <c r="O3190" i="14"/>
  <c r="O3191" i="14"/>
  <c r="O3192" i="14"/>
  <c r="O3193" i="14"/>
  <c r="O3194" i="14"/>
  <c r="O3195" i="14"/>
  <c r="O3196" i="14"/>
  <c r="O3197" i="14"/>
  <c r="O3198" i="14"/>
  <c r="O3199" i="14"/>
  <c r="O3200" i="14"/>
  <c r="O3201" i="14"/>
  <c r="O3202" i="14"/>
  <c r="O3203" i="14"/>
  <c r="O3204" i="14"/>
  <c r="O3205" i="14"/>
  <c r="O3206" i="14"/>
  <c r="O3207" i="14"/>
  <c r="O3208" i="14"/>
  <c r="O3209" i="14"/>
  <c r="O3210" i="14"/>
  <c r="O3211" i="14"/>
  <c r="O3212" i="14"/>
  <c r="O3213" i="14"/>
  <c r="O3214" i="14"/>
  <c r="O3215" i="14"/>
  <c r="O3216" i="14"/>
  <c r="O3217" i="14"/>
  <c r="O3218" i="14"/>
  <c r="O3219" i="14"/>
  <c r="O3220" i="14"/>
  <c r="O3221" i="14"/>
  <c r="O3222" i="14"/>
  <c r="O3223" i="14"/>
  <c r="O3224" i="14"/>
  <c r="O3225" i="14"/>
  <c r="O3226" i="14"/>
  <c r="O3227" i="14"/>
  <c r="O3228" i="14"/>
  <c r="O3229" i="14"/>
  <c r="O3230" i="14"/>
  <c r="O3231" i="14"/>
  <c r="O3232" i="14"/>
  <c r="O3233" i="14"/>
  <c r="O3234" i="14"/>
  <c r="O3235" i="14"/>
  <c r="O3236" i="14"/>
  <c r="O3237" i="14"/>
  <c r="O3238" i="14"/>
  <c r="O3239" i="14"/>
  <c r="O3240" i="14"/>
  <c r="O3241" i="14"/>
  <c r="O3242" i="14"/>
  <c r="O3243" i="14"/>
  <c r="O3244" i="14"/>
  <c r="O3245" i="14"/>
  <c r="O3246" i="14"/>
  <c r="O3247" i="14"/>
  <c r="O3248" i="14"/>
  <c r="O3249" i="14"/>
  <c r="O3250" i="14"/>
  <c r="O3251" i="14"/>
  <c r="O3252" i="14"/>
  <c r="O3253" i="14"/>
  <c r="O3254" i="14"/>
  <c r="O3255" i="14"/>
  <c r="O3256" i="14"/>
  <c r="O3257" i="14"/>
  <c r="O3258" i="14"/>
  <c r="O3259" i="14"/>
  <c r="O3260" i="14"/>
  <c r="O3261" i="14"/>
  <c r="O3262" i="14"/>
  <c r="O3263" i="14"/>
  <c r="O3264" i="14"/>
  <c r="O3265" i="14"/>
  <c r="O3266" i="14"/>
  <c r="O3267" i="14"/>
  <c r="O3268" i="14"/>
  <c r="O3269" i="14"/>
  <c r="O3270" i="14"/>
  <c r="O3271" i="14"/>
  <c r="O3272" i="14"/>
  <c r="O3273" i="14"/>
  <c r="O3274" i="14"/>
  <c r="O3275" i="14"/>
  <c r="O3276" i="14"/>
  <c r="O3277" i="14"/>
  <c r="O3278" i="14"/>
  <c r="O3279" i="14"/>
  <c r="O3280" i="14"/>
  <c r="O3281" i="14"/>
  <c r="O3282" i="14"/>
  <c r="O3283" i="14"/>
  <c r="O3284" i="14"/>
  <c r="O3285" i="14"/>
  <c r="O3286" i="14"/>
  <c r="O3287" i="14"/>
  <c r="O3288" i="14"/>
  <c r="O3289" i="14"/>
  <c r="O3290" i="14"/>
  <c r="O3291" i="14"/>
  <c r="O3292" i="14"/>
  <c r="O3293" i="14"/>
  <c r="O3294" i="14"/>
  <c r="O3295" i="14"/>
  <c r="O3296" i="14"/>
  <c r="O3297" i="14"/>
  <c r="O3298" i="14"/>
  <c r="O3299" i="14"/>
  <c r="O3300" i="14"/>
  <c r="O3301" i="14"/>
  <c r="O3302" i="14"/>
  <c r="O3303" i="14"/>
  <c r="O3304" i="14"/>
  <c r="O3305" i="14"/>
  <c r="O3306" i="14"/>
  <c r="O3307" i="14"/>
  <c r="O3308" i="14"/>
  <c r="O3309" i="14"/>
  <c r="O3310" i="14"/>
  <c r="O3311" i="14"/>
  <c r="O3312" i="14"/>
  <c r="O3313" i="14"/>
  <c r="O3314" i="14"/>
  <c r="O3315" i="14"/>
  <c r="O3316" i="14"/>
  <c r="O3317" i="14"/>
  <c r="O3318" i="14"/>
  <c r="O3319" i="14"/>
  <c r="O3320" i="14"/>
  <c r="O3321" i="14"/>
  <c r="O3322" i="14"/>
  <c r="O3323" i="14"/>
  <c r="O3324" i="14"/>
  <c r="O3325" i="14"/>
  <c r="O3326" i="14"/>
  <c r="O3327" i="14"/>
  <c r="O3328" i="14"/>
  <c r="O3329" i="14"/>
  <c r="O3330" i="14"/>
  <c r="O3331" i="14"/>
  <c r="O3332" i="14"/>
  <c r="O3333" i="14"/>
  <c r="O3334" i="14"/>
  <c r="O3335" i="14"/>
  <c r="O3336" i="14"/>
  <c r="O3337" i="14"/>
  <c r="O3338" i="14"/>
  <c r="O3339" i="14"/>
  <c r="O3340" i="14"/>
  <c r="O3341" i="14"/>
  <c r="O3342" i="14"/>
  <c r="O3343" i="14"/>
  <c r="O3344" i="14"/>
  <c r="O3345" i="14"/>
  <c r="O3346" i="14"/>
  <c r="O3347" i="14"/>
  <c r="O3348" i="14"/>
  <c r="O3349" i="14"/>
  <c r="O3350" i="14"/>
  <c r="O3351" i="14"/>
  <c r="O3352" i="14"/>
  <c r="O3353" i="14"/>
  <c r="O3354" i="14"/>
  <c r="O3355" i="14"/>
  <c r="O3356" i="14"/>
  <c r="O3357" i="14"/>
  <c r="O3358" i="14"/>
  <c r="O3359" i="14"/>
  <c r="O3360" i="14"/>
  <c r="O3361" i="14"/>
  <c r="O3362" i="14"/>
  <c r="O3363" i="14"/>
  <c r="O3364" i="14"/>
  <c r="O3365" i="14"/>
  <c r="O3366" i="14"/>
  <c r="O3367" i="14"/>
  <c r="O3368" i="14"/>
  <c r="O3369" i="14"/>
  <c r="O3370" i="14"/>
  <c r="O3371" i="14"/>
  <c r="O3372" i="14"/>
  <c r="O3373" i="14"/>
  <c r="O3374" i="14"/>
  <c r="O3375" i="14"/>
  <c r="O3376" i="14"/>
  <c r="O3377" i="14"/>
  <c r="O3378" i="14"/>
  <c r="O3379" i="14"/>
  <c r="O3380" i="14"/>
  <c r="O3381" i="14"/>
  <c r="O3382" i="14"/>
  <c r="O3383" i="14"/>
  <c r="O3384" i="14"/>
  <c r="O3385" i="14"/>
  <c r="O3386" i="14"/>
  <c r="O3387" i="14"/>
  <c r="O3388" i="14"/>
  <c r="O3389" i="14"/>
  <c r="O3390" i="14"/>
  <c r="O3391" i="14"/>
  <c r="O3392" i="14"/>
  <c r="O3393" i="14"/>
  <c r="O3394" i="14"/>
  <c r="O3395" i="14"/>
  <c r="O3396" i="14"/>
  <c r="O3397" i="14"/>
  <c r="O3398" i="14"/>
  <c r="O3399" i="14"/>
  <c r="O3400" i="14"/>
  <c r="O3401" i="14"/>
  <c r="O3402" i="14"/>
  <c r="O3403" i="14"/>
  <c r="O3404" i="14"/>
  <c r="O3405" i="14"/>
  <c r="O3406" i="14"/>
  <c r="O3407" i="14"/>
  <c r="O3408" i="14"/>
  <c r="O3409" i="14"/>
  <c r="O3410" i="14"/>
  <c r="O3411" i="14"/>
  <c r="O3412" i="14"/>
  <c r="O3413" i="14"/>
  <c r="O3414" i="14"/>
  <c r="O3415" i="14"/>
  <c r="O3416" i="14"/>
  <c r="O3417" i="14"/>
  <c r="O3418" i="14"/>
  <c r="O3419" i="14"/>
  <c r="O3420" i="14"/>
  <c r="O3421" i="14"/>
  <c r="O3422" i="14"/>
  <c r="O3423" i="14"/>
  <c r="O3424" i="14"/>
  <c r="O3425" i="14"/>
  <c r="O3426" i="14"/>
  <c r="O3427" i="14"/>
  <c r="O3428" i="14"/>
  <c r="O3429" i="14"/>
  <c r="O3430" i="14"/>
  <c r="O3431" i="14"/>
  <c r="O3432" i="14"/>
  <c r="O3433" i="14"/>
  <c r="O3434" i="14"/>
  <c r="O3435" i="14"/>
  <c r="O3436" i="14"/>
  <c r="O3437" i="14"/>
  <c r="O3438" i="14"/>
  <c r="O3439" i="14"/>
  <c r="O3440" i="14"/>
  <c r="O3441" i="14"/>
  <c r="O3442" i="14"/>
  <c r="O3443" i="14"/>
  <c r="O3444" i="14"/>
  <c r="O3445" i="14"/>
  <c r="O3446" i="14"/>
  <c r="O3447" i="14"/>
  <c r="O3448" i="14"/>
  <c r="O3449" i="14"/>
  <c r="O3450" i="14"/>
  <c r="O3451" i="14"/>
  <c r="O3452" i="14"/>
  <c r="O3453" i="14"/>
  <c r="O3454" i="14"/>
  <c r="O3455" i="14"/>
  <c r="O3456" i="14"/>
  <c r="O3457" i="14"/>
  <c r="O3458" i="14"/>
  <c r="O3459" i="14"/>
  <c r="O3460" i="14"/>
  <c r="O3461" i="14"/>
  <c r="O3462" i="14"/>
  <c r="O3463" i="14"/>
  <c r="O3464" i="14"/>
  <c r="O3465" i="14"/>
  <c r="O3466" i="14"/>
  <c r="O3467" i="14"/>
  <c r="O3468" i="14"/>
  <c r="O3469" i="14"/>
  <c r="O3470" i="14"/>
  <c r="O3471" i="14"/>
  <c r="O3472" i="14"/>
  <c r="O3473" i="14"/>
  <c r="O3474" i="14"/>
  <c r="O3475" i="14"/>
  <c r="O3476" i="14"/>
  <c r="O3477" i="14"/>
  <c r="O3478" i="14"/>
  <c r="O3479" i="14"/>
  <c r="O3480" i="14"/>
  <c r="O3481" i="14"/>
  <c r="O3482" i="14"/>
  <c r="O3483" i="14"/>
  <c r="O3484" i="14"/>
  <c r="O3485" i="14"/>
  <c r="O3486" i="14"/>
  <c r="O3487" i="14"/>
  <c r="O3488" i="14"/>
  <c r="O3489" i="14"/>
  <c r="O3490" i="14"/>
  <c r="O3491" i="14"/>
  <c r="O3492" i="14"/>
  <c r="O3493" i="14"/>
  <c r="O3494" i="14"/>
  <c r="O3495" i="14"/>
  <c r="O3496" i="14"/>
  <c r="O3497" i="14"/>
  <c r="O3498" i="14"/>
  <c r="O3499" i="14"/>
  <c r="O3500" i="14"/>
  <c r="O3501" i="14"/>
  <c r="O3502" i="14"/>
  <c r="O3503" i="14"/>
  <c r="O3504" i="14"/>
  <c r="O3505" i="14"/>
  <c r="O3506" i="14"/>
  <c r="O3507" i="14"/>
  <c r="O3508" i="14"/>
  <c r="O3509" i="14"/>
  <c r="O3510" i="14"/>
  <c r="O3511" i="14"/>
  <c r="O3512" i="14"/>
  <c r="O3513" i="14"/>
  <c r="O3514" i="14"/>
  <c r="O3515" i="14"/>
  <c r="O3516" i="14"/>
  <c r="O3517" i="14"/>
  <c r="O3518" i="14"/>
  <c r="O3519" i="14"/>
  <c r="O3520" i="14"/>
  <c r="O3521" i="14"/>
  <c r="O3522" i="14"/>
  <c r="O3523" i="14"/>
  <c r="O3524" i="14"/>
  <c r="O3525" i="14"/>
  <c r="O3526" i="14"/>
  <c r="O3527" i="14"/>
  <c r="O3528" i="14"/>
  <c r="O3529" i="14"/>
  <c r="O3530" i="14"/>
  <c r="O3531" i="14"/>
  <c r="O3532" i="14"/>
  <c r="O3533" i="14"/>
  <c r="O3534" i="14"/>
  <c r="O3535" i="14"/>
  <c r="O3536" i="14"/>
  <c r="O3537" i="14"/>
  <c r="O3538" i="14"/>
  <c r="O3539" i="14"/>
  <c r="O3540" i="14"/>
  <c r="O3541" i="14"/>
  <c r="O3542" i="14"/>
  <c r="O3543" i="14"/>
  <c r="O3544" i="14"/>
  <c r="O3545" i="14"/>
  <c r="O3546" i="14"/>
  <c r="O3547" i="14"/>
  <c r="O3548" i="14"/>
  <c r="O3549" i="14"/>
  <c r="O3550" i="14"/>
  <c r="O3551" i="14"/>
  <c r="O3552" i="14"/>
  <c r="O3553" i="14"/>
  <c r="O3554" i="14"/>
  <c r="O3555" i="14"/>
  <c r="O3556" i="14"/>
  <c r="O3557" i="14"/>
  <c r="O3558" i="14"/>
  <c r="O3559" i="14"/>
  <c r="O3560" i="14"/>
  <c r="O3561" i="14"/>
  <c r="O3562" i="14"/>
  <c r="O3563" i="14"/>
  <c r="O3564" i="14"/>
  <c r="O3565" i="14"/>
  <c r="O3566" i="14"/>
  <c r="O3567" i="14"/>
  <c r="O3568" i="14"/>
  <c r="O3569" i="14"/>
  <c r="O3570" i="14"/>
  <c r="O3571" i="14"/>
  <c r="O3572" i="14"/>
  <c r="O3573" i="14"/>
  <c r="O3574" i="14"/>
  <c r="O3575" i="14"/>
  <c r="O3576" i="14"/>
  <c r="O3577" i="14"/>
  <c r="O3578" i="14"/>
  <c r="O3579" i="14"/>
  <c r="O3580" i="14"/>
  <c r="O3581" i="14"/>
  <c r="O3582" i="14"/>
  <c r="O3583" i="14"/>
  <c r="O3584" i="14"/>
  <c r="O3585" i="14"/>
  <c r="O3586" i="14"/>
  <c r="O3587" i="14"/>
  <c r="O3588" i="14"/>
  <c r="O3589" i="14"/>
  <c r="O3590" i="14"/>
  <c r="O3591" i="14"/>
  <c r="O3592" i="14"/>
  <c r="O3593" i="14"/>
  <c r="O3594" i="14"/>
  <c r="O3595" i="14"/>
  <c r="O3596" i="14"/>
  <c r="O3597" i="14"/>
  <c r="O3598" i="14"/>
  <c r="O3599" i="14"/>
  <c r="O3600" i="14"/>
  <c r="O3601" i="14"/>
  <c r="O3602" i="14"/>
  <c r="O3603" i="14"/>
  <c r="O3604" i="14"/>
  <c r="O3605" i="14"/>
  <c r="O3606" i="14"/>
  <c r="O3607" i="14"/>
  <c r="O3608" i="14"/>
  <c r="O3609" i="14"/>
  <c r="O3610" i="14"/>
  <c r="O3611" i="14"/>
  <c r="O3612" i="14"/>
  <c r="O3613" i="14"/>
  <c r="O3614" i="14"/>
  <c r="O3615" i="14"/>
  <c r="O3616" i="14"/>
  <c r="O3617" i="14"/>
  <c r="O3618" i="14"/>
  <c r="O3619" i="14"/>
  <c r="O3620" i="14"/>
  <c r="O3621" i="14"/>
  <c r="O3622" i="14"/>
  <c r="O3623" i="14"/>
  <c r="O3624" i="14"/>
  <c r="O3625" i="14"/>
  <c r="O3626" i="14"/>
  <c r="O3627" i="14"/>
  <c r="O3628" i="14"/>
  <c r="O3629" i="14"/>
  <c r="O3630" i="14"/>
  <c r="O3631" i="14"/>
  <c r="O3632" i="14"/>
  <c r="O3633" i="14"/>
  <c r="O3634" i="14"/>
  <c r="O3635" i="14"/>
  <c r="O3636" i="14"/>
  <c r="O3637" i="14"/>
  <c r="O3638" i="14"/>
  <c r="O3639" i="14"/>
  <c r="O3640" i="14"/>
  <c r="O3641" i="14"/>
  <c r="O3642" i="14"/>
  <c r="O3643" i="14"/>
  <c r="O3644" i="14"/>
  <c r="O3645" i="14"/>
  <c r="O3646" i="14"/>
  <c r="O3647" i="14"/>
  <c r="O3648" i="14"/>
  <c r="O3649" i="14"/>
  <c r="O3650" i="14"/>
  <c r="O3651" i="14"/>
  <c r="O3652" i="14"/>
  <c r="O3653" i="14"/>
  <c r="O3654" i="14"/>
  <c r="O3655" i="14"/>
  <c r="O3656" i="14"/>
  <c r="O3657" i="14"/>
  <c r="O3658" i="14"/>
  <c r="O3659" i="14"/>
  <c r="O3660" i="14"/>
  <c r="O3661" i="14"/>
  <c r="O3662" i="14"/>
  <c r="O3663" i="14"/>
  <c r="O3664" i="14"/>
  <c r="O3665" i="14"/>
  <c r="O3666" i="14"/>
  <c r="O3667" i="14"/>
  <c r="O3668" i="14"/>
  <c r="O3669" i="14"/>
  <c r="O3670" i="14"/>
  <c r="O3671" i="14"/>
  <c r="O3672" i="14"/>
  <c r="O3673" i="14"/>
  <c r="O3674" i="14"/>
  <c r="O3675" i="14"/>
  <c r="O3676" i="14"/>
  <c r="O3677" i="14"/>
  <c r="O3678" i="14"/>
  <c r="O3679" i="14"/>
  <c r="O3680" i="14"/>
  <c r="O3681" i="14"/>
  <c r="O3682" i="14"/>
  <c r="O3683" i="14"/>
  <c r="O3684" i="14"/>
  <c r="O3685" i="14"/>
  <c r="O3686" i="14"/>
  <c r="O3687" i="14"/>
  <c r="O3688" i="14"/>
  <c r="O3689" i="14"/>
  <c r="O3690" i="14"/>
  <c r="O3691" i="14"/>
  <c r="O3692" i="14"/>
  <c r="O3693" i="14"/>
  <c r="O3694" i="14"/>
  <c r="O3695" i="14"/>
  <c r="O3696" i="14"/>
  <c r="O3697" i="14"/>
  <c r="O3698" i="14"/>
  <c r="O3699" i="14"/>
  <c r="O3700" i="14"/>
  <c r="O3701" i="14"/>
  <c r="O3702" i="14"/>
  <c r="O3703" i="14"/>
  <c r="O3704" i="14"/>
  <c r="O3705" i="14"/>
  <c r="O3706" i="14"/>
  <c r="O3707" i="14"/>
  <c r="O3708" i="14"/>
  <c r="O3709" i="14"/>
  <c r="O3710" i="14"/>
  <c r="O3711" i="14"/>
  <c r="O3712" i="14"/>
  <c r="O3713" i="14"/>
  <c r="O3714" i="14"/>
  <c r="O3715" i="14"/>
  <c r="O3716" i="14"/>
  <c r="O3717" i="14"/>
  <c r="O3718" i="14"/>
  <c r="O3719" i="14"/>
  <c r="O3720" i="14"/>
  <c r="O3721" i="14"/>
  <c r="O3722" i="14"/>
  <c r="O3723" i="14"/>
  <c r="O3724" i="14"/>
  <c r="O3725" i="14"/>
  <c r="O3726" i="14"/>
  <c r="O3727" i="14"/>
  <c r="O3728" i="14"/>
  <c r="O3729" i="14"/>
  <c r="O3730" i="14"/>
  <c r="O3731" i="14"/>
  <c r="O3732" i="14"/>
  <c r="O3733" i="14"/>
  <c r="O3734" i="14"/>
  <c r="O3735" i="14"/>
  <c r="O3736" i="14"/>
  <c r="O3737" i="14"/>
  <c r="O3738" i="14"/>
  <c r="O3739" i="14"/>
  <c r="O3740" i="14"/>
  <c r="O3741" i="14"/>
  <c r="O3742" i="14"/>
  <c r="O3743" i="14"/>
  <c r="O3744" i="14"/>
  <c r="O3745" i="14"/>
  <c r="O3746" i="14"/>
  <c r="O3747" i="14"/>
  <c r="O3748" i="14"/>
  <c r="O3749" i="14"/>
  <c r="O3750" i="14"/>
  <c r="O3751" i="14"/>
  <c r="O3752" i="14"/>
  <c r="O3753" i="14"/>
  <c r="O3754" i="14"/>
  <c r="O3755" i="14"/>
  <c r="O3756" i="14"/>
  <c r="O3757" i="14"/>
  <c r="O3758" i="14"/>
  <c r="O3759" i="14"/>
  <c r="O3760" i="14"/>
  <c r="O3761" i="14"/>
  <c r="O3762" i="14"/>
  <c r="O3763" i="14"/>
  <c r="O3764" i="14"/>
  <c r="O3765" i="14"/>
  <c r="O3766" i="14"/>
  <c r="O3767" i="14"/>
  <c r="O3768" i="14"/>
  <c r="O3769" i="14"/>
  <c r="O3770" i="14"/>
  <c r="O3771" i="14"/>
  <c r="O3772" i="14"/>
  <c r="O3773" i="14"/>
  <c r="O3774" i="14"/>
  <c r="O3775" i="14"/>
  <c r="O3776" i="14"/>
  <c r="O3777" i="14"/>
  <c r="O3778" i="14"/>
  <c r="O3779" i="14"/>
  <c r="O3780" i="14"/>
  <c r="O3781" i="14"/>
  <c r="O3782" i="14"/>
  <c r="O3783" i="14"/>
  <c r="O3784" i="14"/>
  <c r="O3785" i="14"/>
  <c r="O3786" i="14"/>
  <c r="O3787" i="14"/>
  <c r="O3788" i="14"/>
  <c r="O3789" i="14"/>
  <c r="O3790" i="14"/>
  <c r="O3791" i="14"/>
  <c r="O3792" i="14"/>
  <c r="O3793" i="14"/>
  <c r="O3794" i="14"/>
  <c r="O3795" i="14"/>
  <c r="O3796" i="14"/>
  <c r="O3797" i="14"/>
  <c r="O3798" i="14"/>
  <c r="O3799" i="14"/>
  <c r="O3800" i="14"/>
  <c r="O3801" i="14"/>
  <c r="O3802" i="14"/>
  <c r="O3803" i="14"/>
  <c r="O3804" i="14"/>
  <c r="O3805" i="14"/>
  <c r="O3806" i="14"/>
  <c r="O3807" i="14"/>
  <c r="O3808" i="14"/>
  <c r="O3809" i="14"/>
  <c r="O3810" i="14"/>
  <c r="O3811" i="14"/>
  <c r="O3812" i="14"/>
  <c r="O3813" i="14"/>
  <c r="O3814" i="14"/>
  <c r="O3815" i="14"/>
  <c r="O3816" i="14"/>
  <c r="O3817" i="14"/>
  <c r="O3818" i="14"/>
  <c r="O3819" i="14"/>
  <c r="O3820" i="14"/>
  <c r="O3821" i="14"/>
  <c r="O3822" i="14"/>
  <c r="O3823" i="14"/>
  <c r="O3824" i="14"/>
  <c r="O3825" i="14"/>
  <c r="O3826" i="14"/>
  <c r="O3827" i="14"/>
  <c r="O3828" i="14"/>
  <c r="O3829" i="14"/>
  <c r="O3830" i="14"/>
  <c r="O3831" i="14"/>
  <c r="O3832" i="14"/>
  <c r="O3833" i="14"/>
  <c r="O3834" i="14"/>
  <c r="O3835" i="14"/>
  <c r="O3836" i="14"/>
  <c r="O3837" i="14"/>
  <c r="O3838" i="14"/>
  <c r="O3839" i="14"/>
  <c r="O3840" i="14"/>
  <c r="O3841" i="14"/>
  <c r="O3842" i="14"/>
  <c r="O3843" i="14"/>
  <c r="O3844" i="14"/>
  <c r="O3845" i="14"/>
  <c r="O3846" i="14"/>
  <c r="O3847" i="14"/>
  <c r="O3848" i="14"/>
  <c r="O3849" i="14"/>
  <c r="O3850" i="14"/>
  <c r="O3851" i="14"/>
  <c r="O3852" i="14"/>
  <c r="O3853" i="14"/>
  <c r="O3854" i="14"/>
  <c r="O3855" i="14"/>
  <c r="O3856" i="14"/>
  <c r="O3857" i="14"/>
  <c r="O3858" i="14"/>
  <c r="O3875" i="14"/>
  <c r="O3876" i="14"/>
  <c r="O3877" i="14"/>
  <c r="O3878" i="14"/>
  <c r="O3879" i="14"/>
  <c r="O3880" i="14"/>
  <c r="O3881" i="14"/>
  <c r="O3882" i="14"/>
  <c r="O3883" i="14"/>
  <c r="O3884" i="14"/>
  <c r="O3885" i="14"/>
  <c r="O3886" i="14"/>
  <c r="O3887" i="14"/>
  <c r="O3888" i="14"/>
  <c r="O3889" i="14"/>
  <c r="O3890" i="14"/>
  <c r="O3891" i="14"/>
  <c r="O3892" i="14"/>
  <c r="O3893" i="14"/>
  <c r="O3894" i="14"/>
  <c r="O3895" i="14"/>
  <c r="O3896" i="14"/>
  <c r="O3897" i="14"/>
  <c r="O3898" i="14"/>
  <c r="O3899" i="14"/>
  <c r="O3900" i="14"/>
  <c r="O3901" i="14"/>
  <c r="O3902" i="14"/>
  <c r="O3903" i="14"/>
  <c r="O3904" i="14"/>
  <c r="O3905" i="14"/>
  <c r="O3906" i="14"/>
  <c r="O3907" i="14"/>
  <c r="O3908" i="14"/>
  <c r="O3909" i="14"/>
  <c r="O3910" i="14"/>
  <c r="O3911" i="14"/>
  <c r="O3912" i="14"/>
  <c r="O3913" i="14"/>
  <c r="O3914" i="14"/>
  <c r="O3915" i="14"/>
  <c r="O3916" i="14"/>
  <c r="O3917" i="14"/>
  <c r="O3918" i="14"/>
  <c r="O3919" i="14"/>
  <c r="O3920" i="14"/>
  <c r="O3921" i="14"/>
  <c r="O3922" i="14"/>
  <c r="O3923" i="14"/>
  <c r="O3924" i="14"/>
  <c r="O3925" i="14"/>
  <c r="O3926" i="14"/>
  <c r="O3927" i="14"/>
  <c r="O3928" i="14"/>
  <c r="O3929" i="14"/>
  <c r="O3930" i="14"/>
  <c r="O3931" i="14"/>
  <c r="O3932" i="14"/>
  <c r="O3933" i="14"/>
  <c r="O3934" i="14"/>
  <c r="O3935" i="14"/>
  <c r="O3936" i="14"/>
  <c r="O3937" i="14"/>
  <c r="O3938" i="14"/>
  <c r="O3939" i="14"/>
  <c r="O3940" i="14"/>
  <c r="O3941" i="14"/>
  <c r="O3942" i="14"/>
  <c r="O3943" i="14"/>
  <c r="O3944" i="14"/>
  <c r="O3945" i="14"/>
  <c r="O3946" i="14"/>
  <c r="O3947" i="14"/>
  <c r="O3948" i="14"/>
  <c r="O3949" i="14"/>
  <c r="O3950" i="14"/>
  <c r="O3951" i="14"/>
  <c r="O3952" i="14"/>
  <c r="O3953" i="14"/>
  <c r="O3954" i="14"/>
  <c r="O3955" i="14"/>
  <c r="O3956" i="14"/>
  <c r="O3957" i="14"/>
  <c r="O3958" i="14"/>
  <c r="O3959" i="14"/>
  <c r="O3960" i="14"/>
  <c r="O3961" i="14"/>
  <c r="O3962" i="14"/>
  <c r="O3963" i="14"/>
  <c r="O3964" i="14"/>
  <c r="O3965" i="14"/>
  <c r="O3966" i="14"/>
  <c r="O3967" i="14"/>
  <c r="O3968" i="14"/>
  <c r="O3969" i="14"/>
  <c r="O3970" i="14"/>
  <c r="O3971" i="14"/>
  <c r="O3972" i="14"/>
  <c r="O3973" i="14"/>
  <c r="O3974" i="14"/>
  <c r="O3975" i="14"/>
  <c r="O3976" i="14"/>
  <c r="O3977" i="14"/>
  <c r="O3978" i="14"/>
  <c r="O3979" i="14"/>
  <c r="O3980" i="14"/>
  <c r="O3981" i="14"/>
  <c r="O3982" i="14"/>
  <c r="O3983" i="14"/>
  <c r="O3984" i="14"/>
  <c r="O3985" i="14"/>
  <c r="O3986" i="14"/>
  <c r="O3987" i="14"/>
  <c r="O3988" i="14"/>
  <c r="O3989" i="14"/>
  <c r="O3990" i="14"/>
  <c r="O3991" i="14"/>
  <c r="O3992" i="14"/>
  <c r="O3993" i="14"/>
  <c r="O3994" i="14"/>
  <c r="O3995" i="14"/>
  <c r="O3996" i="14"/>
  <c r="O3997" i="14"/>
  <c r="O3998" i="14"/>
  <c r="O3999" i="14"/>
  <c r="O4000" i="14"/>
  <c r="O4001" i="14"/>
  <c r="O4002" i="14"/>
  <c r="O4003" i="14"/>
  <c r="O4004" i="14"/>
  <c r="O4005" i="14"/>
  <c r="O4006" i="14"/>
  <c r="O4007" i="14"/>
  <c r="O4008" i="14"/>
  <c r="O4009" i="14"/>
  <c r="O4010" i="14"/>
  <c r="O4011" i="14"/>
  <c r="O4012" i="14"/>
  <c r="O4013" i="14"/>
  <c r="O4014" i="14"/>
  <c r="O4015" i="14"/>
  <c r="O4016" i="14"/>
  <c r="O4017" i="14"/>
  <c r="O4018" i="14"/>
  <c r="O4019" i="14"/>
  <c r="O4020" i="14"/>
  <c r="O4021" i="14"/>
  <c r="O4022" i="14"/>
  <c r="O4023" i="14"/>
  <c r="O4024" i="14"/>
  <c r="O4025" i="14"/>
  <c r="O4026" i="14"/>
  <c r="O4027" i="14"/>
  <c r="O4028" i="14"/>
  <c r="O4029" i="14"/>
  <c r="O4030" i="14"/>
  <c r="O4031" i="14"/>
  <c r="O4032" i="14"/>
  <c r="O4033" i="14"/>
  <c r="O4034" i="14"/>
  <c r="O4035" i="14"/>
  <c r="O4036" i="14"/>
  <c r="O4037" i="14"/>
  <c r="O4038" i="14"/>
  <c r="O4039" i="14"/>
  <c r="O4040" i="14"/>
  <c r="O4041" i="14"/>
  <c r="O4042" i="14"/>
  <c r="O4043" i="14"/>
  <c r="O4044" i="14"/>
  <c r="O4045" i="14"/>
  <c r="O4046" i="14"/>
  <c r="O4047" i="14"/>
  <c r="O4048" i="14"/>
  <c r="O4049" i="14"/>
  <c r="O4050" i="14"/>
  <c r="O4051" i="14"/>
  <c r="O4052" i="14"/>
  <c r="O4053" i="14"/>
  <c r="O4054" i="14"/>
  <c r="O4055" i="14"/>
  <c r="O4056" i="14"/>
  <c r="O4057" i="14"/>
  <c r="O4058" i="14"/>
  <c r="O4059" i="14"/>
  <c r="O4060" i="14"/>
  <c r="O4061" i="14"/>
  <c r="O4062" i="14"/>
  <c r="O4063" i="14"/>
  <c r="O4064" i="14"/>
  <c r="O4065" i="14"/>
  <c r="O4066" i="14"/>
  <c r="O4067" i="14"/>
  <c r="O4068" i="14"/>
  <c r="O4069" i="14"/>
  <c r="O4070" i="14"/>
  <c r="O4071" i="14"/>
  <c r="O4072" i="14"/>
  <c r="O4073" i="14"/>
  <c r="O4074" i="14"/>
  <c r="O4075" i="14"/>
  <c r="O4076" i="14"/>
  <c r="O4077" i="14"/>
  <c r="O4078" i="14"/>
  <c r="O4079" i="14"/>
  <c r="O4080" i="14"/>
  <c r="O4081" i="14"/>
  <c r="O4082" i="14"/>
  <c r="O4083" i="14"/>
  <c r="O4084" i="14"/>
  <c r="O4085" i="14"/>
  <c r="O4086" i="14"/>
  <c r="O4087" i="14"/>
  <c r="O4088" i="14"/>
  <c r="O4089" i="14"/>
  <c r="O4090" i="14"/>
  <c r="O4091" i="14"/>
  <c r="O4092" i="14"/>
  <c r="O4093" i="14"/>
  <c r="O4094" i="14"/>
  <c r="O4095" i="14"/>
  <c r="O4096" i="14"/>
  <c r="O4097" i="14"/>
  <c r="O4098" i="14"/>
  <c r="O4099" i="14"/>
  <c r="O4100" i="14"/>
  <c r="O4101" i="14"/>
  <c r="O4102" i="14"/>
  <c r="O4103" i="14"/>
  <c r="O4104" i="14"/>
  <c r="O4105" i="14"/>
  <c r="O4106" i="14"/>
  <c r="O4107" i="14"/>
  <c r="O4108" i="14"/>
  <c r="O4109" i="14"/>
  <c r="O4110" i="14"/>
  <c r="O4111" i="14"/>
  <c r="O4112" i="14"/>
  <c r="O4113" i="14"/>
  <c r="O4114" i="14"/>
  <c r="O4115" i="14"/>
  <c r="O4116" i="14"/>
  <c r="O4117" i="14"/>
  <c r="O4118" i="14"/>
  <c r="O4119" i="14"/>
  <c r="O4120" i="14"/>
  <c r="O4121" i="14"/>
  <c r="O4122" i="14"/>
  <c r="O4123" i="14"/>
  <c r="O4124" i="14"/>
  <c r="O4125" i="14"/>
  <c r="O4126" i="14"/>
  <c r="O4127" i="14"/>
  <c r="O4128" i="14"/>
  <c r="O4129" i="14"/>
  <c r="O4130" i="14"/>
  <c r="O4131" i="14"/>
  <c r="O4132" i="14"/>
  <c r="O4133" i="14"/>
  <c r="O4134" i="14"/>
  <c r="O4135" i="14"/>
  <c r="O4136" i="14"/>
  <c r="O4137" i="14"/>
  <c r="O4138" i="14"/>
  <c r="O4139" i="14"/>
  <c r="O4140" i="14"/>
  <c r="O4141" i="14"/>
  <c r="O4142" i="14"/>
  <c r="O4143" i="14"/>
  <c r="O4144" i="14"/>
  <c r="O4145" i="14"/>
  <c r="O4146" i="14"/>
  <c r="O4147" i="14"/>
  <c r="O4148" i="14"/>
  <c r="O4149" i="14"/>
  <c r="O4150" i="14"/>
  <c r="O4151" i="14"/>
  <c r="O4152" i="14"/>
  <c r="O4153" i="14"/>
  <c r="O4154" i="14"/>
  <c r="O4155" i="14"/>
  <c r="O4156" i="14"/>
  <c r="O4157" i="14"/>
  <c r="O4158" i="14"/>
  <c r="O4159" i="14"/>
  <c r="O4160" i="14"/>
  <c r="O4161" i="14"/>
  <c r="O4162" i="14"/>
  <c r="O4163" i="14"/>
  <c r="O4164" i="14"/>
  <c r="O4165" i="14"/>
  <c r="O4166" i="14"/>
  <c r="O4167" i="14"/>
  <c r="O4168" i="14"/>
  <c r="O4169" i="14"/>
  <c r="O4170" i="14"/>
  <c r="O4171" i="14"/>
  <c r="O4172" i="14"/>
  <c r="O4173" i="14"/>
  <c r="O4174" i="14"/>
  <c r="O4175" i="14"/>
  <c r="O4176" i="14"/>
  <c r="O4177" i="14"/>
  <c r="O4178" i="14"/>
  <c r="O4179" i="14"/>
  <c r="O4180" i="14"/>
  <c r="O4181" i="14"/>
  <c r="O4182" i="14"/>
  <c r="O4183" i="14"/>
  <c r="O4184" i="14"/>
  <c r="O4185" i="14"/>
  <c r="O4186" i="14"/>
  <c r="O4187" i="14"/>
  <c r="O4188" i="14"/>
  <c r="O4189" i="14"/>
  <c r="O4190" i="14"/>
  <c r="O4191" i="14"/>
  <c r="O4192" i="14"/>
  <c r="O4193" i="14"/>
  <c r="O4194" i="14"/>
  <c r="O4195" i="14"/>
  <c r="O4196" i="14"/>
  <c r="O4197" i="14"/>
  <c r="O4198" i="14"/>
  <c r="O4199" i="14"/>
  <c r="O4200" i="14"/>
  <c r="O4201" i="14"/>
  <c r="O4202" i="14"/>
  <c r="O4203" i="14"/>
  <c r="O4204" i="14"/>
  <c r="O4205" i="14"/>
  <c r="O4206" i="14"/>
  <c r="O4207" i="14"/>
  <c r="O4208" i="14"/>
  <c r="O4209" i="14"/>
  <c r="O4210" i="14"/>
  <c r="O4211" i="14"/>
  <c r="O4212" i="14"/>
  <c r="O4213" i="14"/>
  <c r="O4214" i="14"/>
  <c r="O4215" i="14"/>
  <c r="O4216" i="14"/>
  <c r="O4217" i="14"/>
  <c r="O4218" i="14"/>
  <c r="O4219" i="14"/>
  <c r="O4220" i="14"/>
  <c r="O4221" i="14"/>
  <c r="O4222" i="14"/>
  <c r="O4223" i="14"/>
  <c r="O4224" i="14"/>
  <c r="O4225" i="14"/>
  <c r="O4226" i="14"/>
  <c r="O4227" i="14"/>
  <c r="O4228" i="14"/>
  <c r="O4229" i="14"/>
  <c r="O4230" i="14"/>
  <c r="O4231" i="14"/>
  <c r="O4232" i="14"/>
  <c r="O4233" i="14"/>
  <c r="O4234" i="14"/>
  <c r="O4235" i="14"/>
  <c r="O4236" i="14"/>
  <c r="O4237" i="14"/>
  <c r="O4238" i="14"/>
  <c r="O4239" i="14"/>
  <c r="O4240" i="14"/>
  <c r="O4241" i="14"/>
  <c r="O4242" i="14"/>
  <c r="O4243" i="14"/>
  <c r="O4244" i="14"/>
  <c r="O4245" i="14"/>
  <c r="O4246" i="14"/>
  <c r="O4247" i="14"/>
  <c r="O4248" i="14"/>
  <c r="O4249" i="14"/>
  <c r="O4250" i="14"/>
  <c r="O4251" i="14"/>
  <c r="O4252" i="14"/>
  <c r="O4253" i="14"/>
  <c r="O4254" i="14"/>
  <c r="O4255" i="14"/>
  <c r="O4256" i="14"/>
  <c r="O4257" i="14"/>
  <c r="O4258" i="14"/>
  <c r="O4259" i="14"/>
  <c r="O4260" i="14"/>
  <c r="O4261" i="14"/>
  <c r="O4262" i="14"/>
  <c r="O4263" i="14"/>
  <c r="O4264" i="14"/>
  <c r="O4265" i="14"/>
  <c r="O4266" i="14"/>
  <c r="O4267" i="14"/>
  <c r="O4268" i="14"/>
  <c r="O4269" i="14"/>
  <c r="O4270" i="14"/>
  <c r="O4271" i="14"/>
  <c r="O4272" i="14"/>
  <c r="O4273" i="14"/>
  <c r="O4274" i="14"/>
  <c r="O4275" i="14"/>
  <c r="O4276" i="14"/>
  <c r="O4277" i="14"/>
  <c r="O4278" i="14"/>
  <c r="O4279" i="14"/>
  <c r="O4280" i="14"/>
  <c r="O4281" i="14"/>
  <c r="O4282" i="14"/>
  <c r="O4283" i="14"/>
  <c r="O4284" i="14"/>
  <c r="O4285" i="14"/>
  <c r="O4286" i="14"/>
  <c r="O4287" i="14"/>
  <c r="O4288" i="14"/>
  <c r="O4289" i="14"/>
  <c r="O4290" i="14"/>
  <c r="O4291" i="14"/>
  <c r="O4292" i="14"/>
  <c r="O4293" i="14"/>
  <c r="O4294" i="14"/>
  <c r="O4295" i="14"/>
  <c r="O4296" i="14"/>
  <c r="O4297" i="14"/>
  <c r="O4298" i="14"/>
  <c r="O4299" i="14"/>
  <c r="O4300" i="14"/>
  <c r="O4301" i="14"/>
  <c r="O4302" i="14"/>
  <c r="O4303" i="14"/>
  <c r="O4304" i="14"/>
  <c r="O4305" i="14"/>
  <c r="O4306" i="14"/>
  <c r="O4307" i="14"/>
  <c r="O4308" i="14"/>
  <c r="O4309" i="14"/>
  <c r="O4310" i="14"/>
  <c r="O4311" i="14"/>
  <c r="O4312" i="14"/>
  <c r="O4313" i="14"/>
  <c r="O4314" i="14"/>
  <c r="O4315" i="14"/>
  <c r="O4316" i="14"/>
  <c r="O4317" i="14"/>
  <c r="O4318" i="14"/>
  <c r="O4319" i="14"/>
  <c r="O4320" i="14"/>
  <c r="O4321" i="14"/>
  <c r="O4322" i="14"/>
  <c r="O4323" i="14"/>
  <c r="O4324" i="14"/>
  <c r="O4325" i="14"/>
  <c r="O4326" i="14"/>
  <c r="O4327" i="14"/>
  <c r="O4328" i="14"/>
  <c r="O4329" i="14"/>
  <c r="O4330" i="14"/>
  <c r="O4331" i="14"/>
  <c r="O4332" i="14"/>
  <c r="O4333" i="14"/>
  <c r="O4334" i="14"/>
  <c r="O4335" i="14"/>
  <c r="O4336" i="14"/>
  <c r="O4337" i="14"/>
  <c r="O4338" i="14"/>
  <c r="O4339" i="14"/>
  <c r="O4340" i="14"/>
  <c r="O4341" i="14"/>
  <c r="O4342" i="14"/>
  <c r="O4343" i="14"/>
  <c r="O4344" i="14"/>
  <c r="O4345" i="14"/>
  <c r="O4346" i="14"/>
  <c r="O4347" i="14"/>
  <c r="O4348" i="14"/>
  <c r="O4349" i="14"/>
  <c r="O4350" i="14"/>
  <c r="O4351" i="14"/>
  <c r="O4352" i="14"/>
  <c r="O4353" i="14"/>
  <c r="O4354" i="14"/>
  <c r="O4355" i="14"/>
  <c r="O4356" i="14"/>
  <c r="O4357" i="14"/>
  <c r="O4358" i="14"/>
  <c r="O4359" i="14"/>
  <c r="O4360" i="14"/>
  <c r="O4361" i="14"/>
  <c r="O4362" i="14"/>
  <c r="O4363" i="14"/>
  <c r="O4364" i="14"/>
  <c r="O4365" i="14"/>
  <c r="O4366" i="14"/>
  <c r="O4367" i="14"/>
  <c r="O4368" i="14"/>
  <c r="O4369" i="14"/>
  <c r="O4370" i="14"/>
  <c r="O4371" i="14"/>
  <c r="O4372" i="14"/>
  <c r="O4373" i="14"/>
  <c r="O4374" i="14"/>
  <c r="O4375" i="14"/>
  <c r="O4376" i="14"/>
  <c r="O4377" i="14"/>
  <c r="O4378" i="14"/>
  <c r="O4379" i="14"/>
  <c r="O4380" i="14"/>
  <c r="O4381" i="14"/>
  <c r="O4382" i="14"/>
  <c r="O4383" i="14"/>
  <c r="O4384" i="14"/>
  <c r="O4385" i="14"/>
  <c r="O4386" i="14"/>
  <c r="O4387" i="14"/>
  <c r="O4388" i="14"/>
  <c r="O4389" i="14"/>
  <c r="O4390" i="14"/>
  <c r="O4391" i="14"/>
  <c r="O4392" i="14"/>
  <c r="O4393" i="14"/>
  <c r="O4394" i="14"/>
  <c r="O4395" i="14"/>
  <c r="O4396" i="14"/>
  <c r="O4397" i="14"/>
  <c r="O4398" i="14"/>
  <c r="O4399" i="14"/>
  <c r="O4400" i="14"/>
  <c r="O4401" i="14"/>
  <c r="O4402" i="14"/>
  <c r="O4403" i="14"/>
  <c r="O4404" i="14"/>
  <c r="O4405" i="14"/>
  <c r="O4406" i="14"/>
  <c r="O4407" i="14"/>
  <c r="O4408" i="14"/>
  <c r="O4409" i="14"/>
  <c r="O4410" i="14"/>
  <c r="O4411" i="14"/>
  <c r="O4412" i="14"/>
  <c r="O4413" i="14"/>
  <c r="O4414" i="14"/>
  <c r="O4415" i="14"/>
  <c r="O4416" i="14"/>
  <c r="O4417" i="14"/>
  <c r="O4418" i="14"/>
  <c r="R4418" i="14" l="1"/>
  <c r="R4410" i="14"/>
  <c r="R4402" i="14"/>
  <c r="R4394" i="14"/>
  <c r="R4386" i="14"/>
  <c r="R4378" i="14"/>
  <c r="R4370" i="14"/>
  <c r="R4362" i="14"/>
  <c r="R4354" i="14"/>
  <c r="R4346" i="14"/>
  <c r="R4338" i="14"/>
  <c r="R4330" i="14"/>
  <c r="R4322" i="14"/>
  <c r="R4314" i="14"/>
  <c r="R4306" i="14"/>
  <c r="R4298" i="14"/>
  <c r="R4290" i="14"/>
  <c r="R4282" i="14"/>
  <c r="R4274" i="14"/>
  <c r="R4266" i="14"/>
  <c r="R4258" i="14"/>
  <c r="R4250" i="14"/>
  <c r="R4242" i="14"/>
  <c r="R4234" i="14"/>
  <c r="R4226" i="14"/>
  <c r="R4218" i="14"/>
  <c r="R4210" i="14"/>
  <c r="R4202" i="14"/>
  <c r="R4194" i="14"/>
  <c r="R4186" i="14"/>
  <c r="R4178" i="14"/>
  <c r="R4170" i="14"/>
  <c r="R4162" i="14"/>
  <c r="R4154" i="14"/>
  <c r="R4146" i="14"/>
  <c r="R4138" i="14"/>
  <c r="R4130" i="14"/>
  <c r="R4122" i="14"/>
  <c r="R4114" i="14"/>
  <c r="R4106" i="14"/>
  <c r="R4098" i="14"/>
  <c r="R4090" i="14"/>
  <c r="R4082" i="14"/>
  <c r="R4074" i="14"/>
  <c r="R4066" i="14"/>
  <c r="R4058" i="14"/>
  <c r="R4050" i="14"/>
  <c r="R4042" i="14"/>
  <c r="R4034" i="14"/>
  <c r="R4026" i="14"/>
  <c r="R4018" i="14"/>
  <c r="R4010" i="14"/>
  <c r="R4002" i="14"/>
  <c r="R3994" i="14"/>
  <c r="R3986" i="14"/>
  <c r="R3978" i="14"/>
  <c r="R3970" i="14"/>
  <c r="R3962" i="14"/>
  <c r="R3954" i="14"/>
  <c r="R3946" i="14"/>
  <c r="R3938" i="14"/>
  <c r="R3930" i="14"/>
  <c r="R3922" i="14"/>
  <c r="R3914" i="14"/>
  <c r="R3906" i="14"/>
  <c r="R3898" i="14"/>
  <c r="R3890" i="14"/>
  <c r="R3882" i="14"/>
  <c r="R3858" i="14"/>
  <c r="R3850" i="14"/>
  <c r="R3842" i="14"/>
  <c r="R3834" i="14"/>
  <c r="R3826" i="14"/>
  <c r="R3818" i="14"/>
  <c r="R3810" i="14"/>
  <c r="R3802" i="14"/>
  <c r="R3794" i="14"/>
  <c r="R3786" i="14"/>
  <c r="R3778" i="14"/>
  <c r="R3770" i="14"/>
  <c r="R3762" i="14"/>
  <c r="R3754" i="14"/>
  <c r="R3746" i="14"/>
  <c r="R3738" i="14"/>
  <c r="R3730" i="14"/>
  <c r="R3722" i="14"/>
  <c r="R3714" i="14"/>
  <c r="R3706" i="14"/>
  <c r="R3698" i="14"/>
  <c r="R3690" i="14"/>
  <c r="R3682" i="14"/>
  <c r="R3674" i="14"/>
  <c r="R3666" i="14"/>
  <c r="R3658" i="14"/>
  <c r="R3650" i="14"/>
  <c r="R3642" i="14"/>
  <c r="R3634" i="14"/>
  <c r="R3626" i="14"/>
  <c r="R3618" i="14"/>
  <c r="R3610" i="14"/>
  <c r="R3602" i="14"/>
  <c r="R3594" i="14"/>
  <c r="R3586" i="14"/>
  <c r="R3578" i="14"/>
  <c r="R3570" i="14"/>
  <c r="R3562" i="14"/>
  <c r="R3554" i="14"/>
  <c r="R3546" i="14"/>
  <c r="R3538" i="14"/>
  <c r="R3530" i="14"/>
  <c r="R3522" i="14"/>
  <c r="R3514" i="14"/>
  <c r="R3506" i="14"/>
  <c r="R3498" i="14"/>
  <c r="R3490" i="14"/>
  <c r="R3482" i="14"/>
  <c r="R3474" i="14"/>
  <c r="R3466" i="14"/>
  <c r="R3458" i="14"/>
  <c r="R3450" i="14"/>
  <c r="R3442" i="14"/>
  <c r="R3434" i="14"/>
  <c r="R3426" i="14"/>
  <c r="R3418" i="14"/>
  <c r="R3410" i="14"/>
  <c r="R3402" i="14"/>
  <c r="R3394" i="14"/>
  <c r="R3386" i="14"/>
  <c r="R3378" i="14"/>
  <c r="R3370" i="14"/>
  <c r="R3362" i="14"/>
  <c r="R3354" i="14"/>
  <c r="R3346" i="14"/>
  <c r="R3338" i="14"/>
  <c r="R3330" i="14"/>
  <c r="R3322" i="14"/>
  <c r="R3314" i="14"/>
  <c r="R3306" i="14"/>
  <c r="R3298" i="14"/>
  <c r="R3290" i="14"/>
  <c r="R3282" i="14"/>
  <c r="R3274" i="14"/>
  <c r="R3266" i="14"/>
  <c r="R3258" i="14"/>
  <c r="R3250" i="14"/>
  <c r="R3242" i="14"/>
  <c r="R3234" i="14"/>
  <c r="R3226" i="14"/>
  <c r="R3218" i="14"/>
  <c r="R3210" i="14"/>
  <c r="R3202" i="14"/>
  <c r="R3194" i="14"/>
  <c r="R3186" i="14"/>
  <c r="R3178" i="14"/>
  <c r="R3170" i="14"/>
  <c r="R3162" i="14"/>
  <c r="R3154" i="14"/>
  <c r="R3146" i="14"/>
  <c r="R3138" i="14"/>
  <c r="R3130" i="14"/>
  <c r="R3122" i="14"/>
  <c r="R3114" i="14"/>
  <c r="R3106" i="14"/>
  <c r="R3098" i="14"/>
  <c r="R3090" i="14"/>
  <c r="R3082" i="14"/>
  <c r="R3074" i="14"/>
  <c r="R3066" i="14"/>
  <c r="R3058" i="14"/>
  <c r="R3050" i="14"/>
  <c r="R3042" i="14"/>
  <c r="R3034" i="14"/>
  <c r="R3026" i="14"/>
  <c r="R3018" i="14"/>
  <c r="R3010" i="14"/>
  <c r="R3002" i="14"/>
  <c r="R2994" i="14"/>
  <c r="R2986" i="14"/>
  <c r="R2978" i="14"/>
  <c r="R2970" i="14"/>
  <c r="R2962" i="14"/>
  <c r="R2954" i="14"/>
  <c r="R2946" i="14"/>
  <c r="R2938" i="14"/>
  <c r="R2930" i="14"/>
  <c r="R2922" i="14"/>
  <c r="R2914" i="14"/>
  <c r="R2906" i="14"/>
  <c r="R2898" i="14"/>
  <c r="R2890" i="14"/>
  <c r="R2882" i="14"/>
  <c r="R2874" i="14"/>
  <c r="R2866" i="14"/>
  <c r="R2858" i="14"/>
  <c r="R2850" i="14"/>
  <c r="R2842" i="14"/>
  <c r="R2834" i="14"/>
  <c r="R2826" i="14"/>
  <c r="R2818" i="14"/>
  <c r="R2810" i="14"/>
  <c r="R2802" i="14"/>
  <c r="R2794" i="14"/>
  <c r="R2786" i="14"/>
  <c r="R2778" i="14"/>
  <c r="R2770" i="14"/>
  <c r="R2762" i="14"/>
  <c r="R2754" i="14"/>
  <c r="R2746" i="14"/>
  <c r="R2738" i="14"/>
  <c r="R2730" i="14"/>
  <c r="R2722" i="14"/>
  <c r="R2714" i="14"/>
  <c r="R2706" i="14"/>
  <c r="R2698" i="14"/>
  <c r="R2690" i="14"/>
  <c r="R2682" i="14"/>
  <c r="R2674" i="14"/>
  <c r="R2666" i="14"/>
  <c r="R2658" i="14"/>
  <c r="R2650" i="14"/>
  <c r="R2642" i="14"/>
  <c r="R2634" i="14"/>
  <c r="R2626" i="14"/>
  <c r="R2618" i="14"/>
  <c r="R2610" i="14"/>
  <c r="R2602" i="14"/>
  <c r="R2594" i="14"/>
  <c r="R2586" i="14"/>
  <c r="R2578" i="14"/>
  <c r="R2570" i="14"/>
  <c r="R2562" i="14"/>
  <c r="R2554" i="14"/>
  <c r="R2546" i="14"/>
  <c r="R2538" i="14"/>
  <c r="R2530" i="14"/>
  <c r="R2522" i="14"/>
  <c r="R2514" i="14"/>
  <c r="R2506" i="14"/>
  <c r="R2498" i="14"/>
  <c r="R2490" i="14"/>
  <c r="R2482" i="14"/>
  <c r="R2474" i="14"/>
  <c r="R2466" i="14"/>
  <c r="R2458" i="14"/>
  <c r="R2450" i="14"/>
  <c r="R2442" i="14"/>
  <c r="R2434" i="14"/>
  <c r="R2426" i="14"/>
  <c r="R2418" i="14"/>
  <c r="R2410" i="14"/>
  <c r="R2402" i="14"/>
  <c r="R2394" i="14"/>
  <c r="R2386" i="14"/>
  <c r="R2378" i="14"/>
  <c r="R2370" i="14"/>
  <c r="R2362" i="14"/>
  <c r="R2354" i="14"/>
  <c r="R2346" i="14"/>
  <c r="R2338" i="14"/>
  <c r="R2330" i="14"/>
  <c r="R2322" i="14"/>
  <c r="R2314" i="14"/>
  <c r="R2306" i="14"/>
  <c r="R2298" i="14"/>
  <c r="R2290" i="14"/>
  <c r="R2282" i="14"/>
  <c r="R2274" i="14"/>
  <c r="R2266" i="14"/>
  <c r="R2258" i="14"/>
  <c r="R2250" i="14"/>
  <c r="R2242" i="14"/>
  <c r="R2234" i="14"/>
  <c r="R2226" i="14"/>
  <c r="R2218" i="14"/>
  <c r="R2210" i="14"/>
  <c r="R2202" i="14"/>
  <c r="R2194" i="14"/>
  <c r="R2186" i="14"/>
  <c r="R2178" i="14"/>
  <c r="R2170" i="14"/>
  <c r="R2162" i="14"/>
  <c r="R2154" i="14"/>
  <c r="R2146" i="14"/>
  <c r="R2138" i="14"/>
  <c r="R2130" i="14"/>
  <c r="R2122" i="14"/>
  <c r="R2114" i="14"/>
  <c r="R2106" i="14"/>
  <c r="R2098" i="14"/>
  <c r="R2090" i="14"/>
  <c r="R2082" i="14"/>
  <c r="R2074" i="14"/>
  <c r="R2066" i="14"/>
  <c r="R2058" i="14"/>
  <c r="R2050" i="14"/>
  <c r="R2042" i="14"/>
  <c r="R4417" i="14"/>
  <c r="R4409" i="14"/>
  <c r="R4401" i="14"/>
  <c r="R4393" i="14"/>
  <c r="R4385" i="14"/>
  <c r="R4377" i="14"/>
  <c r="R4369" i="14"/>
  <c r="R4361" i="14"/>
  <c r="R4353" i="14"/>
  <c r="R4345" i="14"/>
  <c r="R4337" i="14"/>
  <c r="R4329" i="14"/>
  <c r="R4321" i="14"/>
  <c r="R4313" i="14"/>
  <c r="R4305" i="14"/>
  <c r="R4297" i="14"/>
  <c r="R4289" i="14"/>
  <c r="R4281" i="14"/>
  <c r="R4273" i="14"/>
  <c r="R4265" i="14"/>
  <c r="R4257" i="14"/>
  <c r="R4249" i="14"/>
  <c r="R4241" i="14"/>
  <c r="R4233" i="14"/>
  <c r="R4225" i="14"/>
  <c r="R4217" i="14"/>
  <c r="R4209" i="14"/>
  <c r="R4201" i="14"/>
  <c r="R4193" i="14"/>
  <c r="R4185" i="14"/>
  <c r="R4177" i="14"/>
  <c r="R4169" i="14"/>
  <c r="R4161" i="14"/>
  <c r="R4153" i="14"/>
  <c r="R4145" i="14"/>
  <c r="R4137" i="14"/>
  <c r="R4129" i="14"/>
  <c r="R4121" i="14"/>
  <c r="R4113" i="14"/>
  <c r="R4105" i="14"/>
  <c r="R4097" i="14"/>
  <c r="R4089" i="14"/>
  <c r="R4081" i="14"/>
  <c r="R4073" i="14"/>
  <c r="R4065" i="14"/>
  <c r="R4057" i="14"/>
  <c r="R4049" i="14"/>
  <c r="R4041" i="14"/>
  <c r="R4033" i="14"/>
  <c r="R4025" i="14"/>
  <c r="R4017" i="14"/>
  <c r="R4009" i="14"/>
  <c r="R4001" i="14"/>
  <c r="R3993" i="14"/>
  <c r="R3985" i="14"/>
  <c r="R3977" i="14"/>
  <c r="R3969" i="14"/>
  <c r="R3961" i="14"/>
  <c r="R3953" i="14"/>
  <c r="R3945" i="14"/>
  <c r="R3937" i="14"/>
  <c r="R3929" i="14"/>
  <c r="R3921" i="14"/>
  <c r="R3913" i="14"/>
  <c r="R3905" i="14"/>
  <c r="R3897" i="14"/>
  <c r="R3889" i="14"/>
  <c r="R3881" i="14"/>
  <c r="R3857" i="14"/>
  <c r="R3849" i="14"/>
  <c r="R3841" i="14"/>
  <c r="R3833" i="14"/>
  <c r="R3825" i="14"/>
  <c r="R3817" i="14"/>
  <c r="R3809" i="14"/>
  <c r="R3801" i="14"/>
  <c r="R3793" i="14"/>
  <c r="R3785" i="14"/>
  <c r="R3777" i="14"/>
  <c r="R3769" i="14"/>
  <c r="R3761" i="14"/>
  <c r="R3753" i="14"/>
  <c r="R3745" i="14"/>
  <c r="R3737" i="14"/>
  <c r="R3729" i="14"/>
  <c r="R3721" i="14"/>
  <c r="R3713" i="14"/>
  <c r="R3705" i="14"/>
  <c r="R3697" i="14"/>
  <c r="R3689" i="14"/>
  <c r="R3681" i="14"/>
  <c r="R3673" i="14"/>
  <c r="R3665" i="14"/>
  <c r="R3657" i="14"/>
  <c r="R3649" i="14"/>
  <c r="R3641" i="14"/>
  <c r="R3633" i="14"/>
  <c r="R3625" i="14"/>
  <c r="R3617" i="14"/>
  <c r="R3609" i="14"/>
  <c r="R3601" i="14"/>
  <c r="R3593" i="14"/>
  <c r="R3585" i="14"/>
  <c r="R3577" i="14"/>
  <c r="R3569" i="14"/>
  <c r="R3561" i="14"/>
  <c r="R3553" i="14"/>
  <c r="R3545" i="14"/>
  <c r="R3537" i="14"/>
  <c r="R3529" i="14"/>
  <c r="R3521" i="14"/>
  <c r="R3513" i="14"/>
  <c r="R3505" i="14"/>
  <c r="R3497" i="14"/>
  <c r="R3489" i="14"/>
  <c r="R3481" i="14"/>
  <c r="R3473" i="14"/>
  <c r="R3465" i="14"/>
  <c r="R3457" i="14"/>
  <c r="R3449" i="14"/>
  <c r="R3441" i="14"/>
  <c r="R3433" i="14"/>
  <c r="R3425" i="14"/>
  <c r="R3417" i="14"/>
  <c r="R3409" i="14"/>
  <c r="R3401" i="14"/>
  <c r="R3393" i="14"/>
  <c r="R3385" i="14"/>
  <c r="R3377" i="14"/>
  <c r="R3369" i="14"/>
  <c r="R3361" i="14"/>
  <c r="R3353" i="14"/>
  <c r="R3345" i="14"/>
  <c r="R3337" i="14"/>
  <c r="R3329" i="14"/>
  <c r="R3321" i="14"/>
  <c r="R3313" i="14"/>
  <c r="R3305" i="14"/>
  <c r="R3297" i="14"/>
  <c r="R3289" i="14"/>
  <c r="R3281" i="14"/>
  <c r="R3273" i="14"/>
  <c r="R3265" i="14"/>
  <c r="R3257" i="14"/>
  <c r="R3249" i="14"/>
  <c r="R3241" i="14"/>
  <c r="R3233" i="14"/>
  <c r="R3225" i="14"/>
  <c r="R3217" i="14"/>
  <c r="R3209" i="14"/>
  <c r="R3201" i="14"/>
  <c r="R3193" i="14"/>
  <c r="R3185" i="14"/>
  <c r="R3177" i="14"/>
  <c r="R3169" i="14"/>
  <c r="R3161" i="14"/>
  <c r="R3153" i="14"/>
  <c r="R3145" i="14"/>
  <c r="R3137" i="14"/>
  <c r="R3129" i="14"/>
  <c r="R3121" i="14"/>
  <c r="R3113" i="14"/>
  <c r="R3105" i="14"/>
  <c r="R3097" i="14"/>
  <c r="R3089" i="14"/>
  <c r="R3081" i="14"/>
  <c r="R3073" i="14"/>
  <c r="R3065" i="14"/>
  <c r="R3057" i="14"/>
  <c r="R3049" i="14"/>
  <c r="R3041" i="14"/>
  <c r="R3033" i="14"/>
  <c r="R3025" i="14"/>
  <c r="R3017" i="14"/>
  <c r="R3009" i="14"/>
  <c r="R3001" i="14"/>
  <c r="R2993" i="14"/>
  <c r="R2985" i="14"/>
  <c r="R2977" i="14"/>
  <c r="R2969" i="14"/>
  <c r="R2961" i="14"/>
  <c r="R2953" i="14"/>
  <c r="R2945" i="14"/>
  <c r="R2937" i="14"/>
  <c r="R2929" i="14"/>
  <c r="R2921" i="14"/>
  <c r="R2913" i="14"/>
  <c r="R2905" i="14"/>
  <c r="R2897" i="14"/>
  <c r="R2889" i="14"/>
  <c r="R2881" i="14"/>
  <c r="R2873" i="14"/>
  <c r="R2865" i="14"/>
  <c r="R2857" i="14"/>
  <c r="R2849" i="14"/>
  <c r="R2841" i="14"/>
  <c r="R2833" i="14"/>
  <c r="R2825" i="14"/>
  <c r="R2817" i="14"/>
  <c r="R2809" i="14"/>
  <c r="R2801" i="14"/>
  <c r="R2793" i="14"/>
  <c r="R2785" i="14"/>
  <c r="R2777" i="14"/>
  <c r="R2769" i="14"/>
  <c r="R2761" i="14"/>
  <c r="R2753" i="14"/>
  <c r="R2745" i="14"/>
  <c r="R2737" i="14"/>
  <c r="R2729" i="14"/>
  <c r="R2721" i="14"/>
  <c r="R2713" i="14"/>
  <c r="R2705" i="14"/>
  <c r="R2697" i="14"/>
  <c r="R2689" i="14"/>
  <c r="R2681" i="14"/>
  <c r="R2673" i="14"/>
  <c r="R2665" i="14"/>
  <c r="R2657" i="14"/>
  <c r="R2649" i="14"/>
  <c r="R2641" i="14"/>
  <c r="R2633" i="14"/>
  <c r="R2625" i="14"/>
  <c r="R2617" i="14"/>
  <c r="R2609" i="14"/>
  <c r="R2601" i="14"/>
  <c r="R2593" i="14"/>
  <c r="R2585" i="14"/>
  <c r="R2577" i="14"/>
  <c r="R2569" i="14"/>
  <c r="R2561" i="14"/>
  <c r="R2553" i="14"/>
  <c r="R2545" i="14"/>
  <c r="R2537" i="14"/>
  <c r="R2529" i="14"/>
  <c r="R2521" i="14"/>
  <c r="R2513" i="14"/>
  <c r="R2505" i="14"/>
  <c r="R2497" i="14"/>
  <c r="R2489" i="14"/>
  <c r="R2481" i="14"/>
  <c r="R2473" i="14"/>
  <c r="R2465" i="14"/>
  <c r="R2457" i="14"/>
  <c r="R2449" i="14"/>
  <c r="R2441" i="14"/>
  <c r="R2433" i="14"/>
  <c r="R2425" i="14"/>
  <c r="R2417" i="14"/>
  <c r="R2409" i="14"/>
  <c r="R2401" i="14"/>
  <c r="R2393" i="14"/>
  <c r="R2385" i="14"/>
  <c r="R2377" i="14"/>
  <c r="R2369" i="14"/>
  <c r="R2361" i="14"/>
  <c r="R2353" i="14"/>
  <c r="R2345" i="14"/>
  <c r="R2337" i="14"/>
  <c r="R2329" i="14"/>
  <c r="R2321" i="14"/>
  <c r="R2313" i="14"/>
  <c r="R2305" i="14"/>
  <c r="R2297" i="14"/>
  <c r="R2289" i="14"/>
  <c r="R2281" i="14"/>
  <c r="R2273" i="14"/>
  <c r="R2265" i="14"/>
  <c r="R2257" i="14"/>
  <c r="R2249" i="14"/>
  <c r="R2241" i="14"/>
  <c r="R2233" i="14"/>
  <c r="R2225" i="14"/>
  <c r="R2217" i="14"/>
  <c r="R2209" i="14"/>
  <c r="R2201" i="14"/>
  <c r="R2193" i="14"/>
  <c r="R2185" i="14"/>
  <c r="R2177" i="14"/>
  <c r="R2169" i="14"/>
  <c r="R2161" i="14"/>
  <c r="R2153" i="14"/>
  <c r="R2145" i="14"/>
  <c r="R2137" i="14"/>
  <c r="R2129" i="14"/>
  <c r="R2121" i="14"/>
  <c r="R2113" i="14"/>
  <c r="R2105" i="14"/>
  <c r="R2097" i="14"/>
  <c r="R2089" i="14"/>
  <c r="R2081" i="14"/>
  <c r="R2073" i="14"/>
  <c r="R2065" i="14"/>
  <c r="R2057" i="14"/>
  <c r="R2049" i="14"/>
  <c r="R4416" i="14"/>
  <c r="R4408" i="14"/>
  <c r="R4400" i="14"/>
  <c r="R4392" i="14"/>
  <c r="R4384" i="14"/>
  <c r="R4376" i="14"/>
  <c r="R4368" i="14"/>
  <c r="R4360" i="14"/>
  <c r="R4352" i="14"/>
  <c r="R4344" i="14"/>
  <c r="R4336" i="14"/>
  <c r="R4328" i="14"/>
  <c r="R4320" i="14"/>
  <c r="R4312" i="14"/>
  <c r="R4304" i="14"/>
  <c r="R4296" i="14"/>
  <c r="R4288" i="14"/>
  <c r="R4280" i="14"/>
  <c r="R4272" i="14"/>
  <c r="R4264" i="14"/>
  <c r="R4256" i="14"/>
  <c r="R4248" i="14"/>
  <c r="R4240" i="14"/>
  <c r="R4232" i="14"/>
  <c r="R4224" i="14"/>
  <c r="R4216" i="14"/>
  <c r="R4208" i="14"/>
  <c r="R4200" i="14"/>
  <c r="R4192" i="14"/>
  <c r="R4184" i="14"/>
  <c r="R4176" i="14"/>
  <c r="R4168" i="14"/>
  <c r="R4160" i="14"/>
  <c r="R4152" i="14"/>
  <c r="R4144" i="14"/>
  <c r="R4136" i="14"/>
  <c r="R4128" i="14"/>
  <c r="R4120" i="14"/>
  <c r="R4112" i="14"/>
  <c r="R4104" i="14"/>
  <c r="R4096" i="14"/>
  <c r="R4088" i="14"/>
  <c r="R4080" i="14"/>
  <c r="R4072" i="14"/>
  <c r="R4064" i="14"/>
  <c r="R4056" i="14"/>
  <c r="R4048" i="14"/>
  <c r="R4040" i="14"/>
  <c r="R4032" i="14"/>
  <c r="R4024" i="14"/>
  <c r="R4016" i="14"/>
  <c r="R4008" i="14"/>
  <c r="R4000" i="14"/>
  <c r="R3992" i="14"/>
  <c r="R3984" i="14"/>
  <c r="R3976" i="14"/>
  <c r="R3968" i="14"/>
  <c r="R3960" i="14"/>
  <c r="R3952" i="14"/>
  <c r="R3944" i="14"/>
  <c r="R3936" i="14"/>
  <c r="R3928" i="14"/>
  <c r="R3920" i="14"/>
  <c r="R3912" i="14"/>
  <c r="R3904" i="14"/>
  <c r="R3896" i="14"/>
  <c r="R3888" i="14"/>
  <c r="R3880" i="14"/>
  <c r="R3856" i="14"/>
  <c r="R3848" i="14"/>
  <c r="R3840" i="14"/>
  <c r="R3832" i="14"/>
  <c r="R3824" i="14"/>
  <c r="R3816" i="14"/>
  <c r="R3808" i="14"/>
  <c r="R3800" i="14"/>
  <c r="R3792" i="14"/>
  <c r="R3784" i="14"/>
  <c r="R3776" i="14"/>
  <c r="R3768" i="14"/>
  <c r="R3760" i="14"/>
  <c r="R3752" i="14"/>
  <c r="R3744" i="14"/>
  <c r="R3736" i="14"/>
  <c r="R3728" i="14"/>
  <c r="R3720" i="14"/>
  <c r="R3712" i="14"/>
  <c r="R3704" i="14"/>
  <c r="R3696" i="14"/>
  <c r="R3688" i="14"/>
  <c r="R3680" i="14"/>
  <c r="R3672" i="14"/>
  <c r="R3664" i="14"/>
  <c r="R3656" i="14"/>
  <c r="R3648" i="14"/>
  <c r="R3640" i="14"/>
  <c r="R3632" i="14"/>
  <c r="R3624" i="14"/>
  <c r="R3616" i="14"/>
  <c r="R3608" i="14"/>
  <c r="R3600" i="14"/>
  <c r="R3592" i="14"/>
  <c r="R3584" i="14"/>
  <c r="R3576" i="14"/>
  <c r="R3568" i="14"/>
  <c r="R3560" i="14"/>
  <c r="R3552" i="14"/>
  <c r="R3544" i="14"/>
  <c r="R3536" i="14"/>
  <c r="R3528" i="14"/>
  <c r="R3520" i="14"/>
  <c r="R3512" i="14"/>
  <c r="R3504" i="14"/>
  <c r="R3496" i="14"/>
  <c r="R3488" i="14"/>
  <c r="R3480" i="14"/>
  <c r="R3472" i="14"/>
  <c r="R3464" i="14"/>
  <c r="R3456" i="14"/>
  <c r="R3448" i="14"/>
  <c r="R3440" i="14"/>
  <c r="R3432" i="14"/>
  <c r="R3424" i="14"/>
  <c r="R3416" i="14"/>
  <c r="R3408" i="14"/>
  <c r="R3400" i="14"/>
  <c r="R3392" i="14"/>
  <c r="R3384" i="14"/>
  <c r="R3376" i="14"/>
  <c r="R3368" i="14"/>
  <c r="R3360" i="14"/>
  <c r="R3352" i="14"/>
  <c r="R3344" i="14"/>
  <c r="R3336" i="14"/>
  <c r="R3328" i="14"/>
  <c r="R3320" i="14"/>
  <c r="R3312" i="14"/>
  <c r="R3304" i="14"/>
  <c r="R3296" i="14"/>
  <c r="R3288" i="14"/>
  <c r="R3280" i="14"/>
  <c r="R3272" i="14"/>
  <c r="R3264" i="14"/>
  <c r="R3256" i="14"/>
  <c r="R3248" i="14"/>
  <c r="R3240" i="14"/>
  <c r="R3232" i="14"/>
  <c r="R3224" i="14"/>
  <c r="R3216" i="14"/>
  <c r="R3208" i="14"/>
  <c r="R3200" i="14"/>
  <c r="R3192" i="14"/>
  <c r="R3184" i="14"/>
  <c r="R3176" i="14"/>
  <c r="R3168" i="14"/>
  <c r="R3160" i="14"/>
  <c r="R3152" i="14"/>
  <c r="R3144" i="14"/>
  <c r="R3136" i="14"/>
  <c r="R3128" i="14"/>
  <c r="R3120" i="14"/>
  <c r="R3112" i="14"/>
  <c r="R3104" i="14"/>
  <c r="R3096" i="14"/>
  <c r="R3088" i="14"/>
  <c r="R3080" i="14"/>
  <c r="R3072" i="14"/>
  <c r="R3064" i="14"/>
  <c r="R3056" i="14"/>
  <c r="R3048" i="14"/>
  <c r="R3040" i="14"/>
  <c r="R3032" i="14"/>
  <c r="R3024" i="14"/>
  <c r="R3016" i="14"/>
  <c r="R3008" i="14"/>
  <c r="R3000" i="14"/>
  <c r="R2992" i="14"/>
  <c r="R2984" i="14"/>
  <c r="R2976" i="14"/>
  <c r="R2968" i="14"/>
  <c r="R2960" i="14"/>
  <c r="R2952" i="14"/>
  <c r="R2944" i="14"/>
  <c r="R2936" i="14"/>
  <c r="R2928" i="14"/>
  <c r="R2920" i="14"/>
  <c r="R2912" i="14"/>
  <c r="R2904" i="14"/>
  <c r="R2896" i="14"/>
  <c r="R2888" i="14"/>
  <c r="R2880" i="14"/>
  <c r="R2872" i="14"/>
  <c r="R2864" i="14"/>
  <c r="R2856" i="14"/>
  <c r="R2848" i="14"/>
  <c r="R2840" i="14"/>
  <c r="R2832" i="14"/>
  <c r="R2824" i="14"/>
  <c r="R2816" i="14"/>
  <c r="R2808" i="14"/>
  <c r="R2800" i="14"/>
  <c r="R2792" i="14"/>
  <c r="R2784" i="14"/>
  <c r="R2776" i="14"/>
  <c r="R2768" i="14"/>
  <c r="R2760" i="14"/>
  <c r="R2752" i="14"/>
  <c r="R2744" i="14"/>
  <c r="R2736" i="14"/>
  <c r="R2728" i="14"/>
  <c r="R2720" i="14"/>
  <c r="R2712" i="14"/>
  <c r="R2704" i="14"/>
  <c r="R2696" i="14"/>
  <c r="R2688" i="14"/>
  <c r="R2680" i="14"/>
  <c r="R2672" i="14"/>
  <c r="R2664" i="14"/>
  <c r="R2656" i="14"/>
  <c r="R2648" i="14"/>
  <c r="R2640" i="14"/>
  <c r="R2632" i="14"/>
  <c r="R2624" i="14"/>
  <c r="R2616" i="14"/>
  <c r="R2608" i="14"/>
  <c r="R2600" i="14"/>
  <c r="R2592" i="14"/>
  <c r="R2584" i="14"/>
  <c r="R2576" i="14"/>
  <c r="R2568" i="14"/>
  <c r="R2560" i="14"/>
  <c r="R2552" i="14"/>
  <c r="R2544" i="14"/>
  <c r="R2536" i="14"/>
  <c r="R2528" i="14"/>
  <c r="R2520" i="14"/>
  <c r="R2512" i="14"/>
  <c r="R2504" i="14"/>
  <c r="R2496" i="14"/>
  <c r="R2488" i="14"/>
  <c r="R2480" i="14"/>
  <c r="R2472" i="14"/>
  <c r="R2464" i="14"/>
  <c r="R2456" i="14"/>
  <c r="R2448" i="14"/>
  <c r="R2440" i="14"/>
  <c r="R2432" i="14"/>
  <c r="R2424" i="14"/>
  <c r="R2416" i="14"/>
  <c r="R2408" i="14"/>
  <c r="R2400" i="14"/>
  <c r="R2392" i="14"/>
  <c r="R2384" i="14"/>
  <c r="R2376" i="14"/>
  <c r="R2368" i="14"/>
  <c r="R2360" i="14"/>
  <c r="R2352" i="14"/>
  <c r="R2344" i="14"/>
  <c r="R2336" i="14"/>
  <c r="R2328" i="14"/>
  <c r="R2320" i="14"/>
  <c r="R2312" i="14"/>
  <c r="R2304" i="14"/>
  <c r="R2296" i="14"/>
  <c r="R2288" i="14"/>
  <c r="R2280" i="14"/>
  <c r="R2272" i="14"/>
  <c r="R2264" i="14"/>
  <c r="R2256" i="14"/>
  <c r="R2248" i="14"/>
  <c r="R2240" i="14"/>
  <c r="R2232" i="14"/>
  <c r="R2224" i="14"/>
  <c r="R2216" i="14"/>
  <c r="R2208" i="14"/>
  <c r="R2200" i="14"/>
  <c r="R2192" i="14"/>
  <c r="R2184" i="14"/>
  <c r="R2176" i="14"/>
  <c r="R2168" i="14"/>
  <c r="R2160" i="14"/>
  <c r="R2152" i="14"/>
  <c r="R2144" i="14"/>
  <c r="R2136" i="14"/>
  <c r="R2128" i="14"/>
  <c r="R2120" i="14"/>
  <c r="R2112" i="14"/>
  <c r="R2104" i="14"/>
  <c r="R2096" i="14"/>
  <c r="R2088" i="14"/>
  <c r="R2080" i="14"/>
  <c r="R2072" i="14"/>
  <c r="R2064" i="14"/>
  <c r="R2056" i="14"/>
  <c r="R2048" i="14"/>
  <c r="R4415" i="14"/>
  <c r="R4407" i="14"/>
  <c r="R4399" i="14"/>
  <c r="R4391" i="14"/>
  <c r="R4383" i="14"/>
  <c r="R4375" i="14"/>
  <c r="R4367" i="14"/>
  <c r="R4359" i="14"/>
  <c r="R4351" i="14"/>
  <c r="R4343" i="14"/>
  <c r="R4335" i="14"/>
  <c r="R4327" i="14"/>
  <c r="R4319" i="14"/>
  <c r="R4311" i="14"/>
  <c r="R4303" i="14"/>
  <c r="R4295" i="14"/>
  <c r="R4287" i="14"/>
  <c r="R4279" i="14"/>
  <c r="R4271" i="14"/>
  <c r="R4263" i="14"/>
  <c r="R4255" i="14"/>
  <c r="R4247" i="14"/>
  <c r="R4239" i="14"/>
  <c r="R4231" i="14"/>
  <c r="R4223" i="14"/>
  <c r="R4215" i="14"/>
  <c r="R4207" i="14"/>
  <c r="R4199" i="14"/>
  <c r="R4191" i="14"/>
  <c r="R4183" i="14"/>
  <c r="R4175" i="14"/>
  <c r="R4167" i="14"/>
  <c r="R4159" i="14"/>
  <c r="R4151" i="14"/>
  <c r="R4143" i="14"/>
  <c r="R4135" i="14"/>
  <c r="R4127" i="14"/>
  <c r="R4119" i="14"/>
  <c r="R4111" i="14"/>
  <c r="R4103" i="14"/>
  <c r="R4095" i="14"/>
  <c r="R4087" i="14"/>
  <c r="R4079" i="14"/>
  <c r="R4071" i="14"/>
  <c r="R4063" i="14"/>
  <c r="R4055" i="14"/>
  <c r="R4047" i="14"/>
  <c r="R4039" i="14"/>
  <c r="R4031" i="14"/>
  <c r="R4023" i="14"/>
  <c r="R4015" i="14"/>
  <c r="R4007" i="14"/>
  <c r="R3999" i="14"/>
  <c r="R3991" i="14"/>
  <c r="R3983" i="14"/>
  <c r="R3975" i="14"/>
  <c r="R3967" i="14"/>
  <c r="R3959" i="14"/>
  <c r="R3951" i="14"/>
  <c r="R3943" i="14"/>
  <c r="R3935" i="14"/>
  <c r="R3927" i="14"/>
  <c r="R3919" i="14"/>
  <c r="R3911" i="14"/>
  <c r="R3903" i="14"/>
  <c r="R3895" i="14"/>
  <c r="R3887" i="14"/>
  <c r="R3879" i="14"/>
  <c r="R3855" i="14"/>
  <c r="R3847" i="14"/>
  <c r="R3839" i="14"/>
  <c r="R3831" i="14"/>
  <c r="R3823" i="14"/>
  <c r="R3815" i="14"/>
  <c r="R3807" i="14"/>
  <c r="R3799" i="14"/>
  <c r="R3791" i="14"/>
  <c r="R3783" i="14"/>
  <c r="R3775" i="14"/>
  <c r="R3767" i="14"/>
  <c r="R3759" i="14"/>
  <c r="R3751" i="14"/>
  <c r="R3743" i="14"/>
  <c r="R3735" i="14"/>
  <c r="R3727" i="14"/>
  <c r="R3719" i="14"/>
  <c r="R3711" i="14"/>
  <c r="R3703" i="14"/>
  <c r="R3695" i="14"/>
  <c r="R3687" i="14"/>
  <c r="R3679" i="14"/>
  <c r="R3671" i="14"/>
  <c r="R3663" i="14"/>
  <c r="R3655" i="14"/>
  <c r="R3647" i="14"/>
  <c r="R3639" i="14"/>
  <c r="R3631" i="14"/>
  <c r="R3623" i="14"/>
  <c r="R3615" i="14"/>
  <c r="R3607" i="14"/>
  <c r="R3599" i="14"/>
  <c r="R3591" i="14"/>
  <c r="R3583" i="14"/>
  <c r="R3575" i="14"/>
  <c r="R3567" i="14"/>
  <c r="R3559" i="14"/>
  <c r="R3551" i="14"/>
  <c r="R3543" i="14"/>
  <c r="R3535" i="14"/>
  <c r="R3527" i="14"/>
  <c r="R3519" i="14"/>
  <c r="R3511" i="14"/>
  <c r="R3503" i="14"/>
  <c r="R3495" i="14"/>
  <c r="R3487" i="14"/>
  <c r="R3479" i="14"/>
  <c r="R3471" i="14"/>
  <c r="R3463" i="14"/>
  <c r="R3455" i="14"/>
  <c r="R3447" i="14"/>
  <c r="R3439" i="14"/>
  <c r="R3431" i="14"/>
  <c r="R3423" i="14"/>
  <c r="R3415" i="14"/>
  <c r="R3407" i="14"/>
  <c r="R3399" i="14"/>
  <c r="R3391" i="14"/>
  <c r="R3383" i="14"/>
  <c r="R3375" i="14"/>
  <c r="R3367" i="14"/>
  <c r="R3359" i="14"/>
  <c r="R3351" i="14"/>
  <c r="R3343" i="14"/>
  <c r="R3335" i="14"/>
  <c r="R3327" i="14"/>
  <c r="R3319" i="14"/>
  <c r="R3311" i="14"/>
  <c r="R3303" i="14"/>
  <c r="R3295" i="14"/>
  <c r="R3287" i="14"/>
  <c r="R3279" i="14"/>
  <c r="R3271" i="14"/>
  <c r="R3263" i="14"/>
  <c r="R3255" i="14"/>
  <c r="R3247" i="14"/>
  <c r="R3239" i="14"/>
  <c r="R3231" i="14"/>
  <c r="R3223" i="14"/>
  <c r="R3215" i="14"/>
  <c r="R3207" i="14"/>
  <c r="R3199" i="14"/>
  <c r="R3191" i="14"/>
  <c r="R3183" i="14"/>
  <c r="R3175" i="14"/>
  <c r="R3167" i="14"/>
  <c r="R3159" i="14"/>
  <c r="R3151" i="14"/>
  <c r="R3143" i="14"/>
  <c r="R3135" i="14"/>
  <c r="R3127" i="14"/>
  <c r="R3119" i="14"/>
  <c r="R3111" i="14"/>
  <c r="R3103" i="14"/>
  <c r="R3095" i="14"/>
  <c r="R3087" i="14"/>
  <c r="R3079" i="14"/>
  <c r="R3071" i="14"/>
  <c r="R3063" i="14"/>
  <c r="R3055" i="14"/>
  <c r="R3047" i="14"/>
  <c r="R3039" i="14"/>
  <c r="R3031" i="14"/>
  <c r="R3023" i="14"/>
  <c r="R3015" i="14"/>
  <c r="R3007" i="14"/>
  <c r="R2999" i="14"/>
  <c r="R2991" i="14"/>
  <c r="R2983" i="14"/>
  <c r="R2975" i="14"/>
  <c r="R2967" i="14"/>
  <c r="R2959" i="14"/>
  <c r="R2951" i="14"/>
  <c r="R2943" i="14"/>
  <c r="R2935" i="14"/>
  <c r="R2927" i="14"/>
  <c r="R2919" i="14"/>
  <c r="R2911" i="14"/>
  <c r="R2903" i="14"/>
  <c r="R2895" i="14"/>
  <c r="R2887" i="14"/>
  <c r="R2879" i="14"/>
  <c r="R2871" i="14"/>
  <c r="R2863" i="14"/>
  <c r="R2855" i="14"/>
  <c r="R2847" i="14"/>
  <c r="R2839" i="14"/>
  <c r="R2831" i="14"/>
  <c r="R2823" i="14"/>
  <c r="R2815" i="14"/>
  <c r="R2807" i="14"/>
  <c r="R2799" i="14"/>
  <c r="R2791" i="14"/>
  <c r="R2783" i="14"/>
  <c r="R2775" i="14"/>
  <c r="R2767" i="14"/>
  <c r="R2759" i="14"/>
  <c r="R2751" i="14"/>
  <c r="R2743" i="14"/>
  <c r="R2735" i="14"/>
  <c r="R2727" i="14"/>
  <c r="R2719" i="14"/>
  <c r="R2711" i="14"/>
  <c r="R2703" i="14"/>
  <c r="R2695" i="14"/>
  <c r="R2687" i="14"/>
  <c r="R2679" i="14"/>
  <c r="R2671" i="14"/>
  <c r="R2663" i="14"/>
  <c r="R2655" i="14"/>
  <c r="R2647" i="14"/>
  <c r="R2639" i="14"/>
  <c r="R2631" i="14"/>
  <c r="R2623" i="14"/>
  <c r="R2615" i="14"/>
  <c r="R2607" i="14"/>
  <c r="R2599" i="14"/>
  <c r="R2591" i="14"/>
  <c r="R2583" i="14"/>
  <c r="R2575" i="14"/>
  <c r="R2567" i="14"/>
  <c r="R2559" i="14"/>
  <c r="R2551" i="14"/>
  <c r="R2543" i="14"/>
  <c r="R2535" i="14"/>
  <c r="R2527" i="14"/>
  <c r="R2519" i="14"/>
  <c r="R2511" i="14"/>
  <c r="R2503" i="14"/>
  <c r="R2495" i="14"/>
  <c r="R2487" i="14"/>
  <c r="R2479" i="14"/>
  <c r="R2471" i="14"/>
  <c r="R2463" i="14"/>
  <c r="R2455" i="14"/>
  <c r="R2447" i="14"/>
  <c r="R2439" i="14"/>
  <c r="R2431" i="14"/>
  <c r="R2423" i="14"/>
  <c r="R2415" i="14"/>
  <c r="R2407" i="14"/>
  <c r="R2399" i="14"/>
  <c r="R2391" i="14"/>
  <c r="R2383" i="14"/>
  <c r="R2375" i="14"/>
  <c r="R2367" i="14"/>
  <c r="R2359" i="14"/>
  <c r="R2351" i="14"/>
  <c r="R2343" i="14"/>
  <c r="R2335" i="14"/>
  <c r="R2327" i="14"/>
  <c r="R2319" i="14"/>
  <c r="R2311" i="14"/>
  <c r="R2303" i="14"/>
  <c r="R2295" i="14"/>
  <c r="R2287" i="14"/>
  <c r="R2279" i="14"/>
  <c r="R2271" i="14"/>
  <c r="R2263" i="14"/>
  <c r="R2255" i="14"/>
  <c r="R2247" i="14"/>
  <c r="R2239" i="14"/>
  <c r="R2231" i="14"/>
  <c r="R2223" i="14"/>
  <c r="R2215" i="14"/>
  <c r="R2207" i="14"/>
  <c r="R2199" i="14"/>
  <c r="R2191" i="14"/>
  <c r="R2183" i="14"/>
  <c r="R2175" i="14"/>
  <c r="R2167" i="14"/>
  <c r="R2159" i="14"/>
  <c r="R2151" i="14"/>
  <c r="R2143" i="14"/>
  <c r="R2135" i="14"/>
  <c r="R2127" i="14"/>
  <c r="R2119" i="14"/>
  <c r="R2111" i="14"/>
  <c r="R2103" i="14"/>
  <c r="R2095" i="14"/>
  <c r="R2087" i="14"/>
  <c r="R2079" i="14"/>
  <c r="R2071" i="14"/>
  <c r="R2063" i="14"/>
  <c r="R2055" i="14"/>
  <c r="R2047" i="14"/>
  <c r="R2039" i="14"/>
  <c r="R2031" i="14"/>
  <c r="R2023" i="14"/>
  <c r="R2015" i="14"/>
  <c r="R2007" i="14"/>
  <c r="R1999" i="14"/>
  <c r="R1991" i="14"/>
  <c r="R1983" i="14"/>
  <c r="R1975" i="14"/>
  <c r="R1967" i="14"/>
  <c r="R1959" i="14"/>
  <c r="R1951" i="14"/>
  <c r="R1943" i="14"/>
  <c r="R1935" i="14"/>
  <c r="R1927" i="14"/>
  <c r="R1919" i="14"/>
  <c r="R1911" i="14"/>
  <c r="R1903" i="14"/>
  <c r="R1895" i="14"/>
  <c r="R1887" i="14"/>
  <c r="R1879" i="14"/>
  <c r="R1871" i="14"/>
  <c r="R1863" i="14"/>
  <c r="R1855" i="14"/>
  <c r="R1847" i="14"/>
  <c r="R1839" i="14"/>
  <c r="R1831" i="14"/>
  <c r="R1823" i="14"/>
  <c r="R1815" i="14"/>
  <c r="R1807" i="14"/>
  <c r="R1799" i="14"/>
  <c r="R1791" i="14"/>
  <c r="R1783" i="14"/>
  <c r="R1775" i="14"/>
  <c r="R1767" i="14"/>
  <c r="R1759" i="14"/>
  <c r="R1751" i="14"/>
  <c r="R1743" i="14"/>
  <c r="R1735" i="14"/>
  <c r="R1727" i="14"/>
  <c r="R1719" i="14"/>
  <c r="R1711" i="14"/>
  <c r="R1703" i="14"/>
  <c r="R1695" i="14"/>
  <c r="R1687" i="14"/>
  <c r="R1679" i="14"/>
  <c r="R1671" i="14"/>
  <c r="R1663" i="14"/>
  <c r="R1655" i="14"/>
  <c r="R1647" i="14"/>
  <c r="R1639" i="14"/>
  <c r="R1631" i="14"/>
  <c r="R1623" i="14"/>
  <c r="R1615" i="14"/>
  <c r="R1607" i="14"/>
  <c r="R1599" i="14"/>
  <c r="R1591" i="14"/>
  <c r="R1583" i="14"/>
  <c r="R1575" i="14"/>
  <c r="R1567" i="14"/>
  <c r="R1559" i="14"/>
  <c r="R1551" i="14"/>
  <c r="R1543" i="14"/>
  <c r="R1535" i="14"/>
  <c r="R1527" i="14"/>
  <c r="R1519" i="14"/>
  <c r="R4414" i="14"/>
  <c r="R4406" i="14"/>
  <c r="R4398" i="14"/>
  <c r="R4390" i="14"/>
  <c r="R4382" i="14"/>
  <c r="R4374" i="14"/>
  <c r="R4366" i="14"/>
  <c r="R4358" i="14"/>
  <c r="R4350" i="14"/>
  <c r="R4342" i="14"/>
  <c r="R4334" i="14"/>
  <c r="R4326" i="14"/>
  <c r="R4318" i="14"/>
  <c r="R4310" i="14"/>
  <c r="R4302" i="14"/>
  <c r="R4294" i="14"/>
  <c r="R4286" i="14"/>
  <c r="R4278" i="14"/>
  <c r="R4270" i="14"/>
  <c r="R4262" i="14"/>
  <c r="R4254" i="14"/>
  <c r="R4246" i="14"/>
  <c r="R4238" i="14"/>
  <c r="R4230" i="14"/>
  <c r="R4222" i="14"/>
  <c r="R4214" i="14"/>
  <c r="R4206" i="14"/>
  <c r="R4198" i="14"/>
  <c r="R4190" i="14"/>
  <c r="R4182" i="14"/>
  <c r="R4174" i="14"/>
  <c r="R4166" i="14"/>
  <c r="R4158" i="14"/>
  <c r="R4150" i="14"/>
  <c r="R4142" i="14"/>
  <c r="R4134" i="14"/>
  <c r="R4126" i="14"/>
  <c r="R4118" i="14"/>
  <c r="R4110" i="14"/>
  <c r="R4102" i="14"/>
  <c r="R4094" i="14"/>
  <c r="R4086" i="14"/>
  <c r="R4078" i="14"/>
  <c r="R4070" i="14"/>
  <c r="R4062" i="14"/>
  <c r="R4054" i="14"/>
  <c r="R4046" i="14"/>
  <c r="R4038" i="14"/>
  <c r="R4030" i="14"/>
  <c r="R4022" i="14"/>
  <c r="R4014" i="14"/>
  <c r="R4006" i="14"/>
  <c r="R3998" i="14"/>
  <c r="R3990" i="14"/>
  <c r="R3982" i="14"/>
  <c r="R3974" i="14"/>
  <c r="R3966" i="14"/>
  <c r="R3958" i="14"/>
  <c r="R3950" i="14"/>
  <c r="R3942" i="14"/>
  <c r="R3934" i="14"/>
  <c r="R3926" i="14"/>
  <c r="R3918" i="14"/>
  <c r="R3910" i="14"/>
  <c r="R3902" i="14"/>
  <c r="R3894" i="14"/>
  <c r="R3886" i="14"/>
  <c r="R3878" i="14"/>
  <c r="R3854" i="14"/>
  <c r="R3846" i="14"/>
  <c r="R3838" i="14"/>
  <c r="R3830" i="14"/>
  <c r="R3822" i="14"/>
  <c r="R3814" i="14"/>
  <c r="R3806" i="14"/>
  <c r="R3798" i="14"/>
  <c r="R3790" i="14"/>
  <c r="R3782" i="14"/>
  <c r="R3774" i="14"/>
  <c r="R3766" i="14"/>
  <c r="R3758" i="14"/>
  <c r="R3750" i="14"/>
  <c r="R3742" i="14"/>
  <c r="R3734" i="14"/>
  <c r="R3726" i="14"/>
  <c r="R3718" i="14"/>
  <c r="R3710" i="14"/>
  <c r="R3702" i="14"/>
  <c r="R3694" i="14"/>
  <c r="R3686" i="14"/>
  <c r="R3678" i="14"/>
  <c r="R3670" i="14"/>
  <c r="R3662" i="14"/>
  <c r="R3654" i="14"/>
  <c r="R3646" i="14"/>
  <c r="R3638" i="14"/>
  <c r="R3630" i="14"/>
  <c r="R3622" i="14"/>
  <c r="R3614" i="14"/>
  <c r="R3606" i="14"/>
  <c r="R3598" i="14"/>
  <c r="R3590" i="14"/>
  <c r="R3582" i="14"/>
  <c r="R3574" i="14"/>
  <c r="R3566" i="14"/>
  <c r="R3558" i="14"/>
  <c r="R3550" i="14"/>
  <c r="R3542" i="14"/>
  <c r="R3534" i="14"/>
  <c r="R3526" i="14"/>
  <c r="R3518" i="14"/>
  <c r="R3510" i="14"/>
  <c r="R3502" i="14"/>
  <c r="R3494" i="14"/>
  <c r="R3486" i="14"/>
  <c r="R3478" i="14"/>
  <c r="R3470" i="14"/>
  <c r="R3462" i="14"/>
  <c r="R3454" i="14"/>
  <c r="R3446" i="14"/>
  <c r="R3438" i="14"/>
  <c r="R3430" i="14"/>
  <c r="R3422" i="14"/>
  <c r="R3414" i="14"/>
  <c r="R3406" i="14"/>
  <c r="R3398" i="14"/>
  <c r="R3390" i="14"/>
  <c r="R3382" i="14"/>
  <c r="R3374" i="14"/>
  <c r="R3366" i="14"/>
  <c r="R3358" i="14"/>
  <c r="R3350" i="14"/>
  <c r="R3342" i="14"/>
  <c r="R3334" i="14"/>
  <c r="R3326" i="14"/>
  <c r="R3318" i="14"/>
  <c r="R3310" i="14"/>
  <c r="R3302" i="14"/>
  <c r="R3294" i="14"/>
  <c r="R3286" i="14"/>
  <c r="R3278" i="14"/>
  <c r="R3270" i="14"/>
  <c r="R3262" i="14"/>
  <c r="R3254" i="14"/>
  <c r="R3246" i="14"/>
  <c r="R3238" i="14"/>
  <c r="R3230" i="14"/>
  <c r="R3222" i="14"/>
  <c r="R3214" i="14"/>
  <c r="R3206" i="14"/>
  <c r="R3198" i="14"/>
  <c r="R3190" i="14"/>
  <c r="R3182" i="14"/>
  <c r="R3174" i="14"/>
  <c r="R3166" i="14"/>
  <c r="R3158" i="14"/>
  <c r="R3150" i="14"/>
  <c r="R3142" i="14"/>
  <c r="R3134" i="14"/>
  <c r="R3126" i="14"/>
  <c r="R3118" i="14"/>
  <c r="R3110" i="14"/>
  <c r="R3102" i="14"/>
  <c r="R3094" i="14"/>
  <c r="R3086" i="14"/>
  <c r="R3078" i="14"/>
  <c r="R3070" i="14"/>
  <c r="R3062" i="14"/>
  <c r="R3054" i="14"/>
  <c r="R3046" i="14"/>
  <c r="R3038" i="14"/>
  <c r="R3030" i="14"/>
  <c r="R3022" i="14"/>
  <c r="R3014" i="14"/>
  <c r="R3006" i="14"/>
  <c r="R2998" i="14"/>
  <c r="R2990" i="14"/>
  <c r="R2982" i="14"/>
  <c r="R2974" i="14"/>
  <c r="R2966" i="14"/>
  <c r="R2958" i="14"/>
  <c r="R2950" i="14"/>
  <c r="R2942" i="14"/>
  <c r="R2934" i="14"/>
  <c r="R2926" i="14"/>
  <c r="R2918" i="14"/>
  <c r="R2910" i="14"/>
  <c r="R2902" i="14"/>
  <c r="R2894" i="14"/>
  <c r="R2886" i="14"/>
  <c r="R2878" i="14"/>
  <c r="R2870" i="14"/>
  <c r="R2862" i="14"/>
  <c r="R2854" i="14"/>
  <c r="R2846" i="14"/>
  <c r="R2838" i="14"/>
  <c r="R2830" i="14"/>
  <c r="R2822" i="14"/>
  <c r="R2814" i="14"/>
  <c r="R2806" i="14"/>
  <c r="R2798" i="14"/>
  <c r="R2790" i="14"/>
  <c r="R2782" i="14"/>
  <c r="R2774" i="14"/>
  <c r="R2766" i="14"/>
  <c r="R2758" i="14"/>
  <c r="R2750" i="14"/>
  <c r="R2742" i="14"/>
  <c r="R2734" i="14"/>
  <c r="R2726" i="14"/>
  <c r="R2718" i="14"/>
  <c r="R2710" i="14"/>
  <c r="R2702" i="14"/>
  <c r="R2694" i="14"/>
  <c r="R2686" i="14"/>
  <c r="R2678" i="14"/>
  <c r="R2670" i="14"/>
  <c r="R2662" i="14"/>
  <c r="R2654" i="14"/>
  <c r="R2646" i="14"/>
  <c r="R2638" i="14"/>
  <c r="R2630" i="14"/>
  <c r="R2622" i="14"/>
  <c r="R2614" i="14"/>
  <c r="R2606" i="14"/>
  <c r="R2598" i="14"/>
  <c r="R2590" i="14"/>
  <c r="R2582" i="14"/>
  <c r="R2574" i="14"/>
  <c r="R2566" i="14"/>
  <c r="R2558" i="14"/>
  <c r="R2550" i="14"/>
  <c r="R2542" i="14"/>
  <c r="R2534" i="14"/>
  <c r="R2526" i="14"/>
  <c r="R2518" i="14"/>
  <c r="R2510" i="14"/>
  <c r="R2502" i="14"/>
  <c r="R2494" i="14"/>
  <c r="R2486" i="14"/>
  <c r="R2478" i="14"/>
  <c r="R2470" i="14"/>
  <c r="R2462" i="14"/>
  <c r="R2454" i="14"/>
  <c r="R2446" i="14"/>
  <c r="R2438" i="14"/>
  <c r="R2430" i="14"/>
  <c r="R2422" i="14"/>
  <c r="R2414" i="14"/>
  <c r="R2406" i="14"/>
  <c r="R2398" i="14"/>
  <c r="R2390" i="14"/>
  <c r="R2382" i="14"/>
  <c r="R2374" i="14"/>
  <c r="R2366" i="14"/>
  <c r="R2358" i="14"/>
  <c r="R2350" i="14"/>
  <c r="R2342" i="14"/>
  <c r="R2334" i="14"/>
  <c r="R2326" i="14"/>
  <c r="R2318" i="14"/>
  <c r="R2310" i="14"/>
  <c r="R2302" i="14"/>
  <c r="R2294" i="14"/>
  <c r="R2286" i="14"/>
  <c r="R2278" i="14"/>
  <c r="R2270" i="14"/>
  <c r="R2262" i="14"/>
  <c r="R2254" i="14"/>
  <c r="R2246" i="14"/>
  <c r="R2238" i="14"/>
  <c r="R2230" i="14"/>
  <c r="R2222" i="14"/>
  <c r="R2214" i="14"/>
  <c r="R2206" i="14"/>
  <c r="R2198" i="14"/>
  <c r="R2190" i="14"/>
  <c r="R2182" i="14"/>
  <c r="R2174" i="14"/>
  <c r="R2166" i="14"/>
  <c r="R2158" i="14"/>
  <c r="R2150" i="14"/>
  <c r="R2142" i="14"/>
  <c r="R2134" i="14"/>
  <c r="R2126" i="14"/>
  <c r="R2118" i="14"/>
  <c r="R2110" i="14"/>
  <c r="R2102" i="14"/>
  <c r="R2094" i="14"/>
  <c r="R2086" i="14"/>
  <c r="R2078" i="14"/>
  <c r="R2070" i="14"/>
  <c r="R2062" i="14"/>
  <c r="R2054" i="14"/>
  <c r="R2046" i="14"/>
  <c r="R4413" i="14"/>
  <c r="R4405" i="14"/>
  <c r="R4397" i="14"/>
  <c r="R4389" i="14"/>
  <c r="R4381" i="14"/>
  <c r="R4373" i="14"/>
  <c r="R4365" i="14"/>
  <c r="R4357" i="14"/>
  <c r="R4349" i="14"/>
  <c r="R4341" i="14"/>
  <c r="R4333" i="14"/>
  <c r="R4325" i="14"/>
  <c r="R4317" i="14"/>
  <c r="R4309" i="14"/>
  <c r="R4301" i="14"/>
  <c r="R4293" i="14"/>
  <c r="R4285" i="14"/>
  <c r="R4277" i="14"/>
  <c r="R4269" i="14"/>
  <c r="R4261" i="14"/>
  <c r="R4253" i="14"/>
  <c r="R4245" i="14"/>
  <c r="R4237" i="14"/>
  <c r="R4229" i="14"/>
  <c r="R4221" i="14"/>
  <c r="R4213" i="14"/>
  <c r="R4205" i="14"/>
  <c r="R4197" i="14"/>
  <c r="R4189" i="14"/>
  <c r="R4181" i="14"/>
  <c r="R4173" i="14"/>
  <c r="R4165" i="14"/>
  <c r="R4157" i="14"/>
  <c r="R4149" i="14"/>
  <c r="R4141" i="14"/>
  <c r="R4133" i="14"/>
  <c r="R4125" i="14"/>
  <c r="R4117" i="14"/>
  <c r="R4109" i="14"/>
  <c r="R4101" i="14"/>
  <c r="R4093" i="14"/>
  <c r="R4085" i="14"/>
  <c r="R4077" i="14"/>
  <c r="R4069" i="14"/>
  <c r="R4061" i="14"/>
  <c r="R4053" i="14"/>
  <c r="R4045" i="14"/>
  <c r="R4037" i="14"/>
  <c r="R4029" i="14"/>
  <c r="R4021" i="14"/>
  <c r="R4013" i="14"/>
  <c r="R4005" i="14"/>
  <c r="R3997" i="14"/>
  <c r="R3989" i="14"/>
  <c r="R3981" i="14"/>
  <c r="R3973" i="14"/>
  <c r="R3965" i="14"/>
  <c r="R3957" i="14"/>
  <c r="R3949" i="14"/>
  <c r="R3941" i="14"/>
  <c r="R3933" i="14"/>
  <c r="R3925" i="14"/>
  <c r="R3917" i="14"/>
  <c r="R3909" i="14"/>
  <c r="R3901" i="14"/>
  <c r="R3893" i="14"/>
  <c r="R3885" i="14"/>
  <c r="R3877" i="14"/>
  <c r="R3853" i="14"/>
  <c r="R3845" i="14"/>
  <c r="R3837" i="14"/>
  <c r="R3829" i="14"/>
  <c r="R3821" i="14"/>
  <c r="R3813" i="14"/>
  <c r="R3805" i="14"/>
  <c r="R3797" i="14"/>
  <c r="R3789" i="14"/>
  <c r="R3781" i="14"/>
  <c r="R3773" i="14"/>
  <c r="R3765" i="14"/>
  <c r="R3757" i="14"/>
  <c r="R3749" i="14"/>
  <c r="R3741" i="14"/>
  <c r="R3733" i="14"/>
  <c r="R3725" i="14"/>
  <c r="R3717" i="14"/>
  <c r="R3709" i="14"/>
  <c r="R3701" i="14"/>
  <c r="R3693" i="14"/>
  <c r="R3685" i="14"/>
  <c r="R3677" i="14"/>
  <c r="R3669" i="14"/>
  <c r="R3661" i="14"/>
  <c r="R3653" i="14"/>
  <c r="R3645" i="14"/>
  <c r="R3637" i="14"/>
  <c r="R3629" i="14"/>
  <c r="R3621" i="14"/>
  <c r="R3613" i="14"/>
  <c r="R3605" i="14"/>
  <c r="R3597" i="14"/>
  <c r="R3589" i="14"/>
  <c r="R3581" i="14"/>
  <c r="R3573" i="14"/>
  <c r="R3565" i="14"/>
  <c r="R3557" i="14"/>
  <c r="R3549" i="14"/>
  <c r="R3541" i="14"/>
  <c r="R3533" i="14"/>
  <c r="R3525" i="14"/>
  <c r="R3517" i="14"/>
  <c r="R3509" i="14"/>
  <c r="R3501" i="14"/>
  <c r="R3493" i="14"/>
  <c r="R3485" i="14"/>
  <c r="R3477" i="14"/>
  <c r="R3469" i="14"/>
  <c r="R3461" i="14"/>
  <c r="R3453" i="14"/>
  <c r="R3445" i="14"/>
  <c r="R3437" i="14"/>
  <c r="R3429" i="14"/>
  <c r="R3421" i="14"/>
  <c r="R3413" i="14"/>
  <c r="R3405" i="14"/>
  <c r="R3397" i="14"/>
  <c r="R3389" i="14"/>
  <c r="R3381" i="14"/>
  <c r="R3373" i="14"/>
  <c r="R3365" i="14"/>
  <c r="R3357" i="14"/>
  <c r="R3349" i="14"/>
  <c r="R3341" i="14"/>
  <c r="R3333" i="14"/>
  <c r="R3325" i="14"/>
  <c r="R3317" i="14"/>
  <c r="R3309" i="14"/>
  <c r="R3301" i="14"/>
  <c r="R3293" i="14"/>
  <c r="R3285" i="14"/>
  <c r="R3277" i="14"/>
  <c r="R3269" i="14"/>
  <c r="R3261" i="14"/>
  <c r="R3253" i="14"/>
  <c r="R3245" i="14"/>
  <c r="R3237" i="14"/>
  <c r="R3229" i="14"/>
  <c r="R3221" i="14"/>
  <c r="R3213" i="14"/>
  <c r="R3205" i="14"/>
  <c r="R3197" i="14"/>
  <c r="R3189" i="14"/>
  <c r="R3181" i="14"/>
  <c r="R3173" i="14"/>
  <c r="R3165" i="14"/>
  <c r="R3157" i="14"/>
  <c r="R3149" i="14"/>
  <c r="R3141" i="14"/>
  <c r="R3133" i="14"/>
  <c r="R3125" i="14"/>
  <c r="R3117" i="14"/>
  <c r="R3109" i="14"/>
  <c r="R3101" i="14"/>
  <c r="R3093" i="14"/>
  <c r="R3085" i="14"/>
  <c r="R3077" i="14"/>
  <c r="R3069" i="14"/>
  <c r="R3061" i="14"/>
  <c r="R3053" i="14"/>
  <c r="R3045" i="14"/>
  <c r="R3037" i="14"/>
  <c r="R3029" i="14"/>
  <c r="R3021" i="14"/>
  <c r="R3013" i="14"/>
  <c r="R3005" i="14"/>
  <c r="R2997" i="14"/>
  <c r="R2989" i="14"/>
  <c r="R2981" i="14"/>
  <c r="R2973" i="14"/>
  <c r="R2965" i="14"/>
  <c r="R2957" i="14"/>
  <c r="R2949" i="14"/>
  <c r="R2941" i="14"/>
  <c r="R2933" i="14"/>
  <c r="R2925" i="14"/>
  <c r="R2917" i="14"/>
  <c r="R2909" i="14"/>
  <c r="R2901" i="14"/>
  <c r="R2893" i="14"/>
  <c r="R2885" i="14"/>
  <c r="R2877" i="14"/>
  <c r="R2869" i="14"/>
  <c r="R2861" i="14"/>
  <c r="R2853" i="14"/>
  <c r="R2845" i="14"/>
  <c r="R2837" i="14"/>
  <c r="R2829" i="14"/>
  <c r="R2821" i="14"/>
  <c r="R2813" i="14"/>
  <c r="R2805" i="14"/>
  <c r="R2797" i="14"/>
  <c r="R2789" i="14"/>
  <c r="R2781" i="14"/>
  <c r="R2773" i="14"/>
  <c r="R2765" i="14"/>
  <c r="R2757" i="14"/>
  <c r="R2749" i="14"/>
  <c r="R2741" i="14"/>
  <c r="R2733" i="14"/>
  <c r="R2725" i="14"/>
  <c r="R2717" i="14"/>
  <c r="R2709" i="14"/>
  <c r="R2701" i="14"/>
  <c r="R2693" i="14"/>
  <c r="R2685" i="14"/>
  <c r="R2677" i="14"/>
  <c r="R2669" i="14"/>
  <c r="R2661" i="14"/>
  <c r="R2653" i="14"/>
  <c r="R2645" i="14"/>
  <c r="R2637" i="14"/>
  <c r="R2629" i="14"/>
  <c r="R2621" i="14"/>
  <c r="R2613" i="14"/>
  <c r="R2605" i="14"/>
  <c r="R2597" i="14"/>
  <c r="R2589" i="14"/>
  <c r="R2581" i="14"/>
  <c r="R2573" i="14"/>
  <c r="R2565" i="14"/>
  <c r="R2557" i="14"/>
  <c r="R2549" i="14"/>
  <c r="R2541" i="14"/>
  <c r="R2533" i="14"/>
  <c r="R2525" i="14"/>
  <c r="R2517" i="14"/>
  <c r="R2509" i="14"/>
  <c r="R2501" i="14"/>
  <c r="R2493" i="14"/>
  <c r="R2485" i="14"/>
  <c r="R2477" i="14"/>
  <c r="R2469" i="14"/>
  <c r="R2461" i="14"/>
  <c r="R2453" i="14"/>
  <c r="R2445" i="14"/>
  <c r="R2437" i="14"/>
  <c r="R2429" i="14"/>
  <c r="R2421" i="14"/>
  <c r="R2413" i="14"/>
  <c r="R2405" i="14"/>
  <c r="R2397" i="14"/>
  <c r="R2389" i="14"/>
  <c r="R2381" i="14"/>
  <c r="R2373" i="14"/>
  <c r="R2365" i="14"/>
  <c r="R2357" i="14"/>
  <c r="R2349" i="14"/>
  <c r="R2341" i="14"/>
  <c r="R2333" i="14"/>
  <c r="R2325" i="14"/>
  <c r="R2317" i="14"/>
  <c r="R2309" i="14"/>
  <c r="R2301" i="14"/>
  <c r="R2293" i="14"/>
  <c r="R2285" i="14"/>
  <c r="R2277" i="14"/>
  <c r="R2269" i="14"/>
  <c r="R2261" i="14"/>
  <c r="R2253" i="14"/>
  <c r="R2245" i="14"/>
  <c r="R2237" i="14"/>
  <c r="R2229" i="14"/>
  <c r="R2221" i="14"/>
  <c r="R2213" i="14"/>
  <c r="R2205" i="14"/>
  <c r="R2197" i="14"/>
  <c r="R2189" i="14"/>
  <c r="R2181" i="14"/>
  <c r="R2173" i="14"/>
  <c r="R2165" i="14"/>
  <c r="R2157" i="14"/>
  <c r="R2149" i="14"/>
  <c r="R2141" i="14"/>
  <c r="R2133" i="14"/>
  <c r="R2125" i="14"/>
  <c r="R2117" i="14"/>
  <c r="R2109" i="14"/>
  <c r="R2101" i="14"/>
  <c r="R2093" i="14"/>
  <c r="R2085" i="14"/>
  <c r="R2077" i="14"/>
  <c r="R2069" i="14"/>
  <c r="R2061" i="14"/>
  <c r="R2053" i="14"/>
  <c r="R2045" i="14"/>
  <c r="R4412" i="14"/>
  <c r="R4404" i="14"/>
  <c r="R4396" i="14"/>
  <c r="R4388" i="14"/>
  <c r="R4380" i="14"/>
  <c r="R4372" i="14"/>
  <c r="R4364" i="14"/>
  <c r="R4356" i="14"/>
  <c r="R4348" i="14"/>
  <c r="R4340" i="14"/>
  <c r="R4332" i="14"/>
  <c r="R4324" i="14"/>
  <c r="R4316" i="14"/>
  <c r="R4308" i="14"/>
  <c r="R4300" i="14"/>
  <c r="R4292" i="14"/>
  <c r="R4284" i="14"/>
  <c r="R4276" i="14"/>
  <c r="R4268" i="14"/>
  <c r="R4260" i="14"/>
  <c r="R4252" i="14"/>
  <c r="R4244" i="14"/>
  <c r="R4236" i="14"/>
  <c r="R4228" i="14"/>
  <c r="R4220" i="14"/>
  <c r="R4212" i="14"/>
  <c r="R4204" i="14"/>
  <c r="R4196" i="14"/>
  <c r="R4188" i="14"/>
  <c r="R4180" i="14"/>
  <c r="R4172" i="14"/>
  <c r="R4164" i="14"/>
  <c r="R4156" i="14"/>
  <c r="R4148" i="14"/>
  <c r="R4140" i="14"/>
  <c r="R4132" i="14"/>
  <c r="R4124" i="14"/>
  <c r="R4116" i="14"/>
  <c r="R4108" i="14"/>
  <c r="R4100" i="14"/>
  <c r="R4092" i="14"/>
  <c r="R4084" i="14"/>
  <c r="R4076" i="14"/>
  <c r="R4068" i="14"/>
  <c r="R4060" i="14"/>
  <c r="R4052" i="14"/>
  <c r="R4044" i="14"/>
  <c r="R4036" i="14"/>
  <c r="R4028" i="14"/>
  <c r="R4020" i="14"/>
  <c r="R4012" i="14"/>
  <c r="R4004" i="14"/>
  <c r="R3996" i="14"/>
  <c r="R3988" i="14"/>
  <c r="R3980" i="14"/>
  <c r="R3972" i="14"/>
  <c r="R3964" i="14"/>
  <c r="R3956" i="14"/>
  <c r="R3948" i="14"/>
  <c r="R3940" i="14"/>
  <c r="R3932" i="14"/>
  <c r="R3924" i="14"/>
  <c r="R3916" i="14"/>
  <c r="R3908" i="14"/>
  <c r="R3900" i="14"/>
  <c r="R3892" i="14"/>
  <c r="R3884" i="14"/>
  <c r="R3876" i="14"/>
  <c r="R3852" i="14"/>
  <c r="R3844" i="14"/>
  <c r="R3836" i="14"/>
  <c r="R3828" i="14"/>
  <c r="R3820" i="14"/>
  <c r="R3812" i="14"/>
  <c r="R3804" i="14"/>
  <c r="R3796" i="14"/>
  <c r="R3788" i="14"/>
  <c r="R3780" i="14"/>
  <c r="R3772" i="14"/>
  <c r="R3764" i="14"/>
  <c r="R3756" i="14"/>
  <c r="R3748" i="14"/>
  <c r="R3740" i="14"/>
  <c r="R3732" i="14"/>
  <c r="R3724" i="14"/>
  <c r="R3716" i="14"/>
  <c r="R3708" i="14"/>
  <c r="R3700" i="14"/>
  <c r="R3692" i="14"/>
  <c r="R3684" i="14"/>
  <c r="R3676" i="14"/>
  <c r="R3668" i="14"/>
  <c r="R3660" i="14"/>
  <c r="R3652" i="14"/>
  <c r="R3644" i="14"/>
  <c r="R3636" i="14"/>
  <c r="R3628" i="14"/>
  <c r="R3620" i="14"/>
  <c r="R3612" i="14"/>
  <c r="R3604" i="14"/>
  <c r="R3596" i="14"/>
  <c r="R3588" i="14"/>
  <c r="R3580" i="14"/>
  <c r="R3572" i="14"/>
  <c r="R3564" i="14"/>
  <c r="R3556" i="14"/>
  <c r="R3548" i="14"/>
  <c r="R3540" i="14"/>
  <c r="R3532" i="14"/>
  <c r="R3524" i="14"/>
  <c r="R3516" i="14"/>
  <c r="R3508" i="14"/>
  <c r="R3500" i="14"/>
  <c r="R3492" i="14"/>
  <c r="R3484" i="14"/>
  <c r="R3476" i="14"/>
  <c r="R3468" i="14"/>
  <c r="R3460" i="14"/>
  <c r="R3452" i="14"/>
  <c r="R3444" i="14"/>
  <c r="R3436" i="14"/>
  <c r="R3428" i="14"/>
  <c r="R3420" i="14"/>
  <c r="R3412" i="14"/>
  <c r="R3404" i="14"/>
  <c r="R3396" i="14"/>
  <c r="R3388" i="14"/>
  <c r="R3380" i="14"/>
  <c r="R3372" i="14"/>
  <c r="R3364" i="14"/>
  <c r="R3356" i="14"/>
  <c r="R3348" i="14"/>
  <c r="R3340" i="14"/>
  <c r="R3332" i="14"/>
  <c r="R3324" i="14"/>
  <c r="R3316" i="14"/>
  <c r="R3308" i="14"/>
  <c r="R3300" i="14"/>
  <c r="R3292" i="14"/>
  <c r="R3284" i="14"/>
  <c r="R3276" i="14"/>
  <c r="R3268" i="14"/>
  <c r="R3260" i="14"/>
  <c r="R3252" i="14"/>
  <c r="R3244" i="14"/>
  <c r="R3236" i="14"/>
  <c r="R3228" i="14"/>
  <c r="R3220" i="14"/>
  <c r="R3212" i="14"/>
  <c r="R3204" i="14"/>
  <c r="R3196" i="14"/>
  <c r="R3188" i="14"/>
  <c r="R3180" i="14"/>
  <c r="R3172" i="14"/>
  <c r="R3164" i="14"/>
  <c r="R3156" i="14"/>
  <c r="R3148" i="14"/>
  <c r="R3140" i="14"/>
  <c r="R3132" i="14"/>
  <c r="R3124" i="14"/>
  <c r="R3116" i="14"/>
  <c r="R3108" i="14"/>
  <c r="R3100" i="14"/>
  <c r="R3092" i="14"/>
  <c r="R3084" i="14"/>
  <c r="R3076" i="14"/>
  <c r="R3068" i="14"/>
  <c r="R3060" i="14"/>
  <c r="R3052" i="14"/>
  <c r="R3044" i="14"/>
  <c r="R3036" i="14"/>
  <c r="R3028" i="14"/>
  <c r="R3020" i="14"/>
  <c r="R3012" i="14"/>
  <c r="R3004" i="14"/>
  <c r="R2996" i="14"/>
  <c r="R2988" i="14"/>
  <c r="R2980" i="14"/>
  <c r="R2972" i="14"/>
  <c r="R2964" i="14"/>
  <c r="R2956" i="14"/>
  <c r="R2948" i="14"/>
  <c r="R2940" i="14"/>
  <c r="R2932" i="14"/>
  <c r="R2924" i="14"/>
  <c r="R2916" i="14"/>
  <c r="R2908" i="14"/>
  <c r="R2900" i="14"/>
  <c r="R2892" i="14"/>
  <c r="R2884" i="14"/>
  <c r="R2876" i="14"/>
  <c r="R2868" i="14"/>
  <c r="R2860" i="14"/>
  <c r="R2852" i="14"/>
  <c r="R2844" i="14"/>
  <c r="R2836" i="14"/>
  <c r="R2828" i="14"/>
  <c r="R2820" i="14"/>
  <c r="R2812" i="14"/>
  <c r="R2804" i="14"/>
  <c r="R2796" i="14"/>
  <c r="R2788" i="14"/>
  <c r="R2780" i="14"/>
  <c r="R2772" i="14"/>
  <c r="R2764" i="14"/>
  <c r="R2756" i="14"/>
  <c r="R2748" i="14"/>
  <c r="R2740" i="14"/>
  <c r="R2732" i="14"/>
  <c r="R2724" i="14"/>
  <c r="R2716" i="14"/>
  <c r="R2708" i="14"/>
  <c r="R2700" i="14"/>
  <c r="R2692" i="14"/>
  <c r="R2684" i="14"/>
  <c r="R2676" i="14"/>
  <c r="R2668" i="14"/>
  <c r="R2660" i="14"/>
  <c r="R2652" i="14"/>
  <c r="R2644" i="14"/>
  <c r="R2636" i="14"/>
  <c r="R2628" i="14"/>
  <c r="R2620" i="14"/>
  <c r="R2612" i="14"/>
  <c r="R2604" i="14"/>
  <c r="R2596" i="14"/>
  <c r="R2588" i="14"/>
  <c r="R2580" i="14"/>
  <c r="R2572" i="14"/>
  <c r="R2564" i="14"/>
  <c r="R2556" i="14"/>
  <c r="R2548" i="14"/>
  <c r="R2540" i="14"/>
  <c r="R2532" i="14"/>
  <c r="R2524" i="14"/>
  <c r="R2516" i="14"/>
  <c r="R2508" i="14"/>
  <c r="R2500" i="14"/>
  <c r="R2492" i="14"/>
  <c r="R2484" i="14"/>
  <c r="R2476" i="14"/>
  <c r="R2468" i="14"/>
  <c r="R2460" i="14"/>
  <c r="R2452" i="14"/>
  <c r="R2444" i="14"/>
  <c r="R2436" i="14"/>
  <c r="R2428" i="14"/>
  <c r="R2420" i="14"/>
  <c r="R2412" i="14"/>
  <c r="R2404" i="14"/>
  <c r="R2396" i="14"/>
  <c r="R2388" i="14"/>
  <c r="R2380" i="14"/>
  <c r="R2372" i="14"/>
  <c r="R2364" i="14"/>
  <c r="R2356" i="14"/>
  <c r="R2348" i="14"/>
  <c r="R2340" i="14"/>
  <c r="R2332" i="14"/>
  <c r="R2324" i="14"/>
  <c r="R2316" i="14"/>
  <c r="R2308" i="14"/>
  <c r="R2300" i="14"/>
  <c r="R2292" i="14"/>
  <c r="R2284" i="14"/>
  <c r="R2276" i="14"/>
  <c r="R2268" i="14"/>
  <c r="R2260" i="14"/>
  <c r="R2252" i="14"/>
  <c r="R2244" i="14"/>
  <c r="R2236" i="14"/>
  <c r="R2228" i="14"/>
  <c r="R2220" i="14"/>
  <c r="R2212" i="14"/>
  <c r="R2204" i="14"/>
  <c r="R2196" i="14"/>
  <c r="R2188" i="14"/>
  <c r="R2180" i="14"/>
  <c r="R2172" i="14"/>
  <c r="R2164" i="14"/>
  <c r="R2156" i="14"/>
  <c r="R2148" i="14"/>
  <c r="R2140" i="14"/>
  <c r="R2132" i="14"/>
  <c r="R2124" i="14"/>
  <c r="R2116" i="14"/>
  <c r="R2108" i="14"/>
  <c r="R2100" i="14"/>
  <c r="R2092" i="14"/>
  <c r="R2084" i="14"/>
  <c r="R2076" i="14"/>
  <c r="R2068" i="14"/>
  <c r="R2060" i="14"/>
  <c r="R2052" i="14"/>
  <c r="R2044" i="14"/>
  <c r="R4411" i="14"/>
  <c r="R4403" i="14"/>
  <c r="R4395" i="14"/>
  <c r="R4387" i="14"/>
  <c r="R4379" i="14"/>
  <c r="R4371" i="14"/>
  <c r="R4363" i="14"/>
  <c r="R4355" i="14"/>
  <c r="R4347" i="14"/>
  <c r="R4339" i="14"/>
  <c r="R4331" i="14"/>
  <c r="R4323" i="14"/>
  <c r="R4315" i="14"/>
  <c r="R4307" i="14"/>
  <c r="R4299" i="14"/>
  <c r="R4291" i="14"/>
  <c r="R4283" i="14"/>
  <c r="R4275" i="14"/>
  <c r="R4267" i="14"/>
  <c r="R4259" i="14"/>
  <c r="R4251" i="14"/>
  <c r="R4243" i="14"/>
  <c r="R4235" i="14"/>
  <c r="R4227" i="14"/>
  <c r="R4219" i="14"/>
  <c r="R4211" i="14"/>
  <c r="R4203" i="14"/>
  <c r="R4195" i="14"/>
  <c r="R4187" i="14"/>
  <c r="R4179" i="14"/>
  <c r="R4171" i="14"/>
  <c r="R4163" i="14"/>
  <c r="R4155" i="14"/>
  <c r="R4147" i="14"/>
  <c r="R4139" i="14"/>
  <c r="R4131" i="14"/>
  <c r="R4123" i="14"/>
  <c r="R4115" i="14"/>
  <c r="R4107" i="14"/>
  <c r="R4099" i="14"/>
  <c r="R4091" i="14"/>
  <c r="R4083" i="14"/>
  <c r="R4075" i="14"/>
  <c r="R4067" i="14"/>
  <c r="R4059" i="14"/>
  <c r="R4051" i="14"/>
  <c r="R4043" i="14"/>
  <c r="R4035" i="14"/>
  <c r="R4027" i="14"/>
  <c r="R4019" i="14"/>
  <c r="R4011" i="14"/>
  <c r="R4003" i="14"/>
  <c r="R3995" i="14"/>
  <c r="R3987" i="14"/>
  <c r="R3979" i="14"/>
  <c r="R3971" i="14"/>
  <c r="R3963" i="14"/>
  <c r="R3955" i="14"/>
  <c r="R3947" i="14"/>
  <c r="R3939" i="14"/>
  <c r="R3931" i="14"/>
  <c r="R3923" i="14"/>
  <c r="R3915" i="14"/>
  <c r="R3907" i="14"/>
  <c r="R3899" i="14"/>
  <c r="R3891" i="14"/>
  <c r="R3883" i="14"/>
  <c r="R3875" i="14"/>
  <c r="R3851" i="14"/>
  <c r="R3843" i="14"/>
  <c r="R3835" i="14"/>
  <c r="R3827" i="14"/>
  <c r="R3819" i="14"/>
  <c r="R3811" i="14"/>
  <c r="R3803" i="14"/>
  <c r="R3795" i="14"/>
  <c r="R3787" i="14"/>
  <c r="R3779" i="14"/>
  <c r="R3771" i="14"/>
  <c r="R3763" i="14"/>
  <c r="R3755" i="14"/>
  <c r="R3747" i="14"/>
  <c r="R3739" i="14"/>
  <c r="R3731" i="14"/>
  <c r="R3723" i="14"/>
  <c r="R3715" i="14"/>
  <c r="R3707" i="14"/>
  <c r="R3699" i="14"/>
  <c r="R3691" i="14"/>
  <c r="R3683" i="14"/>
  <c r="R3675" i="14"/>
  <c r="R3667" i="14"/>
  <c r="R3659" i="14"/>
  <c r="R3651" i="14"/>
  <c r="R3643" i="14"/>
  <c r="R3635" i="14"/>
  <c r="R3627" i="14"/>
  <c r="R3619" i="14"/>
  <c r="R3611" i="14"/>
  <c r="R3603" i="14"/>
  <c r="R3595" i="14"/>
  <c r="R3587" i="14"/>
  <c r="R3579" i="14"/>
  <c r="R3571" i="14"/>
  <c r="R3563" i="14"/>
  <c r="R3555" i="14"/>
  <c r="R3547" i="14"/>
  <c r="R3539" i="14"/>
  <c r="R3531" i="14"/>
  <c r="R3523" i="14"/>
  <c r="R3515" i="14"/>
  <c r="R3507" i="14"/>
  <c r="R3499" i="14"/>
  <c r="R3491" i="14"/>
  <c r="R3483" i="14"/>
  <c r="R3475" i="14"/>
  <c r="R3467" i="14"/>
  <c r="R3459" i="14"/>
  <c r="R3451" i="14"/>
  <c r="R3443" i="14"/>
  <c r="R3435" i="14"/>
  <c r="R3427" i="14"/>
  <c r="R3419" i="14"/>
  <c r="R3411" i="14"/>
  <c r="R3403" i="14"/>
  <c r="R3395" i="14"/>
  <c r="R3387" i="14"/>
  <c r="R3379" i="14"/>
  <c r="R3371" i="14"/>
  <c r="R3363" i="14"/>
  <c r="R3355" i="14"/>
  <c r="R3347" i="14"/>
  <c r="R3339" i="14"/>
  <c r="R3331" i="14"/>
  <c r="R3323" i="14"/>
  <c r="R3315" i="14"/>
  <c r="R3307" i="14"/>
  <c r="R3299" i="14"/>
  <c r="R3291" i="14"/>
  <c r="R3283" i="14"/>
  <c r="R3275" i="14"/>
  <c r="R3267" i="14"/>
  <c r="R3259" i="14"/>
  <c r="R3251" i="14"/>
  <c r="R3243" i="14"/>
  <c r="R3235" i="14"/>
  <c r="R3227" i="14"/>
  <c r="R3219" i="14"/>
  <c r="R3211" i="14"/>
  <c r="R3203" i="14"/>
  <c r="R3195" i="14"/>
  <c r="R3187" i="14"/>
  <c r="R3179" i="14"/>
  <c r="R3171" i="14"/>
  <c r="R3163" i="14"/>
  <c r="R3155" i="14"/>
  <c r="R3147" i="14"/>
  <c r="R3139" i="14"/>
  <c r="R3131" i="14"/>
  <c r="R3123" i="14"/>
  <c r="R3115" i="14"/>
  <c r="R3107" i="14"/>
  <c r="R3099" i="14"/>
  <c r="R3091" i="14"/>
  <c r="R3083" i="14"/>
  <c r="R3075" i="14"/>
  <c r="R3067" i="14"/>
  <c r="R3059" i="14"/>
  <c r="R3051" i="14"/>
  <c r="R3043" i="14"/>
  <c r="R3035" i="14"/>
  <c r="R3027" i="14"/>
  <c r="R3019" i="14"/>
  <c r="R3011" i="14"/>
  <c r="R3003" i="14"/>
  <c r="R2995" i="14"/>
  <c r="R2987" i="14"/>
  <c r="R2979" i="14"/>
  <c r="R2971" i="14"/>
  <c r="R2963" i="14"/>
  <c r="R2955" i="14"/>
  <c r="R2947" i="14"/>
  <c r="R2939" i="14"/>
  <c r="R2931" i="14"/>
  <c r="R2923" i="14"/>
  <c r="R2915" i="14"/>
  <c r="R2907" i="14"/>
  <c r="R2899" i="14"/>
  <c r="R2891" i="14"/>
  <c r="R2883" i="14"/>
  <c r="R2875" i="14"/>
  <c r="R2867" i="14"/>
  <c r="R2859" i="14"/>
  <c r="R2851" i="14"/>
  <c r="R2843" i="14"/>
  <c r="R2835" i="14"/>
  <c r="R2827" i="14"/>
  <c r="R2819" i="14"/>
  <c r="R2811" i="14"/>
  <c r="R2803" i="14"/>
  <c r="R2795" i="14"/>
  <c r="R2787" i="14"/>
  <c r="R2779" i="14"/>
  <c r="R2771" i="14"/>
  <c r="R2763" i="14"/>
  <c r="R2755" i="14"/>
  <c r="R2747" i="14"/>
  <c r="R2739" i="14"/>
  <c r="R2731" i="14"/>
  <c r="R2723" i="14"/>
  <c r="R2715" i="14"/>
  <c r="R2707" i="14"/>
  <c r="R2699" i="14"/>
  <c r="R2691" i="14"/>
  <c r="R2683" i="14"/>
  <c r="R2675" i="14"/>
  <c r="R2667" i="14"/>
  <c r="R2659" i="14"/>
  <c r="R2651" i="14"/>
  <c r="R2643" i="14"/>
  <c r="R2635" i="14"/>
  <c r="R2627" i="14"/>
  <c r="R2619" i="14"/>
  <c r="R2611" i="14"/>
  <c r="R2603" i="14"/>
  <c r="R2595" i="14"/>
  <c r="R2587" i="14"/>
  <c r="R2579" i="14"/>
  <c r="R2571" i="14"/>
  <c r="R2563" i="14"/>
  <c r="R2555" i="14"/>
  <c r="R2547" i="14"/>
  <c r="R2539" i="14"/>
  <c r="R2531" i="14"/>
  <c r="R2523" i="14"/>
  <c r="R2515" i="14"/>
  <c r="R2507" i="14"/>
  <c r="R2499" i="14"/>
  <c r="R2491" i="14"/>
  <c r="R2483" i="14"/>
  <c r="R2475" i="14"/>
  <c r="R2467" i="14"/>
  <c r="R2459" i="14"/>
  <c r="R2451" i="14"/>
  <c r="R2443" i="14"/>
  <c r="R2435" i="14"/>
  <c r="R2427" i="14"/>
  <c r="R2419" i="14"/>
  <c r="R2411" i="14"/>
  <c r="R2403" i="14"/>
  <c r="R2395" i="14"/>
  <c r="R2387" i="14"/>
  <c r="R2379" i="14"/>
  <c r="R2371" i="14"/>
  <c r="R2363" i="14"/>
  <c r="R2355" i="14"/>
  <c r="R2347" i="14"/>
  <c r="R2339" i="14"/>
  <c r="R2331" i="14"/>
  <c r="R2323" i="14"/>
  <c r="R2315" i="14"/>
  <c r="R2307" i="14"/>
  <c r="R2299" i="14"/>
  <c r="R2291" i="14"/>
  <c r="R2283" i="14"/>
  <c r="R2275" i="14"/>
  <c r="R2267" i="14"/>
  <c r="R2259" i="14"/>
  <c r="R2251" i="14"/>
  <c r="R2243" i="14"/>
  <c r="R2235" i="14"/>
  <c r="R2227" i="14"/>
  <c r="R2219" i="14"/>
  <c r="R2211" i="14"/>
  <c r="R2203" i="14"/>
  <c r="R2195" i="14"/>
  <c r="R2187" i="14"/>
  <c r="R2179" i="14"/>
  <c r="R2171" i="14"/>
  <c r="R2163" i="14"/>
  <c r="R2155" i="14"/>
  <c r="R2147" i="14"/>
  <c r="R2139" i="14"/>
  <c r="R2131" i="14"/>
  <c r="R2123" i="14"/>
  <c r="R2115" i="14"/>
  <c r="R2107" i="14"/>
  <c r="R2099" i="14"/>
  <c r="R2091" i="14"/>
  <c r="R2083" i="14"/>
  <c r="R2075" i="14"/>
  <c r="R2067" i="14"/>
  <c r="R2059" i="14"/>
  <c r="R2051" i="14"/>
  <c r="R2034" i="14"/>
  <c r="R2026" i="14"/>
  <c r="R2018" i="14"/>
  <c r="R2010" i="14"/>
  <c r="R2002" i="14"/>
  <c r="R1994" i="14"/>
  <c r="R1986" i="14"/>
  <c r="R1978" i="14"/>
  <c r="R1970" i="14"/>
  <c r="R1962" i="14"/>
  <c r="R1954" i="14"/>
  <c r="R1946" i="14"/>
  <c r="R1938" i="14"/>
  <c r="R1930" i="14"/>
  <c r="R1922" i="14"/>
  <c r="R1914" i="14"/>
  <c r="R1906" i="14"/>
  <c r="R1898" i="14"/>
  <c r="R1890" i="14"/>
  <c r="R1882" i="14"/>
  <c r="R1874" i="14"/>
  <c r="R1866" i="14"/>
  <c r="R1858" i="14"/>
  <c r="R1850" i="14"/>
  <c r="R1842" i="14"/>
  <c r="R1834" i="14"/>
  <c r="R1826" i="14"/>
  <c r="R1818" i="14"/>
  <c r="R1810" i="14"/>
  <c r="R1802" i="14"/>
  <c r="R1794" i="14"/>
  <c r="R1786" i="14"/>
  <c r="R1778" i="14"/>
  <c r="R1770" i="14"/>
  <c r="R1762" i="14"/>
  <c r="R1754" i="14"/>
  <c r="R1746" i="14"/>
  <c r="R1738" i="14"/>
  <c r="R1730" i="14"/>
  <c r="R1722" i="14"/>
  <c r="R1714" i="14"/>
  <c r="R1706" i="14"/>
  <c r="R1698" i="14"/>
  <c r="R1690" i="14"/>
  <c r="R1682" i="14"/>
  <c r="R1674" i="14"/>
  <c r="R1666" i="14"/>
  <c r="R1658" i="14"/>
  <c r="R1650" i="14"/>
  <c r="R1642" i="14"/>
  <c r="R1634" i="14"/>
  <c r="R1626" i="14"/>
  <c r="R1618" i="14"/>
  <c r="R1610" i="14"/>
  <c r="R1602" i="14"/>
  <c r="R1594" i="14"/>
  <c r="R1586" i="14"/>
  <c r="R1578" i="14"/>
  <c r="R1570" i="14"/>
  <c r="R1562" i="14"/>
  <c r="R1554" i="14"/>
  <c r="R1546" i="14"/>
  <c r="R1538" i="14"/>
  <c r="R1530" i="14"/>
  <c r="R1522" i="14"/>
  <c r="R1514" i="14"/>
  <c r="R1506" i="14"/>
  <c r="R1498" i="14"/>
  <c r="R1490" i="14"/>
  <c r="R1482" i="14"/>
  <c r="R1474" i="14"/>
  <c r="R1466" i="14"/>
  <c r="R1458" i="14"/>
  <c r="R1450" i="14"/>
  <c r="R1442" i="14"/>
  <c r="R1434" i="14"/>
  <c r="R1426" i="14"/>
  <c r="R1418" i="14"/>
  <c r="R1410" i="14"/>
  <c r="R1402" i="14"/>
  <c r="R1394" i="14"/>
  <c r="R1386" i="14"/>
  <c r="R1378" i="14"/>
  <c r="R1370" i="14"/>
  <c r="R1362" i="14"/>
  <c r="R1354" i="14"/>
  <c r="R1346" i="14"/>
  <c r="R1338" i="14"/>
  <c r="R1330" i="14"/>
  <c r="R1322" i="14"/>
  <c r="R1314" i="14"/>
  <c r="R1306" i="14"/>
  <c r="R1298" i="14"/>
  <c r="R1290" i="14"/>
  <c r="R1282" i="14"/>
  <c r="R1274" i="14"/>
  <c r="R1266" i="14"/>
  <c r="R1258" i="14"/>
  <c r="R1250" i="14"/>
  <c r="R1242" i="14"/>
  <c r="R1234" i="14"/>
  <c r="R1226" i="14"/>
  <c r="R1218" i="14"/>
  <c r="R1210" i="14"/>
  <c r="R1202" i="14"/>
  <c r="R1194" i="14"/>
  <c r="R1186" i="14"/>
  <c r="R1178" i="14"/>
  <c r="R1170" i="14"/>
  <c r="R1162" i="14"/>
  <c r="R1154" i="14"/>
  <c r="R1146" i="14"/>
  <c r="R1138" i="14"/>
  <c r="R1130" i="14"/>
  <c r="R1122" i="14"/>
  <c r="R1114" i="14"/>
  <c r="R1106" i="14"/>
  <c r="R1098" i="14"/>
  <c r="R1090" i="14"/>
  <c r="R1082" i="14"/>
  <c r="R1074" i="14"/>
  <c r="R1066" i="14"/>
  <c r="R1058" i="14"/>
  <c r="R1050" i="14"/>
  <c r="R1042" i="14"/>
  <c r="R1034" i="14"/>
  <c r="R1026" i="14"/>
  <c r="R1018" i="14"/>
  <c r="R1010" i="14"/>
  <c r="R1002" i="14"/>
  <c r="R994" i="14"/>
  <c r="R986" i="14"/>
  <c r="R978" i="14"/>
  <c r="R970" i="14"/>
  <c r="R962" i="14"/>
  <c r="R954" i="14"/>
  <c r="R946" i="14"/>
  <c r="R938" i="14"/>
  <c r="R930" i="14"/>
  <c r="R922" i="14"/>
  <c r="R914" i="14"/>
  <c r="R906" i="14"/>
  <c r="R898" i="14"/>
  <c r="R890" i="14"/>
  <c r="R882" i="14"/>
  <c r="R874" i="14"/>
  <c r="R866" i="14"/>
  <c r="R858" i="14"/>
  <c r="R850" i="14"/>
  <c r="R842" i="14"/>
  <c r="R834" i="14"/>
  <c r="R826" i="14"/>
  <c r="R818" i="14"/>
  <c r="R810" i="14"/>
  <c r="R802" i="14"/>
  <c r="R794" i="14"/>
  <c r="R786" i="14"/>
  <c r="R778" i="14"/>
  <c r="R770" i="14"/>
  <c r="R762" i="14"/>
  <c r="R754" i="14"/>
  <c r="R746" i="14"/>
  <c r="R738" i="14"/>
  <c r="R730" i="14"/>
  <c r="R722" i="14"/>
  <c r="R714" i="14"/>
  <c r="R706" i="14"/>
  <c r="R698" i="14"/>
  <c r="R690" i="14"/>
  <c r="R682" i="14"/>
  <c r="R674" i="14"/>
  <c r="R666" i="14"/>
  <c r="R658" i="14"/>
  <c r="R650" i="14"/>
  <c r="R642" i="14"/>
  <c r="R634" i="14"/>
  <c r="R626" i="14"/>
  <c r="R618" i="14"/>
  <c r="R610" i="14"/>
  <c r="R602" i="14"/>
  <c r="R594" i="14"/>
  <c r="R586" i="14"/>
  <c r="R578" i="14"/>
  <c r="R570" i="14"/>
  <c r="R562" i="14"/>
  <c r="R554" i="14"/>
  <c r="R546" i="14"/>
  <c r="R538" i="14"/>
  <c r="R530" i="14"/>
  <c r="R522" i="14"/>
  <c r="R514" i="14"/>
  <c r="R506" i="14"/>
  <c r="R498" i="14"/>
  <c r="R490" i="14"/>
  <c r="R482" i="14"/>
  <c r="R474" i="14"/>
  <c r="R466" i="14"/>
  <c r="R458" i="14"/>
  <c r="R450" i="14"/>
  <c r="R442" i="14"/>
  <c r="R434" i="14"/>
  <c r="R426" i="14"/>
  <c r="R418" i="14"/>
  <c r="R410" i="14"/>
  <c r="R402" i="14"/>
  <c r="R394" i="14"/>
  <c r="R386" i="14"/>
  <c r="R378" i="14"/>
  <c r="R370" i="14"/>
  <c r="R362" i="14"/>
  <c r="R354" i="14"/>
  <c r="R346" i="14"/>
  <c r="R338" i="14"/>
  <c r="R330" i="14"/>
  <c r="R322" i="14"/>
  <c r="R314" i="14"/>
  <c r="R306" i="14"/>
  <c r="R298" i="14"/>
  <c r="R290" i="14"/>
  <c r="R282" i="14"/>
  <c r="R274" i="14"/>
  <c r="R266" i="14"/>
  <c r="R258" i="14"/>
  <c r="R250" i="14"/>
  <c r="R242" i="14"/>
  <c r="R234" i="14"/>
  <c r="R226" i="14"/>
  <c r="R218" i="14"/>
  <c r="R210" i="14"/>
  <c r="R202" i="14"/>
  <c r="R194" i="14"/>
  <c r="R186" i="14"/>
  <c r="R178" i="14"/>
  <c r="R170" i="14"/>
  <c r="R162" i="14"/>
  <c r="R154" i="14"/>
  <c r="R146" i="14"/>
  <c r="R138" i="14"/>
  <c r="R130" i="14"/>
  <c r="R122" i="14"/>
  <c r="R114" i="14"/>
  <c r="R106" i="14"/>
  <c r="R98" i="14"/>
  <c r="R90" i="14"/>
  <c r="R82" i="14"/>
  <c r="R74" i="14"/>
  <c r="R66" i="14"/>
  <c r="R58" i="14"/>
  <c r="R50" i="14"/>
  <c r="R42" i="14"/>
  <c r="R34" i="14"/>
  <c r="R26" i="14"/>
  <c r="R18" i="14"/>
  <c r="R10" i="14"/>
  <c r="R2041" i="14"/>
  <c r="R2033" i="14"/>
  <c r="R2025" i="14"/>
  <c r="R2017" i="14"/>
  <c r="R2009" i="14"/>
  <c r="R2001" i="14"/>
  <c r="R1993" i="14"/>
  <c r="R1985" i="14"/>
  <c r="R1977" i="14"/>
  <c r="R1969" i="14"/>
  <c r="R1961" i="14"/>
  <c r="R1953" i="14"/>
  <c r="R1945" i="14"/>
  <c r="R1937" i="14"/>
  <c r="R1929" i="14"/>
  <c r="R1921" i="14"/>
  <c r="R1913" i="14"/>
  <c r="R1905" i="14"/>
  <c r="R1897" i="14"/>
  <c r="R1889" i="14"/>
  <c r="R1881" i="14"/>
  <c r="R1873" i="14"/>
  <c r="R1865" i="14"/>
  <c r="R1857" i="14"/>
  <c r="R1849" i="14"/>
  <c r="R1841" i="14"/>
  <c r="R1833" i="14"/>
  <c r="R1825" i="14"/>
  <c r="R1817" i="14"/>
  <c r="R1809" i="14"/>
  <c r="R1801" i="14"/>
  <c r="R1793" i="14"/>
  <c r="R1785" i="14"/>
  <c r="R1777" i="14"/>
  <c r="R1769" i="14"/>
  <c r="R1761" i="14"/>
  <c r="R1753" i="14"/>
  <c r="R1745" i="14"/>
  <c r="R1737" i="14"/>
  <c r="R1729" i="14"/>
  <c r="R1721" i="14"/>
  <c r="R1713" i="14"/>
  <c r="R1705" i="14"/>
  <c r="R1697" i="14"/>
  <c r="R1689" i="14"/>
  <c r="R1681" i="14"/>
  <c r="R1673" i="14"/>
  <c r="R1665" i="14"/>
  <c r="R1657" i="14"/>
  <c r="R1649" i="14"/>
  <c r="R1641" i="14"/>
  <c r="R1633" i="14"/>
  <c r="R1625" i="14"/>
  <c r="R1617" i="14"/>
  <c r="R1609" i="14"/>
  <c r="R1601" i="14"/>
  <c r="R1593" i="14"/>
  <c r="R1585" i="14"/>
  <c r="R1577" i="14"/>
  <c r="R1569" i="14"/>
  <c r="R1561" i="14"/>
  <c r="R1553" i="14"/>
  <c r="R1545" i="14"/>
  <c r="R1537" i="14"/>
  <c r="R1529" i="14"/>
  <c r="R1521" i="14"/>
  <c r="R1513" i="14"/>
  <c r="R1505" i="14"/>
  <c r="R1497" i="14"/>
  <c r="R1489" i="14"/>
  <c r="R1481" i="14"/>
  <c r="R1473" i="14"/>
  <c r="R1465" i="14"/>
  <c r="R1457" i="14"/>
  <c r="R1449" i="14"/>
  <c r="R1441" i="14"/>
  <c r="R1433" i="14"/>
  <c r="R1425" i="14"/>
  <c r="R1417" i="14"/>
  <c r="R1409" i="14"/>
  <c r="R1401" i="14"/>
  <c r="R1393" i="14"/>
  <c r="R1385" i="14"/>
  <c r="R1377" i="14"/>
  <c r="R1369" i="14"/>
  <c r="R1361" i="14"/>
  <c r="R1353" i="14"/>
  <c r="R1345" i="14"/>
  <c r="R1337" i="14"/>
  <c r="R1329" i="14"/>
  <c r="R1321" i="14"/>
  <c r="R1313" i="14"/>
  <c r="R1305" i="14"/>
  <c r="R1297" i="14"/>
  <c r="R1289" i="14"/>
  <c r="R1281" i="14"/>
  <c r="R1273" i="14"/>
  <c r="R1265" i="14"/>
  <c r="R1257" i="14"/>
  <c r="R1249" i="14"/>
  <c r="R1241" i="14"/>
  <c r="R1233" i="14"/>
  <c r="R1225" i="14"/>
  <c r="R1217" i="14"/>
  <c r="R1209" i="14"/>
  <c r="R1201" i="14"/>
  <c r="R1193" i="14"/>
  <c r="R1185" i="14"/>
  <c r="R1177" i="14"/>
  <c r="R1169" i="14"/>
  <c r="R1161" i="14"/>
  <c r="R1153" i="14"/>
  <c r="R1145" i="14"/>
  <c r="R1137" i="14"/>
  <c r="R1129" i="14"/>
  <c r="R1121" i="14"/>
  <c r="R1113" i="14"/>
  <c r="R1105" i="14"/>
  <c r="R1097" i="14"/>
  <c r="R1089" i="14"/>
  <c r="R1081" i="14"/>
  <c r="R1073" i="14"/>
  <c r="R1065" i="14"/>
  <c r="R1057" i="14"/>
  <c r="R1049" i="14"/>
  <c r="R1041" i="14"/>
  <c r="R1033" i="14"/>
  <c r="R1025" i="14"/>
  <c r="R1017" i="14"/>
  <c r="R1009" i="14"/>
  <c r="R1001" i="14"/>
  <c r="R993" i="14"/>
  <c r="R985" i="14"/>
  <c r="R977" i="14"/>
  <c r="R969" i="14"/>
  <c r="R961" i="14"/>
  <c r="R953" i="14"/>
  <c r="R945" i="14"/>
  <c r="R937" i="14"/>
  <c r="R929" i="14"/>
  <c r="R921" i="14"/>
  <c r="R913" i="14"/>
  <c r="R905" i="14"/>
  <c r="R897" i="14"/>
  <c r="R889" i="14"/>
  <c r="R881" i="14"/>
  <c r="R873" i="14"/>
  <c r="R865" i="14"/>
  <c r="R857" i="14"/>
  <c r="R849" i="14"/>
  <c r="R841" i="14"/>
  <c r="R833" i="14"/>
  <c r="R825" i="14"/>
  <c r="R817" i="14"/>
  <c r="R809" i="14"/>
  <c r="R801" i="14"/>
  <c r="R793" i="14"/>
  <c r="R785" i="14"/>
  <c r="R777" i="14"/>
  <c r="R769" i="14"/>
  <c r="R761" i="14"/>
  <c r="R753" i="14"/>
  <c r="R745" i="14"/>
  <c r="R737" i="14"/>
  <c r="R729" i="14"/>
  <c r="R721" i="14"/>
  <c r="R713" i="14"/>
  <c r="R705" i="14"/>
  <c r="R697" i="14"/>
  <c r="R689" i="14"/>
  <c r="R681" i="14"/>
  <c r="R673" i="14"/>
  <c r="R665" i="14"/>
  <c r="R657" i="14"/>
  <c r="R649" i="14"/>
  <c r="R641" i="14"/>
  <c r="R633" i="14"/>
  <c r="R625" i="14"/>
  <c r="R617" i="14"/>
  <c r="R609" i="14"/>
  <c r="R601" i="14"/>
  <c r="R593" i="14"/>
  <c r="R585" i="14"/>
  <c r="R577" i="14"/>
  <c r="R569" i="14"/>
  <c r="R561" i="14"/>
  <c r="R553" i="14"/>
  <c r="R545" i="14"/>
  <c r="R537" i="14"/>
  <c r="R529" i="14"/>
  <c r="R521" i="14"/>
  <c r="R513" i="14"/>
  <c r="R505" i="14"/>
  <c r="R497" i="14"/>
  <c r="R489" i="14"/>
  <c r="R481" i="14"/>
  <c r="R473" i="14"/>
  <c r="R465" i="14"/>
  <c r="R457" i="14"/>
  <c r="R449" i="14"/>
  <c r="R441" i="14"/>
  <c r="R433" i="14"/>
  <c r="R425" i="14"/>
  <c r="R417" i="14"/>
  <c r="R409" i="14"/>
  <c r="R401" i="14"/>
  <c r="R393" i="14"/>
  <c r="R385" i="14"/>
  <c r="R377" i="14"/>
  <c r="R369" i="14"/>
  <c r="R361" i="14"/>
  <c r="R353" i="14"/>
  <c r="R345" i="14"/>
  <c r="R337" i="14"/>
  <c r="R329" i="14"/>
  <c r="R321" i="14"/>
  <c r="R313" i="14"/>
  <c r="R305" i="14"/>
  <c r="R297" i="14"/>
  <c r="R289" i="14"/>
  <c r="R281" i="14"/>
  <c r="R273" i="14"/>
  <c r="R265" i="14"/>
  <c r="R257" i="14"/>
  <c r="R249" i="14"/>
  <c r="R241" i="14"/>
  <c r="R233" i="14"/>
  <c r="R225" i="14"/>
  <c r="R217" i="14"/>
  <c r="R209" i="14"/>
  <c r="R201" i="14"/>
  <c r="R193" i="14"/>
  <c r="R185" i="14"/>
  <c r="R177" i="14"/>
  <c r="R169" i="14"/>
  <c r="R161" i="14"/>
  <c r="R153" i="14"/>
  <c r="R145" i="14"/>
  <c r="R137" i="14"/>
  <c r="R129" i="14"/>
  <c r="R121" i="14"/>
  <c r="R113" i="14"/>
  <c r="R105" i="14"/>
  <c r="R97" i="14"/>
  <c r="R89" i="14"/>
  <c r="R81" i="14"/>
  <c r="R73" i="14"/>
  <c r="R65" i="14"/>
  <c r="R57" i="14"/>
  <c r="R49" i="14"/>
  <c r="R41" i="14"/>
  <c r="R33" i="14"/>
  <c r="R25" i="14"/>
  <c r="R17" i="14"/>
  <c r="R9" i="14"/>
  <c r="R2040" i="14"/>
  <c r="R2032" i="14"/>
  <c r="R2024" i="14"/>
  <c r="R2016" i="14"/>
  <c r="R2008" i="14"/>
  <c r="R2000" i="14"/>
  <c r="R1992" i="14"/>
  <c r="R1984" i="14"/>
  <c r="R1976" i="14"/>
  <c r="R1968" i="14"/>
  <c r="R1960" i="14"/>
  <c r="R1952" i="14"/>
  <c r="R1944" i="14"/>
  <c r="R1936" i="14"/>
  <c r="R1928" i="14"/>
  <c r="R1920" i="14"/>
  <c r="R1912" i="14"/>
  <c r="R1904" i="14"/>
  <c r="R1896" i="14"/>
  <c r="R1888" i="14"/>
  <c r="R1880" i="14"/>
  <c r="R1872" i="14"/>
  <c r="R1864" i="14"/>
  <c r="R1856" i="14"/>
  <c r="R1848" i="14"/>
  <c r="R1840" i="14"/>
  <c r="R1832" i="14"/>
  <c r="R1824" i="14"/>
  <c r="R1816" i="14"/>
  <c r="R1808" i="14"/>
  <c r="R1800" i="14"/>
  <c r="R1792" i="14"/>
  <c r="R1784" i="14"/>
  <c r="R1776" i="14"/>
  <c r="R1768" i="14"/>
  <c r="R1760" i="14"/>
  <c r="R1752" i="14"/>
  <c r="R1744" i="14"/>
  <c r="R1736" i="14"/>
  <c r="R1728" i="14"/>
  <c r="R1720" i="14"/>
  <c r="R1712" i="14"/>
  <c r="R1704" i="14"/>
  <c r="R1696" i="14"/>
  <c r="R1688" i="14"/>
  <c r="R1680" i="14"/>
  <c r="R1672" i="14"/>
  <c r="R1664" i="14"/>
  <c r="R1656" i="14"/>
  <c r="R1648" i="14"/>
  <c r="R1640" i="14"/>
  <c r="R1632" i="14"/>
  <c r="R1624" i="14"/>
  <c r="R1616" i="14"/>
  <c r="R1608" i="14"/>
  <c r="R1600" i="14"/>
  <c r="R1592" i="14"/>
  <c r="R1584" i="14"/>
  <c r="R1576" i="14"/>
  <c r="R1568" i="14"/>
  <c r="R1560" i="14"/>
  <c r="R1552" i="14"/>
  <c r="R1544" i="14"/>
  <c r="R1536" i="14"/>
  <c r="R1528" i="14"/>
  <c r="R1520" i="14"/>
  <c r="R1512" i="14"/>
  <c r="R1504" i="14"/>
  <c r="R1496" i="14"/>
  <c r="R1488" i="14"/>
  <c r="R1480" i="14"/>
  <c r="R1472" i="14"/>
  <c r="R1464" i="14"/>
  <c r="R1456" i="14"/>
  <c r="R1448" i="14"/>
  <c r="R1440" i="14"/>
  <c r="R1432" i="14"/>
  <c r="R1424" i="14"/>
  <c r="R1416" i="14"/>
  <c r="R1408" i="14"/>
  <c r="R1400" i="14"/>
  <c r="R1392" i="14"/>
  <c r="R1384" i="14"/>
  <c r="R1376" i="14"/>
  <c r="R1368" i="14"/>
  <c r="R1360" i="14"/>
  <c r="R1352" i="14"/>
  <c r="R1344" i="14"/>
  <c r="R1336" i="14"/>
  <c r="R1328" i="14"/>
  <c r="R1320" i="14"/>
  <c r="R1312" i="14"/>
  <c r="R1304" i="14"/>
  <c r="R1296" i="14"/>
  <c r="R1288" i="14"/>
  <c r="R1280" i="14"/>
  <c r="R1272" i="14"/>
  <c r="R1264" i="14"/>
  <c r="R1256" i="14"/>
  <c r="R1248" i="14"/>
  <c r="R1240" i="14"/>
  <c r="R1232" i="14"/>
  <c r="R1224" i="14"/>
  <c r="R1216" i="14"/>
  <c r="R1208" i="14"/>
  <c r="R1200" i="14"/>
  <c r="R1192" i="14"/>
  <c r="R1184" i="14"/>
  <c r="R1176" i="14"/>
  <c r="R1168" i="14"/>
  <c r="R1160" i="14"/>
  <c r="R1152" i="14"/>
  <c r="R1144" i="14"/>
  <c r="R1136" i="14"/>
  <c r="R1128" i="14"/>
  <c r="R1120" i="14"/>
  <c r="R1112" i="14"/>
  <c r="R1104" i="14"/>
  <c r="R1096" i="14"/>
  <c r="R1088" i="14"/>
  <c r="R1080" i="14"/>
  <c r="R1072" i="14"/>
  <c r="R1064" i="14"/>
  <c r="R1056" i="14"/>
  <c r="R1048" i="14"/>
  <c r="R1040" i="14"/>
  <c r="R1032" i="14"/>
  <c r="R1024" i="14"/>
  <c r="R1016" i="14"/>
  <c r="R1008" i="14"/>
  <c r="R1000" i="14"/>
  <c r="R992" i="14"/>
  <c r="R984" i="14"/>
  <c r="R976" i="14"/>
  <c r="R968" i="14"/>
  <c r="R960" i="14"/>
  <c r="R952" i="14"/>
  <c r="R944" i="14"/>
  <c r="R936" i="14"/>
  <c r="R928" i="14"/>
  <c r="R920" i="14"/>
  <c r="R912" i="14"/>
  <c r="R904" i="14"/>
  <c r="R896" i="14"/>
  <c r="R888" i="14"/>
  <c r="R880" i="14"/>
  <c r="R872" i="14"/>
  <c r="R864" i="14"/>
  <c r="R856" i="14"/>
  <c r="R848" i="14"/>
  <c r="R840" i="14"/>
  <c r="R832" i="14"/>
  <c r="R824" i="14"/>
  <c r="R816" i="14"/>
  <c r="R808" i="14"/>
  <c r="R800" i="14"/>
  <c r="R792" i="14"/>
  <c r="R784" i="14"/>
  <c r="R776" i="14"/>
  <c r="R768" i="14"/>
  <c r="R760" i="14"/>
  <c r="R752" i="14"/>
  <c r="R744" i="14"/>
  <c r="R736" i="14"/>
  <c r="R728" i="14"/>
  <c r="R720" i="14"/>
  <c r="R712" i="14"/>
  <c r="R704" i="14"/>
  <c r="R696" i="14"/>
  <c r="R688" i="14"/>
  <c r="R680" i="14"/>
  <c r="R672" i="14"/>
  <c r="R664" i="14"/>
  <c r="R656" i="14"/>
  <c r="R648" i="14"/>
  <c r="R640" i="14"/>
  <c r="R632" i="14"/>
  <c r="R624" i="14"/>
  <c r="R616" i="14"/>
  <c r="R608" i="14"/>
  <c r="R600" i="14"/>
  <c r="R592" i="14"/>
  <c r="R584" i="14"/>
  <c r="R576" i="14"/>
  <c r="R568" i="14"/>
  <c r="R560" i="14"/>
  <c r="R552" i="14"/>
  <c r="R544" i="14"/>
  <c r="R536" i="14"/>
  <c r="R528" i="14"/>
  <c r="R520" i="14"/>
  <c r="R512" i="14"/>
  <c r="R504" i="14"/>
  <c r="R496" i="14"/>
  <c r="R488" i="14"/>
  <c r="R480" i="14"/>
  <c r="R472" i="14"/>
  <c r="R464" i="14"/>
  <c r="R456" i="14"/>
  <c r="R448" i="14"/>
  <c r="R440" i="14"/>
  <c r="R432" i="14"/>
  <c r="R424" i="14"/>
  <c r="R416" i="14"/>
  <c r="R408" i="14"/>
  <c r="R400" i="14"/>
  <c r="R392" i="14"/>
  <c r="R384" i="14"/>
  <c r="R376" i="14"/>
  <c r="R368" i="14"/>
  <c r="R360" i="14"/>
  <c r="R352" i="14"/>
  <c r="R344" i="14"/>
  <c r="R336" i="14"/>
  <c r="R328" i="14"/>
  <c r="R320" i="14"/>
  <c r="R312" i="14"/>
  <c r="R304" i="14"/>
  <c r="R296" i="14"/>
  <c r="R288" i="14"/>
  <c r="R280" i="14"/>
  <c r="R272" i="14"/>
  <c r="R264" i="14"/>
  <c r="R256" i="14"/>
  <c r="R248" i="14"/>
  <c r="R240" i="14"/>
  <c r="R232" i="14"/>
  <c r="R224" i="14"/>
  <c r="R216" i="14"/>
  <c r="R208" i="14"/>
  <c r="R200" i="14"/>
  <c r="R192" i="14"/>
  <c r="R184" i="14"/>
  <c r="R176" i="14"/>
  <c r="R168" i="14"/>
  <c r="R160" i="14"/>
  <c r="R152" i="14"/>
  <c r="R144" i="14"/>
  <c r="R136" i="14"/>
  <c r="R128" i="14"/>
  <c r="R120" i="14"/>
  <c r="R112" i="14"/>
  <c r="R104" i="14"/>
  <c r="R96" i="14"/>
  <c r="R88" i="14"/>
  <c r="R80" i="14"/>
  <c r="R72" i="14"/>
  <c r="R64" i="14"/>
  <c r="R56" i="14"/>
  <c r="R48" i="14"/>
  <c r="R40" i="14"/>
  <c r="R32" i="14"/>
  <c r="R24" i="14"/>
  <c r="R16" i="14"/>
  <c r="R8" i="14"/>
  <c r="R1511" i="14"/>
  <c r="R1503" i="14"/>
  <c r="R1495" i="14"/>
  <c r="R1487" i="14"/>
  <c r="R1479" i="14"/>
  <c r="R1471" i="14"/>
  <c r="R1463" i="14"/>
  <c r="R1455" i="14"/>
  <c r="R1447" i="14"/>
  <c r="R1439" i="14"/>
  <c r="R1431" i="14"/>
  <c r="R1423" i="14"/>
  <c r="R1415" i="14"/>
  <c r="R1407" i="14"/>
  <c r="R1399" i="14"/>
  <c r="R1391" i="14"/>
  <c r="R1383" i="14"/>
  <c r="R1375" i="14"/>
  <c r="R1367" i="14"/>
  <c r="R1359" i="14"/>
  <c r="R1351" i="14"/>
  <c r="R1343" i="14"/>
  <c r="R1335" i="14"/>
  <c r="R1327" i="14"/>
  <c r="R1319" i="14"/>
  <c r="R1311" i="14"/>
  <c r="R1303" i="14"/>
  <c r="R1295" i="14"/>
  <c r="R1287" i="14"/>
  <c r="R1279" i="14"/>
  <c r="R1271" i="14"/>
  <c r="R1263" i="14"/>
  <c r="R1255" i="14"/>
  <c r="R1247" i="14"/>
  <c r="R1239" i="14"/>
  <c r="R1231" i="14"/>
  <c r="R1223" i="14"/>
  <c r="R1215" i="14"/>
  <c r="R1207" i="14"/>
  <c r="R1199" i="14"/>
  <c r="R1191" i="14"/>
  <c r="R1183" i="14"/>
  <c r="R1175" i="14"/>
  <c r="R1167" i="14"/>
  <c r="R1159" i="14"/>
  <c r="R1151" i="14"/>
  <c r="R1143" i="14"/>
  <c r="R1135" i="14"/>
  <c r="R1127" i="14"/>
  <c r="R1119" i="14"/>
  <c r="R1111" i="14"/>
  <c r="R1103" i="14"/>
  <c r="R1095" i="14"/>
  <c r="R1087" i="14"/>
  <c r="R1079" i="14"/>
  <c r="R1071" i="14"/>
  <c r="R1063" i="14"/>
  <c r="R1055" i="14"/>
  <c r="R1047" i="14"/>
  <c r="R1039" i="14"/>
  <c r="R1031" i="14"/>
  <c r="R1023" i="14"/>
  <c r="R1015" i="14"/>
  <c r="R1007" i="14"/>
  <c r="R999" i="14"/>
  <c r="R991" i="14"/>
  <c r="R983" i="14"/>
  <c r="R975" i="14"/>
  <c r="R967" i="14"/>
  <c r="R959" i="14"/>
  <c r="R951" i="14"/>
  <c r="R943" i="14"/>
  <c r="R935" i="14"/>
  <c r="R927" i="14"/>
  <c r="R919" i="14"/>
  <c r="R911" i="14"/>
  <c r="R903" i="14"/>
  <c r="R895" i="14"/>
  <c r="R887" i="14"/>
  <c r="R879" i="14"/>
  <c r="R871" i="14"/>
  <c r="R863" i="14"/>
  <c r="R855" i="14"/>
  <c r="R847" i="14"/>
  <c r="R839" i="14"/>
  <c r="R831" i="14"/>
  <c r="R823" i="14"/>
  <c r="R815" i="14"/>
  <c r="R807" i="14"/>
  <c r="R799" i="14"/>
  <c r="R791" i="14"/>
  <c r="R783" i="14"/>
  <c r="R775" i="14"/>
  <c r="R767" i="14"/>
  <c r="R759" i="14"/>
  <c r="R751" i="14"/>
  <c r="R743" i="14"/>
  <c r="R735" i="14"/>
  <c r="R727" i="14"/>
  <c r="R719" i="14"/>
  <c r="R711" i="14"/>
  <c r="R703" i="14"/>
  <c r="R695" i="14"/>
  <c r="R687" i="14"/>
  <c r="R679" i="14"/>
  <c r="R671" i="14"/>
  <c r="R663" i="14"/>
  <c r="R655" i="14"/>
  <c r="R647" i="14"/>
  <c r="R639" i="14"/>
  <c r="R631" i="14"/>
  <c r="R623" i="14"/>
  <c r="R615" i="14"/>
  <c r="R607" i="14"/>
  <c r="R599" i="14"/>
  <c r="R591" i="14"/>
  <c r="R583" i="14"/>
  <c r="R575" i="14"/>
  <c r="R567" i="14"/>
  <c r="R559" i="14"/>
  <c r="R551" i="14"/>
  <c r="R543" i="14"/>
  <c r="R535" i="14"/>
  <c r="R527" i="14"/>
  <c r="R519" i="14"/>
  <c r="R511" i="14"/>
  <c r="R503" i="14"/>
  <c r="R495" i="14"/>
  <c r="R487" i="14"/>
  <c r="R479" i="14"/>
  <c r="R471" i="14"/>
  <c r="R463" i="14"/>
  <c r="R455" i="14"/>
  <c r="R447" i="14"/>
  <c r="R439" i="14"/>
  <c r="R431" i="14"/>
  <c r="R423" i="14"/>
  <c r="R415" i="14"/>
  <c r="R407" i="14"/>
  <c r="R399" i="14"/>
  <c r="R391" i="14"/>
  <c r="R383" i="14"/>
  <c r="R375" i="14"/>
  <c r="R367" i="14"/>
  <c r="R359" i="14"/>
  <c r="R351" i="14"/>
  <c r="R343" i="14"/>
  <c r="R335" i="14"/>
  <c r="R327" i="14"/>
  <c r="R319" i="14"/>
  <c r="R311" i="14"/>
  <c r="R303" i="14"/>
  <c r="R295" i="14"/>
  <c r="R287" i="14"/>
  <c r="R279" i="14"/>
  <c r="R271" i="14"/>
  <c r="R263" i="14"/>
  <c r="R255" i="14"/>
  <c r="R247" i="14"/>
  <c r="R239" i="14"/>
  <c r="R231" i="14"/>
  <c r="R223" i="14"/>
  <c r="R215" i="14"/>
  <c r="R207" i="14"/>
  <c r="R199" i="14"/>
  <c r="R191" i="14"/>
  <c r="R183" i="14"/>
  <c r="R175" i="14"/>
  <c r="R167" i="14"/>
  <c r="R159" i="14"/>
  <c r="R151" i="14"/>
  <c r="R143" i="14"/>
  <c r="R135" i="14"/>
  <c r="R127" i="14"/>
  <c r="R119" i="14"/>
  <c r="R111" i="14"/>
  <c r="R103" i="14"/>
  <c r="R95" i="14"/>
  <c r="R87" i="14"/>
  <c r="R79" i="14"/>
  <c r="R71" i="14"/>
  <c r="R63" i="14"/>
  <c r="R55" i="14"/>
  <c r="R47" i="14"/>
  <c r="R39" i="14"/>
  <c r="R31" i="14"/>
  <c r="R23" i="14"/>
  <c r="R15" i="14"/>
  <c r="R7" i="14"/>
  <c r="R2038" i="14"/>
  <c r="R2030" i="14"/>
  <c r="R2022" i="14"/>
  <c r="R2014" i="14"/>
  <c r="R2006" i="14"/>
  <c r="R1998" i="14"/>
  <c r="R1990" i="14"/>
  <c r="R1982" i="14"/>
  <c r="R1974" i="14"/>
  <c r="R1966" i="14"/>
  <c r="R1958" i="14"/>
  <c r="R1950" i="14"/>
  <c r="R1942" i="14"/>
  <c r="R1934" i="14"/>
  <c r="R1926" i="14"/>
  <c r="R1918" i="14"/>
  <c r="R1910" i="14"/>
  <c r="R1902" i="14"/>
  <c r="R1894" i="14"/>
  <c r="R1886" i="14"/>
  <c r="R1878" i="14"/>
  <c r="R1870" i="14"/>
  <c r="R1862" i="14"/>
  <c r="R1854" i="14"/>
  <c r="R1846" i="14"/>
  <c r="R1838" i="14"/>
  <c r="R1830" i="14"/>
  <c r="R1822" i="14"/>
  <c r="R1814" i="14"/>
  <c r="R1806" i="14"/>
  <c r="R1798" i="14"/>
  <c r="R1790" i="14"/>
  <c r="R1782" i="14"/>
  <c r="R1774" i="14"/>
  <c r="R1766" i="14"/>
  <c r="R1758" i="14"/>
  <c r="R1750" i="14"/>
  <c r="R1742" i="14"/>
  <c r="R1734" i="14"/>
  <c r="R1726" i="14"/>
  <c r="R1718" i="14"/>
  <c r="R1710" i="14"/>
  <c r="R1702" i="14"/>
  <c r="R1694" i="14"/>
  <c r="R1686" i="14"/>
  <c r="R1678" i="14"/>
  <c r="R1670" i="14"/>
  <c r="R1662" i="14"/>
  <c r="R1654" i="14"/>
  <c r="R1646" i="14"/>
  <c r="R1638" i="14"/>
  <c r="R1630" i="14"/>
  <c r="R1622" i="14"/>
  <c r="R1614" i="14"/>
  <c r="R1606" i="14"/>
  <c r="R1598" i="14"/>
  <c r="R1590" i="14"/>
  <c r="R1582" i="14"/>
  <c r="R1574" i="14"/>
  <c r="R1566" i="14"/>
  <c r="R1558" i="14"/>
  <c r="R1550" i="14"/>
  <c r="R1542" i="14"/>
  <c r="R1534" i="14"/>
  <c r="R1526" i="14"/>
  <c r="R1518" i="14"/>
  <c r="R1510" i="14"/>
  <c r="R1502" i="14"/>
  <c r="R1494" i="14"/>
  <c r="R1486" i="14"/>
  <c r="R1478" i="14"/>
  <c r="R1470" i="14"/>
  <c r="R1462" i="14"/>
  <c r="R1454" i="14"/>
  <c r="R1446" i="14"/>
  <c r="R1438" i="14"/>
  <c r="R1430" i="14"/>
  <c r="R1422" i="14"/>
  <c r="R1414" i="14"/>
  <c r="R1406" i="14"/>
  <c r="R1398" i="14"/>
  <c r="R1390" i="14"/>
  <c r="R1382" i="14"/>
  <c r="R1374" i="14"/>
  <c r="R1366" i="14"/>
  <c r="R1358" i="14"/>
  <c r="R1350" i="14"/>
  <c r="R1342" i="14"/>
  <c r="R1334" i="14"/>
  <c r="R1326" i="14"/>
  <c r="R1318" i="14"/>
  <c r="R1310" i="14"/>
  <c r="R1302" i="14"/>
  <c r="R1294" i="14"/>
  <c r="R1286" i="14"/>
  <c r="R1278" i="14"/>
  <c r="R1270" i="14"/>
  <c r="R1262" i="14"/>
  <c r="R1254" i="14"/>
  <c r="R1246" i="14"/>
  <c r="R1238" i="14"/>
  <c r="R1230" i="14"/>
  <c r="R1222" i="14"/>
  <c r="R1214" i="14"/>
  <c r="R1206" i="14"/>
  <c r="R1198" i="14"/>
  <c r="R1190" i="14"/>
  <c r="R1182" i="14"/>
  <c r="R1174" i="14"/>
  <c r="R1166" i="14"/>
  <c r="R1158" i="14"/>
  <c r="R1150" i="14"/>
  <c r="R1142" i="14"/>
  <c r="R1134" i="14"/>
  <c r="R1126" i="14"/>
  <c r="R1118" i="14"/>
  <c r="R1110" i="14"/>
  <c r="R1102" i="14"/>
  <c r="R1094" i="14"/>
  <c r="R1086" i="14"/>
  <c r="R1078" i="14"/>
  <c r="R1070" i="14"/>
  <c r="R1062" i="14"/>
  <c r="R1054" i="14"/>
  <c r="R1046" i="14"/>
  <c r="R1038" i="14"/>
  <c r="R1030" i="14"/>
  <c r="R1022" i="14"/>
  <c r="R1014" i="14"/>
  <c r="R1006" i="14"/>
  <c r="R998" i="14"/>
  <c r="R990" i="14"/>
  <c r="R982" i="14"/>
  <c r="R974" i="14"/>
  <c r="R966" i="14"/>
  <c r="R958" i="14"/>
  <c r="R950" i="14"/>
  <c r="R942" i="14"/>
  <c r="R934" i="14"/>
  <c r="R926" i="14"/>
  <c r="R918" i="14"/>
  <c r="R910" i="14"/>
  <c r="R902" i="14"/>
  <c r="R894" i="14"/>
  <c r="R886" i="14"/>
  <c r="R878" i="14"/>
  <c r="R870" i="14"/>
  <c r="R862" i="14"/>
  <c r="R854" i="14"/>
  <c r="R846" i="14"/>
  <c r="R838" i="14"/>
  <c r="R830" i="14"/>
  <c r="R822" i="14"/>
  <c r="R814" i="14"/>
  <c r="R806" i="14"/>
  <c r="R798" i="14"/>
  <c r="R790" i="14"/>
  <c r="R782" i="14"/>
  <c r="R774" i="14"/>
  <c r="R766" i="14"/>
  <c r="R758" i="14"/>
  <c r="R750" i="14"/>
  <c r="R742" i="14"/>
  <c r="R734" i="14"/>
  <c r="R726" i="14"/>
  <c r="R718" i="14"/>
  <c r="R710" i="14"/>
  <c r="R702" i="14"/>
  <c r="R694" i="14"/>
  <c r="R686" i="14"/>
  <c r="R678" i="14"/>
  <c r="R670" i="14"/>
  <c r="R662" i="14"/>
  <c r="R654" i="14"/>
  <c r="R646" i="14"/>
  <c r="R638" i="14"/>
  <c r="R630" i="14"/>
  <c r="R622" i="14"/>
  <c r="R614" i="14"/>
  <c r="R606" i="14"/>
  <c r="R598" i="14"/>
  <c r="R590" i="14"/>
  <c r="R582" i="14"/>
  <c r="R574" i="14"/>
  <c r="R566" i="14"/>
  <c r="R558" i="14"/>
  <c r="R550" i="14"/>
  <c r="R542" i="14"/>
  <c r="R534" i="14"/>
  <c r="R526" i="14"/>
  <c r="R518" i="14"/>
  <c r="R510" i="14"/>
  <c r="R502" i="14"/>
  <c r="R494" i="14"/>
  <c r="R486" i="14"/>
  <c r="R478" i="14"/>
  <c r="R470" i="14"/>
  <c r="R462" i="14"/>
  <c r="R454" i="14"/>
  <c r="R446" i="14"/>
  <c r="R438" i="14"/>
  <c r="R430" i="14"/>
  <c r="R422" i="14"/>
  <c r="R414" i="14"/>
  <c r="R406" i="14"/>
  <c r="R398" i="14"/>
  <c r="R390" i="14"/>
  <c r="R382" i="14"/>
  <c r="R374" i="14"/>
  <c r="R366" i="14"/>
  <c r="R358" i="14"/>
  <c r="R350" i="14"/>
  <c r="R342" i="14"/>
  <c r="R334" i="14"/>
  <c r="R326" i="14"/>
  <c r="R318" i="14"/>
  <c r="R310" i="14"/>
  <c r="R302" i="14"/>
  <c r="R294" i="14"/>
  <c r="R286" i="14"/>
  <c r="R278" i="14"/>
  <c r="R270" i="14"/>
  <c r="R262" i="14"/>
  <c r="R254" i="14"/>
  <c r="R246" i="14"/>
  <c r="R238" i="14"/>
  <c r="R230" i="14"/>
  <c r="R222" i="14"/>
  <c r="R214" i="14"/>
  <c r="R206" i="14"/>
  <c r="R198" i="14"/>
  <c r="R190" i="14"/>
  <c r="R182" i="14"/>
  <c r="R174" i="14"/>
  <c r="R166" i="14"/>
  <c r="R158" i="14"/>
  <c r="R150" i="14"/>
  <c r="R142" i="14"/>
  <c r="R134" i="14"/>
  <c r="R126" i="14"/>
  <c r="R118" i="14"/>
  <c r="R110" i="14"/>
  <c r="R102" i="14"/>
  <c r="R94" i="14"/>
  <c r="R86" i="14"/>
  <c r="R78" i="14"/>
  <c r="R70" i="14"/>
  <c r="R62" i="14"/>
  <c r="R54" i="14"/>
  <c r="R46" i="14"/>
  <c r="R38" i="14"/>
  <c r="R30" i="14"/>
  <c r="R22" i="14"/>
  <c r="R14" i="14"/>
  <c r="R2037" i="14"/>
  <c r="R2029" i="14"/>
  <c r="R2021" i="14"/>
  <c r="R2013" i="14"/>
  <c r="R2005" i="14"/>
  <c r="R1997" i="14"/>
  <c r="R1989" i="14"/>
  <c r="R1981" i="14"/>
  <c r="R1973" i="14"/>
  <c r="R1965" i="14"/>
  <c r="R1957" i="14"/>
  <c r="R1949" i="14"/>
  <c r="R1941" i="14"/>
  <c r="R1933" i="14"/>
  <c r="R1925" i="14"/>
  <c r="R1917" i="14"/>
  <c r="R1909" i="14"/>
  <c r="R1901" i="14"/>
  <c r="R1893" i="14"/>
  <c r="R1885" i="14"/>
  <c r="R1877" i="14"/>
  <c r="R1869" i="14"/>
  <c r="R1861" i="14"/>
  <c r="R1853" i="14"/>
  <c r="R1845" i="14"/>
  <c r="R1837" i="14"/>
  <c r="R1829" i="14"/>
  <c r="R1821" i="14"/>
  <c r="R1813" i="14"/>
  <c r="R1805" i="14"/>
  <c r="R1797" i="14"/>
  <c r="R1789" i="14"/>
  <c r="R1781" i="14"/>
  <c r="R1773" i="14"/>
  <c r="R1765" i="14"/>
  <c r="R1757" i="14"/>
  <c r="R1749" i="14"/>
  <c r="R1741" i="14"/>
  <c r="R1733" i="14"/>
  <c r="R1725" i="14"/>
  <c r="R1717" i="14"/>
  <c r="R1709" i="14"/>
  <c r="R1701" i="14"/>
  <c r="R1693" i="14"/>
  <c r="R1685" i="14"/>
  <c r="R1677" i="14"/>
  <c r="R1669" i="14"/>
  <c r="R1661" i="14"/>
  <c r="R1653" i="14"/>
  <c r="R1645" i="14"/>
  <c r="R1637" i="14"/>
  <c r="R1629" i="14"/>
  <c r="R1621" i="14"/>
  <c r="R1613" i="14"/>
  <c r="R1605" i="14"/>
  <c r="R1597" i="14"/>
  <c r="R1589" i="14"/>
  <c r="R1581" i="14"/>
  <c r="R1573" i="14"/>
  <c r="R1565" i="14"/>
  <c r="R1557" i="14"/>
  <c r="R1549" i="14"/>
  <c r="R1541" i="14"/>
  <c r="R1533" i="14"/>
  <c r="R1525" i="14"/>
  <c r="R1517" i="14"/>
  <c r="R1509" i="14"/>
  <c r="R1501" i="14"/>
  <c r="R1493" i="14"/>
  <c r="R1485" i="14"/>
  <c r="R1477" i="14"/>
  <c r="R1469" i="14"/>
  <c r="R1461" i="14"/>
  <c r="R1453" i="14"/>
  <c r="R1445" i="14"/>
  <c r="R1437" i="14"/>
  <c r="R1429" i="14"/>
  <c r="R1421" i="14"/>
  <c r="R1413" i="14"/>
  <c r="R1405" i="14"/>
  <c r="R1397" i="14"/>
  <c r="R1389" i="14"/>
  <c r="R1381" i="14"/>
  <c r="R1373" i="14"/>
  <c r="R1365" i="14"/>
  <c r="R1357" i="14"/>
  <c r="R1349" i="14"/>
  <c r="R1341" i="14"/>
  <c r="R1333" i="14"/>
  <c r="R1325" i="14"/>
  <c r="R1317" i="14"/>
  <c r="R1309" i="14"/>
  <c r="R1301" i="14"/>
  <c r="R1293" i="14"/>
  <c r="R1285" i="14"/>
  <c r="R1277" i="14"/>
  <c r="R1269" i="14"/>
  <c r="R1261" i="14"/>
  <c r="R1253" i="14"/>
  <c r="R1245" i="14"/>
  <c r="R1237" i="14"/>
  <c r="R1229" i="14"/>
  <c r="R1221" i="14"/>
  <c r="R1213" i="14"/>
  <c r="R1205" i="14"/>
  <c r="R1197" i="14"/>
  <c r="R1189" i="14"/>
  <c r="R1181" i="14"/>
  <c r="R1173" i="14"/>
  <c r="R1165" i="14"/>
  <c r="R1157" i="14"/>
  <c r="R1149" i="14"/>
  <c r="R1141" i="14"/>
  <c r="R1133" i="14"/>
  <c r="R1125" i="14"/>
  <c r="R1117" i="14"/>
  <c r="R1109" i="14"/>
  <c r="R1101" i="14"/>
  <c r="R1093" i="14"/>
  <c r="R1085" i="14"/>
  <c r="R1077" i="14"/>
  <c r="R1069" i="14"/>
  <c r="R1061" i="14"/>
  <c r="R1053" i="14"/>
  <c r="R1045" i="14"/>
  <c r="R1037" i="14"/>
  <c r="R1029" i="14"/>
  <c r="R1021" i="14"/>
  <c r="R1013" i="14"/>
  <c r="R1005" i="14"/>
  <c r="R997" i="14"/>
  <c r="R989" i="14"/>
  <c r="R981" i="14"/>
  <c r="R973" i="14"/>
  <c r="R965" i="14"/>
  <c r="R957" i="14"/>
  <c r="R949" i="14"/>
  <c r="R941" i="14"/>
  <c r="R933" i="14"/>
  <c r="R925" i="14"/>
  <c r="R917" i="14"/>
  <c r="R909" i="14"/>
  <c r="R901" i="14"/>
  <c r="R893" i="14"/>
  <c r="R885" i="14"/>
  <c r="R877" i="14"/>
  <c r="R869" i="14"/>
  <c r="R861" i="14"/>
  <c r="R853" i="14"/>
  <c r="R845" i="14"/>
  <c r="R837" i="14"/>
  <c r="R829" i="14"/>
  <c r="R821" i="14"/>
  <c r="R813" i="14"/>
  <c r="R805" i="14"/>
  <c r="R797" i="14"/>
  <c r="R789" i="14"/>
  <c r="R781" i="14"/>
  <c r="R773" i="14"/>
  <c r="R765" i="14"/>
  <c r="R757" i="14"/>
  <c r="R749" i="14"/>
  <c r="R741" i="14"/>
  <c r="R733" i="14"/>
  <c r="R725" i="14"/>
  <c r="R717" i="14"/>
  <c r="R709" i="14"/>
  <c r="R701" i="14"/>
  <c r="R693" i="14"/>
  <c r="R685" i="14"/>
  <c r="R677" i="14"/>
  <c r="R669" i="14"/>
  <c r="R661" i="14"/>
  <c r="R653" i="14"/>
  <c r="R645" i="14"/>
  <c r="R637" i="14"/>
  <c r="R629" i="14"/>
  <c r="R621" i="14"/>
  <c r="R613" i="14"/>
  <c r="R605" i="14"/>
  <c r="R597" i="14"/>
  <c r="R589" i="14"/>
  <c r="R581" i="14"/>
  <c r="R573" i="14"/>
  <c r="R565" i="14"/>
  <c r="R557" i="14"/>
  <c r="R549" i="14"/>
  <c r="R541" i="14"/>
  <c r="R533" i="14"/>
  <c r="R525" i="14"/>
  <c r="R517" i="14"/>
  <c r="R509" i="14"/>
  <c r="R501" i="14"/>
  <c r="R493" i="14"/>
  <c r="R485" i="14"/>
  <c r="R477" i="14"/>
  <c r="R469" i="14"/>
  <c r="R461" i="14"/>
  <c r="R453" i="14"/>
  <c r="R445" i="14"/>
  <c r="R437" i="14"/>
  <c r="R429" i="14"/>
  <c r="R421" i="14"/>
  <c r="R413" i="14"/>
  <c r="R405" i="14"/>
  <c r="R397" i="14"/>
  <c r="R389" i="14"/>
  <c r="R381" i="14"/>
  <c r="R373" i="14"/>
  <c r="R365" i="14"/>
  <c r="R357" i="14"/>
  <c r="R349" i="14"/>
  <c r="R341" i="14"/>
  <c r="R333" i="14"/>
  <c r="R325" i="14"/>
  <c r="R317" i="14"/>
  <c r="R309" i="14"/>
  <c r="R301" i="14"/>
  <c r="R293" i="14"/>
  <c r="R285" i="14"/>
  <c r="R277" i="14"/>
  <c r="R269" i="14"/>
  <c r="R261" i="14"/>
  <c r="R253" i="14"/>
  <c r="R245" i="14"/>
  <c r="R237" i="14"/>
  <c r="R229" i="14"/>
  <c r="R221" i="14"/>
  <c r="R213" i="14"/>
  <c r="R205" i="14"/>
  <c r="R197" i="14"/>
  <c r="R189" i="14"/>
  <c r="R181" i="14"/>
  <c r="R173" i="14"/>
  <c r="R165" i="14"/>
  <c r="R157" i="14"/>
  <c r="R149" i="14"/>
  <c r="R141" i="14"/>
  <c r="R133" i="14"/>
  <c r="R125" i="14"/>
  <c r="R117" i="14"/>
  <c r="R109" i="14"/>
  <c r="R101" i="14"/>
  <c r="R93" i="14"/>
  <c r="R85" i="14"/>
  <c r="R77" i="14"/>
  <c r="R69" i="14"/>
  <c r="R61" i="14"/>
  <c r="R53" i="14"/>
  <c r="R45" i="14"/>
  <c r="R37" i="14"/>
  <c r="R29" i="14"/>
  <c r="R21" i="14"/>
  <c r="R13" i="14"/>
  <c r="R2036" i="14"/>
  <c r="R2028" i="14"/>
  <c r="R2020" i="14"/>
  <c r="R2012" i="14"/>
  <c r="R2004" i="14"/>
  <c r="R1996" i="14"/>
  <c r="R1988" i="14"/>
  <c r="R1980" i="14"/>
  <c r="R1972" i="14"/>
  <c r="R1964" i="14"/>
  <c r="R1956" i="14"/>
  <c r="R1948" i="14"/>
  <c r="R1940" i="14"/>
  <c r="R1932" i="14"/>
  <c r="R1924" i="14"/>
  <c r="R1916" i="14"/>
  <c r="R1908" i="14"/>
  <c r="R1900" i="14"/>
  <c r="R1892" i="14"/>
  <c r="R1884" i="14"/>
  <c r="R1876" i="14"/>
  <c r="R1868" i="14"/>
  <c r="R1860" i="14"/>
  <c r="R1852" i="14"/>
  <c r="R1844" i="14"/>
  <c r="R1836" i="14"/>
  <c r="R1828" i="14"/>
  <c r="R1820" i="14"/>
  <c r="R1812" i="14"/>
  <c r="R1804" i="14"/>
  <c r="R1796" i="14"/>
  <c r="R1788" i="14"/>
  <c r="R1780" i="14"/>
  <c r="R1772" i="14"/>
  <c r="R1764" i="14"/>
  <c r="R1756" i="14"/>
  <c r="R1748" i="14"/>
  <c r="R1740" i="14"/>
  <c r="R1732" i="14"/>
  <c r="R1724" i="14"/>
  <c r="R1716" i="14"/>
  <c r="R1708" i="14"/>
  <c r="R1700" i="14"/>
  <c r="R1692" i="14"/>
  <c r="R1684" i="14"/>
  <c r="R1676" i="14"/>
  <c r="R1668" i="14"/>
  <c r="R1660" i="14"/>
  <c r="R1652" i="14"/>
  <c r="R1644" i="14"/>
  <c r="R1636" i="14"/>
  <c r="R1628" i="14"/>
  <c r="R1620" i="14"/>
  <c r="R1612" i="14"/>
  <c r="R1604" i="14"/>
  <c r="R1596" i="14"/>
  <c r="R1588" i="14"/>
  <c r="R1580" i="14"/>
  <c r="R1572" i="14"/>
  <c r="R1564" i="14"/>
  <c r="R1556" i="14"/>
  <c r="R1548" i="14"/>
  <c r="R1540" i="14"/>
  <c r="R1532" i="14"/>
  <c r="R1524" i="14"/>
  <c r="R1516" i="14"/>
  <c r="R1508" i="14"/>
  <c r="R1500" i="14"/>
  <c r="R1492" i="14"/>
  <c r="R1484" i="14"/>
  <c r="R1476" i="14"/>
  <c r="R1468" i="14"/>
  <c r="R1460" i="14"/>
  <c r="R1452" i="14"/>
  <c r="R1444" i="14"/>
  <c r="R1436" i="14"/>
  <c r="R1428" i="14"/>
  <c r="R1420" i="14"/>
  <c r="R1412" i="14"/>
  <c r="R1404" i="14"/>
  <c r="R1396" i="14"/>
  <c r="R1388" i="14"/>
  <c r="R1380" i="14"/>
  <c r="R1372" i="14"/>
  <c r="R1364" i="14"/>
  <c r="R1356" i="14"/>
  <c r="R1348" i="14"/>
  <c r="R1340" i="14"/>
  <c r="R1332" i="14"/>
  <c r="R1324" i="14"/>
  <c r="R1316" i="14"/>
  <c r="R1308" i="14"/>
  <c r="R1300" i="14"/>
  <c r="R1292" i="14"/>
  <c r="R1284" i="14"/>
  <c r="R1276" i="14"/>
  <c r="R1268" i="14"/>
  <c r="R1260" i="14"/>
  <c r="R1252" i="14"/>
  <c r="R1244" i="14"/>
  <c r="R1236" i="14"/>
  <c r="R1228" i="14"/>
  <c r="R1220" i="14"/>
  <c r="R1212" i="14"/>
  <c r="R1204" i="14"/>
  <c r="R1196" i="14"/>
  <c r="R1188" i="14"/>
  <c r="R1180" i="14"/>
  <c r="R1172" i="14"/>
  <c r="R1164" i="14"/>
  <c r="R1156" i="14"/>
  <c r="R1148" i="14"/>
  <c r="R1140" i="14"/>
  <c r="R1132" i="14"/>
  <c r="R1124" i="14"/>
  <c r="R1116" i="14"/>
  <c r="R1108" i="14"/>
  <c r="R1100" i="14"/>
  <c r="R1092" i="14"/>
  <c r="R1084" i="14"/>
  <c r="R1076" i="14"/>
  <c r="R1068" i="14"/>
  <c r="R1060" i="14"/>
  <c r="R1052" i="14"/>
  <c r="R1044" i="14"/>
  <c r="R1036" i="14"/>
  <c r="R1028" i="14"/>
  <c r="R1020" i="14"/>
  <c r="R1012" i="14"/>
  <c r="R1004" i="14"/>
  <c r="R996" i="14"/>
  <c r="R988" i="14"/>
  <c r="R980" i="14"/>
  <c r="R972" i="14"/>
  <c r="R964" i="14"/>
  <c r="R956" i="14"/>
  <c r="R948" i="14"/>
  <c r="R940" i="14"/>
  <c r="R932" i="14"/>
  <c r="R924" i="14"/>
  <c r="R916" i="14"/>
  <c r="R908" i="14"/>
  <c r="R900" i="14"/>
  <c r="R892" i="14"/>
  <c r="R884" i="14"/>
  <c r="R876" i="14"/>
  <c r="R868" i="14"/>
  <c r="R860" i="14"/>
  <c r="R852" i="14"/>
  <c r="R844" i="14"/>
  <c r="R836" i="14"/>
  <c r="R828" i="14"/>
  <c r="R820" i="14"/>
  <c r="R812" i="14"/>
  <c r="R804" i="14"/>
  <c r="R796" i="14"/>
  <c r="R788" i="14"/>
  <c r="R780" i="14"/>
  <c r="R772" i="14"/>
  <c r="R764" i="14"/>
  <c r="R756" i="14"/>
  <c r="R748" i="14"/>
  <c r="R740" i="14"/>
  <c r="R732" i="14"/>
  <c r="R724" i="14"/>
  <c r="R716" i="14"/>
  <c r="R708" i="14"/>
  <c r="R700" i="14"/>
  <c r="R692" i="14"/>
  <c r="R684" i="14"/>
  <c r="R676" i="14"/>
  <c r="R668" i="14"/>
  <c r="R660" i="14"/>
  <c r="R652" i="14"/>
  <c r="R644" i="14"/>
  <c r="R636" i="14"/>
  <c r="R628" i="14"/>
  <c r="R620" i="14"/>
  <c r="R612" i="14"/>
  <c r="R604" i="14"/>
  <c r="R596" i="14"/>
  <c r="R588" i="14"/>
  <c r="R580" i="14"/>
  <c r="R572" i="14"/>
  <c r="R564" i="14"/>
  <c r="R556" i="14"/>
  <c r="R548" i="14"/>
  <c r="R540" i="14"/>
  <c r="R532" i="14"/>
  <c r="R524" i="14"/>
  <c r="R516" i="14"/>
  <c r="R508" i="14"/>
  <c r="R500" i="14"/>
  <c r="R492" i="14"/>
  <c r="R484" i="14"/>
  <c r="R476" i="14"/>
  <c r="R468" i="14"/>
  <c r="R460" i="14"/>
  <c r="R452" i="14"/>
  <c r="R444" i="14"/>
  <c r="R436" i="14"/>
  <c r="R428" i="14"/>
  <c r="R420" i="14"/>
  <c r="R412" i="14"/>
  <c r="R404" i="14"/>
  <c r="R396" i="14"/>
  <c r="R388" i="14"/>
  <c r="R380" i="14"/>
  <c r="R372" i="14"/>
  <c r="R364" i="14"/>
  <c r="R356" i="14"/>
  <c r="R348" i="14"/>
  <c r="R340" i="14"/>
  <c r="R332" i="14"/>
  <c r="R324" i="14"/>
  <c r="R316" i="14"/>
  <c r="R308" i="14"/>
  <c r="R300" i="14"/>
  <c r="R292" i="14"/>
  <c r="R284" i="14"/>
  <c r="R276" i="14"/>
  <c r="R268" i="14"/>
  <c r="R260" i="14"/>
  <c r="R252" i="14"/>
  <c r="R244" i="14"/>
  <c r="R236" i="14"/>
  <c r="R228" i="14"/>
  <c r="R220" i="14"/>
  <c r="R212" i="14"/>
  <c r="R204" i="14"/>
  <c r="R196" i="14"/>
  <c r="R188" i="14"/>
  <c r="R180" i="14"/>
  <c r="R172" i="14"/>
  <c r="R164" i="14"/>
  <c r="R156" i="14"/>
  <c r="R148" i="14"/>
  <c r="R140" i="14"/>
  <c r="R132" i="14"/>
  <c r="R124" i="14"/>
  <c r="R116" i="14"/>
  <c r="R108" i="14"/>
  <c r="R100" i="14"/>
  <c r="R92" i="14"/>
  <c r="R84" i="14"/>
  <c r="R76" i="14"/>
  <c r="R68" i="14"/>
  <c r="R60" i="14"/>
  <c r="R52" i="14"/>
  <c r="R44" i="14"/>
  <c r="R36" i="14"/>
  <c r="R28" i="14"/>
  <c r="R20" i="14"/>
  <c r="R12" i="14"/>
  <c r="R2043" i="14"/>
  <c r="R2035" i="14"/>
  <c r="R2027" i="14"/>
  <c r="R2019" i="14"/>
  <c r="R2011" i="14"/>
  <c r="R2003" i="14"/>
  <c r="R1995" i="14"/>
  <c r="R1987" i="14"/>
  <c r="R1979" i="14"/>
  <c r="R1971" i="14"/>
  <c r="R1963" i="14"/>
  <c r="R1955" i="14"/>
  <c r="R1947" i="14"/>
  <c r="R1939" i="14"/>
  <c r="R1931" i="14"/>
  <c r="R1923" i="14"/>
  <c r="R1915" i="14"/>
  <c r="R1907" i="14"/>
  <c r="R1899" i="14"/>
  <c r="R1891" i="14"/>
  <c r="R1883" i="14"/>
  <c r="R1875" i="14"/>
  <c r="R1867" i="14"/>
  <c r="R1859" i="14"/>
  <c r="R1851" i="14"/>
  <c r="R1843" i="14"/>
  <c r="R1835" i="14"/>
  <c r="R1827" i="14"/>
  <c r="R1819" i="14"/>
  <c r="R1811" i="14"/>
  <c r="R1803" i="14"/>
  <c r="R1795" i="14"/>
  <c r="R1787" i="14"/>
  <c r="R1779" i="14"/>
  <c r="R1771" i="14"/>
  <c r="R1763" i="14"/>
  <c r="R1755" i="14"/>
  <c r="R1747" i="14"/>
  <c r="R1739" i="14"/>
  <c r="R1731" i="14"/>
  <c r="R1723" i="14"/>
  <c r="R1715" i="14"/>
  <c r="R1707" i="14"/>
  <c r="R1699" i="14"/>
  <c r="R1691" i="14"/>
  <c r="R1683" i="14"/>
  <c r="R1675" i="14"/>
  <c r="R1667" i="14"/>
  <c r="R1659" i="14"/>
  <c r="R1651" i="14"/>
  <c r="R1643" i="14"/>
  <c r="R1635" i="14"/>
  <c r="R1627" i="14"/>
  <c r="R1619" i="14"/>
  <c r="R1611" i="14"/>
  <c r="R1603" i="14"/>
  <c r="R1595" i="14"/>
  <c r="R1587" i="14"/>
  <c r="R1579" i="14"/>
  <c r="R1571" i="14"/>
  <c r="R1563" i="14"/>
  <c r="R1555" i="14"/>
  <c r="R1547" i="14"/>
  <c r="R1539" i="14"/>
  <c r="R1531" i="14"/>
  <c r="R1523" i="14"/>
  <c r="R1515" i="14"/>
  <c r="R1507" i="14"/>
  <c r="R1499" i="14"/>
  <c r="R1491" i="14"/>
  <c r="R1483" i="14"/>
  <c r="R1475" i="14"/>
  <c r="R1467" i="14"/>
  <c r="R1459" i="14"/>
  <c r="R1451" i="14"/>
  <c r="R1443" i="14"/>
  <c r="R1435" i="14"/>
  <c r="R1427" i="14"/>
  <c r="R1419" i="14"/>
  <c r="R1411" i="14"/>
  <c r="R1403" i="14"/>
  <c r="R1395" i="14"/>
  <c r="R1387" i="14"/>
  <c r="R1379" i="14"/>
  <c r="R1371" i="14"/>
  <c r="R1363" i="14"/>
  <c r="R1355" i="14"/>
  <c r="R1347" i="14"/>
  <c r="R1339" i="14"/>
  <c r="R1331" i="14"/>
  <c r="R1323" i="14"/>
  <c r="R1315" i="14"/>
  <c r="R1307" i="14"/>
  <c r="R1299" i="14"/>
  <c r="R1291" i="14"/>
  <c r="R1283" i="14"/>
  <c r="R1275" i="14"/>
  <c r="R1267" i="14"/>
  <c r="R1259" i="14"/>
  <c r="R1251" i="14"/>
  <c r="R1243" i="14"/>
  <c r="R1235" i="14"/>
  <c r="R1227" i="14"/>
  <c r="R1219" i="14"/>
  <c r="R1211" i="14"/>
  <c r="R1203" i="14"/>
  <c r="R1195" i="14"/>
  <c r="R1187" i="14"/>
  <c r="R1179" i="14"/>
  <c r="R1171" i="14"/>
  <c r="R1163" i="14"/>
  <c r="R1155" i="14"/>
  <c r="R1147" i="14"/>
  <c r="R1139" i="14"/>
  <c r="R1131" i="14"/>
  <c r="R1123" i="14"/>
  <c r="R1115" i="14"/>
  <c r="R1107" i="14"/>
  <c r="R1099" i="14"/>
  <c r="R1091" i="14"/>
  <c r="R1083" i="14"/>
  <c r="R1075" i="14"/>
  <c r="R1067" i="14"/>
  <c r="R1059" i="14"/>
  <c r="R1051" i="14"/>
  <c r="R1043" i="14"/>
  <c r="R1035" i="14"/>
  <c r="R1027" i="14"/>
  <c r="R1019" i="14"/>
  <c r="R1011" i="14"/>
  <c r="R1003" i="14"/>
  <c r="R995" i="14"/>
  <c r="R987" i="14"/>
  <c r="R979" i="14"/>
  <c r="R971" i="14"/>
  <c r="R963" i="14"/>
  <c r="R955" i="14"/>
  <c r="R947" i="14"/>
  <c r="R939" i="14"/>
  <c r="R931" i="14"/>
  <c r="R923" i="14"/>
  <c r="R915" i="14"/>
  <c r="R907" i="14"/>
  <c r="R899" i="14"/>
  <c r="R891" i="14"/>
  <c r="R883" i="14"/>
  <c r="R875" i="14"/>
  <c r="R867" i="14"/>
  <c r="R859" i="14"/>
  <c r="R851" i="14"/>
  <c r="R843" i="14"/>
  <c r="R835" i="14"/>
  <c r="R827" i="14"/>
  <c r="R819" i="14"/>
  <c r="R811" i="14"/>
  <c r="R803" i="14"/>
  <c r="R795" i="14"/>
  <c r="R787" i="14"/>
  <c r="R779" i="14"/>
  <c r="R771" i="14"/>
  <c r="R763" i="14"/>
  <c r="R755" i="14"/>
  <c r="R747" i="14"/>
  <c r="R739" i="14"/>
  <c r="R731" i="14"/>
  <c r="R723" i="14"/>
  <c r="R715" i="14"/>
  <c r="R707" i="14"/>
  <c r="R699" i="14"/>
  <c r="R691" i="14"/>
  <c r="R683" i="14"/>
  <c r="R675" i="14"/>
  <c r="R667" i="14"/>
  <c r="R659" i="14"/>
  <c r="R651" i="14"/>
  <c r="R643" i="14"/>
  <c r="R635" i="14"/>
  <c r="R627" i="14"/>
  <c r="R619" i="14"/>
  <c r="R611" i="14"/>
  <c r="R603" i="14"/>
  <c r="R595" i="14"/>
  <c r="R587" i="14"/>
  <c r="R579" i="14"/>
  <c r="R571" i="14"/>
  <c r="R563" i="14"/>
  <c r="R555" i="14"/>
  <c r="R547" i="14"/>
  <c r="R539" i="14"/>
  <c r="R531" i="14"/>
  <c r="R523" i="14"/>
  <c r="R515" i="14"/>
  <c r="R507" i="14"/>
  <c r="R499" i="14"/>
  <c r="R491" i="14"/>
  <c r="R483" i="14"/>
  <c r="R475" i="14"/>
  <c r="R467" i="14"/>
  <c r="R459" i="14"/>
  <c r="R451" i="14"/>
  <c r="R443" i="14"/>
  <c r="R435" i="14"/>
  <c r="R427" i="14"/>
  <c r="R419" i="14"/>
  <c r="R411" i="14"/>
  <c r="R403" i="14"/>
  <c r="R395" i="14"/>
  <c r="R387" i="14"/>
  <c r="R379" i="14"/>
  <c r="R371" i="14"/>
  <c r="R363" i="14"/>
  <c r="R355" i="14"/>
  <c r="R347" i="14"/>
  <c r="R339" i="14"/>
  <c r="R331" i="14"/>
  <c r="R323" i="14"/>
  <c r="R315" i="14"/>
  <c r="R307" i="14"/>
  <c r="R299" i="14"/>
  <c r="R291" i="14"/>
  <c r="R283" i="14"/>
  <c r="R275" i="14"/>
  <c r="R267" i="14"/>
  <c r="R259" i="14"/>
  <c r="R251" i="14"/>
  <c r="R243" i="14"/>
  <c r="R235" i="14"/>
  <c r="R227" i="14"/>
  <c r="R219" i="14"/>
  <c r="R211" i="14"/>
  <c r="R203" i="14"/>
  <c r="R195" i="14"/>
  <c r="R187" i="14"/>
  <c r="R179" i="14"/>
  <c r="R171" i="14"/>
  <c r="R163" i="14"/>
  <c r="R155" i="14"/>
  <c r="R147" i="14"/>
  <c r="R139" i="14"/>
  <c r="R131" i="14"/>
  <c r="R123" i="14"/>
  <c r="R115" i="14"/>
  <c r="R107" i="14"/>
  <c r="R99" i="14"/>
  <c r="R91" i="14"/>
  <c r="R83" i="14"/>
  <c r="R75" i="14"/>
  <c r="R67" i="14"/>
  <c r="R59" i="14"/>
  <c r="R51" i="14"/>
  <c r="R43" i="14"/>
  <c r="R35" i="14"/>
  <c r="R27" i="14"/>
  <c r="R19" i="14"/>
  <c r="R11" i="14"/>
  <c r="I3754" i="14"/>
  <c r="I3750" i="14" s="1"/>
  <c r="I3749" i="14"/>
  <c r="I3748" i="14"/>
  <c r="I3747" i="14" l="1"/>
  <c r="W8" i="14" l="1"/>
  <c r="W9" i="14"/>
  <c r="W10" i="14"/>
  <c r="W11" i="14"/>
  <c r="W12" i="14"/>
  <c r="W13" i="14"/>
  <c r="W14" i="14"/>
  <c r="W15" i="14"/>
  <c r="W16" i="14"/>
  <c r="W17" i="14"/>
  <c r="W18" i="14"/>
  <c r="W19" i="14"/>
  <c r="W20" i="14"/>
  <c r="W21" i="14"/>
  <c r="W22" i="14"/>
  <c r="W23" i="14"/>
  <c r="W24" i="14"/>
  <c r="W25" i="14"/>
  <c r="W26" i="14"/>
  <c r="W27" i="14"/>
  <c r="W28" i="14"/>
  <c r="W29" i="14"/>
  <c r="W30" i="14"/>
  <c r="W31" i="14"/>
  <c r="W32" i="14"/>
  <c r="W33" i="14"/>
  <c r="W34" i="14"/>
  <c r="W35" i="14"/>
  <c r="W36" i="14"/>
  <c r="W37" i="14"/>
  <c r="W38" i="14"/>
  <c r="W39" i="14"/>
  <c r="W40" i="14"/>
  <c r="W41" i="14"/>
  <c r="W42" i="14"/>
  <c r="W43" i="14"/>
  <c r="W44" i="14"/>
  <c r="W45" i="14"/>
  <c r="W46" i="14"/>
  <c r="W47" i="14"/>
  <c r="W48" i="14"/>
  <c r="W49" i="14"/>
  <c r="W50" i="14"/>
  <c r="W51" i="14"/>
  <c r="W52" i="14"/>
  <c r="W53" i="14"/>
  <c r="W54" i="14"/>
  <c r="W55" i="14"/>
  <c r="W56" i="14"/>
  <c r="W57" i="14"/>
  <c r="W58" i="14"/>
  <c r="W59" i="14"/>
  <c r="W60" i="14"/>
  <c r="W61" i="14"/>
  <c r="W62" i="14"/>
  <c r="W63" i="14"/>
  <c r="W64" i="14"/>
  <c r="W65" i="14"/>
  <c r="W66" i="14"/>
  <c r="W67" i="14"/>
  <c r="W68" i="14"/>
  <c r="W69" i="14"/>
  <c r="W70" i="14"/>
  <c r="W71" i="14"/>
  <c r="W72" i="14"/>
  <c r="W73" i="14"/>
  <c r="W74" i="14"/>
  <c r="W75" i="14"/>
  <c r="W76" i="14"/>
  <c r="W77" i="14"/>
  <c r="W78" i="14"/>
  <c r="W79" i="14"/>
  <c r="W80" i="14"/>
  <c r="W81" i="14"/>
  <c r="W82" i="14"/>
  <c r="W83" i="14"/>
  <c r="W84" i="14"/>
  <c r="W85" i="14"/>
  <c r="W86" i="14"/>
  <c r="W87" i="14"/>
  <c r="W88" i="14"/>
  <c r="W89" i="14"/>
  <c r="W90" i="14"/>
  <c r="W91" i="14"/>
  <c r="W92" i="14"/>
  <c r="W93" i="14"/>
  <c r="W94" i="14"/>
  <c r="W95" i="14"/>
  <c r="W96" i="14"/>
  <c r="W97" i="14"/>
  <c r="W98" i="14"/>
  <c r="W99" i="14"/>
  <c r="W100" i="14"/>
  <c r="W101" i="14"/>
  <c r="W102" i="14"/>
  <c r="W103" i="14"/>
  <c r="W104" i="14"/>
  <c r="W105" i="14"/>
  <c r="W106" i="14"/>
  <c r="W107" i="14"/>
  <c r="W108" i="14"/>
  <c r="W109" i="14"/>
  <c r="W110" i="14"/>
  <c r="W111" i="14"/>
  <c r="W112" i="14"/>
  <c r="W113" i="14"/>
  <c r="W114" i="14"/>
  <c r="W115" i="14"/>
  <c r="W116" i="14"/>
  <c r="W117" i="14"/>
  <c r="W118" i="14"/>
  <c r="W119" i="14"/>
  <c r="W120" i="14"/>
  <c r="W121" i="14"/>
  <c r="W122" i="14"/>
  <c r="W123" i="14"/>
  <c r="W124" i="14"/>
  <c r="W125" i="14"/>
  <c r="W126" i="14"/>
  <c r="W127" i="14"/>
  <c r="W128" i="14"/>
  <c r="W129" i="14"/>
  <c r="W130" i="14"/>
  <c r="W131" i="14"/>
  <c r="W132" i="14"/>
  <c r="W133" i="14"/>
  <c r="W134" i="14"/>
  <c r="W135" i="14"/>
  <c r="W136" i="14"/>
  <c r="W137" i="14"/>
  <c r="W138" i="14"/>
  <c r="W139" i="14"/>
  <c r="W140" i="14"/>
  <c r="W141" i="14"/>
  <c r="W142" i="14"/>
  <c r="W143" i="14"/>
  <c r="W144" i="14"/>
  <c r="W145" i="14"/>
  <c r="W146" i="14"/>
  <c r="W147" i="14"/>
  <c r="W148" i="14"/>
  <c r="W149" i="14"/>
  <c r="W150" i="14"/>
  <c r="W151" i="14"/>
  <c r="W152" i="14"/>
  <c r="W153" i="14"/>
  <c r="W154" i="14"/>
  <c r="W155" i="14"/>
  <c r="W156" i="14"/>
  <c r="W157" i="14"/>
  <c r="W158" i="14"/>
  <c r="W159" i="14"/>
  <c r="W160" i="14"/>
  <c r="W161" i="14"/>
  <c r="W162" i="14"/>
  <c r="W163" i="14"/>
  <c r="W164" i="14"/>
  <c r="W165" i="14"/>
  <c r="W166" i="14"/>
  <c r="W167" i="14"/>
  <c r="W168" i="14"/>
  <c r="W169" i="14"/>
  <c r="W170" i="14"/>
  <c r="W171" i="14"/>
  <c r="W172" i="14"/>
  <c r="W173" i="14"/>
  <c r="W174" i="14"/>
  <c r="W175" i="14"/>
  <c r="W176" i="14"/>
  <c r="W177" i="14"/>
  <c r="W178" i="14"/>
  <c r="W179" i="14"/>
  <c r="W180" i="14"/>
  <c r="W181" i="14"/>
  <c r="W182" i="14"/>
  <c r="W183" i="14"/>
  <c r="W184" i="14"/>
  <c r="W185" i="14"/>
  <c r="W186" i="14"/>
  <c r="W187" i="14"/>
  <c r="W188" i="14"/>
  <c r="W189" i="14"/>
  <c r="W190" i="14"/>
  <c r="W191" i="14"/>
  <c r="W192" i="14"/>
  <c r="W193" i="14"/>
  <c r="W194" i="14"/>
  <c r="W195" i="14"/>
  <c r="W196" i="14"/>
  <c r="W197" i="14"/>
  <c r="W198" i="14"/>
  <c r="W199" i="14"/>
  <c r="W200" i="14"/>
  <c r="W201" i="14"/>
  <c r="W202" i="14"/>
  <c r="W203" i="14"/>
  <c r="W204" i="14"/>
  <c r="W205" i="14"/>
  <c r="W206" i="14"/>
  <c r="W207" i="14"/>
  <c r="W208" i="14"/>
  <c r="W209" i="14"/>
  <c r="W210" i="14"/>
  <c r="W211" i="14"/>
  <c r="W212" i="14"/>
  <c r="W213" i="14"/>
  <c r="W214" i="14"/>
  <c r="W215" i="14"/>
  <c r="W216" i="14"/>
  <c r="W217" i="14"/>
  <c r="W218" i="14"/>
  <c r="W219" i="14"/>
  <c r="W220" i="14"/>
  <c r="W221" i="14"/>
  <c r="W222" i="14"/>
  <c r="W223" i="14"/>
  <c r="W224" i="14"/>
  <c r="W225" i="14"/>
  <c r="W226" i="14"/>
  <c r="W227" i="14"/>
  <c r="W228" i="14"/>
  <c r="W229" i="14"/>
  <c r="W230" i="14"/>
  <c r="W231" i="14"/>
  <c r="W232" i="14"/>
  <c r="W233" i="14"/>
  <c r="W234" i="14"/>
  <c r="W235" i="14"/>
  <c r="W236" i="14"/>
  <c r="W237" i="14"/>
  <c r="W238" i="14"/>
  <c r="W239" i="14"/>
  <c r="W240" i="14"/>
  <c r="W241" i="14"/>
  <c r="W242" i="14"/>
  <c r="W243" i="14"/>
  <c r="W244" i="14"/>
  <c r="W245" i="14"/>
  <c r="W246" i="14"/>
  <c r="W247" i="14"/>
  <c r="W248" i="14"/>
  <c r="W249" i="14"/>
  <c r="W250" i="14"/>
  <c r="W251" i="14"/>
  <c r="W252" i="14"/>
  <c r="W253" i="14"/>
  <c r="W254" i="14"/>
  <c r="W255" i="14"/>
  <c r="W256" i="14"/>
  <c r="W257" i="14"/>
  <c r="W258" i="14"/>
  <c r="W259" i="14"/>
  <c r="W260" i="14"/>
  <c r="W261" i="14"/>
  <c r="W262" i="14"/>
  <c r="W263" i="14"/>
  <c r="W264" i="14"/>
  <c r="W265" i="14"/>
  <c r="W266" i="14"/>
  <c r="W267" i="14"/>
  <c r="W268" i="14"/>
  <c r="W269" i="14"/>
  <c r="W270" i="14"/>
  <c r="W271" i="14"/>
  <c r="W272" i="14"/>
  <c r="W273" i="14"/>
  <c r="W274" i="14"/>
  <c r="W275" i="14"/>
  <c r="W276" i="14"/>
  <c r="W277" i="14"/>
  <c r="W278" i="14"/>
  <c r="W279" i="14"/>
  <c r="W280" i="14"/>
  <c r="W281" i="14"/>
  <c r="W282" i="14"/>
  <c r="W283" i="14"/>
  <c r="W284" i="14"/>
  <c r="W285" i="14"/>
  <c r="W286" i="14"/>
  <c r="W287" i="14"/>
  <c r="W288" i="14"/>
  <c r="W289" i="14"/>
  <c r="W290" i="14"/>
  <c r="W291" i="14"/>
  <c r="W292" i="14"/>
  <c r="W293" i="14"/>
  <c r="W294" i="14"/>
  <c r="W295" i="14"/>
  <c r="W296" i="14"/>
  <c r="W297" i="14"/>
  <c r="W298" i="14"/>
  <c r="W299" i="14"/>
  <c r="W300" i="14"/>
  <c r="W301" i="14"/>
  <c r="W302" i="14"/>
  <c r="W303" i="14"/>
  <c r="W304" i="14"/>
  <c r="W305" i="14"/>
  <c r="W306" i="14"/>
  <c r="W307" i="14"/>
  <c r="W308" i="14"/>
  <c r="W309" i="14"/>
  <c r="W310" i="14"/>
  <c r="W311" i="14"/>
  <c r="W312" i="14"/>
  <c r="W313" i="14"/>
  <c r="W314" i="14"/>
  <c r="W315" i="14"/>
  <c r="W316" i="14"/>
  <c r="W317" i="14"/>
  <c r="W318" i="14"/>
  <c r="W319" i="14"/>
  <c r="W320" i="14"/>
  <c r="W321" i="14"/>
  <c r="W322" i="14"/>
  <c r="W323" i="14"/>
  <c r="W324" i="14"/>
  <c r="W325" i="14"/>
  <c r="W326" i="14"/>
  <c r="W327" i="14"/>
  <c r="W328" i="14"/>
  <c r="W329" i="14"/>
  <c r="W330" i="14"/>
  <c r="W331" i="14"/>
  <c r="W332" i="14"/>
  <c r="W333" i="14"/>
  <c r="W334" i="14"/>
  <c r="W335" i="14"/>
  <c r="W336" i="14"/>
  <c r="W337" i="14"/>
  <c r="W338" i="14"/>
  <c r="W339" i="14"/>
  <c r="W340" i="14"/>
  <c r="W341" i="14"/>
  <c r="W342" i="14"/>
  <c r="W343" i="14"/>
  <c r="W344" i="14"/>
  <c r="W345" i="14"/>
  <c r="W346" i="14"/>
  <c r="W348" i="14"/>
  <c r="W349" i="14"/>
  <c r="W351" i="14"/>
  <c r="W352" i="14"/>
  <c r="W353" i="14"/>
  <c r="W354" i="14"/>
  <c r="W355" i="14"/>
  <c r="W356" i="14"/>
  <c r="W357" i="14"/>
  <c r="W360" i="14"/>
  <c r="W361" i="14"/>
  <c r="W362" i="14"/>
  <c r="W363" i="14"/>
  <c r="W364" i="14"/>
  <c r="W365" i="14"/>
  <c r="W366" i="14"/>
  <c r="W367" i="14"/>
  <c r="W368" i="14"/>
  <c r="W369" i="14"/>
  <c r="W370" i="14"/>
  <c r="W371" i="14"/>
  <c r="W372" i="14"/>
  <c r="W373" i="14"/>
  <c r="W374" i="14"/>
  <c r="W375" i="14"/>
  <c r="W376" i="14"/>
  <c r="W377" i="14"/>
  <c r="W378" i="14"/>
  <c r="W379" i="14"/>
  <c r="W380" i="14"/>
  <c r="W381" i="14"/>
  <c r="W382" i="14"/>
  <c r="W383" i="14"/>
  <c r="W384" i="14"/>
  <c r="W385" i="14"/>
  <c r="W386" i="14"/>
  <c r="W387" i="14"/>
  <c r="W388" i="14"/>
  <c r="W389" i="14"/>
  <c r="W390" i="14"/>
  <c r="W391" i="14"/>
  <c r="W392" i="14"/>
  <c r="W393" i="14"/>
  <c r="W394" i="14"/>
  <c r="W395" i="14"/>
  <c r="W396" i="14"/>
  <c r="W397" i="14"/>
  <c r="W398" i="14"/>
  <c r="W399" i="14"/>
  <c r="W400" i="14"/>
  <c r="W401" i="14"/>
  <c r="W402" i="14"/>
  <c r="W403" i="14"/>
  <c r="W404" i="14"/>
  <c r="W405" i="14"/>
  <c r="W406" i="14"/>
  <c r="W407" i="14"/>
  <c r="W408" i="14"/>
  <c r="W409" i="14"/>
  <c r="W410" i="14"/>
  <c r="W411" i="14"/>
  <c r="W412" i="14"/>
  <c r="W413" i="14"/>
  <c r="W414" i="14"/>
  <c r="W415" i="14"/>
  <c r="W416" i="14"/>
  <c r="W417" i="14"/>
  <c r="W418" i="14"/>
  <c r="W419" i="14"/>
  <c r="W420" i="14"/>
  <c r="W421" i="14"/>
  <c r="W422" i="14"/>
  <c r="W423" i="14"/>
  <c r="W424" i="14"/>
  <c r="W425" i="14"/>
  <c r="W426" i="14"/>
  <c r="W427" i="14"/>
  <c r="W428" i="14"/>
  <c r="W429" i="14"/>
  <c r="W430" i="14"/>
  <c r="W431" i="14"/>
  <c r="W432" i="14"/>
  <c r="W433" i="14"/>
  <c r="W434" i="14"/>
  <c r="W435" i="14"/>
  <c r="W436" i="14"/>
  <c r="W437" i="14"/>
  <c r="W438" i="14"/>
  <c r="W439" i="14"/>
  <c r="W440" i="14"/>
  <c r="W441" i="14"/>
  <c r="W442" i="14"/>
  <c r="W443" i="14"/>
  <c r="W444" i="14"/>
  <c r="W445" i="14"/>
  <c r="W446" i="14"/>
  <c r="W447" i="14"/>
  <c r="W448" i="14"/>
  <c r="W449" i="14"/>
  <c r="W450" i="14"/>
  <c r="W451" i="14"/>
  <c r="W452" i="14"/>
  <c r="W453" i="14"/>
  <c r="W454" i="14"/>
  <c r="W455" i="14"/>
  <c r="W456" i="14"/>
  <c r="W457" i="14"/>
  <c r="W458" i="14"/>
  <c r="W459" i="14"/>
  <c r="W460" i="14"/>
  <c r="W461" i="14"/>
  <c r="W462" i="14"/>
  <c r="W463" i="14"/>
  <c r="W464" i="14"/>
  <c r="W465" i="14"/>
  <c r="W466" i="14"/>
  <c r="W467" i="14"/>
  <c r="W468" i="14"/>
  <c r="W469" i="14"/>
  <c r="W470" i="14"/>
  <c r="W471" i="14"/>
  <c r="W472" i="14"/>
  <c r="W473" i="14"/>
  <c r="W474" i="14"/>
  <c r="W475" i="14"/>
  <c r="W476" i="14"/>
  <c r="W477" i="14"/>
  <c r="W478" i="14"/>
  <c r="W479" i="14"/>
  <c r="W480" i="14"/>
  <c r="W481" i="14"/>
  <c r="W482" i="14"/>
  <c r="W483" i="14"/>
  <c r="W484" i="14"/>
  <c r="W485" i="14"/>
  <c r="W486" i="14"/>
  <c r="W487" i="14"/>
  <c r="W488" i="14"/>
  <c r="W489" i="14"/>
  <c r="W490" i="14"/>
  <c r="W491" i="14"/>
  <c r="W492" i="14"/>
  <c r="W493" i="14"/>
  <c r="W494" i="14"/>
  <c r="W495" i="14"/>
  <c r="W496" i="14"/>
  <c r="W497" i="14"/>
  <c r="W498" i="14"/>
  <c r="W499" i="14"/>
  <c r="W500" i="14"/>
  <c r="W501" i="14"/>
  <c r="W502" i="14"/>
  <c r="W503" i="14"/>
  <c r="W504" i="14"/>
  <c r="W505" i="14"/>
  <c r="W506" i="14"/>
  <c r="W508" i="14"/>
  <c r="W509" i="14"/>
  <c r="W511" i="14"/>
  <c r="W512" i="14"/>
  <c r="W513" i="14"/>
  <c r="W514" i="14"/>
  <c r="W515" i="14"/>
  <c r="W516" i="14"/>
  <c r="W517" i="14"/>
  <c r="W520" i="14"/>
  <c r="W521" i="14"/>
  <c r="W522" i="14"/>
  <c r="W523" i="14"/>
  <c r="W524" i="14"/>
  <c r="W525" i="14"/>
  <c r="W526" i="14"/>
  <c r="W527" i="14"/>
  <c r="W528" i="14"/>
  <c r="W529" i="14"/>
  <c r="W530" i="14"/>
  <c r="W531" i="14"/>
  <c r="W532" i="14"/>
  <c r="W533" i="14"/>
  <c r="W534" i="14"/>
  <c r="W535" i="14"/>
  <c r="W536" i="14"/>
  <c r="W537" i="14"/>
  <c r="W538" i="14"/>
  <c r="W539" i="14"/>
  <c r="W540" i="14"/>
  <c r="W541" i="14"/>
  <c r="W542" i="14"/>
  <c r="W544" i="14"/>
  <c r="W545" i="14"/>
  <c r="W547" i="14"/>
  <c r="W548" i="14"/>
  <c r="W549" i="14"/>
  <c r="W550" i="14"/>
  <c r="W551" i="14"/>
  <c r="W552" i="14"/>
  <c r="W553" i="14"/>
  <c r="W554" i="14"/>
  <c r="W556" i="14"/>
  <c r="W557" i="14"/>
  <c r="W558" i="14"/>
  <c r="W559" i="14"/>
  <c r="W560" i="14"/>
  <c r="W561" i="14"/>
  <c r="W562" i="14"/>
  <c r="W563" i="14"/>
  <c r="W564" i="14"/>
  <c r="W565" i="14"/>
  <c r="W566" i="14"/>
  <c r="W567" i="14"/>
  <c r="W568" i="14"/>
  <c r="W569" i="14"/>
  <c r="W570" i="14"/>
  <c r="W571" i="14"/>
  <c r="W572" i="14"/>
  <c r="W573" i="14"/>
  <c r="W574" i="14"/>
  <c r="W575" i="14"/>
  <c r="W576" i="14"/>
  <c r="W577" i="14"/>
  <c r="W578" i="14"/>
  <c r="W579" i="14"/>
  <c r="W580" i="14"/>
  <c r="W581" i="14"/>
  <c r="W582" i="14"/>
  <c r="W583" i="14"/>
  <c r="W584" i="14"/>
  <c r="W585" i="14"/>
  <c r="W586" i="14"/>
  <c r="W587" i="14"/>
  <c r="W588" i="14"/>
  <c r="W589" i="14"/>
  <c r="W590" i="14"/>
  <c r="W591" i="14"/>
  <c r="W592" i="14"/>
  <c r="W593" i="14"/>
  <c r="W594" i="14"/>
  <c r="W595" i="14"/>
  <c r="W596" i="14"/>
  <c r="W597" i="14"/>
  <c r="W598" i="14"/>
  <c r="W599" i="14"/>
  <c r="W600" i="14"/>
  <c r="W601" i="14"/>
  <c r="W602" i="14"/>
  <c r="W603" i="14"/>
  <c r="W604" i="14"/>
  <c r="W605" i="14"/>
  <c r="W606" i="14"/>
  <c r="W607" i="14"/>
  <c r="W608" i="14"/>
  <c r="W609" i="14"/>
  <c r="W610" i="14"/>
  <c r="W611" i="14"/>
  <c r="W612" i="14"/>
  <c r="W613" i="14"/>
  <c r="W614" i="14"/>
  <c r="W615" i="14"/>
  <c r="W616" i="14"/>
  <c r="W617" i="14"/>
  <c r="W618" i="14"/>
  <c r="W619" i="14"/>
  <c r="W620" i="14"/>
  <c r="W621" i="14"/>
  <c r="W622" i="14"/>
  <c r="W624" i="14"/>
  <c r="W625" i="14"/>
  <c r="W627" i="14"/>
  <c r="W628" i="14"/>
  <c r="W629" i="14"/>
  <c r="W630" i="14"/>
  <c r="W631" i="14"/>
  <c r="W632" i="14"/>
  <c r="W633" i="14"/>
  <c r="W634" i="14"/>
  <c r="W636" i="14"/>
  <c r="W637" i="14"/>
  <c r="W638" i="14"/>
  <c r="W639" i="14"/>
  <c r="W640" i="14"/>
  <c r="W641" i="14"/>
  <c r="W642" i="14"/>
  <c r="W643" i="14"/>
  <c r="W644" i="14"/>
  <c r="W645" i="14"/>
  <c r="W646" i="14"/>
  <c r="W647" i="14"/>
  <c r="W648" i="14"/>
  <c r="W649" i="14"/>
  <c r="W650" i="14"/>
  <c r="W651" i="14"/>
  <c r="W652" i="14"/>
  <c r="W653" i="14"/>
  <c r="W654" i="14"/>
  <c r="W655" i="14"/>
  <c r="W656" i="14"/>
  <c r="W657" i="14"/>
  <c r="W658" i="14"/>
  <c r="W660" i="14"/>
  <c r="W661" i="14"/>
  <c r="W663" i="14"/>
  <c r="W665" i="14"/>
  <c r="W666" i="14"/>
  <c r="W667" i="14"/>
  <c r="W668" i="14"/>
  <c r="W669" i="14"/>
  <c r="W670" i="14"/>
  <c r="W672" i="14"/>
  <c r="W673" i="14"/>
  <c r="W674" i="14"/>
  <c r="W675" i="14"/>
  <c r="W676" i="14"/>
  <c r="W677" i="14"/>
  <c r="W678" i="14"/>
  <c r="W679" i="14"/>
  <c r="W680" i="14"/>
  <c r="W681" i="14"/>
  <c r="W682" i="14"/>
  <c r="W683" i="14"/>
  <c r="W684" i="14"/>
  <c r="W685" i="14"/>
  <c r="W686" i="14"/>
  <c r="W687" i="14"/>
  <c r="W688" i="14"/>
  <c r="W689" i="14"/>
  <c r="W690" i="14"/>
  <c r="W691" i="14"/>
  <c r="W692" i="14"/>
  <c r="W693" i="14"/>
  <c r="W694" i="14"/>
  <c r="W696" i="14"/>
  <c r="W697" i="14"/>
  <c r="W699" i="14"/>
  <c r="W700" i="14"/>
  <c r="W701" i="14"/>
  <c r="W702" i="14"/>
  <c r="W703" i="14"/>
  <c r="W704" i="14"/>
  <c r="W705" i="14"/>
  <c r="W706" i="14"/>
  <c r="W708" i="14"/>
  <c r="W709" i="14"/>
  <c r="W710" i="14"/>
  <c r="W711" i="14"/>
  <c r="W712" i="14"/>
  <c r="W713" i="14"/>
  <c r="W714" i="14"/>
  <c r="W715" i="14"/>
  <c r="W716" i="14"/>
  <c r="W717" i="14"/>
  <c r="W718" i="14"/>
  <c r="W719" i="14"/>
  <c r="W720" i="14"/>
  <c r="W721" i="14"/>
  <c r="W722" i="14"/>
  <c r="W723" i="14"/>
  <c r="W724" i="14"/>
  <c r="W725" i="14"/>
  <c r="W726" i="14"/>
  <c r="W727" i="14"/>
  <c r="W728" i="14"/>
  <c r="W729" i="14"/>
  <c r="W730" i="14"/>
  <c r="W732" i="14"/>
  <c r="W733" i="14"/>
  <c r="W735" i="14"/>
  <c r="W736" i="14"/>
  <c r="W737" i="14"/>
  <c r="W738" i="14"/>
  <c r="W739" i="14"/>
  <c r="W740" i="14"/>
  <c r="W741" i="14"/>
  <c r="W742" i="14"/>
  <c r="W744" i="14"/>
  <c r="W745" i="14"/>
  <c r="W746" i="14"/>
  <c r="W747" i="14"/>
  <c r="W748" i="14"/>
  <c r="W749" i="14"/>
  <c r="W750" i="14"/>
  <c r="W751" i="14"/>
  <c r="W752" i="14"/>
  <c r="W753" i="14"/>
  <c r="W754" i="14"/>
  <c r="W755" i="14"/>
  <c r="W756" i="14"/>
  <c r="W757" i="14"/>
  <c r="W758" i="14"/>
  <c r="W760" i="14"/>
  <c r="W761" i="14"/>
  <c r="W763" i="14"/>
  <c r="W764" i="14"/>
  <c r="W765" i="14"/>
  <c r="W766" i="14"/>
  <c r="W767" i="14"/>
  <c r="W768" i="14"/>
  <c r="W769" i="14"/>
  <c r="W770" i="14"/>
  <c r="W772" i="14"/>
  <c r="W773" i="14"/>
  <c r="W774" i="14"/>
  <c r="W776" i="14"/>
  <c r="W777" i="14"/>
  <c r="W779" i="14"/>
  <c r="W780" i="14"/>
  <c r="W781" i="14"/>
  <c r="W782" i="14"/>
  <c r="W783" i="14"/>
  <c r="W784" i="14"/>
  <c r="W785" i="14"/>
  <c r="W786" i="14"/>
  <c r="W788" i="14"/>
  <c r="W789" i="14"/>
  <c r="W790" i="14"/>
  <c r="W791" i="14"/>
  <c r="W792" i="14"/>
  <c r="W793" i="14"/>
  <c r="W794" i="14"/>
  <c r="W795" i="14"/>
  <c r="W796" i="14"/>
  <c r="W797" i="14"/>
  <c r="W798" i="14"/>
  <c r="W799" i="14"/>
  <c r="W800" i="14"/>
  <c r="W801" i="14"/>
  <c r="W802" i="14"/>
  <c r="W803" i="14"/>
  <c r="W804" i="14"/>
  <c r="W805" i="14"/>
  <c r="W806" i="14"/>
  <c r="W807" i="14"/>
  <c r="W808" i="14"/>
  <c r="W809" i="14"/>
  <c r="W810" i="14"/>
  <c r="W811" i="14"/>
  <c r="W812" i="14"/>
  <c r="W813" i="14"/>
  <c r="W814" i="14"/>
  <c r="W815" i="14"/>
  <c r="W816" i="14"/>
  <c r="W817" i="14"/>
  <c r="W818" i="14"/>
  <c r="W819" i="14"/>
  <c r="W820" i="14"/>
  <c r="W821" i="14"/>
  <c r="W822" i="14"/>
  <c r="W823" i="14"/>
  <c r="W824" i="14"/>
  <c r="W825" i="14"/>
  <c r="W826" i="14"/>
  <c r="W827" i="14"/>
  <c r="W828" i="14"/>
  <c r="W829" i="14"/>
  <c r="W830" i="14"/>
  <c r="W831" i="14"/>
  <c r="W832" i="14"/>
  <c r="W833" i="14"/>
  <c r="W834" i="14"/>
  <c r="W835" i="14"/>
  <c r="W836" i="14"/>
  <c r="W837" i="14"/>
  <c r="W838" i="14"/>
  <c r="W839" i="14"/>
  <c r="W840" i="14"/>
  <c r="W841" i="14"/>
  <c r="W842" i="14"/>
  <c r="W843" i="14"/>
  <c r="W844" i="14"/>
  <c r="W845" i="14"/>
  <c r="W846" i="14"/>
  <c r="W847" i="14"/>
  <c r="W848" i="14"/>
  <c r="W849" i="14"/>
  <c r="W850" i="14"/>
  <c r="W851" i="14"/>
  <c r="W852" i="14"/>
  <c r="W853" i="14"/>
  <c r="W854" i="14"/>
  <c r="W855" i="14"/>
  <c r="W856" i="14"/>
  <c r="W857" i="14"/>
  <c r="W858" i="14"/>
  <c r="W859" i="14"/>
  <c r="W860" i="14"/>
  <c r="W861" i="14"/>
  <c r="W862" i="14"/>
  <c r="W864" i="14"/>
  <c r="W865" i="14"/>
  <c r="W867" i="14"/>
  <c r="W868" i="14"/>
  <c r="W869" i="14"/>
  <c r="W870" i="14"/>
  <c r="W871" i="14"/>
  <c r="W872" i="14"/>
  <c r="W873" i="14"/>
  <c r="W874" i="14"/>
  <c r="W876" i="14"/>
  <c r="W877" i="14"/>
  <c r="W878" i="14"/>
  <c r="W879" i="14"/>
  <c r="W880" i="14"/>
  <c r="W881" i="14"/>
  <c r="W882" i="14"/>
  <c r="W883" i="14"/>
  <c r="W884" i="14"/>
  <c r="W885" i="14"/>
  <c r="W886" i="14"/>
  <c r="W887" i="14"/>
  <c r="W888" i="14"/>
  <c r="W889" i="14"/>
  <c r="W890" i="14"/>
  <c r="W891" i="14"/>
  <c r="W892" i="14"/>
  <c r="W893" i="14"/>
  <c r="W894" i="14"/>
  <c r="W895" i="14"/>
  <c r="W896" i="14"/>
  <c r="W897" i="14"/>
  <c r="W898" i="14"/>
  <c r="W899" i="14"/>
  <c r="W900" i="14"/>
  <c r="W901" i="14"/>
  <c r="W902" i="14"/>
  <c r="W904" i="14"/>
  <c r="W905" i="14"/>
  <c r="W907" i="14"/>
  <c r="W908" i="14"/>
  <c r="W909" i="14"/>
  <c r="W910" i="14"/>
  <c r="W911" i="14"/>
  <c r="W912" i="14"/>
  <c r="W913" i="14"/>
  <c r="W914" i="14"/>
  <c r="W916" i="14"/>
  <c r="W917" i="14"/>
  <c r="W918" i="14"/>
  <c r="W920" i="14"/>
  <c r="W921" i="14"/>
  <c r="W923" i="14"/>
  <c r="W924" i="14"/>
  <c r="W925" i="14"/>
  <c r="W926" i="14"/>
  <c r="W927" i="14"/>
  <c r="W928" i="14"/>
  <c r="W929" i="14"/>
  <c r="W930" i="14"/>
  <c r="W932" i="14"/>
  <c r="W933" i="14"/>
  <c r="W934" i="14"/>
  <c r="W935" i="14"/>
  <c r="W936" i="14"/>
  <c r="W937" i="14"/>
  <c r="W938" i="14"/>
  <c r="W939" i="14"/>
  <c r="W940" i="14"/>
  <c r="W941" i="14"/>
  <c r="W942" i="14"/>
  <c r="W943" i="14"/>
  <c r="W944" i="14"/>
  <c r="W945" i="14"/>
  <c r="W946" i="14"/>
  <c r="W947" i="14"/>
  <c r="W948" i="14"/>
  <c r="W949" i="14"/>
  <c r="W950" i="14"/>
  <c r="W951" i="14"/>
  <c r="W952" i="14"/>
  <c r="W953" i="14"/>
  <c r="W954" i="14"/>
  <c r="W955" i="14"/>
  <c r="W956" i="14"/>
  <c r="W957" i="14"/>
  <c r="W958" i="14"/>
  <c r="W959" i="14"/>
  <c r="W960" i="14"/>
  <c r="W961" i="14"/>
  <c r="W962" i="14"/>
  <c r="W963" i="14"/>
  <c r="W964" i="14"/>
  <c r="W965" i="14"/>
  <c r="W966" i="14"/>
  <c r="W967" i="14"/>
  <c r="W968" i="14"/>
  <c r="W969" i="14"/>
  <c r="W970" i="14"/>
  <c r="W971" i="14"/>
  <c r="W972" i="14"/>
  <c r="W973" i="14"/>
  <c r="W974" i="14"/>
  <c r="W975" i="14"/>
  <c r="W976" i="14"/>
  <c r="W977" i="14"/>
  <c r="W978" i="14"/>
  <c r="W979" i="14"/>
  <c r="W980" i="14"/>
  <c r="W981" i="14"/>
  <c r="W982" i="14"/>
  <c r="W983" i="14"/>
  <c r="W984" i="14"/>
  <c r="W985" i="14"/>
  <c r="W986" i="14"/>
  <c r="W987" i="14"/>
  <c r="W988" i="14"/>
  <c r="W989" i="14"/>
  <c r="W990" i="14"/>
  <c r="W991" i="14"/>
  <c r="W992" i="14"/>
  <c r="W993" i="14"/>
  <c r="W994" i="14"/>
  <c r="W995" i="14"/>
  <c r="W996" i="14"/>
  <c r="W997" i="14"/>
  <c r="W998" i="14"/>
  <c r="W999" i="14"/>
  <c r="W1000" i="14"/>
  <c r="W1001" i="14"/>
  <c r="W1002" i="14"/>
  <c r="W1003" i="14"/>
  <c r="W1004" i="14"/>
  <c r="W1005" i="14"/>
  <c r="W1006" i="14"/>
  <c r="W1007" i="14"/>
  <c r="W1008" i="14"/>
  <c r="W1009" i="14"/>
  <c r="W1010" i="14"/>
  <c r="W1012" i="14"/>
  <c r="W1013" i="14"/>
  <c r="W1015" i="14"/>
  <c r="W1016" i="14"/>
  <c r="W1017" i="14"/>
  <c r="W1018" i="14"/>
  <c r="W1019" i="14"/>
  <c r="W1020" i="14"/>
  <c r="W1021" i="14"/>
  <c r="W1022" i="14"/>
  <c r="W1024" i="14"/>
  <c r="W1025" i="14"/>
  <c r="W1026" i="14"/>
  <c r="W1027" i="14"/>
  <c r="W1028" i="14"/>
  <c r="W1029" i="14"/>
  <c r="W1030" i="14"/>
  <c r="W1031" i="14"/>
  <c r="W1032" i="14"/>
  <c r="W1033" i="14"/>
  <c r="W1034" i="14"/>
  <c r="W1035" i="14"/>
  <c r="W1036" i="14"/>
  <c r="W1037" i="14"/>
  <c r="W1038" i="14"/>
  <c r="W1039" i="14"/>
  <c r="W1040" i="14"/>
  <c r="W1041" i="14"/>
  <c r="W1042" i="14"/>
  <c r="W1043" i="14"/>
  <c r="W1044" i="14"/>
  <c r="W1045" i="14"/>
  <c r="W1046" i="14"/>
  <c r="W1047" i="14"/>
  <c r="W1048" i="14"/>
  <c r="W1049" i="14"/>
  <c r="W1050" i="14"/>
  <c r="W1051" i="14"/>
  <c r="W1052" i="14"/>
  <c r="W1053" i="14"/>
  <c r="W1054" i="14"/>
  <c r="W1055" i="14"/>
  <c r="W1056" i="14"/>
  <c r="W1057" i="14"/>
  <c r="W1059" i="14"/>
  <c r="W1060" i="14"/>
  <c r="W1061" i="14"/>
  <c r="W1062" i="14"/>
  <c r="W1063" i="14"/>
  <c r="W1064" i="14"/>
  <c r="W1065" i="14"/>
  <c r="W1066" i="14"/>
  <c r="W1068" i="14"/>
  <c r="W1069" i="14"/>
  <c r="W1070" i="14"/>
  <c r="W1071" i="14"/>
  <c r="W1072" i="14"/>
  <c r="W1073" i="14"/>
  <c r="W1074" i="14"/>
  <c r="W1075" i="14"/>
  <c r="W1076" i="14"/>
  <c r="W1077" i="14"/>
  <c r="W1078" i="14"/>
  <c r="W1079" i="14"/>
  <c r="W1080" i="14"/>
  <c r="W1081" i="14"/>
  <c r="W1082" i="14"/>
  <c r="W1083" i="14"/>
  <c r="W1084" i="14"/>
  <c r="W1085" i="14"/>
  <c r="W1086" i="14"/>
  <c r="W1087" i="14"/>
  <c r="W1088" i="14"/>
  <c r="W1089" i="14"/>
  <c r="W1090" i="14"/>
  <c r="W1091" i="14"/>
  <c r="W1092" i="14"/>
  <c r="W1093" i="14"/>
  <c r="W1094" i="14"/>
  <c r="W1095" i="14"/>
  <c r="W1096" i="14"/>
  <c r="W1097" i="14"/>
  <c r="W1098" i="14"/>
  <c r="W1099" i="14"/>
  <c r="W1100" i="14"/>
  <c r="W1101" i="14"/>
  <c r="W1103" i="14"/>
  <c r="W1104" i="14"/>
  <c r="W1105" i="14"/>
  <c r="W1106" i="14"/>
  <c r="W1107" i="14"/>
  <c r="W1108" i="14"/>
  <c r="W1109" i="14"/>
  <c r="W1110" i="14"/>
  <c r="W1112" i="14"/>
  <c r="W1113" i="14"/>
  <c r="W1114" i="14"/>
  <c r="W1115" i="14"/>
  <c r="W1116" i="14"/>
  <c r="W1117" i="14"/>
  <c r="W1118" i="14"/>
  <c r="W1119" i="14"/>
  <c r="W1120" i="14"/>
  <c r="W1121" i="14"/>
  <c r="W1122" i="14"/>
  <c r="W1123" i="14"/>
  <c r="W1124" i="14"/>
  <c r="W1125" i="14"/>
  <c r="W1126" i="14"/>
  <c r="W1127" i="14"/>
  <c r="W1128" i="14"/>
  <c r="W1129" i="14"/>
  <c r="W1130" i="14"/>
  <c r="W1131" i="14"/>
  <c r="W1132" i="14"/>
  <c r="W1133" i="14"/>
  <c r="W1134" i="14"/>
  <c r="W1135" i="14"/>
  <c r="W1136" i="14"/>
  <c r="W1137" i="14"/>
  <c r="W1138" i="14"/>
  <c r="W1139" i="14"/>
  <c r="W1140" i="14"/>
  <c r="W1141" i="14"/>
  <c r="W1142" i="14"/>
  <c r="W1143" i="14"/>
  <c r="W1144" i="14"/>
  <c r="W1145" i="14"/>
  <c r="W1146" i="14"/>
  <c r="W1147" i="14"/>
  <c r="W1148" i="14"/>
  <c r="W1149" i="14"/>
  <c r="W1150" i="14"/>
  <c r="W1151" i="14"/>
  <c r="W1152" i="14"/>
  <c r="W1153" i="14"/>
  <c r="W1154" i="14"/>
  <c r="W1155" i="14"/>
  <c r="W1156" i="14"/>
  <c r="W1157" i="14"/>
  <c r="W1158" i="14"/>
  <c r="W1159" i="14"/>
  <c r="W1160" i="14"/>
  <c r="W1161" i="14"/>
  <c r="W1162" i="14"/>
  <c r="W1163" i="14"/>
  <c r="W1164" i="14"/>
  <c r="W1165" i="14"/>
  <c r="W1167" i="14"/>
  <c r="W1168" i="14"/>
  <c r="W1169" i="14"/>
  <c r="W1170" i="14"/>
  <c r="W1171" i="14"/>
  <c r="W1172" i="14"/>
  <c r="W1173" i="14"/>
  <c r="W1174" i="14"/>
  <c r="W1176" i="14"/>
  <c r="W1177" i="14"/>
  <c r="W1178" i="14"/>
  <c r="W1179" i="14"/>
  <c r="W1180" i="14"/>
  <c r="W1181" i="14"/>
  <c r="W1182" i="14"/>
  <c r="W1183" i="14"/>
  <c r="W1184" i="14"/>
  <c r="W1185" i="14"/>
  <c r="W1186" i="14"/>
  <c r="W1187" i="14"/>
  <c r="W1188" i="14"/>
  <c r="W1189" i="14"/>
  <c r="W1190" i="14"/>
  <c r="W1192" i="14"/>
  <c r="W1193" i="14"/>
  <c r="W1195" i="14"/>
  <c r="W1196" i="14"/>
  <c r="W1197" i="14"/>
  <c r="W1198" i="14"/>
  <c r="W1199" i="14"/>
  <c r="W1200" i="14"/>
  <c r="W1201" i="14"/>
  <c r="W1202" i="14"/>
  <c r="W1204" i="14"/>
  <c r="W1205" i="14"/>
  <c r="W1206" i="14"/>
  <c r="W1207" i="14"/>
  <c r="W1208" i="14"/>
  <c r="W1209" i="14"/>
  <c r="W1210" i="14"/>
  <c r="W1211" i="14"/>
  <c r="W1212" i="14"/>
  <c r="W1213" i="14"/>
  <c r="W1214" i="14"/>
  <c r="W1215" i="14"/>
  <c r="W1216" i="14"/>
  <c r="W1217" i="14"/>
  <c r="W1218" i="14"/>
  <c r="W1220" i="14"/>
  <c r="W1221" i="14"/>
  <c r="W1223" i="14"/>
  <c r="W1224" i="14"/>
  <c r="W1225" i="14"/>
  <c r="W1226" i="14"/>
  <c r="W1227" i="14"/>
  <c r="W1228" i="14"/>
  <c r="W1229" i="14"/>
  <c r="W1230" i="14"/>
  <c r="W1232" i="14"/>
  <c r="W1233" i="14"/>
  <c r="W1234" i="14"/>
  <c r="W1235" i="14"/>
  <c r="W1236" i="14"/>
  <c r="W1237" i="14"/>
  <c r="W1238" i="14"/>
  <c r="W1239" i="14"/>
  <c r="W1240" i="14"/>
  <c r="W1241" i="14"/>
  <c r="W1242" i="14"/>
  <c r="W1244" i="14"/>
  <c r="W1245" i="14"/>
  <c r="W1247" i="14"/>
  <c r="W1248" i="14"/>
  <c r="W1249" i="14"/>
  <c r="W1250" i="14"/>
  <c r="W1251" i="14"/>
  <c r="W1252" i="14"/>
  <c r="W1253" i="14"/>
  <c r="W1254" i="14"/>
  <c r="W1256" i="14"/>
  <c r="W1257" i="14"/>
  <c r="W1258" i="14"/>
  <c r="W1259" i="14"/>
  <c r="W1260" i="14"/>
  <c r="W1261" i="14"/>
  <c r="W1262" i="14"/>
  <c r="W1264" i="14"/>
  <c r="W1265" i="14"/>
  <c r="W1267" i="14"/>
  <c r="W1268" i="14"/>
  <c r="W1269" i="14"/>
  <c r="W1270" i="14"/>
  <c r="W1271" i="14"/>
  <c r="W1272" i="14"/>
  <c r="W1273" i="14"/>
  <c r="W1274" i="14"/>
  <c r="W1276" i="14"/>
  <c r="W1277" i="14"/>
  <c r="W1278" i="14"/>
  <c r="W1280" i="14"/>
  <c r="W1281" i="14"/>
  <c r="W1283" i="14"/>
  <c r="W1284" i="14"/>
  <c r="W1285" i="14"/>
  <c r="W1286" i="14"/>
  <c r="W1287" i="14"/>
  <c r="W1288" i="14"/>
  <c r="W1289" i="14"/>
  <c r="W1290" i="14"/>
  <c r="W1292" i="14"/>
  <c r="W1293" i="14"/>
  <c r="W1294" i="14"/>
  <c r="W1295" i="14"/>
  <c r="W1296" i="14"/>
  <c r="W1297" i="14"/>
  <c r="W1298" i="14"/>
  <c r="W1299" i="14"/>
  <c r="W1300" i="14"/>
  <c r="W1301" i="14"/>
  <c r="W1302" i="14"/>
  <c r="W1303" i="14"/>
  <c r="W1304" i="14"/>
  <c r="W1305" i="14"/>
  <c r="W1306" i="14"/>
  <c r="W1307" i="14"/>
  <c r="W1308" i="14"/>
  <c r="W1309" i="14"/>
  <c r="W1310" i="14"/>
  <c r="W1311" i="14"/>
  <c r="W1312" i="14"/>
  <c r="W1313" i="14"/>
  <c r="W1314" i="14"/>
  <c r="W1315" i="14"/>
  <c r="W1316" i="14"/>
  <c r="W1317" i="14"/>
  <c r="W1318" i="14"/>
  <c r="W1319" i="14"/>
  <c r="W1320" i="14"/>
  <c r="W1321" i="14"/>
  <c r="W1322" i="14"/>
  <c r="W1323" i="14"/>
  <c r="W1324" i="14"/>
  <c r="W1325" i="14"/>
  <c r="W1326" i="14"/>
  <c r="W1327" i="14"/>
  <c r="W1328" i="14"/>
  <c r="W1329" i="14"/>
  <c r="W1330" i="14"/>
  <c r="W1331" i="14"/>
  <c r="W1332" i="14"/>
  <c r="W1333" i="14"/>
  <c r="W1334" i="14"/>
  <c r="W1335" i="14"/>
  <c r="W1336" i="14"/>
  <c r="W1337" i="14"/>
  <c r="W1338" i="14"/>
  <c r="W1340" i="14"/>
  <c r="W1341" i="14"/>
  <c r="W1343" i="14"/>
  <c r="W1344" i="14"/>
  <c r="W1345" i="14"/>
  <c r="W1346" i="14"/>
  <c r="W1347" i="14"/>
  <c r="W1348" i="14"/>
  <c r="W1349" i="14"/>
  <c r="W1350" i="14"/>
  <c r="W1352" i="14"/>
  <c r="W1353" i="14"/>
  <c r="W1354" i="14"/>
  <c r="W1355" i="14"/>
  <c r="W1356" i="14"/>
  <c r="W1357" i="14"/>
  <c r="W1358" i="14"/>
  <c r="W1359" i="14"/>
  <c r="W1360" i="14"/>
  <c r="W1361" i="14"/>
  <c r="W1362" i="14"/>
  <c r="W1363" i="14"/>
  <c r="W1364" i="14"/>
  <c r="W1365" i="14"/>
  <c r="W1366" i="14"/>
  <c r="W1367" i="14"/>
  <c r="W1368" i="14"/>
  <c r="W1369" i="14"/>
  <c r="W1370" i="14"/>
  <c r="W1371" i="14"/>
  <c r="W1372" i="14"/>
  <c r="W1373" i="14"/>
  <c r="W1374" i="14"/>
  <c r="W1375" i="14"/>
  <c r="W1376" i="14"/>
  <c r="W1377" i="14"/>
  <c r="W1378" i="14"/>
  <c r="W1379" i="14"/>
  <c r="W1380" i="14"/>
  <c r="W1381" i="14"/>
  <c r="W1382" i="14"/>
  <c r="W1383" i="14"/>
  <c r="W1384" i="14"/>
  <c r="W1385" i="14"/>
  <c r="W1386" i="14"/>
  <c r="W1387" i="14"/>
  <c r="W1388" i="14"/>
  <c r="W1389" i="14"/>
  <c r="W1390" i="14"/>
  <c r="W1391" i="14"/>
  <c r="W1392" i="14"/>
  <c r="W1393" i="14"/>
  <c r="W1394" i="14"/>
  <c r="W1395" i="14"/>
  <c r="W1396" i="14"/>
  <c r="W1397" i="14"/>
  <c r="W1398" i="14"/>
  <c r="W1399" i="14"/>
  <c r="W1400" i="14"/>
  <c r="W1401" i="14"/>
  <c r="W1402" i="14"/>
  <c r="W1404" i="14"/>
  <c r="W1405" i="14"/>
  <c r="W1407" i="14"/>
  <c r="W1408" i="14"/>
  <c r="W1409" i="14"/>
  <c r="W1410" i="14"/>
  <c r="W1411" i="14"/>
  <c r="W1412" i="14"/>
  <c r="W1413" i="14"/>
  <c r="W1414" i="14"/>
  <c r="W1416" i="14"/>
  <c r="W1417" i="14"/>
  <c r="W1418" i="14"/>
  <c r="W1419" i="14"/>
  <c r="W1420" i="14"/>
  <c r="W1421" i="14"/>
  <c r="W1422" i="14"/>
  <c r="W1423" i="14"/>
  <c r="W1424" i="14"/>
  <c r="W1425" i="14"/>
  <c r="W1426" i="14"/>
  <c r="W1427" i="14"/>
  <c r="W1428" i="14"/>
  <c r="W1429" i="14"/>
  <c r="W1430" i="14"/>
  <c r="W1432" i="14"/>
  <c r="W1433" i="14"/>
  <c r="W1435" i="14"/>
  <c r="W1436" i="14"/>
  <c r="W1437" i="14"/>
  <c r="W1438" i="14"/>
  <c r="W1439" i="14"/>
  <c r="W1440" i="14"/>
  <c r="W1441" i="14"/>
  <c r="W1442" i="14"/>
  <c r="W1444" i="14"/>
  <c r="W1445" i="14"/>
  <c r="W1446" i="14"/>
  <c r="W1448" i="14"/>
  <c r="W1449" i="14"/>
  <c r="W1451" i="14"/>
  <c r="W1452" i="14"/>
  <c r="W1453" i="14"/>
  <c r="W1454" i="14"/>
  <c r="W1455" i="14"/>
  <c r="W1456" i="14"/>
  <c r="W1457" i="14"/>
  <c r="W1458" i="14"/>
  <c r="W1460" i="14"/>
  <c r="W1461" i="14"/>
  <c r="W1462" i="14"/>
  <c r="W1463" i="14"/>
  <c r="W1464" i="14"/>
  <c r="W1465" i="14"/>
  <c r="W1466" i="14"/>
  <c r="W1467" i="14"/>
  <c r="W1468" i="14"/>
  <c r="W1469" i="14"/>
  <c r="W1470" i="14"/>
  <c r="W1472" i="14"/>
  <c r="W1473" i="14"/>
  <c r="W1475" i="14"/>
  <c r="W1476" i="14"/>
  <c r="W1477" i="14"/>
  <c r="W1478" i="14"/>
  <c r="W1479" i="14"/>
  <c r="W1480" i="14"/>
  <c r="W1481" i="14"/>
  <c r="W1482" i="14"/>
  <c r="W1484" i="14"/>
  <c r="W1485" i="14"/>
  <c r="W1486" i="14"/>
  <c r="W1488" i="14"/>
  <c r="W1489" i="14"/>
  <c r="W1491" i="14"/>
  <c r="W1492" i="14"/>
  <c r="W1493" i="14"/>
  <c r="W1494" i="14"/>
  <c r="W1495" i="14"/>
  <c r="W1496" i="14"/>
  <c r="W1497" i="14"/>
  <c r="W1498" i="14"/>
  <c r="W1500" i="14"/>
  <c r="W1501" i="14"/>
  <c r="W1502" i="14"/>
  <c r="W1504" i="14"/>
  <c r="W1505" i="14"/>
  <c r="W1507" i="14"/>
  <c r="W1508" i="14"/>
  <c r="W1509" i="14"/>
  <c r="W1510" i="14"/>
  <c r="W1511" i="14"/>
  <c r="W1512" i="14"/>
  <c r="W1513" i="14"/>
  <c r="W1514" i="14"/>
  <c r="W1516" i="14"/>
  <c r="W1517" i="14"/>
  <c r="W1518" i="14"/>
  <c r="W1519" i="14"/>
  <c r="W1520" i="14"/>
  <c r="W1521" i="14"/>
  <c r="W1522" i="14"/>
  <c r="W1523" i="14"/>
  <c r="W1524" i="14"/>
  <c r="W1525" i="14"/>
  <c r="W1526" i="14"/>
  <c r="W1528" i="14"/>
  <c r="W1529" i="14"/>
  <c r="W1531" i="14"/>
  <c r="W1532" i="14"/>
  <c r="W1533" i="14"/>
  <c r="W1534" i="14"/>
  <c r="W1535" i="14"/>
  <c r="W1536" i="14"/>
  <c r="W1537" i="14"/>
  <c r="W1538" i="14"/>
  <c r="W1540" i="14"/>
  <c r="W1541" i="14"/>
  <c r="W1542" i="14"/>
  <c r="W1544" i="14"/>
  <c r="W1545" i="14"/>
  <c r="W1547" i="14"/>
  <c r="W1548" i="14"/>
  <c r="W1549" i="14"/>
  <c r="W1550" i="14"/>
  <c r="W1551" i="14"/>
  <c r="W1552" i="14"/>
  <c r="W1553" i="14"/>
  <c r="W1556" i="14"/>
  <c r="W1557" i="14"/>
  <c r="W1558" i="14"/>
  <c r="W1559" i="14"/>
  <c r="W1560" i="14"/>
  <c r="W1561" i="14"/>
  <c r="W1562" i="14"/>
  <c r="W1564" i="14"/>
  <c r="W1565" i="14"/>
  <c r="W1567" i="14"/>
  <c r="W1568" i="14"/>
  <c r="W1569" i="14"/>
  <c r="W1570" i="14"/>
  <c r="W1571" i="14"/>
  <c r="W1572" i="14"/>
  <c r="W1573" i="14"/>
  <c r="W1574" i="14"/>
  <c r="W1576" i="14"/>
  <c r="W1577" i="14"/>
  <c r="W1578" i="14"/>
  <c r="W1580" i="14"/>
  <c r="W1581" i="14"/>
  <c r="W1583" i="14"/>
  <c r="W1584" i="14"/>
  <c r="W1585" i="14"/>
  <c r="W1586" i="14"/>
  <c r="W1587" i="14"/>
  <c r="W1588" i="14"/>
  <c r="W1589" i="14"/>
  <c r="W1590" i="14"/>
  <c r="W1592" i="14"/>
  <c r="W1593" i="14"/>
  <c r="W1594" i="14"/>
  <c r="W1596" i="14"/>
  <c r="W1597" i="14"/>
  <c r="W1599" i="14"/>
  <c r="W1600" i="14"/>
  <c r="W1601" i="14"/>
  <c r="W1602" i="14"/>
  <c r="W1603" i="14"/>
  <c r="W1604" i="14"/>
  <c r="W1605" i="14"/>
  <c r="W1606" i="14"/>
  <c r="W1608" i="14"/>
  <c r="W1609" i="14"/>
  <c r="W1610" i="14"/>
  <c r="W1611" i="14"/>
  <c r="W1612" i="14"/>
  <c r="W1613" i="14"/>
  <c r="W1614" i="14"/>
  <c r="W1616" i="14"/>
  <c r="W1617" i="14"/>
  <c r="W1619" i="14"/>
  <c r="W1620" i="14"/>
  <c r="W1621" i="14"/>
  <c r="W1622" i="14"/>
  <c r="W1623" i="14"/>
  <c r="W1624" i="14"/>
  <c r="W1625" i="14"/>
  <c r="W1626" i="14"/>
  <c r="W1628" i="14"/>
  <c r="W1629" i="14"/>
  <c r="W1630" i="14"/>
  <c r="W1632" i="14"/>
  <c r="W1633" i="14"/>
  <c r="W1635" i="14"/>
  <c r="W1636" i="14"/>
  <c r="W1637" i="14"/>
  <c r="W1638" i="14"/>
  <c r="W1639" i="14"/>
  <c r="W1640" i="14"/>
  <c r="W1641" i="14"/>
  <c r="W1642" i="14"/>
  <c r="W1644" i="14"/>
  <c r="W1645" i="14"/>
  <c r="W1646" i="14"/>
  <c r="W1648" i="14"/>
  <c r="W1649" i="14"/>
  <c r="W1651" i="14"/>
  <c r="W1652" i="14"/>
  <c r="W1653" i="14"/>
  <c r="W1654" i="14"/>
  <c r="W1655" i="14"/>
  <c r="W1656" i="14"/>
  <c r="W1657" i="14"/>
  <c r="W1658" i="14"/>
  <c r="W1660" i="14"/>
  <c r="W1661" i="14"/>
  <c r="W1662" i="14"/>
  <c r="W1663" i="14"/>
  <c r="W1664" i="14"/>
  <c r="W1665" i="14"/>
  <c r="W1666" i="14"/>
  <c r="W1667" i="14"/>
  <c r="W1668" i="14"/>
  <c r="W1669" i="14"/>
  <c r="W1670" i="14"/>
  <c r="W1671" i="14"/>
  <c r="W1672" i="14"/>
  <c r="W1673" i="14"/>
  <c r="W1674" i="14"/>
  <c r="W1676" i="14"/>
  <c r="W1677" i="14"/>
  <c r="W1679" i="14"/>
  <c r="W1680" i="14"/>
  <c r="W1681" i="14"/>
  <c r="W1682" i="14"/>
  <c r="W1683" i="14"/>
  <c r="W1684" i="14"/>
  <c r="W1685" i="14"/>
  <c r="W1686" i="14"/>
  <c r="W1688" i="14"/>
  <c r="W1689" i="14"/>
  <c r="W1690" i="14"/>
  <c r="W1692" i="14"/>
  <c r="W1693" i="14"/>
  <c r="W1695" i="14"/>
  <c r="W1696" i="14"/>
  <c r="W1697" i="14"/>
  <c r="W1698" i="14"/>
  <c r="W1699" i="14"/>
  <c r="W1700" i="14"/>
  <c r="W1701" i="14"/>
  <c r="W1702" i="14"/>
  <c r="W1704" i="14"/>
  <c r="W1705" i="14"/>
  <c r="W1706" i="14"/>
  <c r="W1708" i="14"/>
  <c r="W1709" i="14"/>
  <c r="W1711" i="14"/>
  <c r="W1712" i="14"/>
  <c r="W1713" i="14"/>
  <c r="W1714" i="14"/>
  <c r="W1715" i="14"/>
  <c r="W1716" i="14"/>
  <c r="W1717" i="14"/>
  <c r="W1718" i="14"/>
  <c r="W1720" i="14"/>
  <c r="W1721" i="14"/>
  <c r="W1722" i="14"/>
  <c r="W1724" i="14"/>
  <c r="W1725" i="14"/>
  <c r="W1727" i="14"/>
  <c r="W1728" i="14"/>
  <c r="W1729" i="14"/>
  <c r="W1730" i="14"/>
  <c r="W1731" i="14"/>
  <c r="W1732" i="14"/>
  <c r="W1733" i="14"/>
  <c r="W1734" i="14"/>
  <c r="W1736" i="14"/>
  <c r="W1737" i="14"/>
  <c r="W1738" i="14"/>
  <c r="W1740" i="14"/>
  <c r="W1741" i="14"/>
  <c r="W1743" i="14"/>
  <c r="W1744" i="14"/>
  <c r="W1745" i="14"/>
  <c r="W1746" i="14"/>
  <c r="W1747" i="14"/>
  <c r="W1748" i="14"/>
  <c r="W1749" i="14"/>
  <c r="W1750" i="14"/>
  <c r="W1752" i="14"/>
  <c r="W1753" i="14"/>
  <c r="W1754" i="14"/>
  <c r="W1756" i="14"/>
  <c r="W1757" i="14"/>
  <c r="W1759" i="14"/>
  <c r="W1760" i="14"/>
  <c r="W1761" i="14"/>
  <c r="W1762" i="14"/>
  <c r="W1763" i="14"/>
  <c r="W1764" i="14"/>
  <c r="W1765" i="14"/>
  <c r="W1766" i="14"/>
  <c r="W1768" i="14"/>
  <c r="W1769" i="14"/>
  <c r="W1770" i="14"/>
  <c r="W1772" i="14"/>
  <c r="W1773" i="14"/>
  <c r="W1775" i="14"/>
  <c r="W1776" i="14"/>
  <c r="W1777" i="14"/>
  <c r="W1778" i="14"/>
  <c r="W1779" i="14"/>
  <c r="W1780" i="14"/>
  <c r="W1781" i="14"/>
  <c r="W1782" i="14"/>
  <c r="W1784" i="14"/>
  <c r="W1785" i="14"/>
  <c r="W1786" i="14"/>
  <c r="W1787" i="14"/>
  <c r="W1788" i="14"/>
  <c r="W1789" i="14"/>
  <c r="W1790" i="14"/>
  <c r="W1792" i="14"/>
  <c r="W1793" i="14"/>
  <c r="W1795" i="14"/>
  <c r="W1796" i="14"/>
  <c r="W1797" i="14"/>
  <c r="W1798" i="14"/>
  <c r="W1799" i="14"/>
  <c r="W1800" i="14"/>
  <c r="W1801" i="14"/>
  <c r="W1802" i="14"/>
  <c r="W1804" i="14"/>
  <c r="W1805" i="14"/>
  <c r="W1806" i="14"/>
  <c r="W1808" i="14"/>
  <c r="W1809" i="14"/>
  <c r="W1811" i="14"/>
  <c r="W1812" i="14"/>
  <c r="W1813" i="14"/>
  <c r="W1814" i="14"/>
  <c r="W1815" i="14"/>
  <c r="W1816" i="14"/>
  <c r="W1817" i="14"/>
  <c r="W1820" i="14"/>
  <c r="W1821" i="14"/>
  <c r="W1822" i="14"/>
  <c r="W1823" i="14"/>
  <c r="W1824" i="14"/>
  <c r="W1825" i="14"/>
  <c r="W1826" i="14"/>
  <c r="W1828" i="14"/>
  <c r="W1829" i="14"/>
  <c r="W1831" i="14"/>
  <c r="W1832" i="14"/>
  <c r="W1833" i="14"/>
  <c r="W1834" i="14"/>
  <c r="W1835" i="14"/>
  <c r="W1836" i="14"/>
  <c r="W1837" i="14"/>
  <c r="W1838" i="14"/>
  <c r="W1840" i="14"/>
  <c r="W1841" i="14"/>
  <c r="W1842" i="14"/>
  <c r="W1844" i="14"/>
  <c r="W1845" i="14"/>
  <c r="W1847" i="14"/>
  <c r="W1848" i="14"/>
  <c r="W1849" i="14"/>
  <c r="W1850" i="14"/>
  <c r="W1851" i="14"/>
  <c r="W1852" i="14"/>
  <c r="W1853" i="14"/>
  <c r="W1854" i="14"/>
  <c r="W1856" i="14"/>
  <c r="W1857" i="14"/>
  <c r="W1858" i="14"/>
  <c r="W1860" i="14"/>
  <c r="W1861" i="14"/>
  <c r="W1863" i="14"/>
  <c r="W1864" i="14"/>
  <c r="W1865" i="14"/>
  <c r="W1866" i="14"/>
  <c r="W1867" i="14"/>
  <c r="W1868" i="14"/>
  <c r="W1869" i="14"/>
  <c r="W1870" i="14"/>
  <c r="W1872" i="14"/>
  <c r="W1873" i="14"/>
  <c r="W1874" i="14"/>
  <c r="W1876" i="14"/>
  <c r="W1877" i="14"/>
  <c r="W1879" i="14"/>
  <c r="W1880" i="14"/>
  <c r="W1881" i="14"/>
  <c r="W1882" i="14"/>
  <c r="W1883" i="14"/>
  <c r="W1884" i="14"/>
  <c r="W1885" i="14"/>
  <c r="W1886" i="14"/>
  <c r="W1888" i="14"/>
  <c r="W1889" i="14"/>
  <c r="W1890" i="14"/>
  <c r="W1891" i="14"/>
  <c r="W1892" i="14"/>
  <c r="W1893" i="14"/>
  <c r="W1894" i="14"/>
  <c r="W1895" i="14"/>
  <c r="W1896" i="14"/>
  <c r="W1897" i="14"/>
  <c r="W1898" i="14"/>
  <c r="W1900" i="14"/>
  <c r="W1901" i="14"/>
  <c r="W1903" i="14"/>
  <c r="W1904" i="14"/>
  <c r="W1905" i="14"/>
  <c r="W1906" i="14"/>
  <c r="W1907" i="14"/>
  <c r="W1908" i="14"/>
  <c r="W1909" i="14"/>
  <c r="W1910" i="14"/>
  <c r="W1912" i="14"/>
  <c r="W1913" i="14"/>
  <c r="W1914" i="14"/>
  <c r="W1916" i="14"/>
  <c r="W1917" i="14"/>
  <c r="W1919" i="14"/>
  <c r="W1920" i="14"/>
  <c r="W1921" i="14"/>
  <c r="W1922" i="14"/>
  <c r="W1923" i="14"/>
  <c r="W1924" i="14"/>
  <c r="W1925" i="14"/>
  <c r="W1926" i="14"/>
  <c r="W1928" i="14"/>
  <c r="W1929" i="14"/>
  <c r="W1930" i="14"/>
  <c r="W1932" i="14"/>
  <c r="W1933" i="14"/>
  <c r="W1935" i="14"/>
  <c r="W1936" i="14"/>
  <c r="W1937" i="14"/>
  <c r="W1938" i="14"/>
  <c r="W1939" i="14"/>
  <c r="W1940" i="14"/>
  <c r="W1941" i="14"/>
  <c r="W1942" i="14"/>
  <c r="W1944" i="14"/>
  <c r="W1945" i="14"/>
  <c r="W1946" i="14"/>
  <c r="W1948" i="14"/>
  <c r="W1949" i="14"/>
  <c r="W1951" i="14"/>
  <c r="W1952" i="14"/>
  <c r="W1953" i="14"/>
  <c r="W1954" i="14"/>
  <c r="W1955" i="14"/>
  <c r="W1956" i="14"/>
  <c r="W1957" i="14"/>
  <c r="W1958" i="14"/>
  <c r="W1960" i="14"/>
  <c r="W1961" i="14"/>
  <c r="W1962" i="14"/>
  <c r="W1963" i="14"/>
  <c r="W1964" i="14"/>
  <c r="W1965" i="14"/>
  <c r="W1966" i="14"/>
  <c r="W1968" i="14"/>
  <c r="W1969" i="14"/>
  <c r="W1971" i="14"/>
  <c r="W1972" i="14"/>
  <c r="W1973" i="14"/>
  <c r="W1974" i="14"/>
  <c r="W1975" i="14"/>
  <c r="W1976" i="14"/>
  <c r="W1977" i="14"/>
  <c r="W1978" i="14"/>
  <c r="W1980" i="14"/>
  <c r="W1981" i="14"/>
  <c r="W1982" i="14"/>
  <c r="W1984" i="14"/>
  <c r="W1985" i="14"/>
  <c r="W1987" i="14"/>
  <c r="W1988" i="14"/>
  <c r="W1989" i="14"/>
  <c r="W1990" i="14"/>
  <c r="W1991" i="14"/>
  <c r="W1992" i="14"/>
  <c r="W1993" i="14"/>
  <c r="W1994" i="14"/>
  <c r="W1996" i="14"/>
  <c r="W1997" i="14"/>
  <c r="W1998" i="14"/>
  <c r="W2000" i="14"/>
  <c r="W2001" i="14"/>
  <c r="W2003" i="14"/>
  <c r="W2004" i="14"/>
  <c r="W2005" i="14"/>
  <c r="W2006" i="14"/>
  <c r="W2007" i="14"/>
  <c r="W2008" i="14"/>
  <c r="W2009" i="14"/>
  <c r="W2010" i="14"/>
  <c r="W2012" i="14"/>
  <c r="W2013" i="14"/>
  <c r="W2014" i="14"/>
  <c r="W2016" i="14"/>
  <c r="W2017" i="14"/>
  <c r="W2019" i="14"/>
  <c r="W2020" i="14"/>
  <c r="W2021" i="14"/>
  <c r="W2022" i="14"/>
  <c r="W2023" i="14"/>
  <c r="W2024" i="14"/>
  <c r="W2025" i="14"/>
  <c r="W2026" i="14"/>
  <c r="W2028" i="14"/>
  <c r="W2029" i="14"/>
  <c r="W2030" i="14"/>
  <c r="W2032" i="14"/>
  <c r="W2033" i="14"/>
  <c r="W2035" i="14"/>
  <c r="W2036" i="14"/>
  <c r="W2037" i="14"/>
  <c r="W2038" i="14"/>
  <c r="W2039" i="14"/>
  <c r="W2040" i="14"/>
  <c r="W2041" i="14"/>
  <c r="W2042" i="14"/>
  <c r="W2044" i="14"/>
  <c r="W2045" i="14"/>
  <c r="W2046" i="14"/>
  <c r="W2047" i="14"/>
  <c r="W2048" i="14"/>
  <c r="W2049" i="14"/>
  <c r="W2050" i="14"/>
  <c r="W2052" i="14"/>
  <c r="W2053" i="14"/>
  <c r="W2055" i="14"/>
  <c r="W2056" i="14"/>
  <c r="W2057" i="14"/>
  <c r="W2058" i="14"/>
  <c r="W2059" i="14"/>
  <c r="W2060" i="14"/>
  <c r="W2061" i="14"/>
  <c r="W2062" i="14"/>
  <c r="W2064" i="14"/>
  <c r="W2065" i="14"/>
  <c r="W2066" i="14"/>
  <c r="W2068" i="14"/>
  <c r="W2069" i="14"/>
  <c r="W2071" i="14"/>
  <c r="W2072" i="14"/>
  <c r="W2073" i="14"/>
  <c r="W2074" i="14"/>
  <c r="W2075" i="14"/>
  <c r="W2076" i="14"/>
  <c r="W2077" i="14"/>
  <c r="W2078" i="14"/>
  <c r="W2080" i="14"/>
  <c r="W2081" i="14"/>
  <c r="W2082" i="14"/>
  <c r="W2083" i="14"/>
  <c r="W2084" i="14"/>
  <c r="W2085" i="14"/>
  <c r="W2086" i="14"/>
  <c r="W2088" i="14"/>
  <c r="W2089" i="14"/>
  <c r="W2091" i="14"/>
  <c r="W2092" i="14"/>
  <c r="W2093" i="14"/>
  <c r="W2094" i="14"/>
  <c r="W2095" i="14"/>
  <c r="W2096" i="14"/>
  <c r="W2097" i="14"/>
  <c r="W2098" i="14"/>
  <c r="W2100" i="14"/>
  <c r="W2101" i="14"/>
  <c r="W2102" i="14"/>
  <c r="W2104" i="14"/>
  <c r="W2105" i="14"/>
  <c r="W2107" i="14"/>
  <c r="W2108" i="14"/>
  <c r="W2109" i="14"/>
  <c r="W2110" i="14"/>
  <c r="W2111" i="14"/>
  <c r="W2112" i="14"/>
  <c r="W2113" i="14"/>
  <c r="W2114" i="14"/>
  <c r="W2116" i="14"/>
  <c r="W2117" i="14"/>
  <c r="W2118" i="14"/>
  <c r="W2120" i="14"/>
  <c r="W2123" i="14"/>
  <c r="W2125" i="14"/>
  <c r="W2127" i="14"/>
  <c r="W2129" i="14"/>
  <c r="W2132" i="14"/>
  <c r="W2134" i="14"/>
  <c r="W2136" i="14"/>
  <c r="W2137" i="14"/>
  <c r="W2139" i="14"/>
  <c r="W2140" i="14"/>
  <c r="W2141" i="14"/>
  <c r="W2142" i="14"/>
  <c r="W2143" i="14"/>
  <c r="W2144" i="14"/>
  <c r="W2145" i="14"/>
  <c r="W2146" i="14"/>
  <c r="W2148" i="14"/>
  <c r="W2149" i="14"/>
  <c r="W2150" i="14"/>
  <c r="W2151" i="14"/>
  <c r="W2152" i="14"/>
  <c r="W2153" i="14"/>
  <c r="W2154" i="14"/>
  <c r="W2156" i="14"/>
  <c r="W2157" i="14"/>
  <c r="W2159" i="14"/>
  <c r="W2160" i="14"/>
  <c r="W2161" i="14"/>
  <c r="W2162" i="14"/>
  <c r="W2163" i="14"/>
  <c r="W2164" i="14"/>
  <c r="W2165" i="14"/>
  <c r="W2166" i="14"/>
  <c r="W2168" i="14"/>
  <c r="W2169" i="14"/>
  <c r="W2170" i="14"/>
  <c r="W2172" i="14"/>
  <c r="W2173" i="14"/>
  <c r="W2175" i="14"/>
  <c r="W2176" i="14"/>
  <c r="W2177" i="14"/>
  <c r="W2178" i="14"/>
  <c r="W2179" i="14"/>
  <c r="W2180" i="14"/>
  <c r="W2181" i="14"/>
  <c r="W2182" i="14"/>
  <c r="W2184" i="14"/>
  <c r="W2185" i="14"/>
  <c r="W2186" i="14"/>
  <c r="W2187" i="14"/>
  <c r="W2188" i="14"/>
  <c r="W2189" i="14"/>
  <c r="W2190" i="14"/>
  <c r="W2192" i="14"/>
  <c r="W2193" i="14"/>
  <c r="W2195" i="14"/>
  <c r="W2196" i="14"/>
  <c r="W2197" i="14"/>
  <c r="W2198" i="14"/>
  <c r="W2199" i="14"/>
  <c r="W2200" i="14"/>
  <c r="W2201" i="14"/>
  <c r="W2202" i="14"/>
  <c r="W2204" i="14"/>
  <c r="W2205" i="14"/>
  <c r="W2206" i="14"/>
  <c r="W2208" i="14"/>
  <c r="W2209" i="14"/>
  <c r="W2211" i="14"/>
  <c r="W2212" i="14"/>
  <c r="W2213" i="14"/>
  <c r="W2214" i="14"/>
  <c r="W2215" i="14"/>
  <c r="W2216" i="14"/>
  <c r="W2217" i="14"/>
  <c r="W2218" i="14"/>
  <c r="W2220" i="14"/>
  <c r="W2221" i="14"/>
  <c r="W2222" i="14"/>
  <c r="W2223" i="14"/>
  <c r="W2224" i="14"/>
  <c r="W2225" i="14"/>
  <c r="W2226" i="14"/>
  <c r="W2228" i="14"/>
  <c r="W2229" i="14"/>
  <c r="W2231" i="14"/>
  <c r="W2232" i="14"/>
  <c r="W2233" i="14"/>
  <c r="W2234" i="14"/>
  <c r="W2235" i="14"/>
  <c r="W2236" i="14"/>
  <c r="W2237" i="14"/>
  <c r="W2238" i="14"/>
  <c r="W2240" i="14"/>
  <c r="W2241" i="14"/>
  <c r="W2242" i="14"/>
  <c r="W2244" i="14"/>
  <c r="W2245" i="14"/>
  <c r="W2247" i="14"/>
  <c r="W2248" i="14"/>
  <c r="W2249" i="14"/>
  <c r="W2250" i="14"/>
  <c r="W2251" i="14"/>
  <c r="W2252" i="14"/>
  <c r="W2253" i="14"/>
  <c r="W2254" i="14"/>
  <c r="W2256" i="14"/>
  <c r="W2257" i="14"/>
  <c r="W2258" i="14"/>
  <c r="W2260" i="14"/>
  <c r="W2261" i="14"/>
  <c r="W2263" i="14"/>
  <c r="W2264" i="14"/>
  <c r="W2265" i="14"/>
  <c r="W2266" i="14"/>
  <c r="W2267" i="14"/>
  <c r="W2268" i="14"/>
  <c r="W2269" i="14"/>
  <c r="W2270" i="14"/>
  <c r="W2272" i="14"/>
  <c r="W2273" i="14"/>
  <c r="W2274" i="14"/>
  <c r="W2276" i="14"/>
  <c r="W2277" i="14"/>
  <c r="W2279" i="14"/>
  <c r="W2280" i="14"/>
  <c r="W2281" i="14"/>
  <c r="W2282" i="14"/>
  <c r="W2283" i="14"/>
  <c r="W2284" i="14"/>
  <c r="W2285" i="14"/>
  <c r="W2286" i="14"/>
  <c r="W2288" i="14"/>
  <c r="W2289" i="14"/>
  <c r="W2290" i="14"/>
  <c r="W2291" i="14"/>
  <c r="W2292" i="14"/>
  <c r="W2293" i="14"/>
  <c r="W2294" i="14"/>
  <c r="W2296" i="14"/>
  <c r="W2297" i="14"/>
  <c r="W2299" i="14"/>
  <c r="W2300" i="14"/>
  <c r="W2301" i="14"/>
  <c r="W2302" i="14"/>
  <c r="W2303" i="14"/>
  <c r="W2304" i="14"/>
  <c r="W2305" i="14"/>
  <c r="W2306" i="14"/>
  <c r="W2308" i="14"/>
  <c r="W2309" i="14"/>
  <c r="W2310" i="14"/>
  <c r="W2312" i="14"/>
  <c r="W2313" i="14"/>
  <c r="W2315" i="14"/>
  <c r="W2316" i="14"/>
  <c r="W2317" i="14"/>
  <c r="W2318" i="14"/>
  <c r="W2319" i="14"/>
  <c r="W2320" i="14"/>
  <c r="W2321" i="14"/>
  <c r="W2322" i="14"/>
  <c r="W2324" i="14"/>
  <c r="W2325" i="14"/>
  <c r="W2326" i="14"/>
  <c r="W2328" i="14"/>
  <c r="W2329" i="14"/>
  <c r="W2331" i="14"/>
  <c r="W2332" i="14"/>
  <c r="W2333" i="14"/>
  <c r="W2334" i="14"/>
  <c r="W2335" i="14"/>
  <c r="W2336" i="14"/>
  <c r="W2337" i="14"/>
  <c r="W2338" i="14"/>
  <c r="W2340" i="14"/>
  <c r="W2341" i="14"/>
  <c r="W2342" i="14"/>
  <c r="W2343" i="14"/>
  <c r="W2344" i="14"/>
  <c r="W2345" i="14"/>
  <c r="W2346" i="14"/>
  <c r="W2347" i="14"/>
  <c r="W2348" i="14"/>
  <c r="W2349" i="14"/>
  <c r="W2350" i="14"/>
  <c r="W2351" i="14"/>
  <c r="W2352" i="14"/>
  <c r="W2353" i="14"/>
  <c r="W2354" i="14"/>
  <c r="W2355" i="14"/>
  <c r="W2356" i="14"/>
  <c r="W2357" i="14"/>
  <c r="W2358" i="14"/>
  <c r="W2360" i="14"/>
  <c r="W2361" i="14"/>
  <c r="W2363" i="14"/>
  <c r="W2364" i="14"/>
  <c r="W2365" i="14"/>
  <c r="W2366" i="14"/>
  <c r="W2367" i="14"/>
  <c r="W2368" i="14"/>
  <c r="W2369" i="14"/>
  <c r="W2370" i="14"/>
  <c r="W2372" i="14"/>
  <c r="W2373" i="14"/>
  <c r="W2374" i="14"/>
  <c r="W2376" i="14"/>
  <c r="W2377" i="14"/>
  <c r="W2379" i="14"/>
  <c r="W2380" i="14"/>
  <c r="W2381" i="14"/>
  <c r="W2382" i="14"/>
  <c r="W2383" i="14"/>
  <c r="W2384" i="14"/>
  <c r="W2385" i="14"/>
  <c r="W2386" i="14"/>
  <c r="W2388" i="14"/>
  <c r="W2389" i="14"/>
  <c r="W2390" i="14"/>
  <c r="W2392" i="14"/>
  <c r="W2393" i="14"/>
  <c r="W2395" i="14"/>
  <c r="W2396" i="14"/>
  <c r="W2397" i="14"/>
  <c r="W2398" i="14"/>
  <c r="W2399" i="14"/>
  <c r="W2400" i="14"/>
  <c r="W2401" i="14"/>
  <c r="W2402" i="14"/>
  <c r="W2404" i="14"/>
  <c r="W2405" i="14"/>
  <c r="W2406" i="14"/>
  <c r="W2408" i="14"/>
  <c r="W2409" i="14"/>
  <c r="W2411" i="14"/>
  <c r="W2412" i="14"/>
  <c r="W2413" i="14"/>
  <c r="W2414" i="14"/>
  <c r="W2415" i="14"/>
  <c r="W2416" i="14"/>
  <c r="W2417" i="14"/>
  <c r="W2418" i="14"/>
  <c r="W2420" i="14"/>
  <c r="W2421" i="14"/>
  <c r="W2422" i="14"/>
  <c r="W2423" i="14"/>
  <c r="W2424" i="14"/>
  <c r="W2425" i="14"/>
  <c r="W2426" i="14"/>
  <c r="W2428" i="14"/>
  <c r="W2429" i="14"/>
  <c r="W2431" i="14"/>
  <c r="W2432" i="14"/>
  <c r="W2433" i="14"/>
  <c r="W2434" i="14"/>
  <c r="W2435" i="14"/>
  <c r="W2436" i="14"/>
  <c r="W2437" i="14"/>
  <c r="W2438" i="14"/>
  <c r="W2440" i="14"/>
  <c r="W2441" i="14"/>
  <c r="W2442" i="14"/>
  <c r="W2444" i="14"/>
  <c r="W2445" i="14"/>
  <c r="W2447" i="14"/>
  <c r="W2448" i="14"/>
  <c r="W2449" i="14"/>
  <c r="W2450" i="14"/>
  <c r="W2451" i="14"/>
  <c r="W2452" i="14"/>
  <c r="W2453" i="14"/>
  <c r="W2454" i="14"/>
  <c r="W2456" i="14"/>
  <c r="W2457" i="14"/>
  <c r="W2458" i="14"/>
  <c r="W2460" i="14"/>
  <c r="W2461" i="14"/>
  <c r="W2463" i="14"/>
  <c r="W2464" i="14"/>
  <c r="W2465" i="14"/>
  <c r="W2466" i="14"/>
  <c r="W2467" i="14"/>
  <c r="W2468" i="14"/>
  <c r="W2469" i="14"/>
  <c r="W2470" i="14"/>
  <c r="W2472" i="14"/>
  <c r="W2473" i="14"/>
  <c r="W2474" i="14"/>
  <c r="W2480" i="14"/>
  <c r="W2481" i="14"/>
  <c r="W2482" i="14"/>
  <c r="W2483" i="14"/>
  <c r="W2484" i="14"/>
  <c r="W2485" i="14"/>
  <c r="W2486" i="14"/>
  <c r="W2488" i="14"/>
  <c r="W2489" i="14"/>
  <c r="W2490" i="14"/>
  <c r="W2492" i="14"/>
  <c r="W2493" i="14"/>
  <c r="W2495" i="14"/>
  <c r="W2496" i="14"/>
  <c r="W2497" i="14"/>
  <c r="W2498" i="14"/>
  <c r="W2499" i="14"/>
  <c r="W2500" i="14"/>
  <c r="W2501" i="14"/>
  <c r="W2502" i="14"/>
  <c r="W2504" i="14"/>
  <c r="W2505" i="14"/>
  <c r="W2506" i="14"/>
  <c r="W2508" i="14"/>
  <c r="W2509" i="14"/>
  <c r="W2511" i="14"/>
  <c r="W2512" i="14"/>
  <c r="W2513" i="14"/>
  <c r="W2514" i="14"/>
  <c r="W2515" i="14"/>
  <c r="W2516" i="14"/>
  <c r="W2517" i="14"/>
  <c r="W2518" i="14"/>
  <c r="W2520" i="14"/>
  <c r="W2521" i="14"/>
  <c r="W2522" i="14"/>
  <c r="W2524" i="14"/>
  <c r="W2525" i="14"/>
  <c r="W2527" i="14"/>
  <c r="W2528" i="14"/>
  <c r="W2529" i="14"/>
  <c r="W2530" i="14"/>
  <c r="W2531" i="14"/>
  <c r="W2532" i="14"/>
  <c r="W2533" i="14"/>
  <c r="W2536" i="14"/>
  <c r="W2537" i="14"/>
  <c r="W2538" i="14"/>
  <c r="W2539" i="14"/>
  <c r="W2540" i="14"/>
  <c r="W2541" i="14"/>
  <c r="W2542" i="14"/>
  <c r="W2544" i="14"/>
  <c r="W2545" i="14"/>
  <c r="W2547" i="14"/>
  <c r="W2548" i="14"/>
  <c r="W2549" i="14"/>
  <c r="W2550" i="14"/>
  <c r="W2551" i="14"/>
  <c r="W2552" i="14"/>
  <c r="W2553" i="14"/>
  <c r="W2554" i="14"/>
  <c r="W2556" i="14"/>
  <c r="W2557" i="14"/>
  <c r="W2558" i="14"/>
  <c r="W2559" i="14"/>
  <c r="W2560" i="14"/>
  <c r="W2561" i="14"/>
  <c r="W2562" i="14"/>
  <c r="W2564" i="14"/>
  <c r="W2565" i="14"/>
  <c r="W2567" i="14"/>
  <c r="W2568" i="14"/>
  <c r="W2569" i="14"/>
  <c r="W2570" i="14"/>
  <c r="W2571" i="14"/>
  <c r="W2572" i="14"/>
  <c r="W2573" i="14"/>
  <c r="W2574" i="14"/>
  <c r="W2576" i="14"/>
  <c r="W2577" i="14"/>
  <c r="W2578" i="14"/>
  <c r="W2580" i="14"/>
  <c r="W2581" i="14"/>
  <c r="W2583" i="14"/>
  <c r="W2584" i="14"/>
  <c r="W2585" i="14"/>
  <c r="W2586" i="14"/>
  <c r="W2587" i="14"/>
  <c r="W2588" i="14"/>
  <c r="W2589" i="14"/>
  <c r="W2590" i="14"/>
  <c r="W2592" i="14"/>
  <c r="W2593" i="14"/>
  <c r="W2594" i="14"/>
  <c r="W2595" i="14"/>
  <c r="W2596" i="14"/>
  <c r="W2597" i="14"/>
  <c r="W2598" i="14"/>
  <c r="W2600" i="14"/>
  <c r="W2601" i="14"/>
  <c r="W2603" i="14"/>
  <c r="W2604" i="14"/>
  <c r="W2605" i="14"/>
  <c r="W2606" i="14"/>
  <c r="W2607" i="14"/>
  <c r="W2608" i="14"/>
  <c r="W2609" i="14"/>
  <c r="W2610" i="14"/>
  <c r="W2612" i="14"/>
  <c r="W2613" i="14"/>
  <c r="W2614" i="14"/>
  <c r="W2616" i="14"/>
  <c r="W2617" i="14"/>
  <c r="W2619" i="14"/>
  <c r="W2620" i="14"/>
  <c r="W2621" i="14"/>
  <c r="W2622" i="14"/>
  <c r="W2623" i="14"/>
  <c r="W2624" i="14"/>
  <c r="W2625" i="14"/>
  <c r="W2626" i="14"/>
  <c r="W2628" i="14"/>
  <c r="W2629" i="14"/>
  <c r="W2630" i="14"/>
  <c r="W2631" i="14"/>
  <c r="W2632" i="14"/>
  <c r="W2633" i="14"/>
  <c r="W2634" i="14"/>
  <c r="W2636" i="14"/>
  <c r="W2637" i="14"/>
  <c r="W2639" i="14"/>
  <c r="W2640" i="14"/>
  <c r="W2641" i="14"/>
  <c r="W2642" i="14"/>
  <c r="W2643" i="14"/>
  <c r="W2644" i="14"/>
  <c r="W2645" i="14"/>
  <c r="W2646" i="14"/>
  <c r="W2648" i="14"/>
  <c r="W2649" i="14"/>
  <c r="W2650" i="14"/>
  <c r="W2652" i="14"/>
  <c r="W2653" i="14"/>
  <c r="W2655" i="14"/>
  <c r="W2656" i="14"/>
  <c r="W2657" i="14"/>
  <c r="W2658" i="14"/>
  <c r="W2659" i="14"/>
  <c r="W2660" i="14"/>
  <c r="W2661" i="14"/>
  <c r="W2662" i="14"/>
  <c r="W2664" i="14"/>
  <c r="W2665" i="14"/>
  <c r="W2666" i="14"/>
  <c r="W2669" i="14"/>
  <c r="W2676" i="14"/>
  <c r="W2677" i="14"/>
  <c r="W2678" i="14"/>
  <c r="W2680" i="14"/>
  <c r="W2681" i="14"/>
  <c r="W2682" i="14"/>
  <c r="W2684" i="14"/>
  <c r="W2685" i="14"/>
  <c r="W2687" i="14"/>
  <c r="W2688" i="14"/>
  <c r="W2689" i="14"/>
  <c r="W2690" i="14"/>
  <c r="W2691" i="14"/>
  <c r="W2692" i="14"/>
  <c r="W2693" i="14"/>
  <c r="W2694" i="14"/>
  <c r="W2696" i="14"/>
  <c r="W2697" i="14"/>
  <c r="W2698" i="14"/>
  <c r="W2700" i="14"/>
  <c r="W2701" i="14"/>
  <c r="W2703" i="14"/>
  <c r="W2704" i="14"/>
  <c r="W2705" i="14"/>
  <c r="W2706" i="14"/>
  <c r="W2707" i="14"/>
  <c r="W2708" i="14"/>
  <c r="W2709" i="14"/>
  <c r="W2710" i="14"/>
  <c r="W2712" i="14"/>
  <c r="W2713" i="14"/>
  <c r="W2714" i="14"/>
  <c r="W2716" i="14"/>
  <c r="W2717" i="14"/>
  <c r="W2719" i="14"/>
  <c r="W2720" i="14"/>
  <c r="W2721" i="14"/>
  <c r="W2722" i="14"/>
  <c r="W2723" i="14"/>
  <c r="W2724" i="14"/>
  <c r="W2725" i="14"/>
  <c r="W2726" i="14"/>
  <c r="W2728" i="14"/>
  <c r="W2729" i="14"/>
  <c r="W2730" i="14"/>
  <c r="W2732" i="14"/>
  <c r="W2733" i="14"/>
  <c r="W2735" i="14"/>
  <c r="W2736" i="14"/>
  <c r="W2737" i="14"/>
  <c r="W2738" i="14"/>
  <c r="W2739" i="14"/>
  <c r="W2740" i="14"/>
  <c r="W2741" i="14"/>
  <c r="W2742" i="14"/>
  <c r="W2744" i="14"/>
  <c r="W2745" i="14"/>
  <c r="W2746" i="14"/>
  <c r="W2748" i="14"/>
  <c r="W2749" i="14"/>
  <c r="W2751" i="14"/>
  <c r="W2752" i="14"/>
  <c r="W2753" i="14"/>
  <c r="W2754" i="14"/>
  <c r="W2755" i="14"/>
  <c r="W2756" i="14"/>
  <c r="W2757" i="14"/>
  <c r="W2758" i="14"/>
  <c r="W2760" i="14"/>
  <c r="W2761" i="14"/>
  <c r="W2762" i="14"/>
  <c r="W2764" i="14"/>
  <c r="W2765" i="14"/>
  <c r="W2767" i="14"/>
  <c r="W2768" i="14"/>
  <c r="W2769" i="14"/>
  <c r="W2770" i="14"/>
  <c r="W2771" i="14"/>
  <c r="W2772" i="14"/>
  <c r="W2773" i="14"/>
  <c r="W2774" i="14"/>
  <c r="W2776" i="14"/>
  <c r="W2777" i="14"/>
  <c r="W2778" i="14"/>
  <c r="W2779" i="14"/>
  <c r="W2780" i="14"/>
  <c r="W2781" i="14"/>
  <c r="W2782" i="14"/>
  <c r="W2783" i="14"/>
  <c r="W2784" i="14"/>
  <c r="W2785" i="14"/>
  <c r="W2786" i="14"/>
  <c r="W2788" i="14"/>
  <c r="W2789" i="14"/>
  <c r="W2791" i="14"/>
  <c r="W2792" i="14"/>
  <c r="W2793" i="14"/>
  <c r="W2794" i="14"/>
  <c r="W2795" i="14"/>
  <c r="W2796" i="14"/>
  <c r="W2797" i="14"/>
  <c r="W2798" i="14"/>
  <c r="W2800" i="14"/>
  <c r="W2801" i="14"/>
  <c r="W2802" i="14"/>
  <c r="W2804" i="14"/>
  <c r="W2805" i="14"/>
  <c r="W2807" i="14"/>
  <c r="W2808" i="14"/>
  <c r="W2809" i="14"/>
  <c r="W2810" i="14"/>
  <c r="W2811" i="14"/>
  <c r="W2812" i="14"/>
  <c r="W2813" i="14"/>
  <c r="W2814" i="14"/>
  <c r="W2816" i="14"/>
  <c r="W2817" i="14"/>
  <c r="W2818" i="14"/>
  <c r="W2820" i="14"/>
  <c r="W2821" i="14"/>
  <c r="W2823" i="14"/>
  <c r="W2824" i="14"/>
  <c r="W2825" i="14"/>
  <c r="W2826" i="14"/>
  <c r="W2827" i="14"/>
  <c r="W2828" i="14"/>
  <c r="W2829" i="14"/>
  <c r="W2830" i="14"/>
  <c r="W2832" i="14"/>
  <c r="W2833" i="14"/>
  <c r="W2834" i="14"/>
  <c r="W2836" i="14"/>
  <c r="W2837" i="14"/>
  <c r="W2839" i="14"/>
  <c r="W2840" i="14"/>
  <c r="W2841" i="14"/>
  <c r="W2842" i="14"/>
  <c r="W2843" i="14"/>
  <c r="W2844" i="14"/>
  <c r="W2845" i="14"/>
  <c r="W2846" i="14"/>
  <c r="W2848" i="14"/>
  <c r="W2849" i="14"/>
  <c r="W2850" i="14"/>
  <c r="W2852" i="14"/>
  <c r="W2853" i="14"/>
  <c r="W2855" i="14"/>
  <c r="W2856" i="14"/>
  <c r="W2857" i="14"/>
  <c r="W2858" i="14"/>
  <c r="W2859" i="14"/>
  <c r="W2860" i="14"/>
  <c r="W2861" i="14"/>
  <c r="W2862" i="14"/>
  <c r="W2864" i="14"/>
  <c r="W2865" i="14"/>
  <c r="W2866" i="14"/>
  <c r="W2868" i="14"/>
  <c r="W2869" i="14"/>
  <c r="W2871" i="14"/>
  <c r="W2872" i="14"/>
  <c r="W2873" i="14"/>
  <c r="W2874" i="14"/>
  <c r="W2875" i="14"/>
  <c r="W2876" i="14"/>
  <c r="W2877" i="14"/>
  <c r="W2878" i="14"/>
  <c r="W2880" i="14"/>
  <c r="W2881" i="14"/>
  <c r="W2882" i="14"/>
  <c r="W2884" i="14"/>
  <c r="W2885" i="14"/>
  <c r="W2887" i="14"/>
  <c r="W2888" i="14"/>
  <c r="W2889" i="14"/>
  <c r="W2890" i="14"/>
  <c r="W2891" i="14"/>
  <c r="W2892" i="14"/>
  <c r="W2893" i="14"/>
  <c r="W2894" i="14"/>
  <c r="W2896" i="14"/>
  <c r="W2897" i="14"/>
  <c r="W2898" i="14"/>
  <c r="W2900" i="14"/>
  <c r="W2901" i="14"/>
  <c r="W2903" i="14"/>
  <c r="W2904" i="14"/>
  <c r="W2905" i="14"/>
  <c r="W2906" i="14"/>
  <c r="W2907" i="14"/>
  <c r="W2908" i="14"/>
  <c r="W2909" i="14"/>
  <c r="W2910" i="14"/>
  <c r="W2912" i="14"/>
  <c r="W2913" i="14"/>
  <c r="W2914" i="14"/>
  <c r="W2916" i="14"/>
  <c r="W2917" i="14"/>
  <c r="W2919" i="14"/>
  <c r="W2920" i="14"/>
  <c r="W2921" i="14"/>
  <c r="W2922" i="14"/>
  <c r="W2923" i="14"/>
  <c r="W2924" i="14"/>
  <c r="W2925" i="14"/>
  <c r="W2926" i="14"/>
  <c r="W2928" i="14"/>
  <c r="W2929" i="14"/>
  <c r="W2930" i="14"/>
  <c r="W2931" i="14"/>
  <c r="W2932" i="14"/>
  <c r="W2933" i="14"/>
  <c r="W2934" i="14"/>
  <c r="W2935" i="14"/>
  <c r="W2936" i="14"/>
  <c r="W2937" i="14"/>
  <c r="W2938" i="14"/>
  <c r="W2939" i="14"/>
  <c r="W2940" i="14"/>
  <c r="W2941" i="14"/>
  <c r="W2942" i="14"/>
  <c r="W2944" i="14"/>
  <c r="W2945" i="14"/>
  <c r="W2947" i="14"/>
  <c r="W2948" i="14"/>
  <c r="W2949" i="14"/>
  <c r="W2951" i="14"/>
  <c r="W2952" i="14"/>
  <c r="W2953" i="14"/>
  <c r="W2956" i="14"/>
  <c r="W2957" i="14"/>
  <c r="W2958" i="14"/>
  <c r="W2959" i="14"/>
  <c r="W2960" i="14"/>
  <c r="W2961" i="14"/>
  <c r="W2962" i="14"/>
  <c r="W2963" i="14"/>
  <c r="W2964" i="14"/>
  <c r="W2965" i="14"/>
  <c r="W2966" i="14"/>
  <c r="W2967" i="14"/>
  <c r="W2968" i="14"/>
  <c r="W2969" i="14"/>
  <c r="W2970" i="14"/>
  <c r="W2971" i="14"/>
  <c r="W2972" i="14"/>
  <c r="W2973" i="14"/>
  <c r="W2974" i="14"/>
  <c r="W2975" i="14"/>
  <c r="W2976" i="14"/>
  <c r="W2977" i="14"/>
  <c r="W2978" i="14"/>
  <c r="W2980" i="14"/>
  <c r="W2981" i="14"/>
  <c r="W2983" i="14"/>
  <c r="W2984" i="14"/>
  <c r="W2985" i="14"/>
  <c r="W2986" i="14"/>
  <c r="W2987" i="14"/>
  <c r="W2988" i="14"/>
  <c r="W2989" i="14"/>
  <c r="W2990" i="14"/>
  <c r="W2992" i="14"/>
  <c r="W2993" i="14"/>
  <c r="W2994" i="14"/>
  <c r="W2996" i="14"/>
  <c r="W2997" i="14"/>
  <c r="W2999" i="14"/>
  <c r="W3000" i="14"/>
  <c r="W3001" i="14"/>
  <c r="W3002" i="14"/>
  <c r="W3003" i="14"/>
  <c r="W3004" i="14"/>
  <c r="W3005" i="14"/>
  <c r="W3006" i="14"/>
  <c r="W3008" i="14"/>
  <c r="W3009" i="14"/>
  <c r="W3010" i="14"/>
  <c r="W3012" i="14"/>
  <c r="W3013" i="14"/>
  <c r="W3015" i="14"/>
  <c r="W3016" i="14"/>
  <c r="W3017" i="14"/>
  <c r="W3018" i="14"/>
  <c r="W3019" i="14"/>
  <c r="W3020" i="14"/>
  <c r="W3021" i="14"/>
  <c r="W3022" i="14"/>
  <c r="W3024" i="14"/>
  <c r="W3025" i="14"/>
  <c r="W3026" i="14"/>
  <c r="W3027" i="14"/>
  <c r="W3028" i="14"/>
  <c r="W3029" i="14"/>
  <c r="W3030" i="14"/>
  <c r="W3031" i="14"/>
  <c r="W3032" i="14"/>
  <c r="W3033" i="14"/>
  <c r="W3034" i="14"/>
  <c r="W3035" i="14"/>
  <c r="W3036" i="14"/>
  <c r="W3037" i="14"/>
  <c r="W3038" i="14"/>
  <c r="W3039" i="14"/>
  <c r="W3040" i="14"/>
  <c r="W3041" i="14"/>
  <c r="W3042" i="14"/>
  <c r="W3044" i="14"/>
  <c r="W3045" i="14"/>
  <c r="W3047" i="14"/>
  <c r="W3048" i="14"/>
  <c r="W3049" i="14"/>
  <c r="W3050" i="14"/>
  <c r="W3051" i="14"/>
  <c r="W3052" i="14"/>
  <c r="W3053" i="14"/>
  <c r="W3054" i="14"/>
  <c r="W3056" i="14"/>
  <c r="W3057" i="14"/>
  <c r="W3058" i="14"/>
  <c r="W3060" i="14"/>
  <c r="W3061" i="14"/>
  <c r="W3063" i="14"/>
  <c r="W3064" i="14"/>
  <c r="W3065" i="14"/>
  <c r="W3066" i="14"/>
  <c r="W3067" i="14"/>
  <c r="W3068" i="14"/>
  <c r="W3069" i="14"/>
  <c r="W3070" i="14"/>
  <c r="W3072" i="14"/>
  <c r="W3073" i="14"/>
  <c r="W3074" i="14"/>
  <c r="W3075" i="14"/>
  <c r="W3076" i="14"/>
  <c r="W3077" i="14"/>
  <c r="W3078" i="14"/>
  <c r="W3079" i="14"/>
  <c r="W3080" i="14"/>
  <c r="W3081" i="14"/>
  <c r="W3082" i="14"/>
  <c r="W3083" i="14"/>
  <c r="W3084" i="14"/>
  <c r="W3085" i="14"/>
  <c r="W3086" i="14"/>
  <c r="W3087" i="14"/>
  <c r="W3088" i="14"/>
  <c r="W3089" i="14"/>
  <c r="W3090" i="14"/>
  <c r="W3092" i="14"/>
  <c r="W3093" i="14"/>
  <c r="W3095" i="14"/>
  <c r="W3096" i="14"/>
  <c r="W3097" i="14"/>
  <c r="W3098" i="14"/>
  <c r="W3099" i="14"/>
  <c r="W3100" i="14"/>
  <c r="W3101" i="14"/>
  <c r="W3102" i="14"/>
  <c r="W3104" i="14"/>
  <c r="W3105" i="14"/>
  <c r="W3106" i="14"/>
  <c r="W3108" i="14"/>
  <c r="W3109" i="14"/>
  <c r="W3111" i="14"/>
  <c r="W3112" i="14"/>
  <c r="W3113" i="14"/>
  <c r="W3114" i="14"/>
  <c r="W3115" i="14"/>
  <c r="W3116" i="14"/>
  <c r="W3117" i="14"/>
  <c r="W3118" i="14"/>
  <c r="W3120" i="14"/>
  <c r="W3121" i="14"/>
  <c r="W3122" i="14"/>
  <c r="W3124" i="14"/>
  <c r="W3125" i="14"/>
  <c r="W3127" i="14"/>
  <c r="W3128" i="14"/>
  <c r="W3129" i="14"/>
  <c r="W3130" i="14"/>
  <c r="W3131" i="14"/>
  <c r="W3132" i="14"/>
  <c r="W3133" i="14"/>
  <c r="W3134" i="14"/>
  <c r="W3136" i="14"/>
  <c r="W3137" i="14"/>
  <c r="W3138" i="14"/>
  <c r="W3140" i="14"/>
  <c r="W3141" i="14"/>
  <c r="W3143" i="14"/>
  <c r="W3144" i="14"/>
  <c r="W3145" i="14"/>
  <c r="W3146" i="14"/>
  <c r="W3147" i="14"/>
  <c r="W3148" i="14"/>
  <c r="W3149" i="14"/>
  <c r="W3150" i="14"/>
  <c r="W3152" i="14"/>
  <c r="W3153" i="14"/>
  <c r="W3154" i="14"/>
  <c r="W3156" i="14"/>
  <c r="W3157" i="14"/>
  <c r="W3159" i="14"/>
  <c r="W3160" i="14"/>
  <c r="W3161" i="14"/>
  <c r="W3162" i="14"/>
  <c r="W3163" i="14"/>
  <c r="W3164" i="14"/>
  <c r="W3165" i="14"/>
  <c r="W3168" i="14"/>
  <c r="W3169" i="14"/>
  <c r="W3170" i="14"/>
  <c r="W3171" i="14"/>
  <c r="W3172" i="14"/>
  <c r="W3173" i="14"/>
  <c r="W3174" i="14"/>
  <c r="W3175" i="14"/>
  <c r="W3176" i="14"/>
  <c r="W3177" i="14"/>
  <c r="W3178" i="14"/>
  <c r="W3179" i="14"/>
  <c r="W3180" i="14"/>
  <c r="W3181" i="14"/>
  <c r="W3182" i="14"/>
  <c r="W3183" i="14"/>
  <c r="W3184" i="14"/>
  <c r="W3185" i="14"/>
  <c r="W3186" i="14"/>
  <c r="W3188" i="14"/>
  <c r="W3189" i="14"/>
  <c r="W3191" i="14"/>
  <c r="W3192" i="14"/>
  <c r="W3193" i="14"/>
  <c r="W3194" i="14"/>
  <c r="W3195" i="14"/>
  <c r="W3196" i="14"/>
  <c r="W3197" i="14"/>
  <c r="W3198" i="14"/>
  <c r="W3200" i="14"/>
  <c r="W3201" i="14"/>
  <c r="W3202" i="14"/>
  <c r="W3204" i="14"/>
  <c r="W3205" i="14"/>
  <c r="W3207" i="14"/>
  <c r="W3208" i="14"/>
  <c r="W3209" i="14"/>
  <c r="W3210" i="14"/>
  <c r="W3211" i="14"/>
  <c r="W3212" i="14"/>
  <c r="W3213" i="14"/>
  <c r="W3214" i="14"/>
  <c r="W3216" i="14"/>
  <c r="W3217" i="14"/>
  <c r="W3218" i="14"/>
  <c r="W3220" i="14"/>
  <c r="W3221" i="14"/>
  <c r="W3223" i="14"/>
  <c r="W3224" i="14"/>
  <c r="W3225" i="14"/>
  <c r="W3226" i="14"/>
  <c r="W3227" i="14"/>
  <c r="W3228" i="14"/>
  <c r="W3229" i="14"/>
  <c r="W3230" i="14"/>
  <c r="W3232" i="14"/>
  <c r="W3233" i="14"/>
  <c r="W3234" i="14"/>
  <c r="W3236" i="14"/>
  <c r="W3237" i="14"/>
  <c r="W3239" i="14"/>
  <c r="W3240" i="14"/>
  <c r="W3241" i="14"/>
  <c r="W3242" i="14"/>
  <c r="W3243" i="14"/>
  <c r="W3244" i="14"/>
  <c r="W3245" i="14"/>
  <c r="W3246" i="14"/>
  <c r="W3248" i="14"/>
  <c r="W3249" i="14"/>
  <c r="W3250" i="14"/>
  <c r="W3252" i="14"/>
  <c r="W3253" i="14"/>
  <c r="W3255" i="14"/>
  <c r="W3256" i="14"/>
  <c r="W3257" i="14"/>
  <c r="W3258" i="14"/>
  <c r="W3259" i="14"/>
  <c r="W3260" i="14"/>
  <c r="W3261" i="14"/>
  <c r="W3264" i="14"/>
  <c r="W3265" i="14"/>
  <c r="W3266" i="14"/>
  <c r="W3268" i="14"/>
  <c r="W3269" i="14"/>
  <c r="W3271" i="14"/>
  <c r="W3272" i="14"/>
  <c r="W3273" i="14"/>
  <c r="W3274" i="14"/>
  <c r="W3275" i="14"/>
  <c r="W3276" i="14"/>
  <c r="W3277" i="14"/>
  <c r="W3278" i="14"/>
  <c r="W3280" i="14"/>
  <c r="W3281" i="14"/>
  <c r="W3282" i="14"/>
  <c r="W3284" i="14"/>
  <c r="W3285" i="14"/>
  <c r="W3287" i="14"/>
  <c r="W3288" i="14"/>
  <c r="W3289" i="14"/>
  <c r="W3290" i="14"/>
  <c r="W3291" i="14"/>
  <c r="W3292" i="14"/>
  <c r="W3293" i="14"/>
  <c r="W3294" i="14"/>
  <c r="W3296" i="14"/>
  <c r="W3297" i="14"/>
  <c r="W3298" i="14"/>
  <c r="W3300" i="14"/>
  <c r="W3301" i="14"/>
  <c r="W3303" i="14"/>
  <c r="W3304" i="14"/>
  <c r="W3305" i="14"/>
  <c r="W3306" i="14"/>
  <c r="W3307" i="14"/>
  <c r="W3308" i="14"/>
  <c r="W3309" i="14"/>
  <c r="W3310" i="14"/>
  <c r="W3312" i="14"/>
  <c r="W3313" i="14"/>
  <c r="W3314" i="14"/>
  <c r="W3316" i="14"/>
  <c r="W3317" i="14"/>
  <c r="W3319" i="14"/>
  <c r="W3320" i="14"/>
  <c r="W3321" i="14"/>
  <c r="W3322" i="14"/>
  <c r="W3323" i="14"/>
  <c r="W3324" i="14"/>
  <c r="W3325" i="14"/>
  <c r="W3326" i="14"/>
  <c r="W3328" i="14"/>
  <c r="W3329" i="14"/>
  <c r="W3330" i="14"/>
  <c r="W3332" i="14"/>
  <c r="W3333" i="14"/>
  <c r="W3335" i="14"/>
  <c r="W3336" i="14"/>
  <c r="W3337" i="14"/>
  <c r="W3338" i="14"/>
  <c r="W3339" i="14"/>
  <c r="W3340" i="14"/>
  <c r="W3341" i="14"/>
  <c r="W3342" i="14"/>
  <c r="W3345" i="14"/>
  <c r="W3346" i="14"/>
  <c r="W3348" i="14"/>
  <c r="W3349" i="14"/>
  <c r="W3351" i="14"/>
  <c r="W3352" i="14"/>
  <c r="W3353" i="14"/>
  <c r="W3354" i="14"/>
  <c r="W3355" i="14"/>
  <c r="W3356" i="14"/>
  <c r="W3357" i="14"/>
  <c r="W3358" i="14"/>
  <c r="W3360" i="14"/>
  <c r="W3361" i="14"/>
  <c r="W3362" i="14"/>
  <c r="W3364" i="14"/>
  <c r="W3365" i="14"/>
  <c r="W3367" i="14"/>
  <c r="W3368" i="14"/>
  <c r="W3369" i="14"/>
  <c r="W3370" i="14"/>
  <c r="W3371" i="14"/>
  <c r="W3372" i="14"/>
  <c r="W3373" i="14"/>
  <c r="W3374" i="14"/>
  <c r="W3376" i="14"/>
  <c r="W3377" i="14"/>
  <c r="W3378" i="14"/>
  <c r="W3380" i="14"/>
  <c r="W3381" i="14"/>
  <c r="W3383" i="14"/>
  <c r="W3384" i="14"/>
  <c r="W3385" i="14"/>
  <c r="W3386" i="14"/>
  <c r="W3387" i="14"/>
  <c r="W3388" i="14"/>
  <c r="W3389" i="14"/>
  <c r="W3390" i="14"/>
  <c r="W3392" i="14"/>
  <c r="W3393" i="14"/>
  <c r="W3394" i="14"/>
  <c r="W3396" i="14"/>
  <c r="W3397" i="14"/>
  <c r="W3399" i="14"/>
  <c r="W3400" i="14"/>
  <c r="W3401" i="14"/>
  <c r="W3402" i="14"/>
  <c r="W3403" i="14"/>
  <c r="W3404" i="14"/>
  <c r="W3405" i="14"/>
  <c r="W3408" i="14"/>
  <c r="W3409" i="14"/>
  <c r="W3410" i="14"/>
  <c r="W3412" i="14"/>
  <c r="W3413" i="14"/>
  <c r="W3415" i="14"/>
  <c r="W3416" i="14"/>
  <c r="W3417" i="14"/>
  <c r="W3418" i="14"/>
  <c r="W3419" i="14"/>
  <c r="W3420" i="14"/>
  <c r="W3421" i="14"/>
  <c r="W3424" i="14"/>
  <c r="W3425" i="14"/>
  <c r="W3426" i="14"/>
  <c r="W3428" i="14"/>
  <c r="W3429" i="14"/>
  <c r="W3431" i="14"/>
  <c r="W3432" i="14"/>
  <c r="W3433" i="14"/>
  <c r="W3434" i="14"/>
  <c r="W3435" i="14"/>
  <c r="W3436" i="14"/>
  <c r="W3437" i="14"/>
  <c r="W3440" i="14"/>
  <c r="W3441" i="14"/>
  <c r="W3442" i="14"/>
  <c r="W3444" i="14"/>
  <c r="W3445" i="14"/>
  <c r="W3447" i="14"/>
  <c r="W3448" i="14"/>
  <c r="W3449" i="14"/>
  <c r="W3450" i="14"/>
  <c r="W3451" i="14"/>
  <c r="W3452" i="14"/>
  <c r="W3453" i="14"/>
  <c r="W3456" i="14"/>
  <c r="W3457" i="14"/>
  <c r="W3458" i="14"/>
  <c r="W3460" i="14"/>
  <c r="W3461" i="14"/>
  <c r="W3466" i="14"/>
  <c r="W3467" i="14"/>
  <c r="W3468" i="14"/>
  <c r="W3469" i="14"/>
  <c r="W3472" i="14"/>
  <c r="W3473" i="14"/>
  <c r="W3474" i="14"/>
  <c r="W3476" i="14"/>
  <c r="W3477" i="14"/>
  <c r="W3479" i="14"/>
  <c r="W3480" i="14"/>
  <c r="W3481" i="14"/>
  <c r="W3482" i="14"/>
  <c r="W3483" i="14"/>
  <c r="W3484" i="14"/>
  <c r="W3485" i="14"/>
  <c r="W3488" i="14"/>
  <c r="W3489" i="14"/>
  <c r="W3490" i="14"/>
  <c r="W3492" i="14"/>
  <c r="W3493" i="14"/>
  <c r="W3495" i="14"/>
  <c r="W3496" i="14"/>
  <c r="W3497" i="14"/>
  <c r="W3498" i="14"/>
  <c r="W3499" i="14"/>
  <c r="W3500" i="14"/>
  <c r="W3501" i="14"/>
  <c r="W3504" i="14"/>
  <c r="W3505" i="14"/>
  <c r="W3506" i="14"/>
  <c r="W3508" i="14"/>
  <c r="W3509" i="14"/>
  <c r="W3511" i="14"/>
  <c r="W3512" i="14"/>
  <c r="W3513" i="14"/>
  <c r="W3514" i="14"/>
  <c r="W3515" i="14"/>
  <c r="W3516" i="14"/>
  <c r="W3517" i="14"/>
  <c r="W3520" i="14"/>
  <c r="W3521" i="14"/>
  <c r="W3522" i="14"/>
  <c r="W3527" i="14"/>
  <c r="W3529" i="14"/>
  <c r="W3531" i="14"/>
  <c r="W3532" i="14"/>
  <c r="W3533" i="14"/>
  <c r="W3534" i="14"/>
  <c r="W3536" i="14"/>
  <c r="W3537" i="14"/>
  <c r="W3538" i="14"/>
  <c r="W3540" i="14"/>
  <c r="W3541" i="14"/>
  <c r="W3543" i="14"/>
  <c r="W3544" i="14"/>
  <c r="W3545" i="14"/>
  <c r="W3546" i="14"/>
  <c r="W3547" i="14"/>
  <c r="W3548" i="14"/>
  <c r="W3549" i="14"/>
  <c r="W3552" i="14"/>
  <c r="W3553" i="14"/>
  <c r="W3554" i="14"/>
  <c r="W3556" i="14"/>
  <c r="W3557" i="14"/>
  <c r="W3559" i="14"/>
  <c r="W3560" i="14"/>
  <c r="W3561" i="14"/>
  <c r="W3562" i="14"/>
  <c r="W3563" i="14"/>
  <c r="W3564" i="14"/>
  <c r="W3565" i="14"/>
  <c r="W3566" i="14"/>
  <c r="W3568" i="14"/>
  <c r="W3569" i="14"/>
  <c r="W3570" i="14"/>
  <c r="W3572" i="14"/>
  <c r="W3573" i="14"/>
  <c r="W3575" i="14"/>
  <c r="W3576" i="14"/>
  <c r="W3577" i="14"/>
  <c r="W3578" i="14"/>
  <c r="W3579" i="14"/>
  <c r="W3580" i="14"/>
  <c r="W3581" i="14"/>
  <c r="W3584" i="14"/>
  <c r="W3585" i="14"/>
  <c r="W3586" i="14"/>
  <c r="W3588" i="14"/>
  <c r="W3589" i="14"/>
  <c r="W3591" i="14"/>
  <c r="W3592" i="14"/>
  <c r="W3593" i="14"/>
  <c r="W3594" i="14"/>
  <c r="W3595" i="14"/>
  <c r="W3596" i="14"/>
  <c r="W3597" i="14"/>
  <c r="W3600" i="14"/>
  <c r="W3601" i="14"/>
  <c r="W3602" i="14"/>
  <c r="W3604" i="14"/>
  <c r="W3605" i="14"/>
  <c r="W3607" i="14"/>
  <c r="W3608" i="14"/>
  <c r="W3609" i="14"/>
  <c r="W3610" i="14"/>
  <c r="W3611" i="14"/>
  <c r="W3612" i="14"/>
  <c r="W3613" i="14"/>
  <c r="W3614" i="14"/>
  <c r="W3616" i="14"/>
  <c r="W3617" i="14"/>
  <c r="W3618" i="14"/>
  <c r="W3620" i="14"/>
  <c r="W3621" i="14"/>
  <c r="W3623" i="14"/>
  <c r="W3624" i="14"/>
  <c r="W3625" i="14"/>
  <c r="W3626" i="14"/>
  <c r="W3627" i="14"/>
  <c r="W3628" i="14"/>
  <c r="W3629" i="14"/>
  <c r="W3630" i="14"/>
  <c r="W3632" i="14"/>
  <c r="W3633" i="14"/>
  <c r="W3634" i="14"/>
  <c r="W3636" i="14"/>
  <c r="W3637" i="14"/>
  <c r="W3639" i="14"/>
  <c r="W3640" i="14"/>
  <c r="W3641" i="14"/>
  <c r="W3642" i="14"/>
  <c r="W3643" i="14"/>
  <c r="W3644" i="14"/>
  <c r="W3645" i="14"/>
  <c r="W3648" i="14"/>
  <c r="W3649" i="14"/>
  <c r="W3650" i="14"/>
  <c r="W3652" i="14"/>
  <c r="W3653" i="14"/>
  <c r="W3655" i="14"/>
  <c r="W3656" i="14"/>
  <c r="W3657" i="14"/>
  <c r="W3659" i="14"/>
  <c r="W3660" i="14"/>
  <c r="W3661" i="14"/>
  <c r="W3664" i="14"/>
  <c r="W3665" i="14"/>
  <c r="W3666" i="14"/>
  <c r="W3668" i="14"/>
  <c r="W3669" i="14"/>
  <c r="W3671" i="14"/>
  <c r="W3672" i="14"/>
  <c r="W3673" i="14"/>
  <c r="W3674" i="14"/>
  <c r="W3675" i="14"/>
  <c r="W3676" i="14"/>
  <c r="W3677" i="14"/>
  <c r="W3680" i="14"/>
  <c r="W3681" i="14"/>
  <c r="W3682" i="14"/>
  <c r="W3684" i="14"/>
  <c r="W3685" i="14"/>
  <c r="W3687" i="14"/>
  <c r="W3688" i="14"/>
  <c r="W3689" i="14"/>
  <c r="W3691" i="14"/>
  <c r="W3692" i="14"/>
  <c r="W3693" i="14"/>
  <c r="W3696" i="14"/>
  <c r="W3697" i="14"/>
  <c r="W3698" i="14"/>
  <c r="W3700" i="14"/>
  <c r="W3701" i="14"/>
  <c r="W3703" i="14"/>
  <c r="W3704" i="14"/>
  <c r="W3705" i="14"/>
  <c r="W3706" i="14"/>
  <c r="W3707" i="14"/>
  <c r="W3708" i="14"/>
  <c r="W3709" i="14"/>
  <c r="W3712" i="14"/>
  <c r="W3713" i="14"/>
  <c r="W3714" i="14"/>
  <c r="W3716" i="14"/>
  <c r="W3717" i="14"/>
  <c r="W3719" i="14"/>
  <c r="W3720" i="14"/>
  <c r="W3721" i="14"/>
  <c r="W3722" i="14"/>
  <c r="W3723" i="14"/>
  <c r="W3724" i="14"/>
  <c r="W3725" i="14"/>
  <c r="W3728" i="14"/>
  <c r="W3729" i="14"/>
  <c r="W3730" i="14"/>
  <c r="W3732" i="14"/>
  <c r="W3733" i="14"/>
  <c r="W3735" i="14"/>
  <c r="W3736" i="14"/>
  <c r="W3737" i="14"/>
  <c r="W3738" i="14"/>
  <c r="W3739" i="14"/>
  <c r="W3740" i="14"/>
  <c r="W3741" i="14"/>
  <c r="W3744" i="14"/>
  <c r="W3745" i="14"/>
  <c r="W3746" i="14"/>
  <c r="W3748" i="14"/>
  <c r="W3749" i="14"/>
  <c r="W3751" i="14"/>
  <c r="W3752" i="14"/>
  <c r="W3753" i="14"/>
  <c r="W3754" i="14"/>
  <c r="W3755" i="14"/>
  <c r="W3756" i="14"/>
  <c r="W3757" i="14"/>
  <c r="W3760" i="14"/>
  <c r="W3761" i="14"/>
  <c r="W3762" i="14"/>
  <c r="W3764" i="14"/>
  <c r="W3765" i="14"/>
  <c r="W3767" i="14"/>
  <c r="W3768" i="14"/>
  <c r="W3769" i="14"/>
  <c r="W3770" i="14"/>
  <c r="W3771" i="14"/>
  <c r="W3772" i="14"/>
  <c r="W3773" i="14"/>
  <c r="W3776" i="14"/>
  <c r="W3777" i="14"/>
  <c r="W3778" i="14"/>
  <c r="W3780" i="14"/>
  <c r="W3781" i="14"/>
  <c r="W3783" i="14"/>
  <c r="W3784" i="14"/>
  <c r="W3785" i="14"/>
  <c r="W3786" i="14"/>
  <c r="W3787" i="14"/>
  <c r="W3788" i="14"/>
  <c r="W3789" i="14"/>
  <c r="W3792" i="14"/>
  <c r="W3793" i="14"/>
  <c r="W3794" i="14"/>
  <c r="W3796" i="14"/>
  <c r="W3797" i="14"/>
  <c r="W3799" i="14"/>
  <c r="W3800" i="14"/>
  <c r="W3801" i="14"/>
  <c r="W3802" i="14"/>
  <c r="W3803" i="14"/>
  <c r="W3804" i="14"/>
  <c r="W3805" i="14"/>
  <c r="W3808" i="14"/>
  <c r="W3809" i="14"/>
  <c r="W3810" i="14"/>
  <c r="W3812" i="14"/>
  <c r="W3813" i="14"/>
  <c r="W3815" i="14"/>
  <c r="W3816" i="14"/>
  <c r="W3817" i="14"/>
  <c r="W3818" i="14"/>
  <c r="W3819" i="14"/>
  <c r="W3820" i="14"/>
  <c r="W3821" i="14"/>
  <c r="W3824" i="14"/>
  <c r="W3825" i="14"/>
  <c r="W3826" i="14"/>
  <c r="W3828" i="14"/>
  <c r="W3829" i="14"/>
  <c r="W3831" i="14"/>
  <c r="W3832" i="14"/>
  <c r="W3833" i="14"/>
  <c r="W3834" i="14"/>
  <c r="W3835" i="14"/>
  <c r="W3836" i="14"/>
  <c r="W3837" i="14"/>
  <c r="W3838" i="14"/>
  <c r="W3840" i="14"/>
  <c r="W3841" i="14"/>
  <c r="W3842" i="14"/>
  <c r="W3844" i="14"/>
  <c r="W3845" i="14"/>
  <c r="W3847" i="14"/>
  <c r="W3848" i="14"/>
  <c r="W3849" i="14"/>
  <c r="W3850" i="14"/>
  <c r="W3851" i="14"/>
  <c r="W3852" i="14"/>
  <c r="W3853" i="14"/>
  <c r="W3856" i="14"/>
  <c r="W3857" i="14"/>
  <c r="W3858" i="14"/>
  <c r="W3860" i="14"/>
  <c r="W3861" i="14"/>
  <c r="W3863" i="14"/>
  <c r="W3864" i="14"/>
  <c r="W3865" i="14"/>
  <c r="W3866" i="14"/>
  <c r="W3867" i="14"/>
  <c r="W3868" i="14"/>
  <c r="W3869" i="14"/>
  <c r="W3872" i="14"/>
  <c r="W3873" i="14"/>
  <c r="W3874" i="14"/>
  <c r="W3876" i="14"/>
  <c r="W3877" i="14"/>
  <c r="W3879" i="14"/>
  <c r="W3880" i="14"/>
  <c r="W3881" i="14"/>
  <c r="W3882" i="14"/>
  <c r="W3883" i="14"/>
  <c r="W3884" i="14"/>
  <c r="W3885" i="14"/>
  <c r="W3888" i="14"/>
  <c r="W3889" i="14"/>
  <c r="W3890" i="14"/>
  <c r="W3892" i="14"/>
  <c r="W3893" i="14"/>
  <c r="W3895" i="14"/>
  <c r="W3896" i="14"/>
  <c r="W3897" i="14"/>
  <c r="W3898" i="14"/>
  <c r="W3899" i="14"/>
  <c r="W3900" i="14"/>
  <c r="W3901" i="14"/>
  <c r="W3904" i="14"/>
  <c r="W3905" i="14"/>
  <c r="W3906" i="14"/>
  <c r="W3908" i="14"/>
  <c r="W3909" i="14"/>
  <c r="W3911" i="14"/>
  <c r="W3912" i="14"/>
  <c r="W3913" i="14"/>
  <c r="W3914" i="14"/>
  <c r="W3915" i="14"/>
  <c r="W3916" i="14"/>
  <c r="W3917" i="14"/>
  <c r="W3920" i="14"/>
  <c r="W3921" i="14"/>
  <c r="W3922" i="14"/>
  <c r="W3924" i="14"/>
  <c r="W3925" i="14"/>
  <c r="W3927" i="14"/>
  <c r="W3928" i="14"/>
  <c r="W3929" i="14"/>
  <c r="W3930" i="14"/>
  <c r="W3931" i="14"/>
  <c r="W3932" i="14"/>
  <c r="W3933" i="14"/>
  <c r="W3936" i="14"/>
  <c r="W3937" i="14"/>
  <c r="W3938" i="14"/>
  <c r="W3940" i="14"/>
  <c r="W3941" i="14"/>
  <c r="W3943" i="14"/>
  <c r="W3944" i="14"/>
  <c r="W3945" i="14"/>
  <c r="W3946" i="14"/>
  <c r="W3947" i="14"/>
  <c r="W3948" i="14"/>
  <c r="W3949" i="14"/>
  <c r="W3952" i="14"/>
  <c r="W3953" i="14"/>
  <c r="W3954" i="14"/>
  <c r="W3956" i="14"/>
  <c r="W3957" i="14"/>
  <c r="W3959" i="14"/>
  <c r="W3960" i="14"/>
  <c r="W3961" i="14"/>
  <c r="W3962" i="14"/>
  <c r="W3963" i="14"/>
  <c r="W3964" i="14"/>
  <c r="W3965" i="14"/>
  <c r="W3968" i="14"/>
  <c r="W3969" i="14"/>
  <c r="W3970" i="14"/>
  <c r="W3972" i="14"/>
  <c r="W3973" i="14"/>
  <c r="W3975" i="14"/>
  <c r="W3976" i="14"/>
  <c r="W3977" i="14"/>
  <c r="W3978" i="14"/>
  <c r="W3979" i="14"/>
  <c r="W3980" i="14"/>
  <c r="W3981" i="14"/>
  <c r="W3984" i="14"/>
  <c r="W3985" i="14"/>
  <c r="W3986" i="14"/>
  <c r="W3988" i="14"/>
  <c r="W3989" i="14"/>
  <c r="W3991" i="14"/>
  <c r="W3992" i="14"/>
  <c r="W3993" i="14"/>
  <c r="W3994" i="14"/>
  <c r="W3995" i="14"/>
  <c r="W3996" i="14"/>
  <c r="W3997" i="14"/>
  <c r="W4000" i="14"/>
  <c r="W4001" i="14"/>
  <c r="W4002" i="14"/>
  <c r="W4004" i="14"/>
  <c r="W4005" i="14"/>
  <c r="W4007" i="14"/>
  <c r="W4008" i="14"/>
  <c r="W4009" i="14"/>
  <c r="W4010" i="14"/>
  <c r="W4011" i="14"/>
  <c r="W4012" i="14"/>
  <c r="W4013" i="14"/>
  <c r="W4016" i="14"/>
  <c r="W4017" i="14"/>
  <c r="W4018" i="14"/>
  <c r="W4020" i="14"/>
  <c r="W4021" i="14"/>
  <c r="W4023" i="14"/>
  <c r="W4024" i="14"/>
  <c r="W4025" i="14"/>
  <c r="W4026" i="14"/>
  <c r="W4027" i="14"/>
  <c r="W4028" i="14"/>
  <c r="W4029" i="14"/>
  <c r="W4030" i="14"/>
  <c r="W4032" i="14"/>
  <c r="W4033" i="14"/>
  <c r="W4034" i="14"/>
  <c r="W4036" i="14"/>
  <c r="W4037" i="14"/>
  <c r="W4039" i="14"/>
  <c r="W4040" i="14"/>
  <c r="W4041" i="14"/>
  <c r="W4042" i="14"/>
  <c r="W4043" i="14"/>
  <c r="W4044" i="14"/>
  <c r="W4045" i="14"/>
  <c r="W4046" i="14"/>
  <c r="W4048" i="14"/>
  <c r="W4049" i="14"/>
  <c r="W4050" i="14"/>
  <c r="W4052" i="14"/>
  <c r="W4053" i="14"/>
  <c r="W4055" i="14"/>
  <c r="W4056" i="14"/>
  <c r="W4057" i="14"/>
  <c r="W4058" i="14"/>
  <c r="W4059" i="14"/>
  <c r="W4060" i="14"/>
  <c r="W4061" i="14"/>
  <c r="W4064" i="14"/>
  <c r="W4065" i="14"/>
  <c r="W4066" i="14"/>
  <c r="W4068" i="14"/>
  <c r="W4069" i="14"/>
  <c r="W4071" i="14"/>
  <c r="W4072" i="14"/>
  <c r="W4073" i="14"/>
  <c r="W4074" i="14"/>
  <c r="W4075" i="14"/>
  <c r="W4076" i="14"/>
  <c r="W4077" i="14"/>
  <c r="W4080" i="14"/>
  <c r="W4081" i="14"/>
  <c r="W4082" i="14"/>
  <c r="W4084" i="14"/>
  <c r="W4085" i="14"/>
  <c r="W4087" i="14"/>
  <c r="W4088" i="14"/>
  <c r="W4089" i="14"/>
  <c r="W4090" i="14"/>
  <c r="W4091" i="14"/>
  <c r="W4092" i="14"/>
  <c r="W4093" i="14"/>
  <c r="W4096" i="14"/>
  <c r="W4097" i="14"/>
  <c r="W4098" i="14"/>
  <c r="W4100" i="14"/>
  <c r="W4101" i="14"/>
  <c r="W4103" i="14"/>
  <c r="W4104" i="14"/>
  <c r="W4105" i="14"/>
  <c r="W4106" i="14"/>
  <c r="W4107" i="14"/>
  <c r="W4108" i="14"/>
  <c r="W4109" i="14"/>
  <c r="W4112" i="14"/>
  <c r="W4113" i="14"/>
  <c r="W4114" i="14"/>
  <c r="W4116" i="14"/>
  <c r="W4117" i="14"/>
  <c r="W4119" i="14"/>
  <c r="W4120" i="14"/>
  <c r="W4121" i="14"/>
  <c r="W4122" i="14"/>
  <c r="W4123" i="14"/>
  <c r="W4124" i="14"/>
  <c r="W4125" i="14"/>
  <c r="W4128" i="14"/>
  <c r="W4129" i="14"/>
  <c r="W4130" i="14"/>
  <c r="W4132" i="14"/>
  <c r="W4133" i="14"/>
  <c r="W4135" i="14"/>
  <c r="W4136" i="14"/>
  <c r="W4137" i="14"/>
  <c r="W4138" i="14"/>
  <c r="W4139" i="14"/>
  <c r="W4140" i="14"/>
  <c r="W4141" i="14"/>
  <c r="W4144" i="14"/>
  <c r="W4145" i="14"/>
  <c r="W4146" i="14"/>
  <c r="W4148" i="14"/>
  <c r="W4149" i="14"/>
  <c r="W4151" i="14"/>
  <c r="W4152" i="14"/>
  <c r="W4153" i="14"/>
  <c r="W4154" i="14"/>
  <c r="W4155" i="14"/>
  <c r="W4156" i="14"/>
  <c r="W4157" i="14"/>
  <c r="W4158" i="14"/>
  <c r="W4160" i="14"/>
  <c r="W4161" i="14"/>
  <c r="W4162" i="14"/>
  <c r="W4164" i="14"/>
  <c r="W4165" i="14"/>
  <c r="W4167" i="14"/>
  <c r="W4168" i="14"/>
  <c r="W4169" i="14"/>
  <c r="W4170" i="14"/>
  <c r="W4171" i="14"/>
  <c r="W4172" i="14"/>
  <c r="W4173" i="14"/>
  <c r="W4174" i="14"/>
  <c r="W4176" i="14"/>
  <c r="W4177" i="14"/>
  <c r="W4178" i="14"/>
  <c r="W4180" i="14"/>
  <c r="W4181" i="14"/>
  <c r="W4183" i="14"/>
  <c r="W4184" i="14"/>
  <c r="W4185" i="14"/>
  <c r="W4186" i="14"/>
  <c r="W4187" i="14"/>
  <c r="W4188" i="14"/>
  <c r="W4189" i="14"/>
  <c r="W4192" i="14"/>
  <c r="W4193" i="14"/>
  <c r="W4194" i="14"/>
  <c r="W4196" i="14"/>
  <c r="W4197" i="14"/>
  <c r="W4199" i="14"/>
  <c r="W4200" i="14"/>
  <c r="W4201" i="14"/>
  <c r="W4202" i="14"/>
  <c r="W4203" i="14"/>
  <c r="W4204" i="14"/>
  <c r="W4205" i="14"/>
  <c r="W4206" i="14"/>
  <c r="W4208" i="14"/>
  <c r="W4209" i="14"/>
  <c r="W4210" i="14"/>
  <c r="W4212" i="14"/>
  <c r="W4213" i="14"/>
  <c r="W4215" i="14"/>
  <c r="W4216" i="14"/>
  <c r="W4217" i="14"/>
  <c r="W4218" i="14"/>
  <c r="W4219" i="14"/>
  <c r="W4220" i="14"/>
  <c r="W4221" i="14"/>
  <c r="W4224" i="14"/>
  <c r="W4225" i="14"/>
  <c r="W4226" i="14"/>
  <c r="W4228" i="14"/>
  <c r="W4229" i="14"/>
  <c r="W4231" i="14"/>
  <c r="W4232" i="14"/>
  <c r="W4233" i="14"/>
  <c r="W4234" i="14"/>
  <c r="W4235" i="14"/>
  <c r="W4236" i="14"/>
  <c r="W4237" i="14"/>
  <c r="W4240" i="14"/>
  <c r="W4241" i="14"/>
  <c r="W4242" i="14"/>
  <c r="W4244" i="14"/>
  <c r="W4245" i="14"/>
  <c r="W4247" i="14"/>
  <c r="W4248" i="14"/>
  <c r="W4249" i="14"/>
  <c r="W4250" i="14"/>
  <c r="W4251" i="14"/>
  <c r="W4252" i="14"/>
  <c r="W4253" i="14"/>
  <c r="W4256" i="14"/>
  <c r="W4257" i="14"/>
  <c r="W4258" i="14"/>
  <c r="W4260" i="14"/>
  <c r="W4261" i="14"/>
  <c r="W4263" i="14"/>
  <c r="W4264" i="14"/>
  <c r="W4265" i="14"/>
  <c r="W4266" i="14"/>
  <c r="W4267" i="14"/>
  <c r="W4268" i="14"/>
  <c r="W4269" i="14"/>
  <c r="W4272" i="14"/>
  <c r="W4273" i="14"/>
  <c r="W4274" i="14"/>
  <c r="W4276" i="14"/>
  <c r="W4277" i="14"/>
  <c r="W4279" i="14"/>
  <c r="W4280" i="14"/>
  <c r="W4281" i="14"/>
  <c r="W4282" i="14"/>
  <c r="W4283" i="14"/>
  <c r="W4284" i="14"/>
  <c r="W4285" i="14"/>
  <c r="W4288" i="14"/>
  <c r="W4289" i="14"/>
  <c r="W4290" i="14"/>
  <c r="W4292" i="14"/>
  <c r="W4293" i="14"/>
  <c r="W4295" i="14"/>
  <c r="W4296" i="14"/>
  <c r="W4297" i="14"/>
  <c r="W4298" i="14"/>
  <c r="W4299" i="14"/>
  <c r="W4300" i="14"/>
  <c r="W4301" i="14"/>
  <c r="W4302" i="14"/>
  <c r="W4304" i="14"/>
  <c r="W4305" i="14"/>
  <c r="W4306" i="14"/>
  <c r="W4308" i="14"/>
  <c r="W4309" i="14"/>
  <c r="W4311" i="14"/>
  <c r="W4312" i="14"/>
  <c r="W4313" i="14"/>
  <c r="W4314" i="14"/>
  <c r="W4315" i="14"/>
  <c r="W4316" i="14"/>
  <c r="W4317" i="14"/>
  <c r="W4318" i="14"/>
  <c r="W4320" i="14"/>
  <c r="W4321" i="14"/>
  <c r="W4322" i="14"/>
  <c r="W4324" i="14"/>
  <c r="W4325" i="14"/>
  <c r="W4327" i="14"/>
  <c r="W4328" i="14"/>
  <c r="W4329" i="14"/>
  <c r="W4330" i="14"/>
  <c r="W4331" i="14"/>
  <c r="W4332" i="14"/>
  <c r="W4333" i="14"/>
  <c r="W4334" i="14"/>
  <c r="W4336" i="14"/>
  <c r="W4337" i="14"/>
  <c r="W4338" i="14"/>
  <c r="W4340" i="14"/>
  <c r="W4341" i="14"/>
  <c r="W4343" i="14"/>
  <c r="W4344" i="14"/>
  <c r="W4345" i="14"/>
  <c r="W4346" i="14"/>
  <c r="W4347" i="14"/>
  <c r="W4348" i="14"/>
  <c r="W4349" i="14"/>
  <c r="W4350" i="14"/>
  <c r="W4352" i="14"/>
  <c r="W4353" i="14"/>
  <c r="W4354" i="14"/>
  <c r="W4356" i="14"/>
  <c r="W4357" i="14"/>
  <c r="W4359" i="14"/>
  <c r="W4360" i="14"/>
  <c r="W4361" i="14"/>
  <c r="W4362" i="14"/>
  <c r="W4363" i="14"/>
  <c r="W4364" i="14"/>
  <c r="W4365" i="14"/>
  <c r="W4366" i="14"/>
  <c r="W4368" i="14"/>
  <c r="W4369" i="14"/>
  <c r="W4370" i="14"/>
  <c r="W4372" i="14"/>
  <c r="W4373" i="14"/>
  <c r="W4375" i="14"/>
  <c r="W4376" i="14"/>
  <c r="W4377" i="14"/>
  <c r="W4378" i="14"/>
  <c r="W4379" i="14"/>
  <c r="W4380" i="14"/>
  <c r="W4381" i="14"/>
  <c r="W4382" i="14"/>
  <c r="W4384" i="14"/>
  <c r="W4385" i="14"/>
  <c r="W4386" i="14"/>
  <c r="W4388" i="14"/>
  <c r="W4389" i="14"/>
  <c r="W4391" i="14"/>
  <c r="W4392" i="14"/>
  <c r="W4393" i="14"/>
  <c r="W4394" i="14"/>
  <c r="W4395" i="14"/>
  <c r="W4396" i="14"/>
  <c r="W4397" i="14"/>
  <c r="W4398" i="14"/>
  <c r="W4400" i="14"/>
  <c r="W4401" i="14"/>
  <c r="W4402" i="14"/>
  <c r="W4404" i="14"/>
  <c r="W4405" i="14"/>
  <c r="W4407" i="14"/>
  <c r="W4408" i="14"/>
  <c r="W4409" i="14"/>
  <c r="W4410" i="14"/>
  <c r="W4411" i="14"/>
  <c r="W4412" i="14"/>
  <c r="W4413" i="14"/>
  <c r="W4414" i="14"/>
  <c r="W4416" i="14"/>
  <c r="W4417" i="14"/>
  <c r="W4418" i="14"/>
  <c r="W4563" i="14"/>
  <c r="W4564" i="14"/>
  <c r="W4565" i="14"/>
  <c r="W4566" i="14"/>
  <c r="W4567" i="14"/>
  <c r="W4568" i="14"/>
  <c r="W4569" i="14"/>
  <c r="W4570" i="14"/>
  <c r="W4571" i="14"/>
  <c r="W4572" i="14"/>
  <c r="W4573" i="14"/>
  <c r="W4574" i="14"/>
  <c r="W4575" i="14"/>
  <c r="W4576" i="14"/>
  <c r="W4577" i="14"/>
  <c r="W4578" i="14"/>
  <c r="W4819" i="14"/>
  <c r="W4820" i="14"/>
  <c r="W4821" i="14"/>
  <c r="W4822" i="14"/>
  <c r="W4823" i="14"/>
  <c r="W4824" i="14"/>
  <c r="W4825" i="14"/>
  <c r="W4826" i="14"/>
  <c r="W4827" i="14"/>
  <c r="W4828" i="14"/>
  <c r="W4829" i="14"/>
  <c r="W4830" i="14"/>
  <c r="W4831" i="14"/>
  <c r="W4832" i="14"/>
  <c r="W4833" i="14"/>
  <c r="W4834" i="14"/>
  <c r="W4915" i="14"/>
  <c r="W4916" i="14"/>
  <c r="W4917" i="14"/>
  <c r="W4918" i="14"/>
  <c r="W4919" i="14"/>
  <c r="W4920" i="14"/>
  <c r="W4921" i="14"/>
  <c r="W4922" i="14"/>
  <c r="W4923" i="14"/>
  <c r="W4924" i="14"/>
  <c r="W4925" i="14"/>
  <c r="W4926" i="14"/>
  <c r="W4927" i="14"/>
  <c r="W4928" i="14"/>
  <c r="W4929" i="14"/>
  <c r="W4930" i="14"/>
  <c r="W4947" i="14"/>
  <c r="W4948" i="14"/>
  <c r="W4949" i="14"/>
  <c r="W4950" i="14"/>
  <c r="W4951" i="14"/>
  <c r="W4952" i="14"/>
  <c r="W4953" i="14"/>
  <c r="W4954" i="14"/>
  <c r="W4955" i="14"/>
  <c r="W4956" i="14"/>
  <c r="W4957" i="14"/>
  <c r="W4958" i="14"/>
  <c r="W4959" i="14"/>
  <c r="W4960" i="14"/>
  <c r="W4961" i="14"/>
  <c r="W4962" i="14"/>
  <c r="W5043" i="14"/>
  <c r="W5044" i="14"/>
  <c r="W5045" i="14"/>
  <c r="W5046" i="14"/>
  <c r="W5047" i="14"/>
  <c r="W5048" i="14"/>
  <c r="W5049" i="14"/>
  <c r="W5050" i="14"/>
  <c r="W5051" i="14"/>
  <c r="W5052" i="14"/>
  <c r="W5053" i="14"/>
  <c r="W5054" i="14"/>
  <c r="W5055" i="14"/>
  <c r="W5056" i="14"/>
  <c r="W5057" i="14"/>
  <c r="W5058" i="14"/>
  <c r="U43" i="14"/>
  <c r="U67" i="14"/>
  <c r="U83" i="14"/>
  <c r="U85" i="14"/>
  <c r="U150" i="14"/>
  <c r="U151" i="14"/>
  <c r="U153" i="14"/>
  <c r="U154" i="14"/>
  <c r="U155" i="14"/>
  <c r="U156" i="14"/>
  <c r="U157" i="14"/>
  <c r="U163" i="14"/>
  <c r="U207" i="14"/>
  <c r="U208" i="14"/>
  <c r="U235" i="14"/>
  <c r="U243" i="14"/>
  <c r="U246" i="14"/>
  <c r="U255" i="14"/>
  <c r="U256" i="14"/>
  <c r="U267" i="14"/>
  <c r="U279" i="14"/>
  <c r="U280" i="14"/>
  <c r="U295" i="14"/>
  <c r="U296" i="14"/>
  <c r="U311" i="14"/>
  <c r="U312" i="14"/>
  <c r="U322" i="14"/>
  <c r="U353" i="14"/>
  <c r="U357" i="14"/>
  <c r="U362" i="14"/>
  <c r="U367" i="14"/>
  <c r="U370" i="14"/>
  <c r="U382" i="14"/>
  <c r="U388" i="14"/>
  <c r="U394" i="14"/>
  <c r="U403" i="14"/>
  <c r="U407" i="14"/>
  <c r="U411" i="14"/>
  <c r="U419" i="14"/>
  <c r="U423" i="14"/>
  <c r="U439" i="14"/>
  <c r="U449" i="14"/>
  <c r="U451" i="14"/>
  <c r="U455" i="14"/>
  <c r="U459" i="14"/>
  <c r="U463" i="14"/>
  <c r="U467" i="14"/>
  <c r="U479" i="14"/>
  <c r="U483" i="14"/>
  <c r="U485" i="14"/>
  <c r="U486" i="14"/>
  <c r="U487" i="14"/>
  <c r="U494" i="14"/>
  <c r="U498" i="14"/>
  <c r="U499" i="14"/>
  <c r="U506" i="14"/>
  <c r="U513" i="14"/>
  <c r="U514" i="14"/>
  <c r="U515" i="14"/>
  <c r="U516" i="14"/>
  <c r="U517" i="14"/>
  <c r="U522" i="14"/>
  <c r="U523" i="14"/>
  <c r="U526" i="14"/>
  <c r="U527" i="14"/>
  <c r="U528" i="14"/>
  <c r="U529" i="14"/>
  <c r="U539" i="14"/>
  <c r="U541" i="14"/>
  <c r="U547" i="14"/>
  <c r="U549" i="14"/>
  <c r="U551" i="14"/>
  <c r="U552" i="14"/>
  <c r="U553" i="14"/>
  <c r="U556" i="14"/>
  <c r="U558" i="14"/>
  <c r="U571" i="14"/>
  <c r="U574" i="14"/>
  <c r="U583" i="14"/>
  <c r="U587" i="14"/>
  <c r="U595" i="14"/>
  <c r="U603" i="14"/>
  <c r="U604" i="14"/>
  <c r="U605" i="14"/>
  <c r="U607" i="14"/>
  <c r="U614" i="14"/>
  <c r="U619" i="14"/>
  <c r="U630" i="14"/>
  <c r="U631" i="14"/>
  <c r="U632" i="14"/>
  <c r="U633" i="14"/>
  <c r="U638" i="14"/>
  <c r="U663" i="14"/>
  <c r="U665" i="14"/>
  <c r="U667" i="14"/>
  <c r="U668" i="14"/>
  <c r="U669" i="14"/>
  <c r="U672" i="14"/>
  <c r="U674" i="14"/>
  <c r="U675" i="14"/>
  <c r="U679" i="14"/>
  <c r="U680" i="14"/>
  <c r="U681" i="14"/>
  <c r="U701" i="14"/>
  <c r="U703" i="14"/>
  <c r="U704" i="14"/>
  <c r="U705" i="14"/>
  <c r="U710" i="14"/>
  <c r="U733" i="14"/>
  <c r="U736" i="14"/>
  <c r="U737" i="14"/>
  <c r="U738" i="14"/>
  <c r="U739" i="14"/>
  <c r="U740" i="14"/>
  <c r="U741" i="14"/>
  <c r="U745" i="14"/>
  <c r="U746" i="14"/>
  <c r="U747" i="14"/>
  <c r="U750" i="14"/>
  <c r="U751" i="14"/>
  <c r="U758" i="14"/>
  <c r="U765" i="14"/>
  <c r="U769" i="14"/>
  <c r="U774" i="14"/>
  <c r="U779" i="14"/>
  <c r="U781" i="14"/>
  <c r="U783" i="14"/>
  <c r="U785" i="14"/>
  <c r="U788" i="14"/>
  <c r="U790" i="14"/>
  <c r="U791" i="14"/>
  <c r="U795" i="14"/>
  <c r="U799" i="14"/>
  <c r="U803" i="14"/>
  <c r="U807" i="14"/>
  <c r="U816" i="14"/>
  <c r="U819" i="14"/>
  <c r="U823" i="14"/>
  <c r="U826" i="14"/>
  <c r="U827" i="14"/>
  <c r="U831" i="14"/>
  <c r="U834" i="14"/>
  <c r="U843" i="14"/>
  <c r="U851" i="14"/>
  <c r="U855" i="14"/>
  <c r="U862" i="14"/>
  <c r="U865" i="14"/>
  <c r="U868" i="14"/>
  <c r="U869" i="14"/>
  <c r="U870" i="14"/>
  <c r="U871" i="14"/>
  <c r="U872" i="14"/>
  <c r="U873" i="14"/>
  <c r="U877" i="14"/>
  <c r="U878" i="14"/>
  <c r="U891" i="14"/>
  <c r="U898" i="14"/>
  <c r="U909" i="14"/>
  <c r="U910" i="14"/>
  <c r="U911" i="14"/>
  <c r="U912" i="14"/>
  <c r="U913" i="14"/>
  <c r="U918" i="14"/>
  <c r="U924" i="14"/>
  <c r="U925" i="14"/>
  <c r="U926" i="14"/>
  <c r="U927" i="14"/>
  <c r="U928" i="14"/>
  <c r="U929" i="14"/>
  <c r="U933" i="14"/>
  <c r="U934" i="14"/>
  <c r="U939" i="14"/>
  <c r="U947" i="14"/>
  <c r="U951" i="14"/>
  <c r="U954" i="14"/>
  <c r="U963" i="14"/>
  <c r="U967" i="14"/>
  <c r="U970" i="14"/>
  <c r="U975" i="14"/>
  <c r="U987" i="14"/>
  <c r="U999" i="14"/>
  <c r="U1016" i="14"/>
  <c r="U1017" i="14"/>
  <c r="U1018" i="14"/>
  <c r="U1020" i="14"/>
  <c r="U1021" i="14"/>
  <c r="U1022" i="14"/>
  <c r="U1025" i="14"/>
  <c r="U1026" i="14"/>
  <c r="U1031" i="14"/>
  <c r="U1035" i="14"/>
  <c r="U1039" i="14"/>
  <c r="U1047" i="14"/>
  <c r="U1057" i="14"/>
  <c r="U1059" i="14"/>
  <c r="U1060" i="14"/>
  <c r="U1062" i="14"/>
  <c r="U1063" i="14"/>
  <c r="U1064" i="14"/>
  <c r="U1065" i="14"/>
  <c r="U1068" i="14"/>
  <c r="U1069" i="14"/>
  <c r="U1071" i="14"/>
  <c r="U1075" i="14"/>
  <c r="U1079" i="14"/>
  <c r="U1083" i="14"/>
  <c r="U1087" i="14"/>
  <c r="U1088" i="14"/>
  <c r="U1091" i="14"/>
  <c r="U1095" i="14"/>
  <c r="U1097" i="14"/>
  <c r="U1100" i="14"/>
  <c r="U1103" i="14"/>
  <c r="U1105" i="14"/>
  <c r="U1106" i="14"/>
  <c r="U1107" i="14"/>
  <c r="U1108" i="14"/>
  <c r="U1109" i="14"/>
  <c r="U1112" i="14"/>
  <c r="U1114" i="14"/>
  <c r="U1115" i="14"/>
  <c r="U1123" i="14"/>
  <c r="U1127" i="14"/>
  <c r="U1143" i="14"/>
  <c r="U1147" i="14"/>
  <c r="U1151" i="14"/>
  <c r="U1155" i="14"/>
  <c r="U1159" i="14"/>
  <c r="U1164" i="14"/>
  <c r="U1167" i="14"/>
  <c r="U1169" i="14"/>
  <c r="U1171" i="14"/>
  <c r="U1172" i="14"/>
  <c r="U1173" i="14"/>
  <c r="U1176" i="14"/>
  <c r="U1178" i="14"/>
  <c r="U1179" i="14"/>
  <c r="U1183" i="14"/>
  <c r="U1187" i="14"/>
  <c r="U1196" i="14"/>
  <c r="U1197" i="14"/>
  <c r="U1198" i="14"/>
  <c r="U1199" i="14"/>
  <c r="U1200" i="14"/>
  <c r="U1201" i="14"/>
  <c r="U1205" i="14"/>
  <c r="U1206" i="14"/>
  <c r="U1211" i="14"/>
  <c r="U1214" i="14"/>
  <c r="U1224" i="14"/>
  <c r="U1225" i="14"/>
  <c r="U1226" i="14"/>
  <c r="U1227" i="14"/>
  <c r="U1228" i="14"/>
  <c r="U1229" i="14"/>
  <c r="U1233" i="14"/>
  <c r="U1234" i="14"/>
  <c r="U1235" i="14"/>
  <c r="U1249" i="14"/>
  <c r="U1251" i="14"/>
  <c r="U1252" i="14"/>
  <c r="U1253" i="14"/>
  <c r="U1257" i="14"/>
  <c r="U1258" i="14"/>
  <c r="U1267" i="14"/>
  <c r="U1271" i="14"/>
  <c r="U1272" i="14"/>
  <c r="U1273" i="14"/>
  <c r="U1276" i="14"/>
  <c r="U1284" i="14"/>
  <c r="U1285" i="14"/>
  <c r="U1286" i="14"/>
  <c r="U1288" i="14"/>
  <c r="U1289" i="14"/>
  <c r="U1293" i="14"/>
  <c r="U1294" i="14"/>
  <c r="U1295" i="14"/>
  <c r="U1296" i="14"/>
  <c r="U1299" i="14"/>
  <c r="U1303" i="14"/>
  <c r="U1306" i="14"/>
  <c r="U1307" i="14"/>
  <c r="U1309" i="14"/>
  <c r="U1311" i="14"/>
  <c r="U1313" i="14"/>
  <c r="U1319" i="14"/>
  <c r="U1322" i="14"/>
  <c r="U1335" i="14"/>
  <c r="U1336" i="14"/>
  <c r="U1338" i="14"/>
  <c r="U1343" i="14"/>
  <c r="U1345" i="14"/>
  <c r="U1347" i="14"/>
  <c r="U1349" i="14"/>
  <c r="U1352" i="14"/>
  <c r="U1354" i="14"/>
  <c r="U1363" i="14"/>
  <c r="U1367" i="14"/>
  <c r="U1370" i="14"/>
  <c r="U1375" i="14"/>
  <c r="U1379" i="14"/>
  <c r="U1387" i="14"/>
  <c r="U1407" i="14"/>
  <c r="U1408" i="14"/>
  <c r="U1410" i="14"/>
  <c r="U1411" i="14"/>
  <c r="U1412" i="14"/>
  <c r="U1413" i="14"/>
  <c r="U1416" i="14"/>
  <c r="U1417" i="14"/>
  <c r="U1419" i="14"/>
  <c r="U1423" i="14"/>
  <c r="U1427" i="14"/>
  <c r="U1428" i="14"/>
  <c r="U1432" i="14"/>
  <c r="U1433" i="14"/>
  <c r="U1435" i="14"/>
  <c r="U1437" i="14"/>
  <c r="U1439" i="14"/>
  <c r="U1440" i="14"/>
  <c r="U1441" i="14"/>
  <c r="U1444" i="14"/>
  <c r="U1446" i="14"/>
  <c r="U1451" i="14"/>
  <c r="U1455" i="14"/>
  <c r="U1457" i="14"/>
  <c r="U1460" i="14"/>
  <c r="U1467" i="14"/>
  <c r="U1468" i="14"/>
  <c r="U1473" i="14"/>
  <c r="U1475" i="14"/>
  <c r="U1476" i="14"/>
  <c r="U1478" i="14"/>
  <c r="U1479" i="14"/>
  <c r="U1480" i="14"/>
  <c r="U1481" i="14"/>
  <c r="U1484" i="14"/>
  <c r="U1485" i="14"/>
  <c r="U1494" i="14"/>
  <c r="U1495" i="14"/>
  <c r="U1496" i="14"/>
  <c r="U1497" i="14"/>
  <c r="U1504" i="14"/>
  <c r="U1505" i="14"/>
  <c r="U1507" i="14"/>
  <c r="U1509" i="14"/>
  <c r="U1511" i="14"/>
  <c r="U1512" i="14"/>
  <c r="U1513" i="14"/>
  <c r="U1516" i="14"/>
  <c r="U1518" i="14"/>
  <c r="U1519" i="14"/>
  <c r="U1523" i="14"/>
  <c r="U1524" i="14"/>
  <c r="U1532" i="14"/>
  <c r="U1535" i="14"/>
  <c r="U1536" i="14"/>
  <c r="U1537" i="14"/>
  <c r="U1541" i="14"/>
  <c r="U1544" i="14"/>
  <c r="U1549" i="14"/>
  <c r="U1552" i="14"/>
  <c r="U1553" i="14"/>
  <c r="U1558" i="14"/>
  <c r="U1559" i="14"/>
  <c r="U1564" i="14"/>
  <c r="U1568" i="14"/>
  <c r="U1569" i="14"/>
  <c r="U1571" i="14"/>
  <c r="U1572" i="14"/>
  <c r="U1573" i="14"/>
  <c r="U1577" i="14"/>
  <c r="U1578" i="14"/>
  <c r="U1580" i="14"/>
  <c r="U1581" i="14"/>
  <c r="U1583" i="14"/>
  <c r="U1585" i="14"/>
  <c r="U1587" i="14"/>
  <c r="U1588" i="14"/>
  <c r="U1589" i="14"/>
  <c r="U1592" i="14"/>
  <c r="U1594" i="14"/>
  <c r="U1602" i="14"/>
  <c r="U1603" i="14"/>
  <c r="U1604" i="14"/>
  <c r="U1605" i="14"/>
  <c r="U1611" i="14"/>
  <c r="U1619" i="14"/>
  <c r="U1620" i="14"/>
  <c r="U1622" i="14"/>
  <c r="U1623" i="14"/>
  <c r="U1624" i="14"/>
  <c r="U1625" i="14"/>
  <c r="U1628" i="14"/>
  <c r="U1629" i="14"/>
  <c r="U1632" i="14"/>
  <c r="U1633" i="14"/>
  <c r="U1635" i="14"/>
  <c r="U1636" i="14"/>
  <c r="U1637" i="14"/>
  <c r="U1639" i="14"/>
  <c r="U1640" i="14"/>
  <c r="U1641" i="14"/>
  <c r="U1644" i="14"/>
  <c r="U1646" i="14"/>
  <c r="U1648" i="14"/>
  <c r="U1649" i="14"/>
  <c r="U1651" i="14"/>
  <c r="U1652" i="14"/>
  <c r="U1654" i="14"/>
  <c r="U1655" i="14"/>
  <c r="U1656" i="14"/>
  <c r="U1657" i="14"/>
  <c r="U1660" i="14"/>
  <c r="U1661" i="14"/>
  <c r="U1663" i="14"/>
  <c r="U1667" i="14"/>
  <c r="U1671" i="14"/>
  <c r="U1680" i="14"/>
  <c r="U1682" i="14"/>
  <c r="U1684" i="14"/>
  <c r="U1688" i="14"/>
  <c r="U1689" i="14"/>
  <c r="U1693" i="14"/>
  <c r="U1695" i="14"/>
  <c r="U1696" i="14"/>
  <c r="U1698" i="14"/>
  <c r="U1699" i="14"/>
  <c r="U1700" i="14"/>
  <c r="U1701" i="14"/>
  <c r="U1704" i="14"/>
  <c r="U1705" i="14"/>
  <c r="U1708" i="14"/>
  <c r="U1709" i="14"/>
  <c r="U1711" i="14"/>
  <c r="U1712" i="14"/>
  <c r="U1714" i="14"/>
  <c r="U1715" i="14"/>
  <c r="U1716" i="14"/>
  <c r="U1717" i="14"/>
  <c r="U1720" i="14"/>
  <c r="U1721" i="14"/>
  <c r="U1724" i="14"/>
  <c r="U1728" i="14"/>
  <c r="U1729" i="14"/>
  <c r="U1732" i="14"/>
  <c r="U1733" i="14"/>
  <c r="U1737" i="14"/>
  <c r="U1738" i="14"/>
  <c r="U1743" i="14"/>
  <c r="U1744" i="14"/>
  <c r="U1746" i="14"/>
  <c r="U1747" i="14"/>
  <c r="U1748" i="14"/>
  <c r="U1749" i="14"/>
  <c r="U1752" i="14"/>
  <c r="U1753" i="14"/>
  <c r="U1759" i="14"/>
  <c r="U1760" i="14"/>
  <c r="U1762" i="14"/>
  <c r="U1763" i="14"/>
  <c r="U1764" i="14"/>
  <c r="U1765" i="14"/>
  <c r="U1768" i="14"/>
  <c r="U1769" i="14"/>
  <c r="U1777" i="14"/>
  <c r="U1781" i="14"/>
  <c r="U1786" i="14"/>
  <c r="U1798" i="14"/>
  <c r="U1799" i="14"/>
  <c r="U1800" i="14"/>
  <c r="U1801" i="14"/>
  <c r="U1811" i="14"/>
  <c r="U1812" i="14"/>
  <c r="U1814" i="14"/>
  <c r="U1815" i="14"/>
  <c r="U1816" i="14"/>
  <c r="U1817" i="14"/>
  <c r="U1820" i="14"/>
  <c r="U1821" i="14"/>
  <c r="U1823" i="14"/>
  <c r="U1828" i="14"/>
  <c r="U1829" i="14"/>
  <c r="U1831" i="14"/>
  <c r="U1833" i="14"/>
  <c r="U1834" i="14"/>
  <c r="U1835" i="14"/>
  <c r="U1836" i="14"/>
  <c r="U1837" i="14"/>
  <c r="U1840" i="14"/>
  <c r="U1842" i="14"/>
  <c r="U1849" i="14"/>
  <c r="U1853" i="14"/>
  <c r="U1858" i="14"/>
  <c r="U1866" i="14"/>
  <c r="U1867" i="14"/>
  <c r="U1868" i="14"/>
  <c r="U1869" i="14"/>
  <c r="U1873" i="14"/>
  <c r="U1879" i="14"/>
  <c r="U1881" i="14"/>
  <c r="U1883" i="14"/>
  <c r="U1884" i="14"/>
  <c r="U1885" i="14"/>
  <c r="U1888" i="14"/>
  <c r="U1890" i="14"/>
  <c r="U1891" i="14"/>
  <c r="U1892" i="14"/>
  <c r="U1893" i="14"/>
  <c r="U1894" i="14"/>
  <c r="U1895" i="14"/>
  <c r="U1896" i="14"/>
  <c r="U1901" i="14"/>
  <c r="U1903" i="14"/>
  <c r="U1904" i="14"/>
  <c r="U1906" i="14"/>
  <c r="U1907" i="14"/>
  <c r="U1908" i="14"/>
  <c r="U1909" i="14"/>
  <c r="U1912" i="14"/>
  <c r="U1913" i="14"/>
  <c r="U1919" i="14"/>
  <c r="U1920" i="14"/>
  <c r="U1922" i="14"/>
  <c r="U1923" i="14"/>
  <c r="U1924" i="14"/>
  <c r="U1925" i="14"/>
  <c r="U1928" i="14"/>
  <c r="U1929" i="14"/>
  <c r="U1937" i="14"/>
  <c r="U1941" i="14"/>
  <c r="U1945" i="14"/>
  <c r="U1946" i="14"/>
  <c r="U1952" i="14"/>
  <c r="U1953" i="14"/>
  <c r="U1956" i="14"/>
  <c r="U1957" i="14"/>
  <c r="U1961" i="14"/>
  <c r="U1962" i="14"/>
  <c r="U1963" i="14"/>
  <c r="U1968" i="14"/>
  <c r="U1973" i="14"/>
  <c r="U1977" i="14"/>
  <c r="U1982" i="14"/>
  <c r="U1988" i="14"/>
  <c r="U1989" i="14"/>
  <c r="U1991" i="14"/>
  <c r="U1992" i="14"/>
  <c r="U1993" i="14"/>
  <c r="U1997" i="14"/>
  <c r="U1998" i="14"/>
  <c r="U2003" i="14"/>
  <c r="U2005" i="14"/>
  <c r="U2007" i="14"/>
  <c r="U2009" i="14"/>
  <c r="U2012" i="14"/>
  <c r="U2014" i="14"/>
  <c r="U2017" i="14"/>
  <c r="U2019" i="14"/>
  <c r="U2020" i="14"/>
  <c r="U2022" i="14"/>
  <c r="U2023" i="14"/>
  <c r="U2024" i="14"/>
  <c r="U2025" i="14"/>
  <c r="U2028" i="14"/>
  <c r="U2029" i="14"/>
  <c r="U2035" i="14"/>
  <c r="U2037" i="14"/>
  <c r="U2039" i="14"/>
  <c r="U2041" i="14"/>
  <c r="U2044" i="14"/>
  <c r="U2046" i="14"/>
  <c r="U2047" i="14"/>
  <c r="U2049" i="14"/>
  <c r="U2058" i="14"/>
  <c r="U2059" i="14"/>
  <c r="U2060" i="14"/>
  <c r="U2061" i="14"/>
  <c r="U2065" i="14"/>
  <c r="U2071" i="14"/>
  <c r="U2073" i="14"/>
  <c r="U2075" i="14"/>
  <c r="U2077" i="14"/>
  <c r="U2080" i="14"/>
  <c r="U2082" i="14"/>
  <c r="U2083" i="14"/>
  <c r="U2093" i="14"/>
  <c r="U2097" i="14"/>
  <c r="U2102" i="14"/>
  <c r="U2108" i="14"/>
  <c r="U2109" i="14"/>
  <c r="U2112" i="14"/>
  <c r="U2113" i="14"/>
  <c r="U2117" i="14"/>
  <c r="U2118" i="14"/>
  <c r="U2123" i="14"/>
  <c r="U2127" i="14"/>
  <c r="U2132" i="14"/>
  <c r="U2142" i="14"/>
  <c r="U2143" i="14"/>
  <c r="U2149" i="14"/>
  <c r="U2151" i="14"/>
  <c r="U2152" i="14"/>
  <c r="U2159" i="14"/>
  <c r="U2160" i="14"/>
  <c r="U2162" i="14"/>
  <c r="U2163" i="14"/>
  <c r="U2164" i="14"/>
  <c r="U2165" i="14"/>
  <c r="U2168" i="14"/>
  <c r="U2169" i="14"/>
  <c r="U2176" i="14"/>
  <c r="U2177" i="14"/>
  <c r="U2180" i="14"/>
  <c r="U2181" i="14"/>
  <c r="U2182" i="14"/>
  <c r="U2184" i="14"/>
  <c r="U2185" i="14"/>
  <c r="U2186" i="14"/>
  <c r="U2197" i="14"/>
  <c r="U2201" i="14"/>
  <c r="U2206" i="14"/>
  <c r="U2209" i="14"/>
  <c r="U2231" i="14"/>
  <c r="U2232" i="14"/>
  <c r="U2234" i="14"/>
  <c r="U2235" i="14"/>
  <c r="U2236" i="14"/>
  <c r="U2237" i="14"/>
  <c r="U2240" i="14"/>
  <c r="U2241" i="14"/>
  <c r="U2248" i="14"/>
  <c r="U2249" i="14"/>
  <c r="U2250" i="14"/>
  <c r="U2251" i="14"/>
  <c r="U2252" i="14"/>
  <c r="U2253" i="14"/>
  <c r="U2257" i="14"/>
  <c r="U2258" i="14"/>
  <c r="U2260" i="14"/>
  <c r="U2261" i="14"/>
  <c r="U2263" i="14"/>
  <c r="U2265" i="14"/>
  <c r="U2267" i="14"/>
  <c r="U2268" i="14"/>
  <c r="U2269" i="14"/>
  <c r="U2272" i="14"/>
  <c r="U2274" i="14"/>
  <c r="U2276" i="14"/>
  <c r="U2277" i="14"/>
  <c r="U2281" i="14"/>
  <c r="U2282" i="14"/>
  <c r="U2283" i="14"/>
  <c r="U2284" i="14"/>
  <c r="U2285" i="14"/>
  <c r="U2289" i="14"/>
  <c r="U2290" i="14"/>
  <c r="U2291" i="14"/>
  <c r="U2300" i="14"/>
  <c r="U2302" i="14"/>
  <c r="U2303" i="14"/>
  <c r="U2304" i="14"/>
  <c r="U2305" i="14"/>
  <c r="U2308" i="14"/>
  <c r="U2309" i="14"/>
  <c r="U2315" i="14"/>
  <c r="U2316" i="14"/>
  <c r="U2318" i="14"/>
  <c r="U2319" i="14"/>
  <c r="U2320" i="14"/>
  <c r="U2321" i="14"/>
  <c r="U2324" i="14"/>
  <c r="U2325" i="14"/>
  <c r="U2331" i="14"/>
  <c r="U2332" i="14"/>
  <c r="U2334" i="14"/>
  <c r="U2335" i="14"/>
  <c r="U2336" i="14"/>
  <c r="U2337" i="14"/>
  <c r="U2340" i="14"/>
  <c r="U2341" i="14"/>
  <c r="U2343" i="14"/>
  <c r="U2351" i="14"/>
  <c r="U2365" i="14"/>
  <c r="U2367" i="14"/>
  <c r="U2368" i="14"/>
  <c r="U2369" i="14"/>
  <c r="U2374" i="14"/>
  <c r="U2377" i="14"/>
  <c r="U2379" i="14"/>
  <c r="U2380" i="14"/>
  <c r="U2382" i="14"/>
  <c r="U2383" i="14"/>
  <c r="U2384" i="14"/>
  <c r="U2385" i="14"/>
  <c r="U2388" i="14"/>
  <c r="U2389" i="14"/>
  <c r="U2392" i="14"/>
  <c r="U2395" i="14"/>
  <c r="U2397" i="14"/>
  <c r="U2398" i="14"/>
  <c r="U2399" i="14"/>
  <c r="U2400" i="14"/>
  <c r="U2401" i="14"/>
  <c r="U2404" i="14"/>
  <c r="U2406" i="14"/>
  <c r="U2408" i="14"/>
  <c r="U2409" i="14"/>
  <c r="U2413" i="14"/>
  <c r="U2414" i="14"/>
  <c r="U2415" i="14"/>
  <c r="U2416" i="14"/>
  <c r="U2417" i="14"/>
  <c r="U2421" i="14"/>
  <c r="U2422" i="14"/>
  <c r="U2423" i="14"/>
  <c r="U2431" i="14"/>
  <c r="U2435" i="14"/>
  <c r="U2440" i="14"/>
  <c r="U2442" i="14"/>
  <c r="U2448" i="14"/>
  <c r="U2449" i="14"/>
  <c r="U2452" i="14"/>
  <c r="U2453" i="14"/>
  <c r="U2457" i="14"/>
  <c r="U2458" i="14"/>
  <c r="U2460" i="14"/>
  <c r="U2461" i="14"/>
  <c r="U2465" i="14"/>
  <c r="U2466" i="14"/>
  <c r="U2467" i="14"/>
  <c r="U2468" i="14"/>
  <c r="U2469" i="14"/>
  <c r="U2473" i="14"/>
  <c r="U2474" i="14"/>
  <c r="U2480" i="14"/>
  <c r="U2484" i="14"/>
  <c r="U2485" i="14"/>
  <c r="U2489" i="14"/>
  <c r="U2496" i="14"/>
  <c r="U2497" i="14"/>
  <c r="U2500" i="14"/>
  <c r="U2501" i="14"/>
  <c r="U2505" i="14"/>
  <c r="U2506" i="14"/>
  <c r="U2514" i="14"/>
  <c r="U2515" i="14"/>
  <c r="U2516" i="14"/>
  <c r="U2517" i="14"/>
  <c r="U2521" i="14"/>
  <c r="U2530" i="14"/>
  <c r="U2531" i="14"/>
  <c r="U2532" i="14"/>
  <c r="U2533" i="14"/>
  <c r="U2536" i="14"/>
  <c r="U2544" i="14"/>
  <c r="U2545" i="14"/>
  <c r="U2547" i="14"/>
  <c r="U2549" i="14"/>
  <c r="U2551" i="14"/>
  <c r="U2552" i="14"/>
  <c r="U2553" i="14"/>
  <c r="U2556" i="14"/>
  <c r="U2558" i="14"/>
  <c r="U2559" i="14"/>
  <c r="U2567" i="14"/>
  <c r="U2568" i="14"/>
  <c r="U2570" i="14"/>
  <c r="U2571" i="14"/>
  <c r="U2572" i="14"/>
  <c r="U2573" i="14"/>
  <c r="U2576" i="14"/>
  <c r="U2577" i="14"/>
  <c r="U2586" i="14"/>
  <c r="U2587" i="14"/>
  <c r="U2588" i="14"/>
  <c r="U2589" i="14"/>
  <c r="U2595" i="14"/>
  <c r="U2603" i="14"/>
  <c r="U2604" i="14"/>
  <c r="U2606" i="14"/>
  <c r="U2607" i="14"/>
  <c r="U2608" i="14"/>
  <c r="U2609" i="14"/>
  <c r="U2612" i="14"/>
  <c r="U2613" i="14"/>
  <c r="U2616" i="14"/>
  <c r="U2621" i="14"/>
  <c r="U2622" i="14"/>
  <c r="U2623" i="14"/>
  <c r="U2624" i="14"/>
  <c r="U2625" i="14"/>
  <c r="U2630" i="14"/>
  <c r="U2631" i="14"/>
  <c r="U2639" i="14"/>
  <c r="U2643" i="14"/>
  <c r="U2645" i="14"/>
  <c r="U2648" i="14"/>
  <c r="U2650" i="14"/>
  <c r="U2655" i="14"/>
  <c r="U2659" i="14"/>
  <c r="U2664" i="14"/>
  <c r="U2688" i="14"/>
  <c r="U2692" i="14"/>
  <c r="U2693" i="14"/>
  <c r="U2697" i="14"/>
  <c r="U2700" i="14"/>
  <c r="U2701" i="14"/>
  <c r="U2703" i="14"/>
  <c r="U2705" i="14"/>
  <c r="U2706" i="14"/>
  <c r="U2707" i="14"/>
  <c r="U2708" i="14"/>
  <c r="U2709" i="14"/>
  <c r="U2712" i="14"/>
  <c r="U2714" i="14"/>
  <c r="U2719" i="14"/>
  <c r="U2721" i="14"/>
  <c r="U2723" i="14"/>
  <c r="U2725" i="14"/>
  <c r="U2728" i="14"/>
  <c r="U2730" i="14"/>
  <c r="U2735" i="14"/>
  <c r="U2737" i="14"/>
  <c r="U2738" i="14"/>
  <c r="U2739" i="14"/>
  <c r="U2740" i="14"/>
  <c r="U2741" i="14"/>
  <c r="U2744" i="14"/>
  <c r="U2746" i="14"/>
  <c r="U2751" i="14"/>
  <c r="U2753" i="14"/>
  <c r="U2754" i="14"/>
  <c r="U2755" i="14"/>
  <c r="U2756" i="14"/>
  <c r="U2757" i="14"/>
  <c r="U2760" i="14"/>
  <c r="U2762" i="14"/>
  <c r="U2764" i="14"/>
  <c r="U2765" i="14"/>
  <c r="U2767" i="14"/>
  <c r="U2768" i="14"/>
  <c r="U2769" i="14"/>
  <c r="U2772" i="14"/>
  <c r="U2773" i="14"/>
  <c r="U2777" i="14"/>
  <c r="U2778" i="14"/>
  <c r="U2783" i="14"/>
  <c r="U2786" i="14"/>
  <c r="U2788" i="14"/>
  <c r="U2791" i="14"/>
  <c r="U2793" i="14"/>
  <c r="U2794" i="14"/>
  <c r="U2795" i="14"/>
  <c r="U2796" i="14"/>
  <c r="U2797" i="14"/>
  <c r="U2800" i="14"/>
  <c r="U2802" i="14"/>
  <c r="U2807" i="14"/>
  <c r="U2809" i="14"/>
  <c r="U2810" i="14"/>
  <c r="U2811" i="14"/>
  <c r="U2812" i="14"/>
  <c r="U2813" i="14"/>
  <c r="U2816" i="14"/>
  <c r="U2818" i="14"/>
  <c r="U2823" i="14"/>
  <c r="U2825" i="14"/>
  <c r="U2827" i="14"/>
  <c r="U2829" i="14"/>
  <c r="U2832" i="14"/>
  <c r="U2834" i="14"/>
  <c r="U2837" i="14"/>
  <c r="U2839" i="14"/>
  <c r="U2840" i="14"/>
  <c r="U2842" i="14"/>
  <c r="U2843" i="14"/>
  <c r="U2844" i="14"/>
  <c r="U2845" i="14"/>
  <c r="U2848" i="14"/>
  <c r="U2849" i="14"/>
  <c r="U2855" i="14"/>
  <c r="U2856" i="14"/>
  <c r="U2858" i="14"/>
  <c r="U2859" i="14"/>
  <c r="U2860" i="14"/>
  <c r="U2861" i="14"/>
  <c r="U2864" i="14"/>
  <c r="U2865" i="14"/>
  <c r="U2872" i="14"/>
  <c r="U2873" i="14"/>
  <c r="U2874" i="14"/>
  <c r="U2875" i="14"/>
  <c r="U2876" i="14"/>
  <c r="U2877" i="14"/>
  <c r="U2881" i="14"/>
  <c r="U2882" i="14"/>
  <c r="U2887" i="14"/>
  <c r="U2890" i="14"/>
  <c r="U2891" i="14"/>
  <c r="U2892" i="14"/>
  <c r="U2893" i="14"/>
  <c r="U2896" i="14"/>
  <c r="U2903" i="14"/>
  <c r="U2905" i="14"/>
  <c r="U2906" i="14"/>
  <c r="U2907" i="14"/>
  <c r="U2908" i="14"/>
  <c r="U2909" i="14"/>
  <c r="U2912" i="14"/>
  <c r="U2914" i="14"/>
  <c r="U2920" i="14"/>
  <c r="U2922" i="14"/>
  <c r="U2923" i="14"/>
  <c r="U2924" i="14"/>
  <c r="U2928" i="14"/>
  <c r="U2929" i="14"/>
  <c r="U2939" i="14"/>
  <c r="U2948" i="14"/>
  <c r="U2949" i="14"/>
  <c r="U2952" i="14"/>
  <c r="U2953" i="14"/>
  <c r="U2957" i="14"/>
  <c r="U2958" i="14"/>
  <c r="U2961" i="14"/>
  <c r="U2962" i="14"/>
  <c r="U2963" i="14"/>
  <c r="U2964" i="14"/>
  <c r="U2965" i="14"/>
  <c r="U2967" i="14"/>
  <c r="U2968" i="14"/>
  <c r="U2969" i="14"/>
  <c r="U2970" i="14"/>
  <c r="U2971" i="14"/>
  <c r="U2972" i="14"/>
  <c r="U2973" i="14"/>
  <c r="U2976" i="14"/>
  <c r="U2977" i="14"/>
  <c r="U2978" i="14"/>
  <c r="U2980" i="14"/>
  <c r="U2981" i="14"/>
  <c r="U2983" i="14"/>
  <c r="U2985" i="14"/>
  <c r="U2986" i="14"/>
  <c r="U2987" i="14"/>
  <c r="U2988" i="14"/>
  <c r="U2989" i="14"/>
  <c r="U2992" i="14"/>
  <c r="U2994" i="14"/>
  <c r="U3001" i="14"/>
  <c r="U3002" i="14"/>
  <c r="U3003" i="14"/>
  <c r="U3004" i="14"/>
  <c r="U3005" i="14"/>
  <c r="U3010" i="14"/>
  <c r="U3015" i="14"/>
  <c r="U3016" i="14"/>
  <c r="U3018" i="14"/>
  <c r="U3019" i="14"/>
  <c r="U3020" i="14"/>
  <c r="U3021" i="14"/>
  <c r="U3024" i="14"/>
  <c r="U3025" i="14"/>
  <c r="U3027" i="14"/>
  <c r="U3028" i="14"/>
  <c r="U3029" i="14"/>
  <c r="U3031" i="14"/>
  <c r="U3032" i="14"/>
  <c r="U3033" i="14"/>
  <c r="U3034" i="14"/>
  <c r="U3035" i="14"/>
  <c r="U3036" i="14"/>
  <c r="U3037" i="14"/>
  <c r="U3040" i="14"/>
  <c r="U3041" i="14"/>
  <c r="U3042" i="14"/>
  <c r="U3044" i="14"/>
  <c r="U3045" i="14"/>
  <c r="U3047" i="14"/>
  <c r="U3049" i="14"/>
  <c r="U3050" i="14"/>
  <c r="U3051" i="14"/>
  <c r="U3052" i="14"/>
  <c r="U3053" i="14"/>
  <c r="U3054" i="14"/>
  <c r="U3056" i="14"/>
  <c r="U3058" i="14"/>
  <c r="U3063" i="14"/>
  <c r="U3064" i="14"/>
  <c r="U3066" i="14"/>
  <c r="U3067" i="14"/>
  <c r="U3068" i="14"/>
  <c r="U3069" i="14"/>
  <c r="U3072" i="14"/>
  <c r="U3073" i="14"/>
  <c r="U3075" i="14"/>
  <c r="U3076" i="14"/>
  <c r="U3077" i="14"/>
  <c r="U3079" i="14"/>
  <c r="U3080" i="14"/>
  <c r="U3081" i="14"/>
  <c r="U3082" i="14"/>
  <c r="U3083" i="14"/>
  <c r="U3084" i="14"/>
  <c r="U3085" i="14"/>
  <c r="U3088" i="14"/>
  <c r="U3089" i="14"/>
  <c r="U3090" i="14"/>
  <c r="U3095" i="14"/>
  <c r="U3097" i="14"/>
  <c r="U3098" i="14"/>
  <c r="U3099" i="14"/>
  <c r="U3100" i="14"/>
  <c r="U3101" i="14"/>
  <c r="U3104" i="14"/>
  <c r="U3106" i="14"/>
  <c r="U3108" i="14"/>
  <c r="U3109" i="14"/>
  <c r="U3111" i="14"/>
  <c r="U3113" i="14"/>
  <c r="U3114" i="14"/>
  <c r="U3115" i="14"/>
  <c r="U3116" i="14"/>
  <c r="U3117" i="14"/>
  <c r="U3120" i="14"/>
  <c r="U3122" i="14"/>
  <c r="U3127" i="14"/>
  <c r="U3128" i="14"/>
  <c r="U3130" i="14"/>
  <c r="U3131" i="14"/>
  <c r="U3132" i="14"/>
  <c r="U3133" i="14"/>
  <c r="U3136" i="14"/>
  <c r="U3137" i="14"/>
  <c r="U3143" i="14"/>
  <c r="U3145" i="14"/>
  <c r="U3146" i="14"/>
  <c r="U3147" i="14"/>
  <c r="U3149" i="14"/>
  <c r="U3152" i="14"/>
  <c r="U3154" i="14"/>
  <c r="U3162" i="14"/>
  <c r="U3163" i="14"/>
  <c r="U3164" i="14"/>
  <c r="U3165" i="14"/>
  <c r="U3171" i="14"/>
  <c r="U3172" i="14"/>
  <c r="U3173" i="14"/>
  <c r="U3175" i="14"/>
  <c r="U3176" i="14"/>
  <c r="U3177" i="14"/>
  <c r="U3178" i="14"/>
  <c r="U3179" i="14"/>
  <c r="U3180" i="14"/>
  <c r="U3181" i="14"/>
  <c r="U3184" i="14"/>
  <c r="U3185" i="14"/>
  <c r="U3186" i="14"/>
  <c r="U3193" i="14"/>
  <c r="U3195" i="14"/>
  <c r="U3197" i="14"/>
  <c r="U3200" i="14"/>
  <c r="U3202" i="14"/>
  <c r="U3204" i="14"/>
  <c r="U3205" i="14"/>
  <c r="U3207" i="14"/>
  <c r="U3208" i="14"/>
  <c r="U3209" i="14"/>
  <c r="U3210" i="14"/>
  <c r="U3212" i="14"/>
  <c r="U3213" i="14"/>
  <c r="U3217" i="14"/>
  <c r="U3218" i="14"/>
  <c r="U3239" i="14"/>
  <c r="U3241" i="14"/>
  <c r="U3242" i="14"/>
  <c r="U3243" i="14"/>
  <c r="U3244" i="14"/>
  <c r="U3245" i="14"/>
  <c r="U3248" i="14"/>
  <c r="U3250" i="14"/>
  <c r="U3255" i="14"/>
  <c r="U3258" i="14"/>
  <c r="U3259" i="14"/>
  <c r="U3260" i="14"/>
  <c r="U3261" i="14"/>
  <c r="U3264" i="14"/>
  <c r="U3268" i="14"/>
  <c r="U3269" i="14"/>
  <c r="U3271" i="14"/>
  <c r="U3273" i="14"/>
  <c r="U3274" i="14"/>
  <c r="U3275" i="14"/>
  <c r="U3276" i="14"/>
  <c r="U3277" i="14"/>
  <c r="U3278" i="14"/>
  <c r="U3280" i="14"/>
  <c r="U3281" i="14"/>
  <c r="U3282" i="14"/>
  <c r="U3284" i="14"/>
  <c r="U3285" i="14"/>
  <c r="U3287" i="14"/>
  <c r="U3288" i="14"/>
  <c r="U3289" i="14"/>
  <c r="U3290" i="14"/>
  <c r="U3291" i="14"/>
  <c r="U3292" i="14"/>
  <c r="U3293" i="14"/>
  <c r="U3294" i="14"/>
  <c r="U3296" i="14"/>
  <c r="U3297" i="14"/>
  <c r="U3298" i="14"/>
  <c r="U3300" i="14"/>
  <c r="U3301" i="14"/>
  <c r="U3303" i="14"/>
  <c r="U3304" i="14"/>
  <c r="U3305" i="14"/>
  <c r="U3306" i="14"/>
  <c r="U3307" i="14"/>
  <c r="U3308" i="14"/>
  <c r="U3309" i="14"/>
  <c r="U3310" i="14"/>
  <c r="U3312" i="14"/>
  <c r="U3313" i="14"/>
  <c r="U3314" i="14"/>
  <c r="U3316" i="14"/>
  <c r="U3317" i="14"/>
  <c r="U3319" i="14"/>
  <c r="U3320" i="14"/>
  <c r="U3321" i="14"/>
  <c r="U3322" i="14"/>
  <c r="U3323" i="14"/>
  <c r="U3324" i="14"/>
  <c r="U3325" i="14"/>
  <c r="U3326" i="14"/>
  <c r="U3328" i="14"/>
  <c r="U3329" i="14"/>
  <c r="U3330" i="14"/>
  <c r="U3336" i="14"/>
  <c r="U3337" i="14"/>
  <c r="U3340" i="14"/>
  <c r="U3341" i="14"/>
  <c r="U3342" i="14"/>
  <c r="U3345" i="14"/>
  <c r="U3346" i="14"/>
  <c r="U3351" i="14"/>
  <c r="U3352" i="14"/>
  <c r="U3354" i="14"/>
  <c r="U3355" i="14"/>
  <c r="U3356" i="14"/>
  <c r="U3357" i="14"/>
  <c r="U3358" i="14"/>
  <c r="U3360" i="14"/>
  <c r="U3361" i="14"/>
  <c r="U3367" i="14"/>
  <c r="U3371" i="14"/>
  <c r="U3376" i="14"/>
  <c r="U3380" i="14"/>
  <c r="U3381" i="14"/>
  <c r="U3383" i="14"/>
  <c r="U3384" i="14"/>
  <c r="U3385" i="14"/>
  <c r="U3386" i="14"/>
  <c r="U3387" i="14"/>
  <c r="U3388" i="14"/>
  <c r="U3389" i="14"/>
  <c r="U3390" i="14"/>
  <c r="U3392" i="14"/>
  <c r="U3393" i="14"/>
  <c r="U3394" i="14"/>
  <c r="U3396" i="14"/>
  <c r="U3401" i="14"/>
  <c r="U3405" i="14"/>
  <c r="U3410" i="14"/>
  <c r="U3431" i="14"/>
  <c r="U3434" i="14"/>
  <c r="U3435" i="14"/>
  <c r="U3436" i="14"/>
  <c r="U3437" i="14"/>
  <c r="U3440" i="14"/>
  <c r="U3445" i="14"/>
  <c r="U3447" i="14"/>
  <c r="U3448" i="14"/>
  <c r="U3450" i="14"/>
  <c r="U3451" i="14"/>
  <c r="U3452" i="14"/>
  <c r="U3453" i="14"/>
  <c r="U3456" i="14"/>
  <c r="U3457" i="14"/>
  <c r="U3479" i="14"/>
  <c r="U3481" i="14"/>
  <c r="U3483" i="14"/>
  <c r="U3485" i="14"/>
  <c r="U3488" i="14"/>
  <c r="U3490" i="14"/>
  <c r="U3492" i="14"/>
  <c r="U3493" i="14"/>
  <c r="U3495" i="14"/>
  <c r="U3496" i="14"/>
  <c r="U3498" i="14"/>
  <c r="U3499" i="14"/>
  <c r="U3500" i="14"/>
  <c r="U3501" i="14"/>
  <c r="U3504" i="14"/>
  <c r="U3505" i="14"/>
  <c r="U3512" i="14"/>
  <c r="U3513" i="14"/>
  <c r="U3516" i="14"/>
  <c r="U3517" i="14"/>
  <c r="U3521" i="14"/>
  <c r="U3522" i="14"/>
  <c r="U3527" i="14"/>
  <c r="U3529" i="14"/>
  <c r="U3531" i="14"/>
  <c r="U3533" i="14"/>
  <c r="U3536" i="14"/>
  <c r="U3538" i="14"/>
  <c r="U3544" i="14"/>
  <c r="U3545" i="14"/>
  <c r="U3548" i="14"/>
  <c r="U3549" i="14"/>
  <c r="U3553" i="14"/>
  <c r="U3554" i="14"/>
  <c r="U3556" i="14"/>
  <c r="U3557" i="14"/>
  <c r="U3559" i="14"/>
  <c r="U3561" i="14"/>
  <c r="U3563" i="14"/>
  <c r="U3564" i="14"/>
  <c r="U3565" i="14"/>
  <c r="U3568" i="14"/>
  <c r="U3570" i="14"/>
  <c r="U3576" i="14"/>
  <c r="U3577" i="14"/>
  <c r="U3580" i="14"/>
  <c r="U3581" i="14"/>
  <c r="U3584" i="14"/>
  <c r="U3585" i="14"/>
  <c r="U3586" i="14"/>
  <c r="U3588" i="14"/>
  <c r="U3589" i="14"/>
  <c r="U3591" i="14"/>
  <c r="U3593" i="14"/>
  <c r="U3595" i="14"/>
  <c r="U3597" i="14"/>
  <c r="U3600" i="14"/>
  <c r="U3602" i="14"/>
  <c r="U3607" i="14"/>
  <c r="U3609" i="14"/>
  <c r="U3610" i="14"/>
  <c r="U3611" i="14"/>
  <c r="U3612" i="14"/>
  <c r="U3613" i="14"/>
  <c r="U3616" i="14"/>
  <c r="U3618" i="14"/>
  <c r="U3623" i="14"/>
  <c r="U3625" i="14"/>
  <c r="U3627" i="14"/>
  <c r="U3629" i="14"/>
  <c r="U3632" i="14"/>
  <c r="U3634" i="14"/>
  <c r="U3637" i="14"/>
  <c r="U3639" i="14"/>
  <c r="U3640" i="14"/>
  <c r="U3642" i="14"/>
  <c r="U3643" i="14"/>
  <c r="U3644" i="14"/>
  <c r="U3645" i="14"/>
  <c r="U3648" i="14"/>
  <c r="U3649" i="14"/>
  <c r="U3656" i="14"/>
  <c r="U3657" i="14"/>
  <c r="U3660" i="14"/>
  <c r="U3661" i="14"/>
  <c r="U3665" i="14"/>
  <c r="U3666" i="14"/>
  <c r="U3671" i="14"/>
  <c r="U3672" i="14"/>
  <c r="U3674" i="14"/>
  <c r="U3675" i="14"/>
  <c r="U3676" i="14"/>
  <c r="U3677" i="14"/>
  <c r="U3680" i="14"/>
  <c r="U3681" i="14"/>
  <c r="U3688" i="14"/>
  <c r="U3689" i="14"/>
  <c r="U3692" i="14"/>
  <c r="U3693" i="14"/>
  <c r="U3697" i="14"/>
  <c r="U3698" i="14"/>
  <c r="U3700" i="14"/>
  <c r="U3701" i="14"/>
  <c r="U3703" i="14"/>
  <c r="U3704" i="14"/>
  <c r="U3705" i="14"/>
  <c r="U3706" i="14"/>
  <c r="U3707" i="14"/>
  <c r="U3709" i="14"/>
  <c r="U3712" i="14"/>
  <c r="U3714" i="14"/>
  <c r="U3721" i="14"/>
  <c r="U3725" i="14"/>
  <c r="U3730" i="14"/>
  <c r="U3735" i="14"/>
  <c r="U3736" i="14"/>
  <c r="U3738" i="14"/>
  <c r="U3739" i="14"/>
  <c r="U3740" i="14"/>
  <c r="U3741" i="14"/>
  <c r="U3744" i="14"/>
  <c r="U3745" i="14"/>
  <c r="U3752" i="14"/>
  <c r="U3753" i="14"/>
  <c r="U3756" i="14"/>
  <c r="U3757" i="14"/>
  <c r="U3760" i="14"/>
  <c r="U3761" i="14"/>
  <c r="U3762" i="14"/>
  <c r="U3765" i="14"/>
  <c r="U3768" i="14"/>
  <c r="U3769" i="14"/>
  <c r="U3772" i="14"/>
  <c r="U3773" i="14"/>
  <c r="U3777" i="14"/>
  <c r="U3778" i="14"/>
  <c r="U3780" i="14"/>
  <c r="U3783" i="14"/>
  <c r="U3785" i="14"/>
  <c r="U3787" i="14"/>
  <c r="U3789" i="14"/>
  <c r="U3792" i="14"/>
  <c r="U3794" i="14"/>
  <c r="U3799" i="14"/>
  <c r="U3801" i="14"/>
  <c r="U3803" i="14"/>
  <c r="U3805" i="14"/>
  <c r="U3808" i="14"/>
  <c r="U3810" i="14"/>
  <c r="U3813" i="14"/>
  <c r="U3815" i="14"/>
  <c r="U3816" i="14"/>
  <c r="U3818" i="14"/>
  <c r="U3819" i="14"/>
  <c r="U3820" i="14"/>
  <c r="U3824" i="14"/>
  <c r="U3825" i="14"/>
  <c r="U3829" i="14"/>
  <c r="U3831" i="14"/>
  <c r="U3832" i="14"/>
  <c r="U3833" i="14"/>
  <c r="U3835" i="14"/>
  <c r="U3836" i="14"/>
  <c r="U3837" i="14"/>
  <c r="U3838" i="14"/>
  <c r="U3840" i="14"/>
  <c r="U3841" i="14"/>
  <c r="U3842" i="14"/>
  <c r="U3844" i="14"/>
  <c r="U3847" i="14"/>
  <c r="U3849" i="14"/>
  <c r="U3851" i="14"/>
  <c r="U3853" i="14"/>
  <c r="U3856" i="14"/>
  <c r="U3858" i="14"/>
  <c r="U3865" i="14"/>
  <c r="U3869" i="14"/>
  <c r="U3874" i="14"/>
  <c r="U3879" i="14"/>
  <c r="U3883" i="14"/>
  <c r="U3888" i="14"/>
  <c r="U3895" i="14"/>
  <c r="U3896" i="14"/>
  <c r="U3898" i="14"/>
  <c r="U3899" i="14"/>
  <c r="U3900" i="14"/>
  <c r="U3904" i="14"/>
  <c r="U3905" i="14"/>
  <c r="U3908" i="14"/>
  <c r="U3911" i="14"/>
  <c r="U3913" i="14"/>
  <c r="U3915" i="14"/>
  <c r="U3917" i="14"/>
  <c r="U3920" i="14"/>
  <c r="U3922" i="14"/>
  <c r="U3927" i="14"/>
  <c r="U3931" i="14"/>
  <c r="U3940" i="14"/>
  <c r="U3943" i="14"/>
  <c r="U3945" i="14"/>
  <c r="U3947" i="14"/>
  <c r="U3949" i="14"/>
  <c r="U3952" i="14"/>
  <c r="U3954" i="14"/>
  <c r="U3957" i="14"/>
  <c r="U3959" i="14"/>
  <c r="U3960" i="14"/>
  <c r="U3962" i="14"/>
  <c r="U3963" i="14"/>
  <c r="U3964" i="14"/>
  <c r="U3968" i="14"/>
  <c r="U3969" i="14"/>
  <c r="U3972" i="14"/>
  <c r="U3973" i="14"/>
  <c r="U3975" i="14"/>
  <c r="U3977" i="14"/>
  <c r="U3979" i="14"/>
  <c r="U3980" i="14"/>
  <c r="U3981" i="14"/>
  <c r="U3984" i="14"/>
  <c r="U3986" i="14"/>
  <c r="U3991" i="14"/>
  <c r="U3995" i="14"/>
  <c r="U4000" i="14"/>
  <c r="U4007" i="14"/>
  <c r="U4008" i="14"/>
  <c r="U4010" i="14"/>
  <c r="U4011" i="14"/>
  <c r="U4012" i="14"/>
  <c r="U4016" i="14"/>
  <c r="U4017" i="14"/>
  <c r="U4020" i="14"/>
  <c r="U4021" i="14"/>
  <c r="U4023" i="14"/>
  <c r="U4025" i="14"/>
  <c r="U4027" i="14"/>
  <c r="U4029" i="14"/>
  <c r="U4032" i="14"/>
  <c r="U4034" i="14"/>
  <c r="U4036" i="14"/>
  <c r="U4041" i="14"/>
  <c r="U4045" i="14"/>
  <c r="U4046" i="14"/>
  <c r="U4048" i="14"/>
  <c r="U4049" i="14"/>
  <c r="U4050" i="14"/>
  <c r="U4052" i="14"/>
  <c r="U4053" i="14"/>
  <c r="U4055" i="14"/>
  <c r="U4056" i="14"/>
  <c r="U4057" i="14"/>
  <c r="U4058" i="14"/>
  <c r="U4059" i="14"/>
  <c r="U4061" i="14"/>
  <c r="U4064" i="14"/>
  <c r="U4066" i="14"/>
  <c r="U4068" i="14"/>
  <c r="U4069" i="14"/>
  <c r="U4071" i="14"/>
  <c r="U4072" i="14"/>
  <c r="U4073" i="14"/>
  <c r="U4075" i="14"/>
  <c r="U4076" i="14"/>
  <c r="U4077" i="14"/>
  <c r="U4080" i="14"/>
  <c r="U4082" i="14"/>
  <c r="U4084" i="14"/>
  <c r="U4087" i="14"/>
  <c r="U4089" i="14"/>
  <c r="U4091" i="14"/>
  <c r="U4093" i="14"/>
  <c r="U4096" i="14"/>
  <c r="U4097" i="14"/>
  <c r="U4098" i="14"/>
  <c r="U4103" i="14"/>
  <c r="U4105" i="14"/>
  <c r="U4107" i="14"/>
  <c r="U4109" i="14"/>
  <c r="U4112" i="14"/>
  <c r="U4114" i="14"/>
  <c r="U4119" i="14"/>
  <c r="U4121" i="14"/>
  <c r="U4123" i="14"/>
  <c r="U4125" i="14"/>
  <c r="U4128" i="14"/>
  <c r="U4130" i="14"/>
  <c r="U4132" i="14"/>
  <c r="U4133" i="14"/>
  <c r="U4135" i="14"/>
  <c r="U4139" i="14"/>
  <c r="U4140" i="14"/>
  <c r="U4141" i="14"/>
  <c r="U4144" i="14"/>
  <c r="U4158" i="14"/>
  <c r="U4169" i="14"/>
  <c r="U4173" i="14"/>
  <c r="U4174" i="14"/>
  <c r="U4178" i="14"/>
  <c r="U4183" i="14"/>
  <c r="U4185" i="14"/>
  <c r="U4187" i="14"/>
  <c r="U4189" i="14"/>
  <c r="U4192" i="14"/>
  <c r="U4194" i="14"/>
  <c r="U4205" i="14"/>
  <c r="U4206" i="14"/>
  <c r="U4212" i="14"/>
  <c r="U4213" i="14"/>
  <c r="U4215" i="14"/>
  <c r="U4216" i="14"/>
  <c r="U4217" i="14"/>
  <c r="U4220" i="14"/>
  <c r="U4221" i="14"/>
  <c r="U4224" i="14"/>
  <c r="U4225" i="14"/>
  <c r="U4226" i="14"/>
  <c r="U4228" i="14"/>
  <c r="U4229" i="14"/>
  <c r="U4231" i="14"/>
  <c r="U4232" i="14"/>
  <c r="U4233" i="14"/>
  <c r="U4237" i="14"/>
  <c r="U4242" i="14"/>
  <c r="U4248" i="14"/>
  <c r="U4250" i="14"/>
  <c r="U4252" i="14"/>
  <c r="U4257" i="14"/>
  <c r="U4265" i="14"/>
  <c r="U4269" i="14"/>
  <c r="U4274" i="14"/>
  <c r="U4281" i="14"/>
  <c r="U4285" i="14"/>
  <c r="U4290" i="14"/>
  <c r="U4292" i="14"/>
  <c r="U4295" i="14"/>
  <c r="U4297" i="14"/>
  <c r="U4299" i="14"/>
  <c r="U4301" i="14"/>
  <c r="U4304" i="14"/>
  <c r="U4306" i="14"/>
  <c r="U4308" i="14"/>
  <c r="U4309" i="14"/>
  <c r="U4311" i="14"/>
  <c r="U4313" i="14"/>
  <c r="U4315" i="14"/>
  <c r="U4317" i="14"/>
  <c r="U4320" i="14"/>
  <c r="U4321" i="14"/>
  <c r="U4322" i="14"/>
  <c r="U4324" i="14"/>
  <c r="U4325" i="14"/>
  <c r="U4327" i="14"/>
  <c r="U4328" i="14"/>
  <c r="U4329" i="14"/>
  <c r="U4331" i="14"/>
  <c r="U4333" i="14"/>
  <c r="U4336" i="14"/>
  <c r="U4338" i="14"/>
  <c r="U4343" i="14"/>
  <c r="U4345" i="14"/>
  <c r="U4347" i="14"/>
  <c r="U4349" i="14"/>
  <c r="U4352" i="14"/>
  <c r="U4354" i="14"/>
  <c r="U4356" i="14"/>
  <c r="U4357" i="14"/>
  <c r="U4359" i="14"/>
  <c r="U4360" i="14"/>
  <c r="U4361" i="14"/>
  <c r="U4363" i="14"/>
  <c r="U4365" i="14"/>
  <c r="U4368" i="14"/>
  <c r="U4369" i="14"/>
  <c r="U4370" i="14"/>
  <c r="U4375" i="14"/>
  <c r="U4377" i="14"/>
  <c r="U4379" i="14"/>
  <c r="U4381" i="14"/>
  <c r="U4384" i="14"/>
  <c r="U4386" i="14"/>
  <c r="U4388" i="14"/>
  <c r="U4391" i="14"/>
  <c r="U4395" i="14"/>
  <c r="U4400" i="14"/>
  <c r="U4402" i="14"/>
  <c r="U4408" i="14"/>
  <c r="U4409" i="14"/>
  <c r="U4412" i="14"/>
  <c r="U4413" i="14"/>
  <c r="U4417" i="14"/>
  <c r="U4418" i="14"/>
  <c r="U4563" i="14"/>
  <c r="U4564" i="14"/>
  <c r="U4565" i="14"/>
  <c r="U4567" i="14"/>
  <c r="U4568" i="14"/>
  <c r="U4569" i="14"/>
  <c r="U4571" i="14"/>
  <c r="U4573" i="14"/>
  <c r="U4576" i="14"/>
  <c r="U4578" i="14"/>
  <c r="U4819" i="14"/>
  <c r="U4820" i="14"/>
  <c r="U4821" i="14"/>
  <c r="U4823" i="14"/>
  <c r="U4827" i="14"/>
  <c r="U4828" i="14"/>
  <c r="U4829" i="14"/>
  <c r="U4832" i="14"/>
  <c r="U4915" i="14"/>
  <c r="U4916" i="14"/>
  <c r="U4917" i="14"/>
  <c r="U4919" i="14"/>
  <c r="U4921" i="14"/>
  <c r="U4923" i="14"/>
  <c r="U4924" i="14"/>
  <c r="U4925" i="14"/>
  <c r="U4928" i="14"/>
  <c r="U4930" i="14"/>
  <c r="V43" i="14"/>
  <c r="V67" i="14"/>
  <c r="V83" i="14"/>
  <c r="V85" i="14"/>
  <c r="V150" i="14"/>
  <c r="V151" i="14"/>
  <c r="V153" i="14"/>
  <c r="V154" i="14"/>
  <c r="V155" i="14"/>
  <c r="V156" i="14"/>
  <c r="V157" i="14"/>
  <c r="V163" i="14"/>
  <c r="V207" i="14"/>
  <c r="V208" i="14"/>
  <c r="V235" i="14"/>
  <c r="V243" i="14"/>
  <c r="V246" i="14"/>
  <c r="V255" i="14"/>
  <c r="V256" i="14"/>
  <c r="V267" i="14"/>
  <c r="V279" i="14"/>
  <c r="V280" i="14"/>
  <c r="V295" i="14"/>
  <c r="V296" i="14"/>
  <c r="V311" i="14"/>
  <c r="V312" i="14"/>
  <c r="V322" i="14"/>
  <c r="V353" i="14"/>
  <c r="V357" i="14"/>
  <c r="V362" i="14"/>
  <c r="V367" i="14"/>
  <c r="V370" i="14"/>
  <c r="V382" i="14"/>
  <c r="V388" i="14"/>
  <c r="V394" i="14"/>
  <c r="V403" i="14"/>
  <c r="V407" i="14"/>
  <c r="V411" i="14"/>
  <c r="V419" i="14"/>
  <c r="V423" i="14"/>
  <c r="V439" i="14"/>
  <c r="V449" i="14"/>
  <c r="V451" i="14"/>
  <c r="V455" i="14"/>
  <c r="V459" i="14"/>
  <c r="V463" i="14"/>
  <c r="V467" i="14"/>
  <c r="V479" i="14"/>
  <c r="V483" i="14"/>
  <c r="V485" i="14"/>
  <c r="V486" i="14"/>
  <c r="V487" i="14"/>
  <c r="V494" i="14"/>
  <c r="V498" i="14"/>
  <c r="V499" i="14"/>
  <c r="V506" i="14"/>
  <c r="V513" i="14"/>
  <c r="V514" i="14"/>
  <c r="V515" i="14"/>
  <c r="V516" i="14"/>
  <c r="V517" i="14"/>
  <c r="V522" i="14"/>
  <c r="V523" i="14"/>
  <c r="V526" i="14"/>
  <c r="V527" i="14"/>
  <c r="V528" i="14"/>
  <c r="V529" i="14"/>
  <c r="V539" i="14"/>
  <c r="V541" i="14"/>
  <c r="V547" i="14"/>
  <c r="V549" i="14"/>
  <c r="V551" i="14"/>
  <c r="V552" i="14"/>
  <c r="V553" i="14"/>
  <c r="V556" i="14"/>
  <c r="V558" i="14"/>
  <c r="V571" i="14"/>
  <c r="V574" i="14"/>
  <c r="V583" i="14"/>
  <c r="V587" i="14"/>
  <c r="V595" i="14"/>
  <c r="V603" i="14"/>
  <c r="V604" i="14"/>
  <c r="V605" i="14"/>
  <c r="V607" i="14"/>
  <c r="V614" i="14"/>
  <c r="V619" i="14"/>
  <c r="V630" i="14"/>
  <c r="V631" i="14"/>
  <c r="V632" i="14"/>
  <c r="V633" i="14"/>
  <c r="V638" i="14"/>
  <c r="V663" i="14"/>
  <c r="V665" i="14"/>
  <c r="V667" i="14"/>
  <c r="V668" i="14"/>
  <c r="V669" i="14"/>
  <c r="V672" i="14"/>
  <c r="V674" i="14"/>
  <c r="V675" i="14"/>
  <c r="V679" i="14"/>
  <c r="V680" i="14"/>
  <c r="V681" i="14"/>
  <c r="V701" i="14"/>
  <c r="V703" i="14"/>
  <c r="V704" i="14"/>
  <c r="V705" i="14"/>
  <c r="V710" i="14"/>
  <c r="V733" i="14"/>
  <c r="V736" i="14"/>
  <c r="V737" i="14"/>
  <c r="V738" i="14"/>
  <c r="V739" i="14"/>
  <c r="V740" i="14"/>
  <c r="V741" i="14"/>
  <c r="V745" i="14"/>
  <c r="V746" i="14"/>
  <c r="V747" i="14"/>
  <c r="V750" i="14"/>
  <c r="V751" i="14"/>
  <c r="V758" i="14"/>
  <c r="V765" i="14"/>
  <c r="V769" i="14"/>
  <c r="V774" i="14"/>
  <c r="V779" i="14"/>
  <c r="V781" i="14"/>
  <c r="V783" i="14"/>
  <c r="V785" i="14"/>
  <c r="V788" i="14"/>
  <c r="V790" i="14"/>
  <c r="V791" i="14"/>
  <c r="V795" i="14"/>
  <c r="V799" i="14"/>
  <c r="V803" i="14"/>
  <c r="V807" i="14"/>
  <c r="V816" i="14"/>
  <c r="V819" i="14"/>
  <c r="V823" i="14"/>
  <c r="V826" i="14"/>
  <c r="V827" i="14"/>
  <c r="V831" i="14"/>
  <c r="V834" i="14"/>
  <c r="V843" i="14"/>
  <c r="V851" i="14"/>
  <c r="V855" i="14"/>
  <c r="V862" i="14"/>
  <c r="V865" i="14"/>
  <c r="V868" i="14"/>
  <c r="V869" i="14"/>
  <c r="V870" i="14"/>
  <c r="V871" i="14"/>
  <c r="V872" i="14"/>
  <c r="V873" i="14"/>
  <c r="V877" i="14"/>
  <c r="V878" i="14"/>
  <c r="V891" i="14"/>
  <c r="V898" i="14"/>
  <c r="V909" i="14"/>
  <c r="V910" i="14"/>
  <c r="V911" i="14"/>
  <c r="V912" i="14"/>
  <c r="V913" i="14"/>
  <c r="V918" i="14"/>
  <c r="V924" i="14"/>
  <c r="V925" i="14"/>
  <c r="V926" i="14"/>
  <c r="V927" i="14"/>
  <c r="V928" i="14"/>
  <c r="V929" i="14"/>
  <c r="V933" i="14"/>
  <c r="V934" i="14"/>
  <c r="V939" i="14"/>
  <c r="V947" i="14"/>
  <c r="V951" i="14"/>
  <c r="V954" i="14"/>
  <c r="V963" i="14"/>
  <c r="V967" i="14"/>
  <c r="V970" i="14"/>
  <c r="V975" i="14"/>
  <c r="V987" i="14"/>
  <c r="V999" i="14"/>
  <c r="V1016" i="14"/>
  <c r="V1017" i="14"/>
  <c r="V1018" i="14"/>
  <c r="V1020" i="14"/>
  <c r="V1021" i="14"/>
  <c r="V1022" i="14"/>
  <c r="V1025" i="14"/>
  <c r="V1026" i="14"/>
  <c r="V1031" i="14"/>
  <c r="V1035" i="14"/>
  <c r="V1039" i="14"/>
  <c r="V1047" i="14"/>
  <c r="V1057" i="14"/>
  <c r="V1059" i="14"/>
  <c r="V1060" i="14"/>
  <c r="V1062" i="14"/>
  <c r="V1063" i="14"/>
  <c r="V1064" i="14"/>
  <c r="V1065" i="14"/>
  <c r="V1068" i="14"/>
  <c r="V1069" i="14"/>
  <c r="V1071" i="14"/>
  <c r="V1075" i="14"/>
  <c r="V1079" i="14"/>
  <c r="V1083" i="14"/>
  <c r="V1087" i="14"/>
  <c r="V1088" i="14"/>
  <c r="V1091" i="14"/>
  <c r="V1095" i="14"/>
  <c r="V1097" i="14"/>
  <c r="V1100" i="14"/>
  <c r="V1103" i="14"/>
  <c r="V1105" i="14"/>
  <c r="V1106" i="14"/>
  <c r="V1107" i="14"/>
  <c r="V1108" i="14"/>
  <c r="V1109" i="14"/>
  <c r="V1112" i="14"/>
  <c r="V1114" i="14"/>
  <c r="V1115" i="14"/>
  <c r="V1123" i="14"/>
  <c r="V1127" i="14"/>
  <c r="V1143" i="14"/>
  <c r="V1147" i="14"/>
  <c r="V1151" i="14"/>
  <c r="V1155" i="14"/>
  <c r="V1159" i="14"/>
  <c r="V1164" i="14"/>
  <c r="V1167" i="14"/>
  <c r="V1169" i="14"/>
  <c r="V1171" i="14"/>
  <c r="V1172" i="14"/>
  <c r="V1173" i="14"/>
  <c r="V1176" i="14"/>
  <c r="V1178" i="14"/>
  <c r="V1179" i="14"/>
  <c r="V1183" i="14"/>
  <c r="V1187" i="14"/>
  <c r="V1196" i="14"/>
  <c r="V1197" i="14"/>
  <c r="V1198" i="14"/>
  <c r="V1199" i="14"/>
  <c r="V1200" i="14"/>
  <c r="V1201" i="14"/>
  <c r="V1205" i="14"/>
  <c r="V1206" i="14"/>
  <c r="V1211" i="14"/>
  <c r="V1214" i="14"/>
  <c r="V1224" i="14"/>
  <c r="V1225" i="14"/>
  <c r="V1226" i="14"/>
  <c r="V1227" i="14"/>
  <c r="V1228" i="14"/>
  <c r="V1229" i="14"/>
  <c r="V1233" i="14"/>
  <c r="V1234" i="14"/>
  <c r="V1235" i="14"/>
  <c r="V1249" i="14"/>
  <c r="V1251" i="14"/>
  <c r="V1252" i="14"/>
  <c r="V1253" i="14"/>
  <c r="V1257" i="14"/>
  <c r="V1258" i="14"/>
  <c r="V1267" i="14"/>
  <c r="V1271" i="14"/>
  <c r="V1272" i="14"/>
  <c r="V1273" i="14"/>
  <c r="V1276" i="14"/>
  <c r="V1284" i="14"/>
  <c r="V1285" i="14"/>
  <c r="V1286" i="14"/>
  <c r="V1288" i="14"/>
  <c r="V1289" i="14"/>
  <c r="V1293" i="14"/>
  <c r="V1294" i="14"/>
  <c r="V1295" i="14"/>
  <c r="V1296" i="14"/>
  <c r="V1299" i="14"/>
  <c r="V1303" i="14"/>
  <c r="V1306" i="14"/>
  <c r="V1307" i="14"/>
  <c r="V1309" i="14"/>
  <c r="V1311" i="14"/>
  <c r="V1313" i="14"/>
  <c r="V1319" i="14"/>
  <c r="V1322" i="14"/>
  <c r="V1335" i="14"/>
  <c r="V1336" i="14"/>
  <c r="V1338" i="14"/>
  <c r="V1343" i="14"/>
  <c r="V1345" i="14"/>
  <c r="V1347" i="14"/>
  <c r="V1349" i="14"/>
  <c r="V1352" i="14"/>
  <c r="V1354" i="14"/>
  <c r="V1363" i="14"/>
  <c r="V1367" i="14"/>
  <c r="V1370" i="14"/>
  <c r="V1375" i="14"/>
  <c r="V1379" i="14"/>
  <c r="V1387" i="14"/>
  <c r="V1407" i="14"/>
  <c r="V1408" i="14"/>
  <c r="V1410" i="14"/>
  <c r="V1411" i="14"/>
  <c r="V1412" i="14"/>
  <c r="V1413" i="14"/>
  <c r="V1416" i="14"/>
  <c r="V1417" i="14"/>
  <c r="V1419" i="14"/>
  <c r="V1423" i="14"/>
  <c r="V1427" i="14"/>
  <c r="V1428" i="14"/>
  <c r="V1432" i="14"/>
  <c r="V1433" i="14"/>
  <c r="V1435" i="14"/>
  <c r="V1437" i="14"/>
  <c r="V1439" i="14"/>
  <c r="V1440" i="14"/>
  <c r="V1441" i="14"/>
  <c r="V1444" i="14"/>
  <c r="V1446" i="14"/>
  <c r="V1451" i="14"/>
  <c r="V1455" i="14"/>
  <c r="V1457" i="14"/>
  <c r="V1460" i="14"/>
  <c r="V1467" i="14"/>
  <c r="V1468" i="14"/>
  <c r="V1473" i="14"/>
  <c r="V1475" i="14"/>
  <c r="V1476" i="14"/>
  <c r="V1478" i="14"/>
  <c r="V1479" i="14"/>
  <c r="V1480" i="14"/>
  <c r="V1481" i="14"/>
  <c r="V1484" i="14"/>
  <c r="V1485" i="14"/>
  <c r="V1494" i="14"/>
  <c r="V1495" i="14"/>
  <c r="V1496" i="14"/>
  <c r="V1497" i="14"/>
  <c r="V1504" i="14"/>
  <c r="V1505" i="14"/>
  <c r="V1507" i="14"/>
  <c r="V1509" i="14"/>
  <c r="V1511" i="14"/>
  <c r="V1512" i="14"/>
  <c r="V1513" i="14"/>
  <c r="V1516" i="14"/>
  <c r="V1518" i="14"/>
  <c r="V1519" i="14"/>
  <c r="V1523" i="14"/>
  <c r="V1524" i="14"/>
  <c r="V1532" i="14"/>
  <c r="V1535" i="14"/>
  <c r="V1536" i="14"/>
  <c r="V1537" i="14"/>
  <c r="V1541" i="14"/>
  <c r="V1544" i="14"/>
  <c r="V1549" i="14"/>
  <c r="V1552" i="14"/>
  <c r="V1553" i="14"/>
  <c r="V1558" i="14"/>
  <c r="V1559" i="14"/>
  <c r="V1564" i="14"/>
  <c r="V1568" i="14"/>
  <c r="V1569" i="14"/>
  <c r="V1571" i="14"/>
  <c r="V1572" i="14"/>
  <c r="V1573" i="14"/>
  <c r="V1577" i="14"/>
  <c r="V1578" i="14"/>
  <c r="V1580" i="14"/>
  <c r="V1581" i="14"/>
  <c r="V1583" i="14"/>
  <c r="V1585" i="14"/>
  <c r="V1587" i="14"/>
  <c r="V1588" i="14"/>
  <c r="V1589" i="14"/>
  <c r="V1592" i="14"/>
  <c r="V1594" i="14"/>
  <c r="V1602" i="14"/>
  <c r="V1603" i="14"/>
  <c r="V1604" i="14"/>
  <c r="V1605" i="14"/>
  <c r="V1611" i="14"/>
  <c r="V1619" i="14"/>
  <c r="V1620" i="14"/>
  <c r="V1622" i="14"/>
  <c r="V1623" i="14"/>
  <c r="V1624" i="14"/>
  <c r="V1625" i="14"/>
  <c r="V1628" i="14"/>
  <c r="V1629" i="14"/>
  <c r="V1632" i="14"/>
  <c r="V1633" i="14"/>
  <c r="V1635" i="14"/>
  <c r="V1636" i="14"/>
  <c r="V1637" i="14"/>
  <c r="V1639" i="14"/>
  <c r="V1640" i="14"/>
  <c r="V1641" i="14"/>
  <c r="V1644" i="14"/>
  <c r="V1646" i="14"/>
  <c r="V1648" i="14"/>
  <c r="V1649" i="14"/>
  <c r="V1651" i="14"/>
  <c r="V1652" i="14"/>
  <c r="V1654" i="14"/>
  <c r="V1655" i="14"/>
  <c r="V1656" i="14"/>
  <c r="V1657" i="14"/>
  <c r="V1660" i="14"/>
  <c r="V1661" i="14"/>
  <c r="V1663" i="14"/>
  <c r="V1667" i="14"/>
  <c r="V1671" i="14"/>
  <c r="V1680" i="14"/>
  <c r="V1682" i="14"/>
  <c r="V1684" i="14"/>
  <c r="V1688" i="14"/>
  <c r="V1689" i="14"/>
  <c r="V1693" i="14"/>
  <c r="V1695" i="14"/>
  <c r="V1696" i="14"/>
  <c r="V1698" i="14"/>
  <c r="V1699" i="14"/>
  <c r="V1700" i="14"/>
  <c r="V1701" i="14"/>
  <c r="V1704" i="14"/>
  <c r="V1705" i="14"/>
  <c r="V1708" i="14"/>
  <c r="V1709" i="14"/>
  <c r="V1711" i="14"/>
  <c r="V1712" i="14"/>
  <c r="V1714" i="14"/>
  <c r="V1715" i="14"/>
  <c r="V1716" i="14"/>
  <c r="V1717" i="14"/>
  <c r="V1720" i="14"/>
  <c r="V1721" i="14"/>
  <c r="V1724" i="14"/>
  <c r="V1728" i="14"/>
  <c r="V1729" i="14"/>
  <c r="V1732" i="14"/>
  <c r="V1733" i="14"/>
  <c r="V1737" i="14"/>
  <c r="V1738" i="14"/>
  <c r="V1743" i="14"/>
  <c r="V1744" i="14"/>
  <c r="V1746" i="14"/>
  <c r="V1747" i="14"/>
  <c r="V1748" i="14"/>
  <c r="V1749" i="14"/>
  <c r="V1752" i="14"/>
  <c r="V1753" i="14"/>
  <c r="V1759" i="14"/>
  <c r="V1760" i="14"/>
  <c r="V1762" i="14"/>
  <c r="V1763" i="14"/>
  <c r="V1764" i="14"/>
  <c r="V1765" i="14"/>
  <c r="V1768" i="14"/>
  <c r="V1769" i="14"/>
  <c r="V1777" i="14"/>
  <c r="V1781" i="14"/>
  <c r="V1786" i="14"/>
  <c r="V1798" i="14"/>
  <c r="V1799" i="14"/>
  <c r="V1800" i="14"/>
  <c r="V1801" i="14"/>
  <c r="V1811" i="14"/>
  <c r="V1812" i="14"/>
  <c r="V1814" i="14"/>
  <c r="V1815" i="14"/>
  <c r="V1816" i="14"/>
  <c r="V1817" i="14"/>
  <c r="V1820" i="14"/>
  <c r="V1821" i="14"/>
  <c r="V1823" i="14"/>
  <c r="V1828" i="14"/>
  <c r="V1829" i="14"/>
  <c r="V1831" i="14"/>
  <c r="V1833" i="14"/>
  <c r="V1834" i="14"/>
  <c r="V1835" i="14"/>
  <c r="V1836" i="14"/>
  <c r="V1837" i="14"/>
  <c r="V1840" i="14"/>
  <c r="V1842" i="14"/>
  <c r="V1849" i="14"/>
  <c r="V1853" i="14"/>
  <c r="V1858" i="14"/>
  <c r="V1866" i="14"/>
  <c r="V1867" i="14"/>
  <c r="V1868" i="14"/>
  <c r="V1869" i="14"/>
  <c r="V1873" i="14"/>
  <c r="V1879" i="14"/>
  <c r="V1881" i="14"/>
  <c r="V1883" i="14"/>
  <c r="V1884" i="14"/>
  <c r="V1885" i="14"/>
  <c r="V1888" i="14"/>
  <c r="V1890" i="14"/>
  <c r="V1891" i="14"/>
  <c r="V1892" i="14"/>
  <c r="V1893" i="14"/>
  <c r="V1894" i="14"/>
  <c r="V1895" i="14"/>
  <c r="V1896" i="14"/>
  <c r="V1901" i="14"/>
  <c r="V1903" i="14"/>
  <c r="V1904" i="14"/>
  <c r="V1906" i="14"/>
  <c r="V1907" i="14"/>
  <c r="V1908" i="14"/>
  <c r="V1909" i="14"/>
  <c r="V1912" i="14"/>
  <c r="V1913" i="14"/>
  <c r="V1919" i="14"/>
  <c r="V1920" i="14"/>
  <c r="V1922" i="14"/>
  <c r="V1923" i="14"/>
  <c r="V1924" i="14"/>
  <c r="V1925" i="14"/>
  <c r="V1928" i="14"/>
  <c r="V1929" i="14"/>
  <c r="V1937" i="14"/>
  <c r="V1941" i="14"/>
  <c r="V1945" i="14"/>
  <c r="V1946" i="14"/>
  <c r="V1952" i="14"/>
  <c r="V1953" i="14"/>
  <c r="V1956" i="14"/>
  <c r="V1957" i="14"/>
  <c r="V1961" i="14"/>
  <c r="V1962" i="14"/>
  <c r="V1963" i="14"/>
  <c r="V1968" i="14"/>
  <c r="V1973" i="14"/>
  <c r="V1977" i="14"/>
  <c r="V1982" i="14"/>
  <c r="V1988" i="14"/>
  <c r="V1989" i="14"/>
  <c r="V1991" i="14"/>
  <c r="V1992" i="14"/>
  <c r="V1993" i="14"/>
  <c r="V1997" i="14"/>
  <c r="V1998" i="14"/>
  <c r="V2003" i="14"/>
  <c r="V2005" i="14"/>
  <c r="V2007" i="14"/>
  <c r="V2009" i="14"/>
  <c r="V2012" i="14"/>
  <c r="V2014" i="14"/>
  <c r="V2017" i="14"/>
  <c r="V2019" i="14"/>
  <c r="V2020" i="14"/>
  <c r="V2022" i="14"/>
  <c r="V2023" i="14"/>
  <c r="V2024" i="14"/>
  <c r="V2025" i="14"/>
  <c r="V2028" i="14"/>
  <c r="V2029" i="14"/>
  <c r="V2035" i="14"/>
  <c r="V2037" i="14"/>
  <c r="V2039" i="14"/>
  <c r="V2041" i="14"/>
  <c r="V2044" i="14"/>
  <c r="V2046" i="14"/>
  <c r="V2047" i="14"/>
  <c r="V2049" i="14"/>
  <c r="V2058" i="14"/>
  <c r="V2059" i="14"/>
  <c r="V2060" i="14"/>
  <c r="V2061" i="14"/>
  <c r="V2065" i="14"/>
  <c r="V2071" i="14"/>
  <c r="V2073" i="14"/>
  <c r="V2075" i="14"/>
  <c r="V2077" i="14"/>
  <c r="V2080" i="14"/>
  <c r="V2082" i="14"/>
  <c r="V2083" i="14"/>
  <c r="V2093" i="14"/>
  <c r="V2097" i="14"/>
  <c r="V2102" i="14"/>
  <c r="V2108" i="14"/>
  <c r="V2109" i="14"/>
  <c r="V2112" i="14"/>
  <c r="V2113" i="14"/>
  <c r="V2117" i="14"/>
  <c r="V2118" i="14"/>
  <c r="V2123" i="14"/>
  <c r="V2127" i="14"/>
  <c r="V2132" i="14"/>
  <c r="V2142" i="14"/>
  <c r="V2143" i="14"/>
  <c r="V2149" i="14"/>
  <c r="V2151" i="14"/>
  <c r="V2152" i="14"/>
  <c r="V2159" i="14"/>
  <c r="V2160" i="14"/>
  <c r="V2162" i="14"/>
  <c r="V2163" i="14"/>
  <c r="V2164" i="14"/>
  <c r="V2165" i="14"/>
  <c r="V2168" i="14"/>
  <c r="V2169" i="14"/>
  <c r="V2176" i="14"/>
  <c r="V2177" i="14"/>
  <c r="V2180" i="14"/>
  <c r="V2181" i="14"/>
  <c r="V2182" i="14"/>
  <c r="V2184" i="14"/>
  <c r="V2185" i="14"/>
  <c r="V2186" i="14"/>
  <c r="V2197" i="14"/>
  <c r="V2201" i="14"/>
  <c r="V2206" i="14"/>
  <c r="V2209" i="14"/>
  <c r="V2231" i="14"/>
  <c r="V2232" i="14"/>
  <c r="V2234" i="14"/>
  <c r="V2235" i="14"/>
  <c r="V2236" i="14"/>
  <c r="V2237" i="14"/>
  <c r="V2240" i="14"/>
  <c r="V2241" i="14"/>
  <c r="V2248" i="14"/>
  <c r="V2249" i="14"/>
  <c r="V2250" i="14"/>
  <c r="V2251" i="14"/>
  <c r="V2252" i="14"/>
  <c r="V2253" i="14"/>
  <c r="V2257" i="14"/>
  <c r="V2258" i="14"/>
  <c r="V2260" i="14"/>
  <c r="V2261" i="14"/>
  <c r="V2263" i="14"/>
  <c r="V2265" i="14"/>
  <c r="V2267" i="14"/>
  <c r="V2268" i="14"/>
  <c r="V2269" i="14"/>
  <c r="V2272" i="14"/>
  <c r="V2274" i="14"/>
  <c r="V2276" i="14"/>
  <c r="V2277" i="14"/>
  <c r="V2281" i="14"/>
  <c r="V2282" i="14"/>
  <c r="V2283" i="14"/>
  <c r="V2284" i="14"/>
  <c r="V2285" i="14"/>
  <c r="V2289" i="14"/>
  <c r="V2290" i="14"/>
  <c r="V2291" i="14"/>
  <c r="V2300" i="14"/>
  <c r="V2302" i="14"/>
  <c r="V2303" i="14"/>
  <c r="V2304" i="14"/>
  <c r="V2305" i="14"/>
  <c r="V2308" i="14"/>
  <c r="V2309" i="14"/>
  <c r="V2315" i="14"/>
  <c r="V2316" i="14"/>
  <c r="V2318" i="14"/>
  <c r="V2319" i="14"/>
  <c r="V2320" i="14"/>
  <c r="V2321" i="14"/>
  <c r="V2324" i="14"/>
  <c r="V2325" i="14"/>
  <c r="V2331" i="14"/>
  <c r="V2332" i="14"/>
  <c r="V2334" i="14"/>
  <c r="V2335" i="14"/>
  <c r="V2336" i="14"/>
  <c r="V2337" i="14"/>
  <c r="V2340" i="14"/>
  <c r="V2341" i="14"/>
  <c r="V2343" i="14"/>
  <c r="V2351" i="14"/>
  <c r="V2365" i="14"/>
  <c r="V2367" i="14"/>
  <c r="V2368" i="14"/>
  <c r="V2369" i="14"/>
  <c r="V2374" i="14"/>
  <c r="V2377" i="14"/>
  <c r="V2379" i="14"/>
  <c r="V2380" i="14"/>
  <c r="V2382" i="14"/>
  <c r="V2383" i="14"/>
  <c r="V2384" i="14"/>
  <c r="V2385" i="14"/>
  <c r="V2388" i="14"/>
  <c r="V2389" i="14"/>
  <c r="V2392" i="14"/>
  <c r="V2395" i="14"/>
  <c r="V2397" i="14"/>
  <c r="V2398" i="14"/>
  <c r="V2399" i="14"/>
  <c r="V2400" i="14"/>
  <c r="V2401" i="14"/>
  <c r="V2404" i="14"/>
  <c r="V2406" i="14"/>
  <c r="V2408" i="14"/>
  <c r="V2409" i="14"/>
  <c r="V2413" i="14"/>
  <c r="V2414" i="14"/>
  <c r="V2415" i="14"/>
  <c r="V2416" i="14"/>
  <c r="V2417" i="14"/>
  <c r="V2421" i="14"/>
  <c r="V2422" i="14"/>
  <c r="V2423" i="14"/>
  <c r="V2431" i="14"/>
  <c r="V2435" i="14"/>
  <c r="V2440" i="14"/>
  <c r="V2442" i="14"/>
  <c r="V2448" i="14"/>
  <c r="V2449" i="14"/>
  <c r="V2452" i="14"/>
  <c r="V2453" i="14"/>
  <c r="V2457" i="14"/>
  <c r="V2458" i="14"/>
  <c r="V2460" i="14"/>
  <c r="V2461" i="14"/>
  <c r="V2465" i="14"/>
  <c r="V2466" i="14"/>
  <c r="V2467" i="14"/>
  <c r="V2468" i="14"/>
  <c r="V2469" i="14"/>
  <c r="V2473" i="14"/>
  <c r="V2474" i="14"/>
  <c r="V2480" i="14"/>
  <c r="V2484" i="14"/>
  <c r="V2485" i="14"/>
  <c r="V2489" i="14"/>
  <c r="V2496" i="14"/>
  <c r="V2497" i="14"/>
  <c r="V2500" i="14"/>
  <c r="V2501" i="14"/>
  <c r="V2505" i="14"/>
  <c r="V2506" i="14"/>
  <c r="V2514" i="14"/>
  <c r="V2515" i="14"/>
  <c r="V2516" i="14"/>
  <c r="V2517" i="14"/>
  <c r="V2521" i="14"/>
  <c r="V2530" i="14"/>
  <c r="V2531" i="14"/>
  <c r="V2532" i="14"/>
  <c r="V2533" i="14"/>
  <c r="V2536" i="14"/>
  <c r="V2544" i="14"/>
  <c r="V2545" i="14"/>
  <c r="V2547" i="14"/>
  <c r="V2549" i="14"/>
  <c r="V2551" i="14"/>
  <c r="V2552" i="14"/>
  <c r="V2553" i="14"/>
  <c r="V2556" i="14"/>
  <c r="V2558" i="14"/>
  <c r="V2559" i="14"/>
  <c r="V2567" i="14"/>
  <c r="V2568" i="14"/>
  <c r="V2570" i="14"/>
  <c r="V2571" i="14"/>
  <c r="V2572" i="14"/>
  <c r="V2573" i="14"/>
  <c r="V2576" i="14"/>
  <c r="V2577" i="14"/>
  <c r="V2586" i="14"/>
  <c r="V2587" i="14"/>
  <c r="V2588" i="14"/>
  <c r="V2589" i="14"/>
  <c r="V2595" i="14"/>
  <c r="V2603" i="14"/>
  <c r="V2604" i="14"/>
  <c r="V2606" i="14"/>
  <c r="V2607" i="14"/>
  <c r="V2608" i="14"/>
  <c r="V2609" i="14"/>
  <c r="V2612" i="14"/>
  <c r="V2613" i="14"/>
  <c r="V2616" i="14"/>
  <c r="V2621" i="14"/>
  <c r="V2622" i="14"/>
  <c r="V2623" i="14"/>
  <c r="V2624" i="14"/>
  <c r="V2625" i="14"/>
  <c r="V2630" i="14"/>
  <c r="V2631" i="14"/>
  <c r="V2639" i="14"/>
  <c r="V2643" i="14"/>
  <c r="V2645" i="14"/>
  <c r="V2648" i="14"/>
  <c r="V2650" i="14"/>
  <c r="V2655" i="14"/>
  <c r="V2659" i="14"/>
  <c r="V2664" i="14"/>
  <c r="V2688" i="14"/>
  <c r="V2692" i="14"/>
  <c r="V2693" i="14"/>
  <c r="V2697" i="14"/>
  <c r="V2700" i="14"/>
  <c r="V2701" i="14"/>
  <c r="V2703" i="14"/>
  <c r="V2705" i="14"/>
  <c r="V2706" i="14"/>
  <c r="V2707" i="14"/>
  <c r="V2708" i="14"/>
  <c r="V2709" i="14"/>
  <c r="V2712" i="14"/>
  <c r="V2714" i="14"/>
  <c r="V2719" i="14"/>
  <c r="V2721" i="14"/>
  <c r="V2723" i="14"/>
  <c r="V2725" i="14"/>
  <c r="V2728" i="14"/>
  <c r="V2730" i="14"/>
  <c r="V2735" i="14"/>
  <c r="V2737" i="14"/>
  <c r="V2738" i="14"/>
  <c r="V2739" i="14"/>
  <c r="V2740" i="14"/>
  <c r="V2741" i="14"/>
  <c r="V2744" i="14"/>
  <c r="V2746" i="14"/>
  <c r="V2751" i="14"/>
  <c r="V2753" i="14"/>
  <c r="V2754" i="14"/>
  <c r="V2755" i="14"/>
  <c r="V2756" i="14"/>
  <c r="V2757" i="14"/>
  <c r="V2760" i="14"/>
  <c r="V2762" i="14"/>
  <c r="V2764" i="14"/>
  <c r="V2765" i="14"/>
  <c r="V2767" i="14"/>
  <c r="V2768" i="14"/>
  <c r="V2769" i="14"/>
  <c r="V2772" i="14"/>
  <c r="V2773" i="14"/>
  <c r="V2777" i="14"/>
  <c r="V2778" i="14"/>
  <c r="V2783" i="14"/>
  <c r="V2786" i="14"/>
  <c r="V2788" i="14"/>
  <c r="V2791" i="14"/>
  <c r="V2793" i="14"/>
  <c r="V2794" i="14"/>
  <c r="V2795" i="14"/>
  <c r="V2796" i="14"/>
  <c r="V2797" i="14"/>
  <c r="V2800" i="14"/>
  <c r="V2802" i="14"/>
  <c r="V2807" i="14"/>
  <c r="V2809" i="14"/>
  <c r="V2810" i="14"/>
  <c r="V2811" i="14"/>
  <c r="V2812" i="14"/>
  <c r="V2813" i="14"/>
  <c r="V2816" i="14"/>
  <c r="V2818" i="14"/>
  <c r="V2823" i="14"/>
  <c r="V2825" i="14"/>
  <c r="V2827" i="14"/>
  <c r="V2829" i="14"/>
  <c r="V2832" i="14"/>
  <c r="V2834" i="14"/>
  <c r="V2837" i="14"/>
  <c r="V2839" i="14"/>
  <c r="V2840" i="14"/>
  <c r="V2842" i="14"/>
  <c r="V2843" i="14"/>
  <c r="V2844" i="14"/>
  <c r="V2845" i="14"/>
  <c r="V2848" i="14"/>
  <c r="V2849" i="14"/>
  <c r="V2855" i="14"/>
  <c r="V2856" i="14"/>
  <c r="V2858" i="14"/>
  <c r="V2859" i="14"/>
  <c r="V2860" i="14"/>
  <c r="V2861" i="14"/>
  <c r="V2864" i="14"/>
  <c r="V2865" i="14"/>
  <c r="V2872" i="14"/>
  <c r="V2873" i="14"/>
  <c r="V2874" i="14"/>
  <c r="V2875" i="14"/>
  <c r="V2876" i="14"/>
  <c r="V2877" i="14"/>
  <c r="V2881" i="14"/>
  <c r="V2882" i="14"/>
  <c r="V2887" i="14"/>
  <c r="V2890" i="14"/>
  <c r="V2891" i="14"/>
  <c r="V2892" i="14"/>
  <c r="V2893" i="14"/>
  <c r="V2896" i="14"/>
  <c r="V2903" i="14"/>
  <c r="V2905" i="14"/>
  <c r="V2906" i="14"/>
  <c r="V2907" i="14"/>
  <c r="V2908" i="14"/>
  <c r="V2909" i="14"/>
  <c r="V2912" i="14"/>
  <c r="V2914" i="14"/>
  <c r="V2920" i="14"/>
  <c r="V2922" i="14"/>
  <c r="V2923" i="14"/>
  <c r="V2924" i="14"/>
  <c r="V2928" i="14"/>
  <c r="V2929" i="14"/>
  <c r="V2939" i="14"/>
  <c r="V2948" i="14"/>
  <c r="V2949" i="14"/>
  <c r="V2952" i="14"/>
  <c r="V2953" i="14"/>
  <c r="V2957" i="14"/>
  <c r="V2958" i="14"/>
  <c r="V2961" i="14"/>
  <c r="V2962" i="14"/>
  <c r="V2963" i="14"/>
  <c r="V2964" i="14"/>
  <c r="V2965" i="14"/>
  <c r="V2967" i="14"/>
  <c r="V2968" i="14"/>
  <c r="V2969" i="14"/>
  <c r="V2970" i="14"/>
  <c r="V2971" i="14"/>
  <c r="V2972" i="14"/>
  <c r="V2973" i="14"/>
  <c r="V2976" i="14"/>
  <c r="V2977" i="14"/>
  <c r="V2978" i="14"/>
  <c r="V2980" i="14"/>
  <c r="V2981" i="14"/>
  <c r="V2983" i="14"/>
  <c r="V2985" i="14"/>
  <c r="V2986" i="14"/>
  <c r="V2987" i="14"/>
  <c r="V2988" i="14"/>
  <c r="V2989" i="14"/>
  <c r="V2992" i="14"/>
  <c r="V2994" i="14"/>
  <c r="V3001" i="14"/>
  <c r="V3002" i="14"/>
  <c r="V3003" i="14"/>
  <c r="V3004" i="14"/>
  <c r="V3005" i="14"/>
  <c r="V3010" i="14"/>
  <c r="V3015" i="14"/>
  <c r="V3016" i="14"/>
  <c r="V3018" i="14"/>
  <c r="V3019" i="14"/>
  <c r="V3020" i="14"/>
  <c r="V3021" i="14"/>
  <c r="V3024" i="14"/>
  <c r="V3025" i="14"/>
  <c r="V3027" i="14"/>
  <c r="V3028" i="14"/>
  <c r="V3029" i="14"/>
  <c r="V3031" i="14"/>
  <c r="V3032" i="14"/>
  <c r="V3033" i="14"/>
  <c r="V3034" i="14"/>
  <c r="V3035" i="14"/>
  <c r="V3036" i="14"/>
  <c r="V3037" i="14"/>
  <c r="V3040" i="14"/>
  <c r="V3041" i="14"/>
  <c r="V3042" i="14"/>
  <c r="V3044" i="14"/>
  <c r="V3045" i="14"/>
  <c r="V3047" i="14"/>
  <c r="V3049" i="14"/>
  <c r="V3050" i="14"/>
  <c r="V3051" i="14"/>
  <c r="V3052" i="14"/>
  <c r="V3053" i="14"/>
  <c r="V3054" i="14"/>
  <c r="V3056" i="14"/>
  <c r="V3058" i="14"/>
  <c r="V3063" i="14"/>
  <c r="V3064" i="14"/>
  <c r="V3066" i="14"/>
  <c r="V3067" i="14"/>
  <c r="V3068" i="14"/>
  <c r="V3069" i="14"/>
  <c r="V3072" i="14"/>
  <c r="V3073" i="14"/>
  <c r="V3075" i="14"/>
  <c r="V3076" i="14"/>
  <c r="V3077" i="14"/>
  <c r="V3079" i="14"/>
  <c r="V3080" i="14"/>
  <c r="V3081" i="14"/>
  <c r="V3082" i="14"/>
  <c r="V3083" i="14"/>
  <c r="V3084" i="14"/>
  <c r="V3085" i="14"/>
  <c r="V3088" i="14"/>
  <c r="V3089" i="14"/>
  <c r="V3090" i="14"/>
  <c r="V3095" i="14"/>
  <c r="V3097" i="14"/>
  <c r="V3098" i="14"/>
  <c r="V3099" i="14"/>
  <c r="V3100" i="14"/>
  <c r="V3101" i="14"/>
  <c r="V3104" i="14"/>
  <c r="V3106" i="14"/>
  <c r="V3108" i="14"/>
  <c r="V3109" i="14"/>
  <c r="V3111" i="14"/>
  <c r="V3113" i="14"/>
  <c r="V3114" i="14"/>
  <c r="V3115" i="14"/>
  <c r="V3116" i="14"/>
  <c r="V3117" i="14"/>
  <c r="V3120" i="14"/>
  <c r="V3122" i="14"/>
  <c r="V3127" i="14"/>
  <c r="V3128" i="14"/>
  <c r="V3130" i="14"/>
  <c r="V3131" i="14"/>
  <c r="V3132" i="14"/>
  <c r="V3133" i="14"/>
  <c r="V3136" i="14"/>
  <c r="V3137" i="14"/>
  <c r="V3143" i="14"/>
  <c r="V3145" i="14"/>
  <c r="V3146" i="14"/>
  <c r="V3147" i="14"/>
  <c r="V3149" i="14"/>
  <c r="V3152" i="14"/>
  <c r="V3154" i="14"/>
  <c r="V3162" i="14"/>
  <c r="V3163" i="14"/>
  <c r="V3164" i="14"/>
  <c r="V3165" i="14"/>
  <c r="V3171" i="14"/>
  <c r="V3172" i="14"/>
  <c r="V3173" i="14"/>
  <c r="V3175" i="14"/>
  <c r="V3176" i="14"/>
  <c r="V3177" i="14"/>
  <c r="V3178" i="14"/>
  <c r="V3179" i="14"/>
  <c r="V3180" i="14"/>
  <c r="V3181" i="14"/>
  <c r="V3184" i="14"/>
  <c r="V3185" i="14"/>
  <c r="V3186" i="14"/>
  <c r="V3193" i="14"/>
  <c r="V3195" i="14"/>
  <c r="V3197" i="14"/>
  <c r="V3200" i="14"/>
  <c r="V3202" i="14"/>
  <c r="V3204" i="14"/>
  <c r="V3205" i="14"/>
  <c r="V3207" i="14"/>
  <c r="V3208" i="14"/>
  <c r="V3209" i="14"/>
  <c r="V3210" i="14"/>
  <c r="V3212" i="14"/>
  <c r="V3213" i="14"/>
  <c r="V3217" i="14"/>
  <c r="V3218" i="14"/>
  <c r="V3239" i="14"/>
  <c r="V3241" i="14"/>
  <c r="V3242" i="14"/>
  <c r="V3243" i="14"/>
  <c r="V3244" i="14"/>
  <c r="V3245" i="14"/>
  <c r="V3248" i="14"/>
  <c r="V3250" i="14"/>
  <c r="V3255" i="14"/>
  <c r="V3258" i="14"/>
  <c r="V3259" i="14"/>
  <c r="V3260" i="14"/>
  <c r="V3261" i="14"/>
  <c r="V3264" i="14"/>
  <c r="V3268" i="14"/>
  <c r="V3269" i="14"/>
  <c r="V3271" i="14"/>
  <c r="V3273" i="14"/>
  <c r="V3274" i="14"/>
  <c r="V3275" i="14"/>
  <c r="V3276" i="14"/>
  <c r="V3277" i="14"/>
  <c r="V3278" i="14"/>
  <c r="V3280" i="14"/>
  <c r="V3281" i="14"/>
  <c r="V3282" i="14"/>
  <c r="V3284" i="14"/>
  <c r="V3285" i="14"/>
  <c r="V3287" i="14"/>
  <c r="V3288" i="14"/>
  <c r="V3289" i="14"/>
  <c r="V3290" i="14"/>
  <c r="V3291" i="14"/>
  <c r="V3292" i="14"/>
  <c r="V3293" i="14"/>
  <c r="V3294" i="14"/>
  <c r="V3296" i="14"/>
  <c r="V3297" i="14"/>
  <c r="V3298" i="14"/>
  <c r="V3300" i="14"/>
  <c r="V3301" i="14"/>
  <c r="V3303" i="14"/>
  <c r="V3304" i="14"/>
  <c r="V3305" i="14"/>
  <c r="V3306" i="14"/>
  <c r="V3307" i="14"/>
  <c r="V3308" i="14"/>
  <c r="V3309" i="14"/>
  <c r="V3310" i="14"/>
  <c r="V3312" i="14"/>
  <c r="V3313" i="14"/>
  <c r="V3314" i="14"/>
  <c r="V3316" i="14"/>
  <c r="V3317" i="14"/>
  <c r="V3319" i="14"/>
  <c r="V3320" i="14"/>
  <c r="V3321" i="14"/>
  <c r="V3322" i="14"/>
  <c r="V3323" i="14"/>
  <c r="V3324" i="14"/>
  <c r="V3325" i="14"/>
  <c r="V3326" i="14"/>
  <c r="V3328" i="14"/>
  <c r="V3329" i="14"/>
  <c r="V3330" i="14"/>
  <c r="V3336" i="14"/>
  <c r="V3337" i="14"/>
  <c r="V3340" i="14"/>
  <c r="V3341" i="14"/>
  <c r="V3342" i="14"/>
  <c r="V3345" i="14"/>
  <c r="V3346" i="14"/>
  <c r="V3351" i="14"/>
  <c r="V3352" i="14"/>
  <c r="V3354" i="14"/>
  <c r="V3355" i="14"/>
  <c r="V3356" i="14"/>
  <c r="V3357" i="14"/>
  <c r="V3358" i="14"/>
  <c r="V3360" i="14"/>
  <c r="V3361" i="14"/>
  <c r="V3367" i="14"/>
  <c r="V3371" i="14"/>
  <c r="V3376" i="14"/>
  <c r="V3380" i="14"/>
  <c r="V3381" i="14"/>
  <c r="V3383" i="14"/>
  <c r="V3384" i="14"/>
  <c r="V3385" i="14"/>
  <c r="V3386" i="14"/>
  <c r="V3387" i="14"/>
  <c r="V3388" i="14"/>
  <c r="V3389" i="14"/>
  <c r="V3390" i="14"/>
  <c r="V3392" i="14"/>
  <c r="V3393" i="14"/>
  <c r="V3394" i="14"/>
  <c r="V3396" i="14"/>
  <c r="V3401" i="14"/>
  <c r="V3405" i="14"/>
  <c r="V3410" i="14"/>
  <c r="V3431" i="14"/>
  <c r="V3434" i="14"/>
  <c r="V3435" i="14"/>
  <c r="V3436" i="14"/>
  <c r="V3437" i="14"/>
  <c r="V3440" i="14"/>
  <c r="V3445" i="14"/>
  <c r="V3447" i="14"/>
  <c r="V3448" i="14"/>
  <c r="V3450" i="14"/>
  <c r="V3451" i="14"/>
  <c r="V3452" i="14"/>
  <c r="V3453" i="14"/>
  <c r="V3456" i="14"/>
  <c r="V3457" i="14"/>
  <c r="V3479" i="14"/>
  <c r="V3481" i="14"/>
  <c r="V3483" i="14"/>
  <c r="V3485" i="14"/>
  <c r="V3488" i="14"/>
  <c r="V3490" i="14"/>
  <c r="V3492" i="14"/>
  <c r="V3493" i="14"/>
  <c r="V3495" i="14"/>
  <c r="V3496" i="14"/>
  <c r="V3498" i="14"/>
  <c r="V3499" i="14"/>
  <c r="V3500" i="14"/>
  <c r="V3501" i="14"/>
  <c r="V3504" i="14"/>
  <c r="V3505" i="14"/>
  <c r="V3512" i="14"/>
  <c r="V3513" i="14"/>
  <c r="V3516" i="14"/>
  <c r="V3517" i="14"/>
  <c r="V3521" i="14"/>
  <c r="V3522" i="14"/>
  <c r="V3527" i="14"/>
  <c r="V3529" i="14"/>
  <c r="V3531" i="14"/>
  <c r="V3533" i="14"/>
  <c r="V3536" i="14"/>
  <c r="V3538" i="14"/>
  <c r="V3544" i="14"/>
  <c r="V3545" i="14"/>
  <c r="V3548" i="14"/>
  <c r="V3549" i="14"/>
  <c r="V3553" i="14"/>
  <c r="V3554" i="14"/>
  <c r="V3556" i="14"/>
  <c r="V3557" i="14"/>
  <c r="V3559" i="14"/>
  <c r="V3561" i="14"/>
  <c r="V3563" i="14"/>
  <c r="V3564" i="14"/>
  <c r="V3565" i="14"/>
  <c r="V3568" i="14"/>
  <c r="V3570" i="14"/>
  <c r="V3576" i="14"/>
  <c r="V3577" i="14"/>
  <c r="V3580" i="14"/>
  <c r="V3581" i="14"/>
  <c r="V3584" i="14"/>
  <c r="V3585" i="14"/>
  <c r="V3586" i="14"/>
  <c r="V3588" i="14"/>
  <c r="V3589" i="14"/>
  <c r="V3591" i="14"/>
  <c r="V3593" i="14"/>
  <c r="V3595" i="14"/>
  <c r="V3597" i="14"/>
  <c r="V3600" i="14"/>
  <c r="V3602" i="14"/>
  <c r="V3607" i="14"/>
  <c r="V3609" i="14"/>
  <c r="V3610" i="14"/>
  <c r="V3611" i="14"/>
  <c r="V3612" i="14"/>
  <c r="V3613" i="14"/>
  <c r="V3616" i="14"/>
  <c r="V3618" i="14"/>
  <c r="V3623" i="14"/>
  <c r="V3625" i="14"/>
  <c r="V3627" i="14"/>
  <c r="V3629" i="14"/>
  <c r="V3632" i="14"/>
  <c r="V3634" i="14"/>
  <c r="V3637" i="14"/>
  <c r="V3639" i="14"/>
  <c r="V3640" i="14"/>
  <c r="V3642" i="14"/>
  <c r="V3643" i="14"/>
  <c r="V3644" i="14"/>
  <c r="V3645" i="14"/>
  <c r="V3648" i="14"/>
  <c r="V3649" i="14"/>
  <c r="V3656" i="14"/>
  <c r="V3657" i="14"/>
  <c r="V3660" i="14"/>
  <c r="V3661" i="14"/>
  <c r="V3665" i="14"/>
  <c r="V3666" i="14"/>
  <c r="V3671" i="14"/>
  <c r="V3672" i="14"/>
  <c r="V3674" i="14"/>
  <c r="V3675" i="14"/>
  <c r="V3676" i="14"/>
  <c r="V3677" i="14"/>
  <c r="V3680" i="14"/>
  <c r="V3681" i="14"/>
  <c r="V3688" i="14"/>
  <c r="V3689" i="14"/>
  <c r="V3692" i="14"/>
  <c r="V3693" i="14"/>
  <c r="V3697" i="14"/>
  <c r="V3698" i="14"/>
  <c r="V3700" i="14"/>
  <c r="V3701" i="14"/>
  <c r="V3703" i="14"/>
  <c r="V3704" i="14"/>
  <c r="V3705" i="14"/>
  <c r="V3706" i="14"/>
  <c r="V3707" i="14"/>
  <c r="V3709" i="14"/>
  <c r="V3712" i="14"/>
  <c r="V3714" i="14"/>
  <c r="V3721" i="14"/>
  <c r="V3725" i="14"/>
  <c r="V3730" i="14"/>
  <c r="V3735" i="14"/>
  <c r="V3736" i="14"/>
  <c r="V3738" i="14"/>
  <c r="V3739" i="14"/>
  <c r="V3740" i="14"/>
  <c r="V3741" i="14"/>
  <c r="V3744" i="14"/>
  <c r="V3745" i="14"/>
  <c r="V3752" i="14"/>
  <c r="V3753" i="14"/>
  <c r="V3756" i="14"/>
  <c r="V3757" i="14"/>
  <c r="V3760" i="14"/>
  <c r="V3761" i="14"/>
  <c r="V3762" i="14"/>
  <c r="V3765" i="14"/>
  <c r="V3768" i="14"/>
  <c r="V3769" i="14"/>
  <c r="V3772" i="14"/>
  <c r="V3773" i="14"/>
  <c r="V3777" i="14"/>
  <c r="V3778" i="14"/>
  <c r="V3780" i="14"/>
  <c r="V3783" i="14"/>
  <c r="V3785" i="14"/>
  <c r="V3787" i="14"/>
  <c r="V3789" i="14"/>
  <c r="V3792" i="14"/>
  <c r="V3794" i="14"/>
  <c r="V3799" i="14"/>
  <c r="V3801" i="14"/>
  <c r="V3803" i="14"/>
  <c r="V3805" i="14"/>
  <c r="V3808" i="14"/>
  <c r="V3810" i="14"/>
  <c r="V3813" i="14"/>
  <c r="V3815" i="14"/>
  <c r="V3816" i="14"/>
  <c r="V3818" i="14"/>
  <c r="V3819" i="14"/>
  <c r="V3820" i="14"/>
  <c r="V3824" i="14"/>
  <c r="V3825" i="14"/>
  <c r="V3829" i="14"/>
  <c r="V3831" i="14"/>
  <c r="V3832" i="14"/>
  <c r="V3833" i="14"/>
  <c r="V3835" i="14"/>
  <c r="V3836" i="14"/>
  <c r="V3837" i="14"/>
  <c r="V3838" i="14"/>
  <c r="V3840" i="14"/>
  <c r="V3841" i="14"/>
  <c r="V3842" i="14"/>
  <c r="V3844" i="14"/>
  <c r="V3847" i="14"/>
  <c r="V3849" i="14"/>
  <c r="V3851" i="14"/>
  <c r="V3853" i="14"/>
  <c r="V3856" i="14"/>
  <c r="V3858" i="14"/>
  <c r="V3865" i="14"/>
  <c r="V3869" i="14"/>
  <c r="V3874" i="14"/>
  <c r="V3879" i="14"/>
  <c r="V3883" i="14"/>
  <c r="V3888" i="14"/>
  <c r="V3895" i="14"/>
  <c r="V3896" i="14"/>
  <c r="V3898" i="14"/>
  <c r="V3899" i="14"/>
  <c r="V3900" i="14"/>
  <c r="V3904" i="14"/>
  <c r="V3905" i="14"/>
  <c r="V3908" i="14"/>
  <c r="V3911" i="14"/>
  <c r="V3913" i="14"/>
  <c r="V3915" i="14"/>
  <c r="V3917" i="14"/>
  <c r="V3920" i="14"/>
  <c r="V3922" i="14"/>
  <c r="V3927" i="14"/>
  <c r="V3931" i="14"/>
  <c r="V3940" i="14"/>
  <c r="V3943" i="14"/>
  <c r="V3945" i="14"/>
  <c r="V3947" i="14"/>
  <c r="V3949" i="14"/>
  <c r="V3952" i="14"/>
  <c r="V3954" i="14"/>
  <c r="V3957" i="14"/>
  <c r="V3959" i="14"/>
  <c r="V3960" i="14"/>
  <c r="V3962" i="14"/>
  <c r="V3963" i="14"/>
  <c r="V3964" i="14"/>
  <c r="V3968" i="14"/>
  <c r="V3969" i="14"/>
  <c r="V3972" i="14"/>
  <c r="V3973" i="14"/>
  <c r="V3975" i="14"/>
  <c r="V3977" i="14"/>
  <c r="V3979" i="14"/>
  <c r="V3980" i="14"/>
  <c r="V3981" i="14"/>
  <c r="V3984" i="14"/>
  <c r="V3986" i="14"/>
  <c r="V3991" i="14"/>
  <c r="V3995" i="14"/>
  <c r="V4000" i="14"/>
  <c r="V4007" i="14"/>
  <c r="V4008" i="14"/>
  <c r="V4010" i="14"/>
  <c r="V4011" i="14"/>
  <c r="V4012" i="14"/>
  <c r="V4016" i="14"/>
  <c r="V4017" i="14"/>
  <c r="V4020" i="14"/>
  <c r="V4021" i="14"/>
  <c r="V4023" i="14"/>
  <c r="V4025" i="14"/>
  <c r="V4027" i="14"/>
  <c r="V4029" i="14"/>
  <c r="V4032" i="14"/>
  <c r="V4034" i="14"/>
  <c r="V4036" i="14"/>
  <c r="V4041" i="14"/>
  <c r="V4045" i="14"/>
  <c r="V4046" i="14"/>
  <c r="V4048" i="14"/>
  <c r="V4049" i="14"/>
  <c r="V4050" i="14"/>
  <c r="V4052" i="14"/>
  <c r="V4053" i="14"/>
  <c r="V4055" i="14"/>
  <c r="V4056" i="14"/>
  <c r="V4057" i="14"/>
  <c r="V4058" i="14"/>
  <c r="V4059" i="14"/>
  <c r="V4061" i="14"/>
  <c r="V4064" i="14"/>
  <c r="V4066" i="14"/>
  <c r="V4068" i="14"/>
  <c r="V4069" i="14"/>
  <c r="V4071" i="14"/>
  <c r="V4072" i="14"/>
  <c r="V4073" i="14"/>
  <c r="V4075" i="14"/>
  <c r="V4076" i="14"/>
  <c r="V4077" i="14"/>
  <c r="V4080" i="14"/>
  <c r="V4082" i="14"/>
  <c r="V4084" i="14"/>
  <c r="V4087" i="14"/>
  <c r="V4089" i="14"/>
  <c r="V4091" i="14"/>
  <c r="V4093" i="14"/>
  <c r="V4096" i="14"/>
  <c r="V4097" i="14"/>
  <c r="V4098" i="14"/>
  <c r="V4103" i="14"/>
  <c r="V4105" i="14"/>
  <c r="V4107" i="14"/>
  <c r="V4109" i="14"/>
  <c r="V4112" i="14"/>
  <c r="V4114" i="14"/>
  <c r="V4119" i="14"/>
  <c r="V4121" i="14"/>
  <c r="V4123" i="14"/>
  <c r="V4125" i="14"/>
  <c r="V4128" i="14"/>
  <c r="V4130" i="14"/>
  <c r="V4132" i="14"/>
  <c r="V4133" i="14"/>
  <c r="V4135" i="14"/>
  <c r="V4139" i="14"/>
  <c r="V4140" i="14"/>
  <c r="V4141" i="14"/>
  <c r="V4144" i="14"/>
  <c r="V4158" i="14"/>
  <c r="V4169" i="14"/>
  <c r="V4173" i="14"/>
  <c r="V4174" i="14"/>
  <c r="V4178" i="14"/>
  <c r="V4183" i="14"/>
  <c r="V4185" i="14"/>
  <c r="V4187" i="14"/>
  <c r="V4189" i="14"/>
  <c r="V4192" i="14"/>
  <c r="V4194" i="14"/>
  <c r="V4205" i="14"/>
  <c r="V4206" i="14"/>
  <c r="V4212" i="14"/>
  <c r="V4213" i="14"/>
  <c r="V4215" i="14"/>
  <c r="V4216" i="14"/>
  <c r="V4217" i="14"/>
  <c r="V4220" i="14"/>
  <c r="V4221" i="14"/>
  <c r="V4224" i="14"/>
  <c r="V4225" i="14"/>
  <c r="V4226" i="14"/>
  <c r="V4228" i="14"/>
  <c r="V4229" i="14"/>
  <c r="V4231" i="14"/>
  <c r="V4232" i="14"/>
  <c r="V4233" i="14"/>
  <c r="V4237" i="14"/>
  <c r="V4242" i="14"/>
  <c r="V4248" i="14"/>
  <c r="V4250" i="14"/>
  <c r="V4252" i="14"/>
  <c r="V4257" i="14"/>
  <c r="V4265" i="14"/>
  <c r="V4269" i="14"/>
  <c r="V4274" i="14"/>
  <c r="V4281" i="14"/>
  <c r="V4285" i="14"/>
  <c r="V4290" i="14"/>
  <c r="V4292" i="14"/>
  <c r="V4295" i="14"/>
  <c r="V4297" i="14"/>
  <c r="V4299" i="14"/>
  <c r="V4301" i="14"/>
  <c r="V4304" i="14"/>
  <c r="V4306" i="14"/>
  <c r="V4308" i="14"/>
  <c r="V4309" i="14"/>
  <c r="V4311" i="14"/>
  <c r="V4313" i="14"/>
  <c r="V4315" i="14"/>
  <c r="V4317" i="14"/>
  <c r="V4320" i="14"/>
  <c r="V4321" i="14"/>
  <c r="V4322" i="14"/>
  <c r="V4324" i="14"/>
  <c r="V4325" i="14"/>
  <c r="V4327" i="14"/>
  <c r="V4328" i="14"/>
  <c r="V4329" i="14"/>
  <c r="V4331" i="14"/>
  <c r="V4333" i="14"/>
  <c r="V4336" i="14"/>
  <c r="V4338" i="14"/>
  <c r="V4343" i="14"/>
  <c r="V4345" i="14"/>
  <c r="V4347" i="14"/>
  <c r="V4349" i="14"/>
  <c r="V4352" i="14"/>
  <c r="V4354" i="14"/>
  <c r="V4356" i="14"/>
  <c r="V4357" i="14"/>
  <c r="V4359" i="14"/>
  <c r="V4360" i="14"/>
  <c r="V4361" i="14"/>
  <c r="V4363" i="14"/>
  <c r="V4365" i="14"/>
  <c r="V4368" i="14"/>
  <c r="V4369" i="14"/>
  <c r="V4370" i="14"/>
  <c r="V4375" i="14"/>
  <c r="V4377" i="14"/>
  <c r="V4379" i="14"/>
  <c r="V4381" i="14"/>
  <c r="V4384" i="14"/>
  <c r="V4386" i="14"/>
  <c r="V4388" i="14"/>
  <c r="V4391" i="14"/>
  <c r="V4395" i="14"/>
  <c r="V4400" i="14"/>
  <c r="V4402" i="14"/>
  <c r="V4408" i="14"/>
  <c r="V4409" i="14"/>
  <c r="V4412" i="14"/>
  <c r="V4413" i="14"/>
  <c r="V4417" i="14"/>
  <c r="V4418" i="14"/>
  <c r="V4563" i="14"/>
  <c r="V4564" i="14"/>
  <c r="V4565" i="14"/>
  <c r="V4567" i="14"/>
  <c r="V4568" i="14"/>
  <c r="V4569" i="14"/>
  <c r="V4571" i="14"/>
  <c r="V4573" i="14"/>
  <c r="V4576" i="14"/>
  <c r="V4578" i="14"/>
  <c r="V4819" i="14"/>
  <c r="V4820" i="14"/>
  <c r="V4821" i="14"/>
  <c r="V4823" i="14"/>
  <c r="V4827" i="14"/>
  <c r="V4828" i="14"/>
  <c r="V4829" i="14"/>
  <c r="V4832" i="14"/>
  <c r="V4915" i="14"/>
  <c r="V4916" i="14"/>
  <c r="V4917" i="14"/>
  <c r="V4919" i="14"/>
  <c r="V4921" i="14"/>
  <c r="V4923" i="14"/>
  <c r="V4924" i="14"/>
  <c r="V4925" i="14"/>
  <c r="V4928" i="14"/>
  <c r="V4930" i="14"/>
  <c r="W7" i="14"/>
  <c r="H4387" i="14" l="1"/>
  <c r="H4390" i="14"/>
  <c r="H4399" i="14"/>
  <c r="W4390" i="14" l="1"/>
  <c r="W4399" i="14"/>
  <c r="W4387" i="14"/>
  <c r="I2668" i="14"/>
  <c r="W2668" i="14" s="1"/>
  <c r="L2121" i="14" l="1"/>
  <c r="L4415" i="14"/>
  <c r="H4415" i="14"/>
  <c r="L4406" i="14"/>
  <c r="H4406" i="14"/>
  <c r="L4403" i="14"/>
  <c r="H4403" i="14"/>
  <c r="W4403" i="14" l="1"/>
  <c r="W4415" i="14"/>
  <c r="W4406" i="14"/>
  <c r="I2130" i="14" l="1"/>
  <c r="W2130" i="14" s="1"/>
  <c r="I2121" i="14"/>
  <c r="W2121" i="14" s="1"/>
  <c r="L2191" i="14"/>
  <c r="L4383" i="14" l="1"/>
  <c r="H4383" i="14"/>
  <c r="L4374" i="14"/>
  <c r="H4374" i="14"/>
  <c r="L4371" i="14"/>
  <c r="H4371" i="14"/>
  <c r="L4367" i="14"/>
  <c r="I4367" i="14"/>
  <c r="H4367" i="14"/>
  <c r="L4358" i="14"/>
  <c r="I4358" i="14"/>
  <c r="H4358" i="14"/>
  <c r="L4355" i="14"/>
  <c r="I4355" i="14"/>
  <c r="H4355" i="14"/>
  <c r="L4351" i="14"/>
  <c r="I4351" i="14"/>
  <c r="H4351" i="14"/>
  <c r="L4342" i="14"/>
  <c r="I4342" i="14"/>
  <c r="H4342" i="14"/>
  <c r="L4339" i="14"/>
  <c r="I4339" i="14"/>
  <c r="H4339" i="14"/>
  <c r="L4335" i="14"/>
  <c r="I4335" i="14"/>
  <c r="H4335" i="14"/>
  <c r="L4326" i="14"/>
  <c r="I4326" i="14"/>
  <c r="H4326" i="14"/>
  <c r="L4323" i="14"/>
  <c r="I4323" i="14"/>
  <c r="H4323" i="14"/>
  <c r="I4319" i="14"/>
  <c r="I4310" i="14"/>
  <c r="I4307" i="14"/>
  <c r="L4319" i="14"/>
  <c r="H4319" i="14"/>
  <c r="L4310" i="14"/>
  <c r="H4310" i="14"/>
  <c r="L4307" i="14"/>
  <c r="H4307" i="14"/>
  <c r="L4303" i="14"/>
  <c r="H4303" i="14"/>
  <c r="L4294" i="14"/>
  <c r="H4294" i="14"/>
  <c r="L4291" i="14"/>
  <c r="H4291" i="14"/>
  <c r="W4355" i="14" l="1"/>
  <c r="U4355" i="14"/>
  <c r="V4355" i="14"/>
  <c r="W4319" i="14"/>
  <c r="U4319" i="14"/>
  <c r="V4319" i="14"/>
  <c r="W4291" i="14"/>
  <c r="W4339" i="14"/>
  <c r="W4358" i="14"/>
  <c r="W4294" i="14"/>
  <c r="W4323" i="14"/>
  <c r="U4323" i="14"/>
  <c r="V4323" i="14"/>
  <c r="W4342" i="14"/>
  <c r="W4367" i="14"/>
  <c r="U4367" i="14"/>
  <c r="V4367" i="14"/>
  <c r="W4335" i="14"/>
  <c r="W4303" i="14"/>
  <c r="W4307" i="14"/>
  <c r="U4307" i="14"/>
  <c r="V4307" i="14"/>
  <c r="W4326" i="14"/>
  <c r="W4351" i="14"/>
  <c r="W4371" i="14"/>
  <c r="W4383" i="14"/>
  <c r="W4310" i="14"/>
  <c r="W4374" i="14"/>
  <c r="G4279" i="14" l="1"/>
  <c r="G4278" i="14" s="1"/>
  <c r="H4287" i="14" l="1"/>
  <c r="H4286" i="14"/>
  <c r="H4278" i="14"/>
  <c r="H4275" i="14"/>
  <c r="W4275" i="14" l="1"/>
  <c r="W4286" i="14"/>
  <c r="W4278" i="14"/>
  <c r="W4287" i="14"/>
  <c r="H4271" i="14"/>
  <c r="H4270" i="14"/>
  <c r="H4262" i="14"/>
  <c r="H4259" i="14"/>
  <c r="G4258" i="14"/>
  <c r="G4249" i="14"/>
  <c r="G4253" i="14"/>
  <c r="W4270" i="14" l="1"/>
  <c r="W4271" i="14"/>
  <c r="W4259" i="14"/>
  <c r="W4262" i="14"/>
  <c r="H4255" i="14"/>
  <c r="H4254" i="14"/>
  <c r="H4246" i="14"/>
  <c r="H4243" i="14"/>
  <c r="W4243" i="14" l="1"/>
  <c r="W4246" i="14"/>
  <c r="W4254" i="14"/>
  <c r="W4255" i="14"/>
  <c r="L4207" i="14"/>
  <c r="H4207" i="14"/>
  <c r="L4198" i="14"/>
  <c r="H4198" i="14"/>
  <c r="L4195" i="14"/>
  <c r="H4195" i="14"/>
  <c r="L4175" i="14"/>
  <c r="H4175" i="14"/>
  <c r="L4166" i="14"/>
  <c r="H4166" i="14"/>
  <c r="L4163" i="14"/>
  <c r="H4163" i="14"/>
  <c r="H4159" i="14"/>
  <c r="H4150" i="14"/>
  <c r="L4147" i="14"/>
  <c r="H4147" i="14"/>
  <c r="W4175" i="14" l="1"/>
  <c r="W4147" i="14"/>
  <c r="W4195" i="14"/>
  <c r="W4198" i="14"/>
  <c r="W4159" i="14"/>
  <c r="W4150" i="14"/>
  <c r="W4163" i="14"/>
  <c r="W4166" i="14"/>
  <c r="W4207" i="14"/>
  <c r="L4159" i="14"/>
  <c r="L4150" i="14" l="1"/>
  <c r="H6096" i="14" l="1"/>
  <c r="H4239" i="14"/>
  <c r="H4238" i="14"/>
  <c r="H4230" i="14"/>
  <c r="H4227" i="14"/>
  <c r="H4223" i="14"/>
  <c r="H4222" i="14"/>
  <c r="H4214" i="14"/>
  <c r="H4211" i="14"/>
  <c r="H4191" i="14"/>
  <c r="H4190" i="14"/>
  <c r="H4182" i="14"/>
  <c r="H4179" i="14"/>
  <c r="H4143" i="14"/>
  <c r="H4142" i="14"/>
  <c r="H4134" i="14"/>
  <c r="H4131" i="14"/>
  <c r="H4127" i="14"/>
  <c r="H4126" i="14"/>
  <c r="H4118" i="14"/>
  <c r="H4115" i="14"/>
  <c r="L4111" i="14"/>
  <c r="H4111" i="14"/>
  <c r="H4110" i="14"/>
  <c r="L4102" i="14"/>
  <c r="H4102" i="14"/>
  <c r="L4099" i="14"/>
  <c r="H4099" i="14"/>
  <c r="L4095" i="14"/>
  <c r="H4095" i="14"/>
  <c r="H4094" i="14"/>
  <c r="L4086" i="14"/>
  <c r="H4086" i="14"/>
  <c r="H4083" i="14"/>
  <c r="H4079" i="14"/>
  <c r="H4078" i="14"/>
  <c r="H4070" i="14"/>
  <c r="L4067" i="14"/>
  <c r="H4067" i="14"/>
  <c r="L4063" i="14"/>
  <c r="H4063" i="14"/>
  <c r="H4062" i="14"/>
  <c r="L4054" i="14"/>
  <c r="H4054" i="14"/>
  <c r="L4051" i="14"/>
  <c r="H4051" i="14"/>
  <c r="H4047" i="14"/>
  <c r="H4038" i="14"/>
  <c r="L4035" i="14"/>
  <c r="H4035" i="14"/>
  <c r="H4031" i="14"/>
  <c r="H4022" i="14"/>
  <c r="H4019" i="14"/>
  <c r="H4015" i="14"/>
  <c r="H4014" i="14"/>
  <c r="L4006" i="14"/>
  <c r="H4006" i="14"/>
  <c r="L4003" i="14"/>
  <c r="H4003" i="14"/>
  <c r="H3999" i="14"/>
  <c r="H3998" i="14"/>
  <c r="H3990" i="14"/>
  <c r="H3987" i="14"/>
  <c r="H3983" i="14"/>
  <c r="H3982" i="14"/>
  <c r="H3974" i="14"/>
  <c r="L3971" i="14"/>
  <c r="H3971" i="14"/>
  <c r="H3967" i="14"/>
  <c r="H3966" i="14"/>
  <c r="L3958" i="14"/>
  <c r="H3958" i="14"/>
  <c r="L3955" i="14"/>
  <c r="H3955" i="14"/>
  <c r="L3951" i="14"/>
  <c r="H3951" i="14"/>
  <c r="H3950" i="14"/>
  <c r="L3942" i="14"/>
  <c r="H3942" i="14"/>
  <c r="L3939" i="14"/>
  <c r="H3939" i="14"/>
  <c r="L3935" i="14"/>
  <c r="H3935" i="14"/>
  <c r="G3935" i="14"/>
  <c r="H3934" i="14"/>
  <c r="L3926" i="14"/>
  <c r="H3926" i="14"/>
  <c r="G3926" i="14"/>
  <c r="L3923" i="14"/>
  <c r="H3923" i="14"/>
  <c r="G3923" i="14"/>
  <c r="H3919" i="14"/>
  <c r="H3918" i="14"/>
  <c r="L3910" i="14"/>
  <c r="H3910" i="14"/>
  <c r="H3907" i="14"/>
  <c r="H3903" i="14"/>
  <c r="H3902" i="14"/>
  <c r="L3894" i="14"/>
  <c r="H3894" i="14"/>
  <c r="L3891" i="14"/>
  <c r="H3891" i="14"/>
  <c r="L3887" i="14"/>
  <c r="H3887" i="14"/>
  <c r="H3886" i="14"/>
  <c r="H3878" i="14"/>
  <c r="L3875" i="14"/>
  <c r="H3875" i="14"/>
  <c r="H3871" i="14"/>
  <c r="H3870" i="14"/>
  <c r="H3862" i="14"/>
  <c r="H3859" i="14"/>
  <c r="H3855" i="14"/>
  <c r="H3854" i="14"/>
  <c r="H3846" i="14"/>
  <c r="L3843" i="14"/>
  <c r="H3843" i="14"/>
  <c r="H3839" i="14"/>
  <c r="H3830" i="14"/>
  <c r="H3827" i="14"/>
  <c r="H3823" i="14"/>
  <c r="H3822" i="14"/>
  <c r="L3814" i="14"/>
  <c r="H3814" i="14"/>
  <c r="L3811" i="14"/>
  <c r="H3811" i="14"/>
  <c r="H3807" i="14"/>
  <c r="H3806" i="14"/>
  <c r="H3798" i="14"/>
  <c r="L3795" i="14"/>
  <c r="H3795" i="14"/>
  <c r="L3791" i="14"/>
  <c r="H3791" i="14"/>
  <c r="H3790" i="14"/>
  <c r="L3782" i="14"/>
  <c r="H3782" i="14"/>
  <c r="L3779" i="14"/>
  <c r="H3779" i="14"/>
  <c r="H3775" i="14"/>
  <c r="H3774" i="14"/>
  <c r="H3766" i="14"/>
  <c r="H3763" i="14"/>
  <c r="H3759" i="14"/>
  <c r="H3758" i="14"/>
  <c r="H3750" i="14"/>
  <c r="H3747" i="14"/>
  <c r="L3743" i="14"/>
  <c r="H3743" i="14"/>
  <c r="H3742" i="14"/>
  <c r="L3734" i="14"/>
  <c r="H3734" i="14"/>
  <c r="L3731" i="14"/>
  <c r="H3731" i="14"/>
  <c r="L3727" i="14"/>
  <c r="H3727" i="14"/>
  <c r="H3726" i="14"/>
  <c r="L3718" i="14"/>
  <c r="H3718" i="14"/>
  <c r="L3715" i="14"/>
  <c r="H3715" i="14"/>
  <c r="L3711" i="14"/>
  <c r="H3711" i="14"/>
  <c r="H3710" i="14"/>
  <c r="L3702" i="14"/>
  <c r="H3702" i="14"/>
  <c r="L3699" i="14"/>
  <c r="H3699" i="14"/>
  <c r="L3695" i="14"/>
  <c r="H3695" i="14"/>
  <c r="H3694" i="14"/>
  <c r="H3690" i="14"/>
  <c r="L3686" i="14"/>
  <c r="L3683" i="14"/>
  <c r="H3683" i="14"/>
  <c r="L3679" i="14"/>
  <c r="H3679" i="14"/>
  <c r="H3678" i="14"/>
  <c r="L3670" i="14"/>
  <c r="H3670" i="14"/>
  <c r="L3667" i="14"/>
  <c r="H3667" i="14"/>
  <c r="L3663" i="14"/>
  <c r="H3663" i="14"/>
  <c r="H3662" i="14"/>
  <c r="H3658" i="14"/>
  <c r="W3658" i="14" s="1"/>
  <c r="L3654" i="14"/>
  <c r="L3651" i="14"/>
  <c r="H3651" i="14"/>
  <c r="L3647" i="14"/>
  <c r="H3647" i="14"/>
  <c r="H3646" i="14"/>
  <c r="L3638" i="14"/>
  <c r="H3638" i="14"/>
  <c r="L3635" i="14"/>
  <c r="H3635" i="14"/>
  <c r="H3631" i="14"/>
  <c r="H3622" i="14"/>
  <c r="L3619" i="14"/>
  <c r="H3619" i="14"/>
  <c r="L3615" i="14"/>
  <c r="H3615" i="14"/>
  <c r="L3606" i="14"/>
  <c r="H3606" i="14"/>
  <c r="L3603" i="14"/>
  <c r="H3603" i="14"/>
  <c r="L3599" i="14"/>
  <c r="H3599" i="14"/>
  <c r="H3598" i="14"/>
  <c r="L3590" i="14"/>
  <c r="H3590" i="14"/>
  <c r="L3587" i="14"/>
  <c r="H3587" i="14"/>
  <c r="L3583" i="14"/>
  <c r="H3583" i="14"/>
  <c r="H3582" i="14"/>
  <c r="L3574" i="14"/>
  <c r="H3574" i="14"/>
  <c r="L3571" i="14"/>
  <c r="H3571" i="14"/>
  <c r="L3567" i="14"/>
  <c r="H3567" i="14"/>
  <c r="H3558" i="14"/>
  <c r="H3555" i="14"/>
  <c r="L3551" i="14"/>
  <c r="H3551" i="14"/>
  <c r="H3550" i="14"/>
  <c r="L3542" i="14"/>
  <c r="H3542" i="14"/>
  <c r="L3539" i="14"/>
  <c r="H3539" i="14"/>
  <c r="L3535" i="14"/>
  <c r="H3535" i="14"/>
  <c r="H3530" i="14"/>
  <c r="W3530" i="14" s="1"/>
  <c r="H3528" i="14"/>
  <c r="W3528" i="14" s="1"/>
  <c r="L3526" i="14"/>
  <c r="H3525" i="14"/>
  <c r="W3525" i="14" s="1"/>
  <c r="H3524" i="14"/>
  <c r="W3524" i="14" s="1"/>
  <c r="L3523" i="14"/>
  <c r="L3519" i="14"/>
  <c r="H3519" i="14"/>
  <c r="H3518" i="14"/>
  <c r="L3510" i="14"/>
  <c r="H3510" i="14"/>
  <c r="L3507" i="14"/>
  <c r="H3507" i="14"/>
  <c r="L3503" i="14"/>
  <c r="H3503" i="14"/>
  <c r="H3502" i="14"/>
  <c r="L3494" i="14"/>
  <c r="H3494" i="14"/>
  <c r="L3491" i="14"/>
  <c r="H3491" i="14"/>
  <c r="L3487" i="14"/>
  <c r="H3487" i="14"/>
  <c r="H3486" i="14"/>
  <c r="L3478" i="14"/>
  <c r="H3478" i="14"/>
  <c r="L3475" i="14"/>
  <c r="H3475" i="14"/>
  <c r="H3471" i="14"/>
  <c r="H3470" i="14"/>
  <c r="H3465" i="14"/>
  <c r="W3465" i="14" s="1"/>
  <c r="G3465" i="14"/>
  <c r="H3464" i="14"/>
  <c r="W3464" i="14" s="1"/>
  <c r="G3464" i="14"/>
  <c r="H3463" i="14"/>
  <c r="W3463" i="14" s="1"/>
  <c r="G3463" i="14"/>
  <c r="L3462" i="14"/>
  <c r="L3459" i="14"/>
  <c r="H3459" i="14"/>
  <c r="L3455" i="14"/>
  <c r="H3455" i="14"/>
  <c r="H3454" i="14"/>
  <c r="L3446" i="14"/>
  <c r="H3446" i="14"/>
  <c r="L3443" i="14"/>
  <c r="H3443" i="14"/>
  <c r="L3439" i="14"/>
  <c r="H3439" i="14"/>
  <c r="H3438" i="14"/>
  <c r="L3430" i="14"/>
  <c r="H3430" i="14"/>
  <c r="L3427" i="14"/>
  <c r="H3427" i="14"/>
  <c r="L3423" i="14"/>
  <c r="H3423" i="14"/>
  <c r="H3422" i="14"/>
  <c r="H3414" i="14"/>
  <c r="H3411" i="14"/>
  <c r="L3407" i="14"/>
  <c r="H3407" i="14"/>
  <c r="H3406" i="14"/>
  <c r="L3398" i="14"/>
  <c r="H3398" i="14"/>
  <c r="L3395" i="14"/>
  <c r="H3395" i="14"/>
  <c r="L3391" i="14"/>
  <c r="H3391" i="14"/>
  <c r="L3382" i="14"/>
  <c r="H3382" i="14"/>
  <c r="L3379" i="14"/>
  <c r="H3379" i="14"/>
  <c r="H3375" i="14"/>
  <c r="L3366" i="14"/>
  <c r="H3366" i="14"/>
  <c r="H3363" i="14"/>
  <c r="L3359" i="14"/>
  <c r="H3359" i="14"/>
  <c r="L3350" i="14"/>
  <c r="H3350" i="14"/>
  <c r="L3347" i="14"/>
  <c r="H3347" i="14"/>
  <c r="I3344" i="14"/>
  <c r="W3344" i="14" s="1"/>
  <c r="L3343" i="14"/>
  <c r="H3343" i="14"/>
  <c r="L3334" i="14"/>
  <c r="H3334" i="14"/>
  <c r="L3331" i="14"/>
  <c r="H3331" i="14"/>
  <c r="L3327" i="14"/>
  <c r="H3327" i="14"/>
  <c r="L3318" i="14"/>
  <c r="H3318" i="14"/>
  <c r="L3315" i="14"/>
  <c r="H3315" i="14"/>
  <c r="L3311" i="14"/>
  <c r="H3311" i="14"/>
  <c r="L3302" i="14"/>
  <c r="H3302" i="14"/>
  <c r="L3299" i="14"/>
  <c r="H3299" i="14"/>
  <c r="L3295" i="14"/>
  <c r="H3295" i="14"/>
  <c r="L3286" i="14"/>
  <c r="H3286" i="14"/>
  <c r="L3283" i="14"/>
  <c r="H3283" i="14"/>
  <c r="L3279" i="14"/>
  <c r="H3279" i="14"/>
  <c r="L3270" i="14"/>
  <c r="H3270" i="14"/>
  <c r="L3267" i="14"/>
  <c r="H3267" i="14"/>
  <c r="L3263" i="14"/>
  <c r="H3263" i="14"/>
  <c r="H3262" i="14"/>
  <c r="L3254" i="14"/>
  <c r="H3254" i="14"/>
  <c r="L3251" i="14"/>
  <c r="H3251" i="14"/>
  <c r="L3247" i="14"/>
  <c r="H3247" i="14"/>
  <c r="L3238" i="14"/>
  <c r="H3238" i="14"/>
  <c r="L3235" i="14"/>
  <c r="H3235" i="14"/>
  <c r="L3231" i="14"/>
  <c r="H3231" i="14"/>
  <c r="H3222" i="14"/>
  <c r="L3219" i="14"/>
  <c r="H3219" i="14"/>
  <c r="L3215" i="14"/>
  <c r="H3215" i="14"/>
  <c r="L3206" i="14"/>
  <c r="H3206" i="14"/>
  <c r="L3203" i="14"/>
  <c r="H3203" i="14"/>
  <c r="L3199" i="14"/>
  <c r="H3199" i="14"/>
  <c r="L3190" i="14"/>
  <c r="H3190" i="14"/>
  <c r="L3187" i="14"/>
  <c r="H3187" i="14"/>
  <c r="L3183" i="14"/>
  <c r="L3174" i="14"/>
  <c r="L3171" i="14"/>
  <c r="L3167" i="14"/>
  <c r="H3167" i="14"/>
  <c r="H3166" i="14"/>
  <c r="L3158" i="14"/>
  <c r="H3158" i="14"/>
  <c r="L3155" i="14"/>
  <c r="H3155" i="14"/>
  <c r="L3151" i="14"/>
  <c r="H3151" i="14"/>
  <c r="L3142" i="14"/>
  <c r="H3142" i="14"/>
  <c r="L3139" i="14"/>
  <c r="H3139" i="14"/>
  <c r="L3135" i="14"/>
  <c r="H3135" i="14"/>
  <c r="L3126" i="14"/>
  <c r="H3126" i="14"/>
  <c r="L3123" i="14"/>
  <c r="H3123" i="14"/>
  <c r="L3119" i="14"/>
  <c r="H3119" i="14"/>
  <c r="L3110" i="14"/>
  <c r="H3110" i="14"/>
  <c r="L3107" i="14"/>
  <c r="H3107" i="14"/>
  <c r="L3103" i="14"/>
  <c r="H3103" i="14"/>
  <c r="L3094" i="14"/>
  <c r="H3094" i="14"/>
  <c r="L3091" i="14"/>
  <c r="H3091" i="14"/>
  <c r="L3087" i="14"/>
  <c r="L3078" i="14"/>
  <c r="L3075" i="14"/>
  <c r="L3071" i="14"/>
  <c r="H3071" i="14"/>
  <c r="L3062" i="14"/>
  <c r="H3062" i="14"/>
  <c r="L3059" i="14"/>
  <c r="H3059" i="14"/>
  <c r="L3055" i="14"/>
  <c r="H3055" i="14"/>
  <c r="L3046" i="14"/>
  <c r="H3046" i="14"/>
  <c r="L3043" i="14"/>
  <c r="H3043" i="14"/>
  <c r="L3039" i="14"/>
  <c r="L3030" i="14"/>
  <c r="L3027" i="14"/>
  <c r="L3023" i="14"/>
  <c r="H3023" i="14"/>
  <c r="L3014" i="14"/>
  <c r="H3014" i="14"/>
  <c r="L3011" i="14"/>
  <c r="H3011" i="14"/>
  <c r="L3007" i="14"/>
  <c r="H3007" i="14"/>
  <c r="L2998" i="14"/>
  <c r="H2998" i="14"/>
  <c r="L2995" i="14"/>
  <c r="H2995" i="14"/>
  <c r="L2991" i="14"/>
  <c r="H2991" i="14"/>
  <c r="L2982" i="14"/>
  <c r="H2982" i="14"/>
  <c r="L2979" i="14"/>
  <c r="H2979" i="14"/>
  <c r="L2975" i="14"/>
  <c r="L2966" i="14"/>
  <c r="L2963" i="14"/>
  <c r="L2955" i="14"/>
  <c r="H2955" i="14"/>
  <c r="H2954" i="14"/>
  <c r="H2950" i="14"/>
  <c r="W2950" i="14" s="1"/>
  <c r="L2946" i="14"/>
  <c r="L2943" i="14"/>
  <c r="H2943" i="14"/>
  <c r="L2927" i="14"/>
  <c r="H2918" i="14"/>
  <c r="L2915" i="14"/>
  <c r="H2915" i="14"/>
  <c r="L2911" i="14"/>
  <c r="H2911" i="14"/>
  <c r="L2902" i="14"/>
  <c r="H2902" i="14"/>
  <c r="L2899" i="14"/>
  <c r="H2899" i="14"/>
  <c r="L2895" i="14"/>
  <c r="H2895" i="14"/>
  <c r="L2886" i="14"/>
  <c r="H2886" i="14"/>
  <c r="L2883" i="14"/>
  <c r="H2883" i="14"/>
  <c r="L2879" i="14"/>
  <c r="H2879" i="14"/>
  <c r="L2870" i="14"/>
  <c r="H2870" i="14"/>
  <c r="L2867" i="14"/>
  <c r="H2867" i="14"/>
  <c r="L2863" i="14"/>
  <c r="H2863" i="14"/>
  <c r="L2854" i="14"/>
  <c r="H2854" i="14"/>
  <c r="L2851" i="14"/>
  <c r="H2851" i="14"/>
  <c r="L2847" i="14"/>
  <c r="H2847" i="14"/>
  <c r="L2838" i="14"/>
  <c r="H2838" i="14"/>
  <c r="L2835" i="14"/>
  <c r="H2835" i="14"/>
  <c r="L2831" i="14"/>
  <c r="H2831" i="14"/>
  <c r="L2822" i="14"/>
  <c r="H2822" i="14"/>
  <c r="L2819" i="14"/>
  <c r="H2819" i="14"/>
  <c r="L2815" i="14"/>
  <c r="H2815" i="14"/>
  <c r="L2806" i="14"/>
  <c r="H2806" i="14"/>
  <c r="L2803" i="14"/>
  <c r="H2803" i="14"/>
  <c r="L2799" i="14"/>
  <c r="H2799" i="14"/>
  <c r="L2790" i="14"/>
  <c r="H2790" i="14"/>
  <c r="L2787" i="14"/>
  <c r="H2787" i="14"/>
  <c r="L2775" i="14"/>
  <c r="H2775" i="14"/>
  <c r="L2766" i="14"/>
  <c r="H2766" i="14"/>
  <c r="L2763" i="14"/>
  <c r="H2763" i="14"/>
  <c r="L2759" i="14"/>
  <c r="H2759" i="14"/>
  <c r="L2750" i="14"/>
  <c r="H2750" i="14"/>
  <c r="L2747" i="14"/>
  <c r="H2747" i="14"/>
  <c r="L2743" i="14"/>
  <c r="H2743" i="14"/>
  <c r="L2734" i="14"/>
  <c r="H2734" i="14"/>
  <c r="L2731" i="14"/>
  <c r="H2731" i="14"/>
  <c r="L2727" i="14"/>
  <c r="H2727" i="14"/>
  <c r="L2718" i="14"/>
  <c r="H2718" i="14"/>
  <c r="L2715" i="14"/>
  <c r="H2715" i="14"/>
  <c r="L2711" i="14"/>
  <c r="H2711" i="14"/>
  <c r="L2702" i="14"/>
  <c r="H2702" i="14"/>
  <c r="L2699" i="14"/>
  <c r="H2699" i="14"/>
  <c r="L2695" i="14"/>
  <c r="H2695" i="14"/>
  <c r="L2686" i="14"/>
  <c r="H2686" i="14"/>
  <c r="L2683" i="14"/>
  <c r="H2683" i="14"/>
  <c r="L2679" i="14"/>
  <c r="H2679" i="14"/>
  <c r="H2675" i="14"/>
  <c r="W2675" i="14" s="1"/>
  <c r="H2674" i="14"/>
  <c r="W2674" i="14" s="1"/>
  <c r="H2673" i="14"/>
  <c r="W2673" i="14" s="1"/>
  <c r="H2672" i="14"/>
  <c r="W2672" i="14" s="1"/>
  <c r="H2671" i="14"/>
  <c r="W2671" i="14" s="1"/>
  <c r="L2670" i="14"/>
  <c r="L2667" i="14"/>
  <c r="H2667" i="14"/>
  <c r="H2663" i="14"/>
  <c r="L2654" i="14"/>
  <c r="H2654" i="14"/>
  <c r="L2651" i="14"/>
  <c r="H2651" i="14"/>
  <c r="L2647" i="14"/>
  <c r="H2647" i="14"/>
  <c r="H2638" i="14"/>
  <c r="L2635" i="14"/>
  <c r="H2635" i="14"/>
  <c r="L2627" i="14"/>
  <c r="H2627" i="14"/>
  <c r="L2618" i="14"/>
  <c r="H2618" i="14"/>
  <c r="L2615" i="14"/>
  <c r="H2615" i="14"/>
  <c r="L2611" i="14"/>
  <c r="H2611" i="14"/>
  <c r="L2602" i="14"/>
  <c r="H2602" i="14"/>
  <c r="L2599" i="14"/>
  <c r="H2599" i="14"/>
  <c r="L2591" i="14"/>
  <c r="H2591" i="14"/>
  <c r="L2582" i="14"/>
  <c r="H2582" i="14"/>
  <c r="L2579" i="14"/>
  <c r="H2579" i="14"/>
  <c r="L2575" i="14"/>
  <c r="H2575" i="14"/>
  <c r="L2566" i="14"/>
  <c r="H2566" i="14"/>
  <c r="L2563" i="14"/>
  <c r="H2563" i="14"/>
  <c r="L2555" i="14"/>
  <c r="H2555" i="14"/>
  <c r="L2546" i="14"/>
  <c r="H2546" i="14"/>
  <c r="L2543" i="14"/>
  <c r="H2543" i="14"/>
  <c r="L2535" i="14"/>
  <c r="H2535" i="14"/>
  <c r="H2534" i="14"/>
  <c r="L2526" i="14"/>
  <c r="H2526" i="14"/>
  <c r="L2523" i="14"/>
  <c r="H2523" i="14"/>
  <c r="L2519" i="14"/>
  <c r="H2519" i="14"/>
  <c r="L2510" i="14"/>
  <c r="H2510" i="14"/>
  <c r="L2507" i="14"/>
  <c r="H2507" i="14"/>
  <c r="L2503" i="14"/>
  <c r="H2503" i="14"/>
  <c r="L2494" i="14"/>
  <c r="H2494" i="14"/>
  <c r="L2491" i="14"/>
  <c r="H2491" i="14"/>
  <c r="L2487" i="14"/>
  <c r="H2487" i="14"/>
  <c r="G2483" i="14"/>
  <c r="H2479" i="14"/>
  <c r="W2479" i="14" s="1"/>
  <c r="G2479" i="14"/>
  <c r="L2478" i="14"/>
  <c r="H2477" i="14"/>
  <c r="W2477" i="14" s="1"/>
  <c r="G2477" i="14"/>
  <c r="H2476" i="14"/>
  <c r="W2476" i="14" s="1"/>
  <c r="G2476" i="14"/>
  <c r="L2475" i="14"/>
  <c r="L2471" i="14"/>
  <c r="H2471" i="14"/>
  <c r="L2462" i="14"/>
  <c r="H2462" i="14"/>
  <c r="L2459" i="14"/>
  <c r="H2459" i="14"/>
  <c r="L2455" i="14"/>
  <c r="H2455" i="14"/>
  <c r="L2446" i="14"/>
  <c r="H2446" i="14"/>
  <c r="L2443" i="14"/>
  <c r="H2443" i="14"/>
  <c r="L2439" i="14"/>
  <c r="H2439" i="14"/>
  <c r="L2430" i="14"/>
  <c r="H2430" i="14"/>
  <c r="L2427" i="14"/>
  <c r="H2427" i="14"/>
  <c r="L2419" i="14"/>
  <c r="H2419" i="14"/>
  <c r="L2410" i="14"/>
  <c r="H2410" i="14"/>
  <c r="L2407" i="14"/>
  <c r="H2407" i="14"/>
  <c r="L2403" i="14"/>
  <c r="H2403" i="14"/>
  <c r="L2394" i="14"/>
  <c r="H2394" i="14"/>
  <c r="L2391" i="14"/>
  <c r="H2391" i="14"/>
  <c r="L2387" i="14"/>
  <c r="H2387" i="14"/>
  <c r="L2378" i="14"/>
  <c r="H2378" i="14"/>
  <c r="L2375" i="14"/>
  <c r="H2375" i="14"/>
  <c r="L2371" i="14"/>
  <c r="H2371" i="14"/>
  <c r="L2362" i="14"/>
  <c r="H2362" i="14"/>
  <c r="L2359" i="14"/>
  <c r="H2359" i="14"/>
  <c r="L2339" i="14"/>
  <c r="H2339" i="14"/>
  <c r="L2330" i="14"/>
  <c r="H2330" i="14"/>
  <c r="L2327" i="14"/>
  <c r="H2327" i="14"/>
  <c r="L2323" i="14"/>
  <c r="H2323" i="14"/>
  <c r="L2314" i="14"/>
  <c r="H2314" i="14"/>
  <c r="L2311" i="14"/>
  <c r="H2311" i="14"/>
  <c r="L2307" i="14"/>
  <c r="H2307" i="14"/>
  <c r="L2298" i="14"/>
  <c r="H2298" i="14"/>
  <c r="L2295" i="14"/>
  <c r="H2295" i="14"/>
  <c r="L2287" i="14"/>
  <c r="H2287" i="14"/>
  <c r="L2278" i="14"/>
  <c r="H2278" i="14"/>
  <c r="L2275" i="14"/>
  <c r="H2275" i="14"/>
  <c r="L2271" i="14"/>
  <c r="H2271" i="14"/>
  <c r="L2262" i="14"/>
  <c r="H2262" i="14"/>
  <c r="L2259" i="14"/>
  <c r="H2259" i="14"/>
  <c r="L2255" i="14"/>
  <c r="H2255" i="14"/>
  <c r="L2246" i="14"/>
  <c r="H2246" i="14"/>
  <c r="L2243" i="14"/>
  <c r="H2243" i="14"/>
  <c r="L2239" i="14"/>
  <c r="H2239" i="14"/>
  <c r="L2230" i="14"/>
  <c r="H2230" i="14"/>
  <c r="L2227" i="14"/>
  <c r="H2227" i="14"/>
  <c r="L2219" i="14"/>
  <c r="H2219" i="14"/>
  <c r="L2210" i="14"/>
  <c r="H2210" i="14"/>
  <c r="L2207" i="14"/>
  <c r="H2207" i="14"/>
  <c r="L2203" i="14"/>
  <c r="H2203" i="14"/>
  <c r="L2194" i="14"/>
  <c r="H2194" i="14"/>
  <c r="H2191" i="14"/>
  <c r="L2183" i="14"/>
  <c r="H2183" i="14"/>
  <c r="L2174" i="14"/>
  <c r="H2174" i="14"/>
  <c r="L2171" i="14"/>
  <c r="H2171" i="14"/>
  <c r="L2167" i="14"/>
  <c r="H2167" i="14"/>
  <c r="L2158" i="14"/>
  <c r="H2158" i="14"/>
  <c r="L2155" i="14"/>
  <c r="H2155" i="14"/>
  <c r="L2147" i="14"/>
  <c r="H2147" i="14"/>
  <c r="L2138" i="14"/>
  <c r="H2138" i="14"/>
  <c r="L2135" i="14"/>
  <c r="H2135" i="14"/>
  <c r="I2133" i="14"/>
  <c r="W2133" i="14" s="1"/>
  <c r="H2131" i="14"/>
  <c r="I2128" i="14"/>
  <c r="W2128" i="14" s="1"/>
  <c r="I2126" i="14"/>
  <c r="W2126" i="14" s="1"/>
  <c r="I2124" i="14"/>
  <c r="W2124" i="14" s="1"/>
  <c r="L2122" i="14"/>
  <c r="H2122" i="14"/>
  <c r="L2119" i="14"/>
  <c r="H2119" i="14"/>
  <c r="L2115" i="14"/>
  <c r="H2115" i="14"/>
  <c r="L2106" i="14"/>
  <c r="H2106" i="14"/>
  <c r="L2103" i="14"/>
  <c r="H2103" i="14"/>
  <c r="H2099" i="14"/>
  <c r="H2090" i="14"/>
  <c r="H2087" i="14"/>
  <c r="L2079" i="14"/>
  <c r="H2079" i="14"/>
  <c r="L2070" i="14"/>
  <c r="H2070" i="14"/>
  <c r="L2067" i="14"/>
  <c r="H2067" i="14"/>
  <c r="L2063" i="14"/>
  <c r="H2063" i="14"/>
  <c r="L2054" i="14"/>
  <c r="H2054" i="14"/>
  <c r="L2051" i="14"/>
  <c r="H2051" i="14"/>
  <c r="L2043" i="14"/>
  <c r="H2043" i="14"/>
  <c r="L2034" i="14"/>
  <c r="H2034" i="14"/>
  <c r="L2031" i="14"/>
  <c r="H2031" i="14"/>
  <c r="L2027" i="14"/>
  <c r="H2027" i="14"/>
  <c r="L2018" i="14"/>
  <c r="H2018" i="14"/>
  <c r="L2015" i="14"/>
  <c r="H2015" i="14"/>
  <c r="L2011" i="14"/>
  <c r="H2011" i="14"/>
  <c r="L2002" i="14"/>
  <c r="H2002" i="14"/>
  <c r="L1999" i="14"/>
  <c r="H1999" i="14"/>
  <c r="L1995" i="14"/>
  <c r="H1995" i="14"/>
  <c r="L1986" i="14"/>
  <c r="H1986" i="14"/>
  <c r="L1983" i="14"/>
  <c r="H1983" i="14"/>
  <c r="L1979" i="14"/>
  <c r="H1979" i="14"/>
  <c r="L1970" i="14"/>
  <c r="H1970" i="14"/>
  <c r="L1967" i="14"/>
  <c r="H1967" i="14"/>
  <c r="L1959" i="14"/>
  <c r="H1959" i="14"/>
  <c r="L1950" i="14"/>
  <c r="H1950" i="14"/>
  <c r="L1947" i="14"/>
  <c r="H1947" i="14"/>
  <c r="L1943" i="14"/>
  <c r="H1943" i="14"/>
  <c r="L1934" i="14"/>
  <c r="H1934" i="14"/>
  <c r="L1931" i="14"/>
  <c r="H1931" i="14"/>
  <c r="L1927" i="14"/>
  <c r="H1927" i="14"/>
  <c r="L1918" i="14"/>
  <c r="H1918" i="14"/>
  <c r="L1915" i="14"/>
  <c r="H1915" i="14"/>
  <c r="L1911" i="14"/>
  <c r="H1911" i="14"/>
  <c r="L1902" i="14"/>
  <c r="H1902" i="14"/>
  <c r="L1899" i="14"/>
  <c r="H1899" i="14"/>
  <c r="L1887" i="14"/>
  <c r="H1887" i="14"/>
  <c r="L1878" i="14"/>
  <c r="H1878" i="14"/>
  <c r="L1875" i="14"/>
  <c r="H1875" i="14"/>
  <c r="L1871" i="14"/>
  <c r="H1871" i="14"/>
  <c r="L1862" i="14"/>
  <c r="H1862" i="14"/>
  <c r="L1859" i="14"/>
  <c r="H1859" i="14"/>
  <c r="L1855" i="14"/>
  <c r="H1855" i="14"/>
  <c r="L1846" i="14"/>
  <c r="H1846" i="14"/>
  <c r="L1843" i="14"/>
  <c r="H1843" i="14"/>
  <c r="L1839" i="14"/>
  <c r="H1839" i="14"/>
  <c r="L1830" i="14"/>
  <c r="H1830" i="14"/>
  <c r="L1827" i="14"/>
  <c r="H1827" i="14"/>
  <c r="L1819" i="14"/>
  <c r="H1819" i="14"/>
  <c r="H1818" i="14"/>
  <c r="L1810" i="14"/>
  <c r="H1810" i="14"/>
  <c r="L1807" i="14"/>
  <c r="H1807" i="14"/>
  <c r="L1803" i="14"/>
  <c r="H1803" i="14"/>
  <c r="L1794" i="14"/>
  <c r="H1794" i="14"/>
  <c r="L1791" i="14"/>
  <c r="H1791" i="14"/>
  <c r="L1783" i="14"/>
  <c r="H1783" i="14"/>
  <c r="L1774" i="14"/>
  <c r="H1774" i="14"/>
  <c r="L1771" i="14"/>
  <c r="H1771" i="14"/>
  <c r="L1767" i="14"/>
  <c r="H1767" i="14"/>
  <c r="L1758" i="14"/>
  <c r="H1758" i="14"/>
  <c r="L1755" i="14"/>
  <c r="H1755" i="14"/>
  <c r="L1751" i="14"/>
  <c r="H1751" i="14"/>
  <c r="L1742" i="14"/>
  <c r="H1742" i="14"/>
  <c r="L1739" i="14"/>
  <c r="H1739" i="14"/>
  <c r="L1735" i="14"/>
  <c r="H1735" i="14"/>
  <c r="L1726" i="14"/>
  <c r="H1726" i="14"/>
  <c r="L1723" i="14"/>
  <c r="H1723" i="14"/>
  <c r="L1719" i="14"/>
  <c r="H1719" i="14"/>
  <c r="L1710" i="14"/>
  <c r="H1710" i="14"/>
  <c r="L1707" i="14"/>
  <c r="H1707" i="14"/>
  <c r="L1703" i="14"/>
  <c r="H1703" i="14"/>
  <c r="L1694" i="14"/>
  <c r="H1694" i="14"/>
  <c r="L1691" i="14"/>
  <c r="H1691" i="14"/>
  <c r="L1687" i="14"/>
  <c r="H1687" i="14"/>
  <c r="L1678" i="14"/>
  <c r="H1678" i="14"/>
  <c r="L1675" i="14"/>
  <c r="H1675" i="14"/>
  <c r="L1659" i="14"/>
  <c r="H1659" i="14"/>
  <c r="L1650" i="14"/>
  <c r="H1650" i="14"/>
  <c r="L1647" i="14"/>
  <c r="H1647" i="14"/>
  <c r="L1643" i="14"/>
  <c r="H1643" i="14"/>
  <c r="L1634" i="14"/>
  <c r="H1634" i="14"/>
  <c r="L1631" i="14"/>
  <c r="H1631" i="14"/>
  <c r="L1627" i="14"/>
  <c r="H1627" i="14"/>
  <c r="L1618" i="14"/>
  <c r="H1618" i="14"/>
  <c r="L1615" i="14"/>
  <c r="H1615" i="14"/>
  <c r="L1607" i="14"/>
  <c r="H1607" i="14"/>
  <c r="L1598" i="14"/>
  <c r="H1598" i="14"/>
  <c r="L1595" i="14"/>
  <c r="H1595" i="14"/>
  <c r="L1591" i="14"/>
  <c r="H1591" i="14"/>
  <c r="L1582" i="14"/>
  <c r="H1582" i="14"/>
  <c r="L1579" i="14"/>
  <c r="H1579" i="14"/>
  <c r="L1575" i="14"/>
  <c r="H1575" i="14"/>
  <c r="L1566" i="14"/>
  <c r="H1566" i="14"/>
  <c r="L1563" i="14"/>
  <c r="H1563" i="14"/>
  <c r="L1555" i="14"/>
  <c r="H1555" i="14"/>
  <c r="H1554" i="14"/>
  <c r="L1546" i="14"/>
  <c r="H1546" i="14"/>
  <c r="L1543" i="14"/>
  <c r="H1543" i="14"/>
  <c r="L1539" i="14"/>
  <c r="H1539" i="14"/>
  <c r="L1530" i="14"/>
  <c r="H1530" i="14"/>
  <c r="L1527" i="14"/>
  <c r="H1527" i="14"/>
  <c r="L1515" i="14"/>
  <c r="H1515" i="14"/>
  <c r="L1506" i="14"/>
  <c r="H1506" i="14"/>
  <c r="L1503" i="14"/>
  <c r="H1503" i="14"/>
  <c r="L1499" i="14"/>
  <c r="H1499" i="14"/>
  <c r="L1490" i="14"/>
  <c r="H1490" i="14"/>
  <c r="L1487" i="14"/>
  <c r="H1487" i="14"/>
  <c r="L1483" i="14"/>
  <c r="H1483" i="14"/>
  <c r="L1474" i="14"/>
  <c r="H1474" i="14"/>
  <c r="L1471" i="14"/>
  <c r="H1471" i="14"/>
  <c r="L1459" i="14"/>
  <c r="H1459" i="14"/>
  <c r="L1450" i="14"/>
  <c r="H1450" i="14"/>
  <c r="L1447" i="14"/>
  <c r="H1447" i="14"/>
  <c r="L1443" i="14"/>
  <c r="H1443" i="14"/>
  <c r="L1434" i="14"/>
  <c r="H1434" i="14"/>
  <c r="L1431" i="14"/>
  <c r="H1431" i="14"/>
  <c r="L1415" i="14"/>
  <c r="H1415" i="14"/>
  <c r="L1406" i="14"/>
  <c r="H1406" i="14"/>
  <c r="L1403" i="14"/>
  <c r="H1403" i="14"/>
  <c r="L1351" i="14"/>
  <c r="H1351" i="14"/>
  <c r="L1342" i="14"/>
  <c r="H1342" i="14"/>
  <c r="L1339" i="14"/>
  <c r="H1339" i="14"/>
  <c r="L1291" i="14"/>
  <c r="H1291" i="14"/>
  <c r="L1282" i="14"/>
  <c r="H1282" i="14"/>
  <c r="L1279" i="14"/>
  <c r="H1279" i="14"/>
  <c r="L1275" i="14"/>
  <c r="H1275" i="14"/>
  <c r="L1266" i="14"/>
  <c r="H1266" i="14"/>
  <c r="L1263" i="14"/>
  <c r="H1263" i="14"/>
  <c r="L1255" i="14"/>
  <c r="H1255" i="14"/>
  <c r="L1246" i="14"/>
  <c r="H1246" i="14"/>
  <c r="L1243" i="14"/>
  <c r="H1243" i="14"/>
  <c r="L1231" i="14"/>
  <c r="H1231" i="14"/>
  <c r="L1222" i="14"/>
  <c r="H1222" i="14"/>
  <c r="L1219" i="14"/>
  <c r="H1219" i="14"/>
  <c r="L1203" i="14"/>
  <c r="H1203" i="14"/>
  <c r="L1194" i="14"/>
  <c r="H1194" i="14"/>
  <c r="L1191" i="14"/>
  <c r="H1191" i="14"/>
  <c r="L1175" i="14"/>
  <c r="H1175" i="14"/>
  <c r="L1166" i="14"/>
  <c r="H1166" i="14"/>
  <c r="L1163" i="14"/>
  <c r="L1111" i="14"/>
  <c r="H1111" i="14"/>
  <c r="L1102" i="14"/>
  <c r="H1102" i="14"/>
  <c r="L1099" i="14"/>
  <c r="L1067" i="14"/>
  <c r="H1067" i="14"/>
  <c r="L1058" i="14"/>
  <c r="H1058" i="14"/>
  <c r="L1055" i="14"/>
  <c r="L1023" i="14"/>
  <c r="H1023" i="14"/>
  <c r="L1014" i="14"/>
  <c r="H1014" i="14"/>
  <c r="L1011" i="14"/>
  <c r="H1011" i="14"/>
  <c r="L931" i="14"/>
  <c r="H931" i="14"/>
  <c r="L922" i="14"/>
  <c r="H922" i="14"/>
  <c r="L919" i="14"/>
  <c r="H919" i="14"/>
  <c r="L915" i="14"/>
  <c r="H915" i="14"/>
  <c r="L906" i="14"/>
  <c r="H906" i="14"/>
  <c r="L903" i="14"/>
  <c r="H903" i="14"/>
  <c r="L875" i="14"/>
  <c r="H875" i="14"/>
  <c r="L866" i="14"/>
  <c r="H866" i="14"/>
  <c r="L863" i="14"/>
  <c r="H863" i="14"/>
  <c r="L787" i="14"/>
  <c r="H787" i="14"/>
  <c r="L778" i="14"/>
  <c r="H778" i="14"/>
  <c r="L775" i="14"/>
  <c r="H775" i="14"/>
  <c r="L771" i="14"/>
  <c r="H771" i="14"/>
  <c r="L762" i="14"/>
  <c r="H762" i="14"/>
  <c r="L759" i="14"/>
  <c r="H759" i="14"/>
  <c r="L743" i="14"/>
  <c r="H743" i="14"/>
  <c r="L734" i="14"/>
  <c r="H734" i="14"/>
  <c r="L731" i="14"/>
  <c r="H731" i="14"/>
  <c r="L707" i="14"/>
  <c r="H707" i="14"/>
  <c r="L698" i="14"/>
  <c r="H698" i="14"/>
  <c r="L695" i="14"/>
  <c r="H695" i="14"/>
  <c r="H671" i="14"/>
  <c r="I664" i="14"/>
  <c r="W664" i="14" s="1"/>
  <c r="H662" i="14"/>
  <c r="H659" i="14"/>
  <c r="L635" i="14"/>
  <c r="H635" i="14"/>
  <c r="L626" i="14"/>
  <c r="H626" i="14"/>
  <c r="L623" i="14"/>
  <c r="H623" i="14"/>
  <c r="L555" i="14"/>
  <c r="H555" i="14"/>
  <c r="L546" i="14"/>
  <c r="H546" i="14"/>
  <c r="L543" i="14"/>
  <c r="H543" i="14"/>
  <c r="L519" i="14"/>
  <c r="H519" i="14"/>
  <c r="H518" i="14"/>
  <c r="L510" i="14"/>
  <c r="H510" i="14"/>
  <c r="L507" i="14"/>
  <c r="H507" i="14"/>
  <c r="L359" i="14"/>
  <c r="H359" i="14"/>
  <c r="H358" i="14"/>
  <c r="L350" i="14"/>
  <c r="H350" i="14"/>
  <c r="L347" i="14"/>
  <c r="H347" i="14"/>
  <c r="H3686" i="14" l="1"/>
  <c r="W3686" i="14" s="1"/>
  <c r="W3690" i="14"/>
  <c r="W922" i="14"/>
  <c r="W1803" i="14"/>
  <c r="W2119" i="14"/>
  <c r="W2439" i="14"/>
  <c r="W2790" i="14"/>
  <c r="W3950" i="14"/>
  <c r="W787" i="14"/>
  <c r="W507" i="14"/>
  <c r="W1058" i="14"/>
  <c r="W1175" i="14"/>
  <c r="W1231" i="14"/>
  <c r="W1275" i="14"/>
  <c r="W1351" i="14"/>
  <c r="W1443" i="14"/>
  <c r="W1483" i="14"/>
  <c r="W1515" i="14"/>
  <c r="W1554" i="14"/>
  <c r="U1554" i="14"/>
  <c r="V1554" i="14"/>
  <c r="W1830" i="14"/>
  <c r="W1862" i="14"/>
  <c r="W1902" i="14"/>
  <c r="W1934" i="14"/>
  <c r="W1970" i="14"/>
  <c r="W2002" i="14"/>
  <c r="W2034" i="14"/>
  <c r="W2070" i="14"/>
  <c r="W2138" i="14"/>
  <c r="W2174" i="14"/>
  <c r="W2487" i="14"/>
  <c r="W2519" i="14"/>
  <c r="W2663" i="14"/>
  <c r="W3043" i="14"/>
  <c r="U3043" i="14"/>
  <c r="V3043" i="14"/>
  <c r="W3251" i="14"/>
  <c r="W3407" i="14"/>
  <c r="W3439" i="14"/>
  <c r="W3486" i="14"/>
  <c r="W3510" i="14"/>
  <c r="W3571" i="14"/>
  <c r="W3599" i="14"/>
  <c r="W3635" i="14"/>
  <c r="W3663" i="14"/>
  <c r="W3891" i="14"/>
  <c r="W3923" i="14"/>
  <c r="W3974" i="14"/>
  <c r="W4015" i="14"/>
  <c r="W4062" i="14"/>
  <c r="W4095" i="14"/>
  <c r="U4095" i="14"/>
  <c r="V4095" i="14"/>
  <c r="W4127" i="14"/>
  <c r="W4223" i="14"/>
  <c r="U4223" i="14"/>
  <c r="V4223" i="14"/>
  <c r="W1767" i="14"/>
  <c r="W2255" i="14"/>
  <c r="W2686" i="14"/>
  <c r="W3151" i="14"/>
  <c r="W3822" i="14"/>
  <c r="W4131" i="14"/>
  <c r="U4131" i="14"/>
  <c r="V4131" i="14"/>
  <c r="W510" i="14"/>
  <c r="W1067" i="14"/>
  <c r="W1191" i="14"/>
  <c r="W1243" i="14"/>
  <c r="W1279" i="14"/>
  <c r="W1403" i="14"/>
  <c r="W1447" i="14"/>
  <c r="W1487" i="14"/>
  <c r="W1527" i="14"/>
  <c r="W1839" i="14"/>
  <c r="W1871" i="14"/>
  <c r="W1911" i="14"/>
  <c r="W1943" i="14"/>
  <c r="W1979" i="14"/>
  <c r="W2011" i="14"/>
  <c r="W2043" i="14"/>
  <c r="W2079" i="14"/>
  <c r="W2147" i="14"/>
  <c r="W2183" i="14"/>
  <c r="U2183" i="14"/>
  <c r="V2183" i="14"/>
  <c r="W2491" i="14"/>
  <c r="W2523" i="14"/>
  <c r="W3046" i="14"/>
  <c r="W3254" i="14"/>
  <c r="W3347" i="14"/>
  <c r="W3411" i="14"/>
  <c r="W3443" i="14"/>
  <c r="W3518" i="14"/>
  <c r="W3574" i="14"/>
  <c r="W3603" i="14"/>
  <c r="W3638" i="14"/>
  <c r="W3667" i="14"/>
  <c r="W3695" i="14"/>
  <c r="W3750" i="14"/>
  <c r="W3791" i="14"/>
  <c r="W3823" i="14"/>
  <c r="W3894" i="14"/>
  <c r="W3951" i="14"/>
  <c r="W3983" i="14"/>
  <c r="W4022" i="14"/>
  <c r="W4099" i="14"/>
  <c r="W4134" i="14"/>
  <c r="W4230" i="14"/>
  <c r="W2822" i="14"/>
  <c r="W626" i="14"/>
  <c r="W707" i="14"/>
  <c r="W771" i="14"/>
  <c r="W875" i="14"/>
  <c r="W931" i="14"/>
  <c r="W1563" i="14"/>
  <c r="W1595" i="14"/>
  <c r="W1631" i="14"/>
  <c r="U1631" i="14"/>
  <c r="V1631" i="14"/>
  <c r="W1675" i="14"/>
  <c r="W1707" i="14"/>
  <c r="U1707" i="14"/>
  <c r="V1707" i="14"/>
  <c r="W1739" i="14"/>
  <c r="W1771" i="14"/>
  <c r="W1807" i="14"/>
  <c r="W2122" i="14"/>
  <c r="W2227" i="14"/>
  <c r="W2259" i="14"/>
  <c r="U2259" i="14"/>
  <c r="V2259" i="14"/>
  <c r="W2295" i="14"/>
  <c r="W2327" i="14"/>
  <c r="W2375" i="14"/>
  <c r="W2407" i="14"/>
  <c r="U2407" i="14"/>
  <c r="V2407" i="14"/>
  <c r="W2443" i="14"/>
  <c r="W2563" i="14"/>
  <c r="W2599" i="14"/>
  <c r="W2635" i="14"/>
  <c r="W2695" i="14"/>
  <c r="W2727" i="14"/>
  <c r="W2759" i="14"/>
  <c r="W2799" i="14"/>
  <c r="W2831" i="14"/>
  <c r="W2863" i="14"/>
  <c r="W2895" i="14"/>
  <c r="W2927" i="14"/>
  <c r="W2979" i="14"/>
  <c r="U2979" i="14"/>
  <c r="V2979" i="14"/>
  <c r="W3011" i="14"/>
  <c r="W3091" i="14"/>
  <c r="W3123" i="14"/>
  <c r="W3155" i="14"/>
  <c r="W3190" i="14"/>
  <c r="W3222" i="14"/>
  <c r="W3286" i="14"/>
  <c r="U3286" i="14"/>
  <c r="V3286" i="14"/>
  <c r="W3318" i="14"/>
  <c r="U3318" i="14"/>
  <c r="V3318" i="14"/>
  <c r="W3382" i="14"/>
  <c r="U3382" i="14"/>
  <c r="V3382" i="14"/>
  <c r="W3414" i="14"/>
  <c r="W3491" i="14"/>
  <c r="U3491" i="14"/>
  <c r="V3491" i="14"/>
  <c r="W3519" i="14"/>
  <c r="W3542" i="14"/>
  <c r="W3726" i="14"/>
  <c r="U3726" i="14"/>
  <c r="V3726" i="14"/>
  <c r="W3758" i="14"/>
  <c r="U3758" i="14"/>
  <c r="V3758" i="14"/>
  <c r="W3827" i="14"/>
  <c r="W3870" i="14"/>
  <c r="W3926" i="14"/>
  <c r="W3987" i="14"/>
  <c r="W4031" i="14"/>
  <c r="W4067" i="14"/>
  <c r="U4067" i="14"/>
  <c r="V4067" i="14"/>
  <c r="W4142" i="14"/>
  <c r="W4238" i="14"/>
  <c r="W1555" i="14"/>
  <c r="W2323" i="14"/>
  <c r="W2718" i="14"/>
  <c r="W2918" i="14"/>
  <c r="W3187" i="14"/>
  <c r="W3379" i="14"/>
  <c r="U3379" i="14"/>
  <c r="V3379" i="14"/>
  <c r="W3539" i="14"/>
  <c r="W3862" i="14"/>
  <c r="W518" i="14"/>
  <c r="W1194" i="14"/>
  <c r="W1246" i="14"/>
  <c r="W1282" i="14"/>
  <c r="W1406" i="14"/>
  <c r="W1450" i="14"/>
  <c r="W1490" i="14"/>
  <c r="W1530" i="14"/>
  <c r="W1843" i="14"/>
  <c r="W1875" i="14"/>
  <c r="W1915" i="14"/>
  <c r="W1947" i="14"/>
  <c r="W1983" i="14"/>
  <c r="W2015" i="14"/>
  <c r="W2051" i="14"/>
  <c r="W2087" i="14"/>
  <c r="W2155" i="14"/>
  <c r="W2191" i="14"/>
  <c r="W2494" i="14"/>
  <c r="W2526" i="14"/>
  <c r="W3055" i="14"/>
  <c r="W3231" i="14"/>
  <c r="W3262" i="14"/>
  <c r="U3262" i="14"/>
  <c r="V3262" i="14"/>
  <c r="W3350" i="14"/>
  <c r="W3422" i="14"/>
  <c r="W3446" i="14"/>
  <c r="W3582" i="14"/>
  <c r="W3606" i="14"/>
  <c r="W3646" i="14"/>
  <c r="U3646" i="14"/>
  <c r="V3646" i="14"/>
  <c r="W3670" i="14"/>
  <c r="W3699" i="14"/>
  <c r="U3699" i="14"/>
  <c r="V3699" i="14"/>
  <c r="W3727" i="14"/>
  <c r="W3759" i="14"/>
  <c r="U3759" i="14"/>
  <c r="V3759" i="14"/>
  <c r="W3795" i="14"/>
  <c r="W3830" i="14"/>
  <c r="W3871" i="14"/>
  <c r="W3902" i="14"/>
  <c r="W3955" i="14"/>
  <c r="W3990" i="14"/>
  <c r="W4035" i="14"/>
  <c r="W4102" i="14"/>
  <c r="W4143" i="14"/>
  <c r="W4239" i="14"/>
  <c r="W698" i="14"/>
  <c r="W1627" i="14"/>
  <c r="W2471" i="14"/>
  <c r="W2750" i="14"/>
  <c r="W3982" i="14"/>
  <c r="W347" i="14"/>
  <c r="W519" i="14"/>
  <c r="W635" i="14"/>
  <c r="W731" i="14"/>
  <c r="W775" i="14"/>
  <c r="W903" i="14"/>
  <c r="W1011" i="14"/>
  <c r="W1102" i="14"/>
  <c r="W1566" i="14"/>
  <c r="W1598" i="14"/>
  <c r="W1634" i="14"/>
  <c r="W1678" i="14"/>
  <c r="W1710" i="14"/>
  <c r="W1742" i="14"/>
  <c r="W1774" i="14"/>
  <c r="W1810" i="14"/>
  <c r="W2090" i="14"/>
  <c r="W2194" i="14"/>
  <c r="W2230" i="14"/>
  <c r="W2262" i="14"/>
  <c r="W2298" i="14"/>
  <c r="W2330" i="14"/>
  <c r="W2378" i="14"/>
  <c r="W2410" i="14"/>
  <c r="W2446" i="14"/>
  <c r="W2566" i="14"/>
  <c r="W2602" i="14"/>
  <c r="W2638" i="14"/>
  <c r="W2699" i="14"/>
  <c r="U2699" i="14"/>
  <c r="V2699" i="14"/>
  <c r="W2731" i="14"/>
  <c r="W2763" i="14"/>
  <c r="U2763" i="14"/>
  <c r="V2763" i="14"/>
  <c r="W2803" i="14"/>
  <c r="W2835" i="14"/>
  <c r="W2867" i="14"/>
  <c r="W2899" i="14"/>
  <c r="W2943" i="14"/>
  <c r="W2982" i="14"/>
  <c r="W3014" i="14"/>
  <c r="W3094" i="14"/>
  <c r="W3126" i="14"/>
  <c r="W3158" i="14"/>
  <c r="W3199" i="14"/>
  <c r="W3263" i="14"/>
  <c r="W3295" i="14"/>
  <c r="U3295" i="14"/>
  <c r="V3295" i="14"/>
  <c r="W3327" i="14"/>
  <c r="U3327" i="14"/>
  <c r="V3327" i="14"/>
  <c r="W3391" i="14"/>
  <c r="U3391" i="14"/>
  <c r="V3391" i="14"/>
  <c r="W3423" i="14"/>
  <c r="W3494" i="14"/>
  <c r="W3550" i="14"/>
  <c r="U3550" i="14"/>
  <c r="V3550" i="14"/>
  <c r="W3583" i="14"/>
  <c r="U3583" i="14"/>
  <c r="V3583" i="14"/>
  <c r="W3647" i="14"/>
  <c r="W3763" i="14"/>
  <c r="W3839" i="14"/>
  <c r="U3839" i="14"/>
  <c r="V3839" i="14"/>
  <c r="W3903" i="14"/>
  <c r="W3934" i="14"/>
  <c r="W3998" i="14"/>
  <c r="W4070" i="14"/>
  <c r="W4179" i="14"/>
  <c r="W623" i="14"/>
  <c r="W2591" i="14"/>
  <c r="W3283" i="14"/>
  <c r="U3283" i="14"/>
  <c r="V3283" i="14"/>
  <c r="W3718" i="14"/>
  <c r="W1203" i="14"/>
  <c r="W1255" i="14"/>
  <c r="W1291" i="14"/>
  <c r="W1415" i="14"/>
  <c r="W1459" i="14"/>
  <c r="W1499" i="14"/>
  <c r="W1539" i="14"/>
  <c r="W1846" i="14"/>
  <c r="W1878" i="14"/>
  <c r="W1918" i="14"/>
  <c r="W1950" i="14"/>
  <c r="W1986" i="14"/>
  <c r="W2018" i="14"/>
  <c r="W2054" i="14"/>
  <c r="W2099" i="14"/>
  <c r="W2158" i="14"/>
  <c r="W2503" i="14"/>
  <c r="W2534" i="14"/>
  <c r="U2534" i="14"/>
  <c r="V2534" i="14"/>
  <c r="W2647" i="14"/>
  <c r="W3059" i="14"/>
  <c r="W3235" i="14"/>
  <c r="W3359" i="14"/>
  <c r="W3454" i="14"/>
  <c r="U3454" i="14"/>
  <c r="V3454" i="14"/>
  <c r="W3470" i="14"/>
  <c r="U3470" i="14"/>
  <c r="V3470" i="14"/>
  <c r="W3551" i="14"/>
  <c r="W3615" i="14"/>
  <c r="W3678" i="14"/>
  <c r="W3702" i="14"/>
  <c r="W3731" i="14"/>
  <c r="W3766" i="14"/>
  <c r="W3798" i="14"/>
  <c r="W3843" i="14"/>
  <c r="W3875" i="14"/>
  <c r="W3907" i="14"/>
  <c r="W3958" i="14"/>
  <c r="W3999" i="14"/>
  <c r="W4038" i="14"/>
  <c r="W4078" i="14"/>
  <c r="W4110" i="14"/>
  <c r="W4182" i="14"/>
  <c r="W762" i="14"/>
  <c r="W1659" i="14"/>
  <c r="W2371" i="14"/>
  <c r="W2627" i="14"/>
  <c r="W3315" i="14"/>
  <c r="U3315" i="14"/>
  <c r="V3315" i="14"/>
  <c r="W350" i="14"/>
  <c r="W543" i="14"/>
  <c r="W659" i="14"/>
  <c r="W734" i="14"/>
  <c r="W778" i="14"/>
  <c r="W906" i="14"/>
  <c r="W1014" i="14"/>
  <c r="W1111" i="14"/>
  <c r="W1575" i="14"/>
  <c r="W1607" i="14"/>
  <c r="W1643" i="14"/>
  <c r="W1687" i="14"/>
  <c r="W1719" i="14"/>
  <c r="W1751" i="14"/>
  <c r="W1783" i="14"/>
  <c r="W1818" i="14"/>
  <c r="U1818" i="14"/>
  <c r="V1818" i="14"/>
  <c r="W2103" i="14"/>
  <c r="W2203" i="14"/>
  <c r="W2239" i="14"/>
  <c r="W2271" i="14"/>
  <c r="W2307" i="14"/>
  <c r="W2339" i="14"/>
  <c r="W2387" i="14"/>
  <c r="W2419" i="14"/>
  <c r="W2455" i="14"/>
  <c r="W2535" i="14"/>
  <c r="W2575" i="14"/>
  <c r="W2611" i="14"/>
  <c r="W2702" i="14"/>
  <c r="W2734" i="14"/>
  <c r="W2766" i="14"/>
  <c r="W2806" i="14"/>
  <c r="W2838" i="14"/>
  <c r="W2870" i="14"/>
  <c r="W2902" i="14"/>
  <c r="W2991" i="14"/>
  <c r="W3023" i="14"/>
  <c r="W3103" i="14"/>
  <c r="W3135" i="14"/>
  <c r="W3166" i="14"/>
  <c r="U3166" i="14"/>
  <c r="V3166" i="14"/>
  <c r="W3203" i="14"/>
  <c r="U3203" i="14"/>
  <c r="V3203" i="14"/>
  <c r="W3267" i="14"/>
  <c r="U3267" i="14"/>
  <c r="V3267" i="14"/>
  <c r="W3299" i="14"/>
  <c r="U3299" i="14"/>
  <c r="V3299" i="14"/>
  <c r="W3331" i="14"/>
  <c r="W3395" i="14"/>
  <c r="W3427" i="14"/>
  <c r="W3455" i="14"/>
  <c r="W3471" i="14"/>
  <c r="W3502" i="14"/>
  <c r="U3502" i="14"/>
  <c r="V3502" i="14"/>
  <c r="W3587" i="14"/>
  <c r="U3587" i="14"/>
  <c r="V3587" i="14"/>
  <c r="W3651" i="14"/>
  <c r="W3679" i="14"/>
  <c r="W3774" i="14"/>
  <c r="U3774" i="14"/>
  <c r="V3774" i="14"/>
  <c r="W3806" i="14"/>
  <c r="W3910" i="14"/>
  <c r="W3935" i="14"/>
  <c r="W4003" i="14"/>
  <c r="W4047" i="14"/>
  <c r="U4047" i="14"/>
  <c r="V4047" i="14"/>
  <c r="W4079" i="14"/>
  <c r="W4111" i="14"/>
  <c r="W4190" i="14"/>
  <c r="W1735" i="14"/>
  <c r="W2219" i="14"/>
  <c r="W2667" i="14"/>
  <c r="W3119" i="14"/>
  <c r="W3487" i="14"/>
  <c r="W3747" i="14"/>
  <c r="W4019" i="14"/>
  <c r="U4019" i="14"/>
  <c r="V4019" i="14"/>
  <c r="W662" i="14"/>
  <c r="W1219" i="14"/>
  <c r="W1263" i="14"/>
  <c r="W1339" i="14"/>
  <c r="W1431" i="14"/>
  <c r="U1431" i="14"/>
  <c r="V1431" i="14"/>
  <c r="W1471" i="14"/>
  <c r="W1503" i="14"/>
  <c r="U1503" i="14"/>
  <c r="V1503" i="14"/>
  <c r="W1543" i="14"/>
  <c r="W1819" i="14"/>
  <c r="W1855" i="14"/>
  <c r="W1887" i="14"/>
  <c r="W1927" i="14"/>
  <c r="W1959" i="14"/>
  <c r="W1995" i="14"/>
  <c r="W2027" i="14"/>
  <c r="W2063" i="14"/>
  <c r="W2131" i="14"/>
  <c r="W2167" i="14"/>
  <c r="W2507" i="14"/>
  <c r="W2651" i="14"/>
  <c r="W3062" i="14"/>
  <c r="W3167" i="14"/>
  <c r="W3238" i="14"/>
  <c r="W3363" i="14"/>
  <c r="W3475" i="14"/>
  <c r="W3503" i="14"/>
  <c r="W3555" i="14"/>
  <c r="U3555" i="14"/>
  <c r="V3555" i="14"/>
  <c r="W3619" i="14"/>
  <c r="W3710" i="14"/>
  <c r="W3734" i="14"/>
  <c r="W3775" i="14"/>
  <c r="W3807" i="14"/>
  <c r="W3846" i="14"/>
  <c r="W3878" i="14"/>
  <c r="W3966" i="14"/>
  <c r="W4051" i="14"/>
  <c r="U4051" i="14"/>
  <c r="V4051" i="14"/>
  <c r="W4083" i="14"/>
  <c r="W4191" i="14"/>
  <c r="W743" i="14"/>
  <c r="W1023" i="14"/>
  <c r="W1579" i="14"/>
  <c r="U1579" i="14"/>
  <c r="V1579" i="14"/>
  <c r="W1615" i="14"/>
  <c r="W1647" i="14"/>
  <c r="U1647" i="14"/>
  <c r="V1647" i="14"/>
  <c r="W1691" i="14"/>
  <c r="W1723" i="14"/>
  <c r="W1755" i="14"/>
  <c r="W1791" i="14"/>
  <c r="W2106" i="14"/>
  <c r="W2207" i="14"/>
  <c r="W2243" i="14"/>
  <c r="W2275" i="14"/>
  <c r="U2275" i="14"/>
  <c r="V2275" i="14"/>
  <c r="W2311" i="14"/>
  <c r="W2359" i="14"/>
  <c r="W2391" i="14"/>
  <c r="W2427" i="14"/>
  <c r="W2459" i="14"/>
  <c r="U2459" i="14"/>
  <c r="V2459" i="14"/>
  <c r="W2543" i="14"/>
  <c r="U2543" i="14"/>
  <c r="V2543" i="14"/>
  <c r="W2579" i="14"/>
  <c r="W2615" i="14"/>
  <c r="W2679" i="14"/>
  <c r="W2711" i="14"/>
  <c r="W2743" i="14"/>
  <c r="W2775" i="14"/>
  <c r="W2815" i="14"/>
  <c r="W2847" i="14"/>
  <c r="W2879" i="14"/>
  <c r="W2911" i="14"/>
  <c r="W2954" i="14"/>
  <c r="W2995" i="14"/>
  <c r="W3107" i="14"/>
  <c r="U3107" i="14"/>
  <c r="V3107" i="14"/>
  <c r="W3139" i="14"/>
  <c r="W3206" i="14"/>
  <c r="W3270" i="14"/>
  <c r="W3302" i="14"/>
  <c r="U3302" i="14"/>
  <c r="V3302" i="14"/>
  <c r="W3334" i="14"/>
  <c r="W3366" i="14"/>
  <c r="W3398" i="14"/>
  <c r="W3430" i="14"/>
  <c r="W3459" i="14"/>
  <c r="W3558" i="14"/>
  <c r="W3590" i="14"/>
  <c r="W3683" i="14"/>
  <c r="W3711" i="14"/>
  <c r="W3779" i="14"/>
  <c r="W3811" i="14"/>
  <c r="W3854" i="14"/>
  <c r="W3886" i="14"/>
  <c r="W3918" i="14"/>
  <c r="W3939" i="14"/>
  <c r="W3967" i="14"/>
  <c r="W4006" i="14"/>
  <c r="W4086" i="14"/>
  <c r="W4115" i="14"/>
  <c r="W4211" i="14"/>
  <c r="U4211" i="14"/>
  <c r="V4211" i="14"/>
  <c r="W1591" i="14"/>
  <c r="W2403" i="14"/>
  <c r="W2555" i="14"/>
  <c r="W2854" i="14"/>
  <c r="W3007" i="14"/>
  <c r="W3694" i="14"/>
  <c r="W4227" i="14"/>
  <c r="U4227" i="14"/>
  <c r="V4227" i="14"/>
  <c r="W546" i="14"/>
  <c r="W915" i="14"/>
  <c r="W359" i="14"/>
  <c r="W671" i="14"/>
  <c r="W1166" i="14"/>
  <c r="W1222" i="14"/>
  <c r="W1266" i="14"/>
  <c r="W1342" i="14"/>
  <c r="W1434" i="14"/>
  <c r="W1474" i="14"/>
  <c r="W1506" i="14"/>
  <c r="W1546" i="14"/>
  <c r="W1827" i="14"/>
  <c r="U1827" i="14"/>
  <c r="V1827" i="14"/>
  <c r="W1859" i="14"/>
  <c r="W1899" i="14"/>
  <c r="W1931" i="14"/>
  <c r="W1967" i="14"/>
  <c r="W1999" i="14"/>
  <c r="W2031" i="14"/>
  <c r="W2067" i="14"/>
  <c r="W2135" i="14"/>
  <c r="W2171" i="14"/>
  <c r="W2510" i="14"/>
  <c r="W2654" i="14"/>
  <c r="W2955" i="14"/>
  <c r="W3071" i="14"/>
  <c r="W3247" i="14"/>
  <c r="W3478" i="14"/>
  <c r="W3507" i="14"/>
  <c r="W3567" i="14"/>
  <c r="W3622" i="14"/>
  <c r="W3742" i="14"/>
  <c r="W3855" i="14"/>
  <c r="W3887" i="14"/>
  <c r="W3919" i="14"/>
  <c r="W3971" i="14"/>
  <c r="U3971" i="14"/>
  <c r="V3971" i="14"/>
  <c r="W4054" i="14"/>
  <c r="W4118" i="14"/>
  <c r="W4214" i="14"/>
  <c r="W866" i="14"/>
  <c r="W1703" i="14"/>
  <c r="W2287" i="14"/>
  <c r="W2886" i="14"/>
  <c r="W3219" i="14"/>
  <c r="W3790" i="14"/>
  <c r="W4063" i="14"/>
  <c r="W358" i="14"/>
  <c r="U358" i="14"/>
  <c r="V358" i="14"/>
  <c r="W555" i="14"/>
  <c r="W695" i="14"/>
  <c r="W759" i="14"/>
  <c r="W863" i="14"/>
  <c r="W919" i="14"/>
  <c r="W1582" i="14"/>
  <c r="W1618" i="14"/>
  <c r="W1650" i="14"/>
  <c r="W1694" i="14"/>
  <c r="W1726" i="14"/>
  <c r="W1758" i="14"/>
  <c r="W1794" i="14"/>
  <c r="W2115" i="14"/>
  <c r="W2210" i="14"/>
  <c r="W2246" i="14"/>
  <c r="W2278" i="14"/>
  <c r="W2314" i="14"/>
  <c r="W2362" i="14"/>
  <c r="W2394" i="14"/>
  <c r="W2430" i="14"/>
  <c r="W2462" i="14"/>
  <c r="W2546" i="14"/>
  <c r="W2582" i="14"/>
  <c r="W2618" i="14"/>
  <c r="W2683" i="14"/>
  <c r="W2715" i="14"/>
  <c r="W2747" i="14"/>
  <c r="W2787" i="14"/>
  <c r="W2819" i="14"/>
  <c r="W2851" i="14"/>
  <c r="W2883" i="14"/>
  <c r="W2915" i="14"/>
  <c r="W2998" i="14"/>
  <c r="W3110" i="14"/>
  <c r="W3142" i="14"/>
  <c r="W3215" i="14"/>
  <c r="W3279" i="14"/>
  <c r="U3279" i="14"/>
  <c r="V3279" i="14"/>
  <c r="W3311" i="14"/>
  <c r="U3311" i="14"/>
  <c r="V3311" i="14"/>
  <c r="W3343" i="14"/>
  <c r="W3375" i="14"/>
  <c r="W3406" i="14"/>
  <c r="W3438" i="14"/>
  <c r="U3438" i="14"/>
  <c r="V3438" i="14"/>
  <c r="W3535" i="14"/>
  <c r="W3598" i="14"/>
  <c r="W3631" i="14"/>
  <c r="W3662" i="14"/>
  <c r="W3715" i="14"/>
  <c r="W3743" i="14"/>
  <c r="W3782" i="14"/>
  <c r="W3814" i="14"/>
  <c r="W3859" i="14"/>
  <c r="W3942" i="14"/>
  <c r="W4014" i="14"/>
  <c r="W4094" i="14"/>
  <c r="W4126" i="14"/>
  <c r="W4222" i="14"/>
  <c r="H3526" i="14"/>
  <c r="H3654" i="14"/>
  <c r="H3462" i="14"/>
  <c r="H2478" i="14"/>
  <c r="H2670" i="14"/>
  <c r="H3523" i="14"/>
  <c r="H2475" i="14"/>
  <c r="H2946" i="14"/>
  <c r="L3363" i="14"/>
  <c r="W2475" i="14" l="1"/>
  <c r="W3523" i="14"/>
  <c r="W2478" i="14"/>
  <c r="W3462" i="14"/>
  <c r="W3654" i="14"/>
  <c r="W2946" i="14"/>
  <c r="W3526" i="14"/>
  <c r="W2670" i="14"/>
  <c r="L3747" i="14"/>
  <c r="S5396" i="14" l="1"/>
  <c r="S3985" i="14"/>
  <c r="S3971" i="14"/>
  <c r="S3988" i="14" l="1"/>
  <c r="S2916" i="14" l="1"/>
  <c r="S1093" i="14"/>
  <c r="S3969" i="14"/>
  <c r="S3961" i="14"/>
  <c r="S3968" i="14"/>
  <c r="S3965" i="14"/>
  <c r="S3956" i="14"/>
  <c r="S3967" i="14"/>
  <c r="S3959" i="14"/>
  <c r="S3970" i="14"/>
  <c r="S3957" i="14"/>
  <c r="S3966" i="14"/>
  <c r="S3960" i="14"/>
  <c r="S3964" i="14"/>
  <c r="S4002" i="14"/>
  <c r="S3997" i="14"/>
  <c r="S3999" i="14"/>
  <c r="S3989" i="14"/>
  <c r="S3996" i="14"/>
  <c r="S2918" i="14"/>
  <c r="S2925" i="14"/>
  <c r="S2927" i="14"/>
  <c r="S2894" i="14" l="1"/>
  <c r="S2127" i="14" l="1"/>
  <c r="S3896" i="14" l="1"/>
  <c r="Q3898" i="14"/>
  <c r="S3905" i="14"/>
  <c r="S3901" i="14"/>
  <c r="S3893" i="14"/>
  <c r="S3899" i="14"/>
  <c r="S790" i="14"/>
  <c r="S787" i="14"/>
  <c r="S782" i="14"/>
  <c r="S780" i="14"/>
  <c r="S3928" i="14"/>
  <c r="S3931" i="14"/>
  <c r="S3479" i="14"/>
  <c r="S3481" i="14"/>
  <c r="S3475" i="14"/>
  <c r="S3483" i="14"/>
  <c r="S3487" i="14"/>
  <c r="S3490" i="14"/>
  <c r="S3477" i="14"/>
  <c r="S3486" i="14"/>
  <c r="S3488" i="14"/>
  <c r="S3476" i="14"/>
  <c r="S3489" i="14"/>
  <c r="S3485" i="14"/>
  <c r="S3480" i="14"/>
  <c r="S3484" i="14"/>
  <c r="S3912" i="14"/>
  <c r="S3908" i="14"/>
  <c r="S3910" i="14"/>
  <c r="S3915" i="14"/>
  <c r="S3907" i="14"/>
  <c r="S3909" i="14"/>
  <c r="S2649" i="14"/>
  <c r="S2637" i="14"/>
  <c r="S2639" i="14"/>
  <c r="S2640" i="14"/>
  <c r="S2647" i="14"/>
  <c r="S2638" i="14"/>
  <c r="S1741" i="14"/>
  <c r="S1752" i="14"/>
  <c r="S1748" i="14"/>
  <c r="S1754" i="14"/>
  <c r="S1744" i="14"/>
  <c r="S1743" i="14"/>
  <c r="S3953" i="14"/>
  <c r="S3949" i="14"/>
  <c r="S3943" i="14"/>
  <c r="S3940" i="14"/>
  <c r="S3942" i="14"/>
  <c r="S3947" i="14"/>
  <c r="S3954" i="14"/>
  <c r="S3948" i="14"/>
  <c r="S3951" i="14"/>
  <c r="S3944" i="14"/>
  <c r="S3950" i="14"/>
  <c r="S3946" i="14"/>
  <c r="S2839" i="14"/>
  <c r="S2837" i="14"/>
  <c r="S2844" i="14"/>
  <c r="S2840" i="14"/>
  <c r="S2846" i="14"/>
  <c r="S3884" i="14" l="1"/>
  <c r="S3676" i="14" l="1"/>
  <c r="S3674" i="14"/>
  <c r="S3679" i="14"/>
  <c r="S3678" i="14"/>
  <c r="S3675" i="14"/>
  <c r="S3670" i="14"/>
  <c r="S2785" i="14"/>
  <c r="S2786" i="14"/>
  <c r="S2783" i="14"/>
  <c r="S3821" i="14" l="1"/>
  <c r="S3825" i="14"/>
  <c r="S3890" i="14"/>
  <c r="S3844" i="14"/>
  <c r="S3852" i="14"/>
  <c r="S2059" i="14"/>
  <c r="S2061" i="14"/>
  <c r="S3823" i="14"/>
  <c r="S2055" i="14"/>
  <c r="S1928" i="14"/>
  <c r="S1916" i="14"/>
  <c r="S2888" i="14"/>
  <c r="S1855" i="14"/>
  <c r="S1925" i="14"/>
  <c r="S1930" i="14"/>
  <c r="S2893" i="14"/>
  <c r="S2886" i="14"/>
  <c r="S1843" i="14"/>
  <c r="S1923" i="14"/>
  <c r="S2885" i="14"/>
  <c r="S2420" i="14"/>
  <c r="S5414" i="14"/>
  <c r="S3976" i="14"/>
  <c r="S3710" i="14"/>
  <c r="S3979" i="14"/>
  <c r="S1410" i="14"/>
  <c r="S3700" i="14"/>
  <c r="S1698" i="14"/>
  <c r="S3978" i="14"/>
  <c r="S1415" i="14"/>
  <c r="S3707" i="14"/>
  <c r="S1697" i="14"/>
  <c r="S4007" i="14"/>
  <c r="S2780" i="14"/>
  <c r="S3975" i="14"/>
  <c r="S1413" i="14"/>
  <c r="S3699" i="14"/>
  <c r="S1693" i="14"/>
  <c r="S3708" i="14"/>
  <c r="S1414" i="14"/>
  <c r="S3972" i="14"/>
  <c r="S3974" i="14"/>
  <c r="S3705" i="14"/>
  <c r="S1703" i="14"/>
  <c r="S3711" i="14"/>
  <c r="S1706" i="14"/>
  <c r="S1696" i="14"/>
  <c r="S4006" i="14"/>
  <c r="S1416" i="14"/>
  <c r="S1403" i="14"/>
  <c r="S1700" i="14"/>
  <c r="S1407" i="14"/>
  <c r="S1705" i="14"/>
  <c r="S3709" i="14"/>
  <c r="S4020" i="14"/>
  <c r="S2418" i="14"/>
  <c r="S666" i="14"/>
  <c r="S2409" i="14"/>
  <c r="S1995" i="14"/>
  <c r="S1387" i="14"/>
  <c r="S1992" i="14"/>
  <c r="S1987" i="14"/>
  <c r="S2468" i="14"/>
  <c r="S671" i="14"/>
  <c r="S2422" i="14"/>
  <c r="S838" i="14"/>
  <c r="S2463" i="14"/>
  <c r="S2470" i="14"/>
  <c r="S1988" i="14"/>
  <c r="S2473" i="14"/>
  <c r="S2410" i="14"/>
  <c r="S2419" i="14"/>
  <c r="S1998" i="14"/>
  <c r="S2474" i="14"/>
  <c r="S1390" i="14"/>
  <c r="S2462" i="14"/>
  <c r="S2417" i="14"/>
  <c r="S2414" i="14"/>
  <c r="S1989" i="14"/>
  <c r="S2472" i="14"/>
  <c r="S2465" i="14"/>
  <c r="S1388" i="14"/>
  <c r="S3765" i="14"/>
  <c r="S3771" i="14"/>
  <c r="S3360" i="14"/>
  <c r="S3353" i="14"/>
  <c r="S2691" i="14"/>
  <c r="S2690" i="14"/>
  <c r="S2694" i="14"/>
  <c r="S2697" i="14"/>
  <c r="S2689" i="14"/>
  <c r="S2695" i="14"/>
  <c r="S3142" i="14"/>
  <c r="S3167" i="14"/>
  <c r="S3163" i="14"/>
  <c r="S3149" i="14"/>
  <c r="S3159" i="14"/>
  <c r="S3165" i="14"/>
  <c r="S3169" i="14"/>
  <c r="S3162" i="14"/>
  <c r="S3160" i="14"/>
  <c r="S3143" i="14"/>
  <c r="S3144" i="14"/>
  <c r="S3156" i="14"/>
  <c r="S3025" i="14"/>
  <c r="S3023" i="14"/>
  <c r="S3026" i="14"/>
  <c r="S3020" i="14"/>
  <c r="S1967" i="14"/>
  <c r="S1974" i="14"/>
  <c r="S1557" i="14"/>
  <c r="S1556" i="14"/>
  <c r="S1555" i="14"/>
  <c r="S1552" i="14"/>
  <c r="S624" i="14"/>
  <c r="S629" i="14"/>
  <c r="S637" i="14"/>
  <c r="S631" i="14"/>
  <c r="S630" i="14"/>
  <c r="S3763" i="14"/>
  <c r="S2797" i="14"/>
  <c r="S2791" i="14"/>
  <c r="S2802" i="14"/>
  <c r="S1371" i="14"/>
  <c r="S3796" i="14"/>
  <c r="S3799" i="14"/>
  <c r="S3798" i="14"/>
  <c r="S3806" i="14"/>
  <c r="S3797" i="14"/>
  <c r="S3802" i="14"/>
  <c r="S3808" i="14"/>
  <c r="S2477" i="14"/>
  <c r="S2475" i="14"/>
  <c r="S2481" i="14"/>
  <c r="S924" i="14"/>
  <c r="S921" i="14"/>
  <c r="S927" i="14"/>
  <c r="S3528" i="14"/>
  <c r="S3524" i="14"/>
  <c r="S3530" i="14"/>
  <c r="S3410" i="14"/>
  <c r="S3408" i="14"/>
  <c r="S3398" i="14"/>
  <c r="S2675" i="14"/>
  <c r="S2681" i="14"/>
  <c r="S2669" i="14"/>
  <c r="S2677" i="14"/>
  <c r="S2676" i="14"/>
  <c r="S2667" i="14"/>
  <c r="S3437" i="14"/>
  <c r="S3441" i="14"/>
  <c r="S3430" i="14"/>
  <c r="S2355" i="14"/>
  <c r="S3129" i="14"/>
  <c r="S3130" i="14"/>
  <c r="S3136" i="14"/>
  <c r="S2616" i="14"/>
  <c r="S2627" i="14"/>
  <c r="S2622" i="14"/>
  <c r="S4131" i="14"/>
  <c r="S4252" i="14"/>
  <c r="S4256" i="14"/>
  <c r="S4255" i="14"/>
  <c r="S4253" i="14"/>
  <c r="S4093" i="14"/>
  <c r="S4085" i="14"/>
  <c r="S3685" i="14"/>
  <c r="S1528" i="14"/>
  <c r="S1534" i="14"/>
  <c r="S1532" i="14"/>
  <c r="S4046" i="14"/>
  <c r="S1955" i="14"/>
  <c r="S2376" i="14"/>
  <c r="S3694" i="14"/>
  <c r="S3698" i="14"/>
  <c r="S841" i="14"/>
  <c r="S4117" i="14"/>
  <c r="S4180" i="14"/>
  <c r="S4124" i="14"/>
  <c r="S4182" i="14"/>
  <c r="S4116" i="14"/>
  <c r="S4125" i="14"/>
  <c r="S4133" i="14"/>
  <c r="S4138" i="14"/>
  <c r="S4291" i="14"/>
  <c r="S2526" i="14"/>
  <c r="S4172" i="14"/>
  <c r="S4235" i="14"/>
  <c r="S4212" i="14"/>
  <c r="S4260" i="14"/>
  <c r="S4150" i="14"/>
  <c r="S4268" i="14"/>
  <c r="S4280" i="14"/>
  <c r="S4214" i="14"/>
  <c r="S4157" i="14"/>
  <c r="S4285" i="14"/>
  <c r="S4236" i="14"/>
  <c r="S4148" i="14"/>
  <c r="S4173" i="14"/>
  <c r="S4221" i="14"/>
  <c r="S4156" i="14"/>
  <c r="S4261" i="14"/>
  <c r="S2604" i="14"/>
  <c r="S2607" i="14"/>
  <c r="S4403" i="14"/>
  <c r="S4389" i="14"/>
  <c r="S4412" i="14"/>
  <c r="S4405" i="14"/>
  <c r="S4398" i="14"/>
  <c r="S4413" i="14"/>
  <c r="S1823" i="14"/>
  <c r="S2942" i="14"/>
  <c r="S3277" i="14"/>
  <c r="S3173" i="14"/>
  <c r="S1098" i="14"/>
  <c r="S1042" i="14"/>
  <c r="S210" i="14"/>
  <c r="S82" i="14"/>
  <c r="S1081" i="14"/>
  <c r="S753" i="14"/>
  <c r="S1656" i="14"/>
  <c r="S1336" i="14"/>
  <c r="S1135" i="14"/>
  <c r="S951" i="14"/>
  <c r="S86" i="14"/>
  <c r="S877" i="14"/>
  <c r="S2003" i="14"/>
  <c r="S1899" i="14"/>
  <c r="S1587" i="14"/>
  <c r="S1427" i="14"/>
  <c r="S3110" i="14"/>
  <c r="S2566" i="14"/>
  <c r="S3092" i="14"/>
  <c r="S2556" i="14"/>
  <c r="S530" i="14"/>
  <c r="S242" i="14"/>
  <c r="S1161" i="14"/>
  <c r="S1009" i="14"/>
  <c r="S585" i="14"/>
  <c r="S497" i="14"/>
  <c r="S225" i="14"/>
  <c r="S177" i="14"/>
  <c r="S104" i="14"/>
  <c r="S943" i="14"/>
  <c r="S815" i="14"/>
  <c r="S383" i="14"/>
  <c r="S732" i="14"/>
  <c r="S92" i="14"/>
  <c r="S1891" i="14"/>
  <c r="S1763" i="14"/>
  <c r="S1611" i="14"/>
  <c r="S1579" i="14"/>
  <c r="S2019" i="14"/>
  <c r="S1715" i="14"/>
  <c r="S1582" i="14"/>
  <c r="S1012" i="14"/>
  <c r="S155" i="14"/>
  <c r="S1634" i="14"/>
  <c r="S241" i="14"/>
  <c r="S440" i="14"/>
  <c r="S1180" i="14"/>
  <c r="S1011" i="14"/>
  <c r="S3316" i="14"/>
  <c r="S434" i="14"/>
  <c r="S1872" i="14"/>
  <c r="S1439" i="14"/>
  <c r="S883" i="14"/>
  <c r="S2039" i="14"/>
  <c r="S3045" i="14"/>
  <c r="S2565" i="14"/>
  <c r="S2732" i="14"/>
  <c r="S2227" i="14"/>
  <c r="S322" i="14"/>
  <c r="S194" i="14"/>
  <c r="S1585" i="14"/>
  <c r="S1209" i="14"/>
  <c r="S1592" i="14"/>
  <c r="S1424" i="14"/>
  <c r="S936" i="14"/>
  <c r="S1159" i="14"/>
  <c r="S543" i="14"/>
  <c r="S495" i="14"/>
  <c r="S252" i="14"/>
  <c r="S212" i="14"/>
  <c r="S1107" i="14"/>
  <c r="S1027" i="14"/>
  <c r="S1148" i="14"/>
  <c r="S84" i="14"/>
  <c r="S1635" i="14"/>
  <c r="S1523" i="14"/>
  <c r="S76" i="14"/>
  <c r="S1963" i="14"/>
  <c r="S2717" i="14"/>
  <c r="S130" i="14"/>
  <c r="S153" i="14"/>
  <c r="S120" i="14"/>
  <c r="S1317" i="14"/>
  <c r="S947" i="14"/>
  <c r="S536" i="14"/>
  <c r="S1031" i="14"/>
  <c r="S939" i="14"/>
  <c r="S1607" i="14"/>
  <c r="S2180" i="14"/>
  <c r="S2331" i="14"/>
  <c r="S1242" i="14"/>
  <c r="S466" i="14"/>
  <c r="S18" i="14"/>
  <c r="S1913" i="14"/>
  <c r="S1353" i="14"/>
  <c r="S1305" i="14"/>
  <c r="S833" i="14"/>
  <c r="S529" i="14"/>
  <c r="S257" i="14"/>
  <c r="S217" i="14"/>
  <c r="S1256" i="14"/>
  <c r="S1136" i="14"/>
  <c r="S184" i="14"/>
  <c r="S136" i="14"/>
  <c r="S879" i="14"/>
  <c r="S847" i="14"/>
  <c r="S591" i="14"/>
  <c r="S958" i="14"/>
  <c r="S12" i="14"/>
  <c r="S1787" i="14"/>
  <c r="S1443" i="14"/>
  <c r="S1047" i="14"/>
  <c r="S1054" i="14"/>
  <c r="S1827" i="14"/>
  <c r="S1659" i="14"/>
  <c r="S2555" i="14"/>
  <c r="S258" i="14"/>
  <c r="S545" i="14"/>
  <c r="S1231" i="14"/>
  <c r="S220" i="14"/>
  <c r="S1003" i="14"/>
  <c r="S2207" i="14"/>
  <c r="S3245" i="14"/>
  <c r="S3085" i="14"/>
  <c r="S2237" i="14"/>
  <c r="S2228" i="14"/>
  <c r="S1010" i="14"/>
  <c r="S730" i="14"/>
  <c r="S562" i="14"/>
  <c r="S226" i="14"/>
  <c r="S98" i="14"/>
  <c r="S2017" i="14"/>
  <c r="S1145" i="14"/>
  <c r="S1097" i="14"/>
  <c r="S297" i="14"/>
  <c r="S161" i="14"/>
  <c r="S2024" i="14"/>
  <c r="S1736" i="14"/>
  <c r="S968" i="14"/>
  <c r="S864" i="14"/>
  <c r="S1151" i="14"/>
  <c r="S1103" i="14"/>
  <c r="S639" i="14"/>
  <c r="S111" i="14"/>
  <c r="S1182" i="14"/>
  <c r="S278" i="14"/>
  <c r="S1645" i="14"/>
  <c r="S957" i="14"/>
  <c r="S1252" i="14"/>
  <c r="S468" i="14"/>
  <c r="S244" i="14"/>
  <c r="S156" i="14"/>
  <c r="S116" i="14"/>
  <c r="S44" i="14"/>
  <c r="S1099" i="14"/>
  <c r="S1051" i="14"/>
  <c r="S1019" i="14"/>
  <c r="S987" i="14"/>
  <c r="S955" i="14"/>
  <c r="S219" i="14"/>
  <c r="S1393" i="14"/>
  <c r="S1840" i="14"/>
  <c r="S1512" i="14"/>
  <c r="S616" i="14"/>
  <c r="S959" i="14"/>
  <c r="S1462" i="14"/>
  <c r="S2011" i="14"/>
  <c r="S1779" i="14"/>
  <c r="S1627" i="14"/>
  <c r="S1435" i="14"/>
  <c r="S498" i="14"/>
  <c r="S2009" i="14"/>
  <c r="S553" i="14"/>
  <c r="S385" i="14"/>
  <c r="S65" i="14"/>
  <c r="S216" i="14"/>
  <c r="S679" i="14"/>
  <c r="S150" i="14"/>
  <c r="S61" i="14"/>
  <c r="S276" i="14"/>
  <c r="S148" i="14"/>
  <c r="S108" i="14"/>
  <c r="S979" i="14"/>
  <c r="S1651" i="14"/>
  <c r="S1507" i="14"/>
  <c r="S3500" i="14"/>
  <c r="S2860" i="14"/>
  <c r="S1210" i="14"/>
  <c r="S290" i="14"/>
  <c r="S697" i="14"/>
  <c r="S145" i="14"/>
  <c r="S944" i="14"/>
  <c r="S152" i="14"/>
  <c r="S719" i="14"/>
  <c r="S1524" i="14"/>
  <c r="S1035" i="14"/>
  <c r="S3255" i="14"/>
  <c r="S3199" i="14"/>
  <c r="S2255" i="14"/>
  <c r="S1711" i="14"/>
  <c r="S2774" i="14"/>
  <c r="S3284" i="14"/>
  <c r="S3180" i="14"/>
  <c r="S2764" i="14"/>
  <c r="S2276" i="14"/>
  <c r="S3259" i="14"/>
  <c r="S2211" i="14"/>
  <c r="S1522" i="14"/>
  <c r="S946" i="14"/>
  <c r="S890" i="14"/>
  <c r="S834" i="14"/>
  <c r="S402" i="14"/>
  <c r="S306" i="14"/>
  <c r="S178" i="14"/>
  <c r="S50" i="14"/>
  <c r="S10" i="14"/>
  <c r="S1905" i="14"/>
  <c r="S1505" i="14"/>
  <c r="S1449" i="14"/>
  <c r="S825" i="14"/>
  <c r="S481" i="14"/>
  <c r="S25" i="14"/>
  <c r="S1624" i="14"/>
  <c r="S736" i="14"/>
  <c r="S871" i="14"/>
  <c r="S404" i="14"/>
  <c r="S1867" i="14"/>
  <c r="S1595" i="14"/>
  <c r="S2294" i="14"/>
  <c r="S1233" i="14"/>
  <c r="S289" i="14"/>
  <c r="S1776" i="14"/>
  <c r="S1343" i="14"/>
  <c r="S990" i="14"/>
  <c r="S2036" i="14"/>
  <c r="S188" i="14"/>
  <c r="S1043" i="14"/>
  <c r="S91" i="14"/>
  <c r="S1619" i="14"/>
  <c r="S1379" i="14"/>
  <c r="S3212" i="14"/>
  <c r="S1378" i="14"/>
  <c r="S162" i="14"/>
  <c r="S649" i="14"/>
  <c r="S1104" i="14"/>
  <c r="S248" i="14"/>
  <c r="S983" i="14"/>
  <c r="S22" i="14"/>
  <c r="S60" i="14"/>
  <c r="S971" i="14"/>
  <c r="S4372" i="14"/>
  <c r="S4381" i="14"/>
  <c r="S4379" i="14"/>
  <c r="S4373" i="14"/>
  <c r="S4303" i="14"/>
  <c r="S2511" i="14"/>
  <c r="S4354" i="14"/>
  <c r="S4349" i="14"/>
  <c r="S2524" i="14"/>
  <c r="S4293" i="14"/>
  <c r="S4306" i="14"/>
  <c r="S4341" i="14"/>
  <c r="S4348" i="14"/>
  <c r="S2514" i="14"/>
  <c r="S4300" i="14"/>
  <c r="S4204" i="14"/>
  <c r="S2534" i="14"/>
  <c r="S2518" i="14"/>
  <c r="S4205" i="14"/>
  <c r="S4301" i="14"/>
  <c r="S2532" i="14"/>
  <c r="S2516" i="14"/>
  <c r="S4195" i="14"/>
  <c r="S2509" i="14"/>
  <c r="S2525" i="14"/>
  <c r="S4197" i="14"/>
  <c r="S4207" i="14"/>
  <c r="S774" i="14"/>
  <c r="S762" i="14"/>
  <c r="S1471" i="14"/>
  <c r="S1484" i="14"/>
  <c r="S1475" i="14"/>
  <c r="S1483" i="14"/>
  <c r="S2316" i="14"/>
  <c r="S2325" i="14"/>
  <c r="S350" i="14"/>
  <c r="S354" i="14"/>
  <c r="S361" i="14"/>
  <c r="S1279" i="14"/>
  <c r="S1281" i="14"/>
  <c r="S1292" i="14"/>
  <c r="S1289" i="14"/>
  <c r="S915" i="14"/>
  <c r="S911" i="14"/>
  <c r="S907" i="14"/>
  <c r="S905" i="14"/>
  <c r="S903" i="14"/>
  <c r="S3098" i="14"/>
  <c r="S2769" i="14"/>
  <c r="S4128" i="14"/>
  <c r="S3416" i="14"/>
  <c r="S3048" i="14"/>
  <c r="S4087" i="14"/>
  <c r="S3327" i="14"/>
  <c r="S2279" i="14"/>
  <c r="S2183" i="14"/>
  <c r="S1839" i="14"/>
  <c r="S1575" i="14"/>
  <c r="S4118" i="14"/>
  <c r="S3726" i="14"/>
  <c r="S3198" i="14"/>
  <c r="S2230" i="14"/>
  <c r="S2182" i="14"/>
  <c r="S2078" i="14"/>
  <c r="S3189" i="14"/>
  <c r="S3101" i="14"/>
  <c r="S3029" i="14"/>
  <c r="S2973" i="14"/>
  <c r="S2765" i="14"/>
  <c r="S2733" i="14"/>
  <c r="S2701" i="14"/>
  <c r="S2549" i="14"/>
  <c r="S2253" i="14"/>
  <c r="S4228" i="14"/>
  <c r="S3380" i="14"/>
  <c r="S2836" i="14"/>
  <c r="S2748" i="14"/>
  <c r="S2540" i="14"/>
  <c r="S4259" i="14"/>
  <c r="S3715" i="14"/>
  <c r="S3595" i="14"/>
  <c r="S3419" i="14"/>
  <c r="S3363" i="14"/>
  <c r="S3035" i="14"/>
  <c r="S2739" i="14"/>
  <c r="S2571" i="14"/>
  <c r="S2523" i="14"/>
  <c r="S2403" i="14"/>
  <c r="S2347" i="14"/>
  <c r="S2267" i="14"/>
  <c r="S2195" i="14"/>
  <c r="S2083" i="14"/>
  <c r="S2018" i="14"/>
  <c r="S1714" i="14"/>
  <c r="S1162" i="14"/>
  <c r="S1114" i="14"/>
  <c r="S962" i="14"/>
  <c r="S858" i="14"/>
  <c r="S818" i="14"/>
  <c r="S746" i="14"/>
  <c r="S714" i="14"/>
  <c r="S682" i="14"/>
  <c r="S650" i="14"/>
  <c r="S610" i="14"/>
  <c r="S578" i="14"/>
  <c r="S546" i="14"/>
  <c r="S514" i="14"/>
  <c r="S482" i="14"/>
  <c r="S450" i="14"/>
  <c r="S418" i="14"/>
  <c r="S386" i="14"/>
  <c r="S3570" i="14"/>
  <c r="S3322" i="14"/>
  <c r="S2970" i="14"/>
  <c r="S3449" i="14"/>
  <c r="S3265" i="14"/>
  <c r="S2337" i="14"/>
  <c r="S2177" i="14"/>
  <c r="S3248" i="14"/>
  <c r="S3200" i="14"/>
  <c r="S3271" i="14"/>
  <c r="S3103" i="14"/>
  <c r="S2567" i="14"/>
  <c r="S2455" i="14"/>
  <c r="S2223" i="14"/>
  <c r="S2007" i="14"/>
  <c r="S3078" i="14"/>
  <c r="S2742" i="14"/>
  <c r="S2702" i="14"/>
  <c r="S4181" i="14"/>
  <c r="S3365" i="14"/>
  <c r="S3317" i="14"/>
  <c r="S3285" i="14"/>
  <c r="S3253" i="14"/>
  <c r="S2445" i="14"/>
  <c r="S2397" i="14"/>
  <c r="S2341" i="14"/>
  <c r="S4380" i="14"/>
  <c r="S3748" i="14"/>
  <c r="S3420" i="14"/>
  <c r="S3324" i="14"/>
  <c r="S3292" i="14"/>
  <c r="S3260" i="14"/>
  <c r="S3188" i="14"/>
  <c r="S3100" i="14"/>
  <c r="S3028" i="14"/>
  <c r="S2972" i="14"/>
  <c r="S2924" i="14"/>
  <c r="S2284" i="14"/>
  <c r="S2044" i="14"/>
  <c r="S4091" i="14"/>
  <c r="S2458" i="14"/>
  <c r="S2154" i="14"/>
  <c r="S2705" i="14"/>
  <c r="S3088" i="14"/>
  <c r="S2736" i="14"/>
  <c r="S2735" i="14"/>
  <c r="S1775" i="14"/>
  <c r="S1663" i="14"/>
  <c r="S3294" i="14"/>
  <c r="S2262" i="14"/>
  <c r="S2174" i="14"/>
  <c r="S2070" i="14"/>
  <c r="S4397" i="14"/>
  <c r="S4277" i="14"/>
  <c r="S3613" i="14"/>
  <c r="S3213" i="14"/>
  <c r="S3181" i="14"/>
  <c r="S3093" i="14"/>
  <c r="S3053" i="14"/>
  <c r="S2965" i="14"/>
  <c r="S2757" i="14"/>
  <c r="S2725" i="14"/>
  <c r="S2573" i="14"/>
  <c r="S2541" i="14"/>
  <c r="S2285" i="14"/>
  <c r="S2085" i="14"/>
  <c r="S2045" i="14"/>
  <c r="S4164" i="14"/>
  <c r="S3876" i="14"/>
  <c r="S2828" i="14"/>
  <c r="S2564" i="14"/>
  <c r="S2084" i="14"/>
  <c r="S2843" i="14"/>
  <c r="S2611" i="14"/>
  <c r="S2339" i="14"/>
  <c r="S2259" i="14"/>
  <c r="S1482" i="14"/>
  <c r="S810" i="14"/>
  <c r="S770" i="14"/>
  <c r="S738" i="14"/>
  <c r="S706" i="14"/>
  <c r="S674" i="14"/>
  <c r="S642" i="14"/>
  <c r="S602" i="14"/>
  <c r="S570" i="14"/>
  <c r="S538" i="14"/>
  <c r="S506" i="14"/>
  <c r="S474" i="14"/>
  <c r="S442" i="14"/>
  <c r="S410" i="14"/>
  <c r="S378" i="14"/>
  <c r="S346" i="14"/>
  <c r="S314" i="14"/>
  <c r="S282" i="14"/>
  <c r="S250" i="14"/>
  <c r="S218" i="14"/>
  <c r="S186" i="14"/>
  <c r="S154" i="14"/>
  <c r="S122" i="14"/>
  <c r="S90" i="14"/>
  <c r="S58" i="14"/>
  <c r="S26" i="14"/>
  <c r="S2033" i="14"/>
  <c r="S2001" i="14"/>
  <c r="S1665" i="14"/>
  <c r="S1321" i="14"/>
  <c r="S1241" i="14"/>
  <c r="S1001" i="14"/>
  <c r="S857" i="14"/>
  <c r="S817" i="14"/>
  <c r="S721" i="14"/>
  <c r="S681" i="14"/>
  <c r="S209" i="14"/>
  <c r="S97" i="14"/>
  <c r="S1048" i="14"/>
  <c r="S1000" i="14"/>
  <c r="S808" i="14"/>
  <c r="S704" i="14"/>
  <c r="S656" i="14"/>
  <c r="S392" i="14"/>
  <c r="S1383" i="14"/>
  <c r="S1335" i="14"/>
  <c r="S967" i="14"/>
  <c r="S935" i="14"/>
  <c r="S895" i="14"/>
  <c r="S3194" i="14"/>
  <c r="S2265" i="14"/>
  <c r="S3602" i="14"/>
  <c r="S2258" i="14"/>
  <c r="S2201" i="14"/>
  <c r="S3328" i="14"/>
  <c r="S3272" i="14"/>
  <c r="S3176" i="14"/>
  <c r="S3120" i="14"/>
  <c r="S3591" i="14"/>
  <c r="S3326" i="14"/>
  <c r="S2766" i="14"/>
  <c r="S2446" i="14"/>
  <c r="S2246" i="14"/>
  <c r="S3597" i="14"/>
  <c r="S3493" i="14"/>
  <c r="S3301" i="14"/>
  <c r="S3269" i="14"/>
  <c r="S3237" i="14"/>
  <c r="S2949" i="14"/>
  <c r="S2269" i="14"/>
  <c r="S4196" i="14"/>
  <c r="S4092" i="14"/>
  <c r="S3596" i="14"/>
  <c r="S3308" i="14"/>
  <c r="S3276" i="14"/>
  <c r="S3244" i="14"/>
  <c r="S3204" i="14"/>
  <c r="S3172" i="14"/>
  <c r="S3116" i="14"/>
  <c r="S3084" i="14"/>
  <c r="S3044" i="14"/>
  <c r="S2948" i="14"/>
  <c r="S2852" i="14"/>
  <c r="S2508" i="14"/>
  <c r="S2452" i="14"/>
  <c r="S2404" i="14"/>
  <c r="S2220" i="14"/>
  <c r="S2068" i="14"/>
  <c r="S4339" i="14"/>
  <c r="S4171" i="14"/>
  <c r="S3875" i="14"/>
  <c r="S3499" i="14"/>
  <c r="S3179" i="14"/>
  <c r="S2707" i="14"/>
  <c r="S2243" i="14"/>
  <c r="S1570" i="14"/>
  <c r="S1130" i="14"/>
  <c r="S1649" i="14"/>
  <c r="S1601" i="14"/>
  <c r="S1345" i="14"/>
  <c r="S801" i="14"/>
  <c r="S665" i="14"/>
  <c r="S617" i="14"/>
  <c r="S193" i="14"/>
  <c r="S121" i="14"/>
  <c r="S49" i="14"/>
  <c r="S2000" i="14"/>
  <c r="S1296" i="14"/>
  <c r="S1032" i="14"/>
  <c r="S688" i="14"/>
  <c r="S264" i="14"/>
  <c r="S16" i="14"/>
  <c r="S1127" i="14"/>
  <c r="S1087" i="14"/>
  <c r="S711" i="14"/>
  <c r="S559" i="14"/>
  <c r="S463" i="14"/>
  <c r="S2022" i="14"/>
  <c r="S1302" i="14"/>
  <c r="S1254" i="14"/>
  <c r="S1150" i="14"/>
  <c r="S270" i="14"/>
  <c r="S1101" i="14"/>
  <c r="S2028" i="14"/>
  <c r="S1668" i="14"/>
  <c r="S1324" i="14"/>
  <c r="S1220" i="14"/>
  <c r="S268" i="14"/>
  <c r="S236" i="14"/>
  <c r="S204" i="14"/>
  <c r="S172" i="14"/>
  <c r="S140" i="14"/>
  <c r="S2729" i="14"/>
  <c r="S3216" i="14"/>
  <c r="S2952" i="14"/>
  <c r="S2711" i="14"/>
  <c r="S2079" i="14"/>
  <c r="S1639" i="14"/>
  <c r="S2558" i="14"/>
  <c r="S2334" i="14"/>
  <c r="S2086" i="14"/>
  <c r="S2046" i="14"/>
  <c r="S4149" i="14"/>
  <c r="S3381" i="14"/>
  <c r="S3197" i="14"/>
  <c r="S3109" i="14"/>
  <c r="S3077" i="14"/>
  <c r="S3037" i="14"/>
  <c r="S2773" i="14"/>
  <c r="S2741" i="14"/>
  <c r="S2709" i="14"/>
  <c r="S2597" i="14"/>
  <c r="S2557" i="14"/>
  <c r="S2517" i="14"/>
  <c r="S2221" i="14"/>
  <c r="S2173" i="14"/>
  <c r="S2069" i="14"/>
  <c r="S4292" i="14"/>
  <c r="S3492" i="14"/>
  <c r="S3388" i="14"/>
  <c r="S3340" i="14"/>
  <c r="S2756" i="14"/>
  <c r="S2716" i="14"/>
  <c r="S2548" i="14"/>
  <c r="S2348" i="14"/>
  <c r="S2172" i="14"/>
  <c r="S4219" i="14"/>
  <c r="S3323" i="14"/>
  <c r="S3275" i="14"/>
  <c r="S3227" i="14"/>
  <c r="S2275" i="14"/>
  <c r="S2203" i="14"/>
  <c r="S1786" i="14"/>
  <c r="S1082" i="14"/>
  <c r="S826" i="14"/>
  <c r="S794" i="14"/>
  <c r="S754" i="14"/>
  <c r="S722" i="14"/>
  <c r="S690" i="14"/>
  <c r="S658" i="14"/>
  <c r="S618" i="14"/>
  <c r="S586" i="14"/>
  <c r="S554" i="14"/>
  <c r="S522" i="14"/>
  <c r="S490" i="14"/>
  <c r="S458" i="14"/>
  <c r="S426" i="14"/>
  <c r="S394" i="14"/>
  <c r="S362" i="14"/>
  <c r="S330" i="14"/>
  <c r="S298" i="14"/>
  <c r="S266" i="14"/>
  <c r="S234" i="14"/>
  <c r="S202" i="14"/>
  <c r="S170" i="14"/>
  <c r="S138" i="14"/>
  <c r="S106" i="14"/>
  <c r="S74" i="14"/>
  <c r="S42" i="14"/>
  <c r="S3282" i="14"/>
  <c r="S2241" i="14"/>
  <c r="S3368" i="14"/>
  <c r="S2704" i="14"/>
  <c r="S2392" i="14"/>
  <c r="S2208" i="14"/>
  <c r="S4151" i="14"/>
  <c r="S3391" i="14"/>
  <c r="S2751" i="14"/>
  <c r="S2527" i="14"/>
  <c r="S1903" i="14"/>
  <c r="S3614" i="14"/>
  <c r="S3366" i="14"/>
  <c r="S3262" i="14"/>
  <c r="S3038" i="14"/>
  <c r="S2862" i="14"/>
  <c r="S2710" i="14"/>
  <c r="S2598" i="14"/>
  <c r="S2278" i="14"/>
  <c r="S4245" i="14"/>
  <c r="S3589" i="14"/>
  <c r="S3325" i="14"/>
  <c r="S3293" i="14"/>
  <c r="S3261" i="14"/>
  <c r="S3229" i="14"/>
  <c r="S2941" i="14"/>
  <c r="S2453" i="14"/>
  <c r="S2405" i="14"/>
  <c r="S4340" i="14"/>
  <c r="S4132" i="14"/>
  <c r="S3588" i="14"/>
  <c r="S3300" i="14"/>
  <c r="S3268" i="14"/>
  <c r="S3236" i="14"/>
  <c r="S3196" i="14"/>
  <c r="S3108" i="14"/>
  <c r="S3076" i="14"/>
  <c r="S3036" i="14"/>
  <c r="S2444" i="14"/>
  <c r="S2396" i="14"/>
  <c r="S2292" i="14"/>
  <c r="S2252" i="14"/>
  <c r="S2212" i="14"/>
  <c r="S2923" i="14"/>
  <c r="S2315" i="14"/>
  <c r="S2235" i="14"/>
  <c r="S1666" i="14"/>
  <c r="S1450" i="14"/>
  <c r="S1481" i="14"/>
  <c r="S1377" i="14"/>
  <c r="S1337" i="14"/>
  <c r="S1217" i="14"/>
  <c r="S873" i="14"/>
  <c r="S609" i="14"/>
  <c r="S561" i="14"/>
  <c r="S305" i="14"/>
  <c r="S185" i="14"/>
  <c r="S113" i="14"/>
  <c r="S2032" i="14"/>
  <c r="S1760" i="14"/>
  <c r="S1232" i="14"/>
  <c r="S872" i="14"/>
  <c r="S824" i="14"/>
  <c r="S720" i="14"/>
  <c r="S568" i="14"/>
  <c r="S520" i="14"/>
  <c r="S360" i="14"/>
  <c r="S1207" i="14"/>
  <c r="S207" i="14"/>
  <c r="S1294" i="14"/>
  <c r="S262" i="14"/>
  <c r="S214" i="14"/>
  <c r="S1141" i="14"/>
  <c r="S149" i="14"/>
  <c r="S2020" i="14"/>
  <c r="S1356" i="14"/>
  <c r="S260" i="14"/>
  <c r="S228" i="14"/>
  <c r="S196" i="14"/>
  <c r="S164" i="14"/>
  <c r="S132" i="14"/>
  <c r="S100" i="14"/>
  <c r="S68" i="14"/>
  <c r="S36" i="14"/>
  <c r="S3459" i="14"/>
  <c r="S3469" i="14"/>
  <c r="S3461" i="14"/>
  <c r="S3474" i="14"/>
  <c r="S3468" i="14"/>
  <c r="S2830" i="14"/>
  <c r="S2823" i="14"/>
  <c r="S2821" i="14"/>
  <c r="S3369" i="14"/>
  <c r="S3372" i="14"/>
  <c r="S3364" i="14"/>
  <c r="S3373" i="14"/>
  <c r="S3412" i="14"/>
  <c r="S3426" i="14"/>
  <c r="S3421" i="14"/>
  <c r="S3415" i="14"/>
  <c r="S3413" i="14"/>
  <c r="S3567" i="14"/>
  <c r="S3565" i="14"/>
  <c r="S3557" i="14"/>
  <c r="S3564" i="14"/>
  <c r="S2198" i="14"/>
  <c r="S2205" i="14"/>
  <c r="S2196" i="14"/>
  <c r="S2318" i="14"/>
  <c r="S2312" i="14"/>
  <c r="S2324" i="14"/>
  <c r="S2319" i="14"/>
  <c r="S2313" i="14"/>
  <c r="S353" i="14"/>
  <c r="S351" i="14"/>
  <c r="S344" i="14"/>
  <c r="S3605" i="14"/>
  <c r="S3612" i="14"/>
  <c r="S3604" i="14"/>
  <c r="S3747" i="14"/>
  <c r="S3757" i="14"/>
  <c r="S3749" i="14"/>
  <c r="S3762" i="14"/>
  <c r="S3756" i="14"/>
  <c r="S3332" i="14"/>
  <c r="S3344" i="14"/>
  <c r="S3341" i="14"/>
  <c r="S3333" i="14"/>
  <c r="S2953" i="14"/>
  <c r="S2951" i="14"/>
  <c r="S2950" i="14"/>
  <c r="S2946" i="14"/>
  <c r="S2957" i="14"/>
  <c r="S3456" i="14"/>
  <c r="S3452" i="14"/>
  <c r="S3444" i="14"/>
  <c r="S3443" i="14"/>
  <c r="S3446" i="14"/>
  <c r="S3453" i="14"/>
  <c r="S3717" i="14"/>
  <c r="S3729" i="14"/>
  <c r="S3724" i="14"/>
  <c r="S3716" i="14"/>
  <c r="S3221" i="14"/>
  <c r="S3231" i="14"/>
  <c r="S3228" i="14"/>
  <c r="S3233" i="14"/>
  <c r="S3230" i="14"/>
  <c r="S3220" i="14"/>
  <c r="S904" i="14"/>
  <c r="S917" i="14"/>
  <c r="S4495" i="14"/>
  <c r="S4533" i="14"/>
  <c r="S4537" i="14"/>
  <c r="S4544" i="14"/>
  <c r="S4484" i="14"/>
  <c r="S4526" i="14"/>
  <c r="S4524" i="14"/>
  <c r="S4527" i="14"/>
  <c r="S4523" i="14"/>
  <c r="S4428" i="14"/>
  <c r="S4427" i="14"/>
  <c r="S4424" i="14"/>
  <c r="S4434" i="14"/>
  <c r="S4422" i="14"/>
  <c r="S4426" i="14"/>
  <c r="S4421" i="14"/>
  <c r="S4425" i="14"/>
  <c r="S4433" i="14"/>
  <c r="S3610" i="14"/>
  <c r="S3466" i="14"/>
  <c r="S3034" i="14"/>
  <c r="S2978" i="14"/>
  <c r="S2938" i="14"/>
  <c r="S2194" i="14"/>
  <c r="S4185" i="14"/>
  <c r="S3329" i="14"/>
  <c r="S3113" i="14"/>
  <c r="S2737" i="14"/>
  <c r="S2633" i="14"/>
  <c r="S2425" i="14"/>
  <c r="S2273" i="14"/>
  <c r="S2233" i="14"/>
  <c r="S2073" i="14"/>
  <c r="S4400" i="14"/>
  <c r="S4288" i="14"/>
  <c r="S4248" i="14"/>
  <c r="S4160" i="14"/>
  <c r="S4120" i="14"/>
  <c r="S3616" i="14"/>
  <c r="S3280" i="14"/>
  <c r="S3208" i="14"/>
  <c r="S3080" i="14"/>
  <c r="S3040" i="14"/>
  <c r="S2848" i="14"/>
  <c r="S2528" i="14"/>
  <c r="S4215" i="14"/>
  <c r="S4143" i="14"/>
  <c r="S3471" i="14"/>
  <c r="S3335" i="14"/>
  <c r="S3263" i="14"/>
  <c r="S3191" i="14"/>
  <c r="S2959" i="14"/>
  <c r="S2831" i="14"/>
  <c r="S2743" i="14"/>
  <c r="S2599" i="14"/>
  <c r="S2559" i="14"/>
  <c r="S2327" i="14"/>
  <c r="S2287" i="14"/>
  <c r="S2215" i="14"/>
  <c r="S1999" i="14"/>
  <c r="S1719" i="14"/>
  <c r="S1671" i="14"/>
  <c r="S2854" i="14"/>
  <c r="S2822" i="14"/>
  <c r="S2342" i="14"/>
  <c r="S2270" i="14"/>
  <c r="S2238" i="14"/>
  <c r="S2206" i="14"/>
  <c r="S2917" i="14"/>
  <c r="S2861" i="14"/>
  <c r="S2829" i="14"/>
  <c r="S2349" i="14"/>
  <c r="S2317" i="14"/>
  <c r="S2277" i="14"/>
  <c r="S2245" i="14"/>
  <c r="S2213" i="14"/>
  <c r="S2956" i="14"/>
  <c r="S2244" i="14"/>
  <c r="S4387" i="14"/>
  <c r="S4347" i="14"/>
  <c r="S4299" i="14"/>
  <c r="S4187" i="14"/>
  <c r="S3611" i="14"/>
  <c r="S3563" i="14"/>
  <c r="S3307" i="14"/>
  <c r="S2771" i="14"/>
  <c r="S2723" i="14"/>
  <c r="S4346" i="14"/>
  <c r="S4298" i="14"/>
  <c r="S4210" i="14"/>
  <c r="S4170" i="14"/>
  <c r="S3722" i="14"/>
  <c r="S3562" i="14"/>
  <c r="S3506" i="14"/>
  <c r="S3314" i="14"/>
  <c r="S3226" i="14"/>
  <c r="S3186" i="14"/>
  <c r="S2826" i="14"/>
  <c r="S2290" i="14"/>
  <c r="S4401" i="14"/>
  <c r="S4281" i="14"/>
  <c r="S3617" i="14"/>
  <c r="S2833" i="14"/>
  <c r="S2529" i="14"/>
  <c r="S3728" i="14"/>
  <c r="S3496" i="14"/>
  <c r="S3448" i="14"/>
  <c r="S3312" i="14"/>
  <c r="S3240" i="14"/>
  <c r="S3112" i="14"/>
  <c r="S2936" i="14"/>
  <c r="S2344" i="14"/>
  <c r="S2240" i="14"/>
  <c r="S2072" i="14"/>
  <c r="S4287" i="14"/>
  <c r="S4247" i="14"/>
  <c r="S4175" i="14"/>
  <c r="S3727" i="14"/>
  <c r="S3615" i="14"/>
  <c r="S3375" i="14"/>
  <c r="S3295" i="14"/>
  <c r="S3223" i="14"/>
  <c r="S3047" i="14"/>
  <c r="S2919" i="14"/>
  <c r="S2863" i="14"/>
  <c r="S2775" i="14"/>
  <c r="S2703" i="14"/>
  <c r="S2247" i="14"/>
  <c r="S2175" i="14"/>
  <c r="S2071" i="14"/>
  <c r="S2031" i="14"/>
  <c r="S1759" i="14"/>
  <c r="S1631" i="14"/>
  <c r="S1599" i="14"/>
  <c r="S1567" i="14"/>
  <c r="S1519" i="14"/>
  <c r="S4390" i="14"/>
  <c r="S4350" i="14"/>
  <c r="S4302" i="14"/>
  <c r="S4270" i="14"/>
  <c r="S4238" i="14"/>
  <c r="S4206" i="14"/>
  <c r="S4174" i="14"/>
  <c r="S4142" i="14"/>
  <c r="S3998" i="14"/>
  <c r="S3886" i="14"/>
  <c r="S3758" i="14"/>
  <c r="S3718" i="14"/>
  <c r="S3606" i="14"/>
  <c r="S3566" i="14"/>
  <c r="S3470" i="14"/>
  <c r="S3390" i="14"/>
  <c r="S3318" i="14"/>
  <c r="S3286" i="14"/>
  <c r="S3254" i="14"/>
  <c r="S3222" i="14"/>
  <c r="S3190" i="14"/>
  <c r="S3102" i="14"/>
  <c r="S3030" i="14"/>
  <c r="S2974" i="14"/>
  <c r="S4242" i="14"/>
  <c r="S4202" i="14"/>
  <c r="S3394" i="14"/>
  <c r="S3346" i="14"/>
  <c r="S3258" i="14"/>
  <c r="S3218" i="14"/>
  <c r="S2858" i="14"/>
  <c r="S2330" i="14"/>
  <c r="S2226" i="14"/>
  <c r="S4217" i="14"/>
  <c r="S3041" i="14"/>
  <c r="S2561" i="14"/>
  <c r="S2521" i="14"/>
  <c r="S3304" i="14"/>
  <c r="S3232" i="14"/>
  <c r="S2928" i="14"/>
  <c r="S2560" i="14"/>
  <c r="S2176" i="14"/>
  <c r="S4239" i="14"/>
  <c r="S4127" i="14"/>
  <c r="S3719" i="14"/>
  <c r="S3607" i="14"/>
  <c r="S3455" i="14"/>
  <c r="S3367" i="14"/>
  <c r="S3287" i="14"/>
  <c r="S3175" i="14"/>
  <c r="S3119" i="14"/>
  <c r="S3039" i="14"/>
  <c r="S2855" i="14"/>
  <c r="S2767" i="14"/>
  <c r="S2543" i="14"/>
  <c r="S2399" i="14"/>
  <c r="S2351" i="14"/>
  <c r="S2239" i="14"/>
  <c r="S1871" i="14"/>
  <c r="S1623" i="14"/>
  <c r="S1591" i="14"/>
  <c r="S1559" i="14"/>
  <c r="S4414" i="14"/>
  <c r="S4382" i="14"/>
  <c r="S4342" i="14"/>
  <c r="S4294" i="14"/>
  <c r="S4262" i="14"/>
  <c r="S4230" i="14"/>
  <c r="S4198" i="14"/>
  <c r="S4166" i="14"/>
  <c r="S4134" i="14"/>
  <c r="S4094" i="14"/>
  <c r="S3990" i="14"/>
  <c r="S3878" i="14"/>
  <c r="S3750" i="14"/>
  <c r="S3598" i="14"/>
  <c r="S3558" i="14"/>
  <c r="S3502" i="14"/>
  <c r="S3462" i="14"/>
  <c r="S3422" i="14"/>
  <c r="S3382" i="14"/>
  <c r="S3342" i="14"/>
  <c r="S3310" i="14"/>
  <c r="S3278" i="14"/>
  <c r="S3246" i="14"/>
  <c r="S3214" i="14"/>
  <c r="S3182" i="14"/>
  <c r="S3094" i="14"/>
  <c r="S3054" i="14"/>
  <c r="S2966" i="14"/>
  <c r="S2758" i="14"/>
  <c r="S2726" i="14"/>
  <c r="S2550" i="14"/>
  <c r="S3994" i="14"/>
  <c r="S3882" i="14"/>
  <c r="S3754" i="14"/>
  <c r="S3106" i="14"/>
  <c r="S3058" i="14"/>
  <c r="S2050" i="14"/>
  <c r="S3201" i="14"/>
  <c r="S2921" i="14"/>
  <c r="S2865" i="14"/>
  <c r="S2761" i="14"/>
  <c r="S2345" i="14"/>
  <c r="S2209" i="14"/>
  <c r="S4376" i="14"/>
  <c r="S4224" i="14"/>
  <c r="S4184" i="14"/>
  <c r="S3592" i="14"/>
  <c r="S3376" i="14"/>
  <c r="S3336" i="14"/>
  <c r="S3264" i="14"/>
  <c r="S3096" i="14"/>
  <c r="S3056" i="14"/>
  <c r="S2960" i="14"/>
  <c r="S2832" i="14"/>
  <c r="S2272" i="14"/>
  <c r="S4375" i="14"/>
  <c r="S4271" i="14"/>
  <c r="S4159" i="14"/>
  <c r="S3759" i="14"/>
  <c r="S3495" i="14"/>
  <c r="S3319" i="14"/>
  <c r="S3207" i="14"/>
  <c r="S3079" i="14"/>
  <c r="S2943" i="14"/>
  <c r="S2575" i="14"/>
  <c r="S2447" i="14"/>
  <c r="S2311" i="14"/>
  <c r="S2271" i="14"/>
  <c r="S2015" i="14"/>
  <c r="S1911" i="14"/>
  <c r="S1831" i="14"/>
  <c r="S1783" i="14"/>
  <c r="S1655" i="14"/>
  <c r="S2926" i="14"/>
  <c r="S2838" i="14"/>
  <c r="S2326" i="14"/>
  <c r="S2286" i="14"/>
  <c r="S2254" i="14"/>
  <c r="S2222" i="14"/>
  <c r="S2845" i="14"/>
  <c r="S2333" i="14"/>
  <c r="S2293" i="14"/>
  <c r="S2261" i="14"/>
  <c r="S2229" i="14"/>
  <c r="S2197" i="14"/>
  <c r="S2940" i="14"/>
  <c r="S2724" i="14"/>
  <c r="S2340" i="14"/>
  <c r="S2260" i="14"/>
  <c r="S4371" i="14"/>
  <c r="S4283" i="14"/>
  <c r="S4203" i="14"/>
  <c r="S3379" i="14"/>
  <c r="S3243" i="14"/>
  <c r="S3195" i="14"/>
  <c r="S2963" i="14"/>
  <c r="S2915" i="14"/>
  <c r="S2323" i="14"/>
  <c r="S2283" i="14"/>
  <c r="S2251" i="14"/>
  <c r="S2219" i="14"/>
  <c r="S1650" i="14"/>
  <c r="S1602" i="14"/>
  <c r="S1330" i="14"/>
  <c r="S1026" i="14"/>
  <c r="S874" i="14"/>
  <c r="S1769" i="14"/>
  <c r="S1569" i="14"/>
  <c r="S1465" i="14"/>
  <c r="S1329" i="14"/>
  <c r="S1297" i="14"/>
  <c r="S1257" i="14"/>
  <c r="S1225" i="14"/>
  <c r="S1033" i="14"/>
  <c r="S945" i="14"/>
  <c r="S761" i="14"/>
  <c r="S4274" i="14"/>
  <c r="S4234" i="14"/>
  <c r="S4146" i="14"/>
  <c r="S4098" i="14"/>
  <c r="S3386" i="14"/>
  <c r="S3290" i="14"/>
  <c r="S3250" i="14"/>
  <c r="S2850" i="14"/>
  <c r="S2546" i="14"/>
  <c r="S4153" i="14"/>
  <c r="S3297" i="14"/>
  <c r="S3081" i="14"/>
  <c r="S2601" i="14"/>
  <c r="S2553" i="14"/>
  <c r="S2393" i="14"/>
  <c r="S4088" i="14"/>
  <c r="S3296" i="14"/>
  <c r="S3184" i="14"/>
  <c r="S2920" i="14"/>
  <c r="S2864" i="14"/>
  <c r="S2768" i="14"/>
  <c r="S2600" i="14"/>
  <c r="S4191" i="14"/>
  <c r="S4119" i="14"/>
  <c r="S3887" i="14"/>
  <c r="S3447" i="14"/>
  <c r="S3239" i="14"/>
  <c r="S3111" i="14"/>
  <c r="S3031" i="14"/>
  <c r="S2975" i="14"/>
  <c r="S2719" i="14"/>
  <c r="S2535" i="14"/>
  <c r="S2391" i="14"/>
  <c r="S2343" i="14"/>
  <c r="S2191" i="14"/>
  <c r="S2151" i="14"/>
  <c r="S2047" i="14"/>
  <c r="S1863" i="14"/>
  <c r="S1735" i="14"/>
  <c r="S1615" i="14"/>
  <c r="S1583" i="14"/>
  <c r="S4406" i="14"/>
  <c r="S4374" i="14"/>
  <c r="S4286" i="14"/>
  <c r="S4254" i="14"/>
  <c r="S4222" i="14"/>
  <c r="S4190" i="14"/>
  <c r="S4158" i="14"/>
  <c r="S4126" i="14"/>
  <c r="S4086" i="14"/>
  <c r="S3590" i="14"/>
  <c r="S3494" i="14"/>
  <c r="S3454" i="14"/>
  <c r="S3414" i="14"/>
  <c r="S3374" i="14"/>
  <c r="S3334" i="14"/>
  <c r="S3302" i="14"/>
  <c r="S3270" i="14"/>
  <c r="S3238" i="14"/>
  <c r="S3206" i="14"/>
  <c r="S3174" i="14"/>
  <c r="S3118" i="14"/>
  <c r="S3086" i="14"/>
  <c r="S3046" i="14"/>
  <c r="S2958" i="14"/>
  <c r="S2750" i="14"/>
  <c r="S2718" i="14"/>
  <c r="S2614" i="14"/>
  <c r="S2574" i="14"/>
  <c r="S2542" i="14"/>
  <c r="S2510" i="14"/>
  <c r="S2454" i="14"/>
  <c r="S2406" i="14"/>
  <c r="S4896" i="14"/>
  <c r="S4585" i="14"/>
  <c r="S4628" i="14"/>
  <c r="S4633" i="14"/>
  <c r="S4597" i="14"/>
  <c r="S4488" i="14"/>
  <c r="S4510" i="14"/>
  <c r="S4546" i="14"/>
  <c r="S4541" i="14"/>
  <c r="S4494" i="14"/>
  <c r="S4513" i="14"/>
  <c r="S4499" i="14"/>
  <c r="S4500" i="14"/>
  <c r="S4536" i="14"/>
  <c r="S4542" i="14"/>
  <c r="S4539" i="14"/>
  <c r="S4503" i="14"/>
  <c r="S4483" i="14"/>
  <c r="S4876" i="14"/>
  <c r="S4672" i="14"/>
  <c r="S4663" i="14"/>
  <c r="S4665" i="14"/>
  <c r="S4651" i="14"/>
  <c r="S4658" i="14"/>
  <c r="S4652" i="14"/>
  <c r="S4894" i="14"/>
  <c r="S4619" i="14"/>
  <c r="S4885" i="14"/>
  <c r="S4601" i="14"/>
  <c r="S4638" i="14"/>
  <c r="S4580" i="14"/>
  <c r="S4610" i="14"/>
  <c r="S4586" i="14"/>
  <c r="S4608" i="14"/>
  <c r="S4755" i="14"/>
  <c r="S4683" i="14"/>
  <c r="S4675" i="14"/>
  <c r="S4721" i="14"/>
  <c r="S4685" i="14"/>
  <c r="S4677" i="14"/>
  <c r="S4708" i="14"/>
  <c r="S4678" i="14"/>
  <c r="S4688" i="14"/>
  <c r="S4714" i="14"/>
  <c r="S4659" i="14"/>
  <c r="S4660" i="14"/>
  <c r="S4673" i="14"/>
  <c r="S4667" i="14"/>
  <c r="S4671" i="14"/>
  <c r="S4880" i="14"/>
  <c r="S4867" i="14"/>
  <c r="S4871" i="14"/>
  <c r="S4881" i="14"/>
  <c r="S4877" i="14"/>
  <c r="S4870" i="14"/>
  <c r="S4879" i="14"/>
  <c r="S4874" i="14"/>
  <c r="S4872" i="14"/>
  <c r="S4869" i="14"/>
  <c r="S4875" i="14"/>
  <c r="S4878" i="14"/>
  <c r="S4868" i="14"/>
  <c r="S4882" i="14"/>
  <c r="S4873" i="14"/>
  <c r="S4728" i="14"/>
  <c r="S4746" i="14"/>
  <c r="S4778" i="14"/>
  <c r="S4781" i="14"/>
  <c r="S4744" i="14"/>
  <c r="S4418" i="14"/>
  <c r="S4386" i="14"/>
  <c r="S2762" i="14"/>
  <c r="S2730" i="14"/>
  <c r="S2634" i="14"/>
  <c r="S2554" i="14"/>
  <c r="S2522" i="14"/>
  <c r="S2426" i="14"/>
  <c r="S2338" i="14"/>
  <c r="S2266" i="14"/>
  <c r="S2234" i="14"/>
  <c r="S2202" i="14"/>
  <c r="S4409" i="14"/>
  <c r="S4377" i="14"/>
  <c r="S4289" i="14"/>
  <c r="S4257" i="14"/>
  <c r="S4225" i="14"/>
  <c r="S4193" i="14"/>
  <c r="S4161" i="14"/>
  <c r="S4129" i="14"/>
  <c r="S4089" i="14"/>
  <c r="S3593" i="14"/>
  <c r="S3497" i="14"/>
  <c r="S3457" i="14"/>
  <c r="S3417" i="14"/>
  <c r="S3377" i="14"/>
  <c r="S3337" i="14"/>
  <c r="S3305" i="14"/>
  <c r="S3273" i="14"/>
  <c r="S3241" i="14"/>
  <c r="S3209" i="14"/>
  <c r="S3177" i="14"/>
  <c r="S3121" i="14"/>
  <c r="S3089" i="14"/>
  <c r="S3049" i="14"/>
  <c r="S2961" i="14"/>
  <c r="S2929" i="14"/>
  <c r="S2841" i="14"/>
  <c r="S2776" i="14"/>
  <c r="S2744" i="14"/>
  <c r="S2712" i="14"/>
  <c r="S2608" i="14"/>
  <c r="S2568" i="14"/>
  <c r="S2536" i="14"/>
  <c r="S2448" i="14"/>
  <c r="S2400" i="14"/>
  <c r="S2352" i="14"/>
  <c r="S2320" i="14"/>
  <c r="S2280" i="14"/>
  <c r="S2248" i="14"/>
  <c r="S2216" i="14"/>
  <c r="S2184" i="14"/>
  <c r="S2080" i="14"/>
  <c r="S4415" i="14"/>
  <c r="S4383" i="14"/>
  <c r="S4343" i="14"/>
  <c r="S4295" i="14"/>
  <c r="S4263" i="14"/>
  <c r="S4231" i="14"/>
  <c r="S4199" i="14"/>
  <c r="S4167" i="14"/>
  <c r="S4135" i="14"/>
  <c r="S4095" i="14"/>
  <c r="S3991" i="14"/>
  <c r="S3879" i="14"/>
  <c r="S3751" i="14"/>
  <c r="S3599" i="14"/>
  <c r="S3559" i="14"/>
  <c r="S3503" i="14"/>
  <c r="S3463" i="14"/>
  <c r="S3423" i="14"/>
  <c r="S3383" i="14"/>
  <c r="S3343" i="14"/>
  <c r="S3311" i="14"/>
  <c r="S3279" i="14"/>
  <c r="S3247" i="14"/>
  <c r="S3215" i="14"/>
  <c r="S3183" i="14"/>
  <c r="S3095" i="14"/>
  <c r="S3055" i="14"/>
  <c r="S2967" i="14"/>
  <c r="S2935" i="14"/>
  <c r="S2847" i="14"/>
  <c r="S1847" i="14"/>
  <c r="S1767" i="14"/>
  <c r="S1727" i="14"/>
  <c r="S1647" i="14"/>
  <c r="S4410" i="14"/>
  <c r="S4378" i="14"/>
  <c r="S4290" i="14"/>
  <c r="S4258" i="14"/>
  <c r="S4226" i="14"/>
  <c r="S4194" i="14"/>
  <c r="S4162" i="14"/>
  <c r="S4130" i="14"/>
  <c r="S4090" i="14"/>
  <c r="S3594" i="14"/>
  <c r="S3498" i="14"/>
  <c r="S3458" i="14"/>
  <c r="S3418" i="14"/>
  <c r="S3378" i="14"/>
  <c r="S3338" i="14"/>
  <c r="S3306" i="14"/>
  <c r="S3274" i="14"/>
  <c r="S3242" i="14"/>
  <c r="S3210" i="14"/>
  <c r="S3178" i="14"/>
  <c r="S3122" i="14"/>
  <c r="S3090" i="14"/>
  <c r="S3050" i="14"/>
  <c r="S2962" i="14"/>
  <c r="S2930" i="14"/>
  <c r="S2842" i="14"/>
  <c r="S2753" i="14"/>
  <c r="S2721" i="14"/>
  <c r="S2577" i="14"/>
  <c r="S2545" i="14"/>
  <c r="S2513" i="14"/>
  <c r="S2457" i="14"/>
  <c r="S2329" i="14"/>
  <c r="S2289" i="14"/>
  <c r="S2257" i="14"/>
  <c r="S2225" i="14"/>
  <c r="S2193" i="14"/>
  <c r="S2153" i="14"/>
  <c r="S2049" i="14"/>
  <c r="S4392" i="14"/>
  <c r="S4352" i="14"/>
  <c r="S4304" i="14"/>
  <c r="S4272" i="14"/>
  <c r="S4240" i="14"/>
  <c r="S4208" i="14"/>
  <c r="S4176" i="14"/>
  <c r="S4144" i="14"/>
  <c r="S4000" i="14"/>
  <c r="S3888" i="14"/>
  <c r="S3760" i="14"/>
  <c r="S3720" i="14"/>
  <c r="S3608" i="14"/>
  <c r="S3568" i="14"/>
  <c r="S3472" i="14"/>
  <c r="S3392" i="14"/>
  <c r="S3320" i="14"/>
  <c r="S3288" i="14"/>
  <c r="S3256" i="14"/>
  <c r="S3224" i="14"/>
  <c r="S3192" i="14"/>
  <c r="S3104" i="14"/>
  <c r="S3032" i="14"/>
  <c r="S2976" i="14"/>
  <c r="S2944" i="14"/>
  <c r="S2856" i="14"/>
  <c r="S2824" i="14"/>
  <c r="S2759" i="14"/>
  <c r="S2727" i="14"/>
  <c r="S2631" i="14"/>
  <c r="S2551" i="14"/>
  <c r="S2519" i="14"/>
  <c r="S2423" i="14"/>
  <c r="S2335" i="14"/>
  <c r="S2263" i="14"/>
  <c r="S2231" i="14"/>
  <c r="S2199" i="14"/>
  <c r="S2023" i="14"/>
  <c r="S2754" i="14"/>
  <c r="S2722" i="14"/>
  <c r="S2578" i="14"/>
  <c r="S4402" i="14"/>
  <c r="S4282" i="14"/>
  <c r="S4250" i="14"/>
  <c r="S4218" i="14"/>
  <c r="S4186" i="14"/>
  <c r="S4154" i="14"/>
  <c r="S4122" i="14"/>
  <c r="S3730" i="14"/>
  <c r="S3618" i="14"/>
  <c r="S3450" i="14"/>
  <c r="S3370" i="14"/>
  <c r="S3330" i="14"/>
  <c r="S3298" i="14"/>
  <c r="S3266" i="14"/>
  <c r="S3234" i="14"/>
  <c r="S3202" i="14"/>
  <c r="S3114" i="14"/>
  <c r="S3082" i="14"/>
  <c r="S3042" i="14"/>
  <c r="S2954" i="14"/>
  <c r="S2922" i="14"/>
  <c r="S2866" i="14"/>
  <c r="S2834" i="14"/>
  <c r="S2777" i="14"/>
  <c r="S2745" i="14"/>
  <c r="S2713" i="14"/>
  <c r="S2609" i="14"/>
  <c r="S2569" i="14"/>
  <c r="S2537" i="14"/>
  <c r="S2449" i="14"/>
  <c r="S2401" i="14"/>
  <c r="S2353" i="14"/>
  <c r="S2321" i="14"/>
  <c r="S2281" i="14"/>
  <c r="S2249" i="14"/>
  <c r="S2217" i="14"/>
  <c r="S2185" i="14"/>
  <c r="S2081" i="14"/>
  <c r="S4416" i="14"/>
  <c r="S4384" i="14"/>
  <c r="S4344" i="14"/>
  <c r="S4296" i="14"/>
  <c r="S4264" i="14"/>
  <c r="S4232" i="14"/>
  <c r="S4200" i="14"/>
  <c r="S4168" i="14"/>
  <c r="S4136" i="14"/>
  <c r="S4096" i="14"/>
  <c r="S3992" i="14"/>
  <c r="S3880" i="14"/>
  <c r="S3752" i="14"/>
  <c r="S3600" i="14"/>
  <c r="S3560" i="14"/>
  <c r="S3504" i="14"/>
  <c r="S3464" i="14"/>
  <c r="S3424" i="14"/>
  <c r="S3384" i="14"/>
  <c r="S2778" i="14"/>
  <c r="S2746" i="14"/>
  <c r="S2714" i="14"/>
  <c r="S2610" i="14"/>
  <c r="S2570" i="14"/>
  <c r="S2538" i="14"/>
  <c r="S2450" i="14"/>
  <c r="S2402" i="14"/>
  <c r="S2354" i="14"/>
  <c r="S2322" i="14"/>
  <c r="S2282" i="14"/>
  <c r="S2250" i="14"/>
  <c r="S2218" i="14"/>
  <c r="S2186" i="14"/>
  <c r="S2082" i="14"/>
  <c r="S2042" i="14"/>
  <c r="S4393" i="14"/>
  <c r="S4353" i="14"/>
  <c r="S4305" i="14"/>
  <c r="S4273" i="14"/>
  <c r="S4241" i="14"/>
  <c r="S4209" i="14"/>
  <c r="S4177" i="14"/>
  <c r="S4145" i="14"/>
  <c r="S4001" i="14"/>
  <c r="S3889" i="14"/>
  <c r="S3761" i="14"/>
  <c r="S3721" i="14"/>
  <c r="S3609" i="14"/>
  <c r="S3569" i="14"/>
  <c r="S3473" i="14"/>
  <c r="S3393" i="14"/>
  <c r="S3321" i="14"/>
  <c r="S3289" i="14"/>
  <c r="S3257" i="14"/>
  <c r="S3225" i="14"/>
  <c r="S3193" i="14"/>
  <c r="S3105" i="14"/>
  <c r="S3033" i="14"/>
  <c r="S2977" i="14"/>
  <c r="S2945" i="14"/>
  <c r="S2857" i="14"/>
  <c r="S2825" i="14"/>
  <c r="S2760" i="14"/>
  <c r="S2728" i="14"/>
  <c r="S2632" i="14"/>
  <c r="S2552" i="14"/>
  <c r="S2520" i="14"/>
  <c r="S2424" i="14"/>
  <c r="S2336" i="14"/>
  <c r="S2264" i="14"/>
  <c r="S2232" i="14"/>
  <c r="S2200" i="14"/>
  <c r="S4399" i="14"/>
  <c r="S4279" i="14"/>
  <c r="S4394" i="14"/>
  <c r="S2770" i="14"/>
  <c r="S2738" i="14"/>
  <c r="S2706" i="14"/>
  <c r="S2602" i="14"/>
  <c r="S2562" i="14"/>
  <c r="S2530" i="14"/>
  <c r="S2394" i="14"/>
  <c r="S2346" i="14"/>
  <c r="S2314" i="14"/>
  <c r="S2274" i="14"/>
  <c r="S2242" i="14"/>
  <c r="S2210" i="14"/>
  <c r="S2178" i="14"/>
  <c r="S2074" i="14"/>
  <c r="S4417" i="14"/>
  <c r="S4385" i="14"/>
  <c r="S4345" i="14"/>
  <c r="S4297" i="14"/>
  <c r="S4265" i="14"/>
  <c r="S4233" i="14"/>
  <c r="S4201" i="14"/>
  <c r="S4169" i="14"/>
  <c r="S4137" i="14"/>
  <c r="S4097" i="14"/>
  <c r="S3993" i="14"/>
  <c r="S3881" i="14"/>
  <c r="S3753" i="14"/>
  <c r="S3601" i="14"/>
  <c r="S3561" i="14"/>
  <c r="S3505" i="14"/>
  <c r="S3465" i="14"/>
  <c r="S3425" i="14"/>
  <c r="S3385" i="14"/>
  <c r="S3345" i="14"/>
  <c r="S3313" i="14"/>
  <c r="S3281" i="14"/>
  <c r="S3249" i="14"/>
  <c r="S3217" i="14"/>
  <c r="S3185" i="14"/>
  <c r="S3097" i="14"/>
  <c r="S3057" i="14"/>
  <c r="S2969" i="14"/>
  <c r="S2937" i="14"/>
  <c r="S2849" i="14"/>
  <c r="S2752" i="14"/>
  <c r="S2720" i="14"/>
  <c r="S2576" i="14"/>
  <c r="S2544" i="14"/>
  <c r="S2512" i="14"/>
  <c r="S2456" i="14"/>
  <c r="S2328" i="14"/>
  <c r="S2288" i="14"/>
  <c r="S2256" i="14"/>
  <c r="S2224" i="14"/>
  <c r="S2192" i="14"/>
  <c r="S2152" i="14"/>
  <c r="S2048" i="14"/>
  <c r="S4391" i="14"/>
  <c r="S4351" i="14"/>
  <c r="S5037" i="14"/>
  <c r="S5097" i="14"/>
  <c r="S1084" i="14"/>
  <c r="S3860" i="14"/>
  <c r="S1497" i="14"/>
  <c r="S4596" i="14"/>
  <c r="S4883" i="14"/>
  <c r="S4888" i="14"/>
  <c r="S4595" i="14"/>
  <c r="S4583" i="14"/>
  <c r="S4600" i="14"/>
  <c r="S4605" i="14"/>
  <c r="S4621" i="14"/>
  <c r="S4632" i="14"/>
  <c r="S4590" i="14"/>
  <c r="S4629" i="14"/>
  <c r="S4584" i="14"/>
  <c r="S4625" i="14"/>
  <c r="S4587" i="14"/>
  <c r="S4594" i="14"/>
  <c r="S4887" i="14"/>
  <c r="S4889" i="14"/>
  <c r="S4525" i="14"/>
  <c r="S4898" i="14"/>
  <c r="S4886" i="14"/>
  <c r="S4897" i="14"/>
  <c r="S4612" i="14"/>
  <c r="S4630" i="14"/>
  <c r="S4635" i="14"/>
  <c r="S4636" i="14"/>
  <c r="S4579" i="14"/>
  <c r="S4593" i="14"/>
  <c r="S4641" i="14"/>
  <c r="S4624" i="14"/>
  <c r="S4517" i="14"/>
  <c r="S4892" i="14"/>
  <c r="S4598" i="14"/>
  <c r="S4529" i="14"/>
  <c r="S4618" i="14"/>
  <c r="S4891" i="14"/>
  <c r="S4893" i="14"/>
  <c r="S4614" i="14"/>
  <c r="S4634" i="14"/>
  <c r="S4642" i="14"/>
  <c r="S4639" i="14"/>
  <c r="S4582" i="14"/>
  <c r="S4516" i="14"/>
  <c r="S4602" i="14"/>
  <c r="S4520" i="14"/>
  <c r="S4622" i="14"/>
  <c r="S4890" i="14"/>
  <c r="S4607" i="14"/>
  <c r="S4599" i="14"/>
  <c r="S4655" i="14"/>
  <c r="S4643" i="14"/>
  <c r="S4646" i="14"/>
  <c r="S4649" i="14"/>
  <c r="S4644" i="14"/>
  <c r="S4648" i="14"/>
  <c r="S4653" i="14"/>
  <c r="S4656" i="14"/>
  <c r="S4662" i="14"/>
  <c r="S4661" i="14"/>
  <c r="S4669" i="14"/>
  <c r="S4670" i="14"/>
  <c r="S4674" i="14"/>
  <c r="S4812" i="14"/>
  <c r="S4818" i="14"/>
  <c r="S4805" i="14"/>
  <c r="S4815" i="14"/>
  <c r="S4807" i="14"/>
  <c r="S4804" i="14"/>
  <c r="S4803" i="14"/>
  <c r="S4813" i="14"/>
  <c r="S4811" i="14"/>
  <c r="S4816" i="14"/>
  <c r="S4814" i="14"/>
  <c r="S4791" i="14"/>
  <c r="S4823" i="14"/>
  <c r="S4723" i="14"/>
  <c r="S4724" i="14"/>
  <c r="S4732" i="14"/>
  <c r="S4727" i="14"/>
  <c r="S4730" i="14"/>
  <c r="S4729" i="14"/>
  <c r="S4731" i="14"/>
  <c r="S4734" i="14"/>
  <c r="S4733" i="14"/>
  <c r="S4735" i="14"/>
  <c r="S4738" i="14"/>
  <c r="S4737" i="14"/>
  <c r="S4829" i="14"/>
  <c r="S4826" i="14"/>
  <c r="S4819" i="14"/>
  <c r="S4793" i="14"/>
  <c r="S4797" i="14"/>
  <c r="S4833" i="14"/>
  <c r="S4787" i="14"/>
  <c r="S4830" i="14"/>
  <c r="S4834" i="14"/>
  <c r="S4820" i="14"/>
  <c r="S4795" i="14"/>
  <c r="S4831" i="14"/>
  <c r="S4799" i="14"/>
  <c r="S4792" i="14"/>
  <c r="S4789" i="14"/>
  <c r="S4801" i="14"/>
  <c r="S4828" i="14"/>
  <c r="S4800" i="14"/>
  <c r="S4821" i="14"/>
  <c r="S4825" i="14"/>
  <c r="S4827" i="14"/>
  <c r="S5197" i="14"/>
  <c r="S5194" i="14"/>
  <c r="S5201" i="14"/>
  <c r="S5086" i="14"/>
  <c r="S5067" i="14"/>
  <c r="S5045" i="14"/>
  <c r="S5092" i="14"/>
  <c r="S5091" i="14"/>
  <c r="S5033" i="14"/>
  <c r="S5066" i="14"/>
  <c r="S5032" i="14"/>
  <c r="S5051" i="14"/>
  <c r="S5085" i="14"/>
  <c r="S5035" i="14"/>
  <c r="S5070" i="14"/>
  <c r="S4551" i="14"/>
  <c r="S4559" i="14"/>
  <c r="S4562" i="14"/>
  <c r="S4493" i="14"/>
  <c r="S4534" i="14"/>
  <c r="S4486" i="14"/>
  <c r="S4487" i="14"/>
  <c r="S4507" i="14"/>
  <c r="S4540" i="14"/>
  <c r="S4489" i="14"/>
  <c r="S4501" i="14"/>
  <c r="S4496" i="14"/>
  <c r="S4505" i="14"/>
  <c r="S4538" i="14"/>
  <c r="S4490" i="14"/>
  <c r="S4506" i="14"/>
  <c r="S4535" i="14"/>
  <c r="S4491" i="14"/>
  <c r="S4512" i="14"/>
  <c r="S4508" i="14"/>
  <c r="S4511" i="14"/>
  <c r="S4509" i="14"/>
  <c r="S4498" i="14"/>
  <c r="S4531" i="14"/>
  <c r="S4485" i="14"/>
  <c r="S2363" i="14"/>
  <c r="S3072" i="14"/>
  <c r="S1057" i="14"/>
  <c r="S3780" i="14"/>
  <c r="S1954" i="14"/>
  <c r="S2130" i="14"/>
  <c r="S3688" i="14"/>
  <c r="S3927" i="14"/>
  <c r="S4042" i="14"/>
  <c r="S2373" i="14"/>
  <c r="S3062" i="14"/>
  <c r="S1953" i="14"/>
  <c r="S2380" i="14"/>
  <c r="S4019" i="14"/>
  <c r="S2131" i="14"/>
  <c r="S3684" i="14"/>
  <c r="S3923" i="14"/>
  <c r="S3065" i="14"/>
  <c r="S1070" i="14"/>
  <c r="S1537" i="14"/>
  <c r="S1962" i="14"/>
  <c r="S2390" i="14"/>
  <c r="S4029" i="14"/>
  <c r="S3933" i="14"/>
  <c r="S4043" i="14"/>
  <c r="S2594" i="14"/>
  <c r="S3067" i="14"/>
  <c r="S1062" i="14"/>
  <c r="S1538" i="14"/>
  <c r="S4028" i="14"/>
  <c r="S2123" i="14"/>
  <c r="S3693" i="14"/>
  <c r="S3925" i="14"/>
  <c r="S4035" i="14"/>
  <c r="S2586" i="14"/>
  <c r="S2587" i="14"/>
  <c r="S3070" i="14"/>
  <c r="S3792" i="14"/>
  <c r="S2582" i="14"/>
  <c r="S1065" i="14"/>
  <c r="S3794" i="14"/>
  <c r="S4032" i="14"/>
  <c r="S2129" i="14"/>
  <c r="S3696" i="14"/>
  <c r="S3926" i="14"/>
  <c r="S4050" i="14"/>
  <c r="S839" i="14"/>
  <c r="S5131" i="14"/>
  <c r="S5117" i="14"/>
  <c r="S5134" i="14"/>
  <c r="S5136" i="14"/>
  <c r="S5126" i="14"/>
  <c r="S5068" i="14"/>
  <c r="S5106" i="14"/>
  <c r="S5055" i="14"/>
  <c r="S5029" i="14"/>
  <c r="S5079" i="14"/>
  <c r="S5050" i="14"/>
  <c r="S5102" i="14"/>
  <c r="S5054" i="14"/>
  <c r="S5093" i="14"/>
  <c r="S5104" i="14"/>
  <c r="S5038" i="14"/>
  <c r="S5094" i="14"/>
  <c r="S5040" i="14"/>
  <c r="S5077" i="14"/>
  <c r="S5030" i="14"/>
  <c r="S5095" i="14"/>
  <c r="S5028" i="14"/>
  <c r="S5063" i="14"/>
  <c r="S5052" i="14"/>
  <c r="S993" i="14"/>
  <c r="S994" i="14"/>
  <c r="S1396" i="14"/>
  <c r="S1397" i="14"/>
  <c r="S1118" i="14"/>
  <c r="S1398" i="14"/>
  <c r="S1115" i="14"/>
  <c r="S1395" i="14"/>
  <c r="S1274" i="14"/>
  <c r="S1275" i="14"/>
  <c r="S1201" i="14"/>
  <c r="S1198" i="14"/>
  <c r="S1195" i="14"/>
  <c r="S1273" i="14"/>
  <c r="S1270" i="14"/>
  <c r="S1202" i="14"/>
  <c r="S1204" i="14"/>
  <c r="S1196" i="14"/>
  <c r="S1268" i="14"/>
  <c r="S1265" i="14"/>
  <c r="S1267" i="14"/>
  <c r="S1191" i="14"/>
  <c r="S1199" i="14"/>
  <c r="S1269" i="14"/>
  <c r="S1264" i="14"/>
  <c r="S1263" i="14"/>
  <c r="S1278" i="14"/>
  <c r="S1203" i="14"/>
  <c r="S1197" i="14"/>
  <c r="S1276" i="14"/>
  <c r="S5158" i="14"/>
  <c r="S5180" i="14"/>
  <c r="S5177" i="14"/>
  <c r="S5186" i="14"/>
  <c r="S5169" i="14"/>
  <c r="S5174" i="14"/>
  <c r="S5202" i="14"/>
  <c r="S5188" i="14"/>
  <c r="S5190" i="14"/>
  <c r="S5195" i="14"/>
  <c r="S5191" i="14"/>
  <c r="S5189" i="14"/>
  <c r="S5193" i="14"/>
  <c r="S5365" i="14"/>
  <c r="S5374" i="14"/>
  <c r="S4773" i="14"/>
  <c r="S1881" i="14"/>
  <c r="S2362" i="14"/>
  <c r="S2580" i="14"/>
  <c r="S3073" i="14"/>
  <c r="S3064" i="14"/>
  <c r="S1066" i="14"/>
  <c r="S1069" i="14"/>
  <c r="S3793" i="14"/>
  <c r="S1540" i="14"/>
  <c r="S1959" i="14"/>
  <c r="S1948" i="14"/>
  <c r="S2386" i="14"/>
  <c r="S2381" i="14"/>
  <c r="S4034" i="14"/>
  <c r="S2134" i="14"/>
  <c r="S3697" i="14"/>
  <c r="S3690" i="14"/>
  <c r="S3938" i="14"/>
  <c r="S3937" i="14"/>
  <c r="S4049" i="14"/>
  <c r="S2360" i="14"/>
  <c r="S2374" i="14"/>
  <c r="S2583" i="14"/>
  <c r="S2590" i="14"/>
  <c r="S3063" i="14"/>
  <c r="S3060" i="14"/>
  <c r="S3783" i="14"/>
  <c r="S3791" i="14"/>
  <c r="S1535" i="14"/>
  <c r="S1539" i="14"/>
  <c r="S1951" i="14"/>
  <c r="S1957" i="14"/>
  <c r="S4022" i="14"/>
  <c r="S4030" i="14"/>
  <c r="S2120" i="14"/>
  <c r="S2124" i="14"/>
  <c r="S3687" i="14"/>
  <c r="S3695" i="14"/>
  <c r="S4039" i="14"/>
  <c r="S4047" i="14"/>
  <c r="S840" i="14"/>
  <c r="S2367" i="14"/>
  <c r="S2371" i="14"/>
  <c r="S2369" i="14"/>
  <c r="S2585" i="14"/>
  <c r="S2579" i="14"/>
  <c r="S3074" i="14"/>
  <c r="S3059" i="14"/>
  <c r="S1058" i="14"/>
  <c r="S1061" i="14"/>
  <c r="S1536" i="14"/>
  <c r="S1541" i="14"/>
  <c r="S1952" i="14"/>
  <c r="S1958" i="14"/>
  <c r="S2378" i="14"/>
  <c r="S2387" i="14"/>
  <c r="S2119" i="14"/>
  <c r="S2133" i="14"/>
  <c r="S3686" i="14"/>
  <c r="S3683" i="14"/>
  <c r="S3930" i="14"/>
  <c r="S3932" i="14"/>
  <c r="S2370" i="14"/>
  <c r="S2361" i="14"/>
  <c r="S2365" i="14"/>
  <c r="S2584" i="14"/>
  <c r="S2581" i="14"/>
  <c r="S3066" i="14"/>
  <c r="S1068" i="14"/>
  <c r="S3785" i="14"/>
  <c r="S3781" i="14"/>
  <c r="S1530" i="14"/>
  <c r="S1542" i="14"/>
  <c r="S1961" i="14"/>
  <c r="S2389" i="14"/>
  <c r="S4031" i="14"/>
  <c r="S4027" i="14"/>
  <c r="S2128" i="14"/>
  <c r="S2132" i="14"/>
  <c r="S3689" i="14"/>
  <c r="S3924" i="14"/>
  <c r="S4048" i="14"/>
  <c r="S4037" i="14"/>
  <c r="S2368" i="14"/>
  <c r="S2372" i="14"/>
  <c r="S2591" i="14"/>
  <c r="S3068" i="14"/>
  <c r="S1059" i="14"/>
  <c r="S1067" i="14"/>
  <c r="S3784" i="14"/>
  <c r="S3788" i="14"/>
  <c r="S1529" i="14"/>
  <c r="S1956" i="14"/>
  <c r="S2385" i="14"/>
  <c r="S5156" i="14"/>
  <c r="S5166" i="14"/>
  <c r="S5163" i="14"/>
  <c r="S5176" i="14"/>
  <c r="S5168" i="14"/>
  <c r="S5170" i="14"/>
  <c r="S5160" i="14"/>
  <c r="S5173" i="14"/>
  <c r="S5165" i="14"/>
  <c r="S5183" i="14"/>
  <c r="S5172" i="14"/>
  <c r="S5184" i="14"/>
  <c r="S5162" i="14"/>
  <c r="S5159" i="14"/>
  <c r="S5167" i="14"/>
  <c r="S5178" i="14"/>
  <c r="S5161" i="14"/>
  <c r="S5171" i="14"/>
  <c r="S5157" i="14"/>
  <c r="S4780" i="14"/>
  <c r="S4762" i="14"/>
  <c r="S4742" i="14"/>
  <c r="S4775" i="14"/>
  <c r="S4776" i="14"/>
  <c r="S4785" i="14"/>
  <c r="S4764" i="14"/>
  <c r="S4740" i="14"/>
  <c r="S4745" i="14"/>
  <c r="S4783" i="14"/>
  <c r="S4751" i="14"/>
  <c r="S4756" i="14"/>
  <c r="S4752" i="14"/>
  <c r="S4749" i="14"/>
  <c r="S4753" i="14"/>
  <c r="S4774" i="14"/>
  <c r="S4765" i="14"/>
  <c r="S1687" i="14"/>
  <c r="S1678" i="14"/>
  <c r="S1498" i="14"/>
  <c r="S1501" i="14"/>
  <c r="S1492" i="14"/>
  <c r="S1491" i="14"/>
  <c r="S1690" i="14"/>
  <c r="S1684" i="14"/>
  <c r="S1496" i="14"/>
  <c r="S1689" i="14"/>
  <c r="S1502" i="14"/>
  <c r="S1688" i="14"/>
  <c r="S1675" i="14"/>
  <c r="S1488" i="14"/>
  <c r="S1493" i="14"/>
  <c r="S1500" i="14"/>
  <c r="S1490" i="14"/>
  <c r="S1681" i="14"/>
  <c r="S1686" i="14"/>
  <c r="S1489" i="14"/>
  <c r="S1499" i="14"/>
  <c r="S1677" i="14"/>
  <c r="S3585" i="14"/>
  <c r="S2169" i="14"/>
  <c r="S4322" i="14"/>
  <c r="S4310" i="14"/>
  <c r="S1875" i="14"/>
  <c r="S4313" i="14"/>
  <c r="S1876" i="14"/>
  <c r="S4318" i="14"/>
  <c r="S4317" i="14"/>
  <c r="S1887" i="14"/>
  <c r="S1879" i="14"/>
  <c r="S5692" i="14"/>
  <c r="S5698" i="14"/>
  <c r="S5555" i="14"/>
  <c r="S5515" i="14"/>
  <c r="S5522" i="14"/>
  <c r="S5372" i="14"/>
  <c r="S5477" i="14"/>
  <c r="S5563" i="14"/>
  <c r="S5363" i="14"/>
  <c r="S5528" i="14"/>
  <c r="S5513" i="14"/>
  <c r="S5373" i="14"/>
  <c r="S5564" i="14"/>
  <c r="S5460" i="14"/>
  <c r="S4106" i="14"/>
  <c r="S2665" i="14"/>
  <c r="S2297" i="14"/>
  <c r="S2306" i="14"/>
  <c r="S2090" i="14"/>
  <c r="S3577" i="14"/>
  <c r="S3545" i="14"/>
  <c r="S2881" i="14"/>
  <c r="S2817" i="14"/>
  <c r="S2304" i="14"/>
  <c r="S2088" i="14"/>
  <c r="S2871" i="14"/>
  <c r="S2807" i="14"/>
  <c r="S3662" i="14"/>
  <c r="S3582" i="14"/>
  <c r="S3550" i="14"/>
  <c r="S2662" i="14"/>
  <c r="S2158" i="14"/>
  <c r="S3661" i="14"/>
  <c r="S3581" i="14"/>
  <c r="S3549" i="14"/>
  <c r="S2661" i="14"/>
  <c r="S2157" i="14"/>
  <c r="S2101" i="14"/>
  <c r="S2876" i="14"/>
  <c r="S3666" i="14"/>
  <c r="S3586" i="14"/>
  <c r="S3554" i="14"/>
  <c r="S2666" i="14"/>
  <c r="S2298" i="14"/>
  <c r="S2170" i="14"/>
  <c r="S4113" i="14"/>
  <c r="S2873" i="14"/>
  <c r="S2809" i="14"/>
  <c r="S2664" i="14"/>
  <c r="S2296" i="14"/>
  <c r="S2168" i="14"/>
  <c r="S4103" i="14"/>
  <c r="S3742" i="14"/>
  <c r="S3574" i="14"/>
  <c r="S3542" i="14"/>
  <c r="S2654" i="14"/>
  <c r="S2094" i="14"/>
  <c r="S3741" i="14"/>
  <c r="S3653" i="14"/>
  <c r="S3573" i="14"/>
  <c r="S2653" i="14"/>
  <c r="S2093" i="14"/>
  <c r="S3740" i="14"/>
  <c r="S3652" i="14"/>
  <c r="S3572" i="14"/>
  <c r="S3540" i="14"/>
  <c r="S2868" i="14"/>
  <c r="S2804" i="14"/>
  <c r="S3547" i="14"/>
  <c r="S2875" i="14"/>
  <c r="S2307" i="14"/>
  <c r="S2878" i="14"/>
  <c r="S2308" i="14"/>
  <c r="S3746" i="14"/>
  <c r="S3658" i="14"/>
  <c r="S3578" i="14"/>
  <c r="S3546" i="14"/>
  <c r="S2882" i="14"/>
  <c r="S2818" i="14"/>
  <c r="S2097" i="14"/>
  <c r="S3744" i="14"/>
  <c r="S3656" i="14"/>
  <c r="S3576" i="14"/>
  <c r="S3544" i="14"/>
  <c r="S2880" i="14"/>
  <c r="S2816" i="14"/>
  <c r="S2303" i="14"/>
  <c r="S2087" i="14"/>
  <c r="S2870" i="14"/>
  <c r="S2806" i="14"/>
  <c r="S2310" i="14"/>
  <c r="S2869" i="14"/>
  <c r="S2805" i="14"/>
  <c r="S2309" i="14"/>
  <c r="S2300" i="14"/>
  <c r="S2156" i="14"/>
  <c r="S2100" i="14"/>
  <c r="S4107" i="14"/>
  <c r="S4104" i="14"/>
  <c r="S3659" i="14"/>
  <c r="S3548" i="14"/>
  <c r="S3552" i="14"/>
  <c r="S2813" i="14"/>
  <c r="S2658" i="14"/>
  <c r="S4105" i="14"/>
  <c r="S2656" i="14"/>
  <c r="S2160" i="14"/>
  <c r="S3663" i="14"/>
  <c r="S3583" i="14"/>
  <c r="S3551" i="14"/>
  <c r="S4110" i="14"/>
  <c r="S4109" i="14"/>
  <c r="S3733" i="14"/>
  <c r="S4108" i="14"/>
  <c r="S3732" i="14"/>
  <c r="S2652" i="14"/>
  <c r="S3731" i="14"/>
  <c r="S3579" i="14"/>
  <c r="S2811" i="14"/>
  <c r="S2299" i="14"/>
  <c r="S3655" i="14"/>
  <c r="S3543" i="14"/>
  <c r="S2815" i="14"/>
  <c r="S2166" i="14"/>
  <c r="S4101" i="14"/>
  <c r="S2165" i="14"/>
  <c r="S2159" i="14"/>
  <c r="S3580" i="14"/>
  <c r="S2812" i="14"/>
  <c r="S3584" i="14"/>
  <c r="S2877" i="14"/>
  <c r="S2164" i="14"/>
  <c r="S4114" i="14"/>
  <c r="S3738" i="14"/>
  <c r="S2810" i="14"/>
  <c r="S2305" i="14"/>
  <c r="S2089" i="14"/>
  <c r="S4112" i="14"/>
  <c r="S3736" i="14"/>
  <c r="S2872" i="14"/>
  <c r="S2808" i="14"/>
  <c r="S2295" i="14"/>
  <c r="S2167" i="14"/>
  <c r="S2302" i="14"/>
  <c r="S2301" i="14"/>
  <c r="S2155" i="14"/>
  <c r="S2099" i="14"/>
  <c r="S3553" i="14"/>
  <c r="S3743" i="14"/>
  <c r="S3575" i="14"/>
  <c r="S2879" i="14"/>
  <c r="S4102" i="14"/>
  <c r="S4100" i="14"/>
  <c r="S2655" i="14"/>
  <c r="S3660" i="14"/>
  <c r="S2095" i="14"/>
  <c r="S2814" i="14"/>
  <c r="S2098" i="14"/>
  <c r="S3665" i="14"/>
  <c r="S4073" i="14"/>
  <c r="S4074" i="14"/>
  <c r="S4076" i="14"/>
  <c r="S2982" i="14"/>
  <c r="S2986" i="14"/>
  <c r="S2981" i="14"/>
  <c r="S2991" i="14"/>
  <c r="S2988" i="14"/>
  <c r="S2993" i="14"/>
  <c r="S2980" i="14"/>
  <c r="S4307" i="14"/>
  <c r="S1882" i="14"/>
  <c r="S1877" i="14"/>
  <c r="S2987" i="14"/>
  <c r="S4314" i="14"/>
  <c r="S4309" i="14"/>
  <c r="S1880" i="14"/>
  <c r="S2994" i="14"/>
  <c r="S2990" i="14"/>
  <c r="S4316" i="14"/>
  <c r="S1890" i="14"/>
  <c r="S1878" i="14"/>
  <c r="S2985" i="14"/>
  <c r="S2979" i="14"/>
  <c r="S4308" i="14"/>
  <c r="S1889" i="14"/>
  <c r="S1884" i="14"/>
  <c r="S2992" i="14"/>
  <c r="S2989" i="14"/>
  <c r="S4321" i="14"/>
  <c r="S4315" i="14"/>
  <c r="S1883" i="14"/>
  <c r="S4835" i="14"/>
  <c r="S4837" i="14"/>
  <c r="S4842" i="14"/>
  <c r="S4850" i="14"/>
  <c r="S4846" i="14"/>
  <c r="S4839" i="14"/>
  <c r="S4849" i="14"/>
  <c r="S4836" i="14"/>
  <c r="S4847" i="14"/>
  <c r="S4840" i="14"/>
  <c r="S4841" i="14"/>
  <c r="S4845" i="14"/>
  <c r="S4844" i="14"/>
  <c r="S4687" i="14"/>
  <c r="S4686" i="14"/>
  <c r="S4681" i="14"/>
  <c r="S4679" i="14"/>
  <c r="S4684" i="14"/>
  <c r="S4682" i="14"/>
  <c r="S4676" i="14"/>
  <c r="S4754" i="14"/>
  <c r="S4782" i="14"/>
  <c r="S4758" i="14"/>
  <c r="S4769" i="14"/>
  <c r="S4739" i="14"/>
  <c r="S4761" i="14"/>
  <c r="S4743" i="14"/>
  <c r="S4768" i="14"/>
  <c r="S4748" i="14"/>
  <c r="S4747" i="14"/>
  <c r="S4784" i="14"/>
  <c r="S4757" i="14"/>
  <c r="S4786" i="14"/>
  <c r="S4759" i="14"/>
  <c r="S5901" i="14"/>
  <c r="S5495" i="14"/>
  <c r="S5687" i="14"/>
  <c r="S5474" i="14"/>
  <c r="S5511" i="14"/>
  <c r="S5470" i="14"/>
  <c r="S5371" i="14"/>
  <c r="S5619" i="14"/>
  <c r="S5496" i="14"/>
  <c r="S5556" i="14"/>
  <c r="S5375" i="14"/>
  <c r="S5377" i="14"/>
  <c r="S5469" i="14"/>
  <c r="S5364" i="14"/>
  <c r="S5459" i="14"/>
  <c r="S5523" i="14"/>
  <c r="S5491" i="14"/>
  <c r="S5498" i="14"/>
  <c r="S5367" i="14"/>
  <c r="S5504" i="14"/>
  <c r="S5561" i="14"/>
  <c r="S5625" i="14"/>
  <c r="S5569" i="14"/>
  <c r="S5531" i="14"/>
  <c r="S5369" i="14"/>
  <c r="S5358" i="14"/>
  <c r="S5315" i="14"/>
  <c r="S5327" i="14"/>
  <c r="S5399" i="14"/>
  <c r="S5386" i="14"/>
  <c r="S5400" i="14"/>
  <c r="S5401" i="14"/>
  <c r="S5406" i="14"/>
  <c r="S5317" i="14"/>
  <c r="S5326" i="14"/>
  <c r="S5361" i="14"/>
  <c r="S5351" i="14"/>
  <c r="S5349" i="14"/>
  <c r="S5343" i="14"/>
  <c r="S5329" i="14"/>
  <c r="S5336" i="14"/>
  <c r="S5347" i="14"/>
  <c r="S5359" i="14"/>
  <c r="S5338" i="14"/>
  <c r="S5331" i="14"/>
  <c r="S5321" i="14"/>
  <c r="S5530" i="14"/>
  <c r="S5567" i="14"/>
  <c r="S5560" i="14"/>
  <c r="S5655" i="14"/>
  <c r="S5722" i="14"/>
  <c r="S5658" i="14"/>
  <c r="S5723" i="14"/>
  <c r="S5456" i="14"/>
  <c r="S5449" i="14"/>
  <c r="S5450" i="14"/>
  <c r="S5454" i="14"/>
  <c r="S5455" i="14"/>
  <c r="S5413" i="14"/>
  <c r="S5380" i="14"/>
  <c r="S5409" i="14"/>
  <c r="S5403" i="14"/>
  <c r="S5404" i="14"/>
  <c r="S5390" i="14"/>
  <c r="S5389" i="14"/>
  <c r="S5415" i="14"/>
  <c r="S5426" i="14"/>
  <c r="S5391" i="14"/>
  <c r="S5381" i="14"/>
  <c r="S5410" i="14"/>
  <c r="S5397" i="14"/>
  <c r="S5387" i="14"/>
  <c r="S5422" i="14"/>
  <c r="S5384" i="14"/>
  <c r="S5417" i="14"/>
  <c r="S5412" i="14"/>
  <c r="S5392" i="14"/>
  <c r="S5393" i="14"/>
  <c r="S5382" i="14"/>
  <c r="S5379" i="14"/>
  <c r="S5425" i="14"/>
  <c r="S5419" i="14"/>
  <c r="S5395" i="14"/>
  <c r="S5416" i="14"/>
  <c r="S5421" i="14"/>
  <c r="S5418" i="14"/>
  <c r="S5411" i="14"/>
  <c r="S5385" i="14"/>
  <c r="S5647" i="14"/>
  <c r="S5645" i="14"/>
  <c r="S5648" i="14"/>
  <c r="S5651" i="14"/>
  <c r="S5666" i="14"/>
  <c r="S5716" i="14"/>
  <c r="S5663" i="14"/>
  <c r="S5665" i="14"/>
  <c r="S5721" i="14"/>
  <c r="S5659" i="14"/>
  <c r="S5652" i="14"/>
  <c r="S5664" i="14"/>
  <c r="S5724" i="14"/>
  <c r="S5719" i="14"/>
  <c r="S5715" i="14"/>
  <c r="S5726" i="14"/>
  <c r="S5656" i="14"/>
  <c r="S5662" i="14"/>
  <c r="S5725" i="14"/>
  <c r="S5660" i="14"/>
  <c r="S5717" i="14"/>
  <c r="S5727" i="14"/>
  <c r="S5661" i="14"/>
  <c r="S5939" i="14"/>
  <c r="S3621" i="14"/>
  <c r="S3627" i="14"/>
  <c r="S3626" i="14"/>
  <c r="S3766" i="14"/>
  <c r="S779" i="14"/>
  <c r="S778" i="14"/>
  <c r="S3131" i="14"/>
  <c r="S2057" i="14"/>
  <c r="S2629" i="14"/>
  <c r="S2626" i="14"/>
  <c r="S3403" i="14"/>
  <c r="S1553" i="14"/>
  <c r="S1092" i="14"/>
  <c r="S1740" i="14"/>
  <c r="S3361" i="14"/>
  <c r="S3357" i="14"/>
  <c r="S3672" i="14"/>
  <c r="S3016" i="14"/>
  <c r="S2801" i="14"/>
  <c r="S2489" i="14"/>
  <c r="S2485" i="14"/>
  <c r="S3919" i="14"/>
  <c r="S3918" i="14"/>
  <c r="S1970" i="14"/>
  <c r="S928" i="14"/>
  <c r="S2889" i="14"/>
  <c r="S2895" i="14"/>
  <c r="S3845" i="14"/>
  <c r="S3895" i="14"/>
  <c r="S3892" i="14"/>
  <c r="S3436" i="14"/>
  <c r="S3822" i="14"/>
  <c r="S2645" i="14"/>
  <c r="S2636" i="14"/>
  <c r="S3527" i="14"/>
  <c r="S3523" i="14"/>
  <c r="S5820" i="14"/>
  <c r="S786" i="14"/>
  <c r="S783" i="14"/>
  <c r="S3126" i="14"/>
  <c r="S3128" i="14"/>
  <c r="S2054" i="14"/>
  <c r="S2625" i="14"/>
  <c r="S3404" i="14"/>
  <c r="S1554" i="14"/>
  <c r="S1091" i="14"/>
  <c r="S1746" i="14"/>
  <c r="S3348" i="14"/>
  <c r="S3673" i="14"/>
  <c r="S3021" i="14"/>
  <c r="S3013" i="14"/>
  <c r="S2798" i="14"/>
  <c r="S2479" i="14"/>
  <c r="S3920" i="14"/>
  <c r="S3916" i="14"/>
  <c r="S1982" i="14"/>
  <c r="S919" i="14"/>
  <c r="S2891" i="14"/>
  <c r="S2892" i="14"/>
  <c r="S3894" i="14"/>
  <c r="S3906" i="14"/>
  <c r="S4014" i="14"/>
  <c r="S3440" i="14"/>
  <c r="S3813" i="14"/>
  <c r="S2642" i="14"/>
  <c r="S2650" i="14"/>
  <c r="S632" i="14"/>
  <c r="S634" i="14"/>
  <c r="S3155" i="14"/>
  <c r="S3164" i="14"/>
  <c r="S1926" i="14"/>
  <c r="S2686" i="14"/>
  <c r="S3955" i="14"/>
  <c r="S2779" i="14"/>
  <c r="S3939" i="14"/>
  <c r="S3973" i="14"/>
  <c r="S3632" i="14"/>
  <c r="S2356" i="14"/>
  <c r="S3769" i="14"/>
  <c r="S3123" i="14"/>
  <c r="S2065" i="14"/>
  <c r="S2628" i="14"/>
  <c r="S2620" i="14"/>
  <c r="S1549" i="14"/>
  <c r="S1751" i="14"/>
  <c r="S1750" i="14"/>
  <c r="S3359" i="14"/>
  <c r="S2799" i="14"/>
  <c r="S2793" i="14"/>
  <c r="S2478" i="14"/>
  <c r="S3917" i="14"/>
  <c r="S1979" i="14"/>
  <c r="S926" i="14"/>
  <c r="S2890" i="14"/>
  <c r="S4012" i="14"/>
  <c r="S4009" i="14"/>
  <c r="S3429" i="14"/>
  <c r="S3818" i="14"/>
  <c r="S2644" i="14"/>
  <c r="S3535" i="14"/>
  <c r="S2357" i="14"/>
  <c r="S3767" i="14"/>
  <c r="S3124" i="14"/>
  <c r="S2066" i="14"/>
  <c r="S2619" i="14"/>
  <c r="S3395" i="14"/>
  <c r="S3396" i="14"/>
  <c r="S1749" i="14"/>
  <c r="S3671" i="14"/>
  <c r="S3668" i="14"/>
  <c r="S2486" i="14"/>
  <c r="S2484" i="14"/>
  <c r="S3922" i="14"/>
  <c r="S1374" i="14"/>
  <c r="S1969" i="14"/>
  <c r="S3856" i="14"/>
  <c r="S3849" i="14"/>
  <c r="S3891" i="14"/>
  <c r="S3428" i="14"/>
  <c r="S3826" i="14"/>
  <c r="S3816" i="14"/>
  <c r="S2643" i="14"/>
  <c r="S625" i="14"/>
  <c r="S3154" i="14"/>
  <c r="S3139" i="14"/>
  <c r="S3158" i="14"/>
  <c r="S2688" i="14"/>
  <c r="S3958" i="14"/>
  <c r="S3963" i="14"/>
  <c r="S3945" i="14"/>
  <c r="S3984" i="14"/>
  <c r="S3805" i="14"/>
  <c r="S3478" i="14"/>
  <c r="S3482" i="14"/>
  <c r="S3712" i="14"/>
  <c r="S1695" i="14"/>
  <c r="S3772" i="14"/>
  <c r="S3778" i="14"/>
  <c r="S3620" i="14"/>
  <c r="S3631" i="14"/>
  <c r="S3622" i="14"/>
  <c r="S3630" i="14"/>
  <c r="S776" i="14"/>
  <c r="S2064" i="14"/>
  <c r="S2056" i="14"/>
  <c r="S3399" i="14"/>
  <c r="S1543" i="14"/>
  <c r="S1547" i="14"/>
  <c r="S1094" i="14"/>
  <c r="S3669" i="14"/>
  <c r="S3011" i="14"/>
  <c r="S2796" i="14"/>
  <c r="S2480" i="14"/>
  <c r="S3921" i="14"/>
  <c r="S1978" i="14"/>
  <c r="S2898" i="14"/>
  <c r="S3855" i="14"/>
  <c r="S3898" i="14"/>
  <c r="S3897" i="14"/>
  <c r="S3904" i="14"/>
  <c r="S3442" i="14"/>
  <c r="S2648" i="14"/>
  <c r="S2646" i="14"/>
  <c r="S3533" i="14"/>
  <c r="S4999" i="14"/>
  <c r="S5013" i="14"/>
  <c r="S4993" i="14"/>
  <c r="S5101" i="14"/>
  <c r="S5064" i="14"/>
  <c r="S5044" i="14"/>
  <c r="S5105" i="14"/>
  <c r="S5072" i="14"/>
  <c r="S3863" i="14"/>
  <c r="S5071" i="14"/>
  <c r="S5069" i="14"/>
  <c r="S5864" i="14"/>
  <c r="S5240" i="14"/>
  <c r="S5225" i="14"/>
  <c r="S5238" i="14"/>
  <c r="S5884" i="14"/>
  <c r="S5870" i="14"/>
  <c r="S5860" i="14"/>
  <c r="S5873" i="14"/>
  <c r="S5865" i="14"/>
  <c r="S5868" i="14"/>
  <c r="S5859" i="14"/>
  <c r="S5862" i="14"/>
  <c r="S5866" i="14"/>
  <c r="S4362" i="14"/>
  <c r="S4082" i="14"/>
  <c r="S4071" i="14"/>
  <c r="S285" i="14"/>
  <c r="S4080" i="14"/>
  <c r="S4069" i="14"/>
  <c r="S1185" i="14"/>
  <c r="S1183" i="14"/>
  <c r="S1186" i="14"/>
  <c r="S4081" i="14"/>
  <c r="S4068" i="14"/>
  <c r="S5370" i="14"/>
  <c r="S5357" i="14"/>
  <c r="S5344" i="14"/>
  <c r="S5333" i="14"/>
  <c r="S5337" i="14"/>
  <c r="S5316" i="14"/>
  <c r="S5354" i="14"/>
  <c r="S5341" i="14"/>
  <c r="S5325" i="14"/>
  <c r="S5335" i="14"/>
  <c r="S5494" i="14"/>
  <c r="S5562" i="14"/>
  <c r="S5502" i="14"/>
  <c r="S5570" i="14"/>
  <c r="S5628" i="14"/>
  <c r="S5634" i="14"/>
  <c r="S5559" i="14"/>
  <c r="S5514" i="14"/>
  <c r="S5488" i="14"/>
  <c r="S4963" i="14"/>
  <c r="S4994" i="14"/>
  <c r="S4992" i="14"/>
  <c r="S4865" i="14"/>
  <c r="S5000" i="14"/>
  <c r="S4854" i="14"/>
  <c r="S4980" i="14"/>
  <c r="S4866" i="14"/>
  <c r="S5018" i="14"/>
  <c r="S5005" i="14"/>
  <c r="S5007" i="14"/>
  <c r="S5010" i="14"/>
  <c r="S4932" i="14"/>
  <c r="S4975" i="14"/>
  <c r="S4976" i="14"/>
  <c r="S4965" i="14"/>
  <c r="S4860" i="14"/>
  <c r="S5020" i="14"/>
  <c r="S4982" i="14"/>
  <c r="S5006" i="14"/>
  <c r="S4981" i="14"/>
  <c r="S5019" i="14"/>
  <c r="S4984" i="14"/>
  <c r="S5009" i="14"/>
  <c r="S4974" i="14"/>
  <c r="S4983" i="14"/>
  <c r="S4971" i="14"/>
  <c r="S4986" i="14"/>
  <c r="S4991" i="14"/>
  <c r="S5023" i="14"/>
  <c r="S4979" i="14"/>
  <c r="S4996" i="14"/>
  <c r="S4989" i="14"/>
  <c r="S4862" i="14"/>
  <c r="S4998" i="14"/>
  <c r="S5629" i="14"/>
  <c r="S5527" i="14"/>
  <c r="S5486" i="14"/>
  <c r="S5627" i="14"/>
  <c r="S5566" i="14"/>
  <c r="S5632" i="14"/>
  <c r="S5529" i="14"/>
  <c r="S5501" i="14"/>
  <c r="S5464" i="14"/>
  <c r="S5533" i="14"/>
  <c r="S5490" i="14"/>
  <c r="S5538" i="14"/>
  <c r="S5481" i="14"/>
  <c r="S5500" i="14"/>
  <c r="S5623" i="14"/>
  <c r="S5476" i="14"/>
  <c r="S5534" i="14"/>
  <c r="S5532" i="14"/>
  <c r="S5904" i="14"/>
  <c r="S5885" i="14"/>
  <c r="S5880" i="14"/>
  <c r="S5888" i="14"/>
  <c r="S4365" i="14"/>
  <c r="S4355" i="14"/>
  <c r="S4369" i="14"/>
  <c r="S4363" i="14"/>
  <c r="S5138" i="14"/>
  <c r="S5125" i="14"/>
  <c r="S5115" i="14"/>
  <c r="S5133" i="14"/>
  <c r="S5121" i="14"/>
  <c r="S3870" i="14"/>
  <c r="S5087" i="14"/>
  <c r="S5089" i="14"/>
  <c r="S5039" i="14"/>
  <c r="S5042" i="14"/>
  <c r="S5090" i="14"/>
  <c r="S5103" i="14"/>
  <c r="S3869" i="14"/>
  <c r="S5057" i="14"/>
  <c r="S5902" i="14"/>
  <c r="S5899" i="14"/>
  <c r="S5906" i="14"/>
  <c r="S5675" i="14"/>
  <c r="S5672" i="14"/>
  <c r="S5682" i="14"/>
  <c r="S5671" i="14"/>
  <c r="S5667" i="14"/>
  <c r="S5697" i="14"/>
  <c r="S5685" i="14"/>
  <c r="S5684" i="14"/>
  <c r="S5768" i="14"/>
  <c r="S5769" i="14"/>
  <c r="S5747" i="14"/>
  <c r="S5638" i="14"/>
  <c r="S5646" i="14"/>
  <c r="S4476" i="14"/>
  <c r="S4477" i="14"/>
  <c r="S4470" i="14"/>
  <c r="S4481" i="14"/>
  <c r="S4478" i="14"/>
  <c r="S137" i="14"/>
  <c r="S433" i="14"/>
  <c r="S280" i="14"/>
  <c r="S143" i="14"/>
  <c r="S182" i="14"/>
  <c r="S792" i="14"/>
  <c r="S504" i="14"/>
  <c r="S88" i="14"/>
  <c r="S735" i="14"/>
  <c r="S1237" i="14"/>
  <c r="S1156" i="14"/>
  <c r="S1124" i="14"/>
  <c r="S596" i="14"/>
  <c r="S470" i="14"/>
  <c r="S1340" i="14"/>
  <c r="S814" i="14"/>
  <c r="S53" i="14"/>
  <c r="S1167" i="14"/>
  <c r="S1224" i="14"/>
  <c r="S896" i="14"/>
  <c r="S1021" i="14"/>
  <c r="S1284" i="14"/>
  <c r="S1604" i="14"/>
  <c r="S5763" i="14"/>
  <c r="S5766" i="14"/>
  <c r="S6030" i="14"/>
  <c r="S5774" i="14"/>
  <c r="S5579" i="14"/>
  <c r="S5767" i="14"/>
  <c r="S5776" i="14"/>
  <c r="S5237" i="14"/>
  <c r="S5291" i="14"/>
  <c r="S5298" i="14"/>
  <c r="S5254" i="14"/>
  <c r="S5232" i="14"/>
  <c r="S5941" i="14"/>
  <c r="S5953" i="14"/>
  <c r="S5944" i="14"/>
  <c r="S5954" i="14"/>
  <c r="S5950" i="14"/>
  <c r="S5540" i="14"/>
  <c r="S5549" i="14"/>
  <c r="S5541" i="14"/>
  <c r="S5779" i="14"/>
  <c r="S5780" i="14"/>
  <c r="S5783" i="14"/>
  <c r="S5809" i="14"/>
  <c r="S5787" i="14"/>
  <c r="S5821" i="14"/>
  <c r="S5818" i="14"/>
  <c r="S5817" i="14"/>
  <c r="S5788" i="14"/>
  <c r="S5793" i="14"/>
  <c r="S5819" i="14"/>
  <c r="S5825" i="14"/>
  <c r="S5842" i="14"/>
  <c r="S5835" i="14"/>
  <c r="S5833" i="14"/>
  <c r="S5841" i="14"/>
  <c r="S5959" i="14"/>
  <c r="S6002" i="14"/>
  <c r="S5990" i="14"/>
  <c r="S5961" i="14"/>
  <c r="S5992" i="14"/>
  <c r="S5978" i="14"/>
  <c r="S5984" i="14"/>
  <c r="S5973" i="14"/>
  <c r="S5964" i="14"/>
  <c r="S4458" i="14"/>
  <c r="S4459" i="14"/>
  <c r="S4442" i="14"/>
  <c r="S4448" i="14"/>
  <c r="S5457" i="14"/>
  <c r="S5458" i="14"/>
  <c r="S5427" i="14"/>
  <c r="S5430" i="14"/>
  <c r="S5448" i="14"/>
  <c r="S5452" i="14"/>
  <c r="S856" i="14"/>
  <c r="S1350" i="14"/>
  <c r="S1837" i="14"/>
  <c r="S1637" i="14"/>
  <c r="S621" i="14"/>
  <c r="S525" i="14"/>
  <c r="S333" i="14"/>
  <c r="S293" i="14"/>
  <c r="S651" i="14"/>
  <c r="S1168" i="14"/>
  <c r="S1511" i="14"/>
  <c r="S1789" i="14"/>
  <c r="S989" i="14"/>
  <c r="S868" i="14"/>
  <c r="S1044" i="14"/>
  <c r="S1312" i="14"/>
  <c r="S848" i="14"/>
  <c r="S310" i="14"/>
  <c r="S198" i="14"/>
  <c r="S511" i="14"/>
  <c r="S1230" i="14"/>
  <c r="S742" i="14"/>
  <c r="S381" i="14"/>
  <c r="S884" i="14"/>
  <c r="S683" i="14"/>
  <c r="S733" i="14"/>
  <c r="S707" i="14"/>
  <c r="S539" i="14"/>
  <c r="S4711" i="14"/>
  <c r="S5206" i="14"/>
  <c r="S5295" i="14"/>
  <c r="S5276" i="14"/>
  <c r="S5207" i="14"/>
  <c r="S949" i="14"/>
  <c r="S29" i="14"/>
  <c r="S724" i="14"/>
  <c r="S2827" i="14"/>
  <c r="S2596" i="14"/>
  <c r="S612" i="14"/>
  <c r="S580" i="14"/>
  <c r="S1562" i="14"/>
  <c r="S978" i="14"/>
  <c r="S1712" i="14"/>
  <c r="S1724" i="14"/>
  <c r="S1052" i="14"/>
  <c r="S812" i="14"/>
  <c r="S572" i="14"/>
  <c r="S131" i="14"/>
  <c r="S1458" i="14"/>
  <c r="S1426" i="14"/>
  <c r="S657" i="14"/>
  <c r="S1768" i="14"/>
  <c r="S176" i="14"/>
  <c r="S112" i="14"/>
  <c r="S4904" i="14"/>
  <c r="S4913" i="14"/>
  <c r="S4900" i="14"/>
  <c r="S5921" i="14"/>
  <c r="S5920" i="14"/>
  <c r="S6080" i="14"/>
  <c r="S5909" i="14"/>
  <c r="S2439" i="14"/>
  <c r="S2427" i="14"/>
  <c r="S1470" i="14"/>
  <c r="S686" i="14"/>
  <c r="S2091" i="14"/>
  <c r="S1513" i="14"/>
  <c r="S1401" i="14"/>
  <c r="S569" i="14"/>
  <c r="S455" i="14"/>
  <c r="S662" i="14"/>
  <c r="S1261" i="14"/>
  <c r="S3723" i="14"/>
  <c r="S5852" i="14"/>
  <c r="S2189" i="14"/>
  <c r="S1938" i="14"/>
  <c r="S1815" i="14"/>
  <c r="S2140" i="14"/>
  <c r="S902" i="14"/>
  <c r="S2052" i="14" l="1"/>
  <c r="S1851" i="14"/>
  <c r="S1701" i="14"/>
  <c r="S1359" i="14"/>
  <c r="S3986" i="14"/>
  <c r="S1699" i="14"/>
  <c r="S2416" i="14"/>
  <c r="S835" i="14"/>
  <c r="S2469" i="14"/>
  <c r="S3349" i="14"/>
  <c r="S3152" i="14"/>
  <c r="S3148" i="14"/>
  <c r="S1551" i="14"/>
  <c r="S638" i="14"/>
  <c r="S3810" i="14"/>
  <c r="S932" i="14"/>
  <c r="S2682" i="14"/>
  <c r="S2678" i="14"/>
  <c r="S4141" i="14"/>
  <c r="S4024" i="14"/>
  <c r="S4163" i="14"/>
  <c r="S4121" i="14"/>
  <c r="S4276" i="14"/>
  <c r="S4165" i="14"/>
  <c r="S4407" i="14"/>
  <c r="S2398" i="14"/>
  <c r="S863" i="14"/>
  <c r="S2214" i="14"/>
  <c r="S457" i="14"/>
  <c r="S887" i="14"/>
  <c r="S1907" i="14"/>
  <c r="S34" i="14"/>
  <c r="S802" i="14"/>
  <c r="S689" i="14"/>
  <c r="S1835" i="14"/>
  <c r="S1239" i="14"/>
  <c r="S2171" i="14"/>
  <c r="S1865" i="14"/>
  <c r="S807" i="14"/>
  <c r="S1467" i="14"/>
  <c r="S3619" i="14"/>
  <c r="S3857" i="14"/>
  <c r="S1922" i="14"/>
  <c r="S2421" i="14"/>
  <c r="S2782" i="14"/>
  <c r="S1417" i="14"/>
  <c r="S1360" i="14"/>
  <c r="S3980" i="14"/>
  <c r="S3706" i="14"/>
  <c r="S2461" i="14"/>
  <c r="S2408" i="14"/>
  <c r="S2466" i="14"/>
  <c r="S1990" i="14"/>
  <c r="S3355" i="14"/>
  <c r="S2692" i="14"/>
  <c r="S3151" i="14"/>
  <c r="S1972" i="14"/>
  <c r="S1545" i="14"/>
  <c r="S626" i="14"/>
  <c r="S3801" i="14"/>
  <c r="S3804" i="14"/>
  <c r="S3407" i="14"/>
  <c r="S2674" i="14"/>
  <c r="S2679" i="14"/>
  <c r="S2621" i="14"/>
  <c r="S4140" i="14"/>
  <c r="S4041" i="14"/>
  <c r="S4223" i="14"/>
  <c r="S4189" i="14"/>
  <c r="S4267" i="14"/>
  <c r="S4266" i="14"/>
  <c r="S2605" i="14"/>
  <c r="S4404" i="14"/>
  <c r="S3389" i="14"/>
  <c r="S17" i="14"/>
  <c r="S823" i="14"/>
  <c r="S1313" i="14"/>
  <c r="S369" i="14"/>
  <c r="S855" i="14"/>
  <c r="S1419" i="14"/>
  <c r="S1563" i="14"/>
  <c r="S3205" i="14"/>
  <c r="S370" i="14"/>
  <c r="S1640" i="14"/>
  <c r="S52" i="14"/>
  <c r="S1755" i="14"/>
  <c r="S180" i="14"/>
  <c r="S1298" i="14"/>
  <c r="S1633" i="14"/>
  <c r="S232" i="14"/>
  <c r="S751" i="14"/>
  <c r="S3725" i="14"/>
  <c r="S2051" i="14"/>
  <c r="S3556" i="14"/>
  <c r="S3877" i="14"/>
  <c r="S1921" i="14"/>
  <c r="S4016" i="14"/>
  <c r="S1404" i="14"/>
  <c r="S1411" i="14"/>
  <c r="S1362" i="14"/>
  <c r="S1412" i="14"/>
  <c r="S4017" i="14"/>
  <c r="S2413" i="14"/>
  <c r="S1389" i="14"/>
  <c r="S2467" i="14"/>
  <c r="S2460" i="14"/>
  <c r="S3347" i="14"/>
  <c r="S2693" i="14"/>
  <c r="S3150" i="14"/>
  <c r="S3166" i="14"/>
  <c r="S3014" i="14"/>
  <c r="S623" i="14"/>
  <c r="S2787" i="14"/>
  <c r="S3807" i="14"/>
  <c r="S2482" i="14"/>
  <c r="S3536" i="14"/>
  <c r="S3434" i="14"/>
  <c r="S3133" i="14"/>
  <c r="S2630" i="14"/>
  <c r="S3787" i="14"/>
  <c r="S1949" i="14"/>
  <c r="S4183" i="14"/>
  <c r="S2533" i="14"/>
  <c r="S4216" i="14"/>
  <c r="S4284" i="14"/>
  <c r="S4269" i="14"/>
  <c r="S3117" i="14"/>
  <c r="S2041" i="14"/>
  <c r="S488" i="14"/>
  <c r="S3291" i="14"/>
  <c r="S2291" i="14"/>
  <c r="S246" i="14"/>
  <c r="S1723" i="14"/>
  <c r="S1571" i="14"/>
  <c r="S1731" i="14"/>
  <c r="S678" i="14"/>
  <c r="S1368" i="14"/>
  <c r="S1726" i="14"/>
  <c r="S995" i="14"/>
  <c r="S977" i="14"/>
  <c r="S1833" i="14"/>
  <c r="S1249" i="14"/>
  <c r="S129" i="14"/>
  <c r="S1423" i="14"/>
  <c r="S992" i="14"/>
  <c r="S3814" i="14"/>
  <c r="S1849" i="14"/>
  <c r="S2884" i="14"/>
  <c r="S3982" i="14"/>
  <c r="S3703" i="14"/>
  <c r="S3981" i="14"/>
  <c r="S1692" i="14"/>
  <c r="S1704" i="14"/>
  <c r="S3983" i="14"/>
  <c r="S2464" i="14"/>
  <c r="S1997" i="14"/>
  <c r="S1984" i="14"/>
  <c r="S2407" i="14"/>
  <c r="S3354" i="14"/>
  <c r="S3157" i="14"/>
  <c r="S3170" i="14"/>
  <c r="S1980" i="14"/>
  <c r="S627" i="14"/>
  <c r="S636" i="14"/>
  <c r="S3800" i="14"/>
  <c r="S3803" i="14"/>
  <c r="S3400" i="14"/>
  <c r="S2670" i="14"/>
  <c r="S3431" i="14"/>
  <c r="S2615" i="14"/>
  <c r="S4244" i="14"/>
  <c r="S2379" i="14"/>
  <c r="S4192" i="14"/>
  <c r="S4188" i="14"/>
  <c r="S4229" i="14"/>
  <c r="S4155" i="14"/>
  <c r="S4388" i="14"/>
  <c r="S3303" i="14"/>
  <c r="S3052" i="14"/>
  <c r="S312" i="14"/>
  <c r="S2035" i="14"/>
  <c r="S745" i="14"/>
  <c r="S1328" i="14"/>
  <c r="S1332" i="14"/>
  <c r="S1303" i="14"/>
  <c r="S513" i="14"/>
  <c r="S3252" i="14"/>
  <c r="S2025" i="14"/>
  <c r="S976" i="14"/>
  <c r="S963" i="14"/>
  <c r="S527" i="14"/>
  <c r="S2853" i="14"/>
  <c r="S146" i="14"/>
  <c r="S889" i="14"/>
  <c r="S1311" i="14"/>
  <c r="S532" i="14"/>
  <c r="S2181" i="14"/>
  <c r="S3854" i="14"/>
  <c r="S3135" i="14"/>
  <c r="S923" i="14"/>
  <c r="S3815" i="14"/>
  <c r="S5273" i="14"/>
  <c r="S5867" i="14"/>
  <c r="S283" i="14"/>
  <c r="S5345" i="14"/>
  <c r="S5362" i="14"/>
  <c r="S4939" i="14"/>
  <c r="S4972" i="14"/>
  <c r="S4978" i="14"/>
  <c r="S4864" i="14"/>
  <c r="S5568" i="14"/>
  <c r="S5890" i="14"/>
  <c r="S4367" i="14"/>
  <c r="S5124" i="14"/>
  <c r="S5898" i="14"/>
  <c r="S5677" i="14"/>
  <c r="S4429" i="14"/>
  <c r="S1152" i="14"/>
  <c r="S1228" i="14"/>
  <c r="S382" i="14"/>
  <c r="S5764" i="14"/>
  <c r="S5544" i="14"/>
  <c r="S5812" i="14"/>
  <c r="S5822" i="14"/>
  <c r="S5956" i="14"/>
  <c r="S5991" i="14"/>
  <c r="S5441" i="14"/>
  <c r="S1909" i="14"/>
  <c r="S667" i="14"/>
  <c r="S1384" i="14"/>
  <c r="S517" i="14"/>
  <c r="S4337" i="14"/>
  <c r="S6015" i="14"/>
  <c r="S3987" i="14"/>
  <c r="S1029" i="14"/>
  <c r="S2755" i="14"/>
  <c r="S4553" i="14"/>
  <c r="S4275" i="14"/>
  <c r="S1782" i="14"/>
  <c r="S2874" i="14"/>
  <c r="S2663" i="14"/>
  <c r="S2984" i="14"/>
  <c r="S4320" i="14"/>
  <c r="S1886" i="14"/>
  <c r="S1888" i="14"/>
  <c r="S4843" i="14"/>
  <c r="S4779" i="14"/>
  <c r="S4772" i="14"/>
  <c r="S5689" i="14"/>
  <c r="S5378" i="14"/>
  <c r="S5322" i="14"/>
  <c r="S3734" i="14"/>
  <c r="S5970" i="14"/>
  <c r="S4457" i="14"/>
  <c r="S5439" i="14"/>
  <c r="S960" i="14"/>
  <c r="S1310" i="14"/>
  <c r="S1190" i="14"/>
  <c r="S1347" i="14"/>
  <c r="S5146" i="14"/>
  <c r="S1444" i="14"/>
  <c r="S5875" i="14"/>
  <c r="S4357" i="14"/>
  <c r="S5074" i="14"/>
  <c r="S5128" i="14"/>
  <c r="S5693" i="14"/>
  <c r="S1316" i="14"/>
  <c r="S1164" i="14"/>
  <c r="S1132" i="14"/>
  <c r="S5585" i="14"/>
  <c r="S5283" i="14"/>
  <c r="S5807" i="14"/>
  <c r="S5804" i="14"/>
  <c r="S5834" i="14"/>
  <c r="S5962" i="14"/>
  <c r="S5955" i="14"/>
  <c r="S1214" i="14"/>
  <c r="S763" i="14"/>
  <c r="S663" i="14"/>
  <c r="S102" i="14"/>
  <c r="S1893" i="14"/>
  <c r="S5233" i="14"/>
  <c r="S147" i="14"/>
  <c r="S1227" i="14"/>
  <c r="S1178" i="14"/>
  <c r="S1616" i="14"/>
  <c r="S1253" i="14"/>
  <c r="S5846" i="14"/>
  <c r="S3850" i="14"/>
  <c r="S3018" i="14"/>
  <c r="S3768" i="14"/>
  <c r="S785" i="14"/>
  <c r="S1968" i="14"/>
  <c r="S3435" i="14"/>
  <c r="S5871" i="14"/>
  <c r="S4079" i="14"/>
  <c r="S4938" i="14"/>
  <c r="S5025" i="14"/>
  <c r="S5624" i="14"/>
  <c r="S4356" i="14"/>
  <c r="S5130" i="14"/>
  <c r="S4423" i="14"/>
  <c r="S1420" i="14"/>
  <c r="S1015" i="14"/>
  <c r="S5539" i="14"/>
  <c r="S5823" i="14"/>
  <c r="S862" i="14"/>
  <c r="S174" i="14"/>
  <c r="S33" i="14"/>
  <c r="S2204" i="14"/>
  <c r="S107" i="14"/>
  <c r="S2740" i="14"/>
  <c r="S5595" i="14"/>
  <c r="S5518" i="14"/>
  <c r="S391" i="14"/>
  <c r="S3531" i="14"/>
  <c r="S3356" i="14"/>
  <c r="S2896" i="14"/>
  <c r="S2671" i="14"/>
  <c r="S4949" i="14"/>
  <c r="S5274" i="14"/>
  <c r="S5508" i="14"/>
  <c r="S5002" i="14"/>
  <c r="S4973" i="14"/>
  <c r="S5478" i="14"/>
  <c r="S5883" i="14"/>
  <c r="S5640" i="14"/>
  <c r="S599" i="14"/>
  <c r="S1720" i="14"/>
  <c r="S5250" i="14"/>
  <c r="S5816" i="14"/>
  <c r="S4444" i="14"/>
  <c r="S5451" i="14"/>
  <c r="S731" i="14"/>
  <c r="S709" i="14"/>
  <c r="S4705" i="14"/>
  <c r="S1176" i="14"/>
  <c r="S4564" i="14"/>
  <c r="S255" i="14"/>
  <c r="S4005" i="14"/>
  <c r="S3774" i="14"/>
  <c r="S4359" i="14"/>
  <c r="S5129" i="14"/>
  <c r="S5021" i="14"/>
  <c r="S5480" i="14"/>
  <c r="S5565" i="14"/>
  <c r="S5626" i="14"/>
  <c r="S5512" i="14"/>
  <c r="S5887" i="14"/>
  <c r="S4368" i="14"/>
  <c r="S5120" i="14"/>
  <c r="S3859" i="14"/>
  <c r="S5062" i="14"/>
  <c r="S5894" i="14"/>
  <c r="S5678" i="14"/>
  <c r="S5691" i="14"/>
  <c r="S5643" i="14"/>
  <c r="S4473" i="14"/>
  <c r="S4432" i="14"/>
  <c r="S1236" i="14"/>
  <c r="S1287" i="14"/>
  <c r="S1255" i="14"/>
  <c r="S908" i="14"/>
  <c r="S1358" i="14"/>
  <c r="S5593" i="14"/>
  <c r="S5773" i="14"/>
  <c r="S6062" i="14"/>
  <c r="S5946" i="14"/>
  <c r="S5553" i="14"/>
  <c r="S5800" i="14"/>
  <c r="S5791" i="14"/>
  <c r="S5963" i="14"/>
  <c r="S5966" i="14"/>
  <c r="S5960" i="14"/>
  <c r="S4447" i="14"/>
  <c r="S5443" i="14"/>
  <c r="S685" i="14"/>
  <c r="S1174" i="14"/>
  <c r="S325" i="14"/>
  <c r="S427" i="14"/>
  <c r="S1285" i="14"/>
  <c r="S5265" i="14"/>
  <c r="S5272" i="14"/>
  <c r="S492" i="14"/>
  <c r="S1658" i="14"/>
  <c r="S831" i="14"/>
  <c r="S464" i="14"/>
  <c r="S4919" i="14"/>
  <c r="S5915" i="14"/>
  <c r="S970" i="14"/>
  <c r="S4361" i="14"/>
  <c r="S5673" i="14"/>
  <c r="S5637" i="14"/>
  <c r="S4419" i="14"/>
  <c r="S791" i="14"/>
  <c r="S5575" i="14"/>
  <c r="S4771" i="14"/>
  <c r="S4770" i="14"/>
  <c r="S5471" i="14"/>
  <c r="S5467" i="14"/>
  <c r="S5314" i="14"/>
  <c r="S5334" i="14"/>
  <c r="S5319" i="14"/>
  <c r="S5730" i="14"/>
  <c r="S5420" i="14"/>
  <c r="S5424" i="14"/>
  <c r="S5405" i="14"/>
  <c r="S5720" i="14"/>
  <c r="S5654" i="14"/>
  <c r="S5657" i="14"/>
  <c r="S3770" i="14"/>
  <c r="S3405" i="14"/>
  <c r="S3024" i="14"/>
  <c r="S1977" i="14"/>
  <c r="S4004" i="14"/>
  <c r="S3624" i="14"/>
  <c r="S3409" i="14"/>
  <c r="S3680" i="14"/>
  <c r="S1981" i="14"/>
  <c r="S3439" i="14"/>
  <c r="S3153" i="14"/>
  <c r="S2673" i="14"/>
  <c r="S789" i="14"/>
  <c r="S1544" i="14"/>
  <c r="S2487" i="14"/>
  <c r="S3848" i="14"/>
  <c r="S3629" i="14"/>
  <c r="S2617" i="14"/>
  <c r="S3012" i="14"/>
  <c r="S2897" i="14"/>
  <c r="S2641" i="14"/>
  <c r="S1924" i="14"/>
  <c r="S3809" i="14"/>
  <c r="S1361" i="14"/>
  <c r="S3628" i="14"/>
  <c r="S3397" i="14"/>
  <c r="S3019" i="14"/>
  <c r="S922" i="14"/>
  <c r="S4008" i="14"/>
  <c r="S628" i="14"/>
  <c r="S5082" i="14"/>
  <c r="S5027" i="14"/>
  <c r="S5277" i="14"/>
  <c r="S5861" i="14"/>
  <c r="S5872" i="14"/>
  <c r="S4070" i="14"/>
  <c r="S4077" i="14"/>
  <c r="S5332" i="14"/>
  <c r="S5348" i="14"/>
  <c r="S5318" i="14"/>
  <c r="S5557" i="14"/>
  <c r="S5015" i="14"/>
  <c r="S5001" i="14"/>
  <c r="S4856" i="14"/>
  <c r="S5012" i="14"/>
  <c r="S5011" i="14"/>
  <c r="S5014" i="14"/>
  <c r="S4943" i="14"/>
  <c r="S4945" i="14"/>
  <c r="S4858" i="14"/>
  <c r="S5630" i="14"/>
  <c r="S5516" i="14"/>
  <c r="S5535" i="14"/>
  <c r="S5465" i="14"/>
  <c r="S5472" i="14"/>
  <c r="S5876" i="14"/>
  <c r="S4360" i="14"/>
  <c r="S5096" i="14"/>
  <c r="S5670" i="14"/>
  <c r="S5572" i="14"/>
  <c r="S4472" i="14"/>
  <c r="S1304" i="14"/>
  <c r="S27" i="14"/>
  <c r="S478" i="14"/>
  <c r="S5576" i="14"/>
  <c r="S4933" i="14"/>
  <c r="S4966" i="14"/>
  <c r="S4969" i="14"/>
  <c r="S5878" i="14"/>
  <c r="S2983" i="14"/>
  <c r="S4312" i="14"/>
  <c r="S2685" i="14"/>
  <c r="S3625" i="14"/>
  <c r="S2053" i="14"/>
  <c r="S3350" i="14"/>
  <c r="S934" i="14"/>
  <c r="S3819" i="14"/>
  <c r="S775" i="14"/>
  <c r="S3358" i="14"/>
  <c r="S3911" i="14"/>
  <c r="S4010" i="14"/>
  <c r="S3141" i="14"/>
  <c r="S2668" i="14"/>
  <c r="S1409" i="14"/>
  <c r="S3623" i="14"/>
  <c r="S3132" i="14"/>
  <c r="S1739" i="14"/>
  <c r="S3913" i="14"/>
  <c r="S3846" i="14"/>
  <c r="S3812" i="14"/>
  <c r="S4926" i="14"/>
  <c r="S5098" i="14"/>
  <c r="S5049" i="14"/>
  <c r="S5139" i="14"/>
  <c r="S5869" i="14"/>
  <c r="S286" i="14"/>
  <c r="S4067" i="14"/>
  <c r="S1184" i="14"/>
  <c r="S5320" i="14"/>
  <c r="S5346" i="14"/>
  <c r="S5475" i="14"/>
  <c r="S5483" i="14"/>
  <c r="S4934" i="14"/>
  <c r="S4970" i="14"/>
  <c r="S4940" i="14"/>
  <c r="S5017" i="14"/>
  <c r="S4944" i="14"/>
  <c r="S4941" i="14"/>
  <c r="S4851" i="14"/>
  <c r="S4852" i="14"/>
  <c r="S4855" i="14"/>
  <c r="S5510" i="14"/>
  <c r="S5505" i="14"/>
  <c r="S5503" i="14"/>
  <c r="S5519" i="14"/>
  <c r="S5466" i="14"/>
  <c r="S5882" i="14"/>
  <c r="S5889" i="14"/>
  <c r="S4364" i="14"/>
  <c r="S5137" i="14"/>
  <c r="S5114" i="14"/>
  <c r="S5132" i="14"/>
  <c r="S5075" i="14"/>
  <c r="S5041" i="14"/>
  <c r="S5940" i="14"/>
  <c r="S5903" i="14"/>
  <c r="S5676" i="14"/>
  <c r="S5688" i="14"/>
  <c r="S5694" i="14"/>
  <c r="S5580" i="14"/>
  <c r="S5639" i="14"/>
  <c r="S4468" i="14"/>
  <c r="S4439" i="14"/>
  <c r="S41" i="14"/>
  <c r="S1215" i="14"/>
  <c r="S408" i="14"/>
  <c r="S54" i="14"/>
  <c r="S948" i="14"/>
  <c r="S273" i="14"/>
  <c r="S1171" i="14"/>
  <c r="S48" i="14"/>
  <c r="S647" i="14"/>
  <c r="S5772" i="14"/>
  <c r="S5765" i="14"/>
  <c r="S5147" i="14"/>
  <c r="S5297" i="14"/>
  <c r="S5228" i="14"/>
  <c r="S5951" i="14"/>
  <c r="S5550" i="14"/>
  <c r="S5789" i="14"/>
  <c r="S5803" i="14"/>
  <c r="S5824" i="14"/>
  <c r="S5806" i="14"/>
  <c r="S5827" i="14"/>
  <c r="S4333" i="14"/>
  <c r="S5113" i="14"/>
  <c r="S3865" i="14"/>
  <c r="S5081" i="14"/>
  <c r="S5059" i="14"/>
  <c r="S5988" i="14"/>
  <c r="S5895" i="14"/>
  <c r="S5680" i="14"/>
  <c r="S5686" i="14"/>
  <c r="S5826" i="14"/>
  <c r="S5755" i="14"/>
  <c r="S5636" i="14"/>
  <c r="S4480" i="14"/>
  <c r="S4430" i="14"/>
  <c r="S1455" i="14"/>
  <c r="S118" i="14"/>
  <c r="S1351" i="14"/>
  <c r="S566" i="14"/>
  <c r="S1315" i="14"/>
  <c r="S1120" i="14"/>
  <c r="S1308" i="14"/>
  <c r="S743" i="14"/>
  <c r="S1211" i="14"/>
  <c r="S5582" i="14"/>
  <c r="S5577" i="14"/>
  <c r="S5144" i="14"/>
  <c r="S5251" i="14"/>
  <c r="S5214" i="14"/>
  <c r="S5943" i="14"/>
  <c r="S5546" i="14"/>
  <c r="S5798" i="14"/>
  <c r="S5797" i="14"/>
  <c r="S5785" i="14"/>
  <c r="S5808" i="14"/>
  <c r="S5840" i="14"/>
  <c r="S5967" i="14"/>
  <c r="S6001" i="14"/>
  <c r="S5980" i="14"/>
  <c r="S4466" i="14"/>
  <c r="S4435" i="14"/>
  <c r="S5433" i="14"/>
  <c r="S168" i="14"/>
  <c r="S1605" i="14"/>
  <c r="S1517" i="14"/>
  <c r="S1846" i="14"/>
  <c r="S803" i="14"/>
  <c r="S200" i="14"/>
  <c r="S389" i="14"/>
  <c r="S1469" i="14"/>
  <c r="S1613" i="14"/>
  <c r="S123" i="14"/>
  <c r="S4324" i="14"/>
  <c r="S5293" i="14"/>
  <c r="S620" i="14"/>
  <c r="S1309" i="14"/>
  <c r="S759" i="14"/>
  <c r="S416" i="14"/>
  <c r="S1323" i="14"/>
  <c r="S1106" i="14"/>
  <c r="S696" i="14"/>
  <c r="S4951" i="14"/>
  <c r="S5922" i="14"/>
  <c r="S471" i="14"/>
  <c r="S3331" i="14"/>
  <c r="S1638" i="14"/>
  <c r="S3587" i="14"/>
  <c r="S2103" i="14"/>
  <c r="S183" i="14"/>
  <c r="S766" i="14"/>
  <c r="S2106" i="14"/>
  <c r="S5558" i="14"/>
  <c r="S5118" i="14"/>
  <c r="S5076" i="14"/>
  <c r="S5900" i="14"/>
  <c r="S5683" i="14"/>
  <c r="S4482" i="14"/>
  <c r="S415" i="14"/>
  <c r="S1364" i="14"/>
  <c r="S201" i="14"/>
  <c r="S5778" i="14"/>
  <c r="S5213" i="14"/>
  <c r="S1400" i="14"/>
  <c r="S3677" i="14"/>
  <c r="S1373" i="14"/>
  <c r="S3900" i="14"/>
  <c r="S2635" i="14"/>
  <c r="S777" i="14"/>
  <c r="S1548" i="14"/>
  <c r="S3022" i="14"/>
  <c r="S933" i="14"/>
  <c r="S4013" i="14"/>
  <c r="S3525" i="14"/>
  <c r="S1915" i="14"/>
  <c r="S3952" i="14"/>
  <c r="S1406" i="14"/>
  <c r="S784" i="14"/>
  <c r="S3775" i="14"/>
  <c r="S2624" i="14"/>
  <c r="S1742" i="14"/>
  <c r="S2795" i="14"/>
  <c r="S5402" i="14"/>
  <c r="S5328" i="14"/>
  <c r="S5352" i="14"/>
  <c r="S5342" i="14"/>
  <c r="S5729" i="14"/>
  <c r="S5440" i="14"/>
  <c r="S5408" i="14"/>
  <c r="S5407" i="14"/>
  <c r="S5398" i="14"/>
  <c r="S5394" i="14"/>
  <c r="S5641" i="14"/>
  <c r="S5718" i="14"/>
  <c r="S5653" i="14"/>
  <c r="S5728" i="14"/>
  <c r="S5432" i="14"/>
  <c r="S2058" i="14"/>
  <c r="S1745" i="14"/>
  <c r="S2800" i="14"/>
  <c r="S930" i="14"/>
  <c r="S3427" i="14"/>
  <c r="S3634" i="14"/>
  <c r="S2062" i="14"/>
  <c r="S3351" i="14"/>
  <c r="S2476" i="14"/>
  <c r="S3851" i="14"/>
  <c r="S3811" i="14"/>
  <c r="S3161" i="14"/>
  <c r="S2680" i="14"/>
  <c r="S3764" i="14"/>
  <c r="S3401" i="14"/>
  <c r="S3017" i="14"/>
  <c r="S1975" i="14"/>
  <c r="S3903" i="14"/>
  <c r="S3526" i="14"/>
  <c r="S3134" i="14"/>
  <c r="S1558" i="14"/>
  <c r="S2788" i="14"/>
  <c r="S925" i="14"/>
  <c r="S3433" i="14"/>
  <c r="S633" i="14"/>
  <c r="S2687" i="14"/>
  <c r="S3977" i="14"/>
  <c r="S3704" i="14"/>
  <c r="S781" i="14"/>
  <c r="S3776" i="14"/>
  <c r="S2623" i="14"/>
  <c r="S3362" i="14"/>
  <c r="S2490" i="14"/>
  <c r="S2887" i="14"/>
  <c r="S4003" i="14"/>
  <c r="S3537" i="14"/>
  <c r="S5048" i="14"/>
  <c r="S5058" i="14"/>
  <c r="S3868" i="14"/>
  <c r="S5150" i="14"/>
  <c r="S5863" i="14"/>
  <c r="S5874" i="14"/>
  <c r="S4078" i="14"/>
  <c r="S4072" i="14"/>
  <c r="S5368" i="14"/>
  <c r="S5355" i="14"/>
  <c r="S5340" i="14"/>
  <c r="S5525" i="14"/>
  <c r="S5631" i="14"/>
  <c r="S5489" i="14"/>
  <c r="S4964" i="14"/>
  <c r="S5016" i="14"/>
  <c r="S5003" i="14"/>
  <c r="S4977" i="14"/>
  <c r="S4937" i="14"/>
  <c r="S4987" i="14"/>
  <c r="S4990" i="14"/>
  <c r="S4942" i="14"/>
  <c r="S4985" i="14"/>
  <c r="S4946" i="14"/>
  <c r="S5008" i="14"/>
  <c r="S5485" i="14"/>
  <c r="S5479" i="14"/>
  <c r="S5484" i="14"/>
  <c r="S5487" i="14"/>
  <c r="S5493" i="14"/>
  <c r="S5524" i="14"/>
  <c r="S5473" i="14"/>
  <c r="S5893" i="14"/>
  <c r="S5881" i="14"/>
  <c r="S5309" i="14"/>
  <c r="S5492" i="14"/>
  <c r="S4968" i="14"/>
  <c r="S4935" i="14"/>
  <c r="S4936" i="14"/>
  <c r="S4967" i="14"/>
  <c r="S5022" i="14"/>
  <c r="S4997" i="14"/>
  <c r="S5004" i="14"/>
  <c r="S4863" i="14"/>
  <c r="S5024" i="14"/>
  <c r="S4995" i="14"/>
  <c r="S4931" i="14"/>
  <c r="S5026" i="14"/>
  <c r="S5526" i="14"/>
  <c r="S5536" i="14"/>
  <c r="S5633" i="14"/>
  <c r="S5506" i="14"/>
  <c r="S5520" i="14"/>
  <c r="S5554" i="14"/>
  <c r="S5621" i="14"/>
  <c r="S5877" i="14"/>
  <c r="S5886" i="14"/>
  <c r="S4370" i="14"/>
  <c r="S4366" i="14"/>
  <c r="S5116" i="14"/>
  <c r="S5123" i="14"/>
  <c r="S5122" i="14"/>
  <c r="S3867" i="14"/>
  <c r="S5053" i="14"/>
  <c r="S5047" i="14"/>
  <c r="S5891" i="14"/>
  <c r="S5905" i="14"/>
  <c r="S5669" i="14"/>
  <c r="S5679" i="14"/>
  <c r="S5696" i="14"/>
  <c r="S5777" i="14"/>
  <c r="S5635" i="14"/>
  <c r="S5649" i="14"/>
  <c r="S4475" i="14"/>
  <c r="S4431" i="14"/>
  <c r="S752" i="14"/>
  <c r="S1212" i="14"/>
  <c r="S600" i="14"/>
  <c r="S79" i="14"/>
  <c r="S1300" i="14"/>
  <c r="S1140" i="14"/>
  <c r="S376" i="14"/>
  <c r="S303" i="14"/>
  <c r="S1327" i="14"/>
  <c r="S1172" i="14"/>
  <c r="S5583" i="14"/>
  <c r="S5584" i="14"/>
  <c r="S5578" i="14"/>
  <c r="S5203" i="14"/>
  <c r="S5224" i="14"/>
  <c r="S5247" i="14"/>
  <c r="S5945" i="14"/>
  <c r="S5548" i="14"/>
  <c r="S5543" i="14"/>
  <c r="S5794" i="14"/>
  <c r="S5815" i="14"/>
  <c r="S5786" i="14"/>
  <c r="S5781" i="14"/>
  <c r="S5832" i="14"/>
  <c r="S5983" i="14"/>
  <c r="S5982" i="14"/>
  <c r="S5958" i="14"/>
  <c r="S5957" i="14"/>
  <c r="S4463" i="14"/>
  <c r="S4443" i="14"/>
  <c r="S5431" i="14"/>
  <c r="S5453" i="14"/>
  <c r="S46" i="14"/>
  <c r="S397" i="14"/>
  <c r="S1452" i="14"/>
  <c r="S1142" i="14"/>
  <c r="S435" i="14"/>
  <c r="S584" i="14"/>
  <c r="S1597" i="14"/>
  <c r="S190" i="14"/>
  <c r="S1860" i="14"/>
  <c r="S125" i="14"/>
  <c r="S1765" i="14"/>
  <c r="S5308" i="14"/>
  <c r="S5268" i="14"/>
  <c r="S5330" i="14"/>
  <c r="S5324" i="14"/>
  <c r="S5235" i="14"/>
  <c r="S5210" i="14"/>
  <c r="S4838" i="14"/>
  <c r="S4848" i="14"/>
  <c r="S4689" i="14"/>
  <c r="S5925" i="14"/>
  <c r="S3820" i="14"/>
  <c r="S2618" i="14"/>
  <c r="S2790" i="14"/>
  <c r="S920" i="14"/>
  <c r="S3529" i="14"/>
  <c r="S3941" i="14"/>
  <c r="S3402" i="14"/>
  <c r="S3681" i="14"/>
  <c r="S3914" i="14"/>
  <c r="S3438" i="14"/>
  <c r="S2063" i="14"/>
  <c r="S2789" i="14"/>
  <c r="S1976" i="14"/>
  <c r="S3643" i="14"/>
  <c r="S3843" i="14"/>
  <c r="S3773" i="14"/>
  <c r="S1747" i="14"/>
  <c r="S4015" i="14"/>
  <c r="S1927" i="14"/>
  <c r="S788" i="14"/>
  <c r="S2883" i="14"/>
  <c r="S3633" i="14"/>
  <c r="S1753" i="14"/>
  <c r="S3902" i="14"/>
  <c r="S974" i="14"/>
  <c r="S5843" i="14"/>
  <c r="S2500" i="14"/>
  <c r="S3862" i="14"/>
  <c r="S5896" i="14"/>
  <c r="S5892" i="14"/>
  <c r="S5668" i="14"/>
  <c r="S5571" i="14"/>
  <c r="S5642" i="14"/>
  <c r="S4467" i="14"/>
  <c r="S169" i="14"/>
  <c r="S1560" i="14"/>
  <c r="S668" i="14"/>
  <c r="S806" i="14"/>
  <c r="S4099" i="14"/>
  <c r="S5926" i="14"/>
  <c r="S2144" i="14"/>
  <c r="S5043" i="14"/>
  <c r="S5674" i="14"/>
  <c r="S5695" i="14"/>
  <c r="S5753" i="14"/>
  <c r="S4479" i="14"/>
  <c r="S4420" i="14"/>
  <c r="S870" i="14"/>
  <c r="S1399" i="14"/>
  <c r="S1216" i="14"/>
  <c r="S5046" i="14"/>
  <c r="S5135" i="14"/>
  <c r="S5109" i="14"/>
  <c r="S5435" i="14"/>
  <c r="S1898" i="14"/>
  <c r="S1825" i="14"/>
  <c r="S1293" i="14"/>
  <c r="S4062" i="14"/>
  <c r="S6051" i="14"/>
  <c r="S4955" i="14"/>
  <c r="S272" i="14"/>
  <c r="S321" i="14"/>
  <c r="S1610" i="14"/>
  <c r="S1355" i="14"/>
  <c r="S1341" i="14"/>
  <c r="S593" i="14"/>
  <c r="S235" i="14"/>
  <c r="S342" i="14"/>
  <c r="S692" i="14"/>
  <c r="S5278" i="14"/>
  <c r="S5310" i="14"/>
  <c r="S2440" i="14"/>
  <c r="S4695" i="14"/>
  <c r="S315" i="14"/>
  <c r="S37" i="14"/>
  <c r="S1581" i="14"/>
  <c r="S980" i="14"/>
  <c r="S813" i="14"/>
  <c r="S30" i="14"/>
  <c r="S175" i="14"/>
  <c r="S1565" i="14"/>
  <c r="S230" i="14"/>
  <c r="S328" i="14"/>
  <c r="S1472" i="14"/>
  <c r="S549" i="14"/>
  <c r="S1573" i="14"/>
  <c r="S1614" i="14"/>
  <c r="S1912" i="14"/>
  <c r="S595" i="14"/>
  <c r="S461" i="14"/>
  <c r="S1757" i="14"/>
  <c r="S1286" i="14"/>
  <c r="S1820" i="14"/>
  <c r="S2497" i="14"/>
  <c r="S5599" i="14"/>
  <c r="S1073" i="14"/>
  <c r="S1964" i="14"/>
  <c r="S1038" i="14"/>
  <c r="S1014" i="14"/>
  <c r="S313" i="14"/>
  <c r="S1338" i="14"/>
  <c r="S3491" i="14"/>
  <c r="S1357" i="14"/>
  <c r="S23" i="14"/>
  <c r="S2438" i="14"/>
  <c r="S4578" i="14"/>
  <c r="S6052" i="14"/>
  <c r="S6058" i="14"/>
  <c r="S5913" i="14"/>
  <c r="S4916" i="14"/>
  <c r="S4910" i="14"/>
  <c r="S304" i="14"/>
  <c r="S1008" i="14"/>
  <c r="S465" i="14"/>
  <c r="S1002" i="14"/>
  <c r="S1642" i="14"/>
  <c r="S1466" i="14"/>
  <c r="S316" i="14"/>
  <c r="S1612" i="14"/>
  <c r="S1646" i="14"/>
  <c r="S712" i="14"/>
  <c r="S937" i="14"/>
  <c r="S2851" i="14"/>
  <c r="S1155" i="14"/>
  <c r="S1108" i="14"/>
  <c r="S1810" i="14"/>
  <c r="S519" i="14"/>
  <c r="S3411" i="14"/>
  <c r="S1590" i="14"/>
  <c r="S4577" i="14"/>
  <c r="S6038" i="14"/>
  <c r="S6039" i="14"/>
  <c r="S4961" i="14"/>
  <c r="S832" i="14"/>
  <c r="S1433" i="14"/>
  <c r="S1434" i="14"/>
  <c r="S1380" i="14"/>
  <c r="S608" i="14"/>
  <c r="S1738" i="14"/>
  <c r="S820" i="14"/>
  <c r="S83" i="14"/>
  <c r="S981" i="14"/>
  <c r="S5234" i="14"/>
  <c r="S326" i="14"/>
  <c r="S1808" i="14"/>
  <c r="S1940" i="14"/>
  <c r="S5601" i="14"/>
  <c r="S1609" i="14"/>
  <c r="S1189" i="14"/>
  <c r="S1446" i="14"/>
  <c r="S1422" i="14"/>
  <c r="S505" i="14"/>
  <c r="S1906" i="14"/>
  <c r="S3571" i="14"/>
  <c r="S518" i="14"/>
  <c r="S151" i="14"/>
  <c r="S2437" i="14"/>
  <c r="S4571" i="14"/>
  <c r="S6020" i="14"/>
  <c r="S6065" i="14"/>
  <c r="S6061" i="14"/>
  <c r="S4959" i="14"/>
  <c r="S4907" i="14"/>
  <c r="S400" i="14"/>
  <c r="S1144" i="14"/>
  <c r="S577" i="14"/>
  <c r="S1034" i="14"/>
  <c r="S1842" i="14"/>
  <c r="S67" i="14"/>
  <c r="S508" i="14"/>
  <c r="S1644" i="14"/>
  <c r="S447" i="14"/>
  <c r="S744" i="14"/>
  <c r="S1785" i="14"/>
  <c r="S575" i="14"/>
  <c r="S1187" i="14"/>
  <c r="S1468" i="14"/>
  <c r="S2772" i="14"/>
  <c r="S875" i="14"/>
  <c r="S1076" i="14"/>
  <c r="S6007" i="14"/>
  <c r="S5209" i="14"/>
  <c r="S5221" i="14"/>
  <c r="S5304" i="14"/>
  <c r="S4722" i="14"/>
  <c r="S483" i="14"/>
  <c r="S571" i="14"/>
  <c r="S341" i="14"/>
  <c r="S1845" i="14"/>
  <c r="S349" i="14"/>
  <c r="S1437" i="14"/>
  <c r="S222" i="14"/>
  <c r="S323" i="14"/>
  <c r="S1781" i="14"/>
  <c r="S1166" i="14"/>
  <c r="S672" i="14"/>
  <c r="S1904" i="14"/>
  <c r="S3682" i="14"/>
  <c r="S1546" i="14"/>
  <c r="S3137" i="14"/>
  <c r="S1936" i="14"/>
  <c r="S1322" i="14"/>
  <c r="S1862" i="14"/>
  <c r="S601" i="14"/>
  <c r="S56" i="14"/>
  <c r="S215" i="14"/>
  <c r="S6045" i="14"/>
  <c r="S6050" i="14"/>
  <c r="S6035" i="14"/>
  <c r="S4954" i="14"/>
  <c r="S4908" i="14"/>
  <c r="S1447" i="14"/>
  <c r="S496" i="14"/>
  <c r="S1464" i="14"/>
  <c r="S913" i="14"/>
  <c r="S1138" i="14"/>
  <c r="S2835" i="14"/>
  <c r="S163" i="14"/>
  <c r="S676" i="14"/>
  <c r="S845" i="14"/>
  <c r="S1079" i="14"/>
  <c r="S1448" i="14"/>
  <c r="S1050" i="14"/>
  <c r="S160" i="14"/>
  <c r="S388" i="14"/>
  <c r="S21" i="14"/>
  <c r="S2947" i="14"/>
  <c r="S1235" i="14"/>
  <c r="S1596" i="14"/>
  <c r="S6017" i="14"/>
  <c r="S5271" i="14"/>
  <c r="S5249" i="14"/>
  <c r="S5307" i="14"/>
  <c r="S4716" i="14"/>
  <c r="S827" i="14"/>
  <c r="S739" i="14"/>
  <c r="S533" i="14"/>
  <c r="S747" i="14"/>
  <c r="S477" i="14"/>
  <c r="S1733" i="14"/>
  <c r="S878" i="14"/>
  <c r="S523" i="14"/>
  <c r="S1861" i="14"/>
  <c r="S431" i="14"/>
  <c r="S1208" i="14"/>
  <c r="S395" i="14"/>
  <c r="S197" i="14"/>
  <c r="S318" i="14"/>
  <c r="S296" i="14"/>
  <c r="S485" i="14"/>
  <c r="S1572" i="14"/>
  <c r="S757" i="14"/>
  <c r="S206" i="14"/>
  <c r="S424" i="14"/>
  <c r="S5437" i="14"/>
  <c r="S5429" i="14"/>
  <c r="S4450" i="14"/>
  <c r="S4464" i="14"/>
  <c r="S4451" i="14"/>
  <c r="S5976" i="14"/>
  <c r="S5998" i="14"/>
  <c r="S5975" i="14"/>
  <c r="S5997" i="14"/>
  <c r="S5838" i="14"/>
  <c r="S5790" i="14"/>
  <c r="S5796" i="14"/>
  <c r="S5782" i="14"/>
  <c r="S5811" i="14"/>
  <c r="S5810" i="14"/>
  <c r="S5547" i="14"/>
  <c r="S5545" i="14"/>
  <c r="S5947" i="14"/>
  <c r="S5151" i="14"/>
  <c r="S5296" i="14"/>
  <c r="S5611" i="14"/>
  <c r="S1333" i="14"/>
  <c r="S39" i="14"/>
  <c r="S2395" i="14"/>
  <c r="S718" i="14"/>
  <c r="S2432" i="14"/>
  <c r="S2934" i="14"/>
  <c r="S3649" i="14"/>
  <c r="S1943" i="14"/>
  <c r="S5714" i="14"/>
  <c r="S3187" i="14"/>
  <c r="S302" i="14"/>
  <c r="S2038" i="14"/>
  <c r="S71" i="14"/>
  <c r="S1089" i="14"/>
  <c r="S2563" i="14"/>
  <c r="S2612" i="14"/>
  <c r="S998" i="14"/>
  <c r="S279" i="14"/>
  <c r="S4547" i="14"/>
  <c r="S6037" i="14"/>
  <c r="S5912" i="14"/>
  <c r="S5908" i="14"/>
  <c r="S4915" i="14"/>
  <c r="S4902" i="14"/>
  <c r="S8" i="14"/>
  <c r="S664" i="14"/>
  <c r="S1584" i="14"/>
  <c r="S953" i="14"/>
  <c r="S1170" i="14"/>
  <c r="S1716" i="14"/>
  <c r="S891" i="14"/>
  <c r="S772" i="14"/>
  <c r="S885" i="14"/>
  <c r="S96" i="14"/>
  <c r="S1664" i="14"/>
  <c r="S1474" i="14"/>
  <c r="S192" i="14"/>
  <c r="S452" i="14"/>
  <c r="S165" i="14"/>
  <c r="S3211" i="14"/>
  <c r="S364" i="14"/>
  <c r="S1660" i="14"/>
  <c r="S5285" i="14"/>
  <c r="S5231" i="14"/>
  <c r="S5286" i="14"/>
  <c r="S4336" i="14"/>
  <c r="S4702" i="14"/>
  <c r="S357" i="14"/>
  <c r="S771" i="14"/>
  <c r="S701" i="14"/>
  <c r="S1243" i="14"/>
  <c r="S541" i="14"/>
  <c r="S1773" i="14"/>
  <c r="S918" i="14"/>
  <c r="S500" i="14"/>
  <c r="S2037" i="14"/>
  <c r="S479" i="14"/>
  <c r="S1240" i="14"/>
  <c r="S795" i="14"/>
  <c r="S693" i="14"/>
  <c r="S606" i="14"/>
  <c r="S888" i="14"/>
  <c r="S581" i="14"/>
  <c r="S1844" i="14"/>
  <c r="S829" i="14"/>
  <c r="S510" i="14"/>
  <c r="S768" i="14"/>
  <c r="S5434" i="14"/>
  <c r="S1188" i="14"/>
  <c r="S1125" i="14"/>
  <c r="S7" i="14"/>
  <c r="S4051" i="14"/>
  <c r="S4056" i="14"/>
  <c r="S5708" i="14"/>
  <c r="S1718" i="14"/>
  <c r="S4395" i="14"/>
  <c r="S3115" i="14"/>
  <c r="S4058" i="14"/>
  <c r="S1218" i="14"/>
  <c r="S31" i="14"/>
  <c r="S1625" i="14"/>
  <c r="S5934" i="14"/>
  <c r="S758" i="14"/>
  <c r="S1894" i="14"/>
  <c r="S13" i="14"/>
  <c r="S2603" i="14"/>
  <c r="S2504" i="14"/>
  <c r="S5701" i="14"/>
  <c r="S441" i="14"/>
  <c r="S4061" i="14"/>
  <c r="S95" i="14"/>
  <c r="S454" i="14"/>
  <c r="S694" i="14"/>
  <c r="S345" i="14"/>
  <c r="S1250" i="14"/>
  <c r="S1737" i="14"/>
  <c r="S2092" i="14"/>
  <c r="S372" i="14"/>
  <c r="S4719" i="14"/>
  <c r="S5154" i="14"/>
  <c r="S5266" i="14"/>
  <c r="S5143" i="14"/>
  <c r="S1036" i="14"/>
  <c r="S19" i="14"/>
  <c r="S941" i="14"/>
  <c r="S1028" i="14"/>
  <c r="S15" i="14"/>
  <c r="S521" i="14"/>
  <c r="S320" i="14"/>
  <c r="S646" i="14"/>
  <c r="S444" i="14"/>
  <c r="S1314" i="14"/>
  <c r="S1386" i="14"/>
  <c r="S1713" i="14"/>
  <c r="S1112" i="14"/>
  <c r="S240" i="14"/>
  <c r="S4962" i="14"/>
  <c r="S4901" i="14"/>
  <c r="S5910" i="14"/>
  <c r="S6036" i="14"/>
  <c r="S2435" i="14"/>
  <c r="S439" i="14"/>
  <c r="S1221" i="14"/>
  <c r="S3083" i="14"/>
  <c r="S1017" i="14"/>
  <c r="S583" i="14"/>
  <c r="S1630" i="14"/>
  <c r="S141" i="14"/>
  <c r="S5590" i="14"/>
  <c r="S5699" i="14"/>
  <c r="S699" i="14"/>
  <c r="S1856" i="14"/>
  <c r="S767" i="14"/>
  <c r="S886" i="14"/>
  <c r="S451" i="14"/>
  <c r="S94" i="14"/>
  <c r="S645" i="14"/>
  <c r="S133" i="14"/>
  <c r="S437" i="14"/>
  <c r="S443" i="14"/>
  <c r="S4712" i="14"/>
  <c r="S4707" i="14"/>
  <c r="S5258" i="14"/>
  <c r="S5205" i="14"/>
  <c r="S213" i="14"/>
  <c r="S756" i="14"/>
  <c r="S1834" i="14"/>
  <c r="S996" i="14"/>
  <c r="S384" i="14"/>
  <c r="S3091" i="14"/>
  <c r="S816" i="14"/>
  <c r="S542" i="14"/>
  <c r="S916" i="14"/>
  <c r="S412" i="14"/>
  <c r="S2034" i="14"/>
  <c r="S1521" i="14"/>
  <c r="S1648" i="14"/>
  <c r="S1080" i="14"/>
  <c r="S4917" i="14"/>
  <c r="S4960" i="14"/>
  <c r="S4950" i="14"/>
  <c r="S5919" i="14"/>
  <c r="S6041" i="14"/>
  <c r="S4556" i="14"/>
  <c r="S4052" i="14"/>
  <c r="S407" i="14"/>
  <c r="S582" i="14"/>
  <c r="S1149" i="14"/>
  <c r="S850" i="14"/>
  <c r="S769" i="14"/>
  <c r="S551" i="14"/>
  <c r="S3107" i="14"/>
  <c r="S1598" i="14"/>
  <c r="S2971" i="14"/>
  <c r="S5844" i="14"/>
  <c r="S5608" i="14"/>
  <c r="S4469" i="14"/>
  <c r="S4474" i="14"/>
  <c r="S1295" i="14"/>
  <c r="S340" i="14"/>
  <c r="S1016" i="14"/>
  <c r="S1608" i="14"/>
  <c r="S1260" i="14"/>
  <c r="S438" i="14"/>
  <c r="S73" i="14"/>
  <c r="S367" i="14"/>
  <c r="S5795" i="14"/>
  <c r="S5581" i="14"/>
  <c r="S5227" i="14"/>
  <c r="S5253" i="14"/>
  <c r="S5220" i="14"/>
  <c r="S1445" i="14"/>
  <c r="S547" i="14"/>
  <c r="S5830" i="14"/>
  <c r="S6011" i="14"/>
  <c r="S5968" i="14"/>
  <c r="S5979" i="14"/>
  <c r="S5985" i="14"/>
  <c r="S4449" i="14"/>
  <c r="S5428" i="14"/>
  <c r="S5446" i="14"/>
  <c r="S2016" i="14"/>
  <c r="S703" i="14"/>
  <c r="S142" i="14"/>
  <c r="S467" i="14"/>
  <c r="S355" i="14"/>
  <c r="S399" i="14"/>
  <c r="S14" i="14"/>
  <c r="S589" i="14"/>
  <c r="S421" i="14"/>
  <c r="S456" i="14"/>
  <c r="S1342" i="14"/>
  <c r="S166" i="14"/>
  <c r="S1629" i="14"/>
  <c r="S619" i="14"/>
  <c r="S1334" i="14"/>
  <c r="S1173" i="14"/>
  <c r="S445" i="14"/>
  <c r="S700" i="14"/>
  <c r="S1725" i="14"/>
  <c r="S597" i="14"/>
  <c r="S1852" i="14"/>
  <c r="S4709" i="14"/>
  <c r="S4720" i="14"/>
  <c r="S4323" i="14"/>
  <c r="S5311" i="14"/>
  <c r="S5217" i="14"/>
  <c r="S5243" i="14"/>
  <c r="S1045" i="14"/>
  <c r="S1516" i="14"/>
  <c r="S556" i="14"/>
  <c r="S179" i="14"/>
  <c r="S3051" i="14"/>
  <c r="S1349" i="14"/>
  <c r="S867" i="14"/>
  <c r="S799" i="14"/>
  <c r="S1626" i="14"/>
  <c r="S969" i="14"/>
  <c r="S1480" i="14"/>
  <c r="S480" i="14"/>
  <c r="S1460" i="14"/>
  <c r="S644" i="14"/>
  <c r="S1251" i="14"/>
  <c r="S1618" i="14"/>
  <c r="S2867" i="14"/>
  <c r="S1578" i="14"/>
  <c r="S393" i="14"/>
  <c r="S1432" i="14"/>
  <c r="S728" i="14"/>
  <c r="S368" i="14"/>
  <c r="S1479" i="14"/>
  <c r="S4925" i="14"/>
  <c r="S1320" i="14"/>
  <c r="S1119" i="14"/>
  <c r="S1669" i="14"/>
  <c r="S493" i="14"/>
  <c r="S984" i="14"/>
  <c r="S1367" i="14"/>
  <c r="S126" i="14"/>
  <c r="S1653" i="14"/>
  <c r="S413" i="14"/>
  <c r="S852" i="14"/>
  <c r="S851" i="14"/>
  <c r="S507" i="14"/>
  <c r="S5306" i="14"/>
  <c r="S5204" i="14"/>
  <c r="S5289" i="14"/>
  <c r="S59" i="14"/>
  <c r="S1248" i="14"/>
  <c r="S379" i="14"/>
  <c r="S5299" i="14"/>
  <c r="S5222" i="14"/>
  <c r="S5279" i="14"/>
  <c r="S5142" i="14"/>
  <c r="S6014" i="14"/>
  <c r="S1780" i="14"/>
  <c r="S2076" i="14"/>
  <c r="S1732" i="14"/>
  <c r="S716" i="14"/>
  <c r="S324" i="14"/>
  <c r="S1463" i="14"/>
  <c r="S2067" i="14"/>
  <c r="S4693" i="14"/>
  <c r="S4328" i="14"/>
  <c r="S4335" i="14"/>
  <c r="S5270" i="14"/>
  <c r="S5248" i="14"/>
  <c r="S5245" i="14"/>
  <c r="S428" i="14"/>
  <c r="S211" i="14"/>
  <c r="S4251" i="14"/>
  <c r="S1037" i="14"/>
  <c r="S1652" i="14"/>
  <c r="S139" i="14"/>
  <c r="S713" i="14"/>
  <c r="S1520" i="14"/>
  <c r="S374" i="14"/>
  <c r="S2004" i="14"/>
  <c r="S1020" i="14"/>
  <c r="S1219" i="14"/>
  <c r="S1617" i="14"/>
  <c r="S881" i="14"/>
  <c r="S1392" i="14"/>
  <c r="S760" i="14"/>
  <c r="S4905" i="14"/>
  <c r="S4914" i="14"/>
  <c r="S6077" i="14"/>
  <c r="S4567" i="14"/>
  <c r="S4554" i="14"/>
  <c r="S4053" i="14"/>
  <c r="S87" i="14"/>
  <c r="S1110" i="14"/>
  <c r="S986" i="14"/>
  <c r="S377" i="14"/>
  <c r="S327" i="14"/>
  <c r="S1518" i="14"/>
  <c r="S558" i="14"/>
  <c r="S173" i="14"/>
  <c r="S2495" i="14"/>
  <c r="S1799" i="14"/>
  <c r="S6074" i="14"/>
  <c r="S725" i="14"/>
  <c r="S563" i="14"/>
  <c r="S1246" i="14"/>
  <c r="S2784" i="14"/>
  <c r="S3872" i="14"/>
  <c r="S4895" i="14"/>
  <c r="S4637" i="14"/>
  <c r="S4606" i="14"/>
  <c r="S4588" i="14"/>
  <c r="S4620" i="14"/>
  <c r="S4657" i="14"/>
  <c r="S4668" i="14"/>
  <c r="S4810" i="14"/>
  <c r="S1192" i="14"/>
  <c r="S3874" i="14"/>
  <c r="S1085" i="14"/>
  <c r="S4631" i="14"/>
  <c r="S4609" i="14"/>
  <c r="S4604" i="14"/>
  <c r="S4591" i="14"/>
  <c r="S4592" i="14"/>
  <c r="S4664" i="14"/>
  <c r="S4806" i="14"/>
  <c r="S4796" i="14"/>
  <c r="S4788" i="14"/>
  <c r="S4802" i="14"/>
  <c r="S4824" i="14"/>
  <c r="S4514" i="14"/>
  <c r="S4545" i="14"/>
  <c r="S2383" i="14"/>
  <c r="S4036" i="14"/>
  <c r="S2126" i="14"/>
  <c r="S1531" i="14"/>
  <c r="S5078" i="14"/>
  <c r="S5080" i="14"/>
  <c r="S1194" i="14"/>
  <c r="S1193" i="14"/>
  <c r="S1205" i="14"/>
  <c r="S5199" i="14"/>
  <c r="S1064" i="14"/>
  <c r="S2377" i="14"/>
  <c r="S2359" i="14"/>
  <c r="S3782" i="14"/>
  <c r="S3061" i="14"/>
  <c r="S1950" i="14"/>
  <c r="S5155" i="14"/>
  <c r="S4777" i="14"/>
  <c r="S4741" i="14"/>
  <c r="S4766" i="14"/>
  <c r="S1685" i="14"/>
  <c r="S1682" i="14"/>
  <c r="S5497" i="14"/>
  <c r="S4111" i="14"/>
  <c r="S1086" i="14"/>
  <c r="S4603" i="14"/>
  <c r="S4640" i="14"/>
  <c r="S4884" i="14"/>
  <c r="S4650" i="14"/>
  <c r="S4654" i="14"/>
  <c r="S4666" i="14"/>
  <c r="S4809" i="14"/>
  <c r="S4726" i="14"/>
  <c r="S4794" i="14"/>
  <c r="S5073" i="14"/>
  <c r="S5065" i="14"/>
  <c r="S4543" i="14"/>
  <c r="S4492" i="14"/>
  <c r="S4033" i="14"/>
  <c r="S2592" i="14"/>
  <c r="S1056" i="14"/>
  <c r="S5034" i="14"/>
  <c r="S5061" i="14"/>
  <c r="S991" i="14"/>
  <c r="S1266" i="14"/>
  <c r="S1206" i="14"/>
  <c r="S2593" i="14"/>
  <c r="S842" i="14"/>
  <c r="S1060" i="14"/>
  <c r="S2388" i="14"/>
  <c r="S2366" i="14"/>
  <c r="S3789" i="14"/>
  <c r="S3935" i="14"/>
  <c r="S1960" i="14"/>
  <c r="S5179" i="14"/>
  <c r="S4767" i="14"/>
  <c r="S4750" i="14"/>
  <c r="S4763" i="14"/>
  <c r="S2657" i="14"/>
  <c r="S5376" i="14"/>
  <c r="S5537" i="14"/>
  <c r="S5468" i="14"/>
  <c r="S3735" i="14"/>
  <c r="S2102" i="14"/>
  <c r="S3541" i="14"/>
  <c r="S2531" i="14"/>
  <c r="S2499" i="14"/>
  <c r="S5935" i="14"/>
  <c r="S1798" i="14"/>
  <c r="S5857" i="14"/>
  <c r="S1325" i="14"/>
  <c r="S2907" i="14"/>
  <c r="S2660" i="14"/>
  <c r="S5594" i="14"/>
  <c r="S5929" i="14"/>
  <c r="S5119" i="14"/>
  <c r="S5110" i="14" l="1"/>
  <c r="S1128" i="14"/>
  <c r="S1163" i="14"/>
  <c r="S2150" i="14"/>
  <c r="S366" i="14"/>
  <c r="S1438" i="14"/>
  <c r="S4717" i="14"/>
  <c r="S1025" i="14"/>
  <c r="S1917" i="14"/>
  <c r="S1694" i="14"/>
  <c r="S1996" i="14"/>
  <c r="S1973" i="14"/>
  <c r="S3538" i="14"/>
  <c r="S2125" i="14"/>
  <c r="S2606" i="14"/>
  <c r="S114" i="14"/>
  <c r="S3309" i="14"/>
  <c r="S1326" i="14"/>
  <c r="S3087" i="14"/>
  <c r="S2781" i="14"/>
  <c r="S1991" i="14"/>
  <c r="S2698" i="14"/>
  <c r="S2792" i="14"/>
  <c r="S2358" i="14"/>
  <c r="S3501" i="14"/>
  <c r="S338" i="14"/>
  <c r="S2027" i="14"/>
  <c r="S975" i="14"/>
  <c r="S401" i="14"/>
  <c r="S3847" i="14"/>
  <c r="S4018" i="14"/>
  <c r="S1994" i="14"/>
  <c r="S3168" i="14"/>
  <c r="S3795" i="14"/>
  <c r="S4246" i="14"/>
  <c r="S4227" i="14"/>
  <c r="S28" i="14"/>
  <c r="S1729" i="14"/>
  <c r="S1456" i="14"/>
  <c r="S710" i="14"/>
  <c r="S3713" i="14"/>
  <c r="S1993" i="14"/>
  <c r="S2696" i="14"/>
  <c r="S2794" i="14"/>
  <c r="S3127" i="14"/>
  <c r="S4213" i="14"/>
  <c r="S1129" i="14"/>
  <c r="S1643" i="14"/>
  <c r="S1756" i="14"/>
  <c r="S81" i="14"/>
  <c r="S3667" i="14"/>
  <c r="S4075" i="14"/>
  <c r="S4857" i="14"/>
  <c r="S3873" i="14"/>
  <c r="S1766" i="14"/>
  <c r="S5837" i="14"/>
  <c r="S1869" i="14"/>
  <c r="S256" i="14"/>
  <c r="S3004" i="14"/>
  <c r="S4319" i="14"/>
  <c r="S5366" i="14"/>
  <c r="S5989" i="14"/>
  <c r="S331" i="14"/>
  <c r="S5507" i="14"/>
  <c r="S472" i="14"/>
  <c r="S5977" i="14"/>
  <c r="S419" i="14"/>
  <c r="S448" i="14"/>
  <c r="S3962" i="14"/>
  <c r="S5031" i="14"/>
  <c r="S5509" i="14"/>
  <c r="S5215" i="14"/>
  <c r="S1636" i="14"/>
  <c r="S5622" i="14"/>
  <c r="S3352" i="14"/>
  <c r="S4988" i="14"/>
  <c r="S5771" i="14"/>
  <c r="S1829" i="14"/>
  <c r="S5353" i="14"/>
  <c r="S4861" i="14"/>
  <c r="S4358" i="14"/>
  <c r="S5897" i="14"/>
  <c r="S1223" i="14"/>
  <c r="S5981" i="14"/>
  <c r="S5799" i="14"/>
  <c r="S4453" i="14"/>
  <c r="S607" i="14"/>
  <c r="S973" i="14"/>
  <c r="S3203" i="14"/>
  <c r="S1247" i="14"/>
  <c r="S5462" i="14"/>
  <c r="S5423" i="14"/>
  <c r="S6082" i="14"/>
  <c r="S2029" i="14"/>
  <c r="S2412" i="14"/>
  <c r="S2820" i="14"/>
  <c r="S5383" i="14"/>
  <c r="S2411" i="14"/>
  <c r="S2683" i="14"/>
  <c r="S3777" i="14"/>
  <c r="S3432" i="14"/>
  <c r="S2350" i="14"/>
  <c r="S594" i="14"/>
  <c r="S20" i="14"/>
  <c r="S1023" i="14"/>
  <c r="S489" i="14"/>
  <c r="S3885" i="14"/>
  <c r="S3714" i="14"/>
  <c r="S1985" i="14"/>
  <c r="S3146" i="14"/>
  <c r="S2488" i="14"/>
  <c r="S4084" i="14"/>
  <c r="S4220" i="14"/>
  <c r="S1771" i="14"/>
  <c r="S1222" i="14"/>
  <c r="S1515" i="14"/>
  <c r="S1603" i="14"/>
  <c r="S1919" i="14"/>
  <c r="S1405" i="14"/>
  <c r="S837" i="14"/>
  <c r="S1971" i="14"/>
  <c r="S3406" i="14"/>
  <c r="S4044" i="14"/>
  <c r="S4396" i="14"/>
  <c r="S961" i="14"/>
  <c r="S2077" i="14"/>
  <c r="S2734" i="14"/>
  <c r="S3853" i="14"/>
  <c r="S3701" i="14"/>
  <c r="S2415" i="14"/>
  <c r="S3140" i="14"/>
  <c r="S929" i="14"/>
  <c r="S4025" i="14"/>
  <c r="S4178" i="14"/>
  <c r="S2968" i="14"/>
  <c r="S1459" i="14"/>
  <c r="S425" i="14"/>
  <c r="S2043" i="14"/>
  <c r="S4930" i="14"/>
  <c r="S5499" i="14"/>
  <c r="S5620" i="14"/>
  <c r="S5775" i="14"/>
  <c r="S5257" i="14"/>
  <c r="S4461" i="14"/>
  <c r="S605" i="14"/>
  <c r="S800" i="14"/>
  <c r="S2096" i="14"/>
  <c r="S4690" i="14"/>
  <c r="S5323" i="14"/>
  <c r="S1352" i="14"/>
  <c r="S1772" i="14"/>
  <c r="S5650" i="14"/>
  <c r="S5262" i="14"/>
  <c r="S4436" i="14"/>
  <c r="S501" i="14"/>
  <c r="S4958" i="14"/>
  <c r="S3534" i="14"/>
  <c r="S5350" i="14"/>
  <c r="S5942" i="14"/>
  <c r="S5999" i="14"/>
  <c r="S2002" i="14"/>
  <c r="S3138" i="14"/>
  <c r="S284" i="14"/>
  <c r="S3864" i="14"/>
  <c r="S5828" i="14"/>
  <c r="S6006" i="14"/>
  <c r="S1550" i="14"/>
  <c r="S5461" i="14"/>
  <c r="S5127" i="14"/>
  <c r="S5586" i="14"/>
  <c r="S69" i="14"/>
  <c r="S5152" i="14"/>
  <c r="S5831" i="14"/>
  <c r="S1375" i="14"/>
  <c r="S805" i="14"/>
  <c r="S1179" i="14"/>
  <c r="S5108" i="14"/>
  <c r="S5107" i="14" s="1"/>
  <c r="S5242" i="14"/>
  <c r="S5360" i="14"/>
  <c r="S5388" i="14"/>
  <c r="S3460" i="14"/>
  <c r="S1691" i="14"/>
  <c r="S2471" i="14"/>
  <c r="S2684" i="14"/>
  <c r="S1372" i="14"/>
  <c r="S3125" i="14"/>
  <c r="S4152" i="14"/>
  <c r="S329" i="14"/>
  <c r="S1451" i="14"/>
  <c r="S124" i="14"/>
  <c r="S1088" i="14"/>
  <c r="S3824" i="14"/>
  <c r="S4011" i="14"/>
  <c r="S1986" i="14"/>
  <c r="S3147" i="14"/>
  <c r="S931" i="14"/>
  <c r="S3936" i="14"/>
  <c r="S4237" i="14"/>
  <c r="S2749" i="14"/>
  <c r="S417" i="14"/>
  <c r="S446" i="14"/>
  <c r="S3445" i="14"/>
  <c r="S1918" i="14"/>
  <c r="S3702" i="14"/>
  <c r="S2459" i="14"/>
  <c r="S635" i="14"/>
  <c r="S2672" i="14"/>
  <c r="S4123" i="14"/>
  <c r="S4408" i="14"/>
  <c r="S89" i="14"/>
  <c r="S66" i="14"/>
  <c r="S274" i="14"/>
  <c r="S1920" i="14"/>
  <c r="S1408" i="14"/>
  <c r="S1983" i="14"/>
  <c r="S3015" i="14"/>
  <c r="S3532" i="14"/>
  <c r="S2121" i="14"/>
  <c r="S2613" i="14"/>
  <c r="S698" i="14"/>
  <c r="S1075" i="14"/>
  <c r="S57" i="14"/>
  <c r="S1382" i="14"/>
  <c r="S5088" i="14"/>
  <c r="S4853" i="14"/>
  <c r="S5482" i="14"/>
  <c r="S4471" i="14"/>
  <c r="S5949" i="14"/>
  <c r="S4437" i="14"/>
  <c r="S876" i="14"/>
  <c r="S6073" i="14"/>
  <c r="S2161" i="14"/>
  <c r="S4760" i="14"/>
  <c r="S2162" i="14"/>
  <c r="S797" i="14"/>
  <c r="S1832" i="14"/>
  <c r="S4441" i="14"/>
  <c r="S5542" i="14"/>
  <c r="S5442" i="14"/>
  <c r="S4696" i="14"/>
  <c r="S4574" i="14"/>
  <c r="S1702" i="14"/>
  <c r="S4859" i="14"/>
  <c r="S5690" i="14"/>
  <c r="S5994" i="14"/>
  <c r="S6064" i="14"/>
  <c r="S3858" i="14"/>
  <c r="S5356" i="14"/>
  <c r="S5681" i="14"/>
  <c r="S5996" i="14"/>
  <c r="S1109" i="14"/>
  <c r="S5879" i="14"/>
  <c r="S5463" i="14"/>
  <c r="S5060" i="14"/>
  <c r="S5762" i="14"/>
  <c r="S1244" i="14"/>
  <c r="S5260" i="14"/>
  <c r="S5829" i="14"/>
  <c r="S661" i="14"/>
  <c r="S371" i="14"/>
  <c r="S1113" i="14"/>
  <c r="S5099" i="14"/>
  <c r="S4680" i="14"/>
  <c r="S5339" i="14"/>
  <c r="S2060" i="14"/>
  <c r="S3817" i="14"/>
  <c r="S1418" i="14"/>
  <c r="S836" i="14"/>
  <c r="S3145" i="14"/>
  <c r="S2483" i="14"/>
  <c r="S4249" i="14"/>
  <c r="S4278" i="14"/>
  <c r="S1859" i="14"/>
  <c r="S1095" i="14"/>
  <c r="S1707" i="14"/>
  <c r="S1667" i="14"/>
  <c r="S1929" i="14"/>
  <c r="S2902" i="14"/>
  <c r="S3000" i="14"/>
  <c r="S2491" i="14"/>
  <c r="S1818" i="14"/>
  <c r="S221" i="14"/>
  <c r="S1134" i="14"/>
  <c r="S1676" i="14"/>
  <c r="S5200" i="14"/>
  <c r="S4822" i="14"/>
  <c r="S5521" i="14"/>
  <c r="S1533" i="14"/>
  <c r="S5084" i="14"/>
  <c r="S3866" i="14"/>
  <c r="S4519" i="14"/>
  <c r="S531" i="14"/>
  <c r="S5710" i="14"/>
  <c r="S3043" i="14"/>
  <c r="S6033" i="14"/>
  <c r="S1258" i="14"/>
  <c r="S1826" i="14"/>
  <c r="S6008" i="14"/>
  <c r="S4710" i="14"/>
  <c r="S275" i="14"/>
  <c r="S4691" i="14"/>
  <c r="S4704" i="14"/>
  <c r="S1709" i="14"/>
  <c r="S4957" i="14"/>
  <c r="S985" i="14"/>
  <c r="S997" i="14"/>
  <c r="S516" i="14"/>
  <c r="S5211" i="14"/>
  <c r="S1477" i="14"/>
  <c r="S1853" i="14"/>
  <c r="S1280" i="14"/>
  <c r="S365" i="14"/>
  <c r="S4462" i="14"/>
  <c r="S5792" i="14"/>
  <c r="S5241" i="14"/>
  <c r="S105" i="14"/>
  <c r="S233" i="14"/>
  <c r="S77" i="14"/>
  <c r="S2763" i="14"/>
  <c r="S4566" i="14"/>
  <c r="S208" i="14"/>
  <c r="S1226" i="14"/>
  <c r="S337" i="14"/>
  <c r="S2236" i="14"/>
  <c r="S5255" i="14"/>
  <c r="S1053" i="14"/>
  <c r="S613" i="14"/>
  <c r="S1485" i="14"/>
  <c r="S734" i="14"/>
  <c r="S654" i="14"/>
  <c r="S6054" i="14"/>
  <c r="S1728" i="14"/>
  <c r="S988" i="14"/>
  <c r="S43" i="14"/>
  <c r="S909" i="14"/>
  <c r="S4699" i="14"/>
  <c r="S677" i="14"/>
  <c r="S1071" i="14"/>
  <c r="S3654" i="14"/>
  <c r="S2375" i="14"/>
  <c r="S2384" i="14"/>
  <c r="S4626" i="14"/>
  <c r="S4040" i="14"/>
  <c r="S5100" i="14"/>
  <c r="S4645" i="14"/>
  <c r="S966" i="14"/>
  <c r="S3664" i="14"/>
  <c r="S1495" i="14"/>
  <c r="S1063" i="14"/>
  <c r="S5185" i="14"/>
  <c r="S3691" i="14"/>
  <c r="S4798" i="14"/>
  <c r="S4589" i="14"/>
  <c r="S5517" i="14"/>
  <c r="S3692" i="14"/>
  <c r="S2364" i="14"/>
  <c r="S2589" i="14"/>
  <c r="S5083" i="14"/>
  <c r="S4530" i="14"/>
  <c r="S4521" i="14"/>
  <c r="S4623" i="14"/>
  <c r="S301" i="14"/>
  <c r="S1761" i="14"/>
  <c r="S3651" i="14"/>
  <c r="S4921" i="14"/>
  <c r="S35" i="14"/>
  <c r="S1039" i="14"/>
  <c r="S6009" i="14"/>
  <c r="S1632" i="14"/>
  <c r="S972" i="14"/>
  <c r="S4713" i="14"/>
  <c r="S2021" i="14"/>
  <c r="S134" i="14"/>
  <c r="S4924" i="14"/>
  <c r="S1074" i="14"/>
  <c r="S695" i="14"/>
  <c r="S1588" i="14"/>
  <c r="S5281" i="14"/>
  <c r="S643" i="14"/>
  <c r="S534" i="14"/>
  <c r="S291" i="14"/>
  <c r="S1525" i="14"/>
  <c r="S4455" i="14"/>
  <c r="S4456" i="14"/>
  <c r="S5770" i="14"/>
  <c r="S1348" i="14"/>
  <c r="S4445" i="14"/>
  <c r="S494" i="14"/>
  <c r="S3739" i="14"/>
  <c r="S6027" i="14"/>
  <c r="S528" i="14"/>
  <c r="S195" i="14"/>
  <c r="S1090" i="14"/>
  <c r="S1307" i="14"/>
  <c r="S5300" i="14"/>
  <c r="S819" i="14"/>
  <c r="S1901" i="14"/>
  <c r="S5931" i="14"/>
  <c r="S1870" i="14"/>
  <c r="S1774" i="14"/>
  <c r="S4920" i="14"/>
  <c r="S849" i="14"/>
  <c r="S85" i="14"/>
  <c r="S356" i="14"/>
  <c r="S6013" i="14"/>
  <c r="S555" i="14"/>
  <c r="S1589" i="14"/>
  <c r="S1072" i="14"/>
  <c r="S475" i="14"/>
  <c r="S158" i="14"/>
  <c r="S2008" i="14"/>
  <c r="S1158" i="14"/>
  <c r="S5644" i="14"/>
  <c r="S5974" i="14"/>
  <c r="S5948" i="14"/>
  <c r="S574" i="14"/>
  <c r="S1319" i="14"/>
  <c r="S3010" i="14"/>
  <c r="S1790" i="14"/>
  <c r="S1654" i="14"/>
  <c r="S6066" i="14"/>
  <c r="S729" i="14"/>
  <c r="S1892" i="14"/>
  <c r="S1299" i="14"/>
  <c r="S6003" i="14"/>
  <c r="S459" i="14"/>
  <c r="S1509" i="14"/>
  <c r="S952" i="14"/>
  <c r="S3099" i="14"/>
  <c r="S914" i="14"/>
  <c r="S4552" i="14"/>
  <c r="S4922" i="14"/>
  <c r="S2659" i="14"/>
  <c r="S1096" i="14"/>
  <c r="S2507" i="14"/>
  <c r="S5218" i="14"/>
  <c r="S469" i="14"/>
  <c r="S299" i="14"/>
  <c r="S5574" i="14"/>
  <c r="S1429" i="14"/>
  <c r="S717" i="14"/>
  <c r="S78" i="14"/>
  <c r="S1346" i="14"/>
  <c r="S224" i="14"/>
  <c r="S853" i="14"/>
  <c r="S5208" i="14"/>
  <c r="S811" i="14"/>
  <c r="S1126" i="14"/>
  <c r="S691" i="14"/>
  <c r="S622" i="14"/>
  <c r="S4083" i="14"/>
  <c r="S6023" i="14"/>
  <c r="S560" i="14"/>
  <c r="S259" i="14"/>
  <c r="S1370" i="14"/>
  <c r="S300" i="14"/>
  <c r="S4326" i="14"/>
  <c r="S1139" i="14"/>
  <c r="S2005" i="14"/>
  <c r="S47" i="14"/>
  <c r="S900" i="14"/>
  <c r="S3737" i="14"/>
  <c r="S4311" i="14"/>
  <c r="S5164" i="14"/>
  <c r="S4045" i="14"/>
  <c r="S2122" i="14"/>
  <c r="S1277" i="14"/>
  <c r="S3790" i="14"/>
  <c r="S4497" i="14"/>
  <c r="S4832" i="14"/>
  <c r="S4515" i="14"/>
  <c r="S4613" i="14"/>
  <c r="S1885" i="14"/>
  <c r="S5182" i="14"/>
  <c r="S4038" i="14"/>
  <c r="S4023" i="14"/>
  <c r="S1200" i="14"/>
  <c r="S3069" i="14"/>
  <c r="S4504" i="14"/>
  <c r="S4790" i="14"/>
  <c r="S4627" i="14"/>
  <c r="S4581" i="14"/>
  <c r="S3871" i="14"/>
  <c r="S4528" i="14"/>
  <c r="S1494" i="14"/>
  <c r="S640" i="14"/>
  <c r="S3007" i="14"/>
  <c r="S159" i="14"/>
  <c r="S2708" i="14"/>
  <c r="S6034" i="14"/>
  <c r="S144" i="14"/>
  <c r="S1722" i="14"/>
  <c r="S1431" i="14"/>
  <c r="S1363" i="14"/>
  <c r="S828" i="14"/>
  <c r="S5290" i="14"/>
  <c r="S865" i="14"/>
  <c r="S1165" i="14"/>
  <c r="S6018" i="14"/>
  <c r="S4327" i="14"/>
  <c r="S1288" i="14"/>
  <c r="S2433" i="14"/>
  <c r="S765" i="14"/>
  <c r="S1366" i="14"/>
  <c r="S251" i="14"/>
  <c r="S403" i="14"/>
  <c r="S5436" i="14"/>
  <c r="S5181" i="14"/>
  <c r="S4021" i="14"/>
  <c r="S1527" i="14"/>
  <c r="S1116" i="14"/>
  <c r="S2382" i="14"/>
  <c r="S4532" i="14"/>
  <c r="S4725" i="14"/>
  <c r="S4522" i="14"/>
  <c r="S1680" i="14"/>
  <c r="S1487" i="14"/>
  <c r="S5175" i="14"/>
  <c r="S4026" i="14"/>
  <c r="S3786" i="14"/>
  <c r="S1117" i="14"/>
  <c r="S1947" i="14"/>
  <c r="S4502" i="14"/>
  <c r="S4736" i="14"/>
  <c r="S4617" i="14"/>
  <c r="S3861" i="14"/>
  <c r="S1271" i="14"/>
  <c r="S4616" i="14"/>
  <c r="S1272" i="14"/>
  <c r="S9" i="14"/>
  <c r="S5614" i="14"/>
  <c r="S1454" i="14"/>
  <c r="S422" i="14"/>
  <c r="S6019" i="14"/>
  <c r="S432" i="14"/>
  <c r="S1850" i="14"/>
  <c r="S648" i="14"/>
  <c r="S652" i="14"/>
  <c r="S1708" i="14"/>
  <c r="S5305" i="14"/>
  <c r="S1282" i="14"/>
  <c r="S1914" i="14"/>
  <c r="S5236" i="14"/>
  <c r="S4700" i="14"/>
  <c r="S491" i="14"/>
  <c r="S4715" i="14"/>
  <c r="S387" i="14"/>
  <c r="S892" i="14"/>
  <c r="S653" i="14"/>
  <c r="S1788" i="14"/>
  <c r="S4440" i="14"/>
  <c r="S557" i="14"/>
  <c r="S4446" i="14"/>
  <c r="S1717" i="14"/>
  <c r="S4465" i="14"/>
  <c r="S5936" i="14"/>
  <c r="S5212" i="14"/>
  <c r="S3657" i="14"/>
  <c r="S1683" i="14"/>
  <c r="S3071" i="14"/>
  <c r="S3934" i="14"/>
  <c r="S5198" i="14"/>
  <c r="S5056" i="14"/>
  <c r="S3779" i="14"/>
  <c r="S5196" i="14"/>
  <c r="S4817" i="14"/>
  <c r="S4518" i="14"/>
  <c r="S3745" i="14"/>
  <c r="S1679" i="14"/>
  <c r="S2588" i="14"/>
  <c r="S3929" i="14"/>
  <c r="S5192" i="14"/>
  <c r="S5036" i="14"/>
  <c r="S1055" i="14"/>
  <c r="S5187" i="14"/>
  <c r="S4808" i="14"/>
  <c r="S4615" i="14"/>
  <c r="S1083" i="14"/>
  <c r="S4647" i="14"/>
  <c r="S4611" i="14"/>
  <c r="S3636" i="14"/>
  <c r="S1965" i="14"/>
  <c r="S3283" i="14"/>
  <c r="S1153" i="14"/>
  <c r="S535" i="14"/>
  <c r="S4929" i="14"/>
  <c r="S1848" i="14"/>
  <c r="S540" i="14"/>
  <c r="S1122" i="14"/>
  <c r="S1866" i="14"/>
  <c r="S5261" i="14"/>
  <c r="S4697" i="14"/>
  <c r="S171" i="14"/>
  <c r="S460" i="14"/>
  <c r="S5219" i="14"/>
  <c r="S659" i="14"/>
  <c r="S5141" i="14"/>
  <c r="S749" i="14"/>
  <c r="S741" i="14"/>
  <c r="S1238" i="14"/>
  <c r="S894" i="14"/>
  <c r="S238" i="14"/>
  <c r="S4454" i="14"/>
  <c r="S999" i="14"/>
  <c r="S5995" i="14"/>
  <c r="S1440" i="14"/>
  <c r="S5972" i="14"/>
  <c r="S4330" i="14"/>
  <c r="S363" i="14"/>
  <c r="S4329" i="14"/>
  <c r="S405" i="14"/>
  <c r="S1022" i="14"/>
  <c r="S1576" i="14"/>
  <c r="S587" i="14"/>
  <c r="S5438" i="14"/>
  <c r="S4338" i="14"/>
  <c r="S2997" i="14"/>
  <c r="S912" i="14"/>
  <c r="S245" i="14"/>
  <c r="S339" i="14"/>
  <c r="S1175" i="14"/>
  <c r="S821" i="14"/>
  <c r="S564" i="14"/>
  <c r="S6075" i="14"/>
  <c r="S1030" i="14"/>
  <c r="S750" i="14"/>
  <c r="S3514" i="14"/>
  <c r="S1801" i="14"/>
  <c r="S109" i="14"/>
  <c r="S5907" i="14"/>
  <c r="S5592" i="14"/>
  <c r="S4906" i="14"/>
  <c r="S1169" i="14"/>
  <c r="S1902" i="14"/>
  <c r="S4947" i="14"/>
  <c r="S726" i="14"/>
  <c r="S5924" i="14"/>
  <c r="S5854" i="14"/>
  <c r="S1813" i="14"/>
  <c r="S308" i="14"/>
  <c r="S1391" i="14"/>
  <c r="S5911" i="14"/>
  <c r="S311" i="14"/>
  <c r="S4953" i="14"/>
  <c r="S798" i="14"/>
  <c r="S1803" i="14"/>
  <c r="S51" i="14"/>
  <c r="S1966" i="14"/>
  <c r="S1046" i="14"/>
  <c r="S6028" i="14"/>
  <c r="S63" i="14"/>
  <c r="S1478" i="14"/>
  <c r="S3387" i="14"/>
  <c r="S1812" i="14"/>
  <c r="S796" i="14"/>
  <c r="S940" i="14"/>
  <c r="S5711" i="14"/>
  <c r="S2187" i="14"/>
  <c r="S55" i="14"/>
  <c r="S5713" i="14"/>
  <c r="S375" i="14"/>
  <c r="S6076" i="14"/>
  <c r="S702" i="14"/>
  <c r="S1078" i="14"/>
  <c r="S5596" i="14"/>
  <c r="S2803" i="14"/>
  <c r="S3003" i="14"/>
  <c r="S2955" i="14"/>
  <c r="S2139" i="14"/>
  <c r="S3451" i="14"/>
  <c r="S127" i="14"/>
  <c r="S1137" i="14"/>
  <c r="S2138" i="14"/>
  <c r="S5223" i="14"/>
  <c r="S512" i="14"/>
  <c r="S861" i="14"/>
  <c r="S292" i="14"/>
  <c r="S6031" i="14"/>
  <c r="S1229" i="14"/>
  <c r="S1486" i="14"/>
  <c r="S1385" i="14"/>
  <c r="S2747" i="14"/>
  <c r="S2996" i="14"/>
  <c r="S5932" i="14"/>
  <c r="S2995" i="14"/>
  <c r="S487" i="14"/>
  <c r="S4064" i="14"/>
  <c r="S5704" i="14"/>
  <c r="S5591" i="14"/>
  <c r="S4563" i="14"/>
  <c r="S1935" i="14"/>
  <c r="S2107" i="14"/>
  <c r="S347" i="14"/>
  <c r="S5148" i="14"/>
  <c r="S4063" i="14"/>
  <c r="S3648" i="14"/>
  <c r="S2075" i="14"/>
  <c r="S809" i="14"/>
  <c r="S4054" i="14"/>
  <c r="S4557" i="14"/>
  <c r="S1802" i="14"/>
  <c r="S5855" i="14"/>
  <c r="S359" i="14"/>
  <c r="S247" i="14"/>
  <c r="S5856" i="14"/>
  <c r="S737" i="14"/>
  <c r="S5916" i="14"/>
  <c r="S3638" i="14"/>
  <c r="S2503" i="14"/>
  <c r="S2118" i="14"/>
  <c r="S223" i="14"/>
  <c r="S3635" i="14"/>
  <c r="S352" i="14"/>
  <c r="S603" i="14"/>
  <c r="S4460" i="14"/>
  <c r="S4325" i="14"/>
  <c r="S1762" i="14"/>
  <c r="S343" i="14"/>
  <c r="S3267" i="14"/>
  <c r="S6025" i="14"/>
  <c r="S1941" i="14"/>
  <c r="S1105" i="14"/>
  <c r="S2431" i="14"/>
  <c r="S2913" i="14"/>
  <c r="S1838" i="14"/>
  <c r="S2030" i="14"/>
  <c r="S423" i="14"/>
  <c r="S1933" i="14"/>
  <c r="S6032" i="14"/>
  <c r="S295" i="14"/>
  <c r="S965" i="14"/>
  <c r="S4452" i="14"/>
  <c r="S708" i="14"/>
  <c r="Q5655" i="14"/>
  <c r="Q5946" i="14"/>
  <c r="S2493" i="14"/>
  <c r="S3027" i="14"/>
  <c r="S2443" i="14"/>
  <c r="S4548" i="14"/>
  <c r="S6048" i="14"/>
  <c r="S2115" i="14"/>
  <c r="S1841" i="14"/>
  <c r="S673" i="14"/>
  <c r="S4060" i="14"/>
  <c r="S5849" i="14"/>
  <c r="S954" i="14"/>
  <c r="S6079" i="14"/>
  <c r="S3645" i="14"/>
  <c r="S2117" i="14"/>
  <c r="S3640" i="14"/>
  <c r="S398" i="14"/>
  <c r="S6081" i="14"/>
  <c r="S288" i="14"/>
  <c r="S62" i="14"/>
  <c r="S5784" i="14"/>
  <c r="S669" i="14"/>
  <c r="S6071" i="14"/>
  <c r="S1854" i="14"/>
  <c r="S1857" i="14"/>
  <c r="S2111" i="14"/>
  <c r="S1049" i="14"/>
  <c r="S269" i="14"/>
  <c r="S6055" i="14"/>
  <c r="S1259" i="14"/>
  <c r="S579" i="14"/>
  <c r="S5805" i="14"/>
  <c r="S317" i="14"/>
  <c r="S3371" i="14"/>
  <c r="S135" i="14"/>
  <c r="S1673" i="14"/>
  <c r="S5617" i="14"/>
  <c r="S1908" i="14"/>
  <c r="S6049" i="14"/>
  <c r="S5914" i="14"/>
  <c r="S1931" i="14"/>
  <c r="S2715" i="14"/>
  <c r="S882" i="14"/>
  <c r="S4575" i="14"/>
  <c r="S866" i="14"/>
  <c r="S2179" i="14"/>
  <c r="S5918" i="14"/>
  <c r="S1822" i="14"/>
  <c r="S3650" i="14"/>
  <c r="S3835" i="14"/>
  <c r="S3009" i="14"/>
  <c r="S942" i="14"/>
  <c r="S3299" i="14"/>
  <c r="S6072" i="14"/>
  <c r="S897" i="14"/>
  <c r="S1937" i="14"/>
  <c r="S2012" i="14"/>
  <c r="S2010" i="14"/>
  <c r="S6026" i="14"/>
  <c r="S45" i="14"/>
  <c r="S294" i="14"/>
  <c r="S4909" i="14"/>
  <c r="S1896" i="14"/>
  <c r="S2143" i="14"/>
  <c r="S2932" i="14"/>
  <c r="S5587" i="14"/>
  <c r="S1795" i="14"/>
  <c r="S524" i="14"/>
  <c r="S239" i="14"/>
  <c r="S1514" i="14"/>
  <c r="S157" i="14"/>
  <c r="S1811" i="14"/>
  <c r="S4147" i="14"/>
  <c r="S5847" i="14"/>
  <c r="S1794" i="14"/>
  <c r="S5613" i="14"/>
  <c r="S263" i="14"/>
  <c r="S3639" i="14"/>
  <c r="S287" i="14"/>
  <c r="S1506" i="14"/>
  <c r="S5851" i="14"/>
  <c r="S1574" i="14"/>
  <c r="S390" i="14"/>
  <c r="S6057" i="14"/>
  <c r="S1504" i="14"/>
  <c r="S1457" i="14"/>
  <c r="S906" i="14"/>
  <c r="S2964" i="14"/>
  <c r="S1600" i="14"/>
  <c r="S499" i="14"/>
  <c r="S4703" i="14"/>
  <c r="S101" i="14"/>
  <c r="S267" i="14"/>
  <c r="S5552" i="14"/>
  <c r="S5986" i="14"/>
  <c r="S2013" i="14"/>
  <c r="S307" i="14"/>
  <c r="S1661" i="14"/>
  <c r="S565" i="14"/>
  <c r="S4332" i="14"/>
  <c r="S1013" i="14"/>
  <c r="S1900" i="14"/>
  <c r="S1376" i="14"/>
  <c r="S1146" i="14"/>
  <c r="S2909" i="14"/>
  <c r="S1805" i="14"/>
  <c r="S2494" i="14"/>
  <c r="S1868" i="14"/>
  <c r="S2116" i="14"/>
  <c r="S1797" i="14"/>
  <c r="S2911" i="14"/>
  <c r="S1804" i="14"/>
  <c r="S5707" i="14"/>
  <c r="S1796" i="14"/>
  <c r="S5605" i="14"/>
  <c r="S6047" i="14"/>
  <c r="S2441" i="14"/>
  <c r="S2731" i="14"/>
  <c r="S598" i="14"/>
  <c r="S1354" i="14"/>
  <c r="S3001" i="14"/>
  <c r="S4055" i="14"/>
  <c r="S2651" i="14"/>
  <c r="S3075" i="14"/>
  <c r="S1290" i="14"/>
  <c r="S3002" i="14"/>
  <c r="S1816" i="14"/>
  <c r="S1568" i="14"/>
  <c r="S4952" i="14"/>
  <c r="S4561" i="14"/>
  <c r="S4243" i="14"/>
  <c r="S231" i="14"/>
  <c r="S3467" i="14"/>
  <c r="S5609" i="14"/>
  <c r="S199" i="14"/>
  <c r="J6073" i="14"/>
  <c r="K6073" i="14" s="1"/>
  <c r="L6073" i="14" s="1"/>
  <c r="M6073" i="14" s="1"/>
  <c r="S822" i="14"/>
  <c r="S5917" i="14"/>
  <c r="S576" i="14"/>
  <c r="S1561" i="14"/>
  <c r="S2819" i="14"/>
  <c r="S1213" i="14"/>
  <c r="S1024" i="14"/>
  <c r="S573" i="14"/>
  <c r="S4331" i="14"/>
  <c r="S1564" i="14"/>
  <c r="S11" i="14"/>
  <c r="S5551" i="14"/>
  <c r="S6000" i="14"/>
  <c r="S429" i="14"/>
  <c r="S1344" i="14"/>
  <c r="S189" i="14"/>
  <c r="S309" i="14"/>
  <c r="S5301" i="14"/>
  <c r="S1476" i="14"/>
  <c r="S420" i="14"/>
  <c r="S680" i="14"/>
  <c r="S380" i="14"/>
  <c r="S2163" i="14"/>
  <c r="S1864" i="14"/>
  <c r="S3883" i="14"/>
  <c r="S655" i="14"/>
  <c r="S1428" i="14"/>
  <c r="S205" i="14"/>
  <c r="S705" i="14"/>
  <c r="S1177" i="14"/>
  <c r="S430" i="14"/>
  <c r="S1306" i="14"/>
  <c r="S2442" i="14"/>
  <c r="S4918" i="14"/>
  <c r="S2501" i="14"/>
  <c r="S4912" i="14"/>
  <c r="S414" i="14"/>
  <c r="S75" i="14"/>
  <c r="S956" i="14"/>
  <c r="S844" i="14"/>
  <c r="S5145" i="14"/>
  <c r="S2595" i="14"/>
  <c r="S5573" i="14"/>
  <c r="S5802" i="14"/>
  <c r="S5444" i="14"/>
  <c r="S552" i="14"/>
  <c r="S854" i="14"/>
  <c r="S1621" i="14"/>
  <c r="S860" i="14"/>
  <c r="S5263" i="14"/>
  <c r="S2268" i="14"/>
  <c r="S1111" i="14"/>
  <c r="S1764" i="14"/>
  <c r="S5302" i="14"/>
  <c r="S2137" i="14"/>
  <c r="S2931" i="14"/>
  <c r="S5607" i="14"/>
  <c r="S950" i="14"/>
  <c r="S1807" i="14"/>
  <c r="S899" i="14"/>
  <c r="S2149" i="14"/>
  <c r="S1939" i="14"/>
  <c r="S6021" i="14"/>
  <c r="S2110" i="14"/>
  <c r="S2547" i="14"/>
  <c r="S4573" i="14"/>
  <c r="S550" i="14"/>
  <c r="S473" i="14"/>
  <c r="S526" i="14"/>
  <c r="S5700" i="14"/>
  <c r="S4568" i="14"/>
  <c r="S486" i="14"/>
  <c r="S409" i="14"/>
  <c r="S462" i="14"/>
  <c r="S5597" i="14"/>
  <c r="S2104" i="14"/>
  <c r="S1897" i="14"/>
  <c r="S4057" i="14"/>
  <c r="S6040" i="14"/>
  <c r="S1734" i="14"/>
  <c r="S1441" i="14"/>
  <c r="S1566" i="14"/>
  <c r="S5858" i="14"/>
  <c r="S1944" i="14"/>
  <c r="S4923" i="14"/>
  <c r="S1946" i="14"/>
  <c r="S4927" i="14"/>
  <c r="S1160" i="14"/>
  <c r="S64" i="14"/>
  <c r="S604" i="14"/>
  <c r="S675" i="14"/>
  <c r="S5244" i="14"/>
  <c r="S2700" i="14"/>
  <c r="S5280" i="14"/>
  <c r="S5836" i="14"/>
  <c r="S5447" i="14"/>
  <c r="S1318" i="14"/>
  <c r="S70" i="14"/>
  <c r="S509" i="14"/>
  <c r="S4718" i="14"/>
  <c r="S5275" i="14"/>
  <c r="S3339" i="14"/>
  <c r="S254" i="14"/>
  <c r="S740" i="14"/>
  <c r="S755" i="14"/>
  <c r="S2914" i="14"/>
  <c r="S2141" i="14"/>
  <c r="S5712" i="14"/>
  <c r="S859" i="14"/>
  <c r="S1006" i="14"/>
  <c r="S2699" i="14"/>
  <c r="S277" i="14"/>
  <c r="S2006" i="14"/>
  <c r="S4211" i="14"/>
  <c r="S4549" i="14"/>
  <c r="S336" i="14"/>
  <c r="S3008" i="14"/>
  <c r="S80" i="14"/>
  <c r="S1402" i="14"/>
  <c r="S727" i="14"/>
  <c r="S348" i="14"/>
  <c r="S411" i="14"/>
  <c r="S5226" i="14"/>
  <c r="S1077" i="14"/>
  <c r="S5140" i="14"/>
  <c r="S5839" i="14"/>
  <c r="S5445" i="14"/>
  <c r="S1453" i="14"/>
  <c r="S1430" i="14"/>
  <c r="S181" i="14"/>
  <c r="S4698" i="14"/>
  <c r="S5153" i="14"/>
  <c r="S2332" i="14"/>
  <c r="S1018" i="14"/>
  <c r="S476" i="14"/>
  <c r="S335" i="14"/>
  <c r="S2108" i="14"/>
  <c r="S2903" i="14"/>
  <c r="S1721" i="14"/>
  <c r="S249" i="14"/>
  <c r="S2148" i="14"/>
  <c r="S6060" i="14"/>
  <c r="S2906" i="14"/>
  <c r="S5589" i="14"/>
  <c r="S2142" i="14"/>
  <c r="S2190" i="14"/>
  <c r="S4948" i="14"/>
  <c r="S4558" i="14"/>
  <c r="S4179" i="14"/>
  <c r="S167" i="14"/>
  <c r="S3995" i="14"/>
  <c r="S5616" i="14"/>
  <c r="S4560" i="14"/>
  <c r="S4115" i="14"/>
  <c r="S103" i="14"/>
  <c r="S3755" i="14"/>
  <c r="S5606" i="14"/>
  <c r="S3637" i="14"/>
  <c r="S128" i="14"/>
  <c r="S4066" i="14"/>
  <c r="S4565" i="14"/>
  <c r="S614" i="14"/>
  <c r="S281" i="14"/>
  <c r="S1157" i="14"/>
  <c r="S5709" i="14"/>
  <c r="S2105" i="14"/>
  <c r="S3836" i="14"/>
  <c r="S6004" i="14"/>
  <c r="S484" i="14"/>
  <c r="S5294" i="14"/>
  <c r="S5969" i="14"/>
  <c r="S1102" i="14"/>
  <c r="S117" i="14"/>
  <c r="S406" i="14"/>
  <c r="S436" i="14"/>
  <c r="S4334" i="14"/>
  <c r="S6010" i="14"/>
  <c r="S1005" i="14"/>
  <c r="S793" i="14"/>
  <c r="S1291" i="14"/>
  <c r="S5588" i="14"/>
  <c r="S2899" i="14"/>
  <c r="S1792" i="14"/>
  <c r="S2026" i="14"/>
  <c r="S641" i="14"/>
  <c r="S2904" i="14"/>
  <c r="S2900" i="14"/>
  <c r="S1819" i="14"/>
  <c r="S5600" i="14"/>
  <c r="S2136" i="14"/>
  <c r="S5930" i="14"/>
  <c r="S4956" i="14"/>
  <c r="S2436" i="14"/>
  <c r="S3539" i="14"/>
  <c r="S1910" i="14"/>
  <c r="S2939" i="14"/>
  <c r="S1143" i="14"/>
  <c r="S670" i="14"/>
  <c r="S229" i="14"/>
  <c r="S4570" i="14"/>
  <c r="S592" i="14"/>
  <c r="S5706" i="14"/>
  <c r="S1040" i="14"/>
  <c r="S4411" i="14"/>
  <c r="S1041" i="14"/>
  <c r="S1730" i="14"/>
  <c r="S4706" i="14"/>
  <c r="S3555" i="14"/>
  <c r="S5602" i="14"/>
  <c r="S1770" i="14"/>
  <c r="S2498" i="14"/>
  <c r="S5618" i="14"/>
  <c r="S1641" i="14"/>
  <c r="S334" i="14"/>
  <c r="S1670" i="14"/>
  <c r="S1777" i="14"/>
  <c r="S1181" i="14"/>
  <c r="S2429" i="14"/>
  <c r="S6053" i="14"/>
  <c r="S4928" i="14"/>
  <c r="S4569" i="14"/>
  <c r="S544" i="14"/>
  <c r="S1821" i="14"/>
  <c r="S2492" i="14"/>
  <c r="S5928" i="14"/>
  <c r="S5598" i="14"/>
  <c r="S237" i="14"/>
  <c r="S910" i="14"/>
  <c r="S1121" i="14"/>
  <c r="S24" i="14"/>
  <c r="S503" i="14"/>
  <c r="S6046" i="14"/>
  <c r="S5933" i="14"/>
  <c r="S5848" i="14"/>
  <c r="S869" i="14"/>
  <c r="S982" i="14"/>
  <c r="S1369" i="14"/>
  <c r="S2572" i="14"/>
  <c r="S567" i="14"/>
  <c r="S6044" i="14"/>
  <c r="S4899" i="14"/>
  <c r="S5703" i="14"/>
  <c r="S2496" i="14"/>
  <c r="S2912" i="14"/>
  <c r="S2515" i="14"/>
  <c r="S5923" i="14"/>
  <c r="S3644" i="14"/>
  <c r="S6056" i="14"/>
  <c r="S2135" i="14"/>
  <c r="S1791" i="14"/>
  <c r="S6063" i="14"/>
  <c r="S3641" i="14"/>
  <c r="S1662" i="14"/>
  <c r="S5850" i="14"/>
  <c r="S1945" i="14"/>
  <c r="S6070" i="14"/>
  <c r="S2147" i="14"/>
  <c r="S2188" i="14"/>
  <c r="S5256" i="14"/>
  <c r="S1586" i="14"/>
  <c r="S502" i="14"/>
  <c r="S1442" i="14"/>
  <c r="S684" i="14"/>
  <c r="S243" i="14"/>
  <c r="S6012" i="14"/>
  <c r="S5216" i="14"/>
  <c r="S4701" i="14"/>
  <c r="S1381" i="14"/>
  <c r="S846" i="14"/>
  <c r="S32" i="14"/>
  <c r="S2040" i="14"/>
  <c r="S1672" i="14"/>
  <c r="S40" i="14"/>
  <c r="S5965" i="14"/>
  <c r="S5813" i="14"/>
  <c r="S5952" i="14"/>
  <c r="S1858" i="14"/>
  <c r="S1508" i="14"/>
  <c r="S332" i="14"/>
  <c r="S5264" i="14"/>
  <c r="S5312" i="14"/>
  <c r="S611" i="14"/>
  <c r="S715" i="14"/>
  <c r="S99" i="14"/>
  <c r="S271" i="14"/>
  <c r="S1594" i="14"/>
  <c r="S964" i="14"/>
  <c r="S1131" i="14"/>
  <c r="S5287" i="14"/>
  <c r="S1934" i="14"/>
  <c r="S5612" i="14"/>
  <c r="S938" i="14"/>
  <c r="S590" i="14"/>
  <c r="S2014" i="14"/>
  <c r="S1234" i="14"/>
  <c r="S358" i="14"/>
  <c r="S4065" i="14"/>
  <c r="S6022" i="14"/>
  <c r="S4903" i="14"/>
  <c r="S4576" i="14"/>
  <c r="S6059" i="14"/>
  <c r="S1814" i="14"/>
  <c r="S2505" i="14"/>
  <c r="S5604" i="14"/>
  <c r="S1425" i="14"/>
  <c r="S1301" i="14"/>
  <c r="S1526" i="14"/>
  <c r="S1593" i="14"/>
  <c r="S261" i="14"/>
  <c r="S2430" i="14"/>
  <c r="S6067" i="14"/>
  <c r="S5615" i="14"/>
  <c r="S1577" i="14"/>
  <c r="S1365" i="14"/>
  <c r="S1606" i="14"/>
  <c r="S1657" i="14"/>
  <c r="S893" i="14"/>
  <c r="S4059" i="14"/>
  <c r="S6078" i="14"/>
  <c r="S4911" i="14"/>
  <c r="S5603" i="14"/>
  <c r="S2502" i="14"/>
  <c r="S2901" i="14"/>
  <c r="S1873" i="14"/>
  <c r="S2999" i="14"/>
  <c r="S1800" i="14"/>
  <c r="S6029" i="14"/>
  <c r="S2933" i="14"/>
  <c r="S1817" i="14"/>
  <c r="S6068" i="14"/>
  <c r="S1473" i="14"/>
  <c r="S830" i="14"/>
  <c r="S5845" i="14"/>
  <c r="S1932" i="14"/>
  <c r="S6024" i="14"/>
  <c r="S2112" i="14"/>
  <c r="S1942" i="14"/>
  <c r="S5149" i="14"/>
  <c r="S227" i="14"/>
  <c r="S1007" i="14"/>
  <c r="S1778" i="14"/>
  <c r="S1436" i="14"/>
  <c r="S1339" i="14"/>
  <c r="S5246" i="14"/>
  <c r="S5313" i="14"/>
  <c r="S187" i="14"/>
  <c r="S515" i="14"/>
  <c r="S1262" i="14"/>
  <c r="S880" i="14"/>
  <c r="S764" i="14"/>
  <c r="S723" i="14"/>
  <c r="S1824" i="14"/>
  <c r="S5971" i="14"/>
  <c r="S5814" i="14"/>
  <c r="S5993" i="14"/>
  <c r="S319" i="14"/>
  <c r="S93" i="14"/>
  <c r="S588" i="14"/>
  <c r="S5267" i="14"/>
  <c r="S5303" i="14"/>
  <c r="S453" i="14"/>
  <c r="S804" i="14"/>
  <c r="S1147" i="14"/>
  <c r="S1503" i="14"/>
  <c r="S2539" i="14"/>
  <c r="S1620" i="14"/>
  <c r="S396" i="14"/>
  <c r="S5282" i="14"/>
  <c r="S660" i="14"/>
  <c r="S5252" i="14"/>
  <c r="S1004" i="14"/>
  <c r="S5269" i="14"/>
  <c r="S1628" i="14"/>
  <c r="S5229" i="14"/>
  <c r="S2109" i="14"/>
  <c r="S5937" i="14"/>
  <c r="S5853" i="14"/>
  <c r="S1836" i="14"/>
  <c r="S191" i="14"/>
  <c r="S537" i="14"/>
  <c r="S3603" i="14"/>
  <c r="S119" i="14"/>
  <c r="S4572" i="14"/>
  <c r="S6042" i="14"/>
  <c r="S2428" i="14"/>
  <c r="S265" i="14"/>
  <c r="S2145" i="14"/>
  <c r="S3642" i="14"/>
  <c r="S2998" i="14"/>
  <c r="S5705" i="14"/>
  <c r="S3251" i="14"/>
  <c r="S1710" i="14"/>
  <c r="S615" i="14"/>
  <c r="S3171" i="14"/>
  <c r="S1510" i="14"/>
  <c r="S4555" i="14"/>
  <c r="S3005" i="14"/>
  <c r="S5702" i="14"/>
  <c r="S3315" i="14"/>
  <c r="S1830" i="14"/>
  <c r="S687" i="14"/>
  <c r="S3235" i="14"/>
  <c r="S1622" i="14"/>
  <c r="S4550" i="14"/>
  <c r="S6043" i="14"/>
  <c r="S898" i="14"/>
  <c r="S3006" i="14"/>
  <c r="S1809" i="14"/>
  <c r="S2905" i="14"/>
  <c r="S5610" i="14"/>
  <c r="S2113" i="14"/>
  <c r="S2908" i="14"/>
  <c r="S1806" i="14"/>
  <c r="S2114" i="14"/>
  <c r="S2910" i="14"/>
  <c r="S3646" i="14"/>
  <c r="S1758" i="14"/>
  <c r="S3219" i="14"/>
  <c r="S5927" i="14"/>
  <c r="S2146" i="14"/>
  <c r="S1793" i="14"/>
  <c r="S1895" i="14"/>
  <c r="S5938" i="14"/>
  <c r="S1674" i="14"/>
  <c r="S1100" i="14"/>
  <c r="S1784" i="14"/>
  <c r="S203" i="14"/>
  <c r="S2451" i="14"/>
  <c r="S1828" i="14"/>
  <c r="S5259" i="14"/>
  <c r="S2434" i="14"/>
  <c r="S1283" i="14"/>
  <c r="S773" i="14"/>
  <c r="S38" i="14"/>
  <c r="S72" i="14"/>
  <c r="S110" i="14"/>
  <c r="S1421" i="14"/>
  <c r="S4438" i="14"/>
  <c r="S5987" i="14"/>
  <c r="S5801" i="14"/>
  <c r="S5288" i="14"/>
  <c r="S1331" i="14"/>
  <c r="S4139" i="14"/>
  <c r="S1133" i="14"/>
  <c r="S5292" i="14"/>
  <c r="S4694" i="14"/>
  <c r="S373" i="14"/>
  <c r="S1874" i="14"/>
  <c r="S1580" i="14"/>
  <c r="S449" i="14"/>
  <c r="S1123" i="14"/>
  <c r="S2859" i="14"/>
  <c r="S253" i="14"/>
  <c r="S5239" i="14"/>
  <c r="S6005" i="14"/>
  <c r="S5230" i="14"/>
  <c r="S748" i="14"/>
  <c r="S843" i="14"/>
  <c r="S6069" i="14"/>
  <c r="S5284" i="14"/>
  <c r="S4692" i="14"/>
  <c r="S1461" i="14"/>
  <c r="S1394" i="14"/>
  <c r="S1245" i="14"/>
  <c r="S1154" i="14"/>
  <c r="S548" i="14"/>
  <c r="S115" i="14"/>
  <c r="S6016" i="14"/>
  <c r="S3513" i="14"/>
  <c r="S901" i="14"/>
  <c r="S3647" i="14"/>
  <c r="S2506" i="14"/>
  <c r="S3520" i="14"/>
  <c r="S3507" i="14"/>
  <c r="S3521" i="14"/>
  <c r="S3510" i="14"/>
  <c r="S3839" i="14"/>
  <c r="S3831" i="14"/>
  <c r="S3508" i="14"/>
  <c r="S3834" i="14"/>
  <c r="S3841" i="14"/>
  <c r="S3832" i="14"/>
  <c r="S3512" i="14"/>
  <c r="S3509" i="14"/>
  <c r="S3829" i="14"/>
  <c r="S3833" i="14"/>
  <c r="S3522" i="14"/>
  <c r="S3519" i="14"/>
  <c r="S3827" i="14"/>
  <c r="S3842" i="14"/>
  <c r="S3515" i="14"/>
  <c r="J6026" i="14"/>
  <c r="K6026" i="14" s="1"/>
  <c r="M6026" i="14" s="1"/>
  <c r="S3518" i="14"/>
  <c r="S3837" i="14"/>
  <c r="S3830" i="14"/>
  <c r="S3517" i="14"/>
  <c r="Q6055" i="14"/>
  <c r="S3516" i="14"/>
  <c r="S3828" i="14"/>
  <c r="S3840" i="14"/>
  <c r="S3511" i="14"/>
  <c r="S3838" i="14"/>
  <c r="Q6071" i="14"/>
  <c r="S5736" i="14"/>
  <c r="S5745" i="14"/>
  <c r="S5744" i="14"/>
  <c r="S5732" i="14"/>
  <c r="S5746" i="14"/>
  <c r="S5733" i="14"/>
  <c r="S5738" i="14"/>
  <c r="S5743" i="14"/>
  <c r="S5734" i="14"/>
  <c r="S5737" i="14"/>
  <c r="S5740" i="14"/>
  <c r="S5731" i="14"/>
  <c r="S5742" i="14"/>
  <c r="S5739" i="14"/>
  <c r="S5735" i="14"/>
  <c r="S5741" i="14"/>
  <c r="S5749" i="14"/>
  <c r="S5748" i="14"/>
  <c r="S5752" i="14"/>
  <c r="S5757" i="14"/>
  <c r="S5750" i="14"/>
  <c r="S5760" i="14"/>
  <c r="S5756" i="14"/>
  <c r="S5759" i="14"/>
  <c r="S5754" i="14"/>
  <c r="S5758" i="14"/>
  <c r="S5761" i="14"/>
  <c r="S5751" i="14"/>
  <c r="Q4881" i="14"/>
  <c r="Q6023" i="14"/>
  <c r="Q6057" i="14"/>
  <c r="J6082" i="14"/>
  <c r="K6082" i="14" s="1"/>
  <c r="L6082" i="14" s="1"/>
  <c r="M6082" i="14" s="1"/>
  <c r="Q6068" i="14"/>
  <c r="J6069" i="14"/>
  <c r="K6069" i="14" s="1"/>
  <c r="L6069" i="14" s="1"/>
  <c r="Q6077" i="14"/>
  <c r="J6061" i="14"/>
  <c r="K6061" i="14" s="1"/>
  <c r="L6061" i="14" s="1"/>
  <c r="M6061" i="14" s="1"/>
  <c r="Q6081" i="14"/>
  <c r="J6077" i="14"/>
  <c r="K6077" i="14" s="1"/>
  <c r="L6077" i="14" s="1"/>
  <c r="M6077" i="14" s="1"/>
  <c r="Q6053" i="14"/>
  <c r="J6056" i="14"/>
  <c r="K6056" i="14" s="1"/>
  <c r="L6056" i="14" s="1"/>
  <c r="M6056" i="14" s="1"/>
  <c r="J6081" i="14"/>
  <c r="K6081" i="14" s="1"/>
  <c r="L6081" i="14" s="1"/>
  <c r="M6081" i="14" s="1"/>
  <c r="J6055" i="14"/>
  <c r="K6055" i="14" s="1"/>
  <c r="L6055" i="14" s="1"/>
  <c r="M6055" i="14" s="1"/>
  <c r="Q6072" i="14"/>
  <c r="Q6073" i="14"/>
  <c r="J6065" i="14"/>
  <c r="K6065" i="14" s="1"/>
  <c r="L6065" i="14" s="1"/>
  <c r="M6065" i="14" s="1"/>
  <c r="J6059" i="14"/>
  <c r="K6059" i="14" s="1"/>
  <c r="L6059" i="14" s="1"/>
  <c r="M6059" i="14" s="1"/>
  <c r="J6066" i="14"/>
  <c r="K6066" i="14" s="1"/>
  <c r="L6066" i="14" s="1"/>
  <c r="M6066" i="14" s="1"/>
  <c r="J6076" i="14"/>
  <c r="K6076" i="14" s="1"/>
  <c r="L6076" i="14" s="1"/>
  <c r="Q6059" i="14"/>
  <c r="J6080" i="14"/>
  <c r="K6080" i="14" s="1"/>
  <c r="L6080" i="14" s="1"/>
  <c r="J6074" i="14"/>
  <c r="K6074" i="14" s="1"/>
  <c r="L6074" i="14" s="1"/>
  <c r="M6074" i="14" s="1"/>
  <c r="J6057" i="14"/>
  <c r="K6057" i="14" s="1"/>
  <c r="L6057" i="14" s="1"/>
  <c r="M6057" i="14" s="1"/>
  <c r="J6053" i="14"/>
  <c r="K6053" i="14" s="1"/>
  <c r="M6053" i="14" s="1"/>
  <c r="Q6052" i="14"/>
  <c r="J6058" i="14"/>
  <c r="K6058" i="14" s="1"/>
  <c r="L6058" i="14" s="1"/>
  <c r="M6058" i="14" s="1"/>
  <c r="J6052" i="14"/>
  <c r="J6068" i="14"/>
  <c r="K6068" i="14" s="1"/>
  <c r="L6068" i="14" s="1"/>
  <c r="J6064" i="14"/>
  <c r="K6064" i="14" s="1"/>
  <c r="L6064" i="14" s="1"/>
  <c r="J6071" i="14"/>
  <c r="K6071" i="14" s="1"/>
  <c r="L6071" i="14" s="1"/>
  <c r="Q6069" i="14"/>
  <c r="Q6056" i="14"/>
  <c r="Q6065" i="14"/>
  <c r="J6060" i="14"/>
  <c r="K6060" i="14" s="1"/>
  <c r="M6060" i="14" s="1"/>
  <c r="Q6064" i="14"/>
  <c r="Q6082" i="14"/>
  <c r="Q6058" i="14"/>
  <c r="Q6074" i="14"/>
  <c r="Q6075" i="14"/>
  <c r="Q6066" i="14"/>
  <c r="Q6061" i="14"/>
  <c r="Q6076" i="14"/>
  <c r="J5328" i="14"/>
  <c r="Q6080" i="14"/>
  <c r="J6072" i="14"/>
  <c r="J6075" i="14"/>
  <c r="K6075" i="14" s="1"/>
  <c r="L6075" i="14" s="1"/>
  <c r="M6075" i="14" s="1"/>
  <c r="Q6060" i="14"/>
  <c r="Q5916" i="14"/>
  <c r="J5524" i="14"/>
  <c r="J5531" i="14"/>
  <c r="Q4875" i="14"/>
  <c r="Q5949" i="14"/>
  <c r="Q6029" i="14"/>
  <c r="J6028" i="14"/>
  <c r="K6028" i="14" s="1"/>
  <c r="M6028" i="14" s="1"/>
  <c r="J5121" i="14"/>
  <c r="Q6024" i="14"/>
  <c r="Q5908" i="14"/>
  <c r="Q5913" i="14"/>
  <c r="Q5914" i="14"/>
  <c r="Q6020" i="14"/>
  <c r="Q6025" i="14"/>
  <c r="Q5920" i="14"/>
  <c r="Q5644" i="14"/>
  <c r="Q6032" i="14"/>
  <c r="Q6028" i="14"/>
  <c r="Q5917" i="14"/>
  <c r="Q6034" i="14"/>
  <c r="Q5900" i="14"/>
  <c r="Q6033" i="14"/>
  <c r="Q5922" i="14"/>
  <c r="Q6021" i="14"/>
  <c r="Q5921" i="14"/>
  <c r="Q5915" i="14"/>
  <c r="Q5911" i="14"/>
  <c r="Q6026" i="14"/>
  <c r="Q6027" i="14"/>
  <c r="Q5912" i="14"/>
  <c r="Q5909" i="14"/>
  <c r="J5909" i="14"/>
  <c r="K5909" i="14" s="1"/>
  <c r="M5909" i="14" s="1"/>
  <c r="Q6042" i="14"/>
  <c r="J6024" i="14"/>
  <c r="K6024" i="14" s="1"/>
  <c r="M6024" i="14" s="1"/>
  <c r="J6023" i="14"/>
  <c r="J6029" i="14"/>
  <c r="K6029" i="14" s="1"/>
  <c r="M6029" i="14" s="1"/>
  <c r="J6033" i="14"/>
  <c r="K6033" i="14" s="1"/>
  <c r="M6033" i="14" s="1"/>
  <c r="J5912" i="14"/>
  <c r="K5912" i="14" s="1"/>
  <c r="M5912" i="14" s="1"/>
  <c r="J6027" i="14"/>
  <c r="K6027" i="14" s="1"/>
  <c r="M6027" i="14" s="1"/>
  <c r="J5921" i="14"/>
  <c r="K5921" i="14" s="1"/>
  <c r="M5921" i="14" s="1"/>
  <c r="J6020" i="14"/>
  <c r="J5914" i="14"/>
  <c r="K5914" i="14" s="1"/>
  <c r="M5914" i="14" s="1"/>
  <c r="J5911" i="14"/>
  <c r="J5917" i="14"/>
  <c r="K5917" i="14" s="1"/>
  <c r="M5917" i="14" s="1"/>
  <c r="J6034" i="14"/>
  <c r="K6034" i="14" s="1"/>
  <c r="M6034" i="14" s="1"/>
  <c r="J6032" i="14"/>
  <c r="J5908" i="14"/>
  <c r="J5915" i="14"/>
  <c r="K5915" i="14" s="1"/>
  <c r="M5915" i="14" s="1"/>
  <c r="J6021" i="14"/>
  <c r="K6021" i="14" s="1"/>
  <c r="M6021" i="14" s="1"/>
  <c r="J5916" i="14"/>
  <c r="K5916" i="14" s="1"/>
  <c r="M5916" i="14" s="1"/>
  <c r="J6025" i="14"/>
  <c r="K6025" i="14" s="1"/>
  <c r="M6025" i="14" s="1"/>
  <c r="J5920" i="14"/>
  <c r="J5913" i="14"/>
  <c r="K5913" i="14" s="1"/>
  <c r="M5913" i="14" s="1"/>
  <c r="J5922" i="14"/>
  <c r="K5922" i="14" s="1"/>
  <c r="M5922" i="14" s="1"/>
  <c r="Q5660" i="14"/>
  <c r="Q5947" i="14"/>
  <c r="Q5954" i="14"/>
  <c r="Q5706" i="14"/>
  <c r="Q5933" i="14"/>
  <c r="Q5771" i="14"/>
  <c r="Q5980" i="14"/>
  <c r="Q5924" i="14"/>
  <c r="Q5996" i="14"/>
  <c r="Q5664" i="14"/>
  <c r="Q6011" i="14"/>
  <c r="Q5991" i="14"/>
  <c r="Q6041" i="14"/>
  <c r="Q5995" i="14"/>
  <c r="Q5938" i="14"/>
  <c r="Q5976" i="14"/>
  <c r="Q5962" i="14"/>
  <c r="Q6018" i="14"/>
  <c r="Q5986" i="14"/>
  <c r="Q5948" i="14"/>
  <c r="Q5965" i="14"/>
  <c r="Q6002" i="14"/>
  <c r="Q5661" i="14"/>
  <c r="Q5972" i="14"/>
  <c r="Q5963" i="14"/>
  <c r="Q5708" i="14"/>
  <c r="Q6012" i="14"/>
  <c r="Q5997" i="14"/>
  <c r="Q5969" i="14"/>
  <c r="Q5666" i="14"/>
  <c r="Q5773" i="14"/>
  <c r="Q5648" i="14"/>
  <c r="Q6000" i="14"/>
  <c r="Q6008" i="14"/>
  <c r="Q6049" i="14"/>
  <c r="Q6013" i="14"/>
  <c r="Q5944" i="14"/>
  <c r="Q5961" i="14"/>
  <c r="Q6036" i="14"/>
  <c r="Q6039" i="14"/>
  <c r="Q5940" i="14"/>
  <c r="Q5964" i="14"/>
  <c r="Q5653" i="14"/>
  <c r="Q5927" i="14"/>
  <c r="Q6010" i="14"/>
  <c r="Q5985" i="14"/>
  <c r="Q5984" i="14"/>
  <c r="Q5656" i="14"/>
  <c r="Q6001" i="14"/>
  <c r="Q6005" i="14"/>
  <c r="Q5777" i="14"/>
  <c r="Q5937" i="14"/>
  <c r="Q6017" i="14"/>
  <c r="Q6050" i="14"/>
  <c r="Q5973" i="14"/>
  <c r="Q5953" i="14"/>
  <c r="Q5975" i="14"/>
  <c r="Q5952" i="14"/>
  <c r="Q6043" i="14"/>
  <c r="Q6004" i="14"/>
  <c r="Q5979" i="14"/>
  <c r="Q6045" i="14"/>
  <c r="Q5960" i="14"/>
  <c r="Q5659" i="14"/>
  <c r="Q6037" i="14"/>
  <c r="Q5770" i="14"/>
  <c r="Q5645" i="14"/>
  <c r="Q5970" i="14"/>
  <c r="Q5641" i="14"/>
  <c r="Q6040" i="14"/>
  <c r="Q6009" i="14"/>
  <c r="Q6007" i="14"/>
  <c r="Q5943" i="14"/>
  <c r="Q5981" i="14"/>
  <c r="Q5945" i="14"/>
  <c r="Q5977" i="14"/>
  <c r="Q5637" i="14"/>
  <c r="Q5993" i="14"/>
  <c r="Q5941" i="14"/>
  <c r="Q5978" i="14"/>
  <c r="Q5928" i="14"/>
  <c r="Q5700" i="14"/>
  <c r="Q6048" i="14"/>
  <c r="Q5956" i="14"/>
  <c r="Q5992" i="14"/>
  <c r="Q5988" i="14"/>
  <c r="Q6016" i="14"/>
  <c r="Q5957" i="14"/>
  <c r="Q5968" i="14"/>
  <c r="Q6044" i="14"/>
  <c r="Q5959" i="14"/>
  <c r="Q5994" i="14"/>
  <c r="Q4295" i="14"/>
  <c r="Q5989" i="14"/>
  <c r="J6040" i="14"/>
  <c r="K6040" i="14" s="1"/>
  <c r="L6040" i="14" s="1"/>
  <c r="M6040" i="14" s="1"/>
  <c r="J5933" i="14"/>
  <c r="K5933" i="14" s="1"/>
  <c r="L5933" i="14" s="1"/>
  <c r="M5933" i="14" s="1"/>
  <c r="J6044" i="14"/>
  <c r="K6044" i="14" s="1"/>
  <c r="L6044" i="14" s="1"/>
  <c r="M6044" i="14" s="1"/>
  <c r="J6045" i="14"/>
  <c r="K6045" i="14" s="1"/>
  <c r="L6045" i="14" s="1"/>
  <c r="M6045" i="14" s="1"/>
  <c r="J6037" i="14"/>
  <c r="K6037" i="14" s="1"/>
  <c r="L6037" i="14" s="1"/>
  <c r="M6037" i="14" s="1"/>
  <c r="J6050" i="14"/>
  <c r="K6050" i="14" s="1"/>
  <c r="L6050" i="14" s="1"/>
  <c r="M6050" i="14" s="1"/>
  <c r="J6048" i="14"/>
  <c r="J6041" i="14"/>
  <c r="K6041" i="14" s="1"/>
  <c r="L6041" i="14" s="1"/>
  <c r="M6041" i="14" s="1"/>
  <c r="J6036" i="14"/>
  <c r="K6036" i="14" s="1"/>
  <c r="L6036" i="14" s="1"/>
  <c r="J6039" i="14"/>
  <c r="K6039" i="14" s="1"/>
  <c r="L6039" i="14" s="1"/>
  <c r="J6049" i="14"/>
  <c r="K6049" i="14" s="1"/>
  <c r="L6049" i="14" s="1"/>
  <c r="M6049" i="14" s="1"/>
  <c r="J6043" i="14"/>
  <c r="K6043" i="14" s="1"/>
  <c r="L6043" i="14" s="1"/>
  <c r="M6043" i="14" s="1"/>
  <c r="J6042" i="14"/>
  <c r="K6042" i="14" s="1"/>
  <c r="L6042" i="14" s="1"/>
  <c r="M6042" i="14" s="1"/>
  <c r="Q5657" i="14"/>
  <c r="Q5705" i="14"/>
  <c r="Q5932" i="14"/>
  <c r="Q4873" i="14"/>
  <c r="Q5778" i="14"/>
  <c r="Q5931" i="14"/>
  <c r="Q5769" i="14"/>
  <c r="Q5709" i="14"/>
  <c r="Q5713" i="14"/>
  <c r="Q5650" i="14"/>
  <c r="Q4871" i="14"/>
  <c r="Q5707" i="14"/>
  <c r="Q5652" i="14"/>
  <c r="Q5665" i="14"/>
  <c r="Q5936" i="14"/>
  <c r="Q5930" i="14"/>
  <c r="Q5764" i="14"/>
  <c r="Q2509" i="14"/>
  <c r="Q5658" i="14"/>
  <c r="Q2129" i="14"/>
  <c r="Q5772" i="14"/>
  <c r="Q5636" i="14"/>
  <c r="Q5703" i="14"/>
  <c r="Q5925" i="14"/>
  <c r="Q5768" i="14"/>
  <c r="Q5929" i="14"/>
  <c r="Q5642" i="14"/>
  <c r="Q5765" i="14"/>
  <c r="Q5643" i="14"/>
  <c r="Q5649" i="14"/>
  <c r="Q4877" i="14"/>
  <c r="Q4052" i="14"/>
  <c r="Q5253" i="14"/>
  <c r="Q5776" i="14"/>
  <c r="Q5704" i="14"/>
  <c r="Q5640" i="14"/>
  <c r="Q4633" i="14"/>
  <c r="Q3060" i="14"/>
  <c r="Q5701" i="14"/>
  <c r="Q5639" i="14"/>
  <c r="Q5767" i="14"/>
  <c r="Q5714" i="14"/>
  <c r="Q5712" i="14"/>
  <c r="J5648" i="14"/>
  <c r="K5648" i="14" s="1"/>
  <c r="L5648" i="14" s="1"/>
  <c r="L5647" i="14" s="1"/>
  <c r="J5936" i="14"/>
  <c r="K5936" i="14" s="1"/>
  <c r="L5936" i="14" s="1"/>
  <c r="J6004" i="14"/>
  <c r="K6004" i="14" s="1"/>
  <c r="L6004" i="14" s="1"/>
  <c r="J5705" i="14"/>
  <c r="K5705" i="14" s="1"/>
  <c r="M5705" i="14" s="1"/>
  <c r="J5703" i="14"/>
  <c r="K5703" i="14" s="1"/>
  <c r="M5703" i="14" s="1"/>
  <c r="J5661" i="14"/>
  <c r="K5661" i="14" s="1"/>
  <c r="L5661" i="14" s="1"/>
  <c r="M5661" i="14" s="1"/>
  <c r="J5992" i="14"/>
  <c r="K5992" i="14" s="1"/>
  <c r="L5992" i="14" s="1"/>
  <c r="M5992" i="14" s="1"/>
  <c r="J5642" i="14"/>
  <c r="K5642" i="14" s="1"/>
  <c r="M5642" i="14" s="1"/>
  <c r="J6008" i="14"/>
  <c r="K6008" i="14" s="1"/>
  <c r="L6008" i="14" s="1"/>
  <c r="M6008" i="14" s="1"/>
  <c r="J5652" i="14"/>
  <c r="J6002" i="14"/>
  <c r="K6002" i="14" s="1"/>
  <c r="L6002" i="14" s="1"/>
  <c r="M6002" i="14" s="1"/>
  <c r="J6016" i="14"/>
  <c r="J5707" i="14"/>
  <c r="K5707" i="14" s="1"/>
  <c r="J6013" i="14"/>
  <c r="K6013" i="14" s="1"/>
  <c r="L6013" i="14" s="1"/>
  <c r="M6013" i="14" s="1"/>
  <c r="J5704" i="14"/>
  <c r="K5704" i="14" s="1"/>
  <c r="M5704" i="14" s="1"/>
  <c r="J5927" i="14"/>
  <c r="J5988" i="14"/>
  <c r="J5770" i="14"/>
  <c r="K5770" i="14" s="1"/>
  <c r="L5770" i="14" s="1"/>
  <c r="M5770" i="14" s="1"/>
  <c r="J5659" i="14"/>
  <c r="K5659" i="14" s="1"/>
  <c r="J5660" i="14"/>
  <c r="K5660" i="14" s="1"/>
  <c r="M5660" i="14" s="1"/>
  <c r="J5641" i="14"/>
  <c r="K5641" i="14" s="1"/>
  <c r="M5641" i="14" s="1"/>
  <c r="J6000" i="14"/>
  <c r="J5772" i="14"/>
  <c r="K5772" i="14" s="1"/>
  <c r="L5772" i="14" s="1"/>
  <c r="M5772" i="14" s="1"/>
  <c r="J5769" i="14"/>
  <c r="K5769" i="14" s="1"/>
  <c r="L5769" i="14" s="1"/>
  <c r="M5769" i="14" s="1"/>
  <c r="J5994" i="14"/>
  <c r="K5994" i="14" s="1"/>
  <c r="L5994" i="14" s="1"/>
  <c r="M5994" i="14" s="1"/>
  <c r="J5767" i="14"/>
  <c r="J5959" i="14"/>
  <c r="K5959" i="14" s="1"/>
  <c r="L5959" i="14" s="1"/>
  <c r="M5959" i="14" s="1"/>
  <c r="J5991" i="14"/>
  <c r="J6001" i="14"/>
  <c r="K6001" i="14" s="1"/>
  <c r="L6001" i="14" s="1"/>
  <c r="M6001" i="14" s="1"/>
  <c r="J6017" i="14"/>
  <c r="K6017" i="14" s="1"/>
  <c r="L6017" i="14" s="1"/>
  <c r="M6017" i="14" s="1"/>
  <c r="J5658" i="14"/>
  <c r="K5658" i="14" s="1"/>
  <c r="M5658" i="14" s="1"/>
  <c r="J5930" i="14"/>
  <c r="K5930" i="14" s="1"/>
  <c r="L5930" i="14" s="1"/>
  <c r="M5930" i="14" s="1"/>
  <c r="J5932" i="14"/>
  <c r="K5932" i="14" s="1"/>
  <c r="L5932" i="14" s="1"/>
  <c r="M5932" i="14" s="1"/>
  <c r="J5776" i="14"/>
  <c r="J5700" i="14"/>
  <c r="J5712" i="14"/>
  <c r="J5645" i="14"/>
  <c r="K5645" i="14" s="1"/>
  <c r="L5645" i="14" s="1"/>
  <c r="M5645" i="14" s="1"/>
  <c r="J5649" i="14"/>
  <c r="K5649" i="14" s="1"/>
  <c r="M5649" i="14" s="1"/>
  <c r="J5771" i="14"/>
  <c r="K5771" i="14" s="1"/>
  <c r="L5771" i="14" s="1"/>
  <c r="M5771" i="14" s="1"/>
  <c r="J5639" i="14"/>
  <c r="J5640" i="14"/>
  <c r="K5640" i="14" s="1"/>
  <c r="M5640" i="14" s="1"/>
  <c r="J5975" i="14"/>
  <c r="K5975" i="14" s="1"/>
  <c r="L5975" i="14" s="1"/>
  <c r="M5975" i="14" s="1"/>
  <c r="J5636" i="14"/>
  <c r="J5637" i="14"/>
  <c r="K5637" i="14" s="1"/>
  <c r="L5637" i="14" s="1"/>
  <c r="M5637" i="14" s="1"/>
  <c r="J6010" i="14"/>
  <c r="K6010" i="14" s="1"/>
  <c r="L6010" i="14" s="1"/>
  <c r="M6010" i="14" s="1"/>
  <c r="J5701" i="14"/>
  <c r="K5701" i="14" s="1"/>
  <c r="L5701" i="14" s="1"/>
  <c r="M5701" i="14" s="1"/>
  <c r="J5653" i="14"/>
  <c r="K5653" i="14" s="1"/>
  <c r="L5653" i="14" s="1"/>
  <c r="M5653" i="14" s="1"/>
  <c r="J5925" i="14"/>
  <c r="K5925" i="14" s="1"/>
  <c r="L5925" i="14" s="1"/>
  <c r="M5925" i="14" s="1"/>
  <c r="J5650" i="14"/>
  <c r="K5650" i="14" s="1"/>
  <c r="M5650" i="14" s="1"/>
  <c r="J5764" i="14"/>
  <c r="J5931" i="14"/>
  <c r="K5931" i="14" s="1"/>
  <c r="L5931" i="14" s="1"/>
  <c r="M5931" i="14" s="1"/>
  <c r="J5656" i="14"/>
  <c r="K5656" i="14" s="1"/>
  <c r="M5656" i="14" s="1"/>
  <c r="J5657" i="14"/>
  <c r="K5657" i="14" s="1"/>
  <c r="M5657" i="14" s="1"/>
  <c r="J5937" i="14"/>
  <c r="K5937" i="14" s="1"/>
  <c r="L5937" i="14" s="1"/>
  <c r="M5937" i="14" s="1"/>
  <c r="J5714" i="14"/>
  <c r="K5714" i="14" s="1"/>
  <c r="M5714" i="14" s="1"/>
  <c r="J5709" i="14"/>
  <c r="K5709" i="14" s="1"/>
  <c r="L5709" i="14" s="1"/>
  <c r="M5709" i="14" s="1"/>
  <c r="J5961" i="14"/>
  <c r="K5961" i="14" s="1"/>
  <c r="L5961" i="14" s="1"/>
  <c r="M5961" i="14" s="1"/>
  <c r="J5708" i="14"/>
  <c r="K5708" i="14" s="1"/>
  <c r="M5708" i="14" s="1"/>
  <c r="J5706" i="14"/>
  <c r="K5706" i="14" s="1"/>
  <c r="M5706" i="14" s="1"/>
  <c r="J5989" i="14"/>
  <c r="K5989" i="14" s="1"/>
  <c r="L5989" i="14" s="1"/>
  <c r="M5989" i="14" s="1"/>
  <c r="J5995" i="14"/>
  <c r="K5995" i="14" s="1"/>
  <c r="L5995" i="14" s="1"/>
  <c r="M5995" i="14" s="1"/>
  <c r="J5713" i="14"/>
  <c r="K5713" i="14" s="1"/>
  <c r="M5713" i="14" s="1"/>
  <c r="J6011" i="14"/>
  <c r="K6011" i="14" s="1"/>
  <c r="L6011" i="14" s="1"/>
  <c r="M6011" i="14" s="1"/>
  <c r="J5655" i="14"/>
  <c r="J6012" i="14"/>
  <c r="K6012" i="14" s="1"/>
  <c r="L6012" i="14" s="1"/>
  <c r="M6012" i="14" s="1"/>
  <c r="J5924" i="14"/>
  <c r="J5773" i="14"/>
  <c r="K5773" i="14" s="1"/>
  <c r="L5773" i="14" s="1"/>
  <c r="M5773" i="14" s="1"/>
  <c r="J5777" i="14"/>
  <c r="K5777" i="14" s="1"/>
  <c r="L5777" i="14" s="1"/>
  <c r="M5777" i="14" s="1"/>
  <c r="J5929" i="14"/>
  <c r="K5929" i="14" s="1"/>
  <c r="L5929" i="14" s="1"/>
  <c r="M5929" i="14" s="1"/>
  <c r="J5996" i="14"/>
  <c r="K5996" i="14" s="1"/>
  <c r="L5996" i="14" s="1"/>
  <c r="M5996" i="14" s="1"/>
  <c r="J5768" i="14"/>
  <c r="K5768" i="14" s="1"/>
  <c r="L5768" i="14" s="1"/>
  <c r="M5768" i="14" s="1"/>
  <c r="J5928" i="14"/>
  <c r="K5928" i="14" s="1"/>
  <c r="L5928" i="14" s="1"/>
  <c r="M5928" i="14" s="1"/>
  <c r="J5993" i="14"/>
  <c r="K5993" i="14" s="1"/>
  <c r="L5993" i="14" s="1"/>
  <c r="M5993" i="14" s="1"/>
  <c r="J5765" i="14"/>
  <c r="K5765" i="14" s="1"/>
  <c r="L5765" i="14" s="1"/>
  <c r="M5765" i="14" s="1"/>
  <c r="J5665" i="14"/>
  <c r="K5665" i="14" s="1"/>
  <c r="M5665" i="14" s="1"/>
  <c r="J5666" i="14"/>
  <c r="K5666" i="14" s="1"/>
  <c r="M5666" i="14" s="1"/>
  <c r="J5643" i="14"/>
  <c r="K5643" i="14" s="1"/>
  <c r="L5643" i="14" s="1"/>
  <c r="J6007" i="14"/>
  <c r="J5778" i="14"/>
  <c r="K5778" i="14" s="1"/>
  <c r="L5778" i="14" s="1"/>
  <c r="M5778" i="14" s="1"/>
  <c r="J5997" i="14"/>
  <c r="K5997" i="14" s="1"/>
  <c r="L5997" i="14" s="1"/>
  <c r="M5997" i="14" s="1"/>
  <c r="J6018" i="14"/>
  <c r="K6018" i="14" s="1"/>
  <c r="L6018" i="14" s="1"/>
  <c r="M6018" i="14" s="1"/>
  <c r="J5644" i="14"/>
  <c r="K5644" i="14" s="1"/>
  <c r="M5644" i="14" s="1"/>
  <c r="J6005" i="14"/>
  <c r="K6005" i="14" s="1"/>
  <c r="L6005" i="14" s="1"/>
  <c r="M6005" i="14" s="1"/>
  <c r="J6009" i="14"/>
  <c r="K6009" i="14" s="1"/>
  <c r="L6009" i="14" s="1"/>
  <c r="M6009" i="14" s="1"/>
  <c r="J5664" i="14"/>
  <c r="J5938" i="14"/>
  <c r="K5938" i="14" s="1"/>
  <c r="L5938" i="14" s="1"/>
  <c r="M5938" i="14" s="1"/>
  <c r="J5973" i="14"/>
  <c r="K5973" i="14" s="1"/>
  <c r="L5973" i="14" s="1"/>
  <c r="M5973" i="14" s="1"/>
  <c r="J5986" i="14"/>
  <c r="K5986" i="14" s="1"/>
  <c r="L5986" i="14" s="1"/>
  <c r="M5986" i="14" s="1"/>
  <c r="J5965" i="14"/>
  <c r="K5965" i="14" s="1"/>
  <c r="L5965" i="14" s="1"/>
  <c r="M5965" i="14" s="1"/>
  <c r="J5979" i="14"/>
  <c r="K5979" i="14" s="1"/>
  <c r="L5979" i="14" s="1"/>
  <c r="M5979" i="14" s="1"/>
  <c r="J5972" i="14"/>
  <c r="J5985" i="14"/>
  <c r="K5985" i="14" s="1"/>
  <c r="L5985" i="14" s="1"/>
  <c r="M5985" i="14" s="1"/>
  <c r="J5968" i="14"/>
  <c r="J5976" i="14"/>
  <c r="K5976" i="14" s="1"/>
  <c r="L5976" i="14" s="1"/>
  <c r="M5976" i="14" s="1"/>
  <c r="J5970" i="14"/>
  <c r="K5970" i="14" s="1"/>
  <c r="L5970" i="14" s="1"/>
  <c r="M5970" i="14" s="1"/>
  <c r="J5963" i="14"/>
  <c r="K5963" i="14" s="1"/>
  <c r="L5963" i="14" s="1"/>
  <c r="M5963" i="14" s="1"/>
  <c r="J5977" i="14"/>
  <c r="K5977" i="14" s="1"/>
  <c r="L5977" i="14" s="1"/>
  <c r="M5977" i="14" s="1"/>
  <c r="J5964" i="14"/>
  <c r="K5964" i="14" s="1"/>
  <c r="J5969" i="14"/>
  <c r="K5969" i="14" s="1"/>
  <c r="L5969" i="14" s="1"/>
  <c r="M5969" i="14" s="1"/>
  <c r="J5962" i="14"/>
  <c r="K5962" i="14" s="1"/>
  <c r="L5962" i="14" s="1"/>
  <c r="M5962" i="14" s="1"/>
  <c r="J5984" i="14"/>
  <c r="J5981" i="14"/>
  <c r="K5981" i="14" s="1"/>
  <c r="J5957" i="14"/>
  <c r="K5957" i="14" s="1"/>
  <c r="L5957" i="14" s="1"/>
  <c r="M5957" i="14" s="1"/>
  <c r="J5956" i="14"/>
  <c r="J5960" i="14"/>
  <c r="K5960" i="14" s="1"/>
  <c r="L5960" i="14" s="1"/>
  <c r="M5960" i="14" s="1"/>
  <c r="J5980" i="14"/>
  <c r="K5980" i="14" s="1"/>
  <c r="L5980" i="14" s="1"/>
  <c r="M5980" i="14" s="1"/>
  <c r="J5978" i="14"/>
  <c r="K5978" i="14" s="1"/>
  <c r="L5978" i="14" s="1"/>
  <c r="M5978" i="14" s="1"/>
  <c r="Q4149" i="14"/>
  <c r="Q1586" i="14"/>
  <c r="Q5298" i="14"/>
  <c r="Q2499" i="14"/>
  <c r="Q3307" i="14"/>
  <c r="Q4292" i="14"/>
  <c r="Q1195" i="14"/>
  <c r="Q4042" i="14"/>
  <c r="Q4813" i="14"/>
  <c r="Q2039" i="14"/>
  <c r="Q4562" i="14"/>
  <c r="Q3385" i="14"/>
  <c r="Q3661" i="14"/>
  <c r="Q4432" i="14"/>
  <c r="Q3124" i="14"/>
  <c r="Q3138" i="14"/>
  <c r="Q4328" i="14"/>
  <c r="Q2586" i="14"/>
  <c r="Q4884" i="14"/>
  <c r="Q1874" i="14"/>
  <c r="Q4425" i="14"/>
  <c r="Q3834" i="14"/>
  <c r="Q3861" i="14"/>
  <c r="Q2874" i="14"/>
  <c r="Q1684" i="14"/>
  <c r="Q744" i="14"/>
  <c r="Q5067" i="14"/>
  <c r="Q3047" i="14"/>
  <c r="Q2930" i="14"/>
  <c r="Q5256" i="14"/>
  <c r="Q5508" i="14"/>
  <c r="Q3136" i="14"/>
  <c r="Q3287" i="14"/>
  <c r="Q4720" i="14"/>
  <c r="Q3831" i="14"/>
  <c r="Q4584" i="14"/>
  <c r="Q2380" i="14"/>
  <c r="Q674" i="14"/>
  <c r="Q5193" i="14"/>
  <c r="Q2406" i="14"/>
  <c r="Q2986" i="14"/>
  <c r="Q3717" i="14"/>
  <c r="Q5156" i="14"/>
  <c r="Q2399" i="14"/>
  <c r="Q5833" i="14"/>
  <c r="Q5802" i="14"/>
  <c r="Q3762" i="14"/>
  <c r="Q2221" i="14"/>
  <c r="Q2081" i="14"/>
  <c r="Q2583" i="14"/>
  <c r="Q4711" i="14"/>
  <c r="Q1492" i="14"/>
  <c r="Q2381" i="14"/>
  <c r="Q3377" i="14"/>
  <c r="Q3653" i="14"/>
  <c r="Q4090" i="14"/>
  <c r="Q1568" i="14"/>
  <c r="Q1012" i="14"/>
  <c r="Q4749" i="14"/>
  <c r="Q4569" i="14"/>
  <c r="Q5202" i="14"/>
  <c r="Q1876" i="14"/>
  <c r="Q2804" i="14"/>
  <c r="Q3786" i="14"/>
  <c r="Q3600" i="14"/>
  <c r="Q2401" i="14"/>
  <c r="Q3179" i="14"/>
  <c r="Q4704" i="14"/>
  <c r="Q3122" i="14"/>
  <c r="Q4104" i="14"/>
  <c r="Q5244" i="14"/>
  <c r="Q1721" i="14"/>
  <c r="Q4169" i="14"/>
  <c r="Q1890" i="14"/>
  <c r="Q5033" i="14"/>
  <c r="Q3988" i="14"/>
  <c r="Q4722" i="14"/>
  <c r="Q5335" i="14"/>
  <c r="Q4137" i="14"/>
  <c r="Q5467" i="14"/>
  <c r="Q3640" i="14"/>
  <c r="Q5361" i="14"/>
  <c r="Q5634" i="14"/>
  <c r="Q2601" i="14"/>
  <c r="Q5483" i="14"/>
  <c r="Q5826" i="14"/>
  <c r="Q5044" i="14"/>
  <c r="Q2143" i="14"/>
  <c r="Q2305" i="14"/>
  <c r="Q4551" i="14"/>
  <c r="Q5124" i="14"/>
  <c r="Q4308" i="14"/>
  <c r="Q3277" i="14"/>
  <c r="Q2342" i="14"/>
  <c r="Q2855" i="14"/>
  <c r="Q3761" i="14"/>
  <c r="Q1763" i="14"/>
  <c r="Q4701" i="14"/>
  <c r="Q5057" i="14"/>
  <c r="Q2994" i="14"/>
  <c r="Q2749" i="14"/>
  <c r="Q3229" i="14"/>
  <c r="Q4044" i="14"/>
  <c r="Q3252" i="14"/>
  <c r="Q1866" i="14"/>
  <c r="Q4747" i="14"/>
  <c r="Q4505" i="14"/>
  <c r="Q5284" i="14"/>
  <c r="Q2172" i="14"/>
  <c r="Q1448" i="14"/>
  <c r="Q3092" i="14"/>
  <c r="Q3193" i="14"/>
  <c r="Q2037" i="14"/>
  <c r="Q2882" i="14"/>
  <c r="Q4666" i="14"/>
  <c r="Q3493" i="14"/>
  <c r="Q2522" i="14"/>
  <c r="Q5195" i="14"/>
  <c r="Q1104" i="14"/>
  <c r="Q4849" i="14"/>
  <c r="Q1204" i="14"/>
  <c r="Q1061" i="14"/>
  <c r="Q1062" i="14"/>
  <c r="Q4681" i="14"/>
  <c r="Q5607" i="14"/>
  <c r="Q4232" i="14"/>
  <c r="Q5554" i="14"/>
  <c r="Q1940" i="14"/>
  <c r="Q5608" i="14"/>
  <c r="Q5496" i="14"/>
  <c r="Q4304" i="14"/>
  <c r="Q5465" i="14"/>
  <c r="Q5829" i="14"/>
  <c r="Q4965" i="14"/>
  <c r="Q5032" i="14"/>
  <c r="Q4484" i="14"/>
  <c r="Q5264" i="14"/>
  <c r="Q1584" i="14"/>
  <c r="Q3554" i="14"/>
  <c r="Q3607" i="14"/>
  <c r="Q4113" i="14"/>
  <c r="Q1114" i="14"/>
  <c r="Q2593" i="14"/>
  <c r="Q4674" i="14"/>
  <c r="Q3864" i="14"/>
  <c r="Q672" i="14"/>
  <c r="Q2336" i="14"/>
  <c r="Q2023" i="14"/>
  <c r="Q3330" i="14"/>
  <c r="Q1177" i="14"/>
  <c r="Q2369" i="14"/>
  <c r="Q4811" i="14"/>
  <c r="Q1494" i="14"/>
  <c r="Q5349" i="14"/>
  <c r="Q1283" i="14"/>
  <c r="Q551" i="14"/>
  <c r="Q2234" i="14"/>
  <c r="Q3308" i="14"/>
  <c r="Q1724" i="14"/>
  <c r="Q4567" i="14"/>
  <c r="Q2756" i="14"/>
  <c r="Q3296" i="14"/>
  <c r="Q5313" i="14"/>
  <c r="Q911" i="14"/>
  <c r="Q4759" i="14"/>
  <c r="Q1277" i="14"/>
  <c r="Q2856" i="14"/>
  <c r="Q2808" i="14"/>
  <c r="Q4668" i="14"/>
  <c r="Q1486" i="14"/>
  <c r="Q1532" i="14"/>
  <c r="Q5575" i="14"/>
  <c r="Q5576" i="14"/>
  <c r="Q2645" i="14"/>
  <c r="Q1933" i="14"/>
  <c r="Q4141" i="14"/>
  <c r="Q5482" i="14"/>
  <c r="Q3643" i="14"/>
  <c r="Q5209" i="14"/>
  <c r="J5618" i="14"/>
  <c r="K5618" i="14" s="1"/>
  <c r="M5618" i="14" s="1"/>
  <c r="Q5291" i="14"/>
  <c r="Q5232" i="14"/>
  <c r="Q5069" i="14"/>
  <c r="Q5426" i="14"/>
  <c r="Q5152" i="14"/>
  <c r="Q3650" i="14"/>
  <c r="Q5836" i="14"/>
  <c r="Q5581" i="14"/>
  <c r="Q5563" i="14"/>
  <c r="Q5565" i="14"/>
  <c r="Q5879" i="14"/>
  <c r="Q4221" i="14"/>
  <c r="Q2657" i="14"/>
  <c r="Q2614" i="14"/>
  <c r="Q5604" i="14"/>
  <c r="Q5218" i="14"/>
  <c r="Q5786" i="14"/>
  <c r="Q2644" i="14"/>
  <c r="Q5129" i="14"/>
  <c r="Q5096" i="14"/>
  <c r="Q5240" i="14"/>
  <c r="Q5105" i="14"/>
  <c r="Q5020" i="14"/>
  <c r="Q5051" i="14"/>
  <c r="Q5249" i="14"/>
  <c r="Q5309" i="14"/>
  <c r="Q1806" i="14"/>
  <c r="Q2903" i="14"/>
  <c r="Q5804" i="14"/>
  <c r="Q5672" i="14"/>
  <c r="Q5697" i="14"/>
  <c r="Q5564" i="14"/>
  <c r="Q4386" i="14"/>
  <c r="Q4376" i="14"/>
  <c r="Q3979" i="14"/>
  <c r="Q5844" i="14"/>
  <c r="Q5145" i="14"/>
  <c r="Q2501" i="14"/>
  <c r="Q5495" i="14"/>
  <c r="Q5282" i="14"/>
  <c r="Q5143" i="14"/>
  <c r="Q5292" i="14"/>
  <c r="Q5170" i="14"/>
  <c r="J5949" i="14"/>
  <c r="K5949" i="14" s="1"/>
  <c r="Q4112" i="14"/>
  <c r="Q2463" i="14"/>
  <c r="Q2248" i="14"/>
  <c r="Q1617" i="14"/>
  <c r="Q1777" i="14"/>
  <c r="Q1661" i="14"/>
  <c r="Q1656" i="14"/>
  <c r="Q1711" i="14"/>
  <c r="Q2071" i="14"/>
  <c r="Q1629" i="14"/>
  <c r="Q3096" i="14"/>
  <c r="Q3268" i="14"/>
  <c r="Q1594" i="14"/>
  <c r="Q4124" i="14"/>
  <c r="Q667" i="14"/>
  <c r="Q1989" i="14"/>
  <c r="Q700" i="14"/>
  <c r="Q2068" i="14"/>
  <c r="Q2456" i="14"/>
  <c r="Q1165" i="14"/>
  <c r="Q2000" i="14"/>
  <c r="Q1251" i="14"/>
  <c r="Q2458" i="14"/>
  <c r="Q1635" i="14"/>
  <c r="Q3292" i="14"/>
  <c r="Q4183" i="14"/>
  <c r="Q2414" i="14"/>
  <c r="Q2408" i="14"/>
  <c r="Q3243" i="14"/>
  <c r="Q2242" i="14"/>
  <c r="Q517" i="14"/>
  <c r="Q1907" i="14"/>
  <c r="Q913" i="14"/>
  <c r="Q2040" i="14"/>
  <c r="J5946" i="14"/>
  <c r="K5946" i="14" s="1"/>
  <c r="Q4105" i="14"/>
  <c r="Q2473" i="14"/>
  <c r="Q740" i="14"/>
  <c r="Q1654" i="14"/>
  <c r="Q3112" i="14"/>
  <c r="Q2709" i="14"/>
  <c r="Q5509" i="14"/>
  <c r="Q2493" i="14"/>
  <c r="Q3649" i="14"/>
  <c r="Q5803" i="14"/>
  <c r="Q5828" i="14"/>
  <c r="Q5632" i="14"/>
  <c r="Q5537" i="14"/>
  <c r="Q4384" i="14"/>
  <c r="Q4375" i="14"/>
  <c r="Q4378" i="14"/>
  <c r="Q1528" i="14"/>
  <c r="Q5332" i="14"/>
  <c r="Q4985" i="14"/>
  <c r="Q5577" i="14"/>
  <c r="Q4234" i="14"/>
  <c r="Q4972" i="14"/>
  <c r="Q5224" i="14"/>
  <c r="Q5083" i="14"/>
  <c r="Q5175" i="14"/>
  <c r="Q5080" i="14"/>
  <c r="Q5120" i="14"/>
  <c r="Q4945" i="14"/>
  <c r="Q2495" i="14"/>
  <c r="Q1792" i="14"/>
  <c r="Q2111" i="14"/>
  <c r="Q5821" i="14"/>
  <c r="Q5723" i="14"/>
  <c r="Q5514" i="14"/>
  <c r="Q5458" i="14"/>
  <c r="Q1475" i="14"/>
  <c r="Q3130" i="14"/>
  <c r="Q2606" i="14"/>
  <c r="Q5447" i="14"/>
  <c r="Q5275" i="14"/>
  <c r="Q1938" i="14"/>
  <c r="Q5570" i="14"/>
  <c r="Q5060" i="14"/>
  <c r="Q5290" i="14"/>
  <c r="Q5305" i="14"/>
  <c r="Q5015" i="14"/>
  <c r="J5943" i="14"/>
  <c r="Q4100" i="14"/>
  <c r="Q1063" i="14"/>
  <c r="Q1228" i="14"/>
  <c r="Q2752" i="14"/>
  <c r="Q3076" i="14"/>
  <c r="Q1461" i="14"/>
  <c r="Q1779" i="14"/>
  <c r="Q2737" i="14"/>
  <c r="Q3106" i="14"/>
  <c r="Q3389" i="14"/>
  <c r="Q1257" i="14"/>
  <c r="Q2217" i="14"/>
  <c r="Q3052" i="14"/>
  <c r="Q4123" i="14"/>
  <c r="Q2472" i="14"/>
  <c r="Q2466" i="14"/>
  <c r="Q3058" i="14"/>
  <c r="Q877" i="14"/>
  <c r="Q1909" i="14"/>
  <c r="Q3499" i="14"/>
  <c r="Q873" i="14"/>
  <c r="Q1253" i="14"/>
  <c r="Q3724" i="14"/>
  <c r="Q3303" i="14"/>
  <c r="Q2569" i="14"/>
  <c r="Q4101" i="14"/>
  <c r="Q666" i="14"/>
  <c r="Q1996" i="14"/>
  <c r="Q1578" i="14"/>
  <c r="Q2013" i="14"/>
  <c r="Q2235" i="14"/>
  <c r="Q3184" i="14"/>
  <c r="Q1622" i="14"/>
  <c r="Q738" i="14"/>
  <c r="J2127" i="14"/>
  <c r="Q2310" i="14"/>
  <c r="Q2420" i="14"/>
  <c r="Q2247" i="14"/>
  <c r="Q1232" i="14"/>
  <c r="Q2208" i="14"/>
  <c r="Q1641" i="14"/>
  <c r="Q2392" i="14"/>
  <c r="Q2764" i="14"/>
  <c r="Q1865" i="14"/>
  <c r="Q558" i="14"/>
  <c r="Q1352" i="14"/>
  <c r="Q1509" i="14"/>
  <c r="Q2240" i="14"/>
  <c r="Q4732" i="14"/>
  <c r="Q2036" i="14"/>
  <c r="Q3658" i="14"/>
  <c r="Q3666" i="14"/>
  <c r="Q4040" i="14"/>
  <c r="Q2757" i="14"/>
  <c r="Q2284" i="14"/>
  <c r="Q2176" i="14"/>
  <c r="Q3029" i="14"/>
  <c r="Q3597" i="14"/>
  <c r="Q2884" i="14"/>
  <c r="Q2698" i="14"/>
  <c r="Q1441" i="14"/>
  <c r="Q4129" i="14"/>
  <c r="Q1720" i="14"/>
  <c r="Q1581" i="14"/>
  <c r="Q1025" i="14"/>
  <c r="Q1100" i="14"/>
  <c r="Q1248" i="14"/>
  <c r="Q2481" i="14"/>
  <c r="Q2205" i="14"/>
  <c r="Q1407" i="14"/>
  <c r="Q3354" i="14"/>
  <c r="Q2676" i="14"/>
  <c r="Q3808" i="14"/>
  <c r="Q3018" i="14"/>
  <c r="Q1992" i="14"/>
  <c r="Q1113" i="14"/>
  <c r="Q1906" i="14"/>
  <c r="Q2212" i="14"/>
  <c r="Q1455" i="14"/>
  <c r="Q2133" i="14"/>
  <c r="Q2857" i="14"/>
  <c r="Q3472" i="14"/>
  <c r="Q1064" i="14"/>
  <c r="Q1869" i="14"/>
  <c r="Q1433" i="14"/>
  <c r="Q2175" i="14"/>
  <c r="Q2450" i="14"/>
  <c r="Q2818" i="14"/>
  <c r="Q2891" i="14"/>
  <c r="Q3719" i="14"/>
  <c r="Q3420" i="14"/>
  <c r="Q3376" i="14"/>
  <c r="Q1696" i="14"/>
  <c r="Q3410" i="14"/>
  <c r="Q2089" i="14"/>
  <c r="Q3948" i="14"/>
  <c r="Q2100" i="14"/>
  <c r="Q3949" i="14"/>
  <c r="Q2411" i="14"/>
  <c r="Q878" i="14"/>
  <c r="Q739" i="14"/>
  <c r="Q511" i="14"/>
  <c r="Q1832" i="14"/>
  <c r="Q3729" i="14"/>
  <c r="Q1705" i="14"/>
  <c r="Q3370" i="14"/>
  <c r="Q3748" i="14"/>
  <c r="Q3612" i="14"/>
  <c r="Q3143" i="14"/>
  <c r="Q3405" i="14"/>
  <c r="Q2102" i="14"/>
  <c r="Q3944" i="14"/>
  <c r="Q2184" i="14"/>
  <c r="Q2889" i="14"/>
  <c r="Q2834" i="14"/>
  <c r="Q348" i="14"/>
  <c r="Q1922" i="14"/>
  <c r="Q3403" i="14"/>
  <c r="Q3913" i="14"/>
  <c r="Q3153" i="14"/>
  <c r="Q1955" i="14"/>
  <c r="Q3346" i="14"/>
  <c r="Q2788" i="14"/>
  <c r="Q633" i="14"/>
  <c r="Q3445" i="14"/>
  <c r="Q709" i="14"/>
  <c r="Q2893" i="14"/>
  <c r="Q3709" i="14"/>
  <c r="Q1923" i="14"/>
  <c r="Q5266" i="14"/>
  <c r="Q1820" i="14"/>
  <c r="Q3001" i="14"/>
  <c r="Q5816" i="14"/>
  <c r="Q5753" i="14"/>
  <c r="Q5479" i="14"/>
  <c r="Q5525" i="14"/>
  <c r="Q4418" i="14"/>
  <c r="Q1485" i="14"/>
  <c r="Q2957" i="14"/>
  <c r="Q4407" i="14"/>
  <c r="Q5076" i="14"/>
  <c r="Q5280" i="14"/>
  <c r="Q5560" i="14"/>
  <c r="Q2950" i="14"/>
  <c r="Q5160" i="14"/>
  <c r="Q4941" i="14"/>
  <c r="Q5300" i="14"/>
  <c r="Q5233" i="14"/>
  <c r="Q5148" i="14"/>
  <c r="Q5179" i="14"/>
  <c r="Q5024" i="14"/>
  <c r="Q2496" i="14"/>
  <c r="Q1935" i="14"/>
  <c r="Q2109" i="14"/>
  <c r="Q5744" i="14"/>
  <c r="Q5721" i="14"/>
  <c r="Q5629" i="14"/>
  <c r="Q5884" i="14"/>
  <c r="Q2637" i="14"/>
  <c r="Q2441" i="14"/>
  <c r="Q4212" i="14"/>
  <c r="Q5553" i="14"/>
  <c r="Q5178" i="14"/>
  <c r="Q2105" i="14"/>
  <c r="Q1542" i="14"/>
  <c r="Q5257" i="14"/>
  <c r="Q2498" i="14"/>
  <c r="Q5010" i="14"/>
  <c r="Q5221" i="14"/>
  <c r="J2126" i="14"/>
  <c r="Q2871" i="14"/>
  <c r="Q4033" i="14"/>
  <c r="Q3274" i="14"/>
  <c r="Q1432" i="14"/>
  <c r="Q2005" i="14"/>
  <c r="Q2398" i="14"/>
  <c r="Q2589" i="14"/>
  <c r="Q548" i="14"/>
  <c r="Q2853" i="14"/>
  <c r="Q1585" i="14"/>
  <c r="Q3239" i="14"/>
  <c r="Q705" i="14"/>
  <c r="Q2572" i="14"/>
  <c r="Q4244" i="14"/>
  <c r="Q1997" i="14"/>
  <c r="Q2416" i="14"/>
  <c r="Q1610" i="14"/>
  <c r="Q3261" i="14"/>
  <c r="Q2272" i="14"/>
  <c r="Q1347" i="14"/>
  <c r="Q2069" i="14"/>
  <c r="Q1348" i="14"/>
  <c r="Q1628" i="14"/>
  <c r="Q1016" i="14"/>
  <c r="J5947" i="14"/>
  <c r="K5947" i="14" s="1"/>
  <c r="Q4249" i="14"/>
  <c r="Q1984" i="14"/>
  <c r="Q1445" i="14"/>
  <c r="Q1018" i="14"/>
  <c r="Q549" i="14"/>
  <c r="Q1164" i="14"/>
  <c r="Q1840" i="14"/>
  <c r="Q867" i="14"/>
  <c r="Q2268" i="14"/>
  <c r="J2125" i="14"/>
  <c r="Q2872" i="14"/>
  <c r="Q2417" i="14"/>
  <c r="Q701" i="14"/>
  <c r="Q1107" i="14"/>
  <c r="Q868" i="14"/>
  <c r="Q2280" i="14"/>
  <c r="Q3753" i="14"/>
  <c r="Q1108" i="14"/>
  <c r="Q1653" i="14"/>
  <c r="Q3285" i="14"/>
  <c r="Q1632" i="14"/>
  <c r="Q909" i="14"/>
  <c r="Q2452" i="14"/>
  <c r="Q2476" i="14"/>
  <c r="Q3784" i="14"/>
  <c r="Q2124" i="14"/>
  <c r="Q3460" i="14"/>
  <c r="Q2460" i="14"/>
  <c r="Q1245" i="14"/>
  <c r="Q1630" i="14"/>
  <c r="Q1435" i="14"/>
  <c r="Q2577" i="14"/>
  <c r="Q1773" i="14"/>
  <c r="Q1969" i="14"/>
  <c r="Q1570" i="14"/>
  <c r="Q3611" i="14"/>
  <c r="Q4256" i="14"/>
  <c r="Q3250" i="14"/>
  <c r="Q1101" i="14"/>
  <c r="Q1636" i="14"/>
  <c r="Q1569" i="14"/>
  <c r="Q2860" i="14"/>
  <c r="Q3348" i="14"/>
  <c r="Q2488" i="14"/>
  <c r="Q2689" i="14"/>
  <c r="Q2052" i="14"/>
  <c r="Q1968" i="14"/>
  <c r="Q3932" i="14"/>
  <c r="J2124" i="14"/>
  <c r="Q3264" i="14"/>
  <c r="Q2024" i="14"/>
  <c r="Q1508" i="14"/>
  <c r="Q3388" i="14"/>
  <c r="Q1026" i="14"/>
  <c r="Q3992" i="14"/>
  <c r="Q2132" i="14"/>
  <c r="Q4725" i="14"/>
  <c r="Q1985" i="14"/>
  <c r="Q1645" i="14"/>
  <c r="Q556" i="14"/>
  <c r="Q1518" i="14"/>
  <c r="Q1576" i="14"/>
  <c r="Q3466" i="14"/>
  <c r="Q2817" i="14"/>
  <c r="Q3424" i="14"/>
  <c r="Q2677" i="14"/>
  <c r="Q3418" i="14"/>
  <c r="Q3960" i="14"/>
  <c r="Q3904" i="14"/>
  <c r="Q3480" i="14"/>
  <c r="Q3570" i="14"/>
  <c r="Q3488" i="14"/>
  <c r="J5953" i="14"/>
  <c r="K5953" i="14" s="1"/>
  <c r="Q1991" i="14"/>
  <c r="Q2038" i="14"/>
  <c r="Q3178" i="14"/>
  <c r="Q1732" i="14"/>
  <c r="Q3312" i="14"/>
  <c r="Q3760" i="14"/>
  <c r="Q3723" i="14"/>
  <c r="Q3756" i="14"/>
  <c r="Q2675" i="14"/>
  <c r="Q3417" i="14"/>
  <c r="Q3970" i="14"/>
  <c r="Q3892" i="14"/>
  <c r="Q3485" i="14"/>
  <c r="Q3562" i="14"/>
  <c r="Q2265" i="14"/>
  <c r="Q3592" i="14"/>
  <c r="Q929" i="14"/>
  <c r="Q3879" i="14"/>
  <c r="Q5111" i="14"/>
  <c r="Q1805" i="14"/>
  <c r="Q2907" i="14"/>
  <c r="Q5819" i="14"/>
  <c r="Q5682" i="14"/>
  <c r="Q5684" i="14"/>
  <c r="Q5500" i="14"/>
  <c r="Q4058" i="14"/>
  <c r="Q4057" i="14"/>
  <c r="Q4217" i="14"/>
  <c r="Q5450" i="14"/>
  <c r="Q4922" i="14"/>
  <c r="Q2148" i="14"/>
  <c r="Q5691" i="14"/>
  <c r="Q5301" i="14"/>
  <c r="Q5161" i="14"/>
  <c r="Q5138" i="14"/>
  <c r="Q2145" i="14"/>
  <c r="Q5303" i="14"/>
  <c r="Q5208" i="14"/>
  <c r="Q5258" i="14"/>
  <c r="Q5093" i="14"/>
  <c r="Q2142" i="14"/>
  <c r="Q3641" i="14"/>
  <c r="Q5831" i="14"/>
  <c r="Q5579" i="14"/>
  <c r="Q5557" i="14"/>
  <c r="Q5532" i="14"/>
  <c r="Q5889" i="14"/>
  <c r="Q3972" i="14"/>
  <c r="Q2653" i="14"/>
  <c r="Q4389" i="14"/>
  <c r="Q5405" i="14"/>
  <c r="Q5090" i="14"/>
  <c r="Q5746" i="14"/>
  <c r="Q2429" i="14"/>
  <c r="Q5100" i="14"/>
  <c r="Q2137" i="14"/>
  <c r="Q5197" i="14"/>
  <c r="Q2500" i="14"/>
  <c r="Q4178" i="14"/>
  <c r="Q4039" i="14"/>
  <c r="Q1988" i="14"/>
  <c r="Q2008" i="14"/>
  <c r="Q2266" i="14"/>
  <c r="Q3304" i="14"/>
  <c r="Q1024" i="14"/>
  <c r="Q2760" i="14"/>
  <c r="Q2865" i="14"/>
  <c r="Q1234" i="14"/>
  <c r="Q2778" i="14"/>
  <c r="Q2578" i="14"/>
  <c r="Q2712" i="14"/>
  <c r="J5948" i="14"/>
  <c r="K5948" i="14" s="1"/>
  <c r="Q2301" i="14"/>
  <c r="Q2412" i="14"/>
  <c r="Q3276" i="14"/>
  <c r="Q735" i="14"/>
  <c r="Q3495" i="14"/>
  <c r="Q1244" i="14"/>
  <c r="Q3117" i="14"/>
  <c r="Q1737" i="14"/>
  <c r="Q1619" i="14"/>
  <c r="Q513" i="14"/>
  <c r="Q515" i="14"/>
  <c r="J5940" i="14"/>
  <c r="Q4251" i="14"/>
  <c r="Q2474" i="14"/>
  <c r="Q1341" i="14"/>
  <c r="Q2033" i="14"/>
  <c r="Q737" i="14"/>
  <c r="Q1713" i="14"/>
  <c r="Q3082" i="14"/>
  <c r="Q3196" i="14"/>
  <c r="Q2719" i="14"/>
  <c r="Q4120" i="14"/>
  <c r="Q1065" i="14"/>
  <c r="Q1069" i="14"/>
  <c r="Q1287" i="14"/>
  <c r="Q1778" i="14"/>
  <c r="Q1904" i="14"/>
  <c r="Q1914" i="14"/>
  <c r="Q3057" i="14"/>
  <c r="Q1872" i="14"/>
  <c r="Q2573" i="14"/>
  <c r="Q2236" i="14"/>
  <c r="Q1583" i="14"/>
  <c r="Q3201" i="14"/>
  <c r="Q1288" i="14"/>
  <c r="Q3352" i="14"/>
  <c r="Q5307" i="14"/>
  <c r="Q1817" i="14"/>
  <c r="Q2104" i="14"/>
  <c r="Q5785" i="14"/>
  <c r="Q5668" i="14"/>
  <c r="Q5674" i="14"/>
  <c r="Q5429" i="14"/>
  <c r="Q3975" i="14"/>
  <c r="Q4146" i="14"/>
  <c r="Q2428" i="14"/>
  <c r="Q5545" i="14"/>
  <c r="Q5109" i="14"/>
  <c r="Q1796" i="14"/>
  <c r="Q5624" i="14"/>
  <c r="Q5213" i="14"/>
  <c r="Q5064" i="14"/>
  <c r="Q4983" i="14"/>
  <c r="Q5261" i="14"/>
  <c r="Q5314" i="14"/>
  <c r="Q5276" i="14"/>
  <c r="Q5101" i="14"/>
  <c r="Q5172" i="14"/>
  <c r="Q2149" i="14"/>
  <c r="Q3648" i="14"/>
  <c r="Q5789" i="14"/>
  <c r="Q5801" i="14"/>
  <c r="Q5625" i="14"/>
  <c r="Q5527" i="14"/>
  <c r="Q2604" i="14"/>
  <c r="Q2613" i="14"/>
  <c r="Q4412" i="14"/>
  <c r="Q4007" i="14"/>
  <c r="Q4336" i="14"/>
  <c r="Q5141" i="14"/>
  <c r="Q5671" i="14"/>
  <c r="Q4225" i="14"/>
  <c r="Q5297" i="14"/>
  <c r="Q5036" i="14"/>
  <c r="Q5041" i="14"/>
  <c r="Q2140" i="14"/>
  <c r="Q4192" i="14"/>
  <c r="Q2468" i="14"/>
  <c r="Q2461" i="14"/>
  <c r="Q3249" i="14"/>
  <c r="Q3077" i="14"/>
  <c r="Q1762" i="14"/>
  <c r="Q3208" i="14"/>
  <c r="Q1761" i="14"/>
  <c r="Q2765" i="14"/>
  <c r="Q3652" i="14"/>
  <c r="Q2082" i="14"/>
  <c r="Q3040" i="14"/>
  <c r="Q1731" i="14"/>
  <c r="J5941" i="14"/>
  <c r="K5941" i="14" s="1"/>
  <c r="Q2296" i="14"/>
  <c r="Q4034" i="14"/>
  <c r="Q871" i="14"/>
  <c r="Q2233" i="14"/>
  <c r="Q3041" i="14"/>
  <c r="Q1020" i="14"/>
  <c r="Q2457" i="14"/>
  <c r="Q1510" i="14"/>
  <c r="Q2704" i="14"/>
  <c r="Q1727" i="14"/>
  <c r="Q544" i="14"/>
  <c r="J2128" i="14"/>
  <c r="Q2877" i="14"/>
  <c r="Q2464" i="14"/>
  <c r="Q3204" i="14"/>
  <c r="Q3177" i="14"/>
  <c r="Q1221" i="14"/>
  <c r="Q1649" i="14"/>
  <c r="Q3657" i="14"/>
  <c r="Q2331" i="14"/>
  <c r="Q1633" i="14"/>
  <c r="Q4125" i="14"/>
  <c r="Q2415" i="14"/>
  <c r="Q2422" i="14"/>
  <c r="Q3298" i="14"/>
  <c r="Q2044" i="14"/>
  <c r="Q1173" i="14"/>
  <c r="Q1178" i="14"/>
  <c r="Q732" i="14"/>
  <c r="Q3189" i="14"/>
  <c r="Q2805" i="14"/>
  <c r="Q1873" i="14"/>
  <c r="Q1340" i="14"/>
  <c r="Q2769" i="14"/>
  <c r="Q870" i="14"/>
  <c r="Q2061" i="14"/>
  <c r="Q2680" i="14"/>
  <c r="Q2482" i="14"/>
  <c r="J5952" i="14"/>
  <c r="Q3034" i="14"/>
  <c r="Q3317" i="14"/>
  <c r="Q2728" i="14"/>
  <c r="Q1861" i="14"/>
  <c r="Q1345" i="14"/>
  <c r="Q3688" i="14"/>
  <c r="Q3364" i="14"/>
  <c r="Q3696" i="14"/>
  <c r="Q2668" i="14"/>
  <c r="Q669" i="14"/>
  <c r="Q3316" i="14"/>
  <c r="Q1252" i="14"/>
  <c r="Q3186" i="14"/>
  <c r="Q1019" i="14"/>
  <c r="Q2404" i="14"/>
  <c r="Q3351" i="14"/>
  <c r="Q3504" i="14"/>
  <c r="Q2128" i="14"/>
  <c r="Q2584" i="14"/>
  <c r="Q1698" i="14"/>
  <c r="Q3816" i="14"/>
  <c r="Q2880" i="14"/>
  <c r="Q516" i="14"/>
  <c r="Q3173" i="14"/>
  <c r="Q1597" i="14"/>
  <c r="Q2332" i="14"/>
  <c r="Q2717" i="14"/>
  <c r="Q2688" i="14"/>
  <c r="Q1404" i="14"/>
  <c r="Q4108" i="14"/>
  <c r="Q2245" i="14"/>
  <c r="Q508" i="14"/>
  <c r="Q3369" i="14"/>
  <c r="Q1769" i="14"/>
  <c r="Q2729" i="14"/>
  <c r="Q1405" i="14"/>
  <c r="Q4736" i="14"/>
  <c r="Q1977" i="14"/>
  <c r="Q2896" i="14"/>
  <c r="Q2483" i="14"/>
  <c r="Q3530" i="14"/>
  <c r="Q3450" i="14"/>
  <c r="Q3938" i="14"/>
  <c r="Q3771" i="14"/>
  <c r="Q3929" i="14"/>
  <c r="Q2309" i="14"/>
  <c r="Q1738" i="14"/>
  <c r="Q2279" i="14"/>
  <c r="Q3328" i="14"/>
  <c r="Q702" i="14"/>
  <c r="Q2032" i="14"/>
  <c r="Q1408" i="14"/>
  <c r="Q4728" i="14"/>
  <c r="Q1980" i="14"/>
  <c r="Q2892" i="14"/>
  <c r="Q2484" i="14"/>
  <c r="Q3536" i="14"/>
  <c r="Q3448" i="14"/>
  <c r="Q3933" i="14"/>
  <c r="Q1837" i="14"/>
  <c r="Q2898" i="14"/>
  <c r="Q1411" i="14"/>
  <c r="Q3345" i="14"/>
  <c r="Q3897" i="14"/>
  <c r="Q356" i="14"/>
  <c r="Q3483" i="14"/>
  <c r="Q3559" i="14"/>
  <c r="Q2832" i="14"/>
  <c r="Q3339" i="14"/>
  <c r="Q3632" i="14"/>
  <c r="Q3852" i="14"/>
  <c r="Q3556" i="14"/>
  <c r="Q2848" i="14"/>
  <c r="Q1454" i="14"/>
  <c r="Q2261" i="14"/>
  <c r="Q4936" i="14"/>
  <c r="Q1944" i="14"/>
  <c r="Q2110" i="14"/>
  <c r="Q5735" i="14"/>
  <c r="Q5720" i="14"/>
  <c r="Q5499" i="14"/>
  <c r="Q5885" i="14"/>
  <c r="Q2947" i="14"/>
  <c r="Q4229" i="14"/>
  <c r="Q4136" i="14"/>
  <c r="Q4370" i="14"/>
  <c r="Q5021" i="14"/>
  <c r="Q2999" i="14"/>
  <c r="Q5620" i="14"/>
  <c r="Q4932" i="14"/>
  <c r="Q5252" i="14"/>
  <c r="Q5169" i="14"/>
  <c r="Q5047" i="14"/>
  <c r="Q4952" i="14"/>
  <c r="Q4992" i="14"/>
  <c r="Q5180" i="14"/>
  <c r="Q5241" i="14"/>
  <c r="Q1821" i="14"/>
  <c r="Q3003" i="14"/>
  <c r="Q5799" i="14"/>
  <c r="Q5761" i="14"/>
  <c r="Q5533" i="14"/>
  <c r="Q5506" i="14"/>
  <c r="Q4140" i="14"/>
  <c r="Q2665" i="14"/>
  <c r="Q4060" i="14"/>
  <c r="Q4231" i="14"/>
  <c r="Q5905" i="14"/>
  <c r="Q5132" i="14"/>
  <c r="Q5698" i="14"/>
  <c r="Q5085" i="14"/>
  <c r="Q5308" i="14"/>
  <c r="Q5164" i="14"/>
  <c r="Q5239" i="14"/>
  <c r="Q1293" i="14"/>
  <c r="Q4106" i="14"/>
  <c r="Q2413" i="14"/>
  <c r="Q1987" i="14"/>
  <c r="Q2045" i="14"/>
  <c r="Q2004" i="14"/>
  <c r="Q2007" i="14"/>
  <c r="Q1775" i="14"/>
  <c r="Q2281" i="14"/>
  <c r="Q1725" i="14"/>
  <c r="Q2213" i="14"/>
  <c r="Q2025" i="14"/>
  <c r="Q1462" i="14"/>
  <c r="Q3256" i="14"/>
  <c r="J2123" i="14"/>
  <c r="Q4087" i="14"/>
  <c r="Q2465" i="14"/>
  <c r="Q2260" i="14"/>
  <c r="Q1513" i="14"/>
  <c r="Q547" i="14"/>
  <c r="Q3275" i="14"/>
  <c r="Q2812" i="14"/>
  <c r="Q522" i="14"/>
  <c r="Q1708" i="14"/>
  <c r="Q1623" i="14"/>
  <c r="Q1229" i="14"/>
  <c r="Q4130" i="14"/>
  <c r="Q1068" i="14"/>
  <c r="Q664" i="14"/>
  <c r="Q865" i="14"/>
  <c r="Q2448" i="14"/>
  <c r="Q2736" i="14"/>
  <c r="Q2283" i="14"/>
  <c r="Q1842" i="14"/>
  <c r="Q663" i="14"/>
  <c r="J5954" i="14"/>
  <c r="K5954" i="14" s="1"/>
  <c r="Q2302" i="14"/>
  <c r="Q1060" i="14"/>
  <c r="Q2421" i="14"/>
  <c r="Q3045" i="14"/>
  <c r="Q514" i="14"/>
  <c r="Q2770" i="14"/>
  <c r="Q3205" i="14"/>
  <c r="Q1176" i="14"/>
  <c r="Q1511" i="14"/>
  <c r="Q2745" i="14"/>
  <c r="Q2001" i="14"/>
  <c r="Q3591" i="14"/>
  <c r="Q1784" i="14"/>
  <c r="Q3371" i="14"/>
  <c r="Q1695" i="14"/>
  <c r="Q1976" i="14"/>
  <c r="Q3360" i="14"/>
  <c r="Q4154" i="14"/>
  <c r="Q3213" i="14"/>
  <c r="Q2073" i="14"/>
  <c r="Q1017" i="14"/>
  <c r="Q1828" i="14"/>
  <c r="Q1722" i="14"/>
  <c r="Q2681" i="14"/>
  <c r="Q3749" i="14"/>
  <c r="Q2673" i="14"/>
  <c r="Q1971" i="14"/>
  <c r="Q2467" i="14"/>
  <c r="Q3051" i="14"/>
  <c r="Q2716" i="14"/>
  <c r="Q2290" i="14"/>
  <c r="Q1657" i="14"/>
  <c r="Q4437" i="14"/>
  <c r="Q3496" i="14"/>
  <c r="Q3789" i="14"/>
  <c r="Q4737" i="14"/>
  <c r="Q2134" i="14"/>
  <c r="Q2096" i="14"/>
  <c r="Q3943" i="14"/>
  <c r="Q1993" i="14"/>
  <c r="Q3036" i="14"/>
  <c r="Q3322" i="14"/>
  <c r="Q1444" i="14"/>
  <c r="Q1168" i="14"/>
  <c r="Q1437" i="14"/>
  <c r="Q3705" i="14"/>
  <c r="Q3701" i="14"/>
  <c r="Q4088" i="14"/>
  <c r="Q2289" i="14"/>
  <c r="Q1571" i="14"/>
  <c r="Q1353" i="14"/>
  <c r="Q1759" i="14"/>
  <c r="Q1109" i="14"/>
  <c r="Q2685" i="14"/>
  <c r="Q1409" i="14"/>
  <c r="Q2885" i="14"/>
  <c r="Q3712" i="14"/>
  <c r="Q1981" i="14"/>
  <c r="Q3881" i="14"/>
  <c r="Q1557" i="14"/>
  <c r="Q3912" i="14"/>
  <c r="Q1921" i="14"/>
  <c r="Q3922" i="14"/>
  <c r="Q4096" i="14"/>
  <c r="Q2074" i="14"/>
  <c r="Q3394" i="14"/>
  <c r="Q2866" i="14"/>
  <c r="Q3028" i="14"/>
  <c r="Q2244" i="14"/>
  <c r="Q2888" i="14"/>
  <c r="Q1413" i="14"/>
  <c r="Q2056" i="14"/>
  <c r="Q1699" i="14"/>
  <c r="Q3357" i="14"/>
  <c r="Q3882" i="14"/>
  <c r="Q1544" i="14"/>
  <c r="Q3911" i="14"/>
  <c r="Q1780" i="14"/>
  <c r="Q2697" i="14"/>
  <c r="Q3714" i="14"/>
  <c r="Q1930" i="14"/>
  <c r="Q1753" i="14"/>
  <c r="Q2826" i="14"/>
  <c r="Q3796" i="14"/>
  <c r="Q3025" i="14"/>
  <c r="Q788" i="14"/>
  <c r="Q2629" i="14"/>
  <c r="Q3524" i="14"/>
  <c r="Q1552" i="14"/>
  <c r="Q3440" i="14"/>
  <c r="Q2409" i="14"/>
  <c r="Q3349" i="14"/>
  <c r="Q3232" i="14"/>
  <c r="Q631" i="14"/>
  <c r="Q932" i="14"/>
  <c r="Q1831" i="14"/>
  <c r="Q1453" i="14"/>
  <c r="Q2053" i="14"/>
  <c r="Q1730" i="14"/>
  <c r="Q3105" i="14"/>
  <c r="Q3353" i="14"/>
  <c r="Q1171" i="14"/>
  <c r="Q2550" i="14"/>
  <c r="Q4000" i="14"/>
  <c r="Q3489" i="14"/>
  <c r="Q3237" i="14"/>
  <c r="Q3280" i="14"/>
  <c r="Q2123" i="14"/>
  <c r="Q2968" i="14"/>
  <c r="Q2547" i="14"/>
  <c r="Q3730" i="14"/>
  <c r="Q2800" i="14"/>
  <c r="Q2920" i="14"/>
  <c r="Q703" i="14"/>
  <c r="Q733" i="14"/>
  <c r="Q1697" i="14"/>
  <c r="Q2064" i="14"/>
  <c r="Q3821" i="14"/>
  <c r="Q3671" i="14"/>
  <c r="Q3962" i="14"/>
  <c r="Q3947" i="14"/>
  <c r="Q1752" i="14"/>
  <c r="Q3906" i="14"/>
  <c r="Q1856" i="14"/>
  <c r="Q2066" i="14"/>
  <c r="Q3961" i="14"/>
  <c r="Q3738" i="14"/>
  <c r="Q3399" i="14"/>
  <c r="Q3916" i="14"/>
  <c r="Q3149" i="14"/>
  <c r="Q767" i="14"/>
  <c r="Q3664" i="14"/>
  <c r="Q3820" i="14"/>
  <c r="Q789" i="14"/>
  <c r="Q3157" i="14"/>
  <c r="Q3161" i="14"/>
  <c r="Q3401" i="14"/>
  <c r="Q3482" i="14"/>
  <c r="Q3557" i="14"/>
  <c r="Q3160" i="14"/>
  <c r="Q1949" i="14"/>
  <c r="Q2157" i="14"/>
  <c r="Q1845" i="14"/>
  <c r="Q2529" i="14"/>
  <c r="Q1564" i="14"/>
  <c r="Q1417" i="14"/>
  <c r="Q355" i="14"/>
  <c r="Q3677" i="14"/>
  <c r="Q1558" i="14"/>
  <c r="Q920" i="14"/>
  <c r="Q3880" i="14"/>
  <c r="Q1551" i="14"/>
  <c r="Q3825" i="14"/>
  <c r="Q2165" i="14"/>
  <c r="Q3920" i="14"/>
  <c r="Q2160" i="14"/>
  <c r="Q3431" i="14"/>
  <c r="Q4426" i="14"/>
  <c r="Q1609" i="14"/>
  <c r="Q1706" i="14"/>
  <c r="Q779" i="14"/>
  <c r="Q2820" i="14"/>
  <c r="Q3442" i="14"/>
  <c r="Q3954" i="14"/>
  <c r="Q921" i="14"/>
  <c r="Q3956" i="14"/>
  <c r="Q3896" i="14"/>
  <c r="Q2620" i="14"/>
  <c r="Q3818" i="14"/>
  <c r="Q1920" i="14"/>
  <c r="Q3434" i="14"/>
  <c r="Q2531" i="14"/>
  <c r="Q2821" i="14"/>
  <c r="Q3437" i="14"/>
  <c r="Q3744" i="14"/>
  <c r="Q3544" i="14"/>
  <c r="Q4744" i="14"/>
  <c r="Q2195" i="14"/>
  <c r="Q1648" i="14"/>
  <c r="Q2046" i="14"/>
  <c r="Q1850" i="14"/>
  <c r="Q2022" i="14"/>
  <c r="Q5274" i="14"/>
  <c r="Q1512" i="14"/>
  <c r="Q3425" i="14"/>
  <c r="Q2193" i="14"/>
  <c r="Q1167" i="14"/>
  <c r="Q3610" i="14"/>
  <c r="Q3220" i="14"/>
  <c r="Q1717" i="14"/>
  <c r="Q1021" i="14"/>
  <c r="Q2964" i="14"/>
  <c r="Q3921" i="14"/>
  <c r="Q1105" i="14"/>
  <c r="Q2548" i="14"/>
  <c r="J2120" i="14"/>
  <c r="Q1452" i="14"/>
  <c r="Q4730" i="14"/>
  <c r="Q1418" i="14"/>
  <c r="Q3853" i="14"/>
  <c r="Q3799" i="14"/>
  <c r="Q3297" i="14"/>
  <c r="Q1651" i="14"/>
  <c r="Q2674" i="14"/>
  <c r="Q3620" i="14"/>
  <c r="Q4027" i="14"/>
  <c r="Q630" i="14"/>
  <c r="Q3908" i="14"/>
  <c r="Q3770" i="14"/>
  <c r="Q3436" i="14"/>
  <c r="Q3736" i="14"/>
  <c r="Q2198" i="14"/>
  <c r="Q1410" i="14"/>
  <c r="Q352" i="14"/>
  <c r="Q3145" i="14"/>
  <c r="Q636" i="14"/>
  <c r="Q3812" i="14"/>
  <c r="Q4028" i="14"/>
  <c r="Q2565" i="14"/>
  <c r="Q3997" i="14"/>
  <c r="Q3563" i="14"/>
  <c r="Q3409" i="14"/>
  <c r="Q3668" i="14"/>
  <c r="Q3963" i="14"/>
  <c r="Q3895" i="14"/>
  <c r="Q3797" i="14"/>
  <c r="Q3019" i="14"/>
  <c r="Q3680" i="14"/>
  <c r="Q625" i="14"/>
  <c r="Q2622" i="14"/>
  <c r="Q2368" i="14"/>
  <c r="Q2536" i="14"/>
  <c r="Q3589" i="14"/>
  <c r="Q1704" i="14"/>
  <c r="Q790" i="14"/>
  <c r="Q3533" i="14"/>
  <c r="Q3433" i="14"/>
  <c r="Q1952" i="14"/>
  <c r="Q2796" i="14"/>
  <c r="Q2094" i="14"/>
  <c r="Q3941" i="14"/>
  <c r="Q1545" i="14"/>
  <c r="Q3815" i="14"/>
  <c r="Q2619" i="14"/>
  <c r="Q3745" i="14"/>
  <c r="Q4184" i="14"/>
  <c r="Q2669" i="14"/>
  <c r="Q763" i="14"/>
  <c r="Q1948" i="14"/>
  <c r="Q2794" i="14"/>
  <c r="Q2093" i="14"/>
  <c r="Q3144" i="14"/>
  <c r="Q1956" i="14"/>
  <c r="Q3628" i="14"/>
  <c r="Q3858" i="14"/>
  <c r="Q2092" i="14"/>
  <c r="Q3952" i="14"/>
  <c r="Q2163" i="14"/>
  <c r="Q2367" i="14"/>
  <c r="Q1785" i="14"/>
  <c r="Q360" i="14"/>
  <c r="Q3674" i="14"/>
  <c r="Q1858" i="14"/>
  <c r="Q916" i="14"/>
  <c r="Q4792" i="14"/>
  <c r="Q1599" i="14"/>
  <c r="Q2058" i="14"/>
  <c r="Q4250" i="14"/>
  <c r="Q3032" i="14"/>
  <c r="Q1975" i="14"/>
  <c r="J5944" i="14"/>
  <c r="K5944" i="14" s="1"/>
  <c r="L5944" i="14" s="1"/>
  <c r="M5944" i="14" s="1"/>
  <c r="Q1652" i="14"/>
  <c r="Q2200" i="14"/>
  <c r="Q2490" i="14"/>
  <c r="Q3560" i="14"/>
  <c r="Q2861" i="14"/>
  <c r="Q1781" i="14"/>
  <c r="Q1998" i="14"/>
  <c r="Q1281" i="14"/>
  <c r="Q3713" i="14"/>
  <c r="Q1692" i="14"/>
  <c r="Q3737" i="14"/>
  <c r="Q3817" i="14"/>
  <c r="Q2733" i="14"/>
  <c r="Q2220" i="14"/>
  <c r="Q3378" i="14"/>
  <c r="Q2789" i="14"/>
  <c r="Q1250" i="14"/>
  <c r="Q3957" i="14"/>
  <c r="Q3899" i="14"/>
  <c r="Q3681" i="14"/>
  <c r="Q3164" i="14"/>
  <c r="Q3428" i="14"/>
  <c r="Q3202" i="14"/>
  <c r="Q3672" i="14"/>
  <c r="Q3883" i="14"/>
  <c r="Q3682" i="14"/>
  <c r="Q2101" i="14"/>
  <c r="Q3945" i="14"/>
  <c r="Q1596" i="14"/>
  <c r="Q766" i="14"/>
  <c r="Q1972" i="14"/>
  <c r="Q3765" i="14"/>
  <c r="Q637" i="14"/>
  <c r="Q3801" i="14"/>
  <c r="Q3621" i="14"/>
  <c r="Q3851" i="14"/>
  <c r="Q3930" i="14"/>
  <c r="Q3778" i="14"/>
  <c r="Q349" i="14"/>
  <c r="Q1740" i="14"/>
  <c r="Q3768" i="14"/>
  <c r="Q2845" i="14"/>
  <c r="J5945" i="14"/>
  <c r="K5945" i="14" s="1"/>
  <c r="Q3226" i="14"/>
  <c r="Q768" i="14"/>
  <c r="Q1960" i="14"/>
  <c r="Q782" i="14"/>
  <c r="Q3169" i="14"/>
  <c r="Q3152" i="14"/>
  <c r="Q3397" i="14"/>
  <c r="Q3476" i="14"/>
  <c r="Q3561" i="14"/>
  <c r="Q2088" i="14"/>
  <c r="Q2087" i="14" s="1"/>
  <c r="Q3953" i="14"/>
  <c r="Q3432" i="14"/>
  <c r="Q2374" i="14"/>
  <c r="Q1605" i="14"/>
  <c r="Q3693" i="14"/>
  <c r="Q2671" i="14"/>
  <c r="Q1743" i="14"/>
  <c r="Q1951" i="14"/>
  <c r="Q3626" i="14"/>
  <c r="Q3673" i="14"/>
  <c r="Q628" i="14"/>
  <c r="Q3529" i="14"/>
  <c r="Q3452" i="14"/>
  <c r="Q3481" i="14"/>
  <c r="Q3569" i="14"/>
  <c r="Q3733" i="14"/>
  <c r="Q2844" i="14"/>
  <c r="Q1416" i="14"/>
  <c r="Q1748" i="14"/>
  <c r="Q777" i="14"/>
  <c r="Q4268" i="14"/>
  <c r="Q4556" i="14"/>
  <c r="Q2324" i="14"/>
  <c r="Q910" i="14"/>
  <c r="Q3053" i="14"/>
  <c r="Q3788" i="14"/>
  <c r="Q3079" i="14"/>
  <c r="Q2376" i="14"/>
  <c r="Q5082" i="14"/>
  <c r="Q5360" i="14"/>
  <c r="Q1881" i="14"/>
  <c r="Q1620" i="14"/>
  <c r="Q3819" i="14"/>
  <c r="Q3341" i="14"/>
  <c r="Q1549" i="14"/>
  <c r="Q2320" i="14"/>
  <c r="Q4843" i="14"/>
  <c r="Q1592" i="14"/>
  <c r="Q3314" i="14"/>
  <c r="Q708" i="14"/>
  <c r="Q1280" i="14"/>
  <c r="Q1440" i="14"/>
  <c r="Q3917" i="14"/>
  <c r="Q3890" i="14"/>
  <c r="Q3776" i="14"/>
  <c r="Q4202" i="14"/>
  <c r="Q4695" i="14"/>
  <c r="Q1786" i="14"/>
  <c r="Q2256" i="14"/>
  <c r="Q3042" i="14"/>
  <c r="Q3108" i="14"/>
  <c r="Q1589" i="14"/>
  <c r="Q3869" i="14"/>
  <c r="Q1495" i="14"/>
  <c r="Q1982" i="14"/>
  <c r="Q1961" i="14"/>
  <c r="Q2827" i="14"/>
  <c r="Q4171" i="14"/>
  <c r="Q4669" i="14"/>
  <c r="Q4117" i="14"/>
  <c r="Q3084" i="14"/>
  <c r="Q4180" i="14"/>
  <c r="Q3780" i="14"/>
  <c r="Q2970" i="14"/>
  <c r="Q5146" i="14"/>
  <c r="Q1679" i="14"/>
  <c r="Q1267" i="14"/>
  <c r="Q1877" i="14"/>
  <c r="Q2249" i="14"/>
  <c r="Q3669" i="14"/>
  <c r="Q3964" i="14"/>
  <c r="Q1849" i="14"/>
  <c r="Q4572" i="14"/>
  <c r="Q4898" i="14"/>
  <c r="Q3991" i="14"/>
  <c r="Q4037" i="14"/>
  <c r="Q4807" i="14"/>
  <c r="Q4253" i="14"/>
  <c r="Q1493" i="14"/>
  <c r="Q4311" i="14"/>
  <c r="Q4245" i="14"/>
  <c r="Q4243" i="14" s="1"/>
  <c r="Q2059" i="14"/>
  <c r="Q3613" i="14"/>
  <c r="Q3089" i="14"/>
  <c r="Q5329" i="14"/>
  <c r="Q5593" i="14"/>
  <c r="Q5410" i="14"/>
  <c r="Q5549" i="14"/>
  <c r="Q5448" i="14"/>
  <c r="Q4349" i="14"/>
  <c r="Q4410" i="14"/>
  <c r="Q4241" i="14"/>
  <c r="Q1478" i="14"/>
  <c r="Q4396" i="14"/>
  <c r="Q3451" i="14"/>
  <c r="Q736" i="14"/>
  <c r="Q545" i="14"/>
  <c r="Q5324" i="14"/>
  <c r="Q4290" i="14"/>
  <c r="Q4155" i="14"/>
  <c r="Q3115" i="14"/>
  <c r="Q3469" i="14"/>
  <c r="Q2969" i="14"/>
  <c r="Q3845" i="14"/>
  <c r="Q2741" i="14"/>
  <c r="Q3074" i="14"/>
  <c r="Q1270" i="14"/>
  <c r="Q3722" i="14"/>
  <c r="Q3716" i="14"/>
  <c r="Q3362" i="14"/>
  <c r="Q2887" i="14"/>
  <c r="Q3093" i="14"/>
  <c r="Q3234" i="14"/>
  <c r="Q1990" i="14"/>
  <c r="Q741" i="14"/>
  <c r="Q3706" i="14"/>
  <c r="Q2469" i="14"/>
  <c r="Q2361" i="14"/>
  <c r="Q3704" i="14"/>
  <c r="Q1693" i="14"/>
  <c r="Q4193" i="14"/>
  <c r="Q2580" i="14"/>
  <c r="Q1412" i="14"/>
  <c r="Q553" i="14"/>
  <c r="Q2016" i="14"/>
  <c r="Q3468" i="14"/>
  <c r="Q3200" i="14"/>
  <c r="Q3805" i="14"/>
  <c r="J2121" i="14"/>
  <c r="Q699" i="14"/>
  <c r="Q4724" i="14"/>
  <c r="Q1973" i="14"/>
  <c r="Q3857" i="14"/>
  <c r="Q2060" i="14"/>
  <c r="Q928" i="14"/>
  <c r="Q2091" i="14"/>
  <c r="Q354" i="14"/>
  <c r="Q3959" i="14"/>
  <c r="Q3026" i="14"/>
  <c r="Q1587" i="14"/>
  <c r="Q2829" i="14"/>
  <c r="Q3893" i="14"/>
  <c r="Q353" i="14"/>
  <c r="Q3490" i="14"/>
  <c r="Q3565" i="14"/>
  <c r="Q3100" i="14"/>
  <c r="Q2740" i="14"/>
  <c r="Q1701" i="14"/>
  <c r="Q3141" i="14"/>
  <c r="Q3024" i="14"/>
  <c r="Q3877" i="14"/>
  <c r="Q3531" i="14"/>
  <c r="Q3453" i="14"/>
  <c r="Q3909" i="14"/>
  <c r="Q1919" i="14"/>
  <c r="Q2824" i="14"/>
  <c r="Q1745" i="14"/>
  <c r="Q2162" i="14"/>
  <c r="Q4153" i="14"/>
  <c r="Q3387" i="14"/>
  <c r="Q3616" i="14"/>
  <c r="Q4738" i="14"/>
  <c r="Q1754" i="14"/>
  <c r="Q3404" i="14"/>
  <c r="Q3484" i="14"/>
  <c r="Q3968" i="14"/>
  <c r="Q3900" i="14"/>
  <c r="Q3802" i="14"/>
  <c r="Q3015" i="14"/>
  <c r="Q3479" i="14"/>
  <c r="Q3564" i="14"/>
  <c r="Q1925" i="14"/>
  <c r="Q2836" i="14"/>
  <c r="Q3172" i="14"/>
  <c r="Q2477" i="14"/>
  <c r="Q2692" i="14"/>
  <c r="Q2630" i="14"/>
  <c r="Q3844" i="14"/>
  <c r="Q3532" i="14"/>
  <c r="Q357" i="14"/>
  <c r="Q1744" i="14"/>
  <c r="Q3885" i="14"/>
  <c r="Q1547" i="14"/>
  <c r="Q3800" i="14"/>
  <c r="Q3447" i="14"/>
  <c r="Q1916" i="14"/>
  <c r="Q4273" i="14"/>
  <c r="Q2897" i="14"/>
  <c r="Q351" i="14"/>
  <c r="Q638" i="14"/>
  <c r="Q2512" i="14"/>
  <c r="Q4648" i="14"/>
  <c r="Q2186" i="14"/>
  <c r="Q2395" i="14"/>
  <c r="Q4151" i="14"/>
  <c r="Q2185" i="14"/>
  <c r="Q3281" i="14"/>
  <c r="Q2385" i="14"/>
  <c r="Q1206" i="14"/>
  <c r="Q1192" i="14"/>
  <c r="Q4322" i="14"/>
  <c r="Q1285" i="14"/>
  <c r="Q784" i="14"/>
  <c r="Q361" i="14"/>
  <c r="Q2842" i="14"/>
  <c r="Q3545" i="14"/>
  <c r="Q4893" i="14"/>
  <c r="Q2571" i="14"/>
  <c r="Q4209" i="14"/>
  <c r="Q2215" i="14"/>
  <c r="Q4085" i="14"/>
  <c r="Q4317" i="14"/>
  <c r="Q2833" i="14"/>
  <c r="Q3741" i="14"/>
  <c r="Q3586" i="14"/>
  <c r="Q4805" i="14"/>
  <c r="Q3552" i="14"/>
  <c r="Q2553" i="14"/>
  <c r="Q1772" i="14"/>
  <c r="Q1103" i="14"/>
  <c r="Q1256" i="14"/>
  <c r="Q5212" i="14"/>
  <c r="Q5236" i="14"/>
  <c r="Q3463" i="14"/>
  <c r="Q3675" i="14"/>
  <c r="Q1954" i="14"/>
  <c r="Q4196" i="14"/>
  <c r="Q4688" i="14"/>
  <c r="Q760" i="14"/>
  <c r="Q1572" i="14"/>
  <c r="Q2772" i="14"/>
  <c r="Q2754" i="14"/>
  <c r="Q1457" i="14"/>
  <c r="Q5037" i="14"/>
  <c r="Q1677" i="14"/>
  <c r="Q1205" i="14"/>
  <c r="Q4320" i="14"/>
  <c r="Q2479" i="14"/>
  <c r="Q632" i="14"/>
  <c r="Q3876" i="14"/>
  <c r="Q4280" i="14"/>
  <c r="Q4645" i="14"/>
  <c r="Q3656" i="14"/>
  <c r="Q1294" i="14"/>
  <c r="Q3159" i="14"/>
  <c r="Q2967" i="14"/>
  <c r="Q2267" i="14"/>
  <c r="Q5163" i="14"/>
  <c r="Q4116" i="14"/>
  <c r="Q4170" i="14"/>
  <c r="Q3584" i="14"/>
  <c r="Q3223" i="14"/>
  <c r="Q2447" i="14"/>
  <c r="Q5357" i="14"/>
  <c r="Q5901" i="14"/>
  <c r="Q5393" i="14"/>
  <c r="Q5369" i="14"/>
  <c r="Q5853" i="14"/>
  <c r="Q1472" i="14"/>
  <c r="Q4381" i="14"/>
  <c r="Q2649" i="14"/>
  <c r="Q4139" i="14"/>
  <c r="Q1477" i="14"/>
  <c r="Q2164" i="14"/>
  <c r="Q3467" i="14"/>
  <c r="Q4313" i="14"/>
  <c r="Q1271" i="14"/>
  <c r="Q4176" i="14"/>
  <c r="Q4002" i="14"/>
  <c r="Q3464" i="14"/>
  <c r="Q3085" i="14"/>
  <c r="Q3228" i="14"/>
  <c r="Q2517" i="14"/>
  <c r="Q1349" i="14"/>
  <c r="Q5077" i="14"/>
  <c r="Q1269" i="14"/>
  <c r="Q2714" i="14"/>
  <c r="Q2852" i="14"/>
  <c r="Q2570" i="14"/>
  <c r="Q2179" i="14"/>
  <c r="Q2973" i="14"/>
  <c r="Q3703" i="14"/>
  <c r="Q1573" i="14"/>
  <c r="Q2445" i="14"/>
  <c r="Q2682" i="14"/>
  <c r="Q2229" i="14"/>
  <c r="Q2722" i="14"/>
  <c r="Q772" i="14"/>
  <c r="Q2192" i="14"/>
  <c r="Q668" i="14"/>
  <c r="Q557" i="14"/>
  <c r="Q2684" i="14"/>
  <c r="Q2072" i="14"/>
  <c r="Q1225" i="14"/>
  <c r="Q3700" i="14"/>
  <c r="Q2057" i="14"/>
  <c r="Q3826" i="14"/>
  <c r="Q1059" i="14"/>
  <c r="Q1449" i="14"/>
  <c r="Q1700" i="14"/>
  <c r="Q1593" i="14"/>
  <c r="Q2925" i="14"/>
  <c r="Q2204" i="14"/>
  <c r="Q3335" i="14"/>
  <c r="Q3937" i="14"/>
  <c r="Q926" i="14"/>
  <c r="Q3888" i="14"/>
  <c r="Q1928" i="14"/>
  <c r="Q1603" i="14"/>
  <c r="Q933" i="14"/>
  <c r="Q1746" i="14"/>
  <c r="Q3927" i="14"/>
  <c r="Q3809" i="14"/>
  <c r="Q3020" i="14"/>
  <c r="Q3088" i="14"/>
  <c r="Q2489" i="14"/>
  <c r="Q3477" i="14"/>
  <c r="Q3676" i="14"/>
  <c r="Q1548" i="14"/>
  <c r="Q2792" i="14"/>
  <c r="Q3884" i="14"/>
  <c r="Q1553" i="14"/>
  <c r="Q3824" i="14"/>
  <c r="Q2159" i="14"/>
  <c r="Q776" i="14"/>
  <c r="Q3435" i="14"/>
  <c r="Q3746" i="14"/>
  <c r="Q4261" i="14"/>
  <c r="Q1438" i="14"/>
  <c r="Q3227" i="14"/>
  <c r="Q2693" i="14"/>
  <c r="Q3777" i="14"/>
  <c r="Q629" i="14"/>
  <c r="Q3537" i="14"/>
  <c r="Q3627" i="14"/>
  <c r="Q3856" i="14"/>
  <c r="Q3925" i="14"/>
  <c r="Q3773" i="14"/>
  <c r="Q3803" i="14"/>
  <c r="Q3017" i="14"/>
  <c r="Q2616" i="14"/>
  <c r="Q4172" i="14"/>
  <c r="Q3244" i="14"/>
  <c r="Q765" i="14"/>
  <c r="Q3148" i="14"/>
  <c r="Q3168" i="14"/>
  <c r="Q3456" i="14"/>
  <c r="Q781" i="14"/>
  <c r="Q2825" i="14"/>
  <c r="Q3340" i="14"/>
  <c r="Q2802" i="14"/>
  <c r="Q3735" i="14"/>
  <c r="Q3931" i="14"/>
  <c r="Q2628" i="14"/>
  <c r="Q3457" i="14"/>
  <c r="Q4148" i="14"/>
  <c r="Q2625" i="14"/>
  <c r="Q923" i="14"/>
  <c r="Q3441" i="14"/>
  <c r="Q4203" i="14"/>
  <c r="Q4677" i="14"/>
  <c r="Q2859" i="14"/>
  <c r="Q1655" i="14"/>
  <c r="Q3305" i="14"/>
  <c r="Q3221" i="14"/>
  <c r="Q2334" i="14"/>
  <c r="Q5137" i="14"/>
  <c r="Q1501" i="14"/>
  <c r="Q1197" i="14"/>
  <c r="Q2985" i="14"/>
  <c r="Q2691" i="14"/>
  <c r="Q3162" i="14"/>
  <c r="Q934" i="14"/>
  <c r="Q4274" i="14"/>
  <c r="Q4663" i="14"/>
  <c r="Q3324" i="14"/>
  <c r="Q1015" i="14"/>
  <c r="Q4050" i="14"/>
  <c r="Q4265" i="14"/>
  <c r="Q4264" i="14"/>
  <c r="Q3069" i="14"/>
  <c r="Q3146" i="14"/>
  <c r="Q1550" i="14"/>
  <c r="Q3740" i="14"/>
  <c r="Q2321" i="14"/>
  <c r="Q4757" i="14"/>
  <c r="Q1848" i="14"/>
  <c r="Q3194" i="14"/>
  <c r="Q3380" i="14"/>
  <c r="Q710" i="14"/>
  <c r="Q1224" i="14"/>
  <c r="Q5114" i="14"/>
  <c r="Q5157" i="14"/>
  <c r="Q5155" i="14" s="1"/>
  <c r="Q3946" i="14"/>
  <c r="Q785" i="14"/>
  <c r="Q2623" i="14"/>
  <c r="Q3585" i="14"/>
  <c r="Q4780" i="14"/>
  <c r="Q3293" i="14"/>
  <c r="Q2397" i="14"/>
  <c r="Q1460" i="14"/>
  <c r="Q869" i="14"/>
  <c r="Q1112" i="14"/>
  <c r="Q5255" i="14"/>
  <c r="Q5245" i="14"/>
  <c r="Q1199" i="14"/>
  <c r="Q4128" i="14"/>
  <c r="Q2672" i="14"/>
  <c r="Q3634" i="14"/>
  <c r="Q3901" i="14"/>
  <c r="Q2524" i="14"/>
  <c r="Q4698" i="14"/>
  <c r="Q1913" i="14"/>
  <c r="Q2977" i="14"/>
  <c r="Q3396" i="14"/>
  <c r="Q2869" i="14"/>
  <c r="Q2983" i="14"/>
  <c r="Q5317" i="14"/>
  <c r="Q2858" i="14"/>
  <c r="Q3236" i="14"/>
  <c r="Q2924" i="14"/>
  <c r="Q2329" i="14"/>
  <c r="Q2748" i="14"/>
  <c r="Q5320" i="14"/>
  <c r="Q4332" i="14"/>
  <c r="Q5388" i="14"/>
  <c r="Q5377" i="14"/>
  <c r="Q5848" i="14"/>
  <c r="Q4144" i="14"/>
  <c r="Q2666" i="14"/>
  <c r="Q4012" i="14"/>
  <c r="Q4417" i="14"/>
  <c r="Q4009" i="14"/>
  <c r="Q2530" i="14"/>
  <c r="Q2201" i="14"/>
  <c r="Q5045" i="14"/>
  <c r="Q1196" i="14"/>
  <c r="Q2768" i="14"/>
  <c r="Q3080" i="14"/>
  <c r="Q2696" i="14"/>
  <c r="Q2251" i="14"/>
  <c r="Q2568" i="14"/>
  <c r="Q2319" i="14"/>
  <c r="Q3218" i="14"/>
  <c r="Q5052" i="14"/>
  <c r="Q4077" i="14"/>
  <c r="Q3541" i="14"/>
  <c r="Q2252" i="14"/>
  <c r="Q4248" i="14"/>
  <c r="Q3993" i="14"/>
  <c r="Q1439" i="14"/>
  <c r="Q2206" i="14"/>
  <c r="Q1227" i="14"/>
  <c r="Q1770" i="14"/>
  <c r="Q3604" i="14"/>
  <c r="Q1834" i="14"/>
  <c r="Q3309" i="14"/>
  <c r="Q2055" i="14"/>
  <c r="Q2890" i="14"/>
  <c r="Q2776" i="14"/>
  <c r="Q2020" i="14"/>
  <c r="Q3995" i="14"/>
  <c r="Q2746" i="14"/>
  <c r="Q2703" i="14"/>
  <c r="Q4731" i="14"/>
  <c r="Q3625" i="14"/>
  <c r="Q3012" i="14"/>
  <c r="Q1776" i="14"/>
  <c r="Q1233" i="14"/>
  <c r="Q3412" i="14"/>
  <c r="Q4729" i="14"/>
  <c r="Q3810" i="14"/>
  <c r="Q3754" i="14"/>
  <c r="Q3140" i="14"/>
  <c r="Q3813" i="14"/>
  <c r="Q627" i="14"/>
  <c r="Q3402" i="14"/>
  <c r="Q1857" i="14"/>
  <c r="Q4733" i="14"/>
  <c r="Q3336" i="14"/>
  <c r="Q3767" i="14"/>
  <c r="Q2795" i="14"/>
  <c r="Q3924" i="14"/>
  <c r="Q3769" i="14"/>
  <c r="Q1912" i="14"/>
  <c r="Q3708" i="14"/>
  <c r="Q3936" i="14"/>
  <c r="Q3538" i="14"/>
  <c r="Q3732" i="14"/>
  <c r="Q1957" i="14"/>
  <c r="Q2791" i="14"/>
  <c r="Q2097" i="14"/>
  <c r="Q3940" i="14"/>
  <c r="Q3764" i="14"/>
  <c r="Q927" i="14"/>
  <c r="Q3338" i="14"/>
  <c r="Q1917" i="14"/>
  <c r="Q4201" i="14"/>
  <c r="Q697" i="14"/>
  <c r="Q2127" i="14"/>
  <c r="Q3147" i="14"/>
  <c r="Q3165" i="14"/>
  <c r="Q3458" i="14"/>
  <c r="Q3889" i="14"/>
  <c r="Q3527" i="14"/>
  <c r="Q3444" i="14"/>
  <c r="Q3914" i="14"/>
  <c r="Q1929" i="14"/>
  <c r="Q3928" i="14"/>
  <c r="Q3332" i="14"/>
  <c r="Q3850" i="14"/>
  <c r="Q4285" i="14"/>
  <c r="Q3191" i="14"/>
  <c r="Q1974" i="14"/>
  <c r="Q362" i="14"/>
  <c r="Q3623" i="14"/>
  <c r="Q2621" i="14"/>
  <c r="Q925" i="14"/>
  <c r="Q780" i="14"/>
  <c r="Q3170" i="14"/>
  <c r="Q3400" i="14"/>
  <c r="Q3013" i="14"/>
  <c r="Q3915" i="14"/>
  <c r="Q2161" i="14"/>
  <c r="Q2168" i="14"/>
  <c r="Q4420" i="14"/>
  <c r="Q3848" i="14"/>
  <c r="Q1749" i="14"/>
  <c r="Q3772" i="14"/>
  <c r="Q3580" i="14"/>
  <c r="Q4804" i="14"/>
  <c r="Q769" i="14"/>
  <c r="Q3783" i="14"/>
  <c r="Q1853" i="14"/>
  <c r="Q2273" i="14"/>
  <c r="Q2216" i="14"/>
  <c r="Q5336" i="14"/>
  <c r="Q5185" i="14"/>
  <c r="Q1200" i="14"/>
  <c r="Q4194" i="14"/>
  <c r="Q3804" i="14"/>
  <c r="Q2828" i="14"/>
  <c r="Q1741" i="14"/>
  <c r="Q4421" i="14"/>
  <c r="Q4693" i="14"/>
  <c r="Q1728" i="14"/>
  <c r="Q3720" i="14"/>
  <c r="Q2029" i="14"/>
  <c r="Q4288" i="14"/>
  <c r="Q2771" i="14"/>
  <c r="Q5117" i="14"/>
  <c r="Q3905" i="14"/>
  <c r="Q3163" i="14"/>
  <c r="Q3429" i="14"/>
  <c r="Q904" i="14"/>
  <c r="Q4839" i="14"/>
  <c r="Q2199" i="14"/>
  <c r="Q3755" i="14"/>
  <c r="Q4269" i="14"/>
  <c r="Q3547" i="14"/>
  <c r="Q1888" i="14"/>
  <c r="Q5074" i="14"/>
  <c r="Q5893" i="14"/>
  <c r="Q2797" i="14"/>
  <c r="Q624" i="14"/>
  <c r="Q2170" i="14"/>
  <c r="Q2326" i="14"/>
  <c r="Q4773" i="14"/>
  <c r="Q1716" i="14"/>
  <c r="Q2738" i="14"/>
  <c r="Q3248" i="14"/>
  <c r="Q2304" i="14"/>
  <c r="Q774" i="14"/>
  <c r="Q5063" i="14"/>
  <c r="Q5165" i="14"/>
  <c r="Q4361" i="14"/>
  <c r="Q4266" i="14"/>
  <c r="Q3016" i="14"/>
  <c r="Q2801" i="14"/>
  <c r="Q1924" i="14"/>
  <c r="Q3573" i="14"/>
  <c r="Q4716" i="14"/>
  <c r="Q3579" i="14"/>
  <c r="Q1847" i="14"/>
  <c r="Q2156" i="14"/>
  <c r="Q3233" i="14"/>
  <c r="Q3860" i="14"/>
  <c r="Q3859" i="14" s="1"/>
  <c r="Q1276" i="14"/>
  <c r="Q4157" i="14"/>
  <c r="Q2516" i="14"/>
  <c r="Q4001" i="14"/>
  <c r="Q4197" i="14"/>
  <c r="Q2231" i="14"/>
  <c r="Q5617" i="14"/>
  <c r="Q4331" i="14"/>
  <c r="Q5418" i="14"/>
  <c r="Q5451" i="14"/>
  <c r="Q5847" i="14"/>
  <c r="Q2642" i="14"/>
  <c r="Q2432" i="14"/>
  <c r="Q3986" i="14"/>
  <c r="Q2948" i="14"/>
  <c r="Q2436" i="14"/>
  <c r="Q2388" i="14"/>
  <c r="Q4084" i="14"/>
  <c r="Q5088" i="14"/>
  <c r="Q4359" i="14"/>
  <c r="Q3691" i="14"/>
  <c r="Q2372" i="14"/>
  <c r="Q3655" i="14"/>
  <c r="Q4119" i="14"/>
  <c r="Q2075" i="14"/>
  <c r="Q4948" i="14"/>
  <c r="Q2021" i="14"/>
  <c r="Q1682" i="14"/>
  <c r="Q1889" i="14"/>
  <c r="Q3549" i="14"/>
  <c r="Q5225" i="14"/>
  <c r="Q3633" i="14"/>
  <c r="Q2538" i="14"/>
  <c r="Q1070" i="14"/>
  <c r="Q1829" i="14"/>
  <c r="Q3528" i="14"/>
  <c r="Q3323" i="14"/>
  <c r="Q3601" i="14"/>
  <c r="Q5095" i="14"/>
  <c r="Q2624" i="14"/>
  <c r="Q4887" i="14"/>
  <c r="Q4167" i="14"/>
  <c r="Q5058" i="14"/>
  <c r="Q3242" i="14"/>
  <c r="Q3568" i="14"/>
  <c r="Q1057" i="14"/>
  <c r="Q3265" i="14"/>
  <c r="Q3421" i="14"/>
  <c r="Q4156" i="14"/>
  <c r="Q4363" i="14"/>
  <c r="Q2440" i="14"/>
  <c r="Q4393" i="14"/>
  <c r="Q4760" i="14"/>
  <c r="Q4074" i="14"/>
  <c r="Q3356" i="14"/>
  <c r="Q1616" i="14"/>
  <c r="Q1885" i="14"/>
  <c r="Q2581" i="14"/>
  <c r="Q3419" i="14"/>
  <c r="Q5370" i="14"/>
  <c r="Q5612" i="14"/>
  <c r="Q4360" i="14"/>
  <c r="Q5873" i="14"/>
  <c r="Q5433" i="14"/>
  <c r="Q2837" i="14"/>
  <c r="Q2250" i="14"/>
  <c r="Q5319" i="14"/>
  <c r="Q1268" i="14"/>
  <c r="Q2396" i="14"/>
  <c r="Q2762" i="14"/>
  <c r="Q2366" i="14"/>
  <c r="Q2041" i="14"/>
  <c r="Q2364" i="14"/>
  <c r="Q5328" i="14"/>
  <c r="Q5589" i="14"/>
  <c r="Q5424" i="14"/>
  <c r="Q3465" i="14"/>
  <c r="Q3501" i="14"/>
  <c r="Q1764" i="14"/>
  <c r="Q5325" i="14"/>
  <c r="Q4122" i="14"/>
  <c r="Q3605" i="14"/>
  <c r="Q4098" i="14"/>
  <c r="Q4049" i="14"/>
  <c r="Q2687" i="14"/>
  <c r="Q5344" i="14"/>
  <c r="Q5595" i="14"/>
  <c r="Q5396" i="14"/>
  <c r="Q5850" i="14"/>
  <c r="Q5445" i="14"/>
  <c r="Q1531" i="14"/>
  <c r="Q4242" i="14"/>
  <c r="Q4385" i="14"/>
  <c r="Q4391" i="14"/>
  <c r="Q2945" i="14"/>
  <c r="Q4216" i="14"/>
  <c r="Q5882" i="14"/>
  <c r="Q5488" i="14"/>
  <c r="Q5687" i="14"/>
  <c r="Q5722" i="14"/>
  <c r="Q5580" i="14"/>
  <c r="Q5812" i="14"/>
  <c r="Q2117" i="14"/>
  <c r="Q3637" i="14"/>
  <c r="Q1804" i="14"/>
  <c r="Q3684" i="14"/>
  <c r="Q5205" i="14"/>
  <c r="Q4075" i="14"/>
  <c r="Q3989" i="14"/>
  <c r="Q3361" i="14"/>
  <c r="Q3692" i="14"/>
  <c r="Q4210" i="14"/>
  <c r="Q1637" i="14"/>
  <c r="Q5897" i="14"/>
  <c r="Q4365" i="14"/>
  <c r="Q5420" i="14"/>
  <c r="Q5434" i="14"/>
  <c r="Q5872" i="14"/>
  <c r="Q4377" i="14"/>
  <c r="Q4401" i="14"/>
  <c r="Q3973" i="14"/>
  <c r="Q2639" i="14"/>
  <c r="Q2605" i="14"/>
  <c r="Q4215" i="14"/>
  <c r="Q5477" i="14"/>
  <c r="Q5476" i="14"/>
  <c r="Q5531" i="14"/>
  <c r="Q5669" i="14"/>
  <c r="Q5741" i="14"/>
  <c r="Q5815" i="14"/>
  <c r="Q2900" i="14"/>
  <c r="Q1941" i="14"/>
  <c r="Q5056" i="14"/>
  <c r="Q4961" i="14"/>
  <c r="Q5002" i="14"/>
  <c r="Q5191" i="14"/>
  <c r="Q5260" i="14"/>
  <c r="Q1798" i="14"/>
  <c r="Q2904" i="14"/>
  <c r="Q5783" i="14"/>
  <c r="Q5719" i="14"/>
  <c r="Q5633" i="14"/>
  <c r="Q5881" i="14"/>
  <c r="Q2640" i="14"/>
  <c r="Q4388" i="14"/>
  <c r="Q3128" i="14"/>
  <c r="Q5868" i="14"/>
  <c r="Q5050" i="14"/>
  <c r="Q3636" i="14"/>
  <c r="Q1479" i="14"/>
  <c r="Q5001" i="14"/>
  <c r="Q5211" i="14"/>
  <c r="Q5125" i="14"/>
  <c r="Q5040" i="14"/>
  <c r="Q5081" i="14"/>
  <c r="Q5269" i="14"/>
  <c r="Q2492" i="14"/>
  <c r="Q2491" i="14" s="1"/>
  <c r="Q1822" i="14"/>
  <c r="Q2116" i="14"/>
  <c r="Q5733" i="14"/>
  <c r="Q5513" i="14"/>
  <c r="Q5490" i="14"/>
  <c r="Q5877" i="14"/>
  <c r="Q4409" i="14"/>
  <c r="Q4220" i="14"/>
  <c r="Q4010" i="14"/>
  <c r="Q5383" i="14"/>
  <c r="Q5730" i="14"/>
  <c r="Q2608" i="14"/>
  <c r="Q4296" i="14"/>
  <c r="Q5403" i="14"/>
  <c r="Q5288" i="14"/>
  <c r="Q2912" i="14"/>
  <c r="Q1937" i="14"/>
  <c r="Q2118" i="14"/>
  <c r="Q5732" i="14"/>
  <c r="Q5725" i="14"/>
  <c r="Q5568" i="14"/>
  <c r="Q5562" i="14"/>
  <c r="Q4345" i="14"/>
  <c r="Q2648" i="14"/>
  <c r="Q1533" i="14"/>
  <c r="Q5376" i="14"/>
  <c r="Q4436" i="14"/>
  <c r="Q4497" i="14"/>
  <c r="Q4657" i="14"/>
  <c r="Q2237" i="14"/>
  <c r="Q3097" i="14"/>
  <c r="Q2444" i="14"/>
  <c r="Q2755" i="14"/>
  <c r="Q3540" i="14"/>
  <c r="Q5116" i="14"/>
  <c r="Q1690" i="14"/>
  <c r="Q1201" i="14"/>
  <c r="Q2993" i="14"/>
  <c r="Q4514" i="14"/>
  <c r="Q2705" i="14"/>
  <c r="Q3868" i="14"/>
  <c r="Q1273" i="14"/>
  <c r="Q3325" i="14"/>
  <c r="Q5356" i="14"/>
  <c r="Q2617" i="14"/>
  <c r="Q4208" i="14"/>
  <c r="Q2811" i="14"/>
  <c r="Q1640" i="14"/>
  <c r="Q3408" i="14"/>
  <c r="Q1608" i="14"/>
  <c r="Q4162" i="14"/>
  <c r="Q1497" i="14"/>
  <c r="Q3156" i="14"/>
  <c r="Q2843" i="14"/>
  <c r="Q4109" i="14"/>
  <c r="Q5106" i="14"/>
  <c r="Q2588" i="14"/>
  <c r="Q1556" i="14"/>
  <c r="Q2315" i="14"/>
  <c r="Q3095" i="14"/>
  <c r="Q2521" i="14"/>
  <c r="Q3372" i="14"/>
  <c r="Q4362" i="14"/>
  <c r="Q4059" i="14"/>
  <c r="Q4061" i="14"/>
  <c r="Q3241" i="14"/>
  <c r="Q4315" i="14"/>
  <c r="Q2564" i="14"/>
  <c r="Q2881" i="14"/>
  <c r="Q4200" i="14"/>
  <c r="Q4276" i="14"/>
  <c r="Q2849" i="14"/>
  <c r="Q5338" i="14"/>
  <c r="Q5591" i="14"/>
  <c r="Q5385" i="14"/>
  <c r="Q5547" i="14"/>
  <c r="Q5440" i="14"/>
  <c r="Q2080" i="14"/>
  <c r="Q2533" i="14"/>
  <c r="Q5035" i="14"/>
  <c r="Q4069" i="14"/>
  <c r="Q3367" i="14"/>
  <c r="Q3685" i="14"/>
  <c r="Q4092" i="14"/>
  <c r="Q3665" i="14"/>
  <c r="Q1841" i="14"/>
  <c r="Q5906" i="14"/>
  <c r="Q4329" i="14"/>
  <c r="Q5400" i="14"/>
  <c r="Q3337" i="14"/>
  <c r="Q2551" i="14"/>
  <c r="Q3061" i="14"/>
  <c r="Q1272" i="14"/>
  <c r="Q3500" i="14"/>
  <c r="Q3368" i="14"/>
  <c r="Q3176" i="14"/>
  <c r="Q2701" i="14"/>
  <c r="Q2916" i="14"/>
  <c r="Q5355" i="14"/>
  <c r="Q5601" i="14"/>
  <c r="Q5384" i="14"/>
  <c r="Q5543" i="14"/>
  <c r="Q5865" i="14"/>
  <c r="Q3127" i="14"/>
  <c r="Q4354" i="14"/>
  <c r="Q4346" i="14"/>
  <c r="Q4233" i="14"/>
  <c r="Q2641" i="14"/>
  <c r="Q2958" i="14"/>
  <c r="Q5517" i="14"/>
  <c r="Q5493" i="14"/>
  <c r="Q5474" i="14"/>
  <c r="Q5716" i="14"/>
  <c r="Q5572" i="14"/>
  <c r="Q5817" i="14"/>
  <c r="Q2107" i="14"/>
  <c r="Q3642" i="14"/>
  <c r="Q2095" i="14"/>
  <c r="Q3373" i="14"/>
  <c r="Q5068" i="14"/>
  <c r="Q4312" i="14"/>
  <c r="Q2587" i="14"/>
  <c r="Q2917" i="14"/>
  <c r="Q2744" i="14"/>
  <c r="Q3492" i="14"/>
  <c r="Q3491" i="14" s="1"/>
  <c r="Q5381" i="14"/>
  <c r="Q5588" i="14"/>
  <c r="Q4368" i="14"/>
  <c r="Q5864" i="14"/>
  <c r="Q5436" i="14"/>
  <c r="Q2612" i="14"/>
  <c r="Q2660" i="14"/>
  <c r="Q3125" i="14"/>
  <c r="Q4394" i="14"/>
  <c r="Q4013" i="14"/>
  <c r="Q4373" i="14"/>
  <c r="Q1540" i="14"/>
  <c r="Q5511" i="14"/>
  <c r="Q5556" i="14"/>
  <c r="Q5555" i="14" s="1"/>
  <c r="Q5461" i="14"/>
  <c r="Q5740" i="14"/>
  <c r="Q5737" i="14"/>
  <c r="Q5781" i="14"/>
  <c r="Q2901" i="14"/>
  <c r="Q1932" i="14"/>
  <c r="Q1931" i="14" s="1"/>
  <c r="Q5115" i="14"/>
  <c r="Q5031" i="14"/>
  <c r="Q5061" i="14"/>
  <c r="Q5259" i="14"/>
  <c r="Q2504" i="14"/>
  <c r="Q1801" i="14"/>
  <c r="Q2112" i="14"/>
  <c r="Q5739" i="14"/>
  <c r="Q5460" i="14"/>
  <c r="Q5538" i="14"/>
  <c r="Q4402" i="14"/>
  <c r="Q2652" i="14"/>
  <c r="Q2651" i="14" s="1"/>
  <c r="Q1535" i="14"/>
  <c r="Q4145" i="14"/>
  <c r="Q5415" i="14"/>
  <c r="Q5237" i="14"/>
  <c r="Q5834" i="14"/>
  <c r="Q4008" i="14"/>
  <c r="Q5188" i="14"/>
  <c r="Q2505" i="14"/>
  <c r="Q5194" i="14"/>
  <c r="Q5099" i="14"/>
  <c r="Q4121" i="14"/>
  <c r="Q4073" i="14"/>
  <c r="Q1962" i="14"/>
  <c r="Q4818" i="14"/>
  <c r="Q3180" i="14"/>
  <c r="Q2017" i="14"/>
  <c r="Q4160" i="14"/>
  <c r="Q745" i="14"/>
  <c r="Q4036" i="14"/>
  <c r="Q5339" i="14"/>
  <c r="Q2169" i="14"/>
  <c r="Q1863" i="14"/>
  <c r="Q2965" i="14"/>
  <c r="Q5345" i="14"/>
  <c r="Q1953" i="14"/>
  <c r="Q2316" i="14"/>
  <c r="Q552" i="14"/>
  <c r="Q5207" i="14"/>
  <c r="Q4205" i="14"/>
  <c r="Q5611" i="14"/>
  <c r="Q5866" i="14"/>
  <c r="Q1484" i="14"/>
  <c r="Q1483" i="14" s="1"/>
  <c r="Q1534" i="14"/>
  <c r="Q2363" i="14"/>
  <c r="Q3259" i="14"/>
  <c r="Q4048" i="14"/>
  <c r="Q4257" i="14"/>
  <c r="Q3121" i="14"/>
  <c r="Q3224" i="14"/>
  <c r="Q3120" i="14"/>
  <c r="Q5352" i="14"/>
  <c r="Q5610" i="14"/>
  <c r="Q5408" i="14"/>
  <c r="Q5544" i="14"/>
  <c r="Q5867" i="14"/>
  <c r="Q3543" i="14"/>
  <c r="Q2012" i="14"/>
  <c r="Q1198" i="14"/>
  <c r="Q4321" i="14"/>
  <c r="Q2929" i="14"/>
  <c r="Q3355" i="14"/>
  <c r="Q3050" i="14"/>
  <c r="Q3690" i="14"/>
  <c r="Q5386" i="14"/>
  <c r="Q5597" i="14"/>
  <c r="Q4327" i="14"/>
  <c r="Q5394" i="14"/>
  <c r="Q2793" i="14"/>
  <c r="Q1662" i="14"/>
  <c r="Q5304" i="14"/>
  <c r="Q1193" i="14"/>
  <c r="Q2312" i="14"/>
  <c r="Q2708" i="14"/>
  <c r="Q2300" i="14"/>
  <c r="Q3037" i="14"/>
  <c r="Q2393" i="14"/>
  <c r="Q2391" i="14" s="1"/>
  <c r="Q4324" i="14"/>
  <c r="Q5389" i="14"/>
  <c r="Q5546" i="14"/>
  <c r="Q5860" i="14"/>
  <c r="Q4405" i="14"/>
  <c r="Q4397" i="14"/>
  <c r="Q1473" i="14"/>
  <c r="Q2643" i="14"/>
  <c r="Q2609" i="14"/>
  <c r="Q3137" i="14"/>
  <c r="Q5501" i="14"/>
  <c r="Q5505" i="14"/>
  <c r="Q5628" i="14"/>
  <c r="Q5673" i="14"/>
  <c r="Q5578" i="14"/>
  <c r="Q5796" i="14"/>
  <c r="Q2913" i="14"/>
  <c r="Q1946" i="14"/>
  <c r="Q3525" i="14"/>
  <c r="Q3383" i="14"/>
  <c r="Q1502" i="14"/>
  <c r="Q2987" i="14"/>
  <c r="Q3181" i="14"/>
  <c r="Q2197" i="14"/>
  <c r="Q3793" i="14"/>
  <c r="Q3197" i="14"/>
  <c r="Q5351" i="14"/>
  <c r="Q5616" i="14"/>
  <c r="Q5421" i="14"/>
  <c r="Q5417" i="14"/>
  <c r="Q5435" i="14"/>
  <c r="Q4380" i="14"/>
  <c r="Q4053" i="14"/>
  <c r="Q4051" i="14" s="1"/>
  <c r="Q1537" i="14"/>
  <c r="Q4411" i="14"/>
  <c r="Q3977" i="14"/>
  <c r="Q4306" i="14"/>
  <c r="Q4340" i="14"/>
  <c r="Q5492" i="14"/>
  <c r="Q5520" i="14"/>
  <c r="Q5528" i="14"/>
  <c r="Q5752" i="14"/>
  <c r="Q5813" i="14"/>
  <c r="Q5832" i="14"/>
  <c r="Q3004" i="14"/>
  <c r="Q1813" i="14"/>
  <c r="Q5184" i="14"/>
  <c r="Q5089" i="14"/>
  <c r="Q5130" i="14"/>
  <c r="Q4955" i="14"/>
  <c r="Q2497" i="14"/>
  <c r="Q1936" i="14"/>
  <c r="Q5835" i="14"/>
  <c r="Q5585" i="14"/>
  <c r="Q5489" i="14"/>
  <c r="Q5626" i="14"/>
  <c r="Q4213" i="14"/>
  <c r="Q2600" i="14"/>
  <c r="Q2599" i="14" s="1"/>
  <c r="Q4236" i="14"/>
  <c r="Q4348" i="14"/>
  <c r="Q2552" i="14"/>
  <c r="Q4071" i="14"/>
  <c r="Q3333" i="14"/>
  <c r="Q4769" i="14"/>
  <c r="Q665" i="14"/>
  <c r="Q3707" i="14"/>
  <c r="Q4427" i="14"/>
  <c r="Q2735" i="14"/>
  <c r="Q2405" i="14"/>
  <c r="Q2403" i="14" s="1"/>
  <c r="Q2308" i="14"/>
  <c r="Q2373" i="14"/>
  <c r="Q4043" i="14"/>
  <c r="Q3618" i="14"/>
  <c r="Q5337" i="14"/>
  <c r="Q3624" i="14"/>
  <c r="Q918" i="14"/>
  <c r="Q1852" i="14"/>
  <c r="Q5028" i="14"/>
  <c r="Q2809" i="14"/>
  <c r="Q5399" i="14"/>
  <c r="Q5541" i="14"/>
  <c r="Q2953" i="14"/>
  <c r="Q3132" i="14"/>
  <c r="Q2299" i="14"/>
  <c r="Q2365" i="14"/>
  <c r="Q3300" i="14"/>
  <c r="Q2006" i="14"/>
  <c r="Q2269" i="14"/>
  <c r="Q2480" i="14"/>
  <c r="Q2508" i="14"/>
  <c r="Q2507" i="14" s="1"/>
  <c r="Q5323" i="14"/>
  <c r="Q5592" i="14"/>
  <c r="Q5416" i="14"/>
  <c r="Q5367" i="14"/>
  <c r="Q5861" i="14"/>
  <c r="Q2751" i="14"/>
  <c r="Q3282" i="14"/>
  <c r="Q5226" i="14"/>
  <c r="Q2981" i="14"/>
  <c r="Q2209" i="14"/>
  <c r="Q2207" i="14" s="1"/>
  <c r="Q2515" i="14"/>
  <c r="Q2360" i="14"/>
  <c r="Q3329" i="14"/>
  <c r="Q5371" i="14"/>
  <c r="Q5904" i="14"/>
  <c r="Q4357" i="14"/>
  <c r="Q5845" i="14"/>
  <c r="Q907" i="14"/>
  <c r="Q3211" i="14"/>
  <c r="Q3866" i="14"/>
  <c r="Q4080" i="14"/>
  <c r="Q4097" i="14"/>
  <c r="Q3505" i="14"/>
  <c r="Q3794" i="14"/>
  <c r="Q3575" i="14"/>
  <c r="Q1733" i="14"/>
  <c r="Q5895" i="14"/>
  <c r="Q4338" i="14"/>
  <c r="Q5380" i="14"/>
  <c r="Q5365" i="14"/>
  <c r="Q5863" i="14"/>
  <c r="Q1536" i="14"/>
  <c r="Q2661" i="14"/>
  <c r="Q4135" i="14"/>
  <c r="Q4017" i="14"/>
  <c r="Q4372" i="14"/>
  <c r="Q4341" i="14"/>
  <c r="Q5559" i="14"/>
  <c r="Q5469" i="14"/>
  <c r="Q5497" i="14"/>
  <c r="Q5676" i="14"/>
  <c r="Q5736" i="14"/>
  <c r="Q5818" i="14"/>
  <c r="Q2914" i="14"/>
  <c r="Q1945" i="14"/>
  <c r="Q3849" i="14"/>
  <c r="Q3212" i="14"/>
  <c r="Q5147" i="14"/>
  <c r="Q4272" i="14"/>
  <c r="Q4260" i="14"/>
  <c r="Q3996" i="14"/>
  <c r="Q3313" i="14"/>
  <c r="Q2537" i="14"/>
  <c r="Q5341" i="14"/>
  <c r="Q5898" i="14"/>
  <c r="Q5392" i="14"/>
  <c r="Q5552" i="14"/>
  <c r="Q5551" i="14" s="1"/>
  <c r="Q5449" i="14"/>
  <c r="Q4299" i="14"/>
  <c r="Q4237" i="14"/>
  <c r="Q2431" i="14"/>
  <c r="Q1541" i="14"/>
  <c r="Q4392" i="14"/>
  <c r="Q2656" i="14"/>
  <c r="Q5890" i="14"/>
  <c r="Q5529" i="14"/>
  <c r="Q5685" i="14"/>
  <c r="Q5512" i="14"/>
  <c r="Q5755" i="14"/>
  <c r="Q5820" i="14"/>
  <c r="Q5840" i="14"/>
  <c r="Q2997" i="14"/>
  <c r="Q1815" i="14"/>
  <c r="Q5243" i="14"/>
  <c r="Q5159" i="14"/>
  <c r="Q5189" i="14"/>
  <c r="Q5034" i="14"/>
  <c r="Q2144" i="14"/>
  <c r="Q3644" i="14"/>
  <c r="Q5788" i="14"/>
  <c r="Q5757" i="14"/>
  <c r="Q5504" i="14"/>
  <c r="Q5561" i="14"/>
  <c r="Q1476" i="14"/>
  <c r="Q2658" i="14"/>
  <c r="Q2433" i="14"/>
  <c r="Q2437" i="14"/>
  <c r="Q5596" i="14"/>
  <c r="Q5220" i="14"/>
  <c r="Q5219" i="14" s="1"/>
  <c r="Q5756" i="14"/>
  <c r="Q5242" i="14"/>
  <c r="Q5228" i="14"/>
  <c r="Q5223" i="14"/>
  <c r="Q5265" i="14"/>
  <c r="Q5227" i="14"/>
  <c r="Q5277" i="14"/>
  <c r="Q5122" i="14"/>
  <c r="Q2136" i="14"/>
  <c r="Q2135" i="14" s="1"/>
  <c r="Q3005" i="14"/>
  <c r="Q5808" i="14"/>
  <c r="Q5751" i="14"/>
  <c r="Q5689" i="14"/>
  <c r="Q5530" i="14"/>
  <c r="Q2655" i="14"/>
  <c r="Q4344" i="14"/>
  <c r="Q4016" i="14"/>
  <c r="Q5851" i="14"/>
  <c r="Q2905" i="14"/>
  <c r="Q5883" i="14"/>
  <c r="Q4301" i="14"/>
  <c r="Q5857" i="14"/>
  <c r="Q5273" i="14"/>
  <c r="Q2506" i="14"/>
  <c r="Q1812" i="14"/>
  <c r="Q3008" i="14"/>
  <c r="Q5824" i="14"/>
  <c r="Q5749" i="14"/>
  <c r="Q5485" i="14"/>
  <c r="Q5481" i="14"/>
  <c r="Q4413" i="14"/>
  <c r="Q4224" i="14"/>
  <c r="Q3133" i="14"/>
  <c r="Q4056" i="14"/>
  <c r="Q4512" i="14"/>
  <c r="Q4433" i="14"/>
  <c r="Q4745" i="14"/>
  <c r="Q2807" i="14"/>
  <c r="Q2014" i="14"/>
  <c r="Q1292" i="14"/>
  <c r="Q2222" i="14"/>
  <c r="Q704" i="14"/>
  <c r="Q5065" i="14"/>
  <c r="Q5176" i="14"/>
  <c r="Q4356" i="14"/>
  <c r="Q4434" i="14"/>
  <c r="Q4673" i="14"/>
  <c r="Q4890" i="14"/>
  <c r="Q2841" i="14"/>
  <c r="Q2923" i="14"/>
  <c r="Q3031" i="14"/>
  <c r="Q3595" i="14"/>
  <c r="Q4309" i="14"/>
  <c r="Q3867" i="14"/>
  <c r="Q5234" i="14"/>
  <c r="Q5231" i="14" s="1"/>
  <c r="Q4082" i="14"/>
  <c r="Q4247" i="14"/>
  <c r="Q3253" i="14"/>
  <c r="Q2288" i="14"/>
  <c r="Q4554" i="14"/>
  <c r="Q4753" i="14"/>
  <c r="Q1436" i="14"/>
  <c r="Q3687" i="14"/>
  <c r="Q1284" i="14"/>
  <c r="Q3258" i="14"/>
  <c r="Q1908" i="14"/>
  <c r="Q3288" i="14"/>
  <c r="Q3217" i="14"/>
  <c r="Q1736" i="14"/>
  <c r="Q3066" i="14"/>
  <c r="Q3874" i="14"/>
  <c r="Q1500" i="14"/>
  <c r="Q2390" i="14"/>
  <c r="Q4801" i="14"/>
  <c r="Q3033" i="14"/>
  <c r="Q1864" i="14"/>
  <c r="Q2721" i="14"/>
  <c r="Q3757" i="14"/>
  <c r="Q2264" i="14"/>
  <c r="Q2976" i="14"/>
  <c r="Q3617" i="14"/>
  <c r="Q1860" i="14"/>
  <c r="Q5127" i="14"/>
  <c r="Q3872" i="14"/>
  <c r="Q4557" i="14"/>
  <c r="Q4756" i="14"/>
  <c r="Q1446" i="14"/>
  <c r="Q2739" i="14"/>
  <c r="Q3609" i="14"/>
  <c r="Q3260" i="14"/>
  <c r="Q3608" i="14"/>
  <c r="Q2921" i="14"/>
  <c r="Q2173" i="14"/>
  <c r="Q2171" i="14" s="1"/>
  <c r="Q908" i="14"/>
  <c r="Q5144" i="14"/>
  <c r="Q3873" i="14"/>
  <c r="Q4475" i="14"/>
  <c r="Q3512" i="14"/>
  <c r="Q3833" i="14"/>
  <c r="Q3131" i="14"/>
  <c r="Q4981" i="14"/>
  <c r="Q1797" i="14"/>
  <c r="Q5787" i="14"/>
  <c r="Q5696" i="14"/>
  <c r="Q5695" i="14" s="1"/>
  <c r="Q4352" i="14"/>
  <c r="Q4064" i="14"/>
  <c r="Q4577" i="14"/>
  <c r="Q4772" i="14"/>
  <c r="Q2528" i="14"/>
  <c r="Q4314" i="14"/>
  <c r="Q5348" i="14"/>
  <c r="Q5347" i="14" s="1"/>
  <c r="Q4485" i="14"/>
  <c r="Q2389" i="14"/>
  <c r="Q1507" i="14"/>
  <c r="Q2810" i="14"/>
  <c r="Q2383" i="14"/>
  <c r="Q5330" i="14"/>
  <c r="Q2725" i="14"/>
  <c r="Q1883" i="14"/>
  <c r="Q4020" i="14"/>
  <c r="Q1747" i="14"/>
  <c r="Q1905" i="14"/>
  <c r="Q2453" i="14"/>
  <c r="Q924" i="14"/>
  <c r="Q4540" i="14"/>
  <c r="Q4032" i="14"/>
  <c r="Q4031" i="14" s="1"/>
  <c r="Q2384" i="14"/>
  <c r="Q3965" i="14"/>
  <c r="Q917" i="14"/>
  <c r="Q4024" i="14"/>
  <c r="Q1882" i="14"/>
  <c r="Q4068" i="14"/>
  <c r="Q3847" i="14"/>
  <c r="Q4746" i="14"/>
  <c r="Q2514" i="14"/>
  <c r="Q4076" i="14"/>
  <c r="Q3578" i="14"/>
  <c r="Q5892" i="14"/>
  <c r="Q5428" i="14"/>
  <c r="Q5427" i="14" s="1"/>
  <c r="Q4132" i="14"/>
  <c r="Q4066" i="14"/>
  <c r="Q1685" i="14"/>
  <c r="Q4091" i="14"/>
  <c r="Q783" i="14"/>
  <c r="Q5186" i="14"/>
  <c r="Q4041" i="14"/>
  <c r="Q3319" i="14"/>
  <c r="Q2003" i="14"/>
  <c r="Q5618" i="14"/>
  <c r="Q4325" i="14"/>
  <c r="Q5413" i="14"/>
  <c r="Q5368" i="14"/>
  <c r="Q2823" i="14"/>
  <c r="Q1223" i="14"/>
  <c r="Q2232" i="14"/>
  <c r="Q5316" i="14"/>
  <c r="Q4284" i="14"/>
  <c r="Q3725" i="14"/>
  <c r="Q4164" i="14"/>
  <c r="Q4187" i="14"/>
  <c r="Q2753" i="14"/>
  <c r="Q5321" i="14"/>
  <c r="Q5600" i="14"/>
  <c r="Q5401" i="14"/>
  <c r="Q5548" i="14"/>
  <c r="Q4885" i="14"/>
  <c r="Q1646" i="14"/>
  <c r="Q1489" i="14"/>
  <c r="Q2989" i="14"/>
  <c r="Q2839" i="14"/>
  <c r="Q3109" i="14"/>
  <c r="Q2840" i="14"/>
  <c r="Q3588" i="14"/>
  <c r="Q5387" i="14"/>
  <c r="Q5594" i="14"/>
  <c r="Q4364" i="14"/>
  <c r="Q5404" i="14"/>
  <c r="Q5452" i="14"/>
  <c r="Q4408" i="14"/>
  <c r="Q2435" i="14"/>
  <c r="Q4353" i="14"/>
  <c r="Q4416" i="14"/>
  <c r="Q3984" i="14"/>
  <c r="Q4297" i="14"/>
  <c r="Q2949" i="14"/>
  <c r="Q5522" i="14"/>
  <c r="Q5569" i="14"/>
  <c r="Q5468" i="14"/>
  <c r="Q5762" i="14"/>
  <c r="Q5793" i="14"/>
  <c r="Q5842" i="14"/>
  <c r="Q2996" i="14"/>
  <c r="Q1800" i="14"/>
  <c r="Q4700" i="14"/>
  <c r="Q2520" i="14"/>
  <c r="Q5856" i="14"/>
  <c r="Q3188" i="14"/>
  <c r="Q3290" i="14"/>
  <c r="Q3056" i="14"/>
  <c r="Q3055" i="14" s="1"/>
  <c r="Q2557" i="14"/>
  <c r="Q2850" i="14"/>
  <c r="Q5362" i="14"/>
  <c r="Q4337" i="14"/>
  <c r="Q5402" i="14"/>
  <c r="Q5364" i="14"/>
  <c r="Q5874" i="14"/>
  <c r="Q2659" i="14"/>
  <c r="Q4228" i="14"/>
  <c r="Q4227" i="14" s="1"/>
  <c r="Q2650" i="14"/>
  <c r="Q4240" i="14"/>
  <c r="Q4343" i="14"/>
  <c r="Q4226" i="14"/>
  <c r="Q5876" i="14"/>
  <c r="Q5484" i="14"/>
  <c r="Q5692" i="14"/>
  <c r="Q5724" i="14"/>
  <c r="Q5573" i="14"/>
  <c r="Q5825" i="14"/>
  <c r="Q2108" i="14"/>
  <c r="Q3639" i="14"/>
  <c r="Q1809" i="14"/>
  <c r="Q5312" i="14"/>
  <c r="Q5217" i="14"/>
  <c r="Q5268" i="14"/>
  <c r="Q5113" i="14"/>
  <c r="Q2139" i="14"/>
  <c r="Q3002" i="14"/>
  <c r="Q5809" i="14"/>
  <c r="Q5680" i="14"/>
  <c r="Q5690" i="14"/>
  <c r="Q5463" i="14"/>
  <c r="Q2442" i="14"/>
  <c r="Q4379" i="14"/>
  <c r="Q3976" i="14"/>
  <c r="Q5849" i="14"/>
  <c r="Q5419" i="14"/>
  <c r="Q5053" i="14"/>
  <c r="Q5621" i="14"/>
  <c r="Q5154" i="14"/>
  <c r="Q5229" i="14"/>
  <c r="Q5281" i="14"/>
  <c r="Q4912" i="14"/>
  <c r="Q5296" i="14"/>
  <c r="Q5295" i="14" s="1"/>
  <c r="Q5131" i="14"/>
  <c r="Q5192" i="14"/>
  <c r="Q1795" i="14"/>
  <c r="Q3010" i="14"/>
  <c r="Q5784" i="14"/>
  <c r="Q5675" i="14"/>
  <c r="Q5688" i="14"/>
  <c r="Q5623" i="14"/>
  <c r="Q4133" i="14"/>
  <c r="Q2434" i="14"/>
  <c r="Q4293" i="14"/>
  <c r="Q4291" i="14" s="1"/>
  <c r="Q5441" i="14"/>
  <c r="Q5797" i="14"/>
  <c r="Q2636" i="14"/>
  <c r="Q2635" i="14" s="1"/>
  <c r="Q5431" i="14"/>
  <c r="Q2150" i="14"/>
  <c r="Q2909" i="14"/>
  <c r="Q5745" i="14"/>
  <c r="Q5480" i="14"/>
  <c r="Q4305" i="14"/>
  <c r="Q5852" i="14"/>
  <c r="Q4503" i="14"/>
  <c r="Q4093" i="14"/>
  <c r="Q2816" i="14"/>
  <c r="Q2815" i="14" s="1"/>
  <c r="Q3320" i="14"/>
  <c r="Q5029" i="14"/>
  <c r="Q4072" i="14"/>
  <c r="Q3289" i="14"/>
  <c r="Q2567" i="14"/>
  <c r="Q3785" i="14"/>
  <c r="Q5084" i="14"/>
  <c r="Q2988" i="14"/>
  <c r="Q5049" i="14"/>
  <c r="Q2972" i="14"/>
  <c r="Q3021" i="14"/>
  <c r="Q3175" i="14"/>
  <c r="Q1505" i="14"/>
  <c r="Q3969" i="14"/>
  <c r="Q4667" i="14"/>
  <c r="Q4258" i="14"/>
  <c r="Q5128" i="14"/>
  <c r="Q3154" i="14"/>
  <c r="Q4538" i="14"/>
  <c r="Q3386" i="14"/>
  <c r="Q3068" i="14"/>
  <c r="Q2992" i="14"/>
  <c r="Q3739" i="14"/>
  <c r="Q4823" i="14"/>
  <c r="Q4585" i="14"/>
  <c r="Q1884" i="14"/>
  <c r="Q2690" i="14"/>
  <c r="Q5896" i="14"/>
  <c r="Q5444" i="14"/>
  <c r="Q1481" i="14"/>
  <c r="Q3344" i="14"/>
  <c r="Q3343" i="14" s="1"/>
  <c r="Q5173" i="14"/>
  <c r="Q2713" i="14"/>
  <c r="Q3449" i="14"/>
  <c r="Q5322" i="14"/>
  <c r="Q3787" i="14"/>
  <c r="Q3792" i="14"/>
  <c r="Q5425" i="14"/>
  <c r="Q5605" i="14"/>
  <c r="Q4333" i="14"/>
  <c r="Q5409" i="14"/>
  <c r="Q5457" i="14"/>
  <c r="Q3629" i="14"/>
  <c r="Q3721" i="14"/>
  <c r="Q3072" i="14"/>
  <c r="Q1278" i="14"/>
  <c r="Q3602" i="14"/>
  <c r="Q3596" i="14"/>
  <c r="Q3284" i="14"/>
  <c r="Q3283" i="14" s="1"/>
  <c r="Q2767" i="14"/>
  <c r="Q3048" i="14"/>
  <c r="Q5346" i="14"/>
  <c r="Q5613" i="14"/>
  <c r="Q5412" i="14"/>
  <c r="Q5540" i="14"/>
  <c r="Q1851" i="14"/>
  <c r="Q3209" i="14"/>
  <c r="Q5196" i="14"/>
  <c r="Q4316" i="14"/>
  <c r="Q2065" i="14"/>
  <c r="Q2341" i="14"/>
  <c r="Q4277" i="14"/>
  <c r="Q3269" i="14"/>
  <c r="Q3267" i="14" s="1"/>
  <c r="Q5340" i="14"/>
  <c r="Q5602" i="14"/>
  <c r="Q4369" i="14"/>
  <c r="Q5858" i="14"/>
  <c r="Q5437" i="14"/>
  <c r="Q2944" i="14"/>
  <c r="Q4395" i="14"/>
  <c r="Q2603" i="14"/>
  <c r="Q4018" i="14"/>
  <c r="Q4400" i="14"/>
  <c r="Q2664" i="14"/>
  <c r="Q5880" i="14"/>
  <c r="Q5472" i="14"/>
  <c r="Q5693" i="14"/>
  <c r="Q5521" i="14"/>
  <c r="Q5748" i="14"/>
  <c r="Q5810" i="14"/>
  <c r="Q5841" i="14"/>
  <c r="Q3009" i="14"/>
  <c r="Q1816" i="14"/>
  <c r="Q509" i="14"/>
  <c r="Q5133" i="14"/>
  <c r="Q1264" i="14"/>
  <c r="Q2258" i="14"/>
  <c r="Q2576" i="14"/>
  <c r="Q2575" i="14" s="1"/>
  <c r="Q4289" i="14"/>
  <c r="Q4281" i="14"/>
  <c r="Q2297" i="14"/>
  <c r="Q2295" i="14" s="1"/>
  <c r="Q5899" i="14"/>
  <c r="Q4330" i="14"/>
  <c r="Q5397" i="14"/>
  <c r="Q5378" i="14"/>
  <c r="Q5869" i="14"/>
  <c r="Q4219" i="14"/>
  <c r="Q4005" i="14"/>
  <c r="Q4011" i="14"/>
  <c r="Q4235" i="14"/>
  <c r="Q4298" i="14"/>
  <c r="Q4300" i="14"/>
  <c r="Q5456" i="14"/>
  <c r="Q5464" i="14"/>
  <c r="Q5473" i="14"/>
  <c r="Q5717" i="14"/>
  <c r="Q5586" i="14"/>
  <c r="Q5780" i="14"/>
  <c r="Q2113" i="14"/>
  <c r="Q3645" i="14"/>
  <c r="Q5272" i="14"/>
  <c r="Q4903" i="14"/>
  <c r="Q5287" i="14"/>
  <c r="Q5121" i="14"/>
  <c r="Q5181" i="14"/>
  <c r="Q1799" i="14"/>
  <c r="Q3000" i="14"/>
  <c r="Q5794" i="14"/>
  <c r="Q5729" i="14"/>
  <c r="Q5536" i="14"/>
  <c r="Q5516" i="14"/>
  <c r="Q1529" i="14"/>
  <c r="Q3980" i="14"/>
  <c r="Q4055" i="14"/>
  <c r="Q5442" i="14"/>
  <c r="Q5204" i="14"/>
  <c r="Q1811" i="14"/>
  <c r="Q5515" i="14"/>
  <c r="Q5285" i="14"/>
  <c r="Q5004" i="14"/>
  <c r="Q5066" i="14"/>
  <c r="Q4971" i="14"/>
  <c r="Q5012" i="14"/>
  <c r="Q5210" i="14"/>
  <c r="Q5271" i="14"/>
  <c r="Q1814" i="14"/>
  <c r="Q2908" i="14"/>
  <c r="Q5738" i="14"/>
  <c r="Q5728" i="14"/>
  <c r="Q5466" i="14"/>
  <c r="Q5524" i="14"/>
  <c r="Q5523" i="14" s="1"/>
  <c r="Q4004" i="14"/>
  <c r="Q4347" i="14"/>
  <c r="Q3129" i="14"/>
  <c r="Q5373" i="14"/>
  <c r="Q5754" i="14"/>
  <c r="Q4218" i="14"/>
  <c r="Q1480" i="14"/>
  <c r="Q5372" i="14"/>
  <c r="Q5306" i="14"/>
  <c r="Q1808" i="14"/>
  <c r="Q1793" i="14"/>
  <c r="Q2906" i="14"/>
  <c r="Q5800" i="14"/>
  <c r="Q5681" i="14"/>
  <c r="Q5677" i="14"/>
  <c r="Q5432" i="14"/>
  <c r="Q3985" i="14"/>
  <c r="Q2607" i="14"/>
  <c r="Q4065" i="14"/>
  <c r="Q5453" i="14"/>
  <c r="Q4429" i="14"/>
  <c r="Q4549" i="14"/>
  <c r="Q1768" i="14"/>
  <c r="Q3498" i="14"/>
  <c r="Q3473" i="14"/>
  <c r="Q2527" i="14"/>
  <c r="Q2379" i="14"/>
  <c r="Q5042" i="14"/>
  <c r="Q5353" i="14"/>
  <c r="Q2984" i="14"/>
  <c r="Q4424" i="14"/>
  <c r="Q4705" i="14"/>
  <c r="Q1226" i="14"/>
  <c r="Q4186" i="14"/>
  <c r="Q2335" i="14"/>
  <c r="Q4023" i="14"/>
  <c r="Q2873" i="14"/>
  <c r="Q5153" i="14"/>
  <c r="Q1491" i="14"/>
  <c r="Q5333" i="14"/>
  <c r="Q5331" i="14" s="1"/>
  <c r="Q1879" i="14"/>
  <c r="Q4282" i="14"/>
  <c r="Q3698" i="14"/>
  <c r="Q2485" i="14"/>
  <c r="Q3067" i="14"/>
  <c r="Q4848" i="14"/>
  <c r="Q1900" i="14"/>
  <c r="Q520" i="14"/>
  <c r="Q1756" i="14"/>
  <c r="Q3497" i="14"/>
  <c r="Q2545" i="14"/>
  <c r="Q2177" i="14"/>
  <c r="Q3384" i="14"/>
  <c r="Q1056" i="14"/>
  <c r="Q5097" i="14"/>
  <c r="Q5079" i="14"/>
  <c r="Q4509" i="14"/>
  <c r="Q4714" i="14"/>
  <c r="Q4199" i="14"/>
  <c r="Q3116" i="14"/>
  <c r="Q2978" i="14"/>
  <c r="Q3240" i="14"/>
  <c r="Q3572" i="14"/>
  <c r="Q2126" i="14"/>
  <c r="Q3210" i="14"/>
  <c r="Q1880" i="14"/>
  <c r="Q5354" i="14"/>
  <c r="Q1681" i="14"/>
  <c r="Q4644" i="14"/>
  <c r="Q4842" i="14"/>
  <c r="Q1903" i="14"/>
  <c r="Q661" i="14"/>
  <c r="Q3752" i="14"/>
  <c r="Q3413" i="14"/>
  <c r="Q4029" i="14"/>
  <c r="Q1289" i="14"/>
  <c r="Q3083" i="14"/>
  <c r="Q2980" i="14"/>
  <c r="Q5048" i="14"/>
  <c r="Q3865" i="14"/>
  <c r="Q4504" i="14"/>
  <c r="Q5248" i="14"/>
  <c r="Q3840" i="14"/>
  <c r="Q4816" i="14"/>
  <c r="Q2121" i="14"/>
  <c r="Q1286" i="14"/>
  <c r="Q3035" i="14"/>
  <c r="Q2009" i="14"/>
  <c r="Q1488" i="14"/>
  <c r="Q4188" i="14"/>
  <c r="Q2120" i="14"/>
  <c r="Q4496" i="14"/>
  <c r="Q5293" i="14"/>
  <c r="Q1580" i="14"/>
  <c r="Q1579" i="14" s="1"/>
  <c r="Q1172" i="14"/>
  <c r="Q1602" i="14"/>
  <c r="Q2077" i="14"/>
  <c r="Q3099" i="14"/>
  <c r="Q2282" i="14"/>
  <c r="Q4689" i="14"/>
  <c r="Q1688" i="14"/>
  <c r="Q5136" i="14"/>
  <c r="Q2333" i="14"/>
  <c r="Q3216" i="14"/>
  <c r="Q2285" i="14"/>
  <c r="Q3255" i="14"/>
  <c r="Q3101" i="14"/>
  <c r="Q4781" i="14"/>
  <c r="Q4490" i="14"/>
  <c r="Q2263" i="14"/>
  <c r="Q4081" i="14"/>
  <c r="Q1638" i="14"/>
  <c r="Q3548" i="14"/>
  <c r="Q4513" i="14"/>
  <c r="Q5177" i="14"/>
  <c r="Q2592" i="14"/>
  <c r="Q550" i="14"/>
  <c r="Q4578" i="14"/>
  <c r="Q2952" i="14"/>
  <c r="Q5888" i="14"/>
  <c r="Q5584" i="14"/>
  <c r="Q5837" i="14"/>
  <c r="Q3978" i="14"/>
  <c r="Q5609" i="14"/>
  <c r="Q4404" i="14"/>
  <c r="Q5498" i="14"/>
  <c r="Q1939" i="14"/>
  <c r="Q5140" i="14"/>
  <c r="Q5139" i="14" s="1"/>
  <c r="Q5805" i="14"/>
  <c r="Q5216" i="14"/>
  <c r="Q1760" i="14"/>
  <c r="Q1220" i="14"/>
  <c r="Q1219" i="14" s="1"/>
  <c r="Q4283" i="14"/>
  <c r="Q1344" i="14"/>
  <c r="Q3836" i="14"/>
  <c r="Q5200" i="14"/>
  <c r="Q1496" i="14"/>
  <c r="Q5108" i="14"/>
  <c r="Q5107" i="14" s="1"/>
  <c r="Q1715" i="14"/>
  <c r="Q2340" i="14"/>
  <c r="Q1169" i="14"/>
  <c r="Q2313" i="14"/>
  <c r="Q1901" i="14"/>
  <c r="Q4784" i="14"/>
  <c r="Q4533" i="14"/>
  <c r="Q5092" i="14"/>
  <c r="Q5091" i="14" s="1"/>
  <c r="Q773" i="14"/>
  <c r="Q1835" i="14"/>
  <c r="Q1604" i="14"/>
  <c r="Q1588" i="14"/>
  <c r="Q2028" i="14"/>
  <c r="Q4665" i="14"/>
  <c r="Q3863" i="14"/>
  <c r="Q3063" i="14"/>
  <c r="Q2585" i="14"/>
  <c r="Q4161" i="14"/>
  <c r="Q3113" i="14"/>
  <c r="Q1451" i="14"/>
  <c r="Q673" i="14"/>
  <c r="Q671" i="14" s="1"/>
  <c r="Q4808" i="14"/>
  <c r="Q4491" i="14"/>
  <c r="Q4103" i="14"/>
  <c r="Q1265" i="14"/>
  <c r="Q1844" i="14"/>
  <c r="Q1843" i="14" s="1"/>
  <c r="Q3321" i="14"/>
  <c r="Q4423" i="14"/>
  <c r="Q1689" i="14"/>
  <c r="Q3546" i="14"/>
  <c r="Q4021" i="14"/>
  <c r="Q4428" i="14"/>
  <c r="Q2951" i="14"/>
  <c r="Q5627" i="14"/>
  <c r="Q5792" i="14"/>
  <c r="Q5201" i="14"/>
  <c r="Q4138" i="14"/>
  <c r="Q2956" i="14"/>
  <c r="Q3981" i="14"/>
  <c r="Q5760" i="14"/>
  <c r="Q2141" i="14"/>
  <c r="Q5168" i="14"/>
  <c r="Q5167" i="14" s="1"/>
  <c r="Q5149" i="14"/>
  <c r="Q3759" i="14"/>
  <c r="Q4521" i="14"/>
  <c r="Q4636" i="14"/>
  <c r="Q4530" i="14"/>
  <c r="Q4604" i="14"/>
  <c r="Q4642" i="14"/>
  <c r="Q4603" i="14"/>
  <c r="Q4580" i="14"/>
  <c r="Q4605" i="14"/>
  <c r="Q4588" i="14"/>
  <c r="Q4525" i="14"/>
  <c r="Q4620" i="14"/>
  <c r="Q4519" i="14"/>
  <c r="Q4610" i="14"/>
  <c r="Q4628" i="14"/>
  <c r="Q4640" i="14"/>
  <c r="Q4599" i="14"/>
  <c r="Q4586" i="14"/>
  <c r="Q4596" i="14"/>
  <c r="Q4592" i="14"/>
  <c r="Q4635" i="14"/>
  <c r="Q4581" i="14"/>
  <c r="Q4597" i="14"/>
  <c r="Q1680" i="14"/>
  <c r="Q1676" i="14"/>
  <c r="Q1683" i="14"/>
  <c r="Q4472" i="14"/>
  <c r="Q4560" i="14"/>
  <c r="Q4469" i="14"/>
  <c r="Q4507" i="14"/>
  <c r="Q4501" i="14"/>
  <c r="Q4506" i="14"/>
  <c r="Q4532" i="14"/>
  <c r="Q4546" i="14"/>
  <c r="Q4568" i="14"/>
  <c r="Q4548" i="14"/>
  <c r="Q4634" i="14"/>
  <c r="Q4660" i="14"/>
  <c r="Q4647" i="14"/>
  <c r="Q4651" i="14"/>
  <c r="Q2382" i="14"/>
  <c r="Q4752" i="14"/>
  <c r="Q4676" i="14"/>
  <c r="Q4715" i="14"/>
  <c r="Q4706" i="14"/>
  <c r="Q4699" i="14"/>
  <c r="Q4812" i="14"/>
  <c r="Q4763" i="14"/>
  <c r="Q4785" i="14"/>
  <c r="Q4761" i="14"/>
  <c r="Q4764" i="14"/>
  <c r="Q4786" i="14"/>
  <c r="Q4962" i="14"/>
  <c r="Q4836" i="14"/>
  <c r="Q4892" i="14"/>
  <c r="Q4876" i="14"/>
  <c r="Q4897" i="14"/>
  <c r="Q3415" i="14"/>
  <c r="Q2125" i="14"/>
  <c r="Q2549" i="14"/>
  <c r="Q1577" i="14"/>
  <c r="Q1575" i="14" s="1"/>
  <c r="Q872" i="14"/>
  <c r="Q866" i="14" s="1"/>
  <c r="Q1170" i="14"/>
  <c r="Q3393" i="14"/>
  <c r="Q2511" i="14"/>
  <c r="Q1714" i="14"/>
  <c r="Q1765" i="14"/>
  <c r="Q3392" i="14"/>
  <c r="Q2035" i="14"/>
  <c r="Q2513" i="14"/>
  <c r="Q1709" i="14"/>
  <c r="Q1707" i="14" s="1"/>
  <c r="Q1346" i="14"/>
  <c r="Q864" i="14"/>
  <c r="Q863" i="14" s="1"/>
  <c r="Q3381" i="14"/>
  <c r="Q2451" i="14"/>
  <c r="Q1660" i="14"/>
  <c r="Q1867" i="14"/>
  <c r="Q1833" i="14"/>
  <c r="Q3751" i="14"/>
  <c r="Q3474" i="14"/>
  <c r="Q2556" i="14"/>
  <c r="Q761" i="14"/>
  <c r="Q2178" i="14"/>
  <c r="Q4267" i="14"/>
  <c r="Q3195" i="14"/>
  <c r="Q2241" i="14"/>
  <c r="Q2239" i="14" s="1"/>
  <c r="Q1456" i="14"/>
  <c r="Q4152" i="14"/>
  <c r="Q2318" i="14"/>
  <c r="Q2707" i="14"/>
  <c r="Q3593" i="14"/>
  <c r="Q3365" i="14"/>
  <c r="Q3363" i="14" s="1"/>
  <c r="Q3090" i="14"/>
  <c r="Q3087" i="14" s="1"/>
  <c r="Q3098" i="14"/>
  <c r="Q3271" i="14"/>
  <c r="Q4173" i="14"/>
  <c r="Q3576" i="14"/>
  <c r="Q2813" i="14"/>
  <c r="Q2706" i="14"/>
  <c r="Q1757" i="14"/>
  <c r="Q2180" i="14"/>
  <c r="Q746" i="14"/>
  <c r="Q876" i="14"/>
  <c r="Q875" i="14" s="1"/>
  <c r="Q2594" i="14"/>
  <c r="Q2761" i="14"/>
  <c r="Q3659" i="14"/>
  <c r="Q3044" i="14"/>
  <c r="Q3043" i="14" s="1"/>
  <c r="Q3577" i="14"/>
  <c r="Q4263" i="14"/>
  <c r="Q3660" i="14"/>
  <c r="Q2777" i="14"/>
  <c r="Q2532" i="14"/>
  <c r="Q1601" i="14"/>
  <c r="Q4468" i="14"/>
  <c r="Q4489" i="14"/>
  <c r="Q4545" i="14"/>
  <c r="Q4536" i="14"/>
  <c r="Q4500" i="14"/>
  <c r="Q4564" i="14"/>
  <c r="Q4576" i="14"/>
  <c r="Q4553" i="14"/>
  <c r="Q4713" i="14"/>
  <c r="Q4672" i="14"/>
  <c r="Q4658" i="14"/>
  <c r="Q4656" i="14"/>
  <c r="Q3073" i="14"/>
  <c r="Q4743" i="14"/>
  <c r="Q4680" i="14"/>
  <c r="Q4712" i="14"/>
  <c r="Q4684" i="14"/>
  <c r="Q4692" i="14"/>
  <c r="Q4810" i="14"/>
  <c r="Q4779" i="14"/>
  <c r="Q4762" i="14"/>
  <c r="Q4775" i="14"/>
  <c r="Q4776" i="14"/>
  <c r="Q4777" i="14"/>
  <c r="Q4840" i="14"/>
  <c r="Q4850" i="14"/>
  <c r="Q4896" i="14"/>
  <c r="Q4872" i="14"/>
  <c r="Q4882" i="14"/>
  <c r="Q3301" i="14"/>
  <c r="Q4185" i="14"/>
  <c r="Q3192" i="14"/>
  <c r="Q1343" i="14"/>
  <c r="Q512" i="14"/>
  <c r="Q912" i="14"/>
  <c r="Q3291" i="14"/>
  <c r="Q2337" i="14"/>
  <c r="Q1624" i="14"/>
  <c r="Q1639" i="14"/>
  <c r="Q2276" i="14"/>
  <c r="Q4107" i="14"/>
  <c r="Q3114" i="14"/>
  <c r="Q1565" i="14"/>
  <c r="Q1563" i="14" s="1"/>
  <c r="Q1106" i="14"/>
  <c r="Q660" i="14"/>
  <c r="Q3273" i="14"/>
  <c r="Q2325" i="14"/>
  <c r="Q2323" i="14" s="1"/>
  <c r="Q1600" i="14"/>
  <c r="Q1729" i="14"/>
  <c r="Q3266" i="14"/>
  <c r="Q4025" i="14"/>
  <c r="Q3461" i="14"/>
  <c r="Q2328" i="14"/>
  <c r="Q2228" i="14"/>
  <c r="Q1836" i="14"/>
  <c r="Q4165" i="14"/>
  <c r="Q3081" i="14"/>
  <c r="Q2181" i="14"/>
  <c r="Q1258" i="14"/>
  <c r="Q3728" i="14"/>
  <c r="Q3727" i="14" s="1"/>
  <c r="Q4181" i="14"/>
  <c r="Q2449" i="14"/>
  <c r="Q4204" i="14"/>
  <c r="Q3257" i="14"/>
  <c r="Q2928" i="14"/>
  <c r="Q2864" i="14"/>
  <c r="Q2863" i="14" s="1"/>
  <c r="Q3049" i="14"/>
  <c r="Q4089" i="14"/>
  <c r="Q3426" i="14"/>
  <c r="Q3423" i="14" s="1"/>
  <c r="Q2723" i="14"/>
  <c r="Q2544" i="14"/>
  <c r="Q1625" i="14"/>
  <c r="Q2030" i="14"/>
  <c r="Q4535" i="14"/>
  <c r="Q4480" i="14"/>
  <c r="Q4544" i="14"/>
  <c r="Q4498" i="14"/>
  <c r="Q4487" i="14"/>
  <c r="Q4493" i="14"/>
  <c r="Q4570" i="14"/>
  <c r="Q4565" i="14"/>
  <c r="Q4552" i="14"/>
  <c r="Q4697" i="14"/>
  <c r="Q4661" i="14"/>
  <c r="Q4652" i="14"/>
  <c r="Q3064" i="14"/>
  <c r="Q3065" i="14"/>
  <c r="Q4683" i="14"/>
  <c r="Q4685" i="14"/>
  <c r="Q4717" i="14"/>
  <c r="Q4709" i="14"/>
  <c r="Q4696" i="14"/>
  <c r="Q4809" i="14"/>
  <c r="Q4740" i="14"/>
  <c r="Q4748" i="14"/>
  <c r="Q4768" i="14"/>
  <c r="Q4778" i="14"/>
  <c r="Q4889" i="14"/>
  <c r="Q4841" i="14"/>
  <c r="Q4844" i="14"/>
  <c r="Q4880" i="14"/>
  <c r="Q4888" i="14"/>
  <c r="Q4874" i="14"/>
  <c r="Q3416" i="14"/>
  <c r="Q3581" i="14"/>
  <c r="Q2922" i="14"/>
  <c r="Q1013" i="14"/>
  <c r="Q1011" i="14" s="1"/>
  <c r="Q2214" i="14"/>
  <c r="Q696" i="14"/>
  <c r="Q3225" i="14"/>
  <c r="Q2277" i="14"/>
  <c r="Q1516" i="14"/>
  <c r="Q1567" i="14"/>
  <c r="Q3272" i="14"/>
  <c r="Q4252" i="14"/>
  <c r="Q2868" i="14"/>
  <c r="Q1247" i="14"/>
  <c r="Q764" i="14"/>
  <c r="Q4279" i="14"/>
  <c r="Q3207" i="14"/>
  <c r="Q2253" i="14"/>
  <c r="Q1504" i="14"/>
  <c r="Q1621" i="14"/>
  <c r="Q3781" i="14"/>
  <c r="Q2875" i="14"/>
  <c r="Q3245" i="14"/>
  <c r="Q2303" i="14"/>
  <c r="Q1712" i="14"/>
  <c r="Q1644" i="14"/>
  <c r="Q4045" i="14"/>
  <c r="Q2919" i="14"/>
  <c r="Q2019" i="14"/>
  <c r="Q3104" i="14"/>
  <c r="Q3103" i="14" s="1"/>
  <c r="Q3506" i="14"/>
  <c r="Q3553" i="14"/>
  <c r="Q2257" i="14"/>
  <c r="Q4114" i="14"/>
  <c r="Q4111" i="14" s="1"/>
  <c r="Q3185" i="14"/>
  <c r="Q3183" i="14" s="1"/>
  <c r="Q2730" i="14"/>
  <c r="Q2727" i="14" s="1"/>
  <c r="Q2720" i="14"/>
  <c r="Q2773" i="14"/>
  <c r="Q3689" i="14"/>
  <c r="Q3306" i="14"/>
  <c r="Q2525" i="14"/>
  <c r="Q2523" i="14" s="1"/>
  <c r="Q2400" i="14"/>
  <c r="Q1517" i="14"/>
  <c r="Q1868" i="14"/>
  <c r="Q2196" i="14"/>
  <c r="Q4026" i="14"/>
  <c r="Q3697" i="14"/>
  <c r="Q2317" i="14"/>
  <c r="Q4168" i="14"/>
  <c r="Q2558" i="14"/>
  <c r="Q2971" i="14"/>
  <c r="Q4537" i="14"/>
  <c r="Q4471" i="14"/>
  <c r="Q4492" i="14"/>
  <c r="Q4508" i="14"/>
  <c r="Q4488" i="14"/>
  <c r="Q4541" i="14"/>
  <c r="Q4571" i="14"/>
  <c r="Q4573" i="14"/>
  <c r="Q4561" i="14"/>
  <c r="Q4679" i="14"/>
  <c r="Q4664" i="14"/>
  <c r="Q4650" i="14"/>
  <c r="Q2377" i="14"/>
  <c r="Q2375" i="14" s="1"/>
  <c r="Q4690" i="14"/>
  <c r="Q4682" i="14"/>
  <c r="Q4721" i="14"/>
  <c r="Q4719" i="14" s="1"/>
  <c r="Q4708" i="14"/>
  <c r="Q4727" i="14"/>
  <c r="Q4817" i="14"/>
  <c r="Q4741" i="14"/>
  <c r="Q4765" i="14"/>
  <c r="Q4754" i="14"/>
  <c r="Q4770" i="14"/>
  <c r="Q4868" i="14"/>
  <c r="Q4837" i="14"/>
  <c r="Q4845" i="14"/>
  <c r="Q4891" i="14"/>
  <c r="Q4869" i="14"/>
  <c r="Q2876" i="14"/>
  <c r="Q3594" i="14"/>
  <c r="Q2724" i="14"/>
  <c r="Q521" i="14"/>
  <c r="Q2076" i="14"/>
  <c r="Q4189" i="14"/>
  <c r="Q3111" i="14"/>
  <c r="Q2211" i="14"/>
  <c r="Q1354" i="14"/>
  <c r="Q1351" i="14" s="1"/>
  <c r="Q1249" i="14"/>
  <c r="Q2732" i="14"/>
  <c r="Q2731" i="14" s="1"/>
  <c r="Q3994" i="14"/>
  <c r="Q2700" i="14"/>
  <c r="Q905" i="14"/>
  <c r="Q2274" i="14"/>
  <c r="Q4177" i="14"/>
  <c r="Q4477" i="14"/>
  <c r="Q4474" i="14"/>
  <c r="Q4476" i="14"/>
  <c r="Q4555" i="14"/>
  <c r="Q4539" i="14"/>
  <c r="Q4618" i="14"/>
  <c r="Q4473" i="14"/>
  <c r="Q4482" i="14"/>
  <c r="Q4481" i="14"/>
  <c r="Q4459" i="14"/>
  <c r="Q4455" i="14"/>
  <c r="Q4464" i="14"/>
  <c r="Q4456" i="14"/>
  <c r="Q4461" i="14"/>
  <c r="Q4466" i="14"/>
  <c r="Q4452" i="14"/>
  <c r="Q4458" i="14"/>
  <c r="Q4457" i="14"/>
  <c r="Q4460" i="14"/>
  <c r="Q4465" i="14"/>
  <c r="Q4453" i="14"/>
  <c r="Q4440" i="14"/>
  <c r="Q4444" i="14"/>
  <c r="Q4445" i="14"/>
  <c r="Q4448" i="14"/>
  <c r="Q4439" i="14"/>
  <c r="Q4443" i="14"/>
  <c r="Q4449" i="14"/>
  <c r="Q4441" i="14"/>
  <c r="Q4442" i="14"/>
  <c r="Q4450" i="14"/>
  <c r="Q4523" i="14"/>
  <c r="Q4624" i="14"/>
  <c r="Q4621" i="14"/>
  <c r="Q4516" i="14"/>
  <c r="Q4600" i="14"/>
  <c r="Q4528" i="14"/>
  <c r="Q4629" i="14"/>
  <c r="Q4583" i="14"/>
  <c r="Q4529" i="14"/>
  <c r="Q4593" i="14"/>
  <c r="Q4608" i="14"/>
  <c r="Q4601" i="14"/>
  <c r="Q4520" i="14"/>
  <c r="Q4637" i="14"/>
  <c r="Q4617" i="14"/>
  <c r="Q4613" i="14"/>
  <c r="Q4615" i="14"/>
  <c r="Q4522" i="14"/>
  <c r="Q4524" i="14"/>
  <c r="Q4625" i="14"/>
  <c r="Q4631" i="14"/>
  <c r="Q4587" i="14"/>
  <c r="Q4517" i="14"/>
  <c r="Q4641" i="14"/>
  <c r="Q4619" i="14"/>
  <c r="Q4626" i="14"/>
  <c r="Q4602" i="14"/>
  <c r="Q4589" i="14"/>
  <c r="Q4594" i="14"/>
  <c r="Q4609" i="14"/>
  <c r="Q4612" i="14"/>
  <c r="Q4649" i="14"/>
  <c r="Q4632" i="14"/>
  <c r="Q4653" i="14"/>
  <c r="Q4616" i="14"/>
  <c r="Q4834" i="14"/>
  <c r="Q4793" i="14"/>
  <c r="Q4788" i="14"/>
  <c r="Q4796" i="14"/>
  <c r="Q4826" i="14"/>
  <c r="Q4820" i="14"/>
  <c r="Q4800" i="14"/>
  <c r="Q4821" i="14"/>
  <c r="Q4802" i="14"/>
  <c r="Q4827" i="14"/>
  <c r="Q4828" i="14"/>
  <c r="Q4797" i="14"/>
  <c r="Q4795" i="14"/>
  <c r="Q4832" i="14"/>
  <c r="Q4824" i="14"/>
  <c r="Q4829" i="14"/>
  <c r="Q4791" i="14"/>
  <c r="Q4825" i="14"/>
  <c r="Q4789" i="14"/>
  <c r="Q4794" i="14"/>
  <c r="Q4833" i="14"/>
  <c r="Q4933" i="14"/>
  <c r="Q4931" i="14" s="1"/>
  <c r="Q5008" i="14"/>
  <c r="Q4905" i="14"/>
  <c r="Q4914" i="14"/>
  <c r="Q4924" i="14"/>
  <c r="Q4921" i="14"/>
  <c r="Q4930" i="14"/>
  <c r="Q4951" i="14"/>
  <c r="Q4953" i="14"/>
  <c r="Q4923" i="14"/>
  <c r="Q4929" i="14"/>
  <c r="Q4904" i="14"/>
  <c r="Q4957" i="14"/>
  <c r="Q4954" i="14"/>
  <c r="Q4949" i="14"/>
  <c r="Q4925" i="14"/>
  <c r="Q4928" i="14"/>
  <c r="Q4909" i="14"/>
  <c r="Q4916" i="14"/>
  <c r="Q4913" i="14"/>
  <c r="Q4900" i="14"/>
  <c r="Q4919" i="14"/>
  <c r="Q4906" i="14"/>
  <c r="Q4960" i="14"/>
  <c r="Q4907" i="14"/>
  <c r="Q4956" i="14"/>
  <c r="Q4908" i="14"/>
  <c r="Q4917" i="14"/>
  <c r="Q4901" i="14"/>
  <c r="Q4920" i="14"/>
  <c r="J4912" i="14"/>
  <c r="Q5072" i="14"/>
  <c r="Q5104" i="14"/>
  <c r="Q5098" i="14"/>
  <c r="Q5000" i="14"/>
  <c r="Q4938" i="14"/>
  <c r="Q4939" i="14"/>
  <c r="Q4977" i="14"/>
  <c r="Q4856" i="14"/>
  <c r="Q4986" i="14"/>
  <c r="Q4980" i="14"/>
  <c r="Q4864" i="14"/>
  <c r="Q4987" i="14"/>
  <c r="Q4946" i="14"/>
  <c r="Q4993" i="14"/>
  <c r="Q4984" i="14"/>
  <c r="Q5005" i="14"/>
  <c r="Q5003" i="14"/>
  <c r="Q4969" i="14"/>
  <c r="Q4970" i="14"/>
  <c r="Q4855" i="14"/>
  <c r="Q4968" i="14"/>
  <c r="Q4937" i="14"/>
  <c r="Q4989" i="14"/>
  <c r="Q4997" i="14"/>
  <c r="Q5019" i="14"/>
  <c r="Q5009" i="14"/>
  <c r="Q4967" i="14"/>
  <c r="Q4866" i="14"/>
  <c r="Q4853" i="14"/>
  <c r="Q4859" i="14"/>
  <c r="Q4964" i="14"/>
  <c r="Q4963" i="14" s="1"/>
  <c r="Q4988" i="14"/>
  <c r="Q5016" i="14"/>
  <c r="Q5025" i="14"/>
  <c r="Q5013" i="14"/>
  <c r="Q4978" i="14"/>
  <c r="Q4858" i="14"/>
  <c r="Q5018" i="14"/>
  <c r="Q4944" i="14"/>
  <c r="Q4860" i="14"/>
  <c r="Q4996" i="14"/>
  <c r="Q4935" i="14"/>
  <c r="Q5026" i="14"/>
  <c r="Q5017" i="14"/>
  <c r="Q4976" i="14"/>
  <c r="Q4857" i="14"/>
  <c r="Q4861" i="14"/>
  <c r="Q4865" i="14"/>
  <c r="Q4973" i="14"/>
  <c r="Q4852" i="14"/>
  <c r="Q4999" i="14"/>
  <c r="Q4940" i="14"/>
  <c r="Q5289" i="14"/>
  <c r="Q3835" i="14"/>
  <c r="Q5162" i="14"/>
  <c r="J5901" i="14"/>
  <c r="K5901" i="14" s="1"/>
  <c r="L5901" i="14" s="1"/>
  <c r="M5901" i="14" s="1"/>
  <c r="J5906" i="14"/>
  <c r="K5906" i="14" s="1"/>
  <c r="L5906" i="14" s="1"/>
  <c r="M5906" i="14" s="1"/>
  <c r="Q3837" i="14"/>
  <c r="Q3508" i="14"/>
  <c r="Q3509" i="14"/>
  <c r="J5611" i="14"/>
  <c r="K5611" i="14" s="1"/>
  <c r="M5611" i="14" s="1"/>
  <c r="Q3829" i="14"/>
  <c r="Q3515" i="14"/>
  <c r="J5899" i="14"/>
  <c r="K5899" i="14" s="1"/>
  <c r="L5899" i="14" s="1"/>
  <c r="M5899" i="14" s="1"/>
  <c r="J5588" i="14"/>
  <c r="K5588" i="14" s="1"/>
  <c r="M5588" i="14" s="1"/>
  <c r="J5896" i="14"/>
  <c r="K5896" i="14" s="1"/>
  <c r="L5896" i="14" s="1"/>
  <c r="M5896" i="14" s="1"/>
  <c r="J5617" i="14"/>
  <c r="K5617" i="14" s="1"/>
  <c r="M5617" i="14" s="1"/>
  <c r="J5893" i="14"/>
  <c r="K5893" i="14" s="1"/>
  <c r="L5893" i="14" s="1"/>
  <c r="M5893" i="14" s="1"/>
  <c r="J5897" i="14"/>
  <c r="K5897" i="14" s="1"/>
  <c r="L5897" i="14" s="1"/>
  <c r="M5897" i="14" s="1"/>
  <c r="J5892" i="14"/>
  <c r="J5898" i="14"/>
  <c r="K5898" i="14" s="1"/>
  <c r="L5898" i="14" s="1"/>
  <c r="M5898" i="14" s="1"/>
  <c r="J5613" i="14"/>
  <c r="K5613" i="14" s="1"/>
  <c r="M5613" i="14" s="1"/>
  <c r="J5895" i="14"/>
  <c r="J5904" i="14"/>
  <c r="Q3828" i="14"/>
  <c r="Q3842" i="14"/>
  <c r="Q4994" i="14"/>
  <c r="J5604" i="14"/>
  <c r="K5604" i="14" s="1"/>
  <c r="M5604" i="14" s="1"/>
  <c r="J5905" i="14"/>
  <c r="K5905" i="14" s="1"/>
  <c r="L5905" i="14" s="1"/>
  <c r="M5905" i="14" s="1"/>
  <c r="J5900" i="14"/>
  <c r="K5900" i="14" s="1"/>
  <c r="L5900" i="14" s="1"/>
  <c r="M5900" i="14" s="1"/>
  <c r="Q3513" i="14"/>
  <c r="Q3522" i="14"/>
  <c r="J5844" i="14"/>
  <c r="K5844" i="14" s="1"/>
  <c r="L5844" i="14" s="1"/>
  <c r="J5595" i="14"/>
  <c r="K5595" i="14" s="1"/>
  <c r="M5595" i="14" s="1"/>
  <c r="J5591" i="14"/>
  <c r="K5591" i="14" s="1"/>
  <c r="M5591" i="14" s="1"/>
  <c r="J5589" i="14"/>
  <c r="Q3514" i="14"/>
  <c r="J5608" i="14"/>
  <c r="K5608" i="14" s="1"/>
  <c r="M5608" i="14" s="1"/>
  <c r="J5605" i="14"/>
  <c r="K5605" i="14" s="1"/>
  <c r="M5605" i="14" s="1"/>
  <c r="J5596" i="14"/>
  <c r="K5596" i="14" s="1"/>
  <c r="M5596" i="14" s="1"/>
  <c r="J5594" i="14"/>
  <c r="K5594" i="14" s="1"/>
  <c r="M5594" i="14" s="1"/>
  <c r="Q3832" i="14"/>
  <c r="Q5073" i="14"/>
  <c r="Q3517" i="14"/>
  <c r="J5592" i="14"/>
  <c r="K5592" i="14" s="1"/>
  <c r="M5592" i="14" s="1"/>
  <c r="Q3516" i="14"/>
  <c r="J5597" i="14"/>
  <c r="K5597" i="14" s="1"/>
  <c r="M5597" i="14" s="1"/>
  <c r="J5593" i="14"/>
  <c r="K5593" i="14" s="1"/>
  <c r="M5593" i="14" s="1"/>
  <c r="Q3841" i="14"/>
  <c r="Q5250" i="14"/>
  <c r="Q3521" i="14"/>
  <c r="J5609" i="14"/>
  <c r="K5609" i="14" s="1"/>
  <c r="M5609" i="14" s="1"/>
  <c r="J5607" i="14"/>
  <c r="K5607" i="14" s="1"/>
  <c r="M5607" i="14" s="1"/>
  <c r="J5601" i="14"/>
  <c r="K5601" i="14" s="1"/>
  <c r="M5601" i="14" s="1"/>
  <c r="J5602" i="14"/>
  <c r="K5602" i="14" s="1"/>
  <c r="M5602" i="14" s="1"/>
  <c r="J5600" i="14"/>
  <c r="K5600" i="14" s="1"/>
  <c r="M5600" i="14" s="1"/>
  <c r="J5616" i="14"/>
  <c r="Q5112" i="14"/>
  <c r="Q3520" i="14"/>
  <c r="Q3511" i="14"/>
  <c r="J5612" i="14"/>
  <c r="K5612" i="14" s="1"/>
  <c r="M5612" i="14" s="1"/>
  <c r="J5610" i="14"/>
  <c r="K5610" i="14" s="1"/>
  <c r="M5610" i="14" s="1"/>
  <c r="J5882" i="14"/>
  <c r="K5882" i="14" s="1"/>
  <c r="L5882" i="14" s="1"/>
  <c r="M5882" i="14" s="1"/>
  <c r="J5861" i="14"/>
  <c r="K5861" i="14" s="1"/>
  <c r="L5861" i="14" s="1"/>
  <c r="M5861" i="14" s="1"/>
  <c r="J5858" i="14"/>
  <c r="K5858" i="14" s="1"/>
  <c r="L5858" i="14" s="1"/>
  <c r="M5858" i="14" s="1"/>
  <c r="J5869" i="14"/>
  <c r="K5869" i="14" s="1"/>
  <c r="L5869" i="14" s="1"/>
  <c r="M5869" i="14" s="1"/>
  <c r="J5880" i="14"/>
  <c r="K5880" i="14" s="1"/>
  <c r="L5880" i="14" s="1"/>
  <c r="M5880" i="14" s="1"/>
  <c r="J5850" i="14"/>
  <c r="K5850" i="14" s="1"/>
  <c r="L5850" i="14" s="1"/>
  <c r="M5850" i="14" s="1"/>
  <c r="J5860" i="14"/>
  <c r="J5848" i="14"/>
  <c r="K5848" i="14" s="1"/>
  <c r="L5848" i="14" s="1"/>
  <c r="M5848" i="14" s="1"/>
  <c r="J5885" i="14"/>
  <c r="K5885" i="14" s="1"/>
  <c r="L5885" i="14" s="1"/>
  <c r="M5885" i="14" s="1"/>
  <c r="J5883" i="14"/>
  <c r="K5883" i="14" s="1"/>
  <c r="L5883" i="14" s="1"/>
  <c r="M5883" i="14" s="1"/>
  <c r="J5889" i="14"/>
  <c r="K5889" i="14" s="1"/>
  <c r="L5889" i="14" s="1"/>
  <c r="M5889" i="14" s="1"/>
  <c r="J5849" i="14"/>
  <c r="K5849" i="14" s="1"/>
  <c r="L5849" i="14" s="1"/>
  <c r="M5849" i="14" s="1"/>
  <c r="J5881" i="14"/>
  <c r="K5881" i="14" s="1"/>
  <c r="L5881" i="14" s="1"/>
  <c r="M5881" i="14" s="1"/>
  <c r="J5874" i="14"/>
  <c r="K5874" i="14" s="1"/>
  <c r="L5874" i="14" s="1"/>
  <c r="M5874" i="14" s="1"/>
  <c r="J5873" i="14"/>
  <c r="K5873" i="14" s="1"/>
  <c r="L5873" i="14" s="1"/>
  <c r="M5873" i="14" s="1"/>
  <c r="J5867" i="14"/>
  <c r="K5867" i="14" s="1"/>
  <c r="M5867" i="14" s="1"/>
  <c r="J5876" i="14"/>
  <c r="J5864" i="14"/>
  <c r="K5864" i="14" s="1"/>
  <c r="L5864" i="14" s="1"/>
  <c r="M5864" i="14" s="1"/>
  <c r="J5863" i="14"/>
  <c r="J5857" i="14"/>
  <c r="K5857" i="14" s="1"/>
  <c r="L5857" i="14" s="1"/>
  <c r="M5857" i="14" s="1"/>
  <c r="J5890" i="14"/>
  <c r="K5890" i="14" s="1"/>
  <c r="L5890" i="14" s="1"/>
  <c r="M5890" i="14" s="1"/>
  <c r="J5888" i="14"/>
  <c r="J5852" i="14"/>
  <c r="K5852" i="14" s="1"/>
  <c r="L5852" i="14" s="1"/>
  <c r="M5852" i="14" s="1"/>
  <c r="J5851" i="14"/>
  <c r="K5851" i="14" s="1"/>
  <c r="L5851" i="14" s="1"/>
  <c r="M5851" i="14" s="1"/>
  <c r="J5877" i="14"/>
  <c r="K5877" i="14" s="1"/>
  <c r="L5877" i="14" s="1"/>
  <c r="M5877" i="14" s="1"/>
  <c r="J5845" i="14"/>
  <c r="K5845" i="14" s="1"/>
  <c r="L5845" i="14" s="1"/>
  <c r="M5845" i="14" s="1"/>
  <c r="J5866" i="14"/>
  <c r="K5866" i="14" s="1"/>
  <c r="M5866" i="14" s="1"/>
  <c r="J5865" i="14"/>
  <c r="K5865" i="14" s="1"/>
  <c r="L5865" i="14" s="1"/>
  <c r="M5865" i="14" s="1"/>
  <c r="J5884" i="14"/>
  <c r="K5884" i="14" s="1"/>
  <c r="L5884" i="14" s="1"/>
  <c r="M5884" i="14" s="1"/>
  <c r="J5879" i="14"/>
  <c r="J5856" i="14"/>
  <c r="J5853" i="14"/>
  <c r="K5853" i="14" s="1"/>
  <c r="L5853" i="14" s="1"/>
  <c r="M5853" i="14" s="1"/>
  <c r="J5872" i="14"/>
  <c r="J5868" i="14"/>
  <c r="K5868" i="14" s="1"/>
  <c r="L5868" i="14" s="1"/>
  <c r="M5868" i="14" s="1"/>
  <c r="J5847" i="14"/>
  <c r="J2791" i="14"/>
  <c r="J3805" i="14"/>
  <c r="J2524" i="14"/>
  <c r="J5209" i="14"/>
  <c r="J2045" i="14"/>
  <c r="J4336" i="14"/>
  <c r="J4295" i="14"/>
  <c r="J4053" i="14"/>
  <c r="J4116" i="14"/>
  <c r="J2893" i="14"/>
  <c r="J1660" i="14"/>
  <c r="J3653" i="14"/>
  <c r="J4173" i="14"/>
  <c r="J4362" i="14"/>
  <c r="J3812" i="14"/>
  <c r="J3040" i="14"/>
  <c r="J5005" i="14"/>
  <c r="J4379" i="14"/>
  <c r="J3696" i="14"/>
  <c r="J1605" i="14"/>
  <c r="J3012" i="14"/>
  <c r="J4885" i="14"/>
  <c r="J3178" i="14"/>
  <c r="J4858" i="14"/>
  <c r="J3722" i="14"/>
  <c r="J3741" i="14"/>
  <c r="J4593" i="14"/>
  <c r="J3345" i="14"/>
  <c r="J2987" i="14"/>
  <c r="J2569" i="14"/>
  <c r="J3649" i="14"/>
  <c r="J4705" i="14"/>
  <c r="J3236" i="14"/>
  <c r="J3570" i="14"/>
  <c r="J4564" i="14"/>
  <c r="J5528" i="14"/>
  <c r="J4453" i="14"/>
  <c r="J4149" i="14"/>
  <c r="J4052" i="14"/>
  <c r="J4011" i="14"/>
  <c r="J4181" i="14"/>
  <c r="J3687" i="14"/>
  <c r="J4059" i="14"/>
  <c r="J4725" i="14"/>
  <c r="J3930" i="14"/>
  <c r="J3265" i="14"/>
  <c r="J3202" i="14"/>
  <c r="J4906" i="14"/>
  <c r="J3892" i="14"/>
  <c r="J3968" i="14"/>
  <c r="J1586" i="14"/>
  <c r="J4424" i="14"/>
  <c r="J4411" i="14"/>
  <c r="J5261" i="14"/>
  <c r="J4576" i="14"/>
  <c r="J5138" i="14"/>
  <c r="J4197" i="14"/>
  <c r="J3644" i="14"/>
  <c r="J3554" i="14"/>
  <c r="J3928" i="14"/>
  <c r="J4162" i="14"/>
  <c r="J3188" i="14"/>
  <c r="J3994" i="14"/>
  <c r="J3108" i="14"/>
  <c r="J3658" i="14"/>
  <c r="J4224" i="14"/>
  <c r="J3608" i="14"/>
  <c r="J2882" i="14"/>
  <c r="J3941" i="14"/>
  <c r="J3045" i="14"/>
  <c r="J2392" i="14"/>
  <c r="J1496" i="14"/>
  <c r="J1201" i="14"/>
  <c r="J1437" i="14"/>
  <c r="J5089" i="14"/>
  <c r="J4645" i="14"/>
  <c r="J3170" i="14"/>
  <c r="J3946" i="14"/>
  <c r="J3324" i="14"/>
  <c r="J3745" i="14"/>
  <c r="J3429" i="14"/>
  <c r="J2848" i="14"/>
  <c r="J4996" i="14"/>
  <c r="J4584" i="14"/>
  <c r="J4443" i="14"/>
  <c r="J3900" i="14"/>
  <c r="J3732" i="14"/>
  <c r="J4092" i="14"/>
  <c r="J4151" i="14"/>
  <c r="J3020" i="14"/>
  <c r="J3098" i="14"/>
  <c r="J2977" i="14"/>
  <c r="J1793" i="14"/>
  <c r="J3495" i="14"/>
  <c r="J4684" i="14"/>
  <c r="J4987" i="14"/>
  <c r="J4123" i="14"/>
  <c r="J3033" i="14"/>
  <c r="J4434" i="14"/>
  <c r="J3185" i="14"/>
  <c r="J3720" i="14"/>
  <c r="J2951" i="14"/>
  <c r="J4680" i="14"/>
  <c r="J4242" i="14"/>
  <c r="J4234" i="14"/>
  <c r="J1068" i="14"/>
  <c r="J4969" i="14"/>
  <c r="J5024" i="14"/>
  <c r="J4825" i="14"/>
  <c r="J5029" i="14"/>
  <c r="J3280" i="14"/>
  <c r="J3289" i="14"/>
  <c r="J3751" i="14"/>
  <c r="J4025" i="14"/>
  <c r="J3069" i="14"/>
  <c r="J3876" i="14"/>
  <c r="J3000" i="14"/>
  <c r="J3549" i="14"/>
  <c r="J4076" i="14"/>
  <c r="J3489" i="14"/>
  <c r="J2767" i="14"/>
  <c r="J3813" i="14"/>
  <c r="J2901" i="14"/>
  <c r="J2244" i="14"/>
  <c r="J2761" i="14"/>
  <c r="J2588" i="14"/>
  <c r="J4456" i="14"/>
  <c r="J4073" i="14"/>
  <c r="J2984" i="14"/>
  <c r="J3671" i="14"/>
  <c r="J4304" i="14"/>
  <c r="J3381" i="14"/>
  <c r="J2986" i="14"/>
  <c r="J5252" i="14"/>
  <c r="J4567" i="14"/>
  <c r="J5127" i="14"/>
  <c r="J4177" i="14"/>
  <c r="J3634" i="14"/>
  <c r="J3505" i="14"/>
  <c r="J3917" i="14"/>
  <c r="J3976" i="14"/>
  <c r="J2887" i="14"/>
  <c r="J3767" i="14"/>
  <c r="J4029" i="14"/>
  <c r="J3001" i="14"/>
  <c r="J4048" i="14"/>
  <c r="J4375" i="14"/>
  <c r="J5259" i="14"/>
  <c r="J3031" i="14"/>
  <c r="J3692" i="14"/>
  <c r="J4544" i="14"/>
  <c r="J3796" i="14"/>
  <c r="J4347" i="14"/>
  <c r="J3890" i="14"/>
  <c r="J5117" i="14"/>
  <c r="J4452" i="14"/>
  <c r="J5165" i="14"/>
  <c r="J5189" i="14"/>
  <c r="J4729" i="14"/>
  <c r="J4484" i="14"/>
  <c r="J4763" i="14"/>
  <c r="J3004" i="14"/>
  <c r="J3072" i="14"/>
  <c r="J3544" i="14"/>
  <c r="J3867" i="14"/>
  <c r="J2906" i="14"/>
  <c r="J3728" i="14"/>
  <c r="J4200" i="14"/>
  <c r="J3333" i="14"/>
  <c r="J3962" i="14"/>
  <c r="J3332" i="14"/>
  <c r="J2658" i="14"/>
  <c r="J3685" i="14"/>
  <c r="J2765" i="14"/>
  <c r="J2080" i="14"/>
  <c r="J2453" i="14"/>
  <c r="J2092" i="14"/>
  <c r="J4919" i="14"/>
  <c r="J4667" i="14"/>
  <c r="J3506" i="14"/>
  <c r="J4244" i="14"/>
  <c r="J3276" i="14"/>
  <c r="J3737" i="14"/>
  <c r="J3047" i="14"/>
  <c r="J2811" i="14"/>
  <c r="J4939" i="14"/>
  <c r="J5015" i="14"/>
  <c r="J4785" i="14"/>
  <c r="J5019" i="14"/>
  <c r="J3271" i="14"/>
  <c r="J3259" i="14"/>
  <c r="J3740" i="14"/>
  <c r="J3857" i="14"/>
  <c r="J4112" i="14"/>
  <c r="J3648" i="14"/>
  <c r="J3173" i="14"/>
  <c r="J3274" i="14"/>
  <c r="J3003" i="14"/>
  <c r="J4385" i="14"/>
  <c r="J3165" i="14"/>
  <c r="J3700" i="14"/>
  <c r="J2929" i="14"/>
  <c r="J4660" i="14"/>
  <c r="J4460" i="14"/>
  <c r="J3524" i="14"/>
  <c r="J4733" i="14"/>
  <c r="J4890" i="14"/>
  <c r="J5245" i="14"/>
  <c r="V5341" i="14" s="1"/>
  <c r="J4731" i="14"/>
  <c r="J1104" i="14"/>
  <c r="J4663" i="14"/>
  <c r="J4408" i="14"/>
  <c r="J5020" i="14"/>
  <c r="J4521" i="14"/>
  <c r="J4245" i="14"/>
  <c r="J2869" i="14"/>
  <c r="J3288" i="14"/>
  <c r="J3739" i="14"/>
  <c r="J2788" i="14"/>
  <c r="J3600" i="14"/>
  <c r="J4066" i="14"/>
  <c r="J3195" i="14"/>
  <c r="J3873" i="14"/>
  <c r="J3213" i="14"/>
  <c r="J4300" i="14"/>
  <c r="J3537" i="14"/>
  <c r="J2637" i="14"/>
  <c r="J1944" i="14"/>
  <c r="J2165" i="14"/>
  <c r="J1532" i="14"/>
  <c r="J5268" i="14"/>
  <c r="J4882" i="14"/>
  <c r="J2860" i="14"/>
  <c r="J3849" i="14"/>
  <c r="J2827" i="14"/>
  <c r="J3441" i="14"/>
  <c r="J2813" i="14"/>
  <c r="J2007" i="14"/>
  <c r="J5159" i="14"/>
  <c r="J4689" i="14"/>
  <c r="J4474" i="14"/>
  <c r="J4753" i="14"/>
  <c r="J2994" i="14"/>
  <c r="J3063" i="14"/>
  <c r="J3533" i="14"/>
  <c r="J3690" i="14"/>
  <c r="J3984" i="14"/>
  <c r="J4356" i="14"/>
  <c r="J2504" i="14"/>
  <c r="J4389" i="14"/>
  <c r="J3682" i="14"/>
  <c r="J4505" i="14"/>
  <c r="J3786" i="14"/>
  <c r="J4333" i="14"/>
  <c r="J3881" i="14"/>
  <c r="J4937" i="14"/>
  <c r="J3591" i="14"/>
  <c r="J4081" i="14"/>
  <c r="J4433" i="14"/>
  <c r="J3015" i="14"/>
  <c r="J4967" i="14"/>
  <c r="J2301" i="14"/>
  <c r="J1690" i="14"/>
  <c r="J5081" i="14"/>
  <c r="J2184" i="14"/>
  <c r="J1692" i="14"/>
  <c r="J4549" i="14"/>
  <c r="J3242" i="14"/>
  <c r="J3752" i="14"/>
  <c r="J2547" i="14"/>
  <c r="J3735" i="14"/>
  <c r="J4001" i="14"/>
  <c r="J3777" i="14"/>
  <c r="J3632" i="14"/>
  <c r="J4891" i="14"/>
  <c r="J4565" i="14"/>
  <c r="J5210" i="14"/>
  <c r="J4818" i="14"/>
  <c r="J4315" i="14"/>
  <c r="J3355" i="14"/>
  <c r="J3389" i="14"/>
  <c r="J3794" i="14"/>
  <c r="J3433" i="14"/>
  <c r="J3120" i="14"/>
  <c r="J4260" i="14"/>
  <c r="J3714" i="14"/>
  <c r="J3082" i="14"/>
  <c r="J2708" i="14"/>
  <c r="J2967" i="14"/>
  <c r="J3538" i="14"/>
  <c r="J3019" i="14"/>
  <c r="J4069" i="14"/>
  <c r="J3477" i="14"/>
  <c r="J2548" i="14"/>
  <c r="J3034" i="14"/>
  <c r="J1516" i="14"/>
  <c r="J3970" i="14"/>
  <c r="J4237" i="14"/>
  <c r="J4013" i="14"/>
  <c r="J3937" i="14"/>
  <c r="J4512" i="14"/>
  <c r="J1988" i="14"/>
  <c r="J4353" i="14"/>
  <c r="J3255" i="14"/>
  <c r="J2808" i="14"/>
  <c r="J2964" i="14"/>
  <c r="J4964" i="14"/>
  <c r="J2605" i="14"/>
  <c r="J3164" i="14"/>
  <c r="J3993" i="14"/>
  <c r="J3778" i="14"/>
  <c r="J3387" i="14"/>
  <c r="J4354" i="14"/>
  <c r="J4429" i="14"/>
  <c r="J1505" i="14"/>
  <c r="J2037" i="14"/>
  <c r="J2725" i="14"/>
  <c r="J3645" i="14"/>
  <c r="J4441" i="14"/>
  <c r="J2997" i="14"/>
  <c r="J4812" i="14"/>
  <c r="J1712" i="14"/>
  <c r="J4087" i="14"/>
  <c r="J2923" i="14"/>
  <c r="J4215" i="14"/>
  <c r="J4231" i="14"/>
  <c r="J4553" i="14"/>
  <c r="J4445" i="14"/>
  <c r="J1812" i="14"/>
  <c r="J4866" i="14"/>
  <c r="J2522" i="14"/>
  <c r="J2690" i="14"/>
  <c r="J3863" i="14"/>
  <c r="J4098" i="14"/>
  <c r="J3896" i="14"/>
  <c r="J3760" i="14"/>
  <c r="J5073" i="14"/>
  <c r="J3341" i="14"/>
  <c r="J3960" i="14"/>
  <c r="J1987" i="14"/>
  <c r="J3409" i="14"/>
  <c r="J3815" i="14"/>
  <c r="J3492" i="14"/>
  <c r="J3179" i="14"/>
  <c r="J4509" i="14"/>
  <c r="J4074" i="14"/>
  <c r="J5076" i="14"/>
  <c r="J1968" i="14"/>
  <c r="J4328" i="14"/>
  <c r="J3205" i="14"/>
  <c r="J2797" i="14"/>
  <c r="J2898" i="14"/>
  <c r="J4649" i="14"/>
  <c r="J2435" i="14"/>
  <c r="J2903" i="14"/>
  <c r="J3717" i="14"/>
  <c r="J3266" i="14"/>
  <c r="J3643" i="14"/>
  <c r="J4263" i="14"/>
  <c r="J2842" i="14"/>
  <c r="J3559" i="14"/>
  <c r="J3049" i="14"/>
  <c r="J4268" i="14"/>
  <c r="J3860" i="14"/>
  <c r="J5243" i="14"/>
  <c r="J4743" i="14"/>
  <c r="J2069" i="14"/>
  <c r="J2177" i="14"/>
  <c r="J2861" i="14"/>
  <c r="J3773" i="14"/>
  <c r="J2717" i="14"/>
  <c r="J3410" i="14"/>
  <c r="J4021" i="14"/>
  <c r="J3481" i="14"/>
  <c r="J4317" i="14"/>
  <c r="J3817" i="14"/>
  <c r="J3010" i="14"/>
  <c r="J3965" i="14"/>
  <c r="J3672" i="14"/>
  <c r="J3180" i="14"/>
  <c r="J3172" i="14"/>
  <c r="J4940" i="14"/>
  <c r="J4697" i="14"/>
  <c r="J4916" i="14"/>
  <c r="J4762" i="14"/>
  <c r="J5272" i="14"/>
  <c r="J5008" i="14"/>
  <c r="J4578" i="14"/>
  <c r="J4820" i="14"/>
  <c r="J4380" i="14"/>
  <c r="J5145" i="14"/>
  <c r="J4690" i="14"/>
  <c r="J5034" i="14"/>
  <c r="J4604" i="14"/>
  <c r="J4984" i="14"/>
  <c r="J4554" i="14"/>
  <c r="J3981" i="14"/>
  <c r="J4761" i="14"/>
  <c r="J2697" i="14"/>
  <c r="J3402" i="14"/>
  <c r="J2971" i="14"/>
  <c r="J3161" i="14"/>
  <c r="J4768" i="14"/>
  <c r="J4648" i="14"/>
  <c r="J5274" i="14"/>
  <c r="J5079" i="14"/>
  <c r="J2802" i="14"/>
  <c r="J1962" i="14"/>
  <c r="J4196" i="14"/>
  <c r="J3037" i="14"/>
  <c r="J4346" i="14"/>
  <c r="J4363" i="14"/>
  <c r="J4864" i="14"/>
  <c r="J3362" i="14"/>
  <c r="J2664" i="14"/>
  <c r="J1225" i="14"/>
  <c r="J3882" i="14"/>
  <c r="J4109" i="14"/>
  <c r="J3905" i="14"/>
  <c r="J3819" i="14"/>
  <c r="J4236" i="14"/>
  <c r="J3706" i="14"/>
  <c r="J4476" i="14"/>
  <c r="J2412" i="14"/>
  <c r="J2892" i="14"/>
  <c r="J3677" i="14"/>
  <c r="J3197" i="14"/>
  <c r="J3564" i="14"/>
  <c r="J1729" i="14"/>
  <c r="J2687" i="14"/>
  <c r="J3253" i="14"/>
  <c r="J4089" i="14"/>
  <c r="J3769" i="14"/>
  <c r="J2850" i="14"/>
  <c r="J1485" i="14"/>
  <c r="J3281" i="14"/>
  <c r="J3844" i="14"/>
  <c r="J3501" i="14"/>
  <c r="J3189" i="14"/>
  <c r="J3162" i="14"/>
  <c r="J4992" i="14"/>
  <c r="J5045" i="14"/>
  <c r="J2641" i="14"/>
  <c r="J2336" i="14"/>
  <c r="J3005" i="14"/>
  <c r="J3901" i="14"/>
  <c r="J2833" i="14"/>
  <c r="J3588" i="14"/>
  <c r="J4185" i="14"/>
  <c r="J3639" i="14"/>
  <c r="J3088" i="14"/>
  <c r="J3964" i="14"/>
  <c r="J3168" i="14"/>
  <c r="J4137" i="14"/>
  <c r="J3858" i="14"/>
  <c r="J3436" i="14"/>
  <c r="J3536" i="14"/>
  <c r="J5225" i="14"/>
  <c r="J5002" i="14"/>
  <c r="J4448" i="14"/>
  <c r="J5104" i="14"/>
  <c r="J5202" i="14"/>
  <c r="J4929" i="14"/>
  <c r="J5253" i="14"/>
  <c r="J4741" i="14"/>
  <c r="J4301" i="14"/>
  <c r="J5058" i="14"/>
  <c r="J4605" i="14"/>
  <c r="J4955" i="14"/>
  <c r="J4525" i="14"/>
  <c r="J4914" i="14"/>
  <c r="J4475" i="14"/>
  <c r="J4884" i="14"/>
  <c r="J4444" i="14"/>
  <c r="J4843" i="14"/>
  <c r="J5242" i="14"/>
  <c r="J4978" i="14"/>
  <c r="J4539" i="14"/>
  <c r="J4780" i="14"/>
  <c r="J5191" i="14"/>
  <c r="J3275" i="14"/>
  <c r="J5249" i="14"/>
  <c r="J2571" i="14"/>
  <c r="J3026" i="14"/>
  <c r="J3825" i="14"/>
  <c r="J3404" i="14"/>
  <c r="J3850" i="14"/>
  <c r="J1016" i="14"/>
  <c r="J4873" i="14"/>
  <c r="J4732" i="14"/>
  <c r="J4747" i="14"/>
  <c r="J2677" i="14"/>
  <c r="J1828" i="14"/>
  <c r="J2794" i="14"/>
  <c r="J3560" i="14"/>
  <c r="J3080" i="14"/>
  <c r="J3298" i="14"/>
  <c r="J5090" i="14"/>
  <c r="J4225" i="14"/>
  <c r="J2914" i="14"/>
  <c r="J1848" i="14"/>
  <c r="J4221" i="14"/>
  <c r="J3077" i="14"/>
  <c r="J2691" i="14"/>
  <c r="J2772" i="14"/>
  <c r="J5213" i="14"/>
  <c r="J3738" i="14"/>
  <c r="J1628" i="14"/>
  <c r="J2666" i="14"/>
  <c r="J3243" i="14"/>
  <c r="J4077" i="14"/>
  <c r="J3749" i="14"/>
  <c r="J4311" i="14"/>
  <c r="J1407" i="14"/>
  <c r="J3095" i="14"/>
  <c r="J3637" i="14"/>
  <c r="J3186" i="14"/>
  <c r="J4241" i="14"/>
  <c r="J3783" i="14"/>
  <c r="J2325" i="14"/>
  <c r="J3754" i="14"/>
  <c r="J4121" i="14"/>
  <c r="J3915" i="14"/>
  <c r="J3661" i="14"/>
  <c r="J3792" i="14"/>
  <c r="J4786" i="14"/>
  <c r="J5229" i="14"/>
  <c r="J1621" i="14"/>
  <c r="J2484" i="14"/>
  <c r="J3153" i="14"/>
  <c r="J4010" i="14"/>
  <c r="J2953" i="14"/>
  <c r="J3676" i="14"/>
  <c r="J4343" i="14"/>
  <c r="J3746" i="14"/>
  <c r="J3216" i="14"/>
  <c r="J4101" i="14"/>
  <c r="J3287" i="14"/>
  <c r="J4281" i="14"/>
  <c r="J4037" i="14"/>
  <c r="J3673" i="14"/>
  <c r="J3802" i="14"/>
  <c r="J4364" i="14"/>
  <c r="J4465" i="14"/>
  <c r="J4848" i="14"/>
  <c r="J5240" i="14"/>
  <c r="J5133" i="14"/>
  <c r="J4860" i="14"/>
  <c r="J5146" i="14"/>
  <c r="J4672" i="14"/>
  <c r="J4233" i="14"/>
  <c r="J4986" i="14"/>
  <c r="J4537" i="14"/>
  <c r="J4896" i="14"/>
  <c r="J4457" i="14"/>
  <c r="J4836" i="14"/>
  <c r="J4407" i="14"/>
  <c r="J4805" i="14"/>
  <c r="J5277" i="14"/>
  <c r="J5269" i="14"/>
  <c r="J5163" i="14"/>
  <c r="J4900" i="14"/>
  <c r="J5205" i="14"/>
  <c r="J2916" i="14"/>
  <c r="J2281" i="14"/>
  <c r="J2823" i="14"/>
  <c r="J3361" i="14"/>
  <c r="J4290" i="14"/>
  <c r="J3936" i="14"/>
  <c r="J3143" i="14"/>
  <c r="J5218" i="14"/>
  <c r="J4601" i="14"/>
  <c r="J4908" i="14"/>
  <c r="J4972" i="14"/>
  <c r="J2913" i="14"/>
  <c r="J2264" i="14"/>
  <c r="J3105" i="14"/>
  <c r="J3933" i="14"/>
  <c r="J3601" i="14"/>
  <c r="J3997" i="14"/>
  <c r="J5072" i="14"/>
  <c r="J4201" i="14"/>
  <c r="J2728" i="14"/>
  <c r="J2283" i="14"/>
  <c r="J2804" i="14"/>
  <c r="J3569" i="14"/>
  <c r="J3089" i="14"/>
  <c r="J3348" i="14"/>
  <c r="J4661" i="14"/>
  <c r="J3897" i="14"/>
  <c r="J1294" i="14"/>
  <c r="J3074" i="14"/>
  <c r="J3617" i="14"/>
  <c r="J3147" i="14"/>
  <c r="J4176" i="14"/>
  <c r="J3693" i="14"/>
  <c r="J2263" i="14"/>
  <c r="J3607" i="14"/>
  <c r="J3922" i="14"/>
  <c r="J3640" i="14"/>
  <c r="J3396" i="14"/>
  <c r="J4635" i="14"/>
  <c r="J1340" i="14"/>
  <c r="J4108" i="14"/>
  <c r="J3106" i="14"/>
  <c r="J2701" i="14"/>
  <c r="J4016" i="14"/>
  <c r="J4393" i="14"/>
  <c r="J4585" i="14"/>
  <c r="J1232" i="14"/>
  <c r="J1761" i="14"/>
  <c r="J2625" i="14"/>
  <c r="J3301" i="14"/>
  <c r="J4130" i="14"/>
  <c r="J3066" i="14"/>
  <c r="J3755" i="14"/>
  <c r="J2999" i="14"/>
  <c r="J3895" i="14"/>
  <c r="J3354" i="14"/>
  <c r="J4293" i="14"/>
  <c r="J3532" i="14"/>
  <c r="J3032" i="14"/>
  <c r="J4257" i="14"/>
  <c r="J3889" i="14"/>
  <c r="J4084" i="14"/>
  <c r="J4618" i="14"/>
  <c r="J4796" i="14"/>
  <c r="J4056" i="14"/>
  <c r="J5170" i="14"/>
  <c r="J5065" i="14"/>
  <c r="J4792" i="14"/>
  <c r="J5037" i="14"/>
  <c r="J4587" i="14"/>
  <c r="J4154" i="14"/>
  <c r="J4907" i="14"/>
  <c r="J4458" i="14"/>
  <c r="J3593" i="14"/>
  <c r="J4050" i="14"/>
  <c r="J2930" i="14"/>
  <c r="J4409" i="14"/>
  <c r="J4082" i="14"/>
  <c r="J3610" i="14"/>
  <c r="J4044" i="14"/>
  <c r="J3099" i="14"/>
  <c r="J2884" i="14"/>
  <c r="J3943" i="14"/>
  <c r="J3689" i="14"/>
  <c r="J3435" i="14"/>
  <c r="J4674" i="14"/>
  <c r="J4977" i="14"/>
  <c r="J4644" i="14"/>
  <c r="J5234" i="14"/>
  <c r="J4748" i="14"/>
  <c r="J4698" i="14"/>
  <c r="J4736" i="14"/>
  <c r="J4981" i="14"/>
  <c r="J5095" i="14"/>
  <c r="J4673" i="14"/>
  <c r="J4712" i="14"/>
  <c r="J5282" i="14"/>
  <c r="J4811" i="14"/>
  <c r="J4840" i="14"/>
  <c r="J4213" i="14"/>
  <c r="J4888" i="14"/>
  <c r="J5185" i="14"/>
  <c r="J4621" i="14"/>
  <c r="J4924" i="14"/>
  <c r="J4396" i="14"/>
  <c r="J4716" i="14"/>
  <c r="J5031" i="14"/>
  <c r="J4552" i="14"/>
  <c r="J5256" i="14"/>
  <c r="J4773" i="14"/>
  <c r="J4338" i="14"/>
  <c r="J3821" i="14"/>
  <c r="J3290" i="14"/>
  <c r="J4421" i="14"/>
  <c r="J3880" i="14"/>
  <c r="J3308" i="14"/>
  <c r="J2810" i="14"/>
  <c r="J3947" i="14"/>
  <c r="J3484" i="14"/>
  <c r="J4480" i="14"/>
  <c r="J3877" i="14"/>
  <c r="J3296" i="14"/>
  <c r="J2817" i="14"/>
  <c r="J4004" i="14"/>
  <c r="J5180" i="14"/>
  <c r="J5018" i="14"/>
  <c r="J5060" i="14"/>
  <c r="J4391" i="14"/>
  <c r="J5048" i="14"/>
  <c r="J4497" i="14"/>
  <c r="J4999" i="14"/>
  <c r="J4692" i="14"/>
  <c r="J5025" i="14"/>
  <c r="J5080" i="14"/>
  <c r="J4427" i="14"/>
  <c r="J4629" i="14"/>
  <c r="J4844" i="14"/>
  <c r="J5052" i="14"/>
  <c r="J4492" i="14"/>
  <c r="J5051" i="14"/>
  <c r="J4540" i="14"/>
  <c r="J3949" i="14"/>
  <c r="J3309" i="14"/>
  <c r="J4298" i="14"/>
  <c r="J5141" i="14"/>
  <c r="J4653" i="14"/>
  <c r="J4341" i="14"/>
  <c r="J4749" i="14"/>
  <c r="J4837" i="14"/>
  <c r="J5044" i="14"/>
  <c r="J4416" i="14"/>
  <c r="J4619" i="14"/>
  <c r="J4813" i="14"/>
  <c r="J4296" i="14"/>
  <c r="J4872" i="14"/>
  <c r="J4352" i="14"/>
  <c r="J3733" i="14"/>
  <c r="J1711" i="14"/>
  <c r="J3261" i="14"/>
  <c r="J5177" i="14"/>
  <c r="J3009" i="14"/>
  <c r="J2764" i="14"/>
  <c r="J4139" i="14"/>
  <c r="J4551" i="14"/>
  <c r="J4764" i="14"/>
  <c r="J4901" i="14"/>
  <c r="J4274" i="14"/>
  <c r="J3304" i="14"/>
  <c r="J2876" i="14"/>
  <c r="J2993" i="14"/>
  <c r="J4376" i="14"/>
  <c r="J5197" i="14"/>
  <c r="J4898" i="14"/>
  <c r="J4760" i="14"/>
  <c r="J4388" i="14"/>
  <c r="J5196" i="14"/>
  <c r="J4583" i="14"/>
  <c r="J5200" i="14"/>
  <c r="J5147" i="14"/>
  <c r="J5093" i="14"/>
  <c r="J4557" i="14"/>
  <c r="J5084" i="14"/>
  <c r="J4599" i="14"/>
  <c r="J4633" i="14"/>
  <c r="J4045" i="14"/>
  <c r="J4720" i="14"/>
  <c r="J4985" i="14"/>
  <c r="J4437" i="14"/>
  <c r="J4737" i="14"/>
  <c r="J5066" i="14"/>
  <c r="J4533" i="14"/>
  <c r="J4853" i="14"/>
  <c r="J4404" i="14"/>
  <c r="J5063" i="14"/>
  <c r="J4625" i="14"/>
  <c r="J4141" i="14"/>
  <c r="J3684" i="14"/>
  <c r="J3122" i="14"/>
  <c r="J4180" i="14"/>
  <c r="J3712" i="14"/>
  <c r="J3121" i="14"/>
  <c r="J4309" i="14"/>
  <c r="J3789" i="14"/>
  <c r="J3258" i="14"/>
  <c r="J4216" i="14"/>
  <c r="J3709" i="14"/>
  <c r="J3148" i="14"/>
  <c r="J4377" i="14"/>
  <c r="J3856" i="14"/>
  <c r="J5281" i="14"/>
  <c r="J4801" i="14"/>
  <c r="J4829" i="14"/>
  <c r="J4203" i="14"/>
  <c r="J4877" i="14"/>
  <c r="J5161" i="14"/>
  <c r="J4664" i="14"/>
  <c r="J4370" i="14"/>
  <c r="J4769" i="14"/>
  <c r="J4857" i="14"/>
  <c r="J5056" i="14"/>
  <c r="J4426" i="14"/>
  <c r="J4637" i="14"/>
  <c r="J4824" i="14"/>
  <c r="J4305" i="14"/>
  <c r="J4881" i="14"/>
  <c r="J4386" i="14"/>
  <c r="J3772" i="14"/>
  <c r="J3113" i="14"/>
  <c r="J4072" i="14"/>
  <c r="J5144" i="14"/>
  <c r="J5017" i="14"/>
  <c r="J4085" i="14"/>
  <c r="J4477" i="14"/>
  <c r="J4640" i="14"/>
  <c r="J4816" i="14"/>
  <c r="J5042" i="14"/>
  <c r="J4395" i="14"/>
  <c r="J4647" i="14"/>
  <c r="J5275" i="14"/>
  <c r="J4695" i="14"/>
  <c r="J4119" i="14"/>
  <c r="J3556" i="14"/>
  <c r="J2909" i="14"/>
  <c r="J5232" i="14"/>
  <c r="J4577" i="14"/>
  <c r="J4556" i="14"/>
  <c r="J3725" i="14"/>
  <c r="J4420" i="14"/>
  <c r="J4058" i="14"/>
  <c r="J3154" i="14"/>
  <c r="J2242" i="14"/>
  <c r="J1544" i="14"/>
  <c r="J1867" i="14"/>
  <c r="J4828" i="14"/>
  <c r="J3175" i="14"/>
  <c r="J4002" i="14"/>
  <c r="J3680" i="14"/>
  <c r="J4117" i="14"/>
  <c r="J5115" i="14"/>
  <c r="J5207" i="14"/>
  <c r="J4519" i="14"/>
  <c r="J5233" i="14"/>
  <c r="J5154" i="14"/>
  <c r="J5099" i="14"/>
  <c r="J4513" i="14"/>
  <c r="J5061" i="14"/>
  <c r="J4997" i="14"/>
  <c r="J4489" i="14"/>
  <c r="J5192" i="14"/>
  <c r="J5236" i="14"/>
  <c r="J4508" i="14"/>
  <c r="J5172" i="14"/>
  <c r="J4632" i="14"/>
  <c r="J4876" i="14"/>
  <c r="J4359" i="14"/>
  <c r="J4658" i="14"/>
  <c r="J4983" i="14"/>
  <c r="J4455" i="14"/>
  <c r="J4775" i="14"/>
  <c r="J4345" i="14"/>
  <c r="J4989" i="14"/>
  <c r="J4560" i="14"/>
  <c r="J4061" i="14"/>
  <c r="J3605" i="14"/>
  <c r="J3044" i="14"/>
  <c r="J4093" i="14"/>
  <c r="J3633" i="14"/>
  <c r="J3052" i="14"/>
  <c r="J4218" i="14"/>
  <c r="J3721" i="14"/>
  <c r="J3169" i="14"/>
  <c r="J4125" i="14"/>
  <c r="J3641" i="14"/>
  <c r="J3060" i="14"/>
  <c r="J4267" i="14"/>
  <c r="J3768" i="14"/>
  <c r="J5173" i="14"/>
  <c r="J4683" i="14"/>
  <c r="J4721" i="14"/>
  <c r="J4124" i="14"/>
  <c r="J4789" i="14"/>
  <c r="J5188" i="14"/>
  <c r="J4520" i="14"/>
  <c r="J4252" i="14"/>
  <c r="J4651" i="14"/>
  <c r="J4759" i="14"/>
  <c r="J4954" i="14"/>
  <c r="J5181" i="14"/>
  <c r="J4523" i="14"/>
  <c r="J4745" i="14"/>
  <c r="J4226" i="14"/>
  <c r="J4802" i="14"/>
  <c r="J4248" i="14"/>
  <c r="J3674" i="14"/>
  <c r="J3024" i="14"/>
  <c r="J3988" i="14"/>
  <c r="J5224" i="14"/>
  <c r="J4859" i="14"/>
  <c r="J5186" i="14"/>
  <c r="J5201" i="14"/>
  <c r="J4516" i="14"/>
  <c r="J4717" i="14"/>
  <c r="J4923" i="14"/>
  <c r="J5179" i="14"/>
  <c r="J3305" i="14"/>
  <c r="J5211" i="14"/>
  <c r="J3329" i="14"/>
  <c r="J3973" i="14"/>
  <c r="J3557" i="14"/>
  <c r="J3980" i="14"/>
  <c r="J2707" i="14"/>
  <c r="J2472" i="14"/>
  <c r="J3303" i="14"/>
  <c r="J4172" i="14"/>
  <c r="J3848" i="14"/>
  <c r="J2871" i="14"/>
  <c r="J4594" i="14"/>
  <c r="J5096" i="14"/>
  <c r="J4449" i="14"/>
  <c r="J5129" i="14"/>
  <c r="J5067" i="14"/>
  <c r="J5032" i="14"/>
  <c r="J5164" i="14"/>
  <c r="J5237" i="14"/>
  <c r="J4821" i="14"/>
  <c r="J4928" i="14"/>
  <c r="J4410" i="14"/>
  <c r="J5028" i="14"/>
  <c r="J5082" i="14"/>
  <c r="J4400" i="14"/>
  <c r="J5069" i="14"/>
  <c r="J4517" i="14"/>
  <c r="J4788" i="14"/>
  <c r="J5100" i="14"/>
  <c r="J4573" i="14"/>
  <c r="J4893" i="14"/>
  <c r="J5258" i="14"/>
  <c r="J4696" i="14"/>
  <c r="J4266" i="14"/>
  <c r="J4930" i="14"/>
  <c r="J4481" i="14"/>
  <c r="J3979" i="14"/>
  <c r="J3527" i="14"/>
  <c r="J2965" i="14"/>
  <c r="J4017" i="14"/>
  <c r="J3545" i="14"/>
  <c r="J2973" i="14"/>
  <c r="J4104" i="14"/>
  <c r="J3652" i="14"/>
  <c r="J3100" i="14"/>
  <c r="J4034" i="14"/>
  <c r="J3543" i="14"/>
  <c r="J2981" i="14"/>
  <c r="J4188" i="14"/>
  <c r="J3698" i="14"/>
  <c r="J5074" i="14"/>
  <c r="J4588" i="14"/>
  <c r="J4597" i="14"/>
  <c r="J4036" i="14"/>
  <c r="J4711" i="14"/>
  <c r="J5153" i="14"/>
  <c r="J5026" i="14"/>
  <c r="J4114" i="14"/>
  <c r="J4488" i="14"/>
  <c r="J4650" i="14"/>
  <c r="J4845" i="14"/>
  <c r="J5053" i="14"/>
  <c r="J4405" i="14"/>
  <c r="J4656" i="14"/>
  <c r="J4138" i="14"/>
  <c r="J4714" i="14"/>
  <c r="J4129" i="14"/>
  <c r="J3565" i="14"/>
  <c r="J2920" i="14"/>
  <c r="J3899" i="14"/>
  <c r="J4988" i="14"/>
  <c r="J4682" i="14"/>
  <c r="J5016" i="14"/>
  <c r="J5047" i="14"/>
  <c r="J4417" i="14"/>
  <c r="J4612" i="14"/>
  <c r="J4834" i="14"/>
  <c r="J5041" i="14"/>
  <c r="J4473" i="14"/>
  <c r="J5040" i="14"/>
  <c r="J4530" i="14"/>
  <c r="J3940" i="14"/>
  <c r="J3300" i="14"/>
  <c r="J4258" i="14"/>
  <c r="J3002" i="14"/>
  <c r="J3816" i="14"/>
  <c r="J2104" i="14"/>
  <c r="J3660" i="14"/>
  <c r="J3893" i="14"/>
  <c r="J4289" i="14"/>
  <c r="J3589" i="14"/>
  <c r="J1905" i="14"/>
  <c r="J3853" i="14"/>
  <c r="J3531" i="14"/>
  <c r="J3209" i="14"/>
  <c r="J4402" i="14"/>
  <c r="J4459" i="14"/>
  <c r="J4722" i="14"/>
  <c r="J4075" i="14"/>
  <c r="J4817" i="14"/>
  <c r="J4757" i="14"/>
  <c r="J4962" i="14"/>
  <c r="J5064" i="14"/>
  <c r="J5168" i="14"/>
  <c r="J4752" i="14"/>
  <c r="J4849" i="14"/>
  <c r="J5266" i="14"/>
  <c r="J4920" i="14"/>
  <c r="J4948" i="14"/>
  <c r="J4312" i="14"/>
  <c r="J4976" i="14"/>
  <c r="J4439" i="14"/>
  <c r="J4699" i="14"/>
  <c r="J5003" i="14"/>
  <c r="J4485" i="14"/>
  <c r="J4795" i="14"/>
  <c r="J5137" i="14"/>
  <c r="J4626" i="14"/>
  <c r="J4187" i="14"/>
  <c r="J4852" i="14"/>
  <c r="J4423" i="14"/>
  <c r="J3911" i="14"/>
  <c r="J3388" i="14"/>
  <c r="J2890" i="14"/>
  <c r="J3948" i="14"/>
  <c r="J3397" i="14"/>
  <c r="J2889" i="14"/>
  <c r="J4026" i="14"/>
  <c r="J3563" i="14"/>
  <c r="J3021" i="14"/>
  <c r="J3956" i="14"/>
  <c r="J3385" i="14"/>
  <c r="J2896" i="14"/>
  <c r="J4090" i="14"/>
  <c r="J3620" i="14"/>
  <c r="J5176" i="14"/>
  <c r="J5221" i="14"/>
  <c r="J4498" i="14"/>
  <c r="J5157" i="14"/>
  <c r="J4586" i="14"/>
  <c r="J5239" i="14"/>
  <c r="J4889" i="14"/>
  <c r="J5204" i="14"/>
  <c r="J5216" i="14"/>
  <c r="J4555" i="14"/>
  <c r="J4728" i="14"/>
  <c r="J4953" i="14"/>
  <c r="J5195" i="14"/>
  <c r="J4571" i="14"/>
  <c r="J5162" i="14"/>
  <c r="J4617" i="14"/>
  <c r="J4040" i="14"/>
  <c r="J3437" i="14"/>
  <c r="J2841" i="14"/>
  <c r="J3801" i="14"/>
  <c r="J4841" i="14"/>
  <c r="J4538" i="14"/>
  <c r="J4897" i="14"/>
  <c r="J4936" i="14"/>
  <c r="J5184" i="14"/>
  <c r="J4514" i="14"/>
  <c r="J4727" i="14"/>
  <c r="J4932" i="14"/>
  <c r="J4384" i="14"/>
  <c r="J4960" i="14"/>
  <c r="J4442" i="14"/>
  <c r="J3851" i="14"/>
  <c r="J5248" i="14"/>
  <c r="J3499" i="14"/>
  <c r="J3479" i="14"/>
  <c r="J4968" i="14"/>
  <c r="J5255" i="14"/>
  <c r="J4135" i="14"/>
  <c r="J4628" i="14"/>
  <c r="J3762" i="14"/>
  <c r="J3879" i="14"/>
  <c r="J3925" i="14"/>
  <c r="J4418" i="14"/>
  <c r="J4535" i="14"/>
  <c r="J3861" i="14"/>
  <c r="J4641" i="14"/>
  <c r="J4561" i="14"/>
  <c r="J4028" i="14"/>
  <c r="J4500" i="14"/>
  <c r="J4634" i="14"/>
  <c r="J4946" i="14"/>
  <c r="J4506" i="14"/>
  <c r="J5280" i="14"/>
  <c r="J5149" i="14"/>
  <c r="J4285" i="14"/>
  <c r="J4600" i="14"/>
  <c r="J3723" i="14"/>
  <c r="J4365" i="14"/>
  <c r="J3624" i="14"/>
  <c r="J2950" i="14"/>
  <c r="J3996" i="14"/>
  <c r="J3356" i="14"/>
  <c r="J4229" i="14"/>
  <c r="J3621" i="14"/>
  <c r="J2948" i="14"/>
  <c r="J4033" i="14"/>
  <c r="J3482" i="14"/>
  <c r="J4279" i="14"/>
  <c r="J3707" i="14"/>
  <c r="J3057" i="14"/>
  <c r="J5101" i="14"/>
  <c r="J4800" i="14"/>
  <c r="J4730" i="14"/>
  <c r="J4496" i="14"/>
  <c r="J5260" i="14"/>
  <c r="J5125" i="14"/>
  <c r="J4276" i="14"/>
  <c r="J4589" i="14"/>
  <c r="J3713" i="14"/>
  <c r="J4337" i="14"/>
  <c r="J3604" i="14"/>
  <c r="J2928" i="14"/>
  <c r="J3977" i="14"/>
  <c r="J3346" i="14"/>
  <c r="J4202" i="14"/>
  <c r="J3611" i="14"/>
  <c r="J2925" i="14"/>
  <c r="J4024" i="14"/>
  <c r="J3442" i="14"/>
  <c r="J4265" i="14"/>
  <c r="J3697" i="14"/>
  <c r="J3048" i="14"/>
  <c r="J5217" i="14"/>
  <c r="J4770" i="14"/>
  <c r="J4681" i="14"/>
  <c r="J4487" i="14"/>
  <c r="J5244" i="14"/>
  <c r="J5098" i="14"/>
  <c r="J4256" i="14"/>
  <c r="J4570" i="14"/>
  <c r="J3704" i="14"/>
  <c r="J4324" i="14"/>
  <c r="J3594" i="14"/>
  <c r="J2908" i="14"/>
  <c r="J3957" i="14"/>
  <c r="J3317" i="14"/>
  <c r="J2380" i="14"/>
  <c r="J2465" i="14"/>
  <c r="J2922" i="14"/>
  <c r="J3845" i="14"/>
  <c r="J3434" i="14"/>
  <c r="J2361" i="14"/>
  <c r="J1866" i="14"/>
  <c r="J1780" i="14"/>
  <c r="J2655" i="14"/>
  <c r="J3330" i="14"/>
  <c r="J4170" i="14"/>
  <c r="J3076" i="14"/>
  <c r="J3765" i="14"/>
  <c r="J3018" i="14"/>
  <c r="J3904" i="14"/>
  <c r="J3384" i="14"/>
  <c r="J4306" i="14"/>
  <c r="J3552" i="14"/>
  <c r="J3090" i="14"/>
  <c r="J2845" i="14"/>
  <c r="J3116" i="14"/>
  <c r="J4839" i="14"/>
  <c r="J4608" i="14"/>
  <c r="J4809" i="14"/>
  <c r="J4941" i="14"/>
  <c r="J3201" i="14"/>
  <c r="J3337" i="14"/>
  <c r="J5257" i="14"/>
  <c r="J4850" i="14"/>
  <c r="J4746" i="14"/>
  <c r="J3211" i="14"/>
  <c r="J4738" i="14"/>
  <c r="J4217" i="14"/>
  <c r="J3655" i="14"/>
  <c r="J4153" i="14"/>
  <c r="J5132" i="14"/>
  <c r="J4740" i="14"/>
  <c r="J4368" i="14"/>
  <c r="J5088" i="14"/>
  <c r="J4971" i="14"/>
  <c r="J4168" i="14"/>
  <c r="J4472" i="14"/>
  <c r="J3625" i="14"/>
  <c r="J4205" i="14"/>
  <c r="J3496" i="14"/>
  <c r="J2849" i="14"/>
  <c r="J3908" i="14"/>
  <c r="J3268" i="14"/>
  <c r="J4113" i="14"/>
  <c r="J3493" i="14"/>
  <c r="J2857" i="14"/>
  <c r="J3954" i="14"/>
  <c r="J3344" i="14"/>
  <c r="J4160" i="14"/>
  <c r="J3628" i="14"/>
  <c r="J2978" i="14"/>
  <c r="J5223" i="14"/>
  <c r="J4568" i="14"/>
  <c r="J4546" i="14"/>
  <c r="J5264" i="14"/>
  <c r="J5077" i="14"/>
  <c r="J4961" i="14"/>
  <c r="J4148" i="14"/>
  <c r="J4461" i="14"/>
  <c r="J3595" i="14"/>
  <c r="J4192" i="14"/>
  <c r="J3485" i="14"/>
  <c r="J2840" i="14"/>
  <c r="J3888" i="14"/>
  <c r="J3248" i="14"/>
  <c r="J4103" i="14"/>
  <c r="J3483" i="14"/>
  <c r="J2837" i="14"/>
  <c r="J3945" i="14"/>
  <c r="J3335" i="14"/>
  <c r="J4146" i="14"/>
  <c r="J3618" i="14"/>
  <c r="J2969" i="14"/>
  <c r="J5114" i="14"/>
  <c r="J4469" i="14"/>
  <c r="J4468" i="14"/>
  <c r="J5140" i="14"/>
  <c r="J5012" i="14"/>
  <c r="J4903" i="14"/>
  <c r="J5241" i="14"/>
  <c r="V5337" i="14" s="1"/>
  <c r="J4432" i="14"/>
  <c r="J3546" i="14"/>
  <c r="J4140" i="14"/>
  <c r="J3476" i="14"/>
  <c r="J2820" i="14"/>
  <c r="J3868" i="14"/>
  <c r="J3239" i="14"/>
  <c r="J1769" i="14"/>
  <c r="J2706" i="14"/>
  <c r="J3282" i="14"/>
  <c r="J4122" i="14"/>
  <c r="J4080" i="14"/>
  <c r="J1408" i="14"/>
  <c r="J2142" i="14"/>
  <c r="J1924" i="14"/>
  <c r="J2989" i="14"/>
  <c r="J3498" i="14"/>
  <c r="J4288" i="14"/>
  <c r="J3194" i="14"/>
  <c r="J3864" i="14"/>
  <c r="J3146" i="14"/>
  <c r="J4023" i="14"/>
  <c r="J3561" i="14"/>
  <c r="J2730" i="14"/>
  <c r="J5208" i="14"/>
  <c r="J2721" i="14"/>
  <c r="J4669" i="14"/>
  <c r="J4642" i="14"/>
  <c r="J5068" i="14"/>
  <c r="J4482" i="14"/>
  <c r="J4284" i="14"/>
  <c r="J4320" i="14"/>
  <c r="J4909" i="14"/>
  <c r="J4548" i="14"/>
  <c r="J4952" i="14"/>
  <c r="J4167" i="14"/>
  <c r="J4935" i="14"/>
  <c r="J5136" i="14"/>
  <c r="J3428" i="14"/>
  <c r="J4060" i="14"/>
  <c r="J4810" i="14"/>
  <c r="J5156" i="14"/>
  <c r="J5013" i="14"/>
  <c r="J4913" i="14"/>
  <c r="J4804" i="14"/>
  <c r="J5122" i="14"/>
  <c r="J4327" i="14"/>
  <c r="J3399" i="14"/>
  <c r="J4049" i="14"/>
  <c r="J3338" i="14"/>
  <c r="J2762" i="14"/>
  <c r="J3800" i="14"/>
  <c r="J3160" i="14"/>
  <c r="J4005" i="14"/>
  <c r="J3336" i="14"/>
  <c r="J2760" i="14"/>
  <c r="J3866" i="14"/>
  <c r="J3256" i="14"/>
  <c r="J4055" i="14"/>
  <c r="J3540" i="14"/>
  <c r="J4392" i="14"/>
  <c r="J5108" i="14"/>
  <c r="J4321" i="14"/>
  <c r="J5143" i="14"/>
  <c r="J4993" i="14"/>
  <c r="J4904" i="14"/>
  <c r="J4794" i="14"/>
  <c r="J5109" i="14"/>
  <c r="J4299" i="14"/>
  <c r="J3349" i="14"/>
  <c r="J4027" i="14"/>
  <c r="J3328" i="14"/>
  <c r="J2753" i="14"/>
  <c r="J3780" i="14"/>
  <c r="J3149" i="14"/>
  <c r="J3995" i="14"/>
  <c r="J3325" i="14"/>
  <c r="J2751" i="14"/>
  <c r="J3847" i="14"/>
  <c r="J3245" i="14"/>
  <c r="J4043" i="14"/>
  <c r="J3530" i="14"/>
  <c r="J4372" i="14"/>
  <c r="J5083" i="14"/>
  <c r="J4282" i="14"/>
  <c r="J5116" i="14"/>
  <c r="J4973" i="14"/>
  <c r="J4874" i="14"/>
  <c r="J4784" i="14"/>
  <c r="J5097" i="14"/>
  <c r="J4273" i="14"/>
  <c r="J3339" i="14"/>
  <c r="J4008" i="14"/>
  <c r="J3319" i="14"/>
  <c r="J4381" i="14"/>
  <c r="J3770" i="14"/>
  <c r="J3140" i="14"/>
  <c r="J2613" i="14"/>
  <c r="J3114" i="14"/>
  <c r="J3666" i="14"/>
  <c r="J3196" i="14"/>
  <c r="J2388" i="14"/>
  <c r="J2481" i="14"/>
  <c r="J2434" i="14"/>
  <c r="J2060" i="14"/>
  <c r="J2745" i="14"/>
  <c r="J3665" i="14"/>
  <c r="J2639" i="14"/>
  <c r="J3322" i="14"/>
  <c r="J3952" i="14"/>
  <c r="J3313" i="14"/>
  <c r="J4186" i="14"/>
  <c r="J3307" i="14"/>
  <c r="J2800" i="14"/>
  <c r="J4620" i="14"/>
  <c r="J5193" i="14"/>
  <c r="J4536" i="14"/>
  <c r="J5148" i="14"/>
  <c r="J3771" i="14"/>
  <c r="J3788" i="14"/>
  <c r="J4938" i="14"/>
  <c r="J4917" i="14"/>
  <c r="J4394" i="14"/>
  <c r="J5178" i="14"/>
  <c r="J5152" i="14"/>
  <c r="J4793" i="14"/>
  <c r="J3192" i="14"/>
  <c r="J5112" i="14"/>
  <c r="J4331" i="14"/>
  <c r="J5004" i="14"/>
  <c r="J4875" i="14"/>
  <c r="J4776" i="14"/>
  <c r="J4685" i="14"/>
  <c r="J5009" i="14"/>
  <c r="J4169" i="14"/>
  <c r="J3260" i="14"/>
  <c r="J3938" i="14"/>
  <c r="J3249" i="14"/>
  <c r="J4322" i="14"/>
  <c r="J3701" i="14"/>
  <c r="J3081" i="14"/>
  <c r="J3927" i="14"/>
  <c r="J3257" i="14"/>
  <c r="J4401" i="14"/>
  <c r="J3757" i="14"/>
  <c r="J3177" i="14"/>
  <c r="J3963" i="14"/>
  <c r="J3392" i="14"/>
  <c r="J4264" i="14"/>
  <c r="J4880" i="14"/>
  <c r="J4144" i="14"/>
  <c r="J4994" i="14"/>
  <c r="J4865" i="14"/>
  <c r="J4756" i="14"/>
  <c r="J4676" i="14"/>
  <c r="J4980" i="14"/>
  <c r="J4155" i="14"/>
  <c r="J3250" i="14"/>
  <c r="J3929" i="14"/>
  <c r="J3240" i="14"/>
  <c r="J4283" i="14"/>
  <c r="J3691" i="14"/>
  <c r="J3061" i="14"/>
  <c r="J3916" i="14"/>
  <c r="J3237" i="14"/>
  <c r="J4360" i="14"/>
  <c r="J3748" i="14"/>
  <c r="J3157" i="14"/>
  <c r="J3953" i="14"/>
  <c r="J3383" i="14"/>
  <c r="J4250" i="14"/>
  <c r="J4772" i="14"/>
  <c r="J4065" i="14"/>
  <c r="J4925" i="14"/>
  <c r="J4807" i="14"/>
  <c r="J4706" i="14"/>
  <c r="J4636" i="14"/>
  <c r="J4951" i="14"/>
  <c r="J4107" i="14"/>
  <c r="J3181" i="14"/>
  <c r="J3909" i="14"/>
  <c r="J3200" i="14"/>
  <c r="J4269" i="14"/>
  <c r="J3681" i="14"/>
  <c r="J3051" i="14"/>
  <c r="J1731" i="14"/>
  <c r="J3626" i="14"/>
  <c r="J3932" i="14"/>
  <c r="J3787" i="14"/>
  <c r="J1912" i="14"/>
  <c r="J2005" i="14"/>
  <c r="J2724" i="14"/>
  <c r="J2220" i="14"/>
  <c r="J2881" i="14"/>
  <c r="J3793" i="14"/>
  <c r="J2746" i="14"/>
  <c r="J3431" i="14"/>
  <c r="J4042" i="14"/>
  <c r="J3490" i="14"/>
  <c r="J4344" i="14"/>
  <c r="J3826" i="14"/>
  <c r="J4007" i="14"/>
  <c r="J4892" i="14"/>
  <c r="J4657" i="14"/>
  <c r="J4713" i="14"/>
  <c r="J4826" i="14"/>
  <c r="J4704" i="14"/>
  <c r="J3210" i="14"/>
  <c r="J3208" i="14"/>
  <c r="J4292" i="14"/>
  <c r="J4945" i="14"/>
  <c r="J4970" i="14"/>
  <c r="J5271" i="14"/>
  <c r="J4493" i="14"/>
  <c r="J4609" i="14"/>
  <c r="J3093" i="14"/>
  <c r="J5120" i="14"/>
  <c r="J4164" i="14"/>
  <c r="J4827" i="14"/>
  <c r="J4708" i="14"/>
  <c r="J4602" i="14"/>
  <c r="J4541" i="14"/>
  <c r="J4861" i="14"/>
  <c r="J4018" i="14"/>
  <c r="J3083" i="14"/>
  <c r="J3820" i="14"/>
  <c r="J3141" i="14"/>
  <c r="J4204" i="14"/>
  <c r="J3623" i="14"/>
  <c r="J2992" i="14"/>
  <c r="J3808" i="14"/>
  <c r="J3159" i="14"/>
  <c r="J4253" i="14"/>
  <c r="J3669" i="14"/>
  <c r="J3079" i="14"/>
  <c r="J3884" i="14"/>
  <c r="J3293" i="14"/>
  <c r="J4145" i="14"/>
  <c r="J4624" i="14"/>
  <c r="J5105" i="14"/>
  <c r="J4808" i="14"/>
  <c r="J4679" i="14"/>
  <c r="J4572" i="14"/>
  <c r="J4532" i="14"/>
  <c r="J4842" i="14"/>
  <c r="J3989" i="14"/>
  <c r="J3073" i="14"/>
  <c r="J3810" i="14"/>
  <c r="J3112" i="14"/>
  <c r="J4165" i="14"/>
  <c r="J3612" i="14"/>
  <c r="J2983" i="14"/>
  <c r="J3799" i="14"/>
  <c r="J3109" i="14"/>
  <c r="J4240" i="14"/>
  <c r="J3659" i="14"/>
  <c r="J3068" i="14"/>
  <c r="J3874" i="14"/>
  <c r="J3284" i="14"/>
  <c r="J4132" i="14"/>
  <c r="J4569" i="14"/>
  <c r="J5092" i="14"/>
  <c r="J4778" i="14"/>
  <c r="J4668" i="14"/>
  <c r="J4562" i="14"/>
  <c r="J4522" i="14"/>
  <c r="J4823" i="14"/>
  <c r="J3969" i="14"/>
  <c r="J3053" i="14"/>
  <c r="J3761" i="14"/>
  <c r="J3092" i="14"/>
  <c r="J4152" i="14"/>
  <c r="J3602" i="14"/>
  <c r="J2972" i="14"/>
  <c r="J2143" i="14"/>
  <c r="J3991" i="14"/>
  <c r="J4329" i="14"/>
  <c r="J4228" i="14"/>
  <c r="J2907" i="14"/>
  <c r="J1170" i="14"/>
  <c r="J1439" i="14"/>
  <c r="J2372" i="14"/>
  <c r="J3025" i="14"/>
  <c r="J3921" i="14"/>
  <c r="J2853" i="14"/>
  <c r="J3597" i="14"/>
  <c r="J5393" i="14"/>
  <c r="J4193" i="14"/>
  <c r="J4905" i="14"/>
  <c r="J4715" i="14"/>
  <c r="J4208" i="14"/>
  <c r="J3978" i="14"/>
  <c r="J4348" i="14"/>
  <c r="J3111" i="14"/>
  <c r="J3592" i="14"/>
  <c r="J4332" i="14"/>
  <c r="J3403" i="14"/>
  <c r="J3914" i="14"/>
  <c r="J3028" i="14"/>
  <c r="J3785" i="14"/>
  <c r="J3085" i="14"/>
  <c r="J4183" i="14"/>
  <c r="J3351" i="14"/>
  <c r="J2681" i="14"/>
  <c r="J1804" i="14"/>
  <c r="J1885" i="14"/>
  <c r="J2568" i="14"/>
  <c r="J5265" i="14"/>
  <c r="J4610" i="14"/>
  <c r="J4106" i="14"/>
  <c r="J3405" i="14"/>
  <c r="J4068" i="14"/>
  <c r="J2945" i="14"/>
  <c r="J4249" i="14"/>
  <c r="J1587" i="14"/>
  <c r="J4652" i="14"/>
  <c r="J4397" i="14"/>
  <c r="J5001" i="14"/>
  <c r="J4501" i="14"/>
  <c r="J4219" i="14"/>
  <c r="J2859" i="14"/>
  <c r="J3277" i="14"/>
  <c r="J3316" i="14"/>
  <c r="J3708" i="14"/>
  <c r="J4210" i="14"/>
  <c r="J1640" i="14"/>
  <c r="J2317" i="14"/>
  <c r="J2900" i="14"/>
  <c r="J4613" i="14"/>
  <c r="J4373" i="14"/>
  <c r="J3504" i="14"/>
  <c r="J4724" i="14"/>
  <c r="J5106" i="14"/>
  <c r="J4136" i="14"/>
  <c r="J3042" i="14"/>
  <c r="J4464" i="14"/>
  <c r="J4220" i="14"/>
  <c r="J2740" i="14"/>
  <c r="J5276" i="14"/>
  <c r="J905" i="14"/>
  <c r="J5124" i="14"/>
  <c r="J2460" i="14"/>
  <c r="J5307" i="14"/>
  <c r="J5489" i="14"/>
  <c r="J4871" i="14"/>
  <c r="J4922" i="14"/>
  <c r="J2118" i="14"/>
  <c r="J5306" i="14"/>
  <c r="J5290" i="14"/>
  <c r="J4693" i="14"/>
  <c r="J4503" i="14"/>
  <c r="J5841" i="14"/>
  <c r="K5841" i="14" s="1"/>
  <c r="L5841" i="14" s="1"/>
  <c r="M5841" i="14" s="1"/>
  <c r="J5473" i="14"/>
  <c r="J5533" i="14"/>
  <c r="J521" i="14"/>
  <c r="J5832" i="14"/>
  <c r="K5832" i="14" s="1"/>
  <c r="L5832" i="14" s="1"/>
  <c r="M5832" i="14" s="1"/>
  <c r="J2578" i="14"/>
  <c r="J1908" i="14"/>
  <c r="J1588" i="14"/>
  <c r="J1171" i="14"/>
  <c r="J2038" i="14"/>
  <c r="J1343" i="14"/>
  <c r="J2500" i="14"/>
  <c r="J2077" i="14"/>
  <c r="J5553" i="14"/>
  <c r="J5352" i="14"/>
  <c r="J1851" i="14"/>
  <c r="J5786" i="14"/>
  <c r="J912" i="14"/>
  <c r="J5800" i="14"/>
  <c r="V5832" i="14" s="1"/>
  <c r="J5175" i="14"/>
  <c r="J4247" i="14"/>
  <c r="J1676" i="14"/>
  <c r="J5354" i="14"/>
  <c r="J735" i="14"/>
  <c r="J4529" i="14"/>
  <c r="J1107" i="14"/>
  <c r="J5508" i="14"/>
  <c r="J5484" i="14"/>
  <c r="J5476" i="14"/>
  <c r="J5784" i="14"/>
  <c r="J508" i="14"/>
  <c r="J2253" i="14"/>
  <c r="J872" i="14"/>
  <c r="J5545" i="14"/>
  <c r="J2832" i="14"/>
  <c r="J1971" i="14"/>
  <c r="J5345" i="14"/>
  <c r="V5441" i="14" s="1"/>
  <c r="J5516" i="14"/>
  <c r="J4869" i="14"/>
  <c r="J4665" i="14"/>
  <c r="J1773" i="14"/>
  <c r="J5402" i="14"/>
  <c r="J4701" i="14"/>
  <c r="J5738" i="14"/>
  <c r="J700" i="14"/>
  <c r="J5746" i="14"/>
  <c r="J5724" i="14"/>
  <c r="J1652" i="14"/>
  <c r="J5720" i="14"/>
  <c r="J5783" i="14"/>
  <c r="J1446" i="14"/>
  <c r="J2477" i="14"/>
  <c r="J2066" i="14"/>
  <c r="J2028" i="14"/>
  <c r="J5834" i="14"/>
  <c r="K5834" i="14" s="1"/>
  <c r="L5834" i="14" s="1"/>
  <c r="M5834" i="14" s="1"/>
  <c r="J5716" i="14"/>
  <c r="J5418" i="14"/>
  <c r="J4184" i="14"/>
  <c r="J4096" i="14"/>
  <c r="J782" i="14"/>
  <c r="J5789" i="14"/>
  <c r="J5250" i="14"/>
  <c r="V5346" i="14" s="1"/>
  <c r="J5309" i="14"/>
  <c r="J624" i="14"/>
  <c r="J5840" i="14"/>
  <c r="K5840" i="14" s="1"/>
  <c r="L5840" i="14" s="1"/>
  <c r="M5840" i="14" s="1"/>
  <c r="J1228" i="14"/>
  <c r="J5817" i="14"/>
  <c r="J5624" i="14"/>
  <c r="J5719" i="14"/>
  <c r="V5799" i="14" s="1"/>
  <c r="J4490" i="14"/>
  <c r="J2770" i="14"/>
  <c r="J2170" i="14"/>
  <c r="J4779" i="14"/>
  <c r="J4956" i="14"/>
  <c r="J5626" i="14"/>
  <c r="J5419" i="14"/>
  <c r="J5212" i="14"/>
  <c r="J4631" i="14"/>
  <c r="J5671" i="14"/>
  <c r="J5676" i="14"/>
  <c r="J871" i="14"/>
  <c r="J5408" i="14"/>
  <c r="J4378" i="14"/>
  <c r="J633" i="14"/>
  <c r="J4791" i="14"/>
  <c r="J4887" i="14"/>
  <c r="J5748" i="14"/>
  <c r="J911" i="14"/>
  <c r="J2308" i="14"/>
  <c r="J5496" i="14"/>
  <c r="J5741" i="14"/>
  <c r="J5543" i="14"/>
  <c r="J5304" i="14"/>
  <c r="J2705" i="14"/>
  <c r="J910" i="14"/>
  <c r="J5450" i="14"/>
  <c r="J5538" i="14"/>
  <c r="J1172" i="14"/>
  <c r="J5441" i="14"/>
  <c r="J5301" i="14"/>
  <c r="J5035" i="14"/>
  <c r="J4777" i="14"/>
  <c r="J2198" i="14"/>
  <c r="J1248" i="14"/>
  <c r="J5831" i="14"/>
  <c r="J5399" i="14"/>
  <c r="J5021" i="14"/>
  <c r="J5563" i="14"/>
  <c r="J4596" i="14"/>
  <c r="J4744" i="14"/>
  <c r="J5684" i="14"/>
  <c r="J760" i="14"/>
  <c r="J1713" i="14"/>
  <c r="J5668" i="14"/>
  <c r="J5504" i="14"/>
  <c r="J1220" i="14"/>
  <c r="J5388" i="14"/>
  <c r="J5467" i="14"/>
  <c r="J5300" i="14"/>
  <c r="J5669" i="14"/>
  <c r="J631" i="14"/>
  <c r="J4856" i="14"/>
  <c r="J5689" i="14"/>
  <c r="J5298" i="14"/>
  <c r="J870" i="14"/>
  <c r="J737" i="14"/>
  <c r="J5836" i="14"/>
  <c r="K5836" i="14" s="1"/>
  <c r="L5836" i="14" s="1"/>
  <c r="M5836" i="14" s="1"/>
  <c r="J2874" i="14"/>
  <c r="J5194" i="14"/>
  <c r="J5527" i="14"/>
  <c r="J5787" i="14"/>
  <c r="J3415" i="14"/>
  <c r="J4133" i="14"/>
  <c r="J3432" i="14"/>
  <c r="J4199" i="14"/>
  <c r="J3480" i="14"/>
  <c r="J3585" i="14"/>
  <c r="J3472" i="14"/>
  <c r="J2280" i="14"/>
  <c r="J1540" i="14"/>
  <c r="J2567" i="14"/>
  <c r="J3452" i="14"/>
  <c r="J1276" i="14"/>
  <c r="J1265" i="14"/>
  <c r="J2164" i="14"/>
  <c r="J1347" i="14"/>
  <c r="J3445" i="14"/>
  <c r="J3440" i="14"/>
  <c r="J2737" i="14"/>
  <c r="J3744" i="14"/>
  <c r="J3065" i="14"/>
  <c r="J2495" i="14"/>
  <c r="J3461" i="14"/>
  <c r="J2665" i="14"/>
  <c r="J1913" i="14"/>
  <c r="J2739" i="14"/>
  <c r="J1952" i="14"/>
  <c r="J3613" i="14"/>
  <c r="J4308" i="14"/>
  <c r="J4212" i="14"/>
  <c r="J3636" i="14"/>
  <c r="J2326" i="14"/>
  <c r="J1251" i="14"/>
  <c r="J1063" i="14"/>
  <c r="J2149" i="14"/>
  <c r="J1168" i="14"/>
  <c r="J3297" i="14"/>
  <c r="J3931" i="14"/>
  <c r="J1977" i="14"/>
  <c r="J2464" i="14"/>
  <c r="J1476" i="14"/>
  <c r="J2014" i="14"/>
  <c r="J2805" i="14"/>
  <c r="J1940" i="14"/>
  <c r="J558" i="14"/>
  <c r="J1992" i="14"/>
  <c r="J3064" i="14"/>
  <c r="J3869" i="14"/>
  <c r="J4450" i="14"/>
  <c r="J3616" i="14"/>
  <c r="J1857" i="14"/>
  <c r="J2241" i="14"/>
  <c r="J2636" i="14"/>
  <c r="J1811" i="14"/>
  <c r="J3152" i="14"/>
  <c r="J3115" i="14"/>
  <c r="J2463" i="14"/>
  <c r="J1492" i="14"/>
  <c r="J4466" i="14"/>
  <c r="J5809" i="14"/>
  <c r="V5841" i="14" s="1"/>
  <c r="J2212" i="14"/>
  <c r="J5340" i="14"/>
  <c r="J5530" i="14"/>
  <c r="J5338" i="14"/>
  <c r="J5479" i="14"/>
  <c r="J4413" i="14"/>
  <c r="J351" i="14"/>
  <c r="J5697" i="14"/>
  <c r="J3516" i="14"/>
  <c r="J3393" i="14"/>
  <c r="J4032" i="14"/>
  <c r="J3353" i="14"/>
  <c r="J4088" i="14"/>
  <c r="J3401" i="14"/>
  <c r="J3418" i="14"/>
  <c r="J3128" i="14"/>
  <c r="J2197" i="14"/>
  <c r="J1436" i="14"/>
  <c r="J2469" i="14"/>
  <c r="J3364" i="14"/>
  <c r="J2855" i="14"/>
  <c r="J2025" i="14"/>
  <c r="J1103" i="14"/>
  <c r="J2068" i="14"/>
  <c r="J1200" i="14"/>
  <c r="J3367" i="14"/>
  <c r="J3352" i="14"/>
  <c r="J2648" i="14"/>
  <c r="J3656" i="14"/>
  <c r="J2976" i="14"/>
  <c r="J2401" i="14"/>
  <c r="J3457" i="14"/>
  <c r="J3127" i="14"/>
  <c r="J2570" i="14"/>
  <c r="J1822" i="14"/>
  <c r="J2612" i="14"/>
  <c r="J1865" i="14"/>
  <c r="J3448" i="14"/>
  <c r="J3357" i="14"/>
  <c r="J4189" i="14"/>
  <c r="J3372" i="14"/>
  <c r="J3528" i="14"/>
  <c r="J2094" i="14"/>
  <c r="J2521" i="14"/>
  <c r="J774" i="14"/>
  <c r="J2057" i="14"/>
  <c r="J865" i="14"/>
  <c r="J3513" i="14"/>
  <c r="J3724" i="14"/>
  <c r="J1770" i="14"/>
  <c r="J2335" i="14"/>
  <c r="J1224" i="14"/>
  <c r="J1903" i="14"/>
  <c r="J2650" i="14"/>
  <c r="J1834" i="14"/>
  <c r="J2773" i="14"/>
  <c r="J1882" i="14"/>
  <c r="J2985" i="14"/>
  <c r="J3836" i="14"/>
  <c r="J3834" i="14"/>
  <c r="J3291" i="14"/>
  <c r="J1553" i="14"/>
  <c r="J2111" i="14"/>
  <c r="J2530" i="14"/>
  <c r="J1708" i="14"/>
  <c r="J3575" i="14"/>
  <c r="J4369" i="14"/>
  <c r="J2157" i="14"/>
  <c r="J2444" i="14"/>
  <c r="J1416" i="14"/>
  <c r="J1985" i="14"/>
  <c r="J5329" i="14"/>
  <c r="J4615" i="14"/>
  <c r="J4921" i="14"/>
  <c r="J5169" i="14"/>
  <c r="J5537" i="14"/>
  <c r="J3408" i="14"/>
  <c r="J5547" i="14"/>
  <c r="J5482" i="14"/>
  <c r="J1287" i="14"/>
  <c r="J740" i="14"/>
  <c r="J4504" i="14"/>
  <c r="J2040" i="14"/>
  <c r="J3377" i="14"/>
  <c r="J3226" i="14"/>
  <c r="J3865" i="14"/>
  <c r="J3176" i="14"/>
  <c r="J3913" i="14"/>
  <c r="J3224" i="14"/>
  <c r="J3368" i="14"/>
  <c r="J3421" i="14"/>
  <c r="J2004" i="14"/>
  <c r="J1024" i="14"/>
  <c r="J2279" i="14"/>
  <c r="J3515" i="14"/>
  <c r="J3450" i="14"/>
  <c r="J2589" i="14"/>
  <c r="J1847" i="14"/>
  <c r="J2640" i="14"/>
  <c r="J1884" i="14"/>
  <c r="J703" i="14"/>
  <c r="J3365" i="14"/>
  <c r="J3184" i="14"/>
  <c r="J4209" i="14"/>
  <c r="J3488" i="14"/>
  <c r="J2793" i="14"/>
  <c r="J2211" i="14"/>
  <c r="J3840" i="14"/>
  <c r="J3223" i="14"/>
  <c r="J2390" i="14"/>
  <c r="J1629" i="14"/>
  <c r="J2433" i="14"/>
  <c r="J1680" i="14"/>
  <c r="J3831" i="14"/>
  <c r="J3416" i="14"/>
  <c r="J3985" i="14"/>
  <c r="J3292" i="14"/>
  <c r="J3212" i="14"/>
  <c r="J1486" i="14"/>
  <c r="J2150" i="14"/>
  <c r="J2675" i="14"/>
  <c r="J1844" i="14"/>
  <c r="J2821" i="14"/>
  <c r="J3579" i="14"/>
  <c r="J2996" i="14"/>
  <c r="J1577" i="14"/>
  <c r="J2093" i="14"/>
  <c r="J2652" i="14"/>
  <c r="J1638" i="14"/>
  <c r="J2451" i="14"/>
  <c r="J1603" i="14"/>
  <c r="J2529" i="14"/>
  <c r="J1706" i="14"/>
  <c r="J4349" i="14"/>
  <c r="J3463" i="14"/>
  <c r="J3371" i="14"/>
  <c r="J3084" i="14"/>
  <c r="J2199" i="14"/>
  <c r="J1748" i="14"/>
  <c r="J2342" i="14"/>
  <c r="J1493" i="14"/>
  <c r="J3117" i="14"/>
  <c r="J3705" i="14"/>
  <c r="J1741" i="14"/>
  <c r="J2176" i="14"/>
  <c r="J2826" i="14"/>
  <c r="J1738" i="14"/>
  <c r="J2520" i="14"/>
  <c r="J1698" i="14"/>
  <c r="J2609" i="14"/>
  <c r="J1765" i="14"/>
  <c r="J3241" i="14"/>
  <c r="J3067" i="14"/>
  <c r="J3370" i="14"/>
  <c r="J1534" i="14"/>
  <c r="J1961" i="14"/>
  <c r="J2511" i="14"/>
  <c r="J1688" i="14"/>
  <c r="J5744" i="14"/>
  <c r="J4157" i="14"/>
  <c r="J4700" i="14"/>
  <c r="J1198" i="14"/>
  <c r="J5349" i="14"/>
  <c r="J5755" i="14"/>
  <c r="J356" i="14"/>
  <c r="J2413" i="14"/>
  <c r="J349" i="14"/>
  <c r="J4765" i="14"/>
  <c r="J627" i="14"/>
  <c r="J672" i="14"/>
  <c r="J3829" i="14"/>
  <c r="J3137" i="14"/>
  <c r="J3776" i="14"/>
  <c r="J3097" i="14"/>
  <c r="J3824" i="14"/>
  <c r="J3145" i="14"/>
  <c r="J3228" i="14"/>
  <c r="J3469" i="14"/>
  <c r="J1921" i="14"/>
  <c r="J764" i="14"/>
  <c r="J2181" i="14"/>
  <c r="J3465" i="14"/>
  <c r="J3842" i="14"/>
  <c r="J2493" i="14"/>
  <c r="J1749" i="14"/>
  <c r="J2531" i="14"/>
  <c r="J1792" i="14"/>
  <c r="J3521" i="14"/>
  <c r="J3096" i="14"/>
  <c r="J4097" i="14"/>
  <c r="J3400" i="14"/>
  <c r="J2696" i="14"/>
  <c r="J2113" i="14"/>
  <c r="J3584" i="14"/>
  <c r="J3133" i="14"/>
  <c r="J2282" i="14"/>
  <c r="J1542" i="14"/>
  <c r="J2324" i="14"/>
  <c r="J1585" i="14"/>
  <c r="J3218" i="14"/>
  <c r="J3906" i="14"/>
  <c r="J3056" i="14"/>
  <c r="J3104" i="14"/>
  <c r="J1267" i="14"/>
  <c r="J2024" i="14"/>
  <c r="J2553" i="14"/>
  <c r="J1737" i="14"/>
  <c r="J2649" i="14"/>
  <c r="J4277" i="14"/>
  <c r="J2676" i="14"/>
  <c r="J1449" i="14"/>
  <c r="J1976" i="14"/>
  <c r="J2501" i="14"/>
  <c r="J1513" i="14"/>
  <c r="J2368" i="14"/>
  <c r="J1502" i="14"/>
  <c r="J2431" i="14"/>
  <c r="J1602" i="14"/>
  <c r="J4232" i="14"/>
  <c r="J3029" i="14"/>
  <c r="J3036" i="14"/>
  <c r="J2755" i="14"/>
  <c r="J1836" i="14"/>
  <c r="J1494" i="14"/>
  <c r="J2240" i="14"/>
  <c r="J1283" i="14"/>
  <c r="J3756" i="14"/>
  <c r="J3380" i="14"/>
  <c r="J1651" i="14"/>
  <c r="J2059" i="14"/>
  <c r="J2603" i="14"/>
  <c r="J1619" i="14"/>
  <c r="J2432" i="14"/>
  <c r="J1584" i="14"/>
  <c r="J2499" i="14"/>
  <c r="J1677" i="14"/>
  <c r="J3447" i="14"/>
  <c r="J3804" i="14"/>
  <c r="J3272" i="14"/>
  <c r="J5370" i="14"/>
  <c r="J4666" i="14"/>
  <c r="J5036" i="14"/>
  <c r="J354" i="14"/>
  <c r="J5536" i="14"/>
  <c r="J5434" i="14"/>
  <c r="J2329" i="14"/>
  <c r="J3340" i="14"/>
  <c r="J4603" i="14"/>
  <c r="J5490" i="14"/>
  <c r="J5437" i="14"/>
  <c r="J3573" i="14"/>
  <c r="J3058" i="14"/>
  <c r="J3688" i="14"/>
  <c r="J3008" i="14"/>
  <c r="J3736" i="14"/>
  <c r="J3828" i="14"/>
  <c r="J3125" i="14"/>
  <c r="J1820" i="14"/>
  <c r="J549" i="14"/>
  <c r="J2089" i="14"/>
  <c r="J3376" i="14"/>
  <c r="J3586" i="14"/>
  <c r="J2411" i="14"/>
  <c r="J1649" i="14"/>
  <c r="J2452" i="14"/>
  <c r="J1699" i="14"/>
  <c r="J3467" i="14"/>
  <c r="J3225" i="14"/>
  <c r="J3017" i="14"/>
  <c r="J4000" i="14"/>
  <c r="J3321" i="14"/>
  <c r="J2917" i="14"/>
  <c r="J2017" i="14"/>
  <c r="J3417" i="14"/>
  <c r="J2200" i="14"/>
  <c r="J2185" i="14"/>
  <c r="J1438" i="14"/>
  <c r="J2232" i="14"/>
  <c r="J1484" i="14"/>
  <c r="J3220" i="14"/>
  <c r="J3130" i="14"/>
  <c r="J3522" i="14"/>
  <c r="J2843" i="14"/>
  <c r="J2891" i="14"/>
  <c r="J2483" i="14"/>
  <c r="J1778" i="14"/>
  <c r="J2461" i="14"/>
  <c r="J1617" i="14"/>
  <c r="J2538" i="14"/>
  <c r="J3548" i="14"/>
  <c r="J2642" i="14"/>
  <c r="J1234" i="14"/>
  <c r="J1856" i="14"/>
  <c r="J2389" i="14"/>
  <c r="J1273" i="14"/>
  <c r="J2250" i="14"/>
  <c r="J1292" i="14"/>
  <c r="J2312" i="14"/>
  <c r="J1501" i="14"/>
  <c r="J4128" i="14"/>
  <c r="J3668" i="14"/>
  <c r="J4261" i="14"/>
  <c r="J2792" i="14"/>
  <c r="J1448" i="14"/>
  <c r="J1264" i="14"/>
  <c r="J2129" i="14"/>
  <c r="J1100" i="14"/>
  <c r="J3323" i="14"/>
  <c r="J2852" i="14"/>
  <c r="J1417" i="14"/>
  <c r="J1953" i="14"/>
  <c r="J2482" i="14"/>
  <c r="J1475" i="14"/>
  <c r="J2333" i="14"/>
  <c r="J1473" i="14"/>
  <c r="J2406" i="14"/>
  <c r="J1583" i="14"/>
  <c r="J3229" i="14"/>
  <c r="J3233" i="14"/>
  <c r="J3163" i="14"/>
  <c r="J2296" i="14"/>
  <c r="J1594" i="14"/>
  <c r="J2313" i="14"/>
  <c r="J1455" i="14"/>
  <c r="J2397" i="14"/>
  <c r="J5410" i="14"/>
  <c r="J5226" i="14"/>
  <c r="J4440" i="14"/>
  <c r="J5394" i="14"/>
  <c r="J5819" i="14"/>
  <c r="J5322" i="14"/>
  <c r="J2228" i="14"/>
  <c r="J4194" i="14"/>
  <c r="J5033" i="14"/>
  <c r="J5442" i="14"/>
  <c r="J5698" i="14"/>
  <c r="J3837" i="14"/>
  <c r="J4357" i="14"/>
  <c r="J3609" i="14"/>
  <c r="J2904" i="14"/>
  <c r="J3657" i="14"/>
  <c r="J3572" i="14"/>
  <c r="J3517" i="14"/>
  <c r="J1728" i="14"/>
  <c r="J2801" i="14"/>
  <c r="J2003" i="14"/>
  <c r="J3464" i="14"/>
  <c r="J1568" i="14"/>
  <c r="J2305" i="14"/>
  <c r="J1567" i="14"/>
  <c r="J2360" i="14"/>
  <c r="J1604" i="14"/>
  <c r="J3132" i="14"/>
  <c r="J3136" i="14"/>
  <c r="J2912" i="14"/>
  <c r="J3912" i="14"/>
  <c r="J3232" i="14"/>
  <c r="J2712" i="14"/>
  <c r="J1935" i="14"/>
  <c r="J3444" i="14"/>
  <c r="J1252" i="14"/>
  <c r="J2102" i="14"/>
  <c r="J1233" i="14"/>
  <c r="J2141" i="14"/>
  <c r="J1284" i="14"/>
  <c r="J3781" i="14"/>
  <c r="J3041" i="14"/>
  <c r="J3394" i="14"/>
  <c r="J4041" i="14"/>
  <c r="J2856" i="14"/>
  <c r="J2112" i="14"/>
  <c r="J1648" i="14"/>
  <c r="J2379" i="14"/>
  <c r="J1512" i="14"/>
  <c r="J2440" i="14"/>
  <c r="J2944" i="14"/>
  <c r="J2421" i="14"/>
  <c r="J2741" i="14"/>
  <c r="J1720" i="14"/>
  <c r="J2261" i="14"/>
  <c r="J1025" i="14"/>
  <c r="J2140" i="14"/>
  <c r="J1109" i="14"/>
  <c r="J2205" i="14"/>
  <c r="J2771" i="14"/>
  <c r="J4039" i="14"/>
  <c r="J3451" i="14"/>
  <c r="J4020" i="14"/>
  <c r="J4019" i="14" s="1"/>
  <c r="J2514" i="14"/>
  <c r="J2622" i="14"/>
  <c r="J673" i="14"/>
  <c r="J2023" i="14"/>
  <c r="J773" i="14"/>
  <c r="J2988" i="14"/>
  <c r="J2657" i="14"/>
  <c r="J2980" i="14"/>
  <c r="J1813" i="14"/>
  <c r="J2369" i="14"/>
  <c r="J1250" i="14"/>
  <c r="J2231" i="14"/>
  <c r="J1272" i="14"/>
  <c r="J2288" i="14"/>
  <c r="J1481" i="14"/>
  <c r="J3131" i="14"/>
  <c r="J2688" i="14"/>
  <c r="J2952" i="14"/>
  <c r="J1923" i="14"/>
  <c r="J1456" i="14"/>
  <c r="J2216" i="14"/>
  <c r="J1354" i="14"/>
  <c r="J5113" i="14"/>
  <c r="J5339" i="14"/>
  <c r="J5356" i="14"/>
  <c r="J361" i="14"/>
  <c r="J5578" i="14"/>
  <c r="J5396" i="14"/>
  <c r="J1679" i="14"/>
  <c r="J4580" i="14"/>
  <c r="J4545" i="14"/>
  <c r="J5825" i="14"/>
  <c r="J3581" i="14"/>
  <c r="J4251" i="14"/>
  <c r="J3520" i="14"/>
  <c r="J4316" i="14"/>
  <c r="J3568" i="14"/>
  <c r="J3841" i="14"/>
  <c r="J3227" i="14"/>
  <c r="J765" i="14"/>
  <c r="J1637" i="14"/>
  <c r="J2661" i="14"/>
  <c r="J1909" i="14"/>
  <c r="J3129" i="14"/>
  <c r="J1477" i="14"/>
  <c r="J2209" i="14"/>
  <c r="J1457" i="14"/>
  <c r="J2251" i="14"/>
  <c r="J1504" i="14"/>
  <c r="J3426" i="14"/>
  <c r="J3529" i="14"/>
  <c r="J2824" i="14"/>
  <c r="J3833" i="14"/>
  <c r="J3144" i="14"/>
  <c r="J2581" i="14"/>
  <c r="J1837" i="14"/>
  <c r="J3512" i="14"/>
  <c r="J2809" i="14"/>
  <c r="J2006" i="14"/>
  <c r="J1026" i="14"/>
  <c r="J2044" i="14"/>
  <c r="J1169" i="14"/>
  <c r="J3703" i="14"/>
  <c r="J2958" i="14"/>
  <c r="J3373" i="14"/>
  <c r="J3852" i="14"/>
  <c r="J2533" i="14"/>
  <c r="J1740" i="14"/>
  <c r="J1293" i="14"/>
  <c r="J2260" i="14"/>
  <c r="J1346" i="14"/>
  <c r="J3514" i="14"/>
  <c r="J4156" i="14"/>
  <c r="J2186" i="14"/>
  <c r="J2604" i="14"/>
  <c r="J1596" i="14"/>
  <c r="J733" i="14"/>
  <c r="J2033" i="14"/>
  <c r="J783" i="14"/>
  <c r="J2109" i="14"/>
  <c r="J3497" i="14"/>
  <c r="J3959" i="14"/>
  <c r="J3244" i="14"/>
  <c r="J3803" i="14"/>
  <c r="J2071" i="14"/>
  <c r="J2492" i="14"/>
  <c r="J2777" i="14"/>
  <c r="J1930" i="14"/>
  <c r="J3576" i="14"/>
  <c r="J3716" i="14"/>
  <c r="J3715" i="14" s="1"/>
  <c r="J2614" i="14"/>
  <c r="J2709" i="14"/>
  <c r="J1700" i="14"/>
  <c r="J2217" i="14"/>
  <c r="J929" i="14"/>
  <c r="J1062" i="14"/>
  <c r="J2172" i="14"/>
  <c r="J3832" i="14"/>
  <c r="J3562" i="14"/>
  <c r="J4235" i="14"/>
  <c r="J2736" i="14"/>
  <c r="J1552" i="14"/>
  <c r="J4412" i="14"/>
  <c r="J4833" i="14"/>
  <c r="J3264" i="14"/>
  <c r="J1249" i="14"/>
  <c r="J2807" i="14"/>
  <c r="J2872" i="14"/>
  <c r="J1768" i="14"/>
  <c r="J1877" i="14"/>
  <c r="J2233" i="14"/>
  <c r="J3580" i="14"/>
  <c r="J4120" i="14"/>
  <c r="J1845" i="14"/>
  <c r="J355" i="14"/>
  <c r="J3473" i="14"/>
  <c r="J2046" i="14"/>
  <c r="J2738" i="14"/>
  <c r="J1258" i="14"/>
  <c r="J2162" i="14"/>
  <c r="J3474" i="14"/>
  <c r="J1997" i="14"/>
  <c r="J1932" i="14"/>
  <c r="J2844" i="14"/>
  <c r="J2818" i="14"/>
  <c r="J1981" i="14"/>
  <c r="J926" i="14"/>
  <c r="J2096" i="14"/>
  <c r="J1227" i="14"/>
  <c r="J2159" i="14"/>
  <c r="J3424" i="14"/>
  <c r="J2445" i="14"/>
  <c r="J1922" i="14"/>
  <c r="J1445" i="14"/>
  <c r="J1645" i="14"/>
  <c r="J2161" i="14"/>
  <c r="J1344" i="14"/>
  <c r="J2266" i="14"/>
  <c r="J1518" i="14"/>
  <c r="J2328" i="14"/>
  <c r="J3730" i="14"/>
  <c r="J1814" i="14"/>
  <c r="J2289" i="14"/>
  <c r="J2429" i="14"/>
  <c r="J1685" i="14"/>
  <c r="J2536" i="14"/>
  <c r="J1797" i="14"/>
  <c r="J2606" i="14"/>
  <c r="J1858" i="14"/>
  <c r="J515" i="14"/>
  <c r="J3872" i="14"/>
  <c r="J2016" i="14"/>
  <c r="J2206" i="14"/>
  <c r="J2075" i="14"/>
  <c r="J2405" i="14"/>
  <c r="J1654" i="14"/>
  <c r="J2516" i="14"/>
  <c r="J1763" i="14"/>
  <c r="J2583" i="14"/>
  <c r="J3818" i="14"/>
  <c r="J2234" i="14"/>
  <c r="J2035" i="14"/>
  <c r="J1199" i="14"/>
  <c r="J1592" i="14"/>
  <c r="J2108" i="14"/>
  <c r="J1256" i="14"/>
  <c r="J2222" i="14"/>
  <c r="J1461" i="14"/>
  <c r="J2284" i="14"/>
  <c r="J1535" i="14"/>
  <c r="J3420" i="14"/>
  <c r="J1630" i="14"/>
  <c r="J2163" i="14"/>
  <c r="J2032" i="14"/>
  <c r="J2385" i="14"/>
  <c r="J1635" i="14"/>
  <c r="J4797" i="14"/>
  <c r="J5429" i="14"/>
  <c r="J3992" i="14"/>
  <c r="J2377" i="14"/>
  <c r="J1975" i="14"/>
  <c r="J2297" i="14"/>
  <c r="J2399" i="14"/>
  <c r="J2875" i="14"/>
  <c r="J3627" i="14"/>
  <c r="J2273" i="14"/>
  <c r="J664" i="14"/>
  <c r="J2735" i="14"/>
  <c r="J3835" i="14"/>
  <c r="J2680" i="14"/>
  <c r="J2601" i="14"/>
  <c r="J1015" i="14"/>
  <c r="J2056" i="14"/>
  <c r="J3217" i="14"/>
  <c r="J1721" i="14"/>
  <c r="J1689" i="14"/>
  <c r="J2552" i="14"/>
  <c r="J2645" i="14"/>
  <c r="J1890" i="14"/>
  <c r="J2796" i="14"/>
  <c r="J2000" i="14"/>
  <c r="J1020" i="14"/>
  <c r="J2061" i="14"/>
  <c r="J3306" i="14"/>
  <c r="J2133" i="14"/>
  <c r="J1657" i="14"/>
  <c r="J909" i="14"/>
  <c r="J1529" i="14"/>
  <c r="J2064" i="14"/>
  <c r="J1197" i="14"/>
  <c r="J2169" i="14"/>
  <c r="J1410" i="14"/>
  <c r="J2235" i="14"/>
  <c r="J3642" i="14"/>
  <c r="J1701" i="14"/>
  <c r="J1984" i="14"/>
  <c r="J1939" i="14"/>
  <c r="J2331" i="14"/>
  <c r="J1581" i="14"/>
  <c r="J2448" i="14"/>
  <c r="J1704" i="14"/>
  <c r="J2505" i="14"/>
  <c r="J1762" i="14"/>
  <c r="J3547" i="14"/>
  <c r="J1620" i="14"/>
  <c r="J1960" i="14"/>
  <c r="J1920" i="14"/>
  <c r="J2310" i="14"/>
  <c r="J1557" i="14"/>
  <c r="J2428" i="14"/>
  <c r="J1684" i="14"/>
  <c r="J2485" i="14"/>
  <c r="J3729" i="14"/>
  <c r="J1914" i="14"/>
  <c r="J1801" i="14"/>
  <c r="J509" i="14"/>
  <c r="J2947" i="14"/>
  <c r="J2021" i="14"/>
  <c r="J1060" i="14"/>
  <c r="J1278" i="14"/>
  <c r="J2192" i="14"/>
  <c r="J1440" i="14"/>
  <c r="J2873" i="14"/>
  <c r="J2828" i="14"/>
  <c r="J1864" i="14"/>
  <c r="J1872" i="14"/>
  <c r="J2277" i="14"/>
  <c r="J1537" i="14"/>
  <c r="J2404" i="14"/>
  <c r="J1653" i="14"/>
  <c r="J2466" i="14"/>
  <c r="J1722" i="14"/>
  <c r="J4471" i="14"/>
  <c r="J1941" i="14"/>
  <c r="J785" i="14"/>
  <c r="J1204" i="14"/>
  <c r="J3312" i="14"/>
  <c r="J920" i="14"/>
  <c r="J3369" i="14"/>
  <c r="J2825" i="14"/>
  <c r="J1759" i="14"/>
  <c r="J3193" i="14"/>
  <c r="J1954" i="14"/>
  <c r="J2757" i="14"/>
  <c r="J2065" i="14"/>
  <c r="J3412" i="14"/>
  <c r="J2778" i="14"/>
  <c r="J2417" i="14"/>
  <c r="J732" i="14"/>
  <c r="J1949" i="14"/>
  <c r="J3138" i="14"/>
  <c r="J1597" i="14"/>
  <c r="J867" i="14"/>
  <c r="J2332" i="14"/>
  <c r="J2537" i="14"/>
  <c r="J1798" i="14"/>
  <c r="J2659" i="14"/>
  <c r="J1907" i="14"/>
  <c r="J2768" i="14"/>
  <c r="J1969" i="14"/>
  <c r="J1967" i="14" s="1"/>
  <c r="J4100" i="14"/>
  <c r="J2513" i="14"/>
  <c r="J1405" i="14"/>
  <c r="J2754" i="14"/>
  <c r="J2752" i="14"/>
  <c r="J1972" i="14"/>
  <c r="J916" i="14"/>
  <c r="J2082" i="14"/>
  <c r="J1205" i="14"/>
  <c r="J2144" i="14"/>
  <c r="J3425" i="14"/>
  <c r="J1286" i="14"/>
  <c r="J1747" i="14"/>
  <c r="J1799" i="14"/>
  <c r="J2237" i="14"/>
  <c r="J1491" i="14"/>
  <c r="J2365" i="14"/>
  <c r="J1600" i="14"/>
  <c r="J2422" i="14"/>
  <c r="J1661" i="14"/>
  <c r="J3191" i="14"/>
  <c r="J3252" i="14"/>
  <c r="J1348" i="14"/>
  <c r="J1656" i="14"/>
  <c r="J1746" i="14"/>
  <c r="J2214" i="14"/>
  <c r="J1462" i="14"/>
  <c r="J2319" i="14"/>
  <c r="J1580" i="14"/>
  <c r="J2393" i="14"/>
  <c r="J3650" i="14"/>
  <c r="J2877" i="14"/>
  <c r="J1541" i="14"/>
  <c r="J2620" i="14"/>
  <c r="J2685" i="14"/>
  <c r="J1928" i="14"/>
  <c r="J2864" i="14"/>
  <c r="J2029" i="14"/>
  <c r="J1106" i="14"/>
  <c r="J2095" i="14"/>
  <c r="J1244" i="14"/>
  <c r="J2756" i="14"/>
  <c r="J2381" i="14"/>
  <c r="J1564" i="14"/>
  <c r="J1727" i="14"/>
  <c r="J2195" i="14"/>
  <c r="J1433" i="14"/>
  <c r="J2300" i="14"/>
  <c r="J1556" i="14"/>
  <c r="J2373" i="14"/>
  <c r="J1622" i="14"/>
  <c r="J4280" i="14"/>
  <c r="J2091" i="14"/>
  <c r="J2145" i="14"/>
  <c r="J3378" i="14"/>
  <c r="J1951" i="14"/>
  <c r="J2544" i="14"/>
  <c r="J2580" i="14"/>
  <c r="J2556" i="14"/>
  <c r="J2621" i="14"/>
  <c r="J1973" i="14"/>
  <c r="J3784" i="14"/>
  <c r="J2334" i="14"/>
  <c r="J2110" i="14"/>
  <c r="J2949" i="14"/>
  <c r="J1852" i="14"/>
  <c r="J4012" i="14"/>
  <c r="J1349" i="14"/>
  <c r="J2587" i="14"/>
  <c r="J2148" i="14"/>
  <c r="J2458" i="14"/>
  <c r="J1705" i="14"/>
  <c r="J2564" i="14"/>
  <c r="J1816" i="14"/>
  <c r="J2643" i="14"/>
  <c r="J1879" i="14"/>
  <c r="J3883" i="14"/>
  <c r="J2272" i="14"/>
  <c r="J784" i="14"/>
  <c r="J2509" i="14"/>
  <c r="J2629" i="14"/>
  <c r="J1881" i="14"/>
  <c r="J2769" i="14"/>
  <c r="J1990" i="14"/>
  <c r="J934" i="14"/>
  <c r="J2052" i="14"/>
  <c r="J3972" i="14"/>
  <c r="J2653" i="14"/>
  <c r="J1413" i="14"/>
  <c r="J1636" i="14"/>
  <c r="J2137" i="14"/>
  <c r="J1289" i="14"/>
  <c r="J2256" i="14"/>
  <c r="J1509" i="14"/>
  <c r="J2318" i="14"/>
  <c r="J1578" i="14"/>
  <c r="J3413" i="14"/>
  <c r="J2812" i="14"/>
  <c r="J2304" i="14"/>
  <c r="J1221" i="14"/>
  <c r="J1616" i="14"/>
  <c r="J2117" i="14"/>
  <c r="J1270" i="14"/>
  <c r="J2236" i="14"/>
  <c r="J1479" i="14"/>
  <c r="J2299" i="14"/>
  <c r="J3541" i="14"/>
  <c r="J2400" i="14"/>
  <c r="J1101" i="14"/>
  <c r="J2416" i="14"/>
  <c r="J2585" i="14"/>
  <c r="J1832" i="14"/>
  <c r="J2700" i="14"/>
  <c r="J1946" i="14"/>
  <c r="J2858" i="14"/>
  <c r="J2008" i="14"/>
  <c r="J1019" i="14"/>
  <c r="J3961" i="14"/>
  <c r="J2156" i="14"/>
  <c r="J1177" i="14"/>
  <c r="J1572" i="14"/>
  <c r="J2097" i="14"/>
  <c r="J1247" i="14"/>
  <c r="J2213" i="14"/>
  <c r="J1452" i="14"/>
  <c r="J2274" i="14"/>
  <c r="J1517" i="14"/>
  <c r="J4161" i="14"/>
  <c r="J2868" i="14"/>
  <c r="J2107" i="14"/>
  <c r="J1195" i="14"/>
  <c r="J5288" i="14"/>
  <c r="J5346" i="14"/>
  <c r="J5449" i="14"/>
  <c r="J3221" i="14"/>
  <c r="J3453" i="14"/>
  <c r="J3509" i="14"/>
  <c r="J3269" i="14"/>
  <c r="J632" i="14"/>
  <c r="J1717" i="14"/>
  <c r="J1874" i="14"/>
  <c r="J2316" i="14"/>
  <c r="J2013" i="14"/>
  <c r="J1863" i="14"/>
  <c r="J3596" i="14"/>
  <c r="J2208" i="14"/>
  <c r="J1993" i="14"/>
  <c r="J2720" i="14"/>
  <c r="J1756" i="14"/>
  <c r="J3156" i="14"/>
  <c r="J2132" i="14"/>
  <c r="J2076" i="14"/>
  <c r="J2012" i="14"/>
  <c r="J2366" i="14"/>
  <c r="J1610" i="14"/>
  <c r="J2467" i="14"/>
  <c r="J1724" i="14"/>
  <c r="J2525" i="14"/>
  <c r="J2523" i="14" s="1"/>
  <c r="J1781" i="14"/>
  <c r="J3764" i="14"/>
  <c r="J1495" i="14"/>
  <c r="J2577" i="14"/>
  <c r="J2321" i="14"/>
  <c r="J2528" i="14"/>
  <c r="J1784" i="14"/>
  <c r="J2644" i="14"/>
  <c r="J1889" i="14"/>
  <c r="J2748" i="14"/>
  <c r="J1955" i="14"/>
  <c r="J3204" i="14"/>
  <c r="J3203" i="14" s="1"/>
  <c r="J1876" i="14"/>
  <c r="J702" i="14"/>
  <c r="J1511" i="14"/>
  <c r="J2055" i="14"/>
  <c r="J1165" i="14"/>
  <c r="J2160" i="14"/>
  <c r="J1352" i="14"/>
  <c r="J2221" i="14"/>
  <c r="J1478" i="14"/>
  <c r="J3285" i="14"/>
  <c r="J1795" i="14"/>
  <c r="J2058" i="14"/>
  <c r="J663" i="14"/>
  <c r="J1472" i="14"/>
  <c r="J2030" i="14"/>
  <c r="J1069" i="14"/>
  <c r="J2136" i="14"/>
  <c r="J1288" i="14"/>
  <c r="J2201" i="14"/>
  <c r="J3500" i="14"/>
  <c r="J1996" i="14"/>
  <c r="J2722" i="14"/>
  <c r="J2229" i="14"/>
  <c r="J2488" i="14"/>
  <c r="J1745" i="14"/>
  <c r="J2593" i="14"/>
  <c r="J1850" i="14"/>
  <c r="J2682" i="14"/>
  <c r="J1916" i="14"/>
  <c r="J699" i="14"/>
  <c r="J3675" i="14"/>
  <c r="J1285" i="14"/>
  <c r="J2897" i="14"/>
  <c r="J2865" i="14"/>
  <c r="J2001" i="14"/>
  <c r="J1021" i="14"/>
  <c r="J2116" i="14"/>
  <c r="J1269" i="14"/>
  <c r="J2178" i="14"/>
  <c r="J1418" i="14"/>
  <c r="J4057" i="14"/>
  <c r="J2022" i="14"/>
  <c r="J1733" i="14"/>
  <c r="J745" i="14"/>
  <c r="J868" i="14"/>
  <c r="J628" i="14"/>
  <c r="J3466" i="14"/>
  <c r="J3456" i="14"/>
  <c r="J3234" i="14"/>
  <c r="J3273" i="14"/>
  <c r="J2473" i="14"/>
  <c r="J4091" i="14"/>
  <c r="J4330" i="14"/>
  <c r="J2630" i="14"/>
  <c r="J2441" i="14"/>
  <c r="J1576" i="14"/>
  <c r="J1901" i="14"/>
  <c r="J3753" i="14"/>
  <c r="J3468" i="14"/>
  <c r="J1835" i="14"/>
  <c r="J1883" i="14"/>
  <c r="J2600" i="14"/>
  <c r="J1655" i="14"/>
  <c r="J2968" i="14"/>
  <c r="J1904" i="14"/>
  <c r="J1777" i="14"/>
  <c r="J1833" i="14"/>
  <c r="J2257" i="14"/>
  <c r="J1510" i="14"/>
  <c r="J2384" i="14"/>
  <c r="J1623" i="14"/>
  <c r="J2447" i="14"/>
  <c r="J1693" i="14"/>
  <c r="J1691" i="14" s="1"/>
  <c r="J3449" i="14"/>
  <c r="J1112" i="14"/>
  <c r="J2303" i="14"/>
  <c r="J2139" i="14"/>
  <c r="J2449" i="14"/>
  <c r="J1696" i="14"/>
  <c r="J2550" i="14"/>
  <c r="J1806" i="14"/>
  <c r="J2616" i="14"/>
  <c r="J1868" i="14"/>
  <c r="J4340" i="14"/>
  <c r="J4339" i="14" s="1"/>
  <c r="J1681" i="14"/>
  <c r="J2704" i="14"/>
  <c r="J2733" i="14"/>
  <c r="J1957" i="14"/>
  <c r="J907" i="14"/>
  <c r="J2073" i="14"/>
  <c r="J1196" i="14"/>
  <c r="J2134" i="14"/>
  <c r="J1277" i="14"/>
  <c r="J3460" i="14"/>
  <c r="J1507" i="14"/>
  <c r="J1551" i="14"/>
  <c r="J2674" i="14"/>
  <c r="J2703" i="14"/>
  <c r="J1938" i="14"/>
  <c r="J2888" i="14"/>
  <c r="J2039" i="14"/>
  <c r="J1164" i="14"/>
  <c r="J2105" i="14"/>
  <c r="J3360" i="14"/>
  <c r="J1779" i="14"/>
  <c r="J2173" i="14"/>
  <c r="J2041" i="14"/>
  <c r="J2396" i="14"/>
  <c r="J1644" i="14"/>
  <c r="J2506" i="14"/>
  <c r="J1753" i="14"/>
  <c r="J2572" i="14"/>
  <c r="J1815" i="14"/>
  <c r="J3797" i="14"/>
  <c r="J3035" i="14"/>
  <c r="J2723" i="14"/>
  <c r="J2586" i="14"/>
  <c r="J2673" i="14"/>
  <c r="J1919" i="14"/>
  <c r="J2836" i="14"/>
  <c r="J2020" i="14"/>
  <c r="J5762" i="14"/>
  <c r="J5802" i="14"/>
  <c r="V5834" i="14" s="1"/>
  <c r="J3944" i="14"/>
  <c r="J2100" i="14"/>
  <c r="J1933" i="14"/>
  <c r="J3577" i="14"/>
  <c r="J2512" i="14"/>
  <c r="J3419" i="14"/>
  <c r="J1682" i="14"/>
  <c r="J2880" i="14"/>
  <c r="J3386" i="14"/>
  <c r="J2101" i="14"/>
  <c r="J741" i="14"/>
  <c r="J3320" i="14"/>
  <c r="J2382" i="14"/>
  <c r="J2956" i="14"/>
  <c r="J1573" i="14"/>
  <c r="J2268" i="14"/>
  <c r="J3525" i="14"/>
  <c r="J3523" i="14" s="1"/>
  <c r="J3016" i="14"/>
  <c r="J2442" i="14"/>
  <c r="J918" i="14"/>
  <c r="J1549" i="14"/>
  <c r="J2074" i="14"/>
  <c r="J1206" i="14"/>
  <c r="J2179" i="14"/>
  <c r="J1432" i="14"/>
  <c r="J2245" i="14"/>
  <c r="J2243" i="14" s="1"/>
  <c r="J3553" i="14"/>
  <c r="J2716" i="14"/>
  <c r="J2175" i="14"/>
  <c r="J1757" i="14"/>
  <c r="J1809" i="14"/>
  <c r="J2248" i="14"/>
  <c r="J1500" i="14"/>
  <c r="J2374" i="14"/>
  <c r="J1609" i="14"/>
  <c r="J2436" i="14"/>
  <c r="J3809" i="14"/>
  <c r="J2557" i="14"/>
  <c r="J2905" i="14"/>
  <c r="J2302" i="14"/>
  <c r="J2517" i="14"/>
  <c r="J1775" i="14"/>
  <c r="J2628" i="14"/>
  <c r="J1880" i="14"/>
  <c r="J2729" i="14"/>
  <c r="J1945" i="14"/>
  <c r="J769" i="14"/>
  <c r="J2668" i="14"/>
  <c r="J2420" i="14"/>
  <c r="J2490" i="14"/>
  <c r="J2249" i="14"/>
  <c r="J2498" i="14"/>
  <c r="J1754" i="14"/>
  <c r="J2607" i="14"/>
  <c r="J1860" i="14"/>
  <c r="J2698" i="14"/>
  <c r="J1925" i="14"/>
  <c r="J2669" i="14"/>
  <c r="J2290" i="14"/>
  <c r="J1646" i="14"/>
  <c r="J1736" i="14"/>
  <c r="J2204" i="14"/>
  <c r="J1453" i="14"/>
  <c r="J2309" i="14"/>
  <c r="J1570" i="14"/>
  <c r="J2383" i="14"/>
  <c r="J1632" i="14"/>
  <c r="J3629" i="14"/>
  <c r="J2363" i="14"/>
  <c r="J2408" i="14"/>
  <c r="J2215" i="14"/>
  <c r="J2479" i="14"/>
  <c r="J1725" i="14"/>
  <c r="J2584" i="14"/>
  <c r="J1840" i="14"/>
  <c r="J2671" i="14"/>
  <c r="J1906" i="14"/>
  <c r="J2866" i="14"/>
  <c r="J3924" i="14"/>
  <c r="J1991" i="14"/>
  <c r="J2168" i="14"/>
  <c r="J5688" i="14"/>
  <c r="J5761" i="14"/>
  <c r="J5816" i="14"/>
  <c r="J2693" i="14"/>
  <c r="J3508" i="14"/>
  <c r="J1786" i="14"/>
  <c r="J1353" i="14"/>
  <c r="J1982" i="14"/>
  <c r="J1064" i="14"/>
  <c r="J1271" i="14"/>
  <c r="J1956" i="14"/>
  <c r="J1548" i="14"/>
  <c r="J2367" i="14"/>
  <c r="J2834" i="14"/>
  <c r="J3975" i="14"/>
  <c r="J1245" i="14"/>
  <c r="J5456" i="14"/>
  <c r="J708" i="14"/>
  <c r="J553" i="14"/>
  <c r="J738" i="14"/>
  <c r="J788" i="14"/>
  <c r="J1108" i="14"/>
  <c r="J4297" i="14"/>
  <c r="J1974" i="14"/>
  <c r="J2437" i="14"/>
  <c r="J1409" i="14"/>
  <c r="J5357" i="14"/>
  <c r="J5416" i="14"/>
  <c r="J5453" i="14"/>
  <c r="J5501" i="14"/>
  <c r="J5549" i="14"/>
  <c r="J5629" i="14"/>
  <c r="J2036" i="14"/>
  <c r="J1528" i="14"/>
  <c r="J1752" i="14"/>
  <c r="J5515" i="14"/>
  <c r="J5573" i="14"/>
  <c r="J5675" i="14"/>
  <c r="J5739" i="14"/>
  <c r="J5803" i="14"/>
  <c r="J1223" i="14"/>
  <c r="J2672" i="14"/>
  <c r="J1508" i="14"/>
  <c r="J5417" i="14"/>
  <c r="J5474" i="14"/>
  <c r="J5513" i="14"/>
  <c r="J5561" i="14"/>
  <c r="J5673" i="14"/>
  <c r="J5737" i="14"/>
  <c r="J2532" i="14"/>
  <c r="J1764" i="14"/>
  <c r="J1936" i="14"/>
  <c r="J5575" i="14"/>
  <c r="J5696" i="14"/>
  <c r="J5751" i="14"/>
  <c r="J5815" i="14"/>
  <c r="J362" i="14"/>
  <c r="J548" i="14"/>
  <c r="J876" i="14"/>
  <c r="J2573" i="14"/>
  <c r="J1488" i="14"/>
  <c r="J5387" i="14"/>
  <c r="J5445" i="14"/>
  <c r="J5483" i="14"/>
  <c r="J5579" i="14"/>
  <c r="J5691" i="14"/>
  <c r="J5736" i="14"/>
  <c r="J5829" i="14"/>
  <c r="K5829" i="14" s="1"/>
  <c r="L5829" i="14" s="1"/>
  <c r="M5829" i="14" s="1"/>
  <c r="J5332" i="14"/>
  <c r="J2415" i="14"/>
  <c r="J5085" i="14"/>
  <c r="J4507" i="14"/>
  <c r="J1105" i="14"/>
  <c r="J1113" i="14"/>
  <c r="J348" i="14"/>
  <c r="J1193" i="14"/>
  <c r="J4581" i="14"/>
  <c r="J5130" i="14"/>
  <c r="J5227" i="14"/>
  <c r="J1281" i="14"/>
  <c r="J5362" i="14"/>
  <c r="J744" i="14"/>
  <c r="J1785" i="14"/>
  <c r="J2489" i="14"/>
  <c r="J2276" i="14"/>
  <c r="J2340" i="14"/>
  <c r="J2480" i="14"/>
  <c r="J2776" i="14"/>
  <c r="J2885" i="14"/>
  <c r="J2883" i="14" s="1"/>
  <c r="J2414" i="14"/>
  <c r="J2565" i="14"/>
  <c r="J2558" i="14"/>
  <c r="J3885" i="14"/>
  <c r="J2549" i="14"/>
  <c r="J5368" i="14"/>
  <c r="J551" i="14"/>
  <c r="J668" i="14"/>
  <c r="J4178" i="14"/>
  <c r="J2689" i="14"/>
  <c r="J2053" i="14"/>
  <c r="J1454" i="14"/>
  <c r="J1444" i="14"/>
  <c r="J5337" i="14"/>
  <c r="J5365" i="14"/>
  <c r="J5413" i="14"/>
  <c r="J5461" i="14"/>
  <c r="J5509" i="14"/>
  <c r="J1821" i="14"/>
  <c r="J2816" i="14"/>
  <c r="J1569" i="14"/>
  <c r="J5436" i="14"/>
  <c r="J5495" i="14"/>
  <c r="J5532" i="14"/>
  <c r="J5580" i="14"/>
  <c r="J5692" i="14"/>
  <c r="J5756" i="14"/>
  <c r="J1550" i="14"/>
  <c r="J2285" i="14"/>
  <c r="J1268" i="14"/>
  <c r="J5386" i="14"/>
  <c r="J5424" i="14"/>
  <c r="J5472" i="14"/>
  <c r="J5520" i="14"/>
  <c r="J5568" i="14"/>
  <c r="J1709" i="14"/>
  <c r="J1280" i="14"/>
  <c r="J1683" i="14"/>
  <c r="J5485" i="14"/>
  <c r="J5544" i="14"/>
  <c r="J5581" i="14"/>
  <c r="J5693" i="14"/>
  <c r="J5757" i="14"/>
  <c r="J5821" i="14"/>
  <c r="J928" i="14"/>
  <c r="J2193" i="14"/>
  <c r="J1226" i="14"/>
  <c r="J5308" i="14"/>
  <c r="J5367" i="14"/>
  <c r="J5404" i="14"/>
  <c r="J5452" i="14"/>
  <c r="J5500" i="14"/>
  <c r="J5548" i="14"/>
  <c r="J5577" i="14"/>
  <c r="J516" i="14"/>
  <c r="J5681" i="14"/>
  <c r="J5435" i="14"/>
  <c r="J2269" i="14"/>
  <c r="J4325" i="14"/>
  <c r="J4868" i="14"/>
  <c r="J5289" i="14"/>
  <c r="J5360" i="14"/>
  <c r="J5682" i="14"/>
  <c r="J5426" i="14"/>
  <c r="J625" i="14"/>
  <c r="J5010" i="14"/>
  <c r="J4361" i="14"/>
  <c r="J5220" i="14"/>
  <c r="J5380" i="14"/>
  <c r="J5793" i="14"/>
  <c r="J5505" i="14"/>
  <c r="J5810" i="14"/>
  <c r="J4677" i="14"/>
  <c r="J4272" i="14"/>
  <c r="J5320" i="14"/>
  <c r="J5389" i="14"/>
  <c r="J5842" i="14"/>
  <c r="K5842" i="14" s="1"/>
  <c r="L5842" i="14" s="1"/>
  <c r="M5842" i="14" s="1"/>
  <c r="J5554" i="14"/>
  <c r="J5565" i="14"/>
  <c r="J4592" i="14"/>
  <c r="J3314" i="14"/>
  <c r="J4314" i="14"/>
  <c r="J1593" i="14"/>
  <c r="J1536" i="14"/>
  <c r="J1601" i="14"/>
  <c r="J2619" i="14"/>
  <c r="J2624" i="14"/>
  <c r="J2019" i="14"/>
  <c r="J1662" i="14"/>
  <c r="J1817" i="14"/>
  <c r="J2081" i="14"/>
  <c r="J2474" i="14"/>
  <c r="J1829" i="14"/>
  <c r="J1827" i="14" s="1"/>
  <c r="J556" i="14"/>
  <c r="J5721" i="14"/>
  <c r="J5785" i="14"/>
  <c r="J5833" i="14"/>
  <c r="K5833" i="14" s="1"/>
  <c r="L5833" i="14" s="1"/>
  <c r="M5833" i="14" s="1"/>
  <c r="J4071" i="14"/>
  <c r="J1929" i="14"/>
  <c r="J1695" i="14"/>
  <c r="J710" i="14"/>
  <c r="J781" i="14"/>
  <c r="J1017" i="14"/>
  <c r="J5285" i="14"/>
  <c r="J5335" i="14"/>
  <c r="J5383" i="14"/>
  <c r="J5431" i="14"/>
  <c r="J1853" i="14"/>
  <c r="J2395" i="14"/>
  <c r="J1341" i="14"/>
  <c r="J5348" i="14"/>
  <c r="J5405" i="14"/>
  <c r="J5444" i="14"/>
  <c r="J5492" i="14"/>
  <c r="J5540" i="14"/>
  <c r="J5620" i="14"/>
  <c r="J2341" i="14"/>
  <c r="J1917" i="14"/>
  <c r="J924" i="14"/>
  <c r="J1070" i="14"/>
  <c r="J5297" i="14"/>
  <c r="J5336" i="14"/>
  <c r="J5384" i="14"/>
  <c r="J5432" i="14"/>
  <c r="J5480" i="14"/>
  <c r="J2398" i="14"/>
  <c r="J2617" i="14"/>
  <c r="J1497" i="14"/>
  <c r="J5397" i="14"/>
  <c r="J5465" i="14"/>
  <c r="J5493" i="14"/>
  <c r="J5541" i="14"/>
  <c r="J5621" i="14"/>
  <c r="J5717" i="14"/>
  <c r="J5745" i="14"/>
  <c r="J5754" i="14"/>
  <c r="J2196" i="14"/>
  <c r="J1831" i="14"/>
  <c r="J869" i="14"/>
  <c r="J923" i="14"/>
  <c r="J1435" i="14"/>
  <c r="J5316" i="14"/>
  <c r="J5364" i="14"/>
  <c r="J5412" i="14"/>
  <c r="J5460" i="14"/>
  <c r="J5488" i="14"/>
  <c r="J927" i="14"/>
  <c r="J873" i="14"/>
  <c r="J2789" i="14"/>
  <c r="J2787" i="14" s="1"/>
  <c r="J4754" i="14"/>
  <c r="J4105" i="14"/>
  <c r="J5378" i="14"/>
  <c r="J5468" i="14"/>
  <c r="J933" i="14"/>
  <c r="J5674" i="14"/>
  <c r="J4855" i="14"/>
  <c r="J1192" i="14"/>
  <c r="J3458" i="14"/>
  <c r="J2337" i="14"/>
  <c r="J2457" i="14"/>
  <c r="J1861" i="14"/>
  <c r="J1178" i="14"/>
  <c r="J2921" i="14"/>
  <c r="J2476" i="14"/>
  <c r="J2684" i="14"/>
  <c r="J1998" i="14"/>
  <c r="J2839" i="14"/>
  <c r="J1608" i="14"/>
  <c r="J5552" i="14"/>
  <c r="J5632" i="14"/>
  <c r="J5728" i="14"/>
  <c r="J5792" i="14"/>
  <c r="J3101" i="14"/>
  <c r="J3986" i="14"/>
  <c r="J2719" i="14"/>
  <c r="J1173" i="14"/>
  <c r="J545" i="14"/>
  <c r="J696" i="14"/>
  <c r="J790" i="14"/>
  <c r="J1114" i="14"/>
  <c r="J5292" i="14"/>
  <c r="J5341" i="14"/>
  <c r="J2576" i="14"/>
  <c r="J2009" i="14"/>
  <c r="J1176" i="14"/>
  <c r="J1257" i="14"/>
  <c r="J5317" i="14"/>
  <c r="J5355" i="14"/>
  <c r="J5403" i="14"/>
  <c r="J5451" i="14"/>
  <c r="J5499" i="14"/>
  <c r="J1716" i="14"/>
  <c r="J1547" i="14"/>
  <c r="J557" i="14"/>
  <c r="J709" i="14"/>
  <c r="J864" i="14"/>
  <c r="J1167" i="14"/>
  <c r="J5305" i="14"/>
  <c r="J5353" i="14"/>
  <c r="J5401" i="14"/>
  <c r="J1404" i="14"/>
  <c r="J2247" i="14"/>
  <c r="J1253" i="14"/>
  <c r="J5319" i="14"/>
  <c r="J5376" i="14"/>
  <c r="J5415" i="14"/>
  <c r="J5463" i="14"/>
  <c r="J5511" i="14"/>
  <c r="J5559" i="14"/>
  <c r="J5586" i="14"/>
  <c r="J5585" i="14"/>
  <c r="J1558" i="14"/>
  <c r="J1441" i="14"/>
  <c r="J360" i="14"/>
  <c r="J665" i="14"/>
  <c r="J767" i="14"/>
  <c r="J1013" i="14"/>
  <c r="J5284" i="14"/>
  <c r="J5323" i="14"/>
  <c r="J5371" i="14"/>
  <c r="J5400" i="14"/>
  <c r="J5351" i="14"/>
  <c r="J5569" i="14"/>
  <c r="J5377" i="14"/>
  <c r="J667" i="14"/>
  <c r="J4425" i="14"/>
  <c r="J4528" i="14"/>
  <c r="J5457" i="14"/>
  <c r="J5628" i="14"/>
  <c r="J5570" i="14"/>
  <c r="J1545" i="14"/>
  <c r="J4436" i="14"/>
  <c r="J4957" i="14"/>
  <c r="J5477" i="14"/>
  <c r="J5680" i="14"/>
  <c r="J5729" i="14"/>
  <c r="V5729" i="14" s="1"/>
  <c r="J1743" i="14"/>
  <c r="J5466" i="14"/>
  <c r="J4688" i="14"/>
  <c r="J4687" i="14" s="1"/>
  <c r="J5049" i="14"/>
  <c r="J5497" i="14"/>
  <c r="J5690" i="14"/>
  <c r="J5794" i="14"/>
  <c r="J1849" i="14"/>
  <c r="J5562" i="14"/>
  <c r="V5690" i="14" s="1"/>
  <c r="J1730" i="14"/>
  <c r="J1800" i="14"/>
  <c r="J2692" i="14"/>
  <c r="J1599" i="14"/>
  <c r="J1714" i="14"/>
  <c r="J2749" i="14"/>
  <c r="J2450" i="14"/>
  <c r="J2545" i="14"/>
  <c r="J1732" i="14"/>
  <c r="J2497" i="14"/>
  <c r="J1805" i="14"/>
  <c r="J2376" i="14"/>
  <c r="J1451" i="14"/>
  <c r="J5634" i="14"/>
  <c r="J5464" i="14"/>
  <c r="J5512" i="14"/>
  <c r="J5560" i="14"/>
  <c r="V5688" i="14" s="1"/>
  <c r="J5672" i="14"/>
  <c r="J3013" i="14"/>
  <c r="J3011" i="14" s="1"/>
  <c r="J3898" i="14"/>
  <c r="J2320" i="14"/>
  <c r="J2496" i="14"/>
  <c r="J5799" i="14"/>
  <c r="J522" i="14"/>
  <c r="J705" i="14"/>
  <c r="J776" i="14"/>
  <c r="J1056" i="14"/>
  <c r="J1842" i="14"/>
  <c r="J1633" i="14"/>
  <c r="J666" i="14"/>
  <c r="J768" i="14"/>
  <c r="J921" i="14"/>
  <c r="J1412" i="14"/>
  <c r="J5324" i="14"/>
  <c r="J5372" i="14"/>
  <c r="J3578" i="14"/>
  <c r="J2551" i="14"/>
  <c r="J2795" i="14"/>
  <c r="J544" i="14"/>
  <c r="J739" i="14"/>
  <c r="J877" i="14"/>
  <c r="J1057" i="14"/>
  <c r="J5312" i="14"/>
  <c r="J2258" i="14"/>
  <c r="J1869" i="14"/>
  <c r="J908" i="14"/>
  <c r="J1018" i="14"/>
  <c r="J5287" i="14"/>
  <c r="J5325" i="14"/>
  <c r="J5373" i="14"/>
  <c r="J5421" i="14"/>
  <c r="J5469" i="14"/>
  <c r="J5498" i="14"/>
  <c r="J5506" i="14"/>
  <c r="J2468" i="14"/>
  <c r="J2656" i="14"/>
  <c r="J5828" i="14"/>
  <c r="J357" i="14"/>
  <c r="J660" i="14"/>
  <c r="J777" i="14"/>
  <c r="J913" i="14"/>
  <c r="J5291" i="14"/>
  <c r="J5369" i="14"/>
  <c r="J5458" i="14"/>
  <c r="J763" i="14"/>
  <c r="J5818" i="14"/>
  <c r="J5313" i="14"/>
  <c r="J4933" i="14"/>
  <c r="J5428" i="14"/>
  <c r="J5556" i="14"/>
  <c r="V5684" i="14" s="1"/>
  <c r="J5801" i="14"/>
  <c r="J766" i="14"/>
  <c r="J2924" i="14"/>
  <c r="J1641" i="14"/>
  <c r="J5128" i="14"/>
  <c r="J4616" i="14"/>
  <c r="J5576" i="14"/>
  <c r="J5820" i="14"/>
  <c r="J1229" i="14"/>
  <c r="J1589" i="14"/>
  <c r="J3511" i="14"/>
  <c r="J3664" i="14"/>
  <c r="J1531" i="14"/>
  <c r="J3124" i="14"/>
  <c r="J2515" i="14"/>
  <c r="J1980" i="14"/>
  <c r="J2594" i="14"/>
  <c r="J1873" i="14"/>
  <c r="J3719" i="14"/>
  <c r="J1937" i="14"/>
  <c r="J3050" i="14"/>
  <c r="J1624" i="14"/>
  <c r="J5514" i="14"/>
  <c r="J5385" i="14"/>
  <c r="J5433" i="14"/>
  <c r="J5481" i="14"/>
  <c r="J5529" i="14"/>
  <c r="J2919" i="14"/>
  <c r="J1760" i="14"/>
  <c r="J1948" i="14"/>
  <c r="J5677" i="14"/>
  <c r="J5752" i="14"/>
  <c r="J5805" i="14"/>
  <c r="J520" i="14"/>
  <c r="J636" i="14"/>
  <c r="J2660" i="14"/>
  <c r="J1059" i="14"/>
  <c r="J514" i="14"/>
  <c r="J661" i="14"/>
  <c r="J779" i="14"/>
  <c r="J1061" i="14"/>
  <c r="J1345" i="14"/>
  <c r="J2252" i="14"/>
  <c r="J2180" i="14"/>
  <c r="J2364" i="14"/>
  <c r="J5753" i="14"/>
  <c r="J5826" i="14"/>
  <c r="J552" i="14"/>
  <c r="J704" i="14"/>
  <c r="J772" i="14"/>
  <c r="J1625" i="14"/>
  <c r="J1489" i="14"/>
  <c r="J547" i="14"/>
  <c r="J697" i="14"/>
  <c r="J780" i="14"/>
  <c r="J1065" i="14"/>
  <c r="J5293" i="14"/>
  <c r="J5333" i="14"/>
  <c r="J5381" i="14"/>
  <c r="J5409" i="14"/>
  <c r="J3207" i="14"/>
  <c r="J2088" i="14"/>
  <c r="J2265" i="14"/>
  <c r="J5723" i="14"/>
  <c r="V5803" i="14" s="1"/>
  <c r="J5797" i="14"/>
  <c r="J5835" i="14"/>
  <c r="J511" i="14"/>
  <c r="J637" i="14"/>
  <c r="J736" i="14"/>
  <c r="J5448" i="14"/>
  <c r="J5557" i="14"/>
  <c r="V5685" i="14" s="1"/>
  <c r="J5521" i="14"/>
  <c r="J1460" i="14"/>
  <c r="J917" i="14"/>
  <c r="J4524" i="14"/>
  <c r="J5321" i="14"/>
  <c r="J5735" i="14"/>
  <c r="J550" i="14"/>
  <c r="J5522" i="14"/>
  <c r="J2732" i="14"/>
  <c r="J3920" i="14"/>
  <c r="J4709" i="14"/>
  <c r="J4781" i="14"/>
  <c r="J5780" i="14"/>
  <c r="J701" i="14"/>
  <c r="J5633" i="14"/>
  <c r="J1480" i="14"/>
  <c r="J4313" i="14"/>
  <c r="J4965" i="14"/>
  <c r="J2744" i="14"/>
  <c r="J1697" i="14"/>
  <c r="J2409" i="14"/>
  <c r="J1772" i="14"/>
  <c r="J925" i="14"/>
  <c r="J1841" i="14"/>
  <c r="J1900" i="14"/>
  <c r="J2623" i="14"/>
  <c r="J1744" i="14"/>
  <c r="J2957" i="14"/>
  <c r="J1012" i="14"/>
  <c r="J5808" i="14"/>
  <c r="J5425" i="14"/>
  <c r="J5296" i="14"/>
  <c r="J5344" i="14"/>
  <c r="J5392" i="14"/>
  <c r="J5440" i="14"/>
  <c r="J2829" i="14"/>
  <c r="J2315" i="14"/>
  <c r="J1571" i="14"/>
  <c r="J1796" i="14"/>
  <c r="J5525" i="14"/>
  <c r="J5625" i="14"/>
  <c r="J5685" i="14"/>
  <c r="J5749" i="14"/>
  <c r="J5813" i="14"/>
  <c r="J4064" i="14"/>
  <c r="J2267" i="14"/>
  <c r="J2456" i="14"/>
  <c r="J5788" i="14"/>
  <c r="J512" i="14"/>
  <c r="J638" i="14"/>
  <c r="J761" i="14"/>
  <c r="J1639" i="14"/>
  <c r="J1808" i="14"/>
  <c r="J1989" i="14"/>
  <c r="J5584" i="14"/>
  <c r="J5722" i="14"/>
  <c r="J5760" i="14"/>
  <c r="J5824" i="14"/>
  <c r="J517" i="14"/>
  <c r="J2508" i="14"/>
  <c r="J2713" i="14"/>
  <c r="J5837" i="14"/>
  <c r="K5837" i="14" s="1"/>
  <c r="L5837" i="14" s="1"/>
  <c r="M5837" i="14" s="1"/>
  <c r="J513" i="14"/>
  <c r="J674" i="14"/>
  <c r="J789" i="14"/>
  <c r="J932" i="14"/>
  <c r="J5303" i="14"/>
  <c r="J5330" i="14"/>
  <c r="J2970" i="14"/>
  <c r="J1715" i="14"/>
  <c r="J1888" i="14"/>
  <c r="J5564" i="14"/>
  <c r="J5687" i="14"/>
  <c r="J5740" i="14"/>
  <c r="J5804" i="14"/>
  <c r="J352" i="14"/>
  <c r="J5546" i="14"/>
  <c r="J5781" i="14"/>
  <c r="J629" i="14"/>
  <c r="J2592" i="14"/>
  <c r="J4009" i="14"/>
  <c r="J4944" i="14"/>
  <c r="J5725" i="14"/>
  <c r="J5361" i="14"/>
  <c r="J630" i="14"/>
  <c r="J2608" i="14"/>
  <c r="J4491" i="14"/>
  <c r="J5057" i="14"/>
  <c r="J5160" i="14"/>
  <c r="J5420" i="14"/>
  <c r="J904" i="14"/>
  <c r="J1776" i="14"/>
  <c r="J5000" i="14"/>
  <c r="J4428" i="14"/>
  <c r="J5050" i="14"/>
  <c r="J4171" i="14"/>
  <c r="J5131" i="14"/>
  <c r="J5627" i="14"/>
  <c r="J5812" i="14"/>
  <c r="J5733" i="14"/>
  <c r="J5796" i="14"/>
  <c r="J5623" i="14"/>
  <c r="J1533" i="14"/>
  <c r="J5732" i="14"/>
  <c r="J353" i="14"/>
  <c r="J746" i="14"/>
  <c r="J4949" i="14"/>
  <c r="J4947" i="14" s="1"/>
  <c r="J5228" i="14"/>
  <c r="J1565" i="14"/>
  <c r="J5730" i="14"/>
  <c r="J5517" i="14"/>
  <c r="J5273" i="14"/>
  <c r="J5111" i="14"/>
  <c r="J5314" i="14"/>
  <c r="J4832" i="14"/>
  <c r="J2527" i="14"/>
  <c r="J5572" i="14"/>
  <c r="J669" i="14"/>
  <c r="J1411" i="14"/>
  <c r="J2072" i="14"/>
  <c r="J5447" i="14"/>
  <c r="J878" i="14"/>
  <c r="J2714" i="14"/>
  <c r="Q4179" i="14" l="1"/>
  <c r="Q3123" i="14"/>
  <c r="J2391" i="14"/>
  <c r="Q3779" i="14"/>
  <c r="Q3459" i="14"/>
  <c r="Q3251" i="14"/>
  <c r="Q3059" i="14"/>
  <c r="J3795" i="14"/>
  <c r="Q510" i="14"/>
  <c r="Q4483" i="14"/>
  <c r="Q507" i="14"/>
  <c r="Q1443" i="14"/>
  <c r="Q3135" i="14"/>
  <c r="J5158" i="14"/>
  <c r="Q1582" i="14"/>
  <c r="Q1859" i="14"/>
  <c r="Q3407" i="14"/>
  <c r="J4591" i="14"/>
  <c r="J2867" i="14"/>
  <c r="Q3551" i="14"/>
  <c r="Q2271" i="14"/>
  <c r="Q1566" i="14"/>
  <c r="J3379" i="14"/>
  <c r="J4998" i="14"/>
  <c r="Q1607" i="14"/>
  <c r="J4175" i="14"/>
  <c r="J4751" i="14"/>
  <c r="J2743" i="14"/>
  <c r="J4707" i="14"/>
  <c r="J3894" i="14"/>
  <c r="Q1255" i="14"/>
  <c r="J2699" i="14"/>
  <c r="J4070" i="14"/>
  <c r="J2715" i="14"/>
  <c r="J1503" i="14"/>
  <c r="J4931" i="14"/>
  <c r="J3551" i="14"/>
  <c r="J4063" i="14"/>
  <c r="J1339" i="14"/>
  <c r="J4435" i="14"/>
  <c r="J3647" i="14"/>
  <c r="J1791" i="14"/>
  <c r="J4943" i="14"/>
  <c r="J5219" i="14"/>
  <c r="Q771" i="14"/>
  <c r="J4099" i="14"/>
  <c r="Q695" i="14"/>
  <c r="Q2307" i="14"/>
  <c r="M6080" i="14"/>
  <c r="M6079" i="14" s="1"/>
  <c r="J4294" i="14"/>
  <c r="Q1615" i="14"/>
  <c r="Q3107" i="14"/>
  <c r="J3942" i="14"/>
  <c r="L6063" i="14"/>
  <c r="Q6070" i="14"/>
  <c r="J6063" i="14"/>
  <c r="K6063" i="14" s="1"/>
  <c r="M6054" i="14"/>
  <c r="Q6054" i="14"/>
  <c r="Q6067" i="14"/>
  <c r="M6071" i="14"/>
  <c r="J6067" i="14"/>
  <c r="K6067" i="14" s="1"/>
  <c r="J6054" i="14"/>
  <c r="K6054" i="14" s="1"/>
  <c r="J3251" i="14"/>
  <c r="J1543" i="14"/>
  <c r="J3359" i="14"/>
  <c r="J2911" i="14"/>
  <c r="J2835" i="14"/>
  <c r="L6067" i="14"/>
  <c r="M6068" i="14"/>
  <c r="M6067" i="14" s="1"/>
  <c r="M6064" i="14"/>
  <c r="M6063" i="14" s="1"/>
  <c r="Q6079" i="14"/>
  <c r="Q4947" i="14"/>
  <c r="J6079" i="14"/>
  <c r="K6079" i="14" s="1"/>
  <c r="Q6063" i="14"/>
  <c r="L6079" i="14"/>
  <c r="Q759" i="14"/>
  <c r="Q3379" i="14"/>
  <c r="L6054" i="14"/>
  <c r="K6052" i="14"/>
  <c r="J6051" i="14"/>
  <c r="K6051" i="14" s="1"/>
  <c r="Q6051" i="14"/>
  <c r="K6072" i="14"/>
  <c r="L6072" i="14" s="1"/>
  <c r="J6070" i="14"/>
  <c r="K6070" i="14" s="1"/>
  <c r="Q3171" i="14"/>
  <c r="Q3715" i="14"/>
  <c r="Q2394" i="14"/>
  <c r="Q1803" i="14"/>
  <c r="Q4147" i="14"/>
  <c r="Q5135" i="14"/>
  <c r="J4867" i="14"/>
  <c r="J3503" i="14"/>
  <c r="Q5699" i="14"/>
  <c r="J4275" i="14"/>
  <c r="Q3443" i="14"/>
  <c r="Q2246" i="14"/>
  <c r="Q3311" i="14"/>
  <c r="Q4387" i="14"/>
  <c r="Q2611" i="14"/>
  <c r="J3923" i="14"/>
  <c r="Q2018" i="14"/>
  <c r="J2067" i="14"/>
  <c r="J3382" i="14"/>
  <c r="J3638" i="14"/>
  <c r="J3263" i="14"/>
  <c r="J4323" i="14"/>
  <c r="J4259" i="14"/>
  <c r="J903" i="14"/>
  <c r="Q4726" i="14"/>
  <c r="J2803" i="14"/>
  <c r="Q1055" i="14"/>
  <c r="Q903" i="14"/>
  <c r="Q1506" i="14"/>
  <c r="J2915" i="14"/>
  <c r="J4723" i="14"/>
  <c r="Q1675" i="14"/>
  <c r="Q4643" i="14"/>
  <c r="J4307" i="14"/>
  <c r="Q1771" i="14"/>
  <c r="Q6019" i="14"/>
  <c r="Q5907" i="14"/>
  <c r="Q6022" i="14"/>
  <c r="Q6031" i="14"/>
  <c r="Q5910" i="14"/>
  <c r="Q5919" i="14"/>
  <c r="Q546" i="14"/>
  <c r="V5728" i="14"/>
  <c r="V5808" i="14"/>
  <c r="V5717" i="14"/>
  <c r="V5797" i="14"/>
  <c r="V5724" i="14"/>
  <c r="V5804" i="14"/>
  <c r="V5716" i="14"/>
  <c r="V5796" i="14"/>
  <c r="Q2155" i="14"/>
  <c r="Q5887" i="14"/>
  <c r="Q4435" i="14"/>
  <c r="Q4723" i="14"/>
  <c r="Q3187" i="14"/>
  <c r="Q1735" i="14"/>
  <c r="Q3302" i="14"/>
  <c r="Q2287" i="14"/>
  <c r="K5920" i="14"/>
  <c r="M5920" i="14" s="1"/>
  <c r="M5919" i="14" s="1"/>
  <c r="J5919" i="14"/>
  <c r="K5919" i="14" s="1"/>
  <c r="K5908" i="14"/>
  <c r="M5908" i="14" s="1"/>
  <c r="M5907" i="14" s="1"/>
  <c r="J5907" i="14"/>
  <c r="K5907" i="14" s="1"/>
  <c r="K6032" i="14"/>
  <c r="M6032" i="14" s="1"/>
  <c r="M6031" i="14" s="1"/>
  <c r="J6031" i="14"/>
  <c r="K6031" i="14" s="1"/>
  <c r="K5911" i="14"/>
  <c r="M5911" i="14" s="1"/>
  <c r="M5910" i="14" s="1"/>
  <c r="J5910" i="14"/>
  <c r="K5910" i="14" s="1"/>
  <c r="J6019" i="14"/>
  <c r="K6019" i="14" s="1"/>
  <c r="K6020" i="14"/>
  <c r="M6020" i="14" s="1"/>
  <c r="M6019" i="14" s="1"/>
  <c r="J6022" i="14"/>
  <c r="K6022" i="14" s="1"/>
  <c r="K6023" i="14"/>
  <c r="M6023" i="14" s="1"/>
  <c r="M6022" i="14" s="1"/>
  <c r="J3539" i="14"/>
  <c r="Q6003" i="14"/>
  <c r="J3295" i="14"/>
  <c r="J5139" i="14"/>
  <c r="V5722" i="14"/>
  <c r="K5722" i="14"/>
  <c r="V5723" i="14"/>
  <c r="K5723" i="14"/>
  <c r="U5803" i="14" s="1"/>
  <c r="J2899" i="14"/>
  <c r="Q2851" i="14"/>
  <c r="Q1067" i="14"/>
  <c r="Q2963" i="14"/>
  <c r="Q5971" i="14"/>
  <c r="Q4127" i="14"/>
  <c r="Q5763" i="14"/>
  <c r="Q3763" i="14"/>
  <c r="Q5923" i="14"/>
  <c r="Q5251" i="14"/>
  <c r="Q6015" i="14"/>
  <c r="Q3411" i="14"/>
  <c r="Q2563" i="14"/>
  <c r="Q5635" i="14"/>
  <c r="Q5967" i="14"/>
  <c r="J3206" i="14"/>
  <c r="J2727" i="14"/>
  <c r="J4691" i="14"/>
  <c r="Q4259" i="14"/>
  <c r="Q2063" i="14"/>
  <c r="J3123" i="14"/>
  <c r="Q4415" i="14"/>
  <c r="Q3731" i="14"/>
  <c r="Q1459" i="14"/>
  <c r="Q5654" i="14"/>
  <c r="Q4239" i="14"/>
  <c r="Q3663" i="14"/>
  <c r="J2895" i="14"/>
  <c r="Q5935" i="14"/>
  <c r="Q5647" i="14"/>
  <c r="Q5983" i="14"/>
  <c r="Q5951" i="14"/>
  <c r="J4147" i="14"/>
  <c r="Q1555" i="14"/>
  <c r="Q6035" i="14"/>
  <c r="Q5939" i="14"/>
  <c r="Q5651" i="14"/>
  <c r="Q5775" i="14"/>
  <c r="Q3247" i="14"/>
  <c r="Q1058" i="14"/>
  <c r="Q2359" i="14"/>
  <c r="Q1839" i="14"/>
  <c r="Q1827" i="14"/>
  <c r="Q4675" i="14"/>
  <c r="Q6038" i="14"/>
  <c r="Q6047" i="14"/>
  <c r="Q5999" i="14"/>
  <c r="Q5958" i="14"/>
  <c r="Q5942" i="14"/>
  <c r="Q2699" i="14"/>
  <c r="Q698" i="14"/>
  <c r="Q775" i="14"/>
  <c r="Q5702" i="14"/>
  <c r="Q5955" i="14"/>
  <c r="Q5974" i="14"/>
  <c r="Q6006" i="14"/>
  <c r="Q3027" i="14"/>
  <c r="Q5663" i="14"/>
  <c r="Q5987" i="14"/>
  <c r="Q5990" i="14"/>
  <c r="M6036" i="14"/>
  <c r="J2635" i="14"/>
  <c r="Q2194" i="14"/>
  <c r="Q2955" i="14"/>
  <c r="Q5766" i="14"/>
  <c r="Q4883" i="14"/>
  <c r="Q5103" i="14"/>
  <c r="Q3647" i="14"/>
  <c r="J3315" i="14"/>
  <c r="Q1163" i="14"/>
  <c r="Q5926" i="14"/>
  <c r="Q5711" i="14"/>
  <c r="L5638" i="14"/>
  <c r="L6035" i="14"/>
  <c r="M6039" i="14"/>
  <c r="Q5638" i="14"/>
  <c r="J6035" i="14"/>
  <c r="K6035" i="14" s="1"/>
  <c r="L6038" i="14"/>
  <c r="Q3231" i="14"/>
  <c r="J6038" i="14"/>
  <c r="K6038" i="14" s="1"/>
  <c r="Q1647" i="14"/>
  <c r="Q4191" i="14"/>
  <c r="K6048" i="14"/>
  <c r="J6047" i="14"/>
  <c r="K6047" i="14" s="1"/>
  <c r="J5187" i="14"/>
  <c r="Q4691" i="14"/>
  <c r="Q5747" i="14"/>
  <c r="Q5539" i="14"/>
  <c r="Q5203" i="14"/>
  <c r="Q2991" i="14"/>
  <c r="Q2759" i="14"/>
  <c r="Q3215" i="14"/>
  <c r="Q2002" i="14"/>
  <c r="Q1643" i="14"/>
  <c r="Q3567" i="14"/>
  <c r="Q2695" i="14"/>
  <c r="Q543" i="14"/>
  <c r="Q3699" i="14"/>
  <c r="Q1595" i="14"/>
  <c r="J4739" i="14"/>
  <c r="J3030" i="14"/>
  <c r="J4771" i="14"/>
  <c r="J5427" i="14"/>
  <c r="L5935" i="14"/>
  <c r="K5664" i="14"/>
  <c r="L5664" i="14" s="1"/>
  <c r="L5663" i="14" s="1"/>
  <c r="J5663" i="14"/>
  <c r="K5663" i="14" s="1"/>
  <c r="J6006" i="14"/>
  <c r="K6006" i="14" s="1"/>
  <c r="K6007" i="14"/>
  <c r="L6007" i="14" s="1"/>
  <c r="L6006" i="14" s="1"/>
  <c r="J5923" i="14"/>
  <c r="K5923" i="14" s="1"/>
  <c r="K5924" i="14"/>
  <c r="L5924" i="14" s="1"/>
  <c r="L5923" i="14" s="1"/>
  <c r="K5764" i="14"/>
  <c r="L5764" i="14" s="1"/>
  <c r="L5763" i="14" s="1"/>
  <c r="J5763" i="14"/>
  <c r="K5763" i="14" s="1"/>
  <c r="K5767" i="14"/>
  <c r="L5767" i="14" s="1"/>
  <c r="L5766" i="14" s="1"/>
  <c r="J5766" i="14"/>
  <c r="K5766" i="14" s="1"/>
  <c r="K5652" i="14"/>
  <c r="L5652" i="14" s="1"/>
  <c r="L5651" i="14" s="1"/>
  <c r="J5651" i="14"/>
  <c r="K5651" i="14" s="1"/>
  <c r="J5635" i="14"/>
  <c r="K5635" i="14" s="1"/>
  <c r="K5636" i="14"/>
  <c r="L5636" i="14" s="1"/>
  <c r="L5635" i="14" s="1"/>
  <c r="L5659" i="14"/>
  <c r="L5654" i="14" s="1"/>
  <c r="J5935" i="14"/>
  <c r="K5935" i="14" s="1"/>
  <c r="M5643" i="14"/>
  <c r="K5655" i="14"/>
  <c r="M5655" i="14" s="1"/>
  <c r="J5654" i="14"/>
  <c r="K5654" i="14" s="1"/>
  <c r="K5712" i="14"/>
  <c r="L5712" i="14" s="1"/>
  <c r="L5711" i="14" s="1"/>
  <c r="J5711" i="14"/>
  <c r="K5711" i="14" s="1"/>
  <c r="J5647" i="14"/>
  <c r="K5647" i="14" s="1"/>
  <c r="J5699" i="14"/>
  <c r="K5699" i="14" s="1"/>
  <c r="K5700" i="14"/>
  <c r="L5699" i="14" s="1"/>
  <c r="J5987" i="14"/>
  <c r="K5987" i="14" s="1"/>
  <c r="K5988" i="14"/>
  <c r="L5988" i="14" s="1"/>
  <c r="L5987" i="14" s="1"/>
  <c r="L5707" i="14"/>
  <c r="L5702" i="14" s="1"/>
  <c r="L6003" i="14"/>
  <c r="J6003" i="14"/>
  <c r="K6003" i="14" s="1"/>
  <c r="K5639" i="14"/>
  <c r="M5639" i="14" s="1"/>
  <c r="J5638" i="14"/>
  <c r="K5638" i="14" s="1"/>
  <c r="K5776" i="14"/>
  <c r="L5776" i="14" s="1"/>
  <c r="L5775" i="14" s="1"/>
  <c r="J5775" i="14"/>
  <c r="K5775" i="14" s="1"/>
  <c r="K5991" i="14"/>
  <c r="J5990" i="14"/>
  <c r="K5990" i="14" s="1"/>
  <c r="J5999" i="14"/>
  <c r="K5999" i="14" s="1"/>
  <c r="K6000" i="14"/>
  <c r="J5926" i="14"/>
  <c r="K5926" i="14" s="1"/>
  <c r="K5927" i="14"/>
  <c r="L5927" i="14" s="1"/>
  <c r="L5926" i="14" s="1"/>
  <c r="J6015" i="14"/>
  <c r="K6015" i="14" s="1"/>
  <c r="K6016" i="14"/>
  <c r="L6016" i="14" s="1"/>
  <c r="L6015" i="14" s="1"/>
  <c r="J5702" i="14"/>
  <c r="K5702" i="14" s="1"/>
  <c r="M5936" i="14"/>
  <c r="M6004" i="14"/>
  <c r="M6003" i="14" s="1"/>
  <c r="M5648" i="14"/>
  <c r="M5647" i="14" s="1"/>
  <c r="V5802" i="14"/>
  <c r="K5802" i="14"/>
  <c r="Q3875" i="14"/>
  <c r="Q1194" i="14"/>
  <c r="J3782" i="14"/>
  <c r="Q743" i="14"/>
  <c r="Q5235" i="14"/>
  <c r="Q1014" i="14"/>
  <c r="Q2579" i="14"/>
  <c r="Q1650" i="14"/>
  <c r="J3670" i="14"/>
  <c r="J2995" i="14"/>
  <c r="Q3503" i="14"/>
  <c r="Q4403" i="14"/>
  <c r="Q1767" i="14"/>
  <c r="Q2663" i="14"/>
  <c r="Q3587" i="14"/>
  <c r="Q2103" i="14"/>
  <c r="Q4159" i="14"/>
  <c r="J3807" i="14"/>
  <c r="J5007" i="14"/>
  <c r="J2475" i="14"/>
  <c r="J4271" i="14"/>
  <c r="J3183" i="14"/>
  <c r="J3635" i="14"/>
  <c r="Q4175" i="14"/>
  <c r="Q2227" i="14"/>
  <c r="Q3299" i="14"/>
  <c r="Q1291" i="14"/>
  <c r="J3651" i="14"/>
  <c r="Q5110" i="14"/>
  <c r="Q762" i="14"/>
  <c r="Q2775" i="14"/>
  <c r="Q2478" i="14"/>
  <c r="Q2566" i="14"/>
  <c r="Q3222" i="14"/>
  <c r="Q3263" i="14"/>
  <c r="Q1102" i="14"/>
  <c r="Q2943" i="14"/>
  <c r="Q5315" i="14"/>
  <c r="Q4771" i="14"/>
  <c r="Q623" i="14"/>
  <c r="Q4246" i="14"/>
  <c r="Q1726" i="14"/>
  <c r="Q3382" i="14"/>
  <c r="J2879" i="14"/>
  <c r="J771" i="14"/>
  <c r="J3718" i="14"/>
  <c r="J4527" i="14"/>
  <c r="J4438" i="14"/>
  <c r="J2087" i="14"/>
  <c r="J2103" i="14"/>
  <c r="J3971" i="14"/>
  <c r="J3567" i="14"/>
  <c r="Q2034" i="14"/>
  <c r="Q2743" i="14"/>
  <c r="Q5011" i="14"/>
  <c r="Q1434" i="14"/>
  <c r="Q2255" i="14"/>
  <c r="Q4019" i="14"/>
  <c r="J3043" i="14"/>
  <c r="J3590" i="14"/>
  <c r="J4543" i="14"/>
  <c r="J3103" i="14"/>
  <c r="J3407" i="14"/>
  <c r="Q2966" i="14"/>
  <c r="Q3686" i="14"/>
  <c r="Q4803" i="14"/>
  <c r="Q2927" i="14"/>
  <c r="Q4163" i="14"/>
  <c r="Q4035" i="14"/>
  <c r="Q2854" i="14"/>
  <c r="Q4671" i="14"/>
  <c r="Q4431" i="14"/>
  <c r="J4031" i="14"/>
  <c r="J5695" i="14"/>
  <c r="J4783" i="14"/>
  <c r="J3283" i="14"/>
  <c r="J3007" i="14"/>
  <c r="J3663" i="14"/>
  <c r="J863" i="14"/>
  <c r="J4054" i="14"/>
  <c r="J3734" i="14"/>
  <c r="J5167" i="14"/>
  <c r="J3967" i="14"/>
  <c r="J4547" i="14"/>
  <c r="J3475" i="14"/>
  <c r="Q4979" i="14"/>
  <c r="Q3990" i="14"/>
  <c r="Q1503" i="14"/>
  <c r="Q2867" i="14"/>
  <c r="Q3571" i="14"/>
  <c r="Q5535" i="14"/>
  <c r="Q5779" i="14"/>
  <c r="Q3782" i="14"/>
  <c r="Q4195" i="14"/>
  <c r="Q2683" i="14"/>
  <c r="J5347" i="14"/>
  <c r="J347" i="14"/>
  <c r="J3155" i="14"/>
  <c r="J3267" i="14"/>
  <c r="J4355" i="14"/>
  <c r="Q2262" i="14"/>
  <c r="Q5062" i="14"/>
  <c r="Q5267" i="14"/>
  <c r="Q4755" i="14"/>
  <c r="Q4271" i="14"/>
  <c r="J3558" i="14"/>
  <c r="J5055" i="14"/>
  <c r="J1771" i="14"/>
  <c r="J3919" i="14"/>
  <c r="J4518" i="14"/>
  <c r="J3046" i="14"/>
  <c r="J4102" i="14"/>
  <c r="J4675" i="14"/>
  <c r="J4358" i="14"/>
  <c r="J3763" i="14"/>
  <c r="J3779" i="14"/>
  <c r="J3999" i="14"/>
  <c r="J2975" i="14"/>
  <c r="J4211" i="14"/>
  <c r="J2663" i="14"/>
  <c r="Q5158" i="14"/>
  <c r="Q2327" i="14"/>
  <c r="Q4150" i="14"/>
  <c r="Q1659" i="14"/>
  <c r="Q4511" i="14"/>
  <c r="Q2979" i="14"/>
  <c r="Q5891" i="14"/>
  <c r="Q3939" i="14"/>
  <c r="Q3039" i="14"/>
  <c r="J4291" i="14"/>
  <c r="J3814" i="14"/>
  <c r="J3743" i="14"/>
  <c r="J2979" i="14"/>
  <c r="J4431" i="14"/>
  <c r="J3990" i="14"/>
  <c r="J5391" i="14"/>
  <c r="Q3606" i="14"/>
  <c r="Q3155" i="14"/>
  <c r="Q3219" i="14"/>
  <c r="Q906" i="14"/>
  <c r="Q2822" i="14"/>
  <c r="Q662" i="14"/>
  <c r="Q3395" i="14"/>
  <c r="J1947" i="14"/>
  <c r="J4239" i="14"/>
  <c r="Q5094" i="14"/>
  <c r="Q2298" i="14"/>
  <c r="Q3235" i="14"/>
  <c r="Q5247" i="14"/>
  <c r="Q5443" i="14"/>
  <c r="Q2191" i="14"/>
  <c r="Q5327" i="14"/>
  <c r="Q2546" i="14"/>
  <c r="Q2519" i="14"/>
  <c r="Q5507" i="14"/>
  <c r="J5439" i="14"/>
  <c r="J3903" i="14"/>
  <c r="J5091" i="14"/>
  <c r="Q5286" i="14"/>
  <c r="Q2766" i="14"/>
  <c r="Q2806" i="14"/>
  <c r="Q2582" i="14"/>
  <c r="Q2243" i="14"/>
  <c r="Q2031" i="14"/>
  <c r="Q1243" i="14"/>
  <c r="J2799" i="14"/>
  <c r="Q2311" i="14"/>
  <c r="J3151" i="14"/>
  <c r="J4447" i="14"/>
  <c r="J4911" i="14"/>
  <c r="J3939" i="14"/>
  <c r="J4115" i="14"/>
  <c r="Q5759" i="14"/>
  <c r="J5247" i="14"/>
  <c r="J3014" i="14"/>
  <c r="Q4639" i="14"/>
  <c r="Q3871" i="14"/>
  <c r="J2507" i="14"/>
  <c r="J4127" i="14"/>
  <c r="Q5039" i="14"/>
  <c r="Q4399" i="14"/>
  <c r="Q2043" i="14"/>
  <c r="Q4054" i="14"/>
  <c r="Q3046" i="14"/>
  <c r="Q3071" i="14"/>
  <c r="J3439" i="14"/>
  <c r="J2991" i="14"/>
  <c r="Q2535" i="14"/>
  <c r="Q2443" i="14"/>
  <c r="Q5215" i="14"/>
  <c r="J5087" i="14"/>
  <c r="J2763" i="14"/>
  <c r="Q4038" i="14"/>
  <c r="Q2750" i="14"/>
  <c r="Q2339" i="14"/>
  <c r="Q3030" i="14"/>
  <c r="Q3603" i="14"/>
  <c r="Q3855" i="14"/>
  <c r="Q519" i="14"/>
  <c r="Q4815" i="14"/>
  <c r="Q2387" i="14"/>
  <c r="J4191" i="14"/>
  <c r="Q4627" i="14"/>
  <c r="Q5875" i="14"/>
  <c r="Q5379" i="14"/>
  <c r="J3683" i="14"/>
  <c r="Q4083" i="14"/>
  <c r="Q3935" i="14"/>
  <c r="Q3286" i="14"/>
  <c r="Q5027" i="14"/>
  <c r="J2819" i="14"/>
  <c r="Q4086" i="14"/>
  <c r="J4598" i="14"/>
  <c r="Q4067" i="14"/>
  <c r="Q1222" i="14"/>
  <c r="Q2975" i="14"/>
  <c r="J2155" i="14"/>
  <c r="J3334" i="14"/>
  <c r="J5014" i="14"/>
  <c r="Q3539" i="14"/>
  <c r="Q4687" i="14"/>
  <c r="Q3238" i="14"/>
  <c r="Q1487" i="14"/>
  <c r="Q3075" i="14"/>
  <c r="Q3695" i="14"/>
  <c r="Q4579" i="14"/>
  <c r="Q5363" i="14"/>
  <c r="Q5583" i="14"/>
  <c r="Q1023" i="14"/>
  <c r="Q2526" i="14"/>
  <c r="Q5491" i="14"/>
  <c r="J1983" i="14"/>
  <c r="J4595" i="14"/>
  <c r="Q4278" i="14"/>
  <c r="Q1902" i="14"/>
  <c r="Q3791" i="14"/>
  <c r="Q1703" i="14"/>
  <c r="Q626" i="14"/>
  <c r="Q3139" i="14"/>
  <c r="Q2715" i="14"/>
  <c r="Q1947" i="14"/>
  <c r="Q1339" i="14"/>
  <c r="Q3683" i="14"/>
  <c r="Q4559" i="14"/>
  <c r="Q2378" i="14"/>
  <c r="Q2027" i="14"/>
  <c r="Q4662" i="14"/>
  <c r="Q1598" i="14"/>
  <c r="J2135" i="14"/>
  <c r="J4627" i="14"/>
  <c r="Q2070" i="14"/>
  <c r="Q3078" i="14"/>
  <c r="Q4703" i="14"/>
  <c r="Q4879" i="14"/>
  <c r="Q4847" i="14"/>
  <c r="Q5270" i="14"/>
  <c r="Q659" i="14"/>
  <c r="Q5903" i="14"/>
  <c r="L5964" i="14"/>
  <c r="M5964" i="14" s="1"/>
  <c r="J5971" i="14"/>
  <c r="K5971" i="14" s="1"/>
  <c r="K5972" i="14"/>
  <c r="J5955" i="14"/>
  <c r="K5955" i="14" s="1"/>
  <c r="K5956" i="14"/>
  <c r="Q1490" i="14"/>
  <c r="Q5199" i="14"/>
  <c r="L5981" i="14"/>
  <c r="M5981" i="14" s="1"/>
  <c r="J5983" i="14"/>
  <c r="K5983" i="14" s="1"/>
  <c r="K5984" i="14"/>
  <c r="J5967" i="14"/>
  <c r="K5967" i="14" s="1"/>
  <c r="K5968" i="14"/>
  <c r="Q2995" i="14"/>
  <c r="J5974" i="14"/>
  <c r="K5974" i="14" s="1"/>
  <c r="J5958" i="14"/>
  <c r="K5958" i="14" s="1"/>
  <c r="J1887" i="14"/>
  <c r="Q2278" i="14"/>
  <c r="Q2543" i="14"/>
  <c r="Q4198" i="14"/>
  <c r="Q3923" i="14"/>
  <c r="Q5391" i="14"/>
  <c r="Q2982" i="14"/>
  <c r="Q5190" i="14"/>
  <c r="J1403" i="14"/>
  <c r="J2851" i="14"/>
  <c r="J1459" i="14"/>
  <c r="J5110" i="14"/>
  <c r="J3027" i="14"/>
  <c r="Q3206" i="14"/>
  <c r="Q2119" i="14"/>
  <c r="Q1878" i="14"/>
  <c r="Q1807" i="14"/>
  <c r="Q5455" i="14"/>
  <c r="Q4495" i="14"/>
  <c r="Q2734" i="14"/>
  <c r="Q5791" i="14"/>
  <c r="Q5046" i="14"/>
  <c r="Q1755" i="14"/>
  <c r="Q4102" i="14"/>
  <c r="Q3094" i="14"/>
  <c r="Q1263" i="14"/>
  <c r="Q4355" i="14"/>
  <c r="Q2011" i="14"/>
  <c r="Q3846" i="14"/>
  <c r="Q1415" i="14"/>
  <c r="Q3615" i="14"/>
  <c r="Q2330" i="14"/>
  <c r="Q1783" i="14"/>
  <c r="Q3750" i="14"/>
  <c r="Q1758" i="14"/>
  <c r="Q5411" i="14"/>
  <c r="Q4467" i="14"/>
  <c r="Q5587" i="14"/>
  <c r="Q2591" i="14"/>
  <c r="Q3471" i="14"/>
  <c r="Q4422" i="14"/>
  <c r="Q1282" i="14"/>
  <c r="Q5727" i="14"/>
  <c r="Q5475" i="14"/>
  <c r="Q2819" i="14"/>
  <c r="Q3635" i="14"/>
  <c r="Q1279" i="14"/>
  <c r="Q1431" i="14"/>
  <c r="Q4115" i="14"/>
  <c r="Q3843" i="14"/>
  <c r="Q1810" i="14"/>
  <c r="Q3315" i="14"/>
  <c r="Q5078" i="14"/>
  <c r="Q3254" i="14"/>
  <c r="Q1450" i="14"/>
  <c r="Q1166" i="14"/>
  <c r="Q4531" i="14"/>
  <c r="Q1899" i="14"/>
  <c r="Q4371" i="14"/>
  <c r="Q350" i="14"/>
  <c r="Q4166" i="14"/>
  <c r="Q1634" i="14"/>
  <c r="Q1403" i="14"/>
  <c r="Q1983" i="14"/>
  <c r="Q4575" i="14"/>
  <c r="Q4547" i="14"/>
  <c r="Q1871" i="14"/>
  <c r="Q2122" i="14"/>
  <c r="Q4070" i="14"/>
  <c r="Q1499" i="14"/>
  <c r="Q4047" i="14"/>
  <c r="Q4294" i="14"/>
  <c r="Q4499" i="14"/>
  <c r="Q3318" i="14"/>
  <c r="Q3862" i="14"/>
  <c r="Q3542" i="14"/>
  <c r="Q5350" i="14"/>
  <c r="Q5503" i="14"/>
  <c r="Q2627" i="14"/>
  <c r="Q3199" i="14"/>
  <c r="Q2427" i="14"/>
  <c r="Q1967" i="14"/>
  <c r="Q5462" i="14"/>
  <c r="Q3983" i="14"/>
  <c r="Q4351" i="14"/>
  <c r="Q5823" i="14"/>
  <c r="Q2654" i="14"/>
  <c r="Q5558" i="14"/>
  <c r="Q5398" i="14"/>
  <c r="Q4339" i="14"/>
  <c r="Q5414" i="14"/>
  <c r="Q5459" i="14"/>
  <c r="Q3366" i="14"/>
  <c r="Q2911" i="14"/>
  <c r="Q5382" i="14"/>
  <c r="Q2899" i="14"/>
  <c r="Q5846" i="14"/>
  <c r="Q4419" i="14"/>
  <c r="Q922" i="14"/>
  <c r="Q3734" i="14"/>
  <c r="Q3167" i="14"/>
  <c r="Q3334" i="14"/>
  <c r="Q3446" i="14"/>
  <c r="Q2835" i="14"/>
  <c r="Q1918" i="14"/>
  <c r="Q2015" i="14"/>
  <c r="Q1959" i="14"/>
  <c r="Q1739" i="14"/>
  <c r="Q3427" i="14"/>
  <c r="Q1691" i="14"/>
  <c r="Q3951" i="14"/>
  <c r="Q778" i="14"/>
  <c r="Q3919" i="14"/>
  <c r="Q3670" i="14"/>
  <c r="Q3279" i="14"/>
  <c r="Q931" i="14"/>
  <c r="Q3910" i="14"/>
  <c r="Q3359" i="14"/>
  <c r="Q4230" i="14"/>
  <c r="Q5619" i="14"/>
  <c r="Q2946" i="14"/>
  <c r="Q1943" i="14"/>
  <c r="Q4006" i="14"/>
  <c r="Q3974" i="14"/>
  <c r="Q3903" i="14"/>
  <c r="Q1631" i="14"/>
  <c r="Q3718" i="14"/>
  <c r="Q1099" i="14"/>
  <c r="K5943" i="14"/>
  <c r="J5942" i="14"/>
  <c r="K5942" i="14" s="1"/>
  <c r="Q2494" i="14"/>
  <c r="Q1527" i="14"/>
  <c r="Q2407" i="14"/>
  <c r="Q5843" i="14"/>
  <c r="Q5311" i="14"/>
  <c r="Q2230" i="14"/>
  <c r="Q2362" i="14"/>
  <c r="Q3091" i="14"/>
  <c r="Q5055" i="14"/>
  <c r="Q5238" i="14"/>
  <c r="Q3599" i="14"/>
  <c r="Q3494" i="14"/>
  <c r="Q2602" i="14"/>
  <c r="Q2838" i="14"/>
  <c r="Q4131" i="14"/>
  <c r="Q4223" i="14"/>
  <c r="Q3007" i="14"/>
  <c r="Q2430" i="14"/>
  <c r="Q5862" i="14"/>
  <c r="Q4323" i="14"/>
  <c r="Q4326" i="14"/>
  <c r="Q5030" i="14"/>
  <c r="Q5567" i="14"/>
  <c r="Q5814" i="14"/>
  <c r="Q4214" i="14"/>
  <c r="Q5871" i="14"/>
  <c r="Q4207" i="14"/>
  <c r="Q4390" i="14"/>
  <c r="Q5395" i="14"/>
  <c r="Q5423" i="14"/>
  <c r="Q2371" i="14"/>
  <c r="Q4287" i="14"/>
  <c r="Q2167" i="14"/>
  <c r="Q4143" i="14"/>
  <c r="Q2203" i="14"/>
  <c r="Q4319" i="14"/>
  <c r="Q2183" i="14"/>
  <c r="Q3967" i="14"/>
  <c r="Q2090" i="14"/>
  <c r="Q2054" i="14"/>
  <c r="Q707" i="14"/>
  <c r="Q3475" i="14"/>
  <c r="Q2618" i="14"/>
  <c r="Q3907" i="14"/>
  <c r="Q3955" i="14"/>
  <c r="Q1855" i="14"/>
  <c r="Q2799" i="14"/>
  <c r="Q3523" i="14"/>
  <c r="Q1543" i="14"/>
  <c r="Q4095" i="14"/>
  <c r="Q1986" i="14"/>
  <c r="Q5798" i="14"/>
  <c r="Q2998" i="14"/>
  <c r="Q3631" i="14"/>
  <c r="Q3350" i="14"/>
  <c r="Q2679" i="14"/>
  <c r="Q5830" i="14"/>
  <c r="Q5827" i="14" s="1"/>
  <c r="Q5302" i="14"/>
  <c r="Q2147" i="14"/>
  <c r="Q2131" i="14"/>
  <c r="Q2487" i="14"/>
  <c r="Q4211" i="14"/>
  <c r="Q5743" i="14"/>
  <c r="Q1819" i="14"/>
  <c r="Q3747" i="14"/>
  <c r="Q2883" i="14"/>
  <c r="Q1999" i="14"/>
  <c r="Q5878" i="14"/>
  <c r="Q5151" i="14"/>
  <c r="Q3295" i="14"/>
  <c r="Q1175" i="14"/>
  <c r="Q1447" i="14"/>
  <c r="Q4307" i="14"/>
  <c r="Q3987" i="14"/>
  <c r="Q4003" i="14"/>
  <c r="Q5471" i="14"/>
  <c r="Q5679" i="14"/>
  <c r="Q4342" i="14"/>
  <c r="Q5599" i="14"/>
  <c r="Q5407" i="14"/>
  <c r="Q5187" i="14"/>
  <c r="Q4367" i="14"/>
  <c r="Q2106" i="14"/>
  <c r="Q3126" i="14"/>
  <c r="Q2915" i="14"/>
  <c r="Q5590" i="14"/>
  <c r="Q5375" i="14"/>
  <c r="Q2115" i="14"/>
  <c r="Q5718" i="14"/>
  <c r="Q5686" i="14"/>
  <c r="Q2439" i="14"/>
  <c r="Q1846" i="14"/>
  <c r="Q5254" i="14"/>
  <c r="Q1927" i="14"/>
  <c r="Q3462" i="14"/>
  <c r="Q1546" i="14"/>
  <c r="Q2886" i="14"/>
  <c r="Q3775" i="14"/>
  <c r="Q359" i="14"/>
  <c r="Q3814" i="14"/>
  <c r="Q3894" i="14"/>
  <c r="Q3798" i="14"/>
  <c r="Q3711" i="14"/>
  <c r="Q3942" i="14"/>
  <c r="Q1970" i="14"/>
  <c r="Q1694" i="14"/>
  <c r="Q2259" i="14"/>
  <c r="Q3535" i="14"/>
  <c r="Q2895" i="14"/>
  <c r="Q2667" i="14"/>
  <c r="L5941" i="14"/>
  <c r="M5941" i="14" s="1"/>
  <c r="K5940" i="14"/>
  <c r="J5939" i="14"/>
  <c r="K5939" i="14" s="1"/>
  <c r="L5948" i="14"/>
  <c r="M5948" i="14" s="1"/>
  <c r="Q3971" i="14"/>
  <c r="Q5683" i="14"/>
  <c r="Q3878" i="14"/>
  <c r="Q3891" i="14"/>
  <c r="L5953" i="14"/>
  <c r="M5953" i="14" s="1"/>
  <c r="Q3347" i="14"/>
  <c r="Q4255" i="14"/>
  <c r="Q5279" i="14"/>
  <c r="Q1406" i="14"/>
  <c r="Q1995" i="14"/>
  <c r="Q5446" i="14"/>
  <c r="Q5119" i="14"/>
  <c r="Q4374" i="14"/>
  <c r="Q2462" i="14"/>
  <c r="Q2902" i="14"/>
  <c r="Q3327" i="14"/>
  <c r="Q5263" i="14"/>
  <c r="Q1203" i="14"/>
  <c r="Q5123" i="14"/>
  <c r="Q5043" i="14"/>
  <c r="Q3119" i="14"/>
  <c r="Q2803" i="14"/>
  <c r="Q5430" i="14"/>
  <c r="Q1794" i="14"/>
  <c r="Q5750" i="14"/>
  <c r="Q5839" i="14"/>
  <c r="Q5183" i="14"/>
  <c r="Q5731" i="14"/>
  <c r="Q5782" i="14"/>
  <c r="Q2638" i="14"/>
  <c r="Q5487" i="14"/>
  <c r="Q5343" i="14"/>
  <c r="Q4358" i="14"/>
  <c r="Q3526" i="14"/>
  <c r="Q3766" i="14"/>
  <c r="Q3887" i="14"/>
  <c r="Q1471" i="14"/>
  <c r="Q1191" i="14"/>
  <c r="Q3478" i="14"/>
  <c r="Q4310" i="14"/>
  <c r="Q1591" i="14"/>
  <c r="Q1950" i="14"/>
  <c r="Q3151" i="14"/>
  <c r="L5945" i="14"/>
  <c r="M5945" i="14" s="1"/>
  <c r="Q3398" i="14"/>
  <c r="Q1751" i="14"/>
  <c r="Q3999" i="14"/>
  <c r="Q787" i="14"/>
  <c r="Q1774" i="14"/>
  <c r="Q2831" i="14"/>
  <c r="Q731" i="14"/>
  <c r="Q5670" i="14"/>
  <c r="Q5667" i="14"/>
  <c r="Q2711" i="14"/>
  <c r="Q3487" i="14"/>
  <c r="Q555" i="14"/>
  <c r="Q2475" i="14"/>
  <c r="L5947" i="14"/>
  <c r="M5947" i="14" s="1"/>
  <c r="Q1934" i="14"/>
  <c r="Q5299" i="14"/>
  <c r="Q5075" i="14"/>
  <c r="Q5478" i="14"/>
  <c r="Q2787" i="14"/>
  <c r="Q2410" i="14"/>
  <c r="Q1231" i="14"/>
  <c r="Q2471" i="14"/>
  <c r="Q4383" i="14"/>
  <c r="Q2455" i="14"/>
  <c r="Q5494" i="14"/>
  <c r="Q5603" i="14"/>
  <c r="Q5574" i="14"/>
  <c r="Q1275" i="14"/>
  <c r="Q1111" i="14"/>
  <c r="Q2879" i="14"/>
  <c r="Q5283" i="14"/>
  <c r="Q1887" i="14"/>
  <c r="Q1875" i="14"/>
  <c r="Q1687" i="14"/>
  <c r="Q5622" i="14"/>
  <c r="Q5142" i="14"/>
  <c r="Q5126" i="14"/>
  <c r="Q4015" i="14"/>
  <c r="Q5807" i="14"/>
  <c r="Q4134" i="14"/>
  <c r="Q5366" i="14"/>
  <c r="Q5519" i="14"/>
  <c r="Q5615" i="14"/>
  <c r="Q5795" i="14"/>
  <c r="Q5859" i="14"/>
  <c r="Q2503" i="14"/>
  <c r="Q5510" i="14"/>
  <c r="Q5571" i="14"/>
  <c r="Q5542" i="14"/>
  <c r="Q1266" i="14"/>
  <c r="Q2647" i="14"/>
  <c r="Q1530" i="14"/>
  <c r="Q2686" i="14"/>
  <c r="Q5318" i="14"/>
  <c r="Q5087" i="14"/>
  <c r="Q3622" i="14"/>
  <c r="Q3331" i="14"/>
  <c r="Q2158" i="14"/>
  <c r="Q3926" i="14"/>
  <c r="Q3702" i="14"/>
  <c r="Q3014" i="14"/>
  <c r="Q1742" i="14"/>
  <c r="Q3667" i="14"/>
  <c r="Q3811" i="14"/>
  <c r="Q3619" i="14"/>
  <c r="Q3743" i="14"/>
  <c r="Q3430" i="14"/>
  <c r="Q5734" i="14"/>
  <c r="Q2847" i="14"/>
  <c r="Q3558" i="14"/>
  <c r="Q4735" i="14"/>
  <c r="Q5526" i="14"/>
  <c r="Q5171" i="14"/>
  <c r="Q4406" i="14"/>
  <c r="Q347" i="14"/>
  <c r="Q5059" i="14"/>
  <c r="Q5174" i="14"/>
  <c r="Q2067" i="14"/>
  <c r="L5949" i="14"/>
  <c r="M5949" i="14" s="1"/>
  <c r="Q1723" i="14"/>
  <c r="Q4303" i="14"/>
  <c r="Q5606" i="14"/>
  <c r="Q2747" i="14"/>
  <c r="Q3174" i="14"/>
  <c r="Q3651" i="14"/>
  <c r="Q2079" i="14"/>
  <c r="Q2138" i="14"/>
  <c r="Q3638" i="14"/>
  <c r="Q5855" i="14"/>
  <c r="Q4063" i="14"/>
  <c r="Q5222" i="14"/>
  <c r="Q5894" i="14"/>
  <c r="Q4079" i="14"/>
  <c r="Q5206" i="14"/>
  <c r="Q1539" i="14"/>
  <c r="Q5715" i="14"/>
  <c r="Q5439" i="14"/>
  <c r="Q4275" i="14"/>
  <c r="Q5811" i="14"/>
  <c r="Q4118" i="14"/>
  <c r="Q2790" i="14"/>
  <c r="Q3011" i="14"/>
  <c r="Q1911" i="14"/>
  <c r="Q3455" i="14"/>
  <c r="Q2615" i="14"/>
  <c r="Q3823" i="14"/>
  <c r="Q3583" i="14"/>
  <c r="Q3158" i="14"/>
  <c r="Q1915" i="14"/>
  <c r="Q3023" i="14"/>
  <c r="Q3958" i="14"/>
  <c r="Q734" i="14"/>
  <c r="Q5359" i="14"/>
  <c r="Q2670" i="14"/>
  <c r="Q915" i="14"/>
  <c r="Q3679" i="14"/>
  <c r="Q635" i="14"/>
  <c r="Q919" i="14"/>
  <c r="Q3439" i="14"/>
  <c r="Q3795" i="14"/>
  <c r="L5954" i="14"/>
  <c r="M5954" i="14" s="1"/>
  <c r="Q3555" i="14"/>
  <c r="Q1979" i="14"/>
  <c r="K5952" i="14"/>
  <c r="J5951" i="14"/>
  <c r="K5951" i="14" s="1"/>
  <c r="Q3203" i="14"/>
  <c r="Q4335" i="14"/>
  <c r="Q2051" i="14"/>
  <c r="Q2459" i="14"/>
  <c r="Q1627" i="14"/>
  <c r="Q3142" i="14"/>
  <c r="Q2099" i="14"/>
  <c r="Q3807" i="14"/>
  <c r="Q2763" i="14"/>
  <c r="Q2419" i="14"/>
  <c r="Q4099" i="14"/>
  <c r="Q1474" i="14"/>
  <c r="Q1791" i="14"/>
  <c r="Q5631" i="14"/>
  <c r="L5946" i="14"/>
  <c r="M5946" i="14" s="1"/>
  <c r="Q5334" i="14"/>
  <c r="Q1719" i="14"/>
  <c r="Q3375" i="14"/>
  <c r="Q2219" i="14"/>
  <c r="J2683" i="14"/>
  <c r="J4383" i="14"/>
  <c r="J4879" i="14"/>
  <c r="J2815" i="14"/>
  <c r="Q4707" i="14"/>
  <c r="J4643" i="14"/>
  <c r="Q5071" i="14"/>
  <c r="Q4911" i="14"/>
  <c r="Q1342" i="14"/>
  <c r="Q3507" i="14"/>
  <c r="J4035" i="14"/>
  <c r="J5279" i="14"/>
  <c r="J3039" i="14"/>
  <c r="Q2314" i="14"/>
  <c r="J2147" i="14"/>
  <c r="J4803" i="14"/>
  <c r="J2079" i="14"/>
  <c r="Q4895" i="14"/>
  <c r="J3487" i="14"/>
  <c r="J2526" i="14"/>
  <c r="Q4611" i="14"/>
  <c r="Q1678" i="14"/>
  <c r="Q4995" i="14"/>
  <c r="J2731" i="14"/>
  <c r="J4179" i="14"/>
  <c r="Q4595" i="14"/>
  <c r="J1263" i="14"/>
  <c r="Q2446" i="14"/>
  <c r="Q3110" i="14"/>
  <c r="Q4867" i="14"/>
  <c r="Q2918" i="14"/>
  <c r="Q4591" i="14"/>
  <c r="Q4851" i="14"/>
  <c r="Q4943" i="14"/>
  <c r="Q4806" i="14"/>
  <c r="Q4678" i="14"/>
  <c r="Q4470" i="14"/>
  <c r="Q2718" i="14"/>
  <c r="Q4694" i="14"/>
  <c r="Q4543" i="14"/>
  <c r="Q4870" i="14"/>
  <c r="Q4655" i="14"/>
  <c r="Q4534" i="14"/>
  <c r="Q4262" i="14"/>
  <c r="Q1862" i="14"/>
  <c r="Q4598" i="14"/>
  <c r="Q4518" i="14"/>
  <c r="Q3654" i="14"/>
  <c r="Q3414" i="14"/>
  <c r="Q2275" i="14"/>
  <c r="Q2510" i="14"/>
  <c r="Q4783" i="14"/>
  <c r="Q4623" i="14"/>
  <c r="Q4447" i="14"/>
  <c r="Q3830" i="14"/>
  <c r="Q4630" i="14"/>
  <c r="Q4451" i="14"/>
  <c r="Q2210" i="14"/>
  <c r="Q4886" i="14"/>
  <c r="Q4739" i="14"/>
  <c r="Q3062" i="14"/>
  <c r="Q4486" i="14"/>
  <c r="Q4774" i="14"/>
  <c r="Q4742" i="14"/>
  <c r="Q4563" i="14"/>
  <c r="Q3270" i="14"/>
  <c r="Q3827" i="14"/>
  <c r="Q4527" i="14"/>
  <c r="Q2870" i="14"/>
  <c r="Q1246" i="14"/>
  <c r="Q1830" i="14"/>
  <c r="Q4835" i="14"/>
  <c r="Q4659" i="14"/>
  <c r="J3299" i="14"/>
  <c r="M5603" i="14"/>
  <c r="Q4959" i="14"/>
  <c r="Q4607" i="14"/>
  <c r="Q4515" i="14"/>
  <c r="Q1618" i="14"/>
  <c r="Q4479" i="14"/>
  <c r="Q4022" i="14"/>
  <c r="Q3391" i="14"/>
  <c r="J4531" i="14"/>
  <c r="J4563" i="14"/>
  <c r="Q4614" i="14"/>
  <c r="Q4463" i="14"/>
  <c r="Q1515" i="14"/>
  <c r="Q4550" i="14"/>
  <c r="Q2702" i="14"/>
  <c r="Q3590" i="14"/>
  <c r="Q2174" i="14"/>
  <c r="Q4566" i="14"/>
  <c r="Q4646" i="14"/>
  <c r="Q4454" i="14"/>
  <c r="Q4838" i="14"/>
  <c r="Q4758" i="14"/>
  <c r="Q4751" i="14"/>
  <c r="J5043" i="14"/>
  <c r="J4883" i="14"/>
  <c r="Q4438" i="14"/>
  <c r="Q1710" i="14"/>
  <c r="Q4767" i="14"/>
  <c r="Q3190" i="14"/>
  <c r="Q4710" i="14"/>
  <c r="Q3574" i="14"/>
  <c r="Q2555" i="14"/>
  <c r="J4335" i="14"/>
  <c r="J5027" i="14"/>
  <c r="Q4991" i="14"/>
  <c r="Q4975" i="14"/>
  <c r="Q4582" i="14"/>
  <c r="Q4182" i="14"/>
  <c r="Q4502" i="14"/>
  <c r="Q4998" i="14"/>
  <c r="Q3510" i="14"/>
  <c r="Q4854" i="14"/>
  <c r="Q4915" i="14"/>
  <c r="Q4966" i="14"/>
  <c r="Q4863" i="14"/>
  <c r="Q5007" i="14"/>
  <c r="Q4822" i="14"/>
  <c r="Q4799" i="14"/>
  <c r="Q4934" i="14"/>
  <c r="Q5023" i="14"/>
  <c r="Q4831" i="14"/>
  <c r="Q4819" i="14"/>
  <c r="Q5014" i="14"/>
  <c r="Q4950" i="14"/>
  <c r="Q4927" i="14"/>
  <c r="Q4982" i="14"/>
  <c r="Q4918" i="14"/>
  <c r="Q4787" i="14"/>
  <c r="Q4899" i="14"/>
  <c r="Q4902" i="14"/>
  <c r="Q4790" i="14"/>
  <c r="Q3519" i="14"/>
  <c r="Q3839" i="14"/>
  <c r="J2575" i="14"/>
  <c r="J3443" i="14"/>
  <c r="J3158" i="14"/>
  <c r="J2927" i="14"/>
  <c r="J3615" i="14"/>
  <c r="J5123" i="14"/>
  <c r="J3075" i="14"/>
  <c r="J4227" i="14"/>
  <c r="M5590" i="14"/>
  <c r="J4166" i="14"/>
  <c r="J5151" i="14"/>
  <c r="K5904" i="14"/>
  <c r="L5904" i="14" s="1"/>
  <c r="L5903" i="14" s="1"/>
  <c r="J5903" i="14"/>
  <c r="K5903" i="14" s="1"/>
  <c r="J4079" i="14"/>
  <c r="K5895" i="14"/>
  <c r="L5895" i="14" s="1"/>
  <c r="L5894" i="14" s="1"/>
  <c r="J5894" i="14"/>
  <c r="K5894" i="14" s="1"/>
  <c r="J4387" i="14"/>
  <c r="J5891" i="14"/>
  <c r="K5891" i="14" s="1"/>
  <c r="K5892" i="14"/>
  <c r="L5892" i="14" s="1"/>
  <c r="J3667" i="14"/>
  <c r="J3686" i="14"/>
  <c r="M5606" i="14"/>
  <c r="J5599" i="14"/>
  <c r="K5599" i="14" s="1"/>
  <c r="J5603" i="14"/>
  <c r="K5603" i="14" s="1"/>
  <c r="M5599" i="14"/>
  <c r="J5590" i="14"/>
  <c r="K5590" i="14" s="1"/>
  <c r="K5589" i="14"/>
  <c r="M5589" i="14" s="1"/>
  <c r="M5587" i="14" s="1"/>
  <c r="J5587" i="14"/>
  <c r="K5587" i="14" s="1"/>
  <c r="J5606" i="14"/>
  <c r="K5606" i="14" s="1"/>
  <c r="J5615" i="14"/>
  <c r="K5615" i="14" s="1"/>
  <c r="K5616" i="14"/>
  <c r="M5616" i="14" s="1"/>
  <c r="M5615" i="14" s="1"/>
  <c r="J1979" i="14"/>
  <c r="J4623" i="14"/>
  <c r="J4051" i="14"/>
  <c r="J4342" i="14"/>
  <c r="J1527" i="14"/>
  <c r="J1803" i="14"/>
  <c r="J5343" i="14"/>
  <c r="J1899" i="14"/>
  <c r="J3318" i="14"/>
  <c r="J1807" i="14"/>
  <c r="J2886" i="14"/>
  <c r="J4742" i="14"/>
  <c r="J4195" i="14"/>
  <c r="L5843" i="14"/>
  <c r="J5843" i="14"/>
  <c r="K5843" i="14" s="1"/>
  <c r="J5846" i="14"/>
  <c r="K5846" i="14" s="1"/>
  <c r="K5847" i="14"/>
  <c r="L5847" i="14" s="1"/>
  <c r="L5846" i="14" s="1"/>
  <c r="K5872" i="14"/>
  <c r="L5872" i="14" s="1"/>
  <c r="L5871" i="14" s="1"/>
  <c r="J5871" i="14"/>
  <c r="K5871" i="14" s="1"/>
  <c r="J5855" i="14"/>
  <c r="K5855" i="14" s="1"/>
  <c r="K5856" i="14"/>
  <c r="L5856" i="14" s="1"/>
  <c r="L5855" i="14" s="1"/>
  <c r="J5878" i="14"/>
  <c r="K5878" i="14" s="1"/>
  <c r="K5879" i="14"/>
  <c r="J5887" i="14"/>
  <c r="K5887" i="14" s="1"/>
  <c r="K5888" i="14"/>
  <c r="K5863" i="14"/>
  <c r="L5863" i="14" s="1"/>
  <c r="L5862" i="14" s="1"/>
  <c r="J5862" i="14"/>
  <c r="K5862" i="14" s="1"/>
  <c r="K5876" i="14"/>
  <c r="J5875" i="14"/>
  <c r="K5875" i="14" s="1"/>
  <c r="K5860" i="14"/>
  <c r="J5859" i="14"/>
  <c r="K5859" i="14" s="1"/>
  <c r="J2579" i="14"/>
  <c r="J4755" i="14"/>
  <c r="J3811" i="14"/>
  <c r="J2239" i="14"/>
  <c r="J2203" i="14"/>
  <c r="J1767" i="14"/>
  <c r="J4406" i="14"/>
  <c r="J3823" i="14"/>
  <c r="J3430" i="14"/>
  <c r="J1231" i="14"/>
  <c r="J5119" i="14"/>
  <c r="J4470" i="14"/>
  <c r="J4451" i="14"/>
  <c r="J4255" i="14"/>
  <c r="J4006" i="14"/>
  <c r="J4159" i="14"/>
  <c r="J5190" i="14"/>
  <c r="J4067" i="14"/>
  <c r="J4326" i="14"/>
  <c r="J3747" i="14"/>
  <c r="J3427" i="14"/>
  <c r="J2838" i="14"/>
  <c r="J2359" i="14"/>
  <c r="J3235" i="14"/>
  <c r="J3855" i="14"/>
  <c r="J3775" i="14"/>
  <c r="J3891" i="14"/>
  <c r="J4287" i="14"/>
  <c r="J3459" i="14"/>
  <c r="J3887" i="14"/>
  <c r="J3478" i="14"/>
  <c r="J1499" i="14"/>
  <c r="J4118" i="14"/>
  <c r="J4758" i="14"/>
  <c r="J4198" i="14"/>
  <c r="J3974" i="14"/>
  <c r="J3846" i="14"/>
  <c r="J3174" i="14"/>
  <c r="J3171" i="14"/>
  <c r="J3750" i="14"/>
  <c r="J4278" i="14"/>
  <c r="J4131" i="14"/>
  <c r="J4979" i="14"/>
  <c r="J4854" i="14"/>
  <c r="J3910" i="14"/>
  <c r="J3302" i="14"/>
  <c r="J3510" i="14"/>
  <c r="J4367" i="14"/>
  <c r="J4374" i="14"/>
  <c r="J5203" i="14"/>
  <c r="J1615" i="14"/>
  <c r="J1959" i="14"/>
  <c r="J3535" i="14"/>
  <c r="J3542" i="14"/>
  <c r="J2327" i="14"/>
  <c r="J4851" i="14"/>
  <c r="J4419" i="14"/>
  <c r="J2275" i="14"/>
  <c r="J3926" i="14"/>
  <c r="J4831" i="14"/>
  <c r="J1443" i="14"/>
  <c r="J1735" i="14"/>
  <c r="J4310" i="14"/>
  <c r="J5487" i="14"/>
  <c r="J2375" i="14"/>
  <c r="J1471" i="14"/>
  <c r="J2943" i="14"/>
  <c r="J3078" i="14"/>
  <c r="J1986" i="14"/>
  <c r="J2167" i="14"/>
  <c r="M5844" i="14"/>
  <c r="J5759" i="14"/>
  <c r="J5270" i="14"/>
  <c r="J5078" i="14"/>
  <c r="J4975" i="14"/>
  <c r="J4963" i="14"/>
  <c r="J3871" i="14"/>
  <c r="J2259" i="14"/>
  <c r="J5206" i="14"/>
  <c r="J1607" i="14"/>
  <c r="J4351" i="14"/>
  <c r="J4463" i="14"/>
  <c r="J2207" i="14"/>
  <c r="J1515" i="14"/>
  <c r="J5807" i="14"/>
  <c r="V5839" i="14" s="1"/>
  <c r="J5571" i="14"/>
  <c r="J5686" i="14"/>
  <c r="J1739" i="14"/>
  <c r="J4207" i="14"/>
  <c r="J4694" i="14"/>
  <c r="J2015" i="14"/>
  <c r="J3606" i="14"/>
  <c r="J4630" i="14"/>
  <c r="J5174" i="14"/>
  <c r="J3695" i="14"/>
  <c r="J5183" i="14"/>
  <c r="J5155" i="14"/>
  <c r="J2775" i="14"/>
  <c r="J3798" i="14"/>
  <c r="J4150" i="14"/>
  <c r="J4918" i="14"/>
  <c r="J4886" i="14"/>
  <c r="J3603" i="14"/>
  <c r="J3215" i="14"/>
  <c r="J4678" i="14"/>
  <c r="J3199" i="14"/>
  <c r="J5135" i="14"/>
  <c r="J5443" i="14"/>
  <c r="J1191" i="14"/>
  <c r="J4495" i="14"/>
  <c r="J1546" i="14"/>
  <c r="J5551" i="14"/>
  <c r="J1447" i="14"/>
  <c r="J3398" i="14"/>
  <c r="J4787" i="14"/>
  <c r="J5535" i="14"/>
  <c r="J2106" i="14"/>
  <c r="J2419" i="14"/>
  <c r="J2491" i="14"/>
  <c r="J731" i="14"/>
  <c r="J2455" i="14"/>
  <c r="J2591" i="14"/>
  <c r="J1830" i="14"/>
  <c r="J1943" i="14"/>
  <c r="J1875" i="14"/>
  <c r="J2323" i="14"/>
  <c r="J4799" i="14"/>
  <c r="J1450" i="14"/>
  <c r="J2718" i="14"/>
  <c r="J3331" i="14"/>
  <c r="J2018" i="14"/>
  <c r="J2403" i="14"/>
  <c r="J4870" i="14"/>
  <c r="J3091" i="14"/>
  <c r="J3142" i="14"/>
  <c r="J3519" i="14"/>
  <c r="J3507" i="14"/>
  <c r="J2599" i="14"/>
  <c r="J2219" i="14"/>
  <c r="J4822" i="14"/>
  <c r="J4703" i="14"/>
  <c r="J359" i="14"/>
  <c r="J1011" i="14"/>
  <c r="J2387" i="14"/>
  <c r="J3702" i="14"/>
  <c r="J931" i="14"/>
  <c r="J3862" i="14"/>
  <c r="J2759" i="14"/>
  <c r="J4927" i="14"/>
  <c r="J3327" i="14"/>
  <c r="J1483" i="14"/>
  <c r="J2519" i="14"/>
  <c r="J1431" i="14"/>
  <c r="J2031" i="14"/>
  <c r="J3343" i="14"/>
  <c r="J4371" i="14"/>
  <c r="J4902" i="14"/>
  <c r="J5263" i="14"/>
  <c r="J4710" i="14"/>
  <c r="J4399" i="14"/>
  <c r="J4454" i="14"/>
  <c r="J5171" i="14"/>
  <c r="J4582" i="14"/>
  <c r="J4895" i="14"/>
  <c r="J4966" i="14"/>
  <c r="J5267" i="14"/>
  <c r="J3699" i="14"/>
  <c r="J2847" i="14"/>
  <c r="J3107" i="14"/>
  <c r="J5142" i="14"/>
  <c r="J4022" i="14"/>
  <c r="J5011" i="14"/>
  <c r="J3907" i="14"/>
  <c r="J4607" i="14"/>
  <c r="V4170" i="14"/>
  <c r="K4170" i="14"/>
  <c r="J4726" i="14"/>
  <c r="J5215" i="14"/>
  <c r="J4982" i="14"/>
  <c r="J3555" i="14"/>
  <c r="J3711" i="14"/>
  <c r="J5062" i="14"/>
  <c r="J4550" i="14"/>
  <c r="J4390" i="14"/>
  <c r="J4735" i="14"/>
  <c r="J4083" i="14"/>
  <c r="J4015" i="14"/>
  <c r="J3395" i="14"/>
  <c r="J3087" i="14"/>
  <c r="J4767" i="14"/>
  <c r="J3119" i="14"/>
  <c r="J4111" i="14"/>
  <c r="J4566" i="14"/>
  <c r="J3279" i="14"/>
  <c r="J3731" i="14"/>
  <c r="J3247" i="14"/>
  <c r="J4838" i="14"/>
  <c r="J4534" i="14"/>
  <c r="J4134" i="14"/>
  <c r="J3955" i="14"/>
  <c r="J3059" i="14"/>
  <c r="J4559" i="14"/>
  <c r="J5235" i="14"/>
  <c r="J4815" i="14"/>
  <c r="J4403" i="14"/>
  <c r="J4415" i="14"/>
  <c r="J5059" i="14"/>
  <c r="J3347" i="14"/>
  <c r="J3491" i="14"/>
  <c r="J4214" i="14"/>
  <c r="J4511" i="14"/>
  <c r="J4243" i="14"/>
  <c r="J3071" i="14"/>
  <c r="J4047" i="14"/>
  <c r="J5251" i="14"/>
  <c r="J3875" i="14"/>
  <c r="J3187" i="14"/>
  <c r="J4163" i="14"/>
  <c r="J3951" i="14"/>
  <c r="J5107" i="14"/>
  <c r="J4319" i="14"/>
  <c r="J4467" i="14"/>
  <c r="J4499" i="14"/>
  <c r="J5254" i="14"/>
  <c r="J4611" i="14"/>
  <c r="J4655" i="14"/>
  <c r="J4639" i="14"/>
  <c r="J4719" i="14"/>
  <c r="J4479" i="14"/>
  <c r="J2998" i="14"/>
  <c r="J5071" i="14"/>
  <c r="J3935" i="14"/>
  <c r="J4847" i="14"/>
  <c r="J5103" i="14"/>
  <c r="J3843" i="14"/>
  <c r="J4863" i="14"/>
  <c r="J4915" i="14"/>
  <c r="J3759" i="14"/>
  <c r="J2963" i="14"/>
  <c r="J4575" i="14"/>
  <c r="J4806" i="14"/>
  <c r="J4143" i="14"/>
  <c r="J3139" i="14"/>
  <c r="J4934" i="14"/>
  <c r="J4959" i="14"/>
  <c r="J5238" i="14"/>
  <c r="J3619" i="14"/>
  <c r="J3987" i="14"/>
  <c r="J3679" i="14"/>
  <c r="J4899" i="14"/>
  <c r="J4835" i="14"/>
  <c r="J4671" i="14"/>
  <c r="J3587" i="14"/>
  <c r="J4819" i="14"/>
  <c r="J4262" i="14"/>
  <c r="J5075" i="14"/>
  <c r="J4659" i="14"/>
  <c r="J5023" i="14"/>
  <c r="J4223" i="14"/>
  <c r="J5039" i="14"/>
  <c r="J4515" i="14"/>
  <c r="J3023" i="14"/>
  <c r="J5231" i="14"/>
  <c r="J4646" i="14"/>
  <c r="J5199" i="14"/>
  <c r="J4003" i="14"/>
  <c r="J5094" i="14"/>
  <c r="J3791" i="14"/>
  <c r="J3167" i="14"/>
  <c r="J4991" i="14"/>
  <c r="J3859" i="14"/>
  <c r="J3254" i="14"/>
  <c r="J3631" i="14"/>
  <c r="J3599" i="14"/>
  <c r="J4483" i="14"/>
  <c r="J3766" i="14"/>
  <c r="J4303" i="14"/>
  <c r="J4995" i="14"/>
  <c r="J5459" i="14"/>
  <c r="J1575" i="14"/>
  <c r="J3827" i="14"/>
  <c r="J2138" i="14"/>
  <c r="J3571" i="14"/>
  <c r="J1598" i="14"/>
  <c r="J5583" i="14"/>
  <c r="J5411" i="14"/>
  <c r="J2314" i="14"/>
  <c r="J5299" i="14"/>
  <c r="J5679" i="14"/>
  <c r="J2115" i="14"/>
  <c r="J1579" i="14"/>
  <c r="J5823" i="14"/>
  <c r="J519" i="14"/>
  <c r="J2627" i="14"/>
  <c r="J5795" i="14"/>
  <c r="J543" i="14"/>
  <c r="J5471" i="14"/>
  <c r="J2734" i="14"/>
  <c r="J5350" i="14"/>
  <c r="J1751" i="14"/>
  <c r="J5811" i="14"/>
  <c r="J1166" i="14"/>
  <c r="J1279" i="14"/>
  <c r="J3727" i="14"/>
  <c r="J5619" i="14"/>
  <c r="J2918" i="14"/>
  <c r="J778" i="14"/>
  <c r="J5382" i="14"/>
  <c r="J1595" i="14"/>
  <c r="J4038" i="14"/>
  <c r="J2295" i="14"/>
  <c r="J1291" i="14"/>
  <c r="J3055" i="14"/>
  <c r="J5798" i="14"/>
  <c r="J1067" i="14"/>
  <c r="J1530" i="14"/>
  <c r="J659" i="14"/>
  <c r="J1742" i="14"/>
  <c r="J555" i="14"/>
  <c r="J2766" i="14"/>
  <c r="J2063" i="14"/>
  <c r="J3583" i="14"/>
  <c r="J3350" i="14"/>
  <c r="J2394" i="14"/>
  <c r="J5126" i="14"/>
  <c r="J5491" i="14"/>
  <c r="J5331" i="14"/>
  <c r="J1643" i="14"/>
  <c r="J2158" i="14"/>
  <c r="J3286" i="14"/>
  <c r="J5667" i="14"/>
  <c r="J5622" i="14"/>
  <c r="J5375" i="14"/>
  <c r="J5779" i="14"/>
  <c r="J5311" i="14"/>
  <c r="J5302" i="14"/>
  <c r="J5555" i="14"/>
  <c r="V5683" i="14" s="1"/>
  <c r="J5046" i="14"/>
  <c r="J5558" i="14"/>
  <c r="J1175" i="14"/>
  <c r="J5631" i="14"/>
  <c r="J1434" i="14"/>
  <c r="J2546" i="14"/>
  <c r="J2339" i="14"/>
  <c r="J2362" i="14"/>
  <c r="J2174" i="14"/>
  <c r="J2446" i="14"/>
  <c r="J2966" i="14"/>
  <c r="J3455" i="14"/>
  <c r="J2487" i="14"/>
  <c r="J2298" i="14"/>
  <c r="J2371" i="14"/>
  <c r="J3411" i="14"/>
  <c r="J919" i="14"/>
  <c r="J1591" i="14"/>
  <c r="J1719" i="14"/>
  <c r="J2183" i="14"/>
  <c r="J3446" i="14"/>
  <c r="J1650" i="14"/>
  <c r="J3094" i="14"/>
  <c r="J2510" i="14"/>
  <c r="J3222" i="14"/>
  <c r="J1023" i="14"/>
  <c r="J1415" i="14"/>
  <c r="J2566" i="14"/>
  <c r="J4774" i="14"/>
  <c r="J5839" i="14"/>
  <c r="K5839" i="14" s="1"/>
  <c r="J4095" i="14"/>
  <c r="J635" i="14"/>
  <c r="J5523" i="14"/>
  <c r="J5510" i="14"/>
  <c r="J922" i="14"/>
  <c r="J1694" i="14"/>
  <c r="J2618" i="14"/>
  <c r="J5359" i="14"/>
  <c r="J5423" i="14"/>
  <c r="J2670" i="14"/>
  <c r="J1918" i="14"/>
  <c r="J1506" i="14"/>
  <c r="J1351" i="14"/>
  <c r="J2011" i="14"/>
  <c r="J2563" i="14"/>
  <c r="J2543" i="14"/>
  <c r="J1555" i="14"/>
  <c r="J1243" i="14"/>
  <c r="J866" i="14"/>
  <c r="J3311" i="14"/>
  <c r="J2191" i="14"/>
  <c r="J2870" i="14"/>
  <c r="J2070" i="14"/>
  <c r="J4579" i="14"/>
  <c r="J2287" i="14"/>
  <c r="J3135" i="14"/>
  <c r="J2002" i="14"/>
  <c r="J1099" i="14"/>
  <c r="J1266" i="14"/>
  <c r="J3983" i="14"/>
  <c r="J3839" i="14"/>
  <c r="J2443" i="14"/>
  <c r="J1902" i="14"/>
  <c r="J3654" i="14"/>
  <c r="J2854" i="14"/>
  <c r="J4086" i="14"/>
  <c r="J5478" i="14"/>
  <c r="J2462" i="14"/>
  <c r="J1911" i="14"/>
  <c r="J1539" i="14"/>
  <c r="J3414" i="14"/>
  <c r="J1219" i="14"/>
  <c r="J4790" i="14"/>
  <c r="J623" i="14"/>
  <c r="J4182" i="14"/>
  <c r="J5782" i="14"/>
  <c r="J507" i="14"/>
  <c r="J2262" i="14"/>
  <c r="J5462" i="14"/>
  <c r="J5539" i="14"/>
  <c r="J5430" i="14"/>
  <c r="J5379" i="14"/>
  <c r="J1222" i="14"/>
  <c r="J1406" i="14"/>
  <c r="J707" i="14"/>
  <c r="J1839" i="14"/>
  <c r="J1631" i="14"/>
  <c r="J1163" i="14"/>
  <c r="J698" i="14"/>
  <c r="J2747" i="14"/>
  <c r="J1862" i="14"/>
  <c r="J1950" i="14"/>
  <c r="J1490" i="14"/>
  <c r="J1203" i="14"/>
  <c r="J2330" i="14"/>
  <c r="J2034" i="14"/>
  <c r="J2535" i="14"/>
  <c r="J3423" i="14"/>
  <c r="J1931" i="14"/>
  <c r="J2806" i="14"/>
  <c r="J2043" i="14"/>
  <c r="J1678" i="14"/>
  <c r="J2311" i="14"/>
  <c r="J1819" i="14"/>
  <c r="J4230" i="14"/>
  <c r="J2210" i="14"/>
  <c r="J2638" i="14"/>
  <c r="J2611" i="14"/>
  <c r="J2647" i="14"/>
  <c r="J3363" i="14"/>
  <c r="J3110" i="14"/>
  <c r="J5503" i="14"/>
  <c r="J5542" i="14"/>
  <c r="J4486" i="14"/>
  <c r="J734" i="14"/>
  <c r="J4502" i="14"/>
  <c r="J5414" i="14"/>
  <c r="J5327" i="14"/>
  <c r="J5494" i="14"/>
  <c r="J5814" i="14"/>
  <c r="J5455" i="14"/>
  <c r="J1774" i="14"/>
  <c r="J2099" i="14"/>
  <c r="J1915" i="14"/>
  <c r="J1995" i="14"/>
  <c r="J662" i="14"/>
  <c r="J2131" i="14"/>
  <c r="J915" i="14"/>
  <c r="J1999" i="14"/>
  <c r="J3622" i="14"/>
  <c r="J2822" i="14"/>
  <c r="J5395" i="14"/>
  <c r="J2230" i="14"/>
  <c r="J1474" i="14"/>
  <c r="J1282" i="14"/>
  <c r="J671" i="14"/>
  <c r="J1843" i="14"/>
  <c r="J3830" i="14"/>
  <c r="J1846" i="14"/>
  <c r="J3062" i="14"/>
  <c r="J3471" i="14"/>
  <c r="J5526" i="14"/>
  <c r="J5718" i="14"/>
  <c r="J5715" i="14"/>
  <c r="J1970" i="14"/>
  <c r="J546" i="14"/>
  <c r="J5334" i="14"/>
  <c r="J743" i="14"/>
  <c r="J1487" i="14"/>
  <c r="J5750" i="14"/>
  <c r="J2054" i="14"/>
  <c r="J2051" i="14"/>
  <c r="J2271" i="14"/>
  <c r="J2194" i="14"/>
  <c r="J1871" i="14"/>
  <c r="J1014" i="14"/>
  <c r="J1634" i="14"/>
  <c r="J2171" i="14"/>
  <c r="J3958" i="14"/>
  <c r="J2439" i="14"/>
  <c r="J1934" i="14"/>
  <c r="J3219" i="14"/>
  <c r="J2430" i="14"/>
  <c r="J626" i="14"/>
  <c r="J3574" i="14"/>
  <c r="J2982" i="14"/>
  <c r="J3526" i="14"/>
  <c r="J3366" i="14"/>
  <c r="J3391" i="14"/>
  <c r="J1810" i="14"/>
  <c r="J2494" i="14"/>
  <c r="J1710" i="14"/>
  <c r="J5398" i="14"/>
  <c r="J5407" i="14"/>
  <c r="J5475" i="14"/>
  <c r="J1675" i="14"/>
  <c r="J2459" i="14"/>
  <c r="J5734" i="14"/>
  <c r="J510" i="14"/>
  <c r="J762" i="14"/>
  <c r="J5318" i="14"/>
  <c r="J2478" i="14"/>
  <c r="J2667" i="14"/>
  <c r="J1111" i="14"/>
  <c r="J2471" i="14"/>
  <c r="J1794" i="14"/>
  <c r="J1783" i="14"/>
  <c r="J1723" i="14"/>
  <c r="J1755" i="14"/>
  <c r="J2255" i="14"/>
  <c r="J3878" i="14"/>
  <c r="J2090" i="14"/>
  <c r="J1726" i="14"/>
  <c r="J2863" i="14"/>
  <c r="J3190" i="14"/>
  <c r="J2750" i="14"/>
  <c r="J1758" i="14"/>
  <c r="J2427" i="14"/>
  <c r="J2582" i="14"/>
  <c r="J3494" i="14"/>
  <c r="J2711" i="14"/>
  <c r="J1566" i="14"/>
  <c r="J5030" i="14"/>
  <c r="J5222" i="14"/>
  <c r="J2790" i="14"/>
  <c r="J2410" i="14"/>
  <c r="J1618" i="14"/>
  <c r="J2695" i="14"/>
  <c r="J3238" i="14"/>
  <c r="J2651" i="14"/>
  <c r="J4614" i="14"/>
  <c r="J1707" i="14"/>
  <c r="J3126" i="14"/>
  <c r="J2122" i="14"/>
  <c r="J5830" i="14"/>
  <c r="V4597" i="14" s="1"/>
  <c r="J2307" i="14"/>
  <c r="J4950" i="14"/>
  <c r="J2027" i="14"/>
  <c r="J2831" i="14"/>
  <c r="J4246" i="14"/>
  <c r="J5446" i="14"/>
  <c r="J1055" i="14"/>
  <c r="J5791" i="14"/>
  <c r="J5363" i="14"/>
  <c r="J5366" i="14"/>
  <c r="J5567" i="14"/>
  <c r="J875" i="14"/>
  <c r="J5574" i="14"/>
  <c r="J1859" i="14"/>
  <c r="J2702" i="14"/>
  <c r="J2615" i="14"/>
  <c r="J1878" i="14"/>
  <c r="J1563" i="14"/>
  <c r="J1927" i="14"/>
  <c r="J1659" i="14"/>
  <c r="J2946" i="14"/>
  <c r="J2503" i="14"/>
  <c r="J2679" i="14"/>
  <c r="J1255" i="14"/>
  <c r="J2119" i="14"/>
  <c r="J2686" i="14"/>
  <c r="J2378" i="14"/>
  <c r="J3231" i="14"/>
  <c r="J3270" i="14"/>
  <c r="J2602" i="14"/>
  <c r="J5743" i="14"/>
  <c r="J3462" i="14"/>
  <c r="J1627" i="14"/>
  <c r="J1275" i="14"/>
  <c r="J759" i="14"/>
  <c r="J4662" i="14"/>
  <c r="J5731" i="14"/>
  <c r="J1058" i="14"/>
  <c r="J2654" i="14"/>
  <c r="J775" i="14"/>
  <c r="J4422" i="14"/>
  <c r="J2246" i="14"/>
  <c r="J695" i="14"/>
  <c r="J5727" i="14"/>
  <c r="K5727" i="14" s="1"/>
  <c r="J5315" i="14"/>
  <c r="J5519" i="14"/>
  <c r="J787" i="14"/>
  <c r="J2407" i="14"/>
  <c r="J2955" i="14"/>
  <c r="J906" i="14"/>
  <c r="J1194" i="14"/>
  <c r="J1246" i="14"/>
  <c r="J2555" i="14"/>
  <c r="J1703" i="14"/>
  <c r="J1647" i="14"/>
  <c r="J2902" i="14"/>
  <c r="J2227" i="14"/>
  <c r="J1582" i="14"/>
  <c r="J1855" i="14"/>
  <c r="J3375" i="14"/>
  <c r="J1687" i="14"/>
  <c r="J2278" i="14"/>
  <c r="J1102" i="14"/>
  <c r="J350" i="14"/>
  <c r="J5683" i="14"/>
  <c r="J5747" i="14"/>
  <c r="J5670" i="14"/>
  <c r="J5507" i="14"/>
  <c r="J1342" i="14"/>
  <c r="M5839" i="14"/>
  <c r="L5839" i="14"/>
  <c r="K5828" i="14"/>
  <c r="K5831" i="14"/>
  <c r="L5831" i="14" s="1"/>
  <c r="V5831" i="14"/>
  <c r="K5835" i="14"/>
  <c r="L5835" i="14" s="1"/>
  <c r="M5835" i="14" s="1"/>
  <c r="V5835" i="14"/>
  <c r="L6052" i="14" l="1"/>
  <c r="L6051" i="14" s="1"/>
  <c r="M6072" i="14"/>
  <c r="M6070" i="14" s="1"/>
  <c r="L6070" i="14"/>
  <c r="J5827" i="14"/>
  <c r="V5686" i="14"/>
  <c r="V5715" i="14"/>
  <c r="V5795" i="14"/>
  <c r="L5722" i="14"/>
  <c r="M5722" i="14" s="1"/>
  <c r="U5722" i="14"/>
  <c r="L5723" i="14"/>
  <c r="M5723" i="14" s="1"/>
  <c r="U5723" i="14"/>
  <c r="V5718" i="14"/>
  <c r="K5718" i="14"/>
  <c r="M5935" i="14"/>
  <c r="M6038" i="14"/>
  <c r="M6035" i="14"/>
  <c r="L6048" i="14"/>
  <c r="L6047" i="14" s="1"/>
  <c r="M6047" i="14" s="1"/>
  <c r="M5664" i="14"/>
  <c r="M5663" i="14" s="1"/>
  <c r="M5636" i="14"/>
  <c r="M5635" i="14" s="1"/>
  <c r="M5924" i="14"/>
  <c r="M5764" i="14"/>
  <c r="M5763" i="14" s="1"/>
  <c r="M5659" i="14"/>
  <c r="M5654" i="14" s="1"/>
  <c r="M5712" i="14"/>
  <c r="M5711" i="14" s="1"/>
  <c r="M5700" i="14"/>
  <c r="M5699" i="14" s="1"/>
  <c r="M5988" i="14"/>
  <c r="M5987" i="14" s="1"/>
  <c r="M6016" i="14"/>
  <c r="M6015" i="14" s="1"/>
  <c r="M6007" i="14"/>
  <c r="M6006" i="14" s="1"/>
  <c r="M5767" i="14"/>
  <c r="M5766" i="14" s="1"/>
  <c r="L6000" i="14"/>
  <c r="L5999" i="14" s="1"/>
  <c r="M5927" i="14"/>
  <c r="M5776" i="14"/>
  <c r="M5775" i="14" s="1"/>
  <c r="L5991" i="14"/>
  <c r="L5990" i="14" s="1"/>
  <c r="M5652" i="14"/>
  <c r="M5651" i="14" s="1"/>
  <c r="M5926" i="14"/>
  <c r="M5707" i="14"/>
  <c r="M5702" i="14" s="1"/>
  <c r="M5638" i="14"/>
  <c r="M5923" i="14"/>
  <c r="U5802" i="14"/>
  <c r="M5802" i="14"/>
  <c r="L5958" i="14"/>
  <c r="M5958" i="14" s="1"/>
  <c r="L5974" i="14"/>
  <c r="M5974" i="14" s="1"/>
  <c r="L5968" i="14"/>
  <c r="L5967" i="14" s="1"/>
  <c r="M5967" i="14" s="1"/>
  <c r="L5956" i="14"/>
  <c r="L5955" i="14" s="1"/>
  <c r="M5955" i="14" s="1"/>
  <c r="L5984" i="14"/>
  <c r="L5983" i="14" s="1"/>
  <c r="M5983" i="14" s="1"/>
  <c r="L5972" i="14"/>
  <c r="L5971" i="14" s="1"/>
  <c r="M5971" i="14" s="1"/>
  <c r="L5940" i="14"/>
  <c r="M5940" i="14" s="1"/>
  <c r="L5943" i="14"/>
  <c r="L5942" i="14" s="1"/>
  <c r="M5942" i="14" s="1"/>
  <c r="L5952" i="14"/>
  <c r="L5951" i="14" s="1"/>
  <c r="M5951" i="14" s="1"/>
  <c r="M5904" i="14"/>
  <c r="M5903" i="14" s="1"/>
  <c r="M5895" i="14"/>
  <c r="M5894" i="14" s="1"/>
  <c r="M5892" i="14"/>
  <c r="M5891" i="14" s="1"/>
  <c r="L5891" i="14"/>
  <c r="V5798" i="14"/>
  <c r="K5798" i="14"/>
  <c r="M5843" i="14"/>
  <c r="M5872" i="14"/>
  <c r="M5871" i="14" s="1"/>
  <c r="M5856" i="14"/>
  <c r="M5846" i="14"/>
  <c r="M5847" i="14"/>
  <c r="L5879" i="14"/>
  <c r="L5878" i="14" s="1"/>
  <c r="L5860" i="14"/>
  <c r="L5859" i="14" s="1"/>
  <c r="M5855" i="14"/>
  <c r="L5876" i="14"/>
  <c r="L5875" i="14" s="1"/>
  <c r="M5863" i="14"/>
  <c r="M5862" i="14" s="1"/>
  <c r="L5888" i="14"/>
  <c r="L5887" i="14" s="1"/>
  <c r="M4170" i="14"/>
  <c r="U4170" i="14"/>
  <c r="L5830" i="14"/>
  <c r="M5831" i="14"/>
  <c r="M5830" i="14" s="1"/>
  <c r="L5828" i="14"/>
  <c r="V5830" i="14"/>
  <c r="K5830" i="14"/>
  <c r="U4597" i="14" s="1"/>
  <c r="V5696" i="14"/>
  <c r="V5697" i="14"/>
  <c r="V5692" i="14"/>
  <c r="V5164" i="14"/>
  <c r="K5736" i="14"/>
  <c r="M5736" i="14" s="1"/>
  <c r="M6052" i="14" l="1"/>
  <c r="M6051" i="14" s="1"/>
  <c r="U5798" i="14"/>
  <c r="L5827" i="14"/>
  <c r="K5827" i="14"/>
  <c r="U4595" i="14" s="1"/>
  <c r="V4595" i="14"/>
  <c r="U5718" i="14"/>
  <c r="L5718" i="14"/>
  <c r="M6048" i="14"/>
  <c r="M5991" i="14"/>
  <c r="M5990" i="14" s="1"/>
  <c r="M6000" i="14"/>
  <c r="M5999" i="14" s="1"/>
  <c r="M5956" i="14"/>
  <c r="M5968" i="14"/>
  <c r="L5939" i="14"/>
  <c r="M5939" i="14" s="1"/>
  <c r="M5943" i="14"/>
  <c r="M5984" i="14"/>
  <c r="M5972" i="14"/>
  <c r="M5952" i="14"/>
  <c r="M5879" i="14"/>
  <c r="M5878" i="14" s="1"/>
  <c r="M5860" i="14"/>
  <c r="M5859" i="14" s="1"/>
  <c r="M5888" i="14"/>
  <c r="M5887" i="14" s="1"/>
  <c r="M5876" i="14"/>
  <c r="M5875" i="14" s="1"/>
  <c r="M5828" i="14"/>
  <c r="M5827" i="14" s="1"/>
  <c r="K5810" i="14"/>
  <c r="L5810" i="14" s="1"/>
  <c r="M5810" i="14" s="1"/>
  <c r="K5816" i="14"/>
  <c r="L5816" i="14" s="1"/>
  <c r="M5816" i="14" s="1"/>
  <c r="K5824" i="14"/>
  <c r="L5824" i="14" s="1"/>
  <c r="K5815" i="14"/>
  <c r="L5815" i="14" s="1"/>
  <c r="K5805" i="14"/>
  <c r="L5805" i="14" s="1"/>
  <c r="M5805" i="14" s="1"/>
  <c r="K5813" i="14"/>
  <c r="L5813" i="14" s="1"/>
  <c r="M5813" i="14" s="1"/>
  <c r="K5820" i="14"/>
  <c r="L5820" i="14" s="1"/>
  <c r="M5820" i="14" s="1"/>
  <c r="K5817" i="14"/>
  <c r="L5817" i="14" s="1"/>
  <c r="M5817" i="14" s="1"/>
  <c r="K5575" i="14"/>
  <c r="L5575" i="14" s="1"/>
  <c r="K5785" i="14"/>
  <c r="L5785" i="14" s="1"/>
  <c r="M5785" i="14" s="1"/>
  <c r="K5797" i="14"/>
  <c r="L5797" i="14" s="1"/>
  <c r="M5797" i="14" s="1"/>
  <c r="K5825" i="14"/>
  <c r="L5825" i="14" s="1"/>
  <c r="M5825" i="14" s="1"/>
  <c r="K5784" i="14"/>
  <c r="L5784" i="14" s="1"/>
  <c r="M5784" i="14" s="1"/>
  <c r="K5818" i="14"/>
  <c r="L5818" i="14" s="1"/>
  <c r="M5818" i="14" s="1"/>
  <c r="K5826" i="14"/>
  <c r="L5826" i="14" s="1"/>
  <c r="M5826" i="14" s="1"/>
  <c r="K5821" i="14"/>
  <c r="L5821" i="14" s="1"/>
  <c r="M5821" i="14" s="1"/>
  <c r="K5799" i="14"/>
  <c r="L5799" i="14" s="1"/>
  <c r="K5796" i="14"/>
  <c r="L5796" i="14" s="1"/>
  <c r="M5796" i="14" s="1"/>
  <c r="K5789" i="14"/>
  <c r="L5789" i="14" s="1"/>
  <c r="M5789" i="14" s="1"/>
  <c r="V5800" i="14"/>
  <c r="K5783" i="14"/>
  <c r="L5783" i="14" s="1"/>
  <c r="K5808" i="14"/>
  <c r="L5808" i="14" s="1"/>
  <c r="M5808" i="14" s="1"/>
  <c r="K5781" i="14"/>
  <c r="L5781" i="14" s="1"/>
  <c r="M5781" i="14" s="1"/>
  <c r="K5801" i="14"/>
  <c r="L5801" i="14" s="1"/>
  <c r="M5801" i="14" s="1"/>
  <c r="K5788" i="14"/>
  <c r="M5788" i="14" s="1"/>
  <c r="K5794" i="14"/>
  <c r="L5794" i="14" s="1"/>
  <c r="M5794" i="14" s="1"/>
  <c r="V5809" i="14"/>
  <c r="K5787" i="14"/>
  <c r="L5787" i="14" s="1"/>
  <c r="M5787" i="14" s="1"/>
  <c r="K5793" i="14"/>
  <c r="L5793" i="14" s="1"/>
  <c r="M5793" i="14" s="1"/>
  <c r="K5780" i="14"/>
  <c r="L5780" i="14" s="1"/>
  <c r="K5786" i="14"/>
  <c r="L5786" i="14" s="1"/>
  <c r="M5786" i="14" s="1"/>
  <c r="K5804" i="14"/>
  <c r="L5804" i="14" s="1"/>
  <c r="M5804" i="14" s="1"/>
  <c r="K5792" i="14"/>
  <c r="L5792" i="14" s="1"/>
  <c r="K5572" i="14"/>
  <c r="L5572" i="14" s="1"/>
  <c r="K5741" i="14"/>
  <c r="M5741" i="14" s="1"/>
  <c r="K5737" i="14"/>
  <c r="M5737" i="14" s="1"/>
  <c r="K5574" i="14"/>
  <c r="K5733" i="14"/>
  <c r="M5733" i="14" s="1"/>
  <c r="K5738" i="14"/>
  <c r="M5738" i="14" s="1"/>
  <c r="K5577" i="14"/>
  <c r="L5577" i="14" s="1"/>
  <c r="M5577" i="14" s="1"/>
  <c r="K5745" i="14"/>
  <c r="M5745" i="14" s="1"/>
  <c r="K5584" i="14"/>
  <c r="L5584" i="14" s="1"/>
  <c r="K5585" i="14"/>
  <c r="L5585" i="14" s="1"/>
  <c r="M5585" i="14" s="1"/>
  <c r="K5583" i="14"/>
  <c r="K5740" i="14"/>
  <c r="M5740" i="14" s="1"/>
  <c r="K5578" i="14"/>
  <c r="L5578" i="14" s="1"/>
  <c r="M5578" i="14" s="1"/>
  <c r="K5580" i="14"/>
  <c r="L5580" i="14" s="1"/>
  <c r="M5580" i="14" s="1"/>
  <c r="K5573" i="14"/>
  <c r="L5573" i="14" s="1"/>
  <c r="M5573" i="14" s="1"/>
  <c r="K5746" i="14"/>
  <c r="M5746" i="14" s="1"/>
  <c r="K5753" i="14"/>
  <c r="L5753" i="14" s="1"/>
  <c r="M5753" i="14" s="1"/>
  <c r="K5581" i="14"/>
  <c r="L5581" i="14" s="1"/>
  <c r="M5581" i="14" s="1"/>
  <c r="K5732" i="14"/>
  <c r="M5732" i="14" s="1"/>
  <c r="K5576" i="14"/>
  <c r="L5576" i="14" s="1"/>
  <c r="M5576" i="14" s="1"/>
  <c r="K5739" i="14"/>
  <c r="M5739" i="14" s="1"/>
  <c r="K5579" i="14"/>
  <c r="L5579" i="14" s="1"/>
  <c r="M5579" i="14" s="1"/>
  <c r="K5735" i="14"/>
  <c r="M5735" i="14" s="1"/>
  <c r="K5571" i="14"/>
  <c r="K5744" i="14"/>
  <c r="M5744" i="14" s="1"/>
  <c r="K5586" i="14"/>
  <c r="L5586" i="14" s="1"/>
  <c r="M5586" i="14" s="1"/>
  <c r="K5757" i="14"/>
  <c r="L5757" i="14" s="1"/>
  <c r="M5757" i="14" s="1"/>
  <c r="K5756" i="14"/>
  <c r="L5756" i="14" s="1"/>
  <c r="M5756" i="14" s="1"/>
  <c r="K5760" i="14"/>
  <c r="L5760" i="14" s="1"/>
  <c r="K5754" i="14"/>
  <c r="L5754" i="14" s="1"/>
  <c r="M5754" i="14" s="1"/>
  <c r="K5748" i="14"/>
  <c r="L5748" i="14" s="1"/>
  <c r="K5755" i="14"/>
  <c r="L5755" i="14" s="1"/>
  <c r="M5755" i="14" s="1"/>
  <c r="K5752" i="14"/>
  <c r="L5752" i="14" s="1"/>
  <c r="M5752" i="14" s="1"/>
  <c r="K5749" i="14"/>
  <c r="M5749" i="14" s="1"/>
  <c r="K5762" i="14"/>
  <c r="L5762" i="14" s="1"/>
  <c r="M5762" i="14" s="1"/>
  <c r="K5751" i="14"/>
  <c r="L5751" i="14" s="1"/>
  <c r="K5761" i="14"/>
  <c r="L5761" i="14" s="1"/>
  <c r="M5761" i="14" s="1"/>
  <c r="K5721" i="14"/>
  <c r="L5721" i="14" s="1"/>
  <c r="M5721" i="14" s="1"/>
  <c r="K5725" i="14"/>
  <c r="L5725" i="14" s="1"/>
  <c r="M5725" i="14" s="1"/>
  <c r="K5729" i="14"/>
  <c r="K5728" i="14"/>
  <c r="U5808" i="14" s="1"/>
  <c r="K5724" i="14"/>
  <c r="U5804" i="14" s="1"/>
  <c r="K5717" i="14"/>
  <c r="U5797" i="14" s="1"/>
  <c r="K5730" i="14"/>
  <c r="L5730" i="14" s="1"/>
  <c r="M5730" i="14" s="1"/>
  <c r="K5627" i="14"/>
  <c r="M5627" i="14" s="1"/>
  <c r="K5693" i="14"/>
  <c r="L5693" i="14" s="1"/>
  <c r="M5693" i="14" s="1"/>
  <c r="K5697" i="14"/>
  <c r="L5697" i="14" s="1"/>
  <c r="M5697" i="14" s="1"/>
  <c r="K5675" i="14"/>
  <c r="M5675" i="14" s="1"/>
  <c r="K5682" i="14"/>
  <c r="M5682" i="14" s="1"/>
  <c r="K5680" i="14"/>
  <c r="L5680" i="14" s="1"/>
  <c r="L5679" i="14" s="1"/>
  <c r="K5685" i="14"/>
  <c r="L5685" i="14" s="1"/>
  <c r="M5685" i="14" s="1"/>
  <c r="K5671" i="14"/>
  <c r="L5671" i="14" s="1"/>
  <c r="M5671" i="14" s="1"/>
  <c r="K5681" i="14"/>
  <c r="M5681" i="14" s="1"/>
  <c r="K5692" i="14"/>
  <c r="L5692" i="14" s="1"/>
  <c r="M5692" i="14" s="1"/>
  <c r="K5674" i="14"/>
  <c r="M5674" i="14" s="1"/>
  <c r="K5677" i="14"/>
  <c r="L5677" i="14" s="1"/>
  <c r="M5677" i="14" s="1"/>
  <c r="V5691" i="14"/>
  <c r="K5669" i="14"/>
  <c r="L5669" i="14" s="1"/>
  <c r="M5669" i="14" s="1"/>
  <c r="K5672" i="14"/>
  <c r="L5672" i="14" s="1"/>
  <c r="M5672" i="14" s="1"/>
  <c r="K5688" i="14"/>
  <c r="L5688" i="14" s="1"/>
  <c r="M5688" i="14" s="1"/>
  <c r="K5684" i="14"/>
  <c r="L5684" i="14" s="1"/>
  <c r="M5684" i="14" s="1"/>
  <c r="K5673" i="14"/>
  <c r="L5673" i="14" s="1"/>
  <c r="M5673" i="14" s="1"/>
  <c r="K5687" i="14"/>
  <c r="L5687" i="14" s="1"/>
  <c r="M5687" i="14" s="1"/>
  <c r="K5676" i="14"/>
  <c r="L5676" i="14" s="1"/>
  <c r="M5676" i="14" s="1"/>
  <c r="K5689" i="14"/>
  <c r="L5689" i="14" s="1"/>
  <c r="M5689" i="14" s="1"/>
  <c r="K5698" i="14"/>
  <c r="L5698" i="14" s="1"/>
  <c r="M5698" i="14" s="1"/>
  <c r="V5695" i="14"/>
  <c r="K5629" i="14"/>
  <c r="M5629" i="14" s="1"/>
  <c r="K5482" i="14"/>
  <c r="M5482" i="14" s="1"/>
  <c r="K5560" i="14"/>
  <c r="K5625" i="14"/>
  <c r="M5625" i="14" s="1"/>
  <c r="K5628" i="14"/>
  <c r="M5628" i="14" s="1"/>
  <c r="K5626" i="14"/>
  <c r="M5626" i="14" s="1"/>
  <c r="K5564" i="14"/>
  <c r="K5633" i="14"/>
  <c r="M5633" i="14" s="1"/>
  <c r="K5624" i="14"/>
  <c r="M5624" i="14" s="1"/>
  <c r="K5569" i="14"/>
  <c r="L5569" i="14" s="1"/>
  <c r="M5569" i="14" s="1"/>
  <c r="K5490" i="14"/>
  <c r="M5490" i="14" s="1"/>
  <c r="K5634" i="14"/>
  <c r="M5634" i="14" s="1"/>
  <c r="K5558" i="14"/>
  <c r="U5686" i="14" s="1"/>
  <c r="K5479" i="14"/>
  <c r="M5479" i="14" s="1"/>
  <c r="K5488" i="14"/>
  <c r="M5488" i="14" s="1"/>
  <c r="K5563" i="14"/>
  <c r="L5563" i="14" s="1"/>
  <c r="M5563" i="14" s="1"/>
  <c r="K5570" i="14"/>
  <c r="M5570" i="14" s="1"/>
  <c r="K5485" i="14"/>
  <c r="M5485" i="14" s="1"/>
  <c r="K5483" i="14"/>
  <c r="M5483" i="14" s="1"/>
  <c r="K5557" i="14"/>
  <c r="K5621" i="14"/>
  <c r="M5621" i="14" s="1"/>
  <c r="K5484" i="14"/>
  <c r="M5484" i="14" s="1"/>
  <c r="K5481" i="14"/>
  <c r="M5481" i="14" s="1"/>
  <c r="K5559" i="14"/>
  <c r="K5562" i="14"/>
  <c r="K5554" i="14"/>
  <c r="L5554" i="14" s="1"/>
  <c r="M5554" i="14" s="1"/>
  <c r="K5561" i="14"/>
  <c r="M5561" i="14" s="1"/>
  <c r="K5489" i="14"/>
  <c r="M5489" i="14" s="1"/>
  <c r="K5477" i="14"/>
  <c r="M5477" i="14" s="1"/>
  <c r="K5480" i="14"/>
  <c r="M5480" i="14" s="1"/>
  <c r="K5567" i="14"/>
  <c r="K5565" i="14"/>
  <c r="M5565" i="14" s="1"/>
  <c r="K5556" i="14"/>
  <c r="K5623" i="14"/>
  <c r="M5623" i="14" s="1"/>
  <c r="K5568" i="14"/>
  <c r="L5568" i="14" s="1"/>
  <c r="K5632" i="14"/>
  <c r="M5632" i="14" s="1"/>
  <c r="K5555" i="14"/>
  <c r="U5683" i="14" s="1"/>
  <c r="K5514" i="14"/>
  <c r="K5495" i="14"/>
  <c r="M5495" i="14" s="1"/>
  <c r="V5538" i="14"/>
  <c r="K5522" i="14"/>
  <c r="M5522" i="14" s="1"/>
  <c r="V5536" i="14"/>
  <c r="K5517" i="14"/>
  <c r="M5517" i="14" s="1"/>
  <c r="V5524" i="14"/>
  <c r="K5513" i="14"/>
  <c r="M5513" i="14" s="1"/>
  <c r="K5515" i="14"/>
  <c r="L5515" i="14" s="1"/>
  <c r="M5515" i="14" s="1"/>
  <c r="K5464" i="14"/>
  <c r="M5464" i="14" s="1"/>
  <c r="K5474" i="14"/>
  <c r="M5474" i="14" s="1"/>
  <c r="K5472" i="14"/>
  <c r="M5472" i="14" s="1"/>
  <c r="K5465" i="14"/>
  <c r="M5465" i="14" s="1"/>
  <c r="K5499" i="14"/>
  <c r="K5468" i="14"/>
  <c r="M5468" i="14" s="1"/>
  <c r="K5473" i="14"/>
  <c r="M5473" i="14" s="1"/>
  <c r="K5469" i="14"/>
  <c r="M5469" i="14" s="1"/>
  <c r="K5467" i="14"/>
  <c r="M5467" i="14" s="1"/>
  <c r="K5466" i="14"/>
  <c r="M5466" i="14" s="1"/>
  <c r="K5442" i="14"/>
  <c r="K5498" i="14"/>
  <c r="M5498" i="14" s="1"/>
  <c r="K5506" i="14"/>
  <c r="L5506" i="14" s="1"/>
  <c r="M5506" i="14" s="1"/>
  <c r="K5501" i="14"/>
  <c r="M5501" i="14" s="1"/>
  <c r="K5500" i="14"/>
  <c r="K5497" i="14"/>
  <c r="M5497" i="14" s="1"/>
  <c r="K5505" i="14"/>
  <c r="L5505" i="14" s="1"/>
  <c r="M5505" i="14" s="1"/>
  <c r="K5496" i="14"/>
  <c r="M5496" i="14" s="1"/>
  <c r="K5433" i="14"/>
  <c r="K5444" i="14"/>
  <c r="U5429" i="14" s="1"/>
  <c r="K5435" i="14"/>
  <c r="K5432" i="14"/>
  <c r="L5432" i="14" s="1"/>
  <c r="M5432" i="14" s="1"/>
  <c r="K5437" i="14"/>
  <c r="M5437" i="14" s="1"/>
  <c r="K5441" i="14"/>
  <c r="L5441" i="14" s="1"/>
  <c r="M5441" i="14" s="1"/>
  <c r="K5449" i="14"/>
  <c r="K5458" i="14"/>
  <c r="L5458" i="14" s="1"/>
  <c r="M5458" i="14" s="1"/>
  <c r="K5425" i="14"/>
  <c r="L5425" i="14" s="1"/>
  <c r="M5425" i="14" s="1"/>
  <c r="K5419" i="14"/>
  <c r="L5419" i="14" s="1"/>
  <c r="M5419" i="14" s="1"/>
  <c r="K5451" i="14"/>
  <c r="U5436" i="14" s="1"/>
  <c r="K5426" i="14"/>
  <c r="L5426" i="14" s="1"/>
  <c r="M5426" i="14" s="1"/>
  <c r="K5421" i="14"/>
  <c r="L5421" i="14" s="1"/>
  <c r="M5421" i="14" s="1"/>
  <c r="K5452" i="14"/>
  <c r="M5452" i="14" s="1"/>
  <c r="K5420" i="14"/>
  <c r="M5420" i="14" s="1"/>
  <c r="K5417" i="14"/>
  <c r="L5417" i="14" s="1"/>
  <c r="M5417" i="14" s="1"/>
  <c r="K5418" i="14"/>
  <c r="L5418" i="14" s="1"/>
  <c r="M5418" i="14" s="1"/>
  <c r="K5457" i="14"/>
  <c r="K5453" i="14"/>
  <c r="K5416" i="14"/>
  <c r="L5416" i="14" s="1"/>
  <c r="M5416" i="14" s="1"/>
  <c r="K5450" i="14"/>
  <c r="K5448" i="14"/>
  <c r="K5403" i="14"/>
  <c r="L5403" i="14" s="1"/>
  <c r="M5403" i="14" s="1"/>
  <c r="K5410" i="14"/>
  <c r="L5410" i="14" s="1"/>
  <c r="M5410" i="14" s="1"/>
  <c r="K5396" i="14"/>
  <c r="K5404" i="14"/>
  <c r="M5404" i="14" s="1"/>
  <c r="K5402" i="14"/>
  <c r="L5402" i="14" s="1"/>
  <c r="K5405" i="14"/>
  <c r="L5405" i="14" s="1"/>
  <c r="M5405" i="14" s="1"/>
  <c r="K5400" i="14"/>
  <c r="M5400" i="14" s="1"/>
  <c r="K5393" i="14"/>
  <c r="M5393" i="14" s="1"/>
  <c r="K5385" i="14"/>
  <c r="K5409" i="14"/>
  <c r="L5409" i="14" s="1"/>
  <c r="M5409" i="14" s="1"/>
  <c r="K5401" i="14"/>
  <c r="K5394" i="14"/>
  <c r="L5394" i="14" s="1"/>
  <c r="M5394" i="14" s="1"/>
  <c r="K5552" i="14"/>
  <c r="K5541" i="14"/>
  <c r="K5539" i="14"/>
  <c r="K5543" i="14"/>
  <c r="K5545" i="14"/>
  <c r="K5547" i="14"/>
  <c r="K5549" i="14"/>
  <c r="K5551" i="14"/>
  <c r="K5553" i="14"/>
  <c r="K5544" i="14"/>
  <c r="K5542" i="14"/>
  <c r="K5540" i="14"/>
  <c r="K5548" i="14"/>
  <c r="K5546" i="14"/>
  <c r="L5546" i="14" s="1"/>
  <c r="K5320" i="14"/>
  <c r="M5320" i="14" s="1"/>
  <c r="K4772" i="14"/>
  <c r="K5321" i="14"/>
  <c r="M5321" i="14" s="1"/>
  <c r="K5303" i="14"/>
  <c r="K5322" i="14"/>
  <c r="M5322" i="14" s="1"/>
  <c r="K5324" i="14"/>
  <c r="M5324" i="14" s="1"/>
  <c r="K5319" i="14"/>
  <c r="M5319" i="14" s="1"/>
  <c r="K5328" i="14"/>
  <c r="M5328" i="14" s="1"/>
  <c r="K5353" i="14"/>
  <c r="K5316" i="14"/>
  <c r="M5316" i="14" s="1"/>
  <c r="K5337" i="14"/>
  <c r="M5337" i="14" s="1"/>
  <c r="K5346" i="14"/>
  <c r="K5330" i="14"/>
  <c r="M5330" i="14" s="1"/>
  <c r="K5368" i="14"/>
  <c r="L5368" i="14" s="1"/>
  <c r="K5351" i="14"/>
  <c r="K5341" i="14"/>
  <c r="M5341" i="14" s="1"/>
  <c r="K5378" i="14"/>
  <c r="L5378" i="14" s="1"/>
  <c r="K5357" i="14"/>
  <c r="K5355" i="14"/>
  <c r="K5360" i="14"/>
  <c r="K5372" i="14"/>
  <c r="L5372" i="14" s="1"/>
  <c r="K5369" i="14"/>
  <c r="L5369" i="14" s="1"/>
  <c r="K5361" i="14"/>
  <c r="K5325" i="14"/>
  <c r="M5325" i="14" s="1"/>
  <c r="K5377" i="14"/>
  <c r="L5377" i="14" s="1"/>
  <c r="K5362" i="14"/>
  <c r="K5356" i="14"/>
  <c r="K5323" i="14"/>
  <c r="M5323" i="14" s="1"/>
  <c r="K5373" i="14"/>
  <c r="L5373" i="14" s="1"/>
  <c r="K5354" i="14"/>
  <c r="K5329" i="14"/>
  <c r="M5329" i="14" s="1"/>
  <c r="V5309" i="14"/>
  <c r="K5313" i="14"/>
  <c r="K5305" i="14"/>
  <c r="K5306" i="14"/>
  <c r="M5306" i="14" s="1"/>
  <c r="K5307" i="14"/>
  <c r="L5307" i="14" s="1"/>
  <c r="M5307" i="14" s="1"/>
  <c r="V5303" i="14"/>
  <c r="K5223" i="14"/>
  <c r="K5273" i="14"/>
  <c r="M5273" i="14" s="1"/>
  <c r="V5312" i="14"/>
  <c r="V5297" i="14"/>
  <c r="K5308" i="14"/>
  <c r="U5306" i="14"/>
  <c r="V5280" i="14"/>
  <c r="K5281" i="14"/>
  <c r="K5298" i="14"/>
  <c r="M5298" i="14" s="1"/>
  <c r="K5293" i="14"/>
  <c r="M5293" i="14" s="1"/>
  <c r="V5284" i="14"/>
  <c r="K5289" i="14"/>
  <c r="M5289" i="14" s="1"/>
  <c r="K5282" i="14"/>
  <c r="M5282" i="14" s="1"/>
  <c r="K5277" i="14"/>
  <c r="M5277" i="14" s="1"/>
  <c r="K5152" i="14"/>
  <c r="M5152" i="14" s="1"/>
  <c r="K5228" i="14"/>
  <c r="L5228" i="14" s="1"/>
  <c r="M5228" i="14" s="1"/>
  <c r="K5208" i="14"/>
  <c r="M5208" i="14" s="1"/>
  <c r="V5236" i="14"/>
  <c r="V5240" i="14"/>
  <c r="K5233" i="14"/>
  <c r="L5233" i="14" s="1"/>
  <c r="M5233" i="14" s="1"/>
  <c r="K5204" i="14"/>
  <c r="K5211" i="14"/>
  <c r="M5211" i="14" s="1"/>
  <c r="K5145" i="14"/>
  <c r="M5145" i="14" s="1"/>
  <c r="K5193" i="14"/>
  <c r="M5193" i="14" s="1"/>
  <c r="K5229" i="14"/>
  <c r="M5229" i="14" s="1"/>
  <c r="K5265" i="14"/>
  <c r="L5265" i="14" s="1"/>
  <c r="M5265" i="14" s="1"/>
  <c r="K5195" i="14"/>
  <c r="L5195" i="14" s="1"/>
  <c r="M5195" i="14" s="1"/>
  <c r="K5261" i="14"/>
  <c r="M5261" i="14" s="1"/>
  <c r="K5213" i="14"/>
  <c r="M5213" i="14" s="1"/>
  <c r="K5202" i="14"/>
  <c r="M5202" i="14" s="1"/>
  <c r="K5234" i="14"/>
  <c r="M5234" i="14" s="1"/>
  <c r="K5209" i="14"/>
  <c r="M5209" i="14" s="1"/>
  <c r="K5225" i="14"/>
  <c r="M5225" i="14" s="1"/>
  <c r="K5170" i="14"/>
  <c r="M5170" i="14" s="1"/>
  <c r="K5147" i="14"/>
  <c r="M5147" i="14" s="1"/>
  <c r="K5154" i="14"/>
  <c r="M5154" i="14" s="1"/>
  <c r="K5259" i="14"/>
  <c r="M5259" i="14" s="1"/>
  <c r="K5266" i="14"/>
  <c r="M5266" i="14" s="1"/>
  <c r="K5227" i="14"/>
  <c r="L5227" i="14" s="1"/>
  <c r="M5227" i="14" s="1"/>
  <c r="K5197" i="14"/>
  <c r="M5197" i="14" s="1"/>
  <c r="K5192" i="14"/>
  <c r="M5192" i="14" s="1"/>
  <c r="K5218" i="14"/>
  <c r="M5218" i="14" s="1"/>
  <c r="K5161" i="14"/>
  <c r="M5161" i="14" s="1"/>
  <c r="K5257" i="14"/>
  <c r="M5257" i="14" s="1"/>
  <c r="K5149" i="14"/>
  <c r="M5149" i="14" s="1"/>
  <c r="K5165" i="14"/>
  <c r="M5165" i="14" s="1"/>
  <c r="K5164" i="14"/>
  <c r="L5164" i="14" s="1"/>
  <c r="K5163" i="14"/>
  <c r="K5175" i="14"/>
  <c r="K5184" i="14"/>
  <c r="K5179" i="14"/>
  <c r="V5172" i="14"/>
  <c r="K5111" i="14"/>
  <c r="K5095" i="14"/>
  <c r="M5095" i="14" s="1"/>
  <c r="K5129" i="14"/>
  <c r="M5129" i="14" s="1"/>
  <c r="K5112" i="14"/>
  <c r="K5080" i="14"/>
  <c r="K5108" i="14"/>
  <c r="K5122" i="14"/>
  <c r="M5122" i="14" s="1"/>
  <c r="K5133" i="14"/>
  <c r="M5133" i="14" s="1"/>
  <c r="K5138" i="14"/>
  <c r="M5138" i="14" s="1"/>
  <c r="K5117" i="14"/>
  <c r="M5117" i="14" s="1"/>
  <c r="K5099" i="14"/>
  <c r="M5099" i="14" s="1"/>
  <c r="K5105" i="14"/>
  <c r="M5105" i="14" s="1"/>
  <c r="K5096" i="14"/>
  <c r="M5096" i="14" s="1"/>
  <c r="V5056" i="14"/>
  <c r="K5092" i="14"/>
  <c r="M5092" i="14" s="1"/>
  <c r="K5104" i="14"/>
  <c r="M5104" i="14" s="1"/>
  <c r="K5101" i="14"/>
  <c r="M5101" i="14" s="1"/>
  <c r="V5106" i="14"/>
  <c r="K5097" i="14"/>
  <c r="K5100" i="14"/>
  <c r="M5100" i="14" s="1"/>
  <c r="K5098" i="14"/>
  <c r="M5098" i="14" s="1"/>
  <c r="K5084" i="14"/>
  <c r="K5064" i="14"/>
  <c r="M5064" i="14" s="1"/>
  <c r="K5089" i="14"/>
  <c r="K5040" i="14"/>
  <c r="M5040" i="14" s="1"/>
  <c r="V5033" i="14"/>
  <c r="K5035" i="14"/>
  <c r="M5035" i="14" s="1"/>
  <c r="K5034" i="14"/>
  <c r="M5034" i="14" s="1"/>
  <c r="K5037" i="14"/>
  <c r="M5037" i="14" s="1"/>
  <c r="K5067" i="14"/>
  <c r="M5067" i="14" s="1"/>
  <c r="K5036" i="14"/>
  <c r="M5036" i="14" s="1"/>
  <c r="K5074" i="14"/>
  <c r="K5066" i="14"/>
  <c r="M5066" i="14" s="1"/>
  <c r="K5068" i="14"/>
  <c r="M5068" i="14" s="1"/>
  <c r="K5073" i="14"/>
  <c r="M5073" i="14" s="1"/>
  <c r="K5032" i="14"/>
  <c r="M5032" i="14" s="1"/>
  <c r="V5047" i="14"/>
  <c r="V5036" i="14"/>
  <c r="K5041" i="14"/>
  <c r="M5041" i="14" s="1"/>
  <c r="K5019" i="14"/>
  <c r="M5019" i="14" s="1"/>
  <c r="K4940" i="14"/>
  <c r="M4940" i="14" s="1"/>
  <c r="K4984" i="14"/>
  <c r="K4932" i="14"/>
  <c r="K5004" i="14"/>
  <c r="V5016" i="14"/>
  <c r="K4939" i="14"/>
  <c r="M4939" i="14" s="1"/>
  <c r="K4936" i="14"/>
  <c r="M4936" i="14" s="1"/>
  <c r="K4938" i="14"/>
  <c r="M4938" i="14" s="1"/>
  <c r="K4937" i="14"/>
  <c r="L4937" i="14" s="1"/>
  <c r="M4937" i="14" s="1"/>
  <c r="K4941" i="14"/>
  <c r="L4941" i="14" s="1"/>
  <c r="M4941" i="14" s="1"/>
  <c r="K4946" i="14"/>
  <c r="L4946" i="14" s="1"/>
  <c r="M4946" i="14" s="1"/>
  <c r="K4945" i="14"/>
  <c r="L4945" i="14" s="1"/>
  <c r="M4945" i="14" s="1"/>
  <c r="K5000" i="14"/>
  <c r="M5000" i="14" s="1"/>
  <c r="K5015" i="14"/>
  <c r="M5015" i="14" s="1"/>
  <c r="K4999" i="14"/>
  <c r="M4999" i="14" s="1"/>
  <c r="K5003" i="14"/>
  <c r="M5003" i="14" s="1"/>
  <c r="K5005" i="14"/>
  <c r="M5005" i="14" s="1"/>
  <c r="K5017" i="14"/>
  <c r="M5017" i="14" s="1"/>
  <c r="K5008" i="14"/>
  <c r="M5008" i="14" s="1"/>
  <c r="K5001" i="14"/>
  <c r="M5001" i="14" s="1"/>
  <c r="K5021" i="14"/>
  <c r="M5021" i="14" s="1"/>
  <c r="K5025" i="14"/>
  <c r="M5025" i="14" s="1"/>
  <c r="K5026" i="14"/>
  <c r="M5026" i="14" s="1"/>
  <c r="K5010" i="14"/>
  <c r="M5010" i="14" s="1"/>
  <c r="V4983" i="14"/>
  <c r="V4969" i="14"/>
  <c r="V4968" i="14"/>
  <c r="K4967" i="14"/>
  <c r="K4976" i="14"/>
  <c r="K4989" i="14"/>
  <c r="L4989" i="14" s="1"/>
  <c r="M4989" i="14" s="1"/>
  <c r="K4988" i="14"/>
  <c r="V4972" i="14"/>
  <c r="V4964" i="14"/>
  <c r="K4971" i="14"/>
  <c r="V4993" i="14"/>
  <c r="K4973" i="14"/>
  <c r="M4973" i="14" s="1"/>
  <c r="V4956" i="14"/>
  <c r="K4923" i="14"/>
  <c r="L4923" i="14" s="1"/>
  <c r="M4923" i="14" s="1"/>
  <c r="K4925" i="14"/>
  <c r="L4925" i="14" s="1"/>
  <c r="M4925" i="14" s="1"/>
  <c r="K4924" i="14"/>
  <c r="M4924" i="14" s="1"/>
  <c r="K4907" i="14"/>
  <c r="M4907" i="14" s="1"/>
  <c r="K4962" i="14"/>
  <c r="K4914" i="14"/>
  <c r="M4914" i="14" s="1"/>
  <c r="K4857" i="14"/>
  <c r="M4857" i="14" s="1"/>
  <c r="K4906" i="14"/>
  <c r="M4906" i="14" s="1"/>
  <c r="K4905" i="14"/>
  <c r="M4905" i="14" s="1"/>
  <c r="K4957" i="14"/>
  <c r="L4957" i="14" s="1"/>
  <c r="M4957" i="14" s="1"/>
  <c r="K4859" i="14"/>
  <c r="M4859" i="14" s="1"/>
  <c r="K4953" i="14"/>
  <c r="L4953" i="14" s="1"/>
  <c r="M4953" i="14" s="1"/>
  <c r="K4930" i="14"/>
  <c r="L4930" i="14" s="1"/>
  <c r="M4930" i="14" s="1"/>
  <c r="K4860" i="14"/>
  <c r="M4860" i="14" s="1"/>
  <c r="K4841" i="14"/>
  <c r="L4841" i="14" s="1"/>
  <c r="M4841" i="14" s="1"/>
  <c r="K4955" i="14"/>
  <c r="M4955" i="14" s="1"/>
  <c r="K4865" i="14"/>
  <c r="M4865" i="14" s="1"/>
  <c r="K4909" i="14"/>
  <c r="M4909" i="14" s="1"/>
  <c r="K4908" i="14"/>
  <c r="M4908" i="14" s="1"/>
  <c r="K4858" i="14"/>
  <c r="M4858" i="14" s="1"/>
  <c r="K4861" i="14"/>
  <c r="M4861" i="14" s="1"/>
  <c r="K4921" i="14"/>
  <c r="L4921" i="14" s="1"/>
  <c r="M4921" i="14" s="1"/>
  <c r="K4904" i="14"/>
  <c r="M4904" i="14" s="1"/>
  <c r="K4913" i="14"/>
  <c r="M4913" i="14" s="1"/>
  <c r="K4856" i="14"/>
  <c r="M4856" i="14" s="1"/>
  <c r="K4866" i="14"/>
  <c r="M4866" i="14" s="1"/>
  <c r="K4845" i="14"/>
  <c r="L4845" i="14" s="1"/>
  <c r="M4845" i="14" s="1"/>
  <c r="K4850" i="14"/>
  <c r="L4850" i="14" s="1"/>
  <c r="M4850" i="14" s="1"/>
  <c r="K4843" i="14"/>
  <c r="M4843" i="14" s="1"/>
  <c r="K4849" i="14"/>
  <c r="M4849" i="14" s="1"/>
  <c r="K4840" i="14"/>
  <c r="M4840" i="14" s="1"/>
  <c r="K4844" i="14"/>
  <c r="M4844" i="14" s="1"/>
  <c r="K4842" i="14"/>
  <c r="M4842" i="14" s="1"/>
  <c r="K4875" i="14"/>
  <c r="L4875" i="14" s="1"/>
  <c r="M4875" i="14" s="1"/>
  <c r="K4893" i="14"/>
  <c r="M4893" i="14" s="1"/>
  <c r="K4826" i="14"/>
  <c r="V4825" i="14"/>
  <c r="K4897" i="14"/>
  <c r="M4897" i="14" s="1"/>
  <c r="K4892" i="14"/>
  <c r="M4892" i="14" s="1"/>
  <c r="K4890" i="14"/>
  <c r="M4890" i="14" s="1"/>
  <c r="K4882" i="14"/>
  <c r="L4882" i="14" s="1"/>
  <c r="M4882" i="14" s="1"/>
  <c r="K4872" i="14"/>
  <c r="M4872" i="14" s="1"/>
  <c r="K4898" i="14"/>
  <c r="M4898" i="14" s="1"/>
  <c r="K4888" i="14"/>
  <c r="M4888" i="14" s="1"/>
  <c r="K4877" i="14"/>
  <c r="L4877" i="14" s="1"/>
  <c r="M4877" i="14" s="1"/>
  <c r="K4889" i="14"/>
  <c r="M4889" i="14" s="1"/>
  <c r="K4891" i="14"/>
  <c r="M4891" i="14" s="1"/>
  <c r="K4792" i="14"/>
  <c r="M4792" i="14" s="1"/>
  <c r="K4802" i="14"/>
  <c r="L4802" i="14" s="1"/>
  <c r="M4802" i="14" s="1"/>
  <c r="K4801" i="14"/>
  <c r="L4801" i="14" s="1"/>
  <c r="M4801" i="14" s="1"/>
  <c r="K4832" i="14"/>
  <c r="L4832" i="14" s="1"/>
  <c r="K4793" i="14"/>
  <c r="L4793" i="14" s="1"/>
  <c r="M4793" i="14" s="1"/>
  <c r="K4795" i="14"/>
  <c r="M4795" i="14" s="1"/>
  <c r="K4797" i="14"/>
  <c r="L4797" i="14" s="1"/>
  <c r="M4797" i="14" s="1"/>
  <c r="K4828" i="14"/>
  <c r="M4828" i="14" s="1"/>
  <c r="K4796" i="14"/>
  <c r="M4796" i="14" s="1"/>
  <c r="K4829" i="14"/>
  <c r="L4829" i="14" s="1"/>
  <c r="M4829" i="14" s="1"/>
  <c r="K4794" i="14"/>
  <c r="M4794" i="14" s="1"/>
  <c r="K4827" i="14"/>
  <c r="L4827" i="14" s="1"/>
  <c r="M4827" i="14" s="1"/>
  <c r="K4724" i="14"/>
  <c r="M4724" i="14" s="1"/>
  <c r="K4733" i="14"/>
  <c r="M4733" i="14" s="1"/>
  <c r="K4727" i="14"/>
  <c r="M4727" i="14" s="1"/>
  <c r="K4816" i="14"/>
  <c r="M4816" i="14" s="1"/>
  <c r="V4202" i="14"/>
  <c r="K4729" i="14"/>
  <c r="M4729" i="14" s="1"/>
  <c r="K4730" i="14"/>
  <c r="M4730" i="14" s="1"/>
  <c r="K4738" i="14"/>
  <c r="M4738" i="14" s="1"/>
  <c r="K4759" i="14"/>
  <c r="M4759" i="14" s="1"/>
  <c r="K4732" i="14"/>
  <c r="M4732" i="14" s="1"/>
  <c r="K4737" i="14"/>
  <c r="M4737" i="14" s="1"/>
  <c r="K4811" i="14"/>
  <c r="M4811" i="14" s="1"/>
  <c r="K4760" i="14"/>
  <c r="K4728" i="14"/>
  <c r="M4728" i="14" s="1"/>
  <c r="K4731" i="14"/>
  <c r="M4731" i="14" s="1"/>
  <c r="V4784" i="14"/>
  <c r="V4785" i="14"/>
  <c r="K4763" i="14"/>
  <c r="M4763" i="14" s="1"/>
  <c r="K4770" i="14"/>
  <c r="M4770" i="14" s="1"/>
  <c r="K4679" i="14"/>
  <c r="L4679" i="14" s="1"/>
  <c r="K4748" i="14"/>
  <c r="M4748" i="14" s="1"/>
  <c r="K4747" i="14"/>
  <c r="M4747" i="14" s="1"/>
  <c r="K4745" i="14"/>
  <c r="M4745" i="14" s="1"/>
  <c r="K4754" i="14"/>
  <c r="M4754" i="14" s="1"/>
  <c r="K4744" i="14"/>
  <c r="M4744" i="14" s="1"/>
  <c r="K4746" i="14"/>
  <c r="M4746" i="14" s="1"/>
  <c r="K4753" i="14"/>
  <c r="M4753" i="14" s="1"/>
  <c r="K4749" i="14"/>
  <c r="M4749" i="14" s="1"/>
  <c r="K4685" i="14"/>
  <c r="L4685" i="14" s="1"/>
  <c r="K4688" i="14"/>
  <c r="L4688" i="14" s="1"/>
  <c r="K4683" i="14"/>
  <c r="L4683" i="14" s="1"/>
  <c r="K4690" i="14"/>
  <c r="L4690" i="14" s="1"/>
  <c r="K4585" i="14"/>
  <c r="M4585" i="14" s="1"/>
  <c r="K4680" i="14"/>
  <c r="L4680" i="14" s="1"/>
  <c r="K4682" i="14"/>
  <c r="L4682" i="14" s="1"/>
  <c r="K4684" i="14"/>
  <c r="L4684" i="14" s="1"/>
  <c r="K4681" i="14"/>
  <c r="L4681" i="14" s="1"/>
  <c r="K4689" i="14"/>
  <c r="L4689" i="14" s="1"/>
  <c r="K4673" i="14"/>
  <c r="K4701" i="14"/>
  <c r="M4701" i="14" s="1"/>
  <c r="K4717" i="14"/>
  <c r="M4717" i="14" s="1"/>
  <c r="K4721" i="14"/>
  <c r="M4721" i="14" s="1"/>
  <c r="K4699" i="14"/>
  <c r="M4699" i="14" s="1"/>
  <c r="K4722" i="14"/>
  <c r="M4722" i="14" s="1"/>
  <c r="K4713" i="14"/>
  <c r="M4713" i="14" s="1"/>
  <c r="K4716" i="14"/>
  <c r="M4716" i="14" s="1"/>
  <c r="K4715" i="14"/>
  <c r="M4715" i="14" s="1"/>
  <c r="K4698" i="14"/>
  <c r="M4698" i="14" s="1"/>
  <c r="K4700" i="14"/>
  <c r="M4700" i="14" s="1"/>
  <c r="K4705" i="14"/>
  <c r="M4705" i="14" s="1"/>
  <c r="K4696" i="14"/>
  <c r="M4696" i="14" s="1"/>
  <c r="K4712" i="14"/>
  <c r="M4712" i="14" s="1"/>
  <c r="K4697" i="14"/>
  <c r="M4697" i="14" s="1"/>
  <c r="K4706" i="14"/>
  <c r="M4706" i="14" s="1"/>
  <c r="K4714" i="14"/>
  <c r="M4714" i="14" s="1"/>
  <c r="K4660" i="14"/>
  <c r="K4664" i="14"/>
  <c r="V4663" i="14"/>
  <c r="K4668" i="14"/>
  <c r="K4658" i="14"/>
  <c r="M4658" i="14" s="1"/>
  <c r="K4648" i="14"/>
  <c r="M4648" i="14" s="1"/>
  <c r="K4637" i="14"/>
  <c r="M4637" i="14" s="1"/>
  <c r="K4635" i="14"/>
  <c r="M4635" i="14" s="1"/>
  <c r="K4642" i="14"/>
  <c r="M4642" i="14" s="1"/>
  <c r="K4632" i="14"/>
  <c r="M4632" i="14" s="1"/>
  <c r="K4536" i="14"/>
  <c r="M4536" i="14" s="1"/>
  <c r="K4634" i="14"/>
  <c r="M4634" i="14" s="1"/>
  <c r="K4653" i="14"/>
  <c r="M4653" i="14" s="1"/>
  <c r="K4636" i="14"/>
  <c r="M4636" i="14" s="1"/>
  <c r="K4649" i="14"/>
  <c r="M4649" i="14" s="1"/>
  <c r="K4651" i="14"/>
  <c r="M4651" i="14" s="1"/>
  <c r="K4641" i="14"/>
  <c r="M4641" i="14" s="1"/>
  <c r="K4650" i="14"/>
  <c r="M4650" i="14" s="1"/>
  <c r="K4657" i="14"/>
  <c r="M4657" i="14" s="1"/>
  <c r="K4633" i="14"/>
  <c r="M4633" i="14" s="1"/>
  <c r="K4652" i="14"/>
  <c r="M4652" i="14" s="1"/>
  <c r="K4523" i="14"/>
  <c r="M4523" i="14" s="1"/>
  <c r="K4587" i="14"/>
  <c r="M4587" i="14" s="1"/>
  <c r="K4601" i="14"/>
  <c r="K4521" i="14"/>
  <c r="M4521" i="14" s="1"/>
  <c r="K4520" i="14"/>
  <c r="K4617" i="14"/>
  <c r="M4617" i="14" s="1"/>
  <c r="K4529" i="14"/>
  <c r="K4586" i="14"/>
  <c r="M4586" i="14" s="1"/>
  <c r="K4621" i="14"/>
  <c r="M4621" i="14" s="1"/>
  <c r="K4594" i="14"/>
  <c r="M4594" i="14" s="1"/>
  <c r="K4589" i="14"/>
  <c r="M4589" i="14" s="1"/>
  <c r="K4593" i="14"/>
  <c r="M4593" i="14" s="1"/>
  <c r="K4584" i="14"/>
  <c r="M4584" i="14" s="1"/>
  <c r="K4600" i="14"/>
  <c r="L4600" i="14" s="1"/>
  <c r="K4605" i="14"/>
  <c r="K4619" i="14"/>
  <c r="M4619" i="14" s="1"/>
  <c r="K4530" i="14"/>
  <c r="M4530" i="14" s="1"/>
  <c r="K4588" i="14"/>
  <c r="M4588" i="14" s="1"/>
  <c r="K4525" i="14"/>
  <c r="M4525" i="14" s="1"/>
  <c r="K4524" i="14"/>
  <c r="M4524" i="14" s="1"/>
  <c r="K4522" i="14"/>
  <c r="L4522" i="14" s="1"/>
  <c r="M4522" i="14" s="1"/>
  <c r="K4626" i="14"/>
  <c r="M4626" i="14" s="1"/>
  <c r="K4573" i="14"/>
  <c r="M4573" i="14" s="1"/>
  <c r="K4571" i="14"/>
  <c r="M4571" i="14" s="1"/>
  <c r="K4567" i="14"/>
  <c r="M4567" i="14" s="1"/>
  <c r="K4568" i="14"/>
  <c r="M4568" i="14" s="1"/>
  <c r="K4569" i="14"/>
  <c r="M4569" i="14" s="1"/>
  <c r="K4578" i="14"/>
  <c r="M4578" i="14" s="1"/>
  <c r="K4544" i="14"/>
  <c r="M4544" i="14" s="1"/>
  <c r="K4553" i="14"/>
  <c r="M4553" i="14" s="1"/>
  <c r="K4561" i="14"/>
  <c r="K4557" i="14"/>
  <c r="M4557" i="14" s="1"/>
  <c r="K4552" i="14"/>
  <c r="K4504" i="14"/>
  <c r="M4504" i="14" s="1"/>
  <c r="K4562" i="14"/>
  <c r="M4562" i="14" s="1"/>
  <c r="K4556" i="14"/>
  <c r="M4556" i="14" s="1"/>
  <c r="K4498" i="14"/>
  <c r="M4498" i="14" s="1"/>
  <c r="K4492" i="14"/>
  <c r="M4492" i="14" s="1"/>
  <c r="K4490" i="14"/>
  <c r="M4490" i="14" s="1"/>
  <c r="K4508" i="14"/>
  <c r="M4508" i="14" s="1"/>
  <c r="K4545" i="14"/>
  <c r="M4545" i="14" s="1"/>
  <c r="K4540" i="14"/>
  <c r="M4540" i="14" s="1"/>
  <c r="K4514" i="14"/>
  <c r="M4514" i="14" s="1"/>
  <c r="K4507" i="14"/>
  <c r="M4507" i="14" s="1"/>
  <c r="K4539" i="14"/>
  <c r="M4539" i="14" s="1"/>
  <c r="K4513" i="14"/>
  <c r="M4513" i="14" s="1"/>
  <c r="K4537" i="14"/>
  <c r="M4537" i="14" s="1"/>
  <c r="K4506" i="14"/>
  <c r="M4506" i="14" s="1"/>
  <c r="K4509" i="14"/>
  <c r="M4509" i="14" s="1"/>
  <c r="K4489" i="14"/>
  <c r="M4489" i="14" s="1"/>
  <c r="K4497" i="14"/>
  <c r="M4497" i="14" s="1"/>
  <c r="K4505" i="14"/>
  <c r="M4505" i="14" s="1"/>
  <c r="K4541" i="14"/>
  <c r="M4541" i="14" s="1"/>
  <c r="K4493" i="14"/>
  <c r="M4493" i="14" s="1"/>
  <c r="K4491" i="14"/>
  <c r="M4491" i="14" s="1"/>
  <c r="K4538" i="14"/>
  <c r="M4538" i="14" s="1"/>
  <c r="K4546" i="14"/>
  <c r="M4546" i="14" s="1"/>
  <c r="K4488" i="14"/>
  <c r="M4488" i="14" s="1"/>
  <c r="K4477" i="14"/>
  <c r="M4477" i="14" s="1"/>
  <c r="K4464" i="14"/>
  <c r="M4464" i="14" s="1"/>
  <c r="K4466" i="14"/>
  <c r="M4466" i="14" s="1"/>
  <c r="K4460" i="14"/>
  <c r="M4460" i="14" s="1"/>
  <c r="K4481" i="14"/>
  <c r="M4481" i="14" s="1"/>
  <c r="K4472" i="14"/>
  <c r="M4472" i="14" s="1"/>
  <c r="K4402" i="14"/>
  <c r="L4402" i="14" s="1"/>
  <c r="M4402" i="14" s="1"/>
  <c r="K4452" i="14"/>
  <c r="M4452" i="14" s="1"/>
  <c r="K4457" i="14"/>
  <c r="M4457" i="14" s="1"/>
  <c r="K4465" i="14"/>
  <c r="M4465" i="14" s="1"/>
  <c r="K4482" i="14"/>
  <c r="M4482" i="14" s="1"/>
  <c r="K4474" i="14"/>
  <c r="M4474" i="14" s="1"/>
  <c r="K4475" i="14"/>
  <c r="M4475" i="14" s="1"/>
  <c r="K4455" i="14"/>
  <c r="M4455" i="14" s="1"/>
  <c r="K4459" i="14"/>
  <c r="M4459" i="14" s="1"/>
  <c r="K4456" i="14"/>
  <c r="M4456" i="14" s="1"/>
  <c r="K4458" i="14"/>
  <c r="M4458" i="14" s="1"/>
  <c r="K4476" i="14"/>
  <c r="M4476" i="14" s="1"/>
  <c r="K4461" i="14"/>
  <c r="M4461" i="14" s="1"/>
  <c r="K4473" i="14"/>
  <c r="M4473" i="14" s="1"/>
  <c r="K4434" i="14"/>
  <c r="M4434" i="14" s="1"/>
  <c r="K4425" i="14"/>
  <c r="M4425" i="14" s="1"/>
  <c r="K4441" i="14"/>
  <c r="M4441" i="14" s="1"/>
  <c r="K4429" i="14"/>
  <c r="M4429" i="14" s="1"/>
  <c r="K4445" i="14"/>
  <c r="M4445" i="14" s="1"/>
  <c r="K4450" i="14"/>
  <c r="M4450" i="14" s="1"/>
  <c r="K4443" i="14"/>
  <c r="M4443" i="14" s="1"/>
  <c r="K4408" i="14"/>
  <c r="K4391" i="14"/>
  <c r="V4393" i="14"/>
  <c r="K4388" i="14"/>
  <c r="K4349" i="14"/>
  <c r="K4395" i="14"/>
  <c r="K4412" i="14"/>
  <c r="V4407" i="14"/>
  <c r="V4411" i="14"/>
  <c r="V4416" i="14"/>
  <c r="V4410" i="14"/>
  <c r="V4404" i="14"/>
  <c r="V4305" i="14"/>
  <c r="K4306" i="14"/>
  <c r="K4320" i="14"/>
  <c r="V4337" i="14"/>
  <c r="V4380" i="14"/>
  <c r="V4300" i="14"/>
  <c r="V4344" i="14"/>
  <c r="V4376" i="14"/>
  <c r="V4279" i="14"/>
  <c r="K4308" i="14"/>
  <c r="V4346" i="14"/>
  <c r="K4328" i="14"/>
  <c r="K4322" i="14"/>
  <c r="K4324" i="14"/>
  <c r="K4317" i="14"/>
  <c r="K4315" i="14"/>
  <c r="K4321" i="14"/>
  <c r="K4360" i="14"/>
  <c r="K4384" i="14"/>
  <c r="K4292" i="14"/>
  <c r="K4354" i="14"/>
  <c r="V4353" i="14"/>
  <c r="K4375" i="14"/>
  <c r="V4298" i="14"/>
  <c r="K4297" i="14"/>
  <c r="V4330" i="14"/>
  <c r="K4343" i="14"/>
  <c r="K4368" i="14"/>
  <c r="K4377" i="14"/>
  <c r="V4372" i="14"/>
  <c r="V4362" i="14"/>
  <c r="K4365" i="14"/>
  <c r="V4312" i="14"/>
  <c r="K3917" i="14"/>
  <c r="V4258" i="14"/>
  <c r="V4196" i="14"/>
  <c r="V3713" i="14"/>
  <c r="V3161" i="14"/>
  <c r="V3057" i="14"/>
  <c r="V2951" i="14"/>
  <c r="V2279" i="14"/>
  <c r="V3912" i="14"/>
  <c r="V3400" i="14"/>
  <c r="V3194" i="14"/>
  <c r="V3074" i="14"/>
  <c r="V2642" i="14"/>
  <c r="V2522" i="14"/>
  <c r="V3953" i="14"/>
  <c r="V3751" i="14"/>
  <c r="V3441" i="14"/>
  <c r="V3339" i="14"/>
  <c r="V3017" i="14"/>
  <c r="V2897" i="14"/>
  <c r="V2687" i="14"/>
  <c r="V4060" i="14"/>
  <c r="V3754" i="14"/>
  <c r="V3650" i="14"/>
  <c r="V3344" i="14"/>
  <c r="V2904" i="14"/>
  <c r="V2690" i="14"/>
  <c r="V2578" i="14"/>
  <c r="V2094" i="14"/>
  <c r="V1722" i="14"/>
  <c r="V1775" i="14"/>
  <c r="V907" i="14"/>
  <c r="V3460" i="14"/>
  <c r="V2916" i="14"/>
  <c r="V2376" i="14"/>
  <c r="V1808" i="14"/>
  <c r="V1012" i="14"/>
  <c r="V2200" i="14"/>
  <c r="V1914" i="14"/>
  <c r="V1576" i="14"/>
  <c r="V1454" i="14"/>
  <c r="V700" i="14"/>
  <c r="V2244" i="14"/>
  <c r="V1692" i="14"/>
  <c r="V696" i="14"/>
  <c r="V2161" i="14"/>
  <c r="V1547" i="14"/>
  <c r="V3956" i="14"/>
  <c r="V3444" i="14"/>
  <c r="V2900" i="14"/>
  <c r="V2360" i="14"/>
  <c r="V4267" i="14"/>
  <c r="V4256" i="14"/>
  <c r="V4162" i="14"/>
  <c r="V4161" i="14"/>
  <c r="V3937" i="14"/>
  <c r="V3425" i="14"/>
  <c r="V3223" i="14"/>
  <c r="V2771" i="14"/>
  <c r="V2671" i="14"/>
  <c r="V3852" i="14"/>
  <c r="K3752" i="14"/>
  <c r="V3546" i="14"/>
  <c r="V3442" i="14"/>
  <c r="V3240" i="14"/>
  <c r="V2898" i="14"/>
  <c r="V2342" i="14"/>
  <c r="V3997" i="14"/>
  <c r="V3897" i="14"/>
  <c r="V3793" i="14"/>
  <c r="V3691" i="14"/>
  <c r="V2841" i="14"/>
  <c r="V2729" i="14"/>
  <c r="V2511" i="14"/>
  <c r="V1951" i="14"/>
  <c r="V4106" i="14"/>
  <c r="V4002" i="14"/>
  <c r="V3800" i="14"/>
  <c r="V3696" i="14"/>
  <c r="V3594" i="14"/>
  <c r="V3168" i="14"/>
  <c r="V2736" i="14"/>
  <c r="V2628" i="14"/>
  <c r="V2008" i="14"/>
  <c r="V1880" i="14"/>
  <c r="V1542" i="14"/>
  <c r="V876" i="14"/>
  <c r="V1599" i="14"/>
  <c r="V1269" i="14"/>
  <c r="V3684" i="14"/>
  <c r="V3156" i="14"/>
  <c r="V2052" i="14"/>
  <c r="V1488" i="14"/>
  <c r="V2116" i="14"/>
  <c r="V1972" i="14"/>
  <c r="V1850" i="14"/>
  <c r="V1508" i="14"/>
  <c r="V1292" i="14"/>
  <c r="V1792" i="14"/>
  <c r="V920" i="14"/>
  <c r="V2038" i="14"/>
  <c r="V1795" i="14"/>
  <c r="V1685" i="14"/>
  <c r="V1445" i="14"/>
  <c r="V923" i="14"/>
  <c r="V3540" i="14"/>
  <c r="V3012" i="14"/>
  <c r="V4272" i="14"/>
  <c r="V4253" i="14"/>
  <c r="V4156" i="14"/>
  <c r="V4152" i="14"/>
  <c r="V4009" i="14"/>
  <c r="V3497" i="14"/>
  <c r="V3191" i="14"/>
  <c r="V4026" i="14"/>
  <c r="V3720" i="14"/>
  <c r="V3514" i="14"/>
  <c r="V2866" i="14"/>
  <c r="V2656" i="14"/>
  <c r="V2434" i="14"/>
  <c r="V2310" i="14"/>
  <c r="V4219" i="14"/>
  <c r="V3965" i="14"/>
  <c r="V3659" i="14"/>
  <c r="V3353" i="14"/>
  <c r="V3249" i="14"/>
  <c r="V2479" i="14"/>
  <c r="V2133" i="14"/>
  <c r="V4074" i="14"/>
  <c r="V3970" i="14"/>
  <c r="V3664" i="14"/>
  <c r="V3562" i="14"/>
  <c r="V3458" i="14"/>
  <c r="V3256" i="14"/>
  <c r="V2704" i="14"/>
  <c r="V2592" i="14"/>
  <c r="V2482" i="14"/>
  <c r="V2111" i="14"/>
  <c r="V1848" i="14"/>
  <c r="V1736" i="14"/>
  <c r="V1502" i="14"/>
  <c r="V1104" i="14"/>
  <c r="V772" i="14"/>
  <c r="V1761" i="14"/>
  <c r="V1645" i="14"/>
  <c r="V557" i="14"/>
  <c r="V2852" i="14"/>
  <c r="V2296" i="14"/>
  <c r="V1740" i="14"/>
  <c r="V776" i="14"/>
  <c r="V2179" i="14"/>
  <c r="V2030" i="14"/>
  <c r="V1784" i="14"/>
  <c r="V916" i="14"/>
  <c r="V666" i="14"/>
  <c r="V2172" i="14"/>
  <c r="V1616" i="14"/>
  <c r="V508" i="14"/>
  <c r="V2140" i="14"/>
  <c r="V1533" i="14"/>
  <c r="V1353" i="14"/>
  <c r="V867" i="14"/>
  <c r="V3892" i="14"/>
  <c r="V2836" i="14"/>
  <c r="V4282" i="14"/>
  <c r="V4208" i="14"/>
  <c r="V4167" i="14"/>
  <c r="V3543" i="14"/>
  <c r="V3233" i="14"/>
  <c r="V2681" i="14"/>
  <c r="V2463" i="14"/>
  <c r="V3866" i="14"/>
  <c r="V3560" i="14"/>
  <c r="V2698" i="14"/>
  <c r="V2372" i="14"/>
  <c r="V4113" i="14"/>
  <c r="V3601" i="14"/>
  <c r="V3399" i="14"/>
  <c r="V2641" i="14"/>
  <c r="V2299" i="14"/>
  <c r="V4120" i="14"/>
  <c r="V3914" i="14"/>
  <c r="V3708" i="14"/>
  <c r="V3608" i="14"/>
  <c r="V3402" i="14"/>
  <c r="V3196" i="14"/>
  <c r="V2644" i="14"/>
  <c r="V2528" i="14"/>
  <c r="V2420" i="14"/>
  <c r="V1780" i="14"/>
  <c r="V1556" i="14"/>
  <c r="V1438" i="14"/>
  <c r="V664" i="14"/>
  <c r="V2266" i="14"/>
  <c r="V2100" i="14"/>
  <c r="V1609" i="14"/>
  <c r="V1283" i="14"/>
  <c r="V361" i="14"/>
  <c r="V3748" i="14"/>
  <c r="V3236" i="14"/>
  <c r="V2684" i="14"/>
  <c r="V2120" i="14"/>
  <c r="V1864" i="14"/>
  <c r="V1638" i="14"/>
  <c r="V1348" i="14"/>
  <c r="V1168" i="14"/>
  <c r="V550" i="14"/>
  <c r="V2000" i="14"/>
  <c r="V2096" i="14"/>
  <c r="V1727" i="14"/>
  <c r="V1493" i="14"/>
  <c r="V1277" i="14"/>
  <c r="V763" i="14"/>
  <c r="V3732" i="14"/>
  <c r="V3220" i="14"/>
  <c r="V2668" i="14"/>
  <c r="V3817" i="14"/>
  <c r="V4244" i="14"/>
  <c r="V3767" i="14"/>
  <c r="V2913" i="14"/>
  <c r="V2481" i="14"/>
  <c r="V2373" i="14"/>
  <c r="V4240" i="14"/>
  <c r="V4090" i="14"/>
  <c r="V3884" i="14"/>
  <c r="V3784" i="14"/>
  <c r="V3578" i="14"/>
  <c r="V3474" i="14"/>
  <c r="V3372" i="14"/>
  <c r="V3272" i="14"/>
  <c r="V2930" i="14"/>
  <c r="V2828" i="14"/>
  <c r="V2720" i="14"/>
  <c r="V2498" i="14"/>
  <c r="V2390" i="14"/>
  <c r="V3929" i="14"/>
  <c r="V3723" i="14"/>
  <c r="V3417" i="14"/>
  <c r="V3211" i="14"/>
  <c r="V2761" i="14"/>
  <c r="V2437" i="14"/>
  <c r="V2317" i="14"/>
  <c r="V2205" i="14"/>
  <c r="V2095" i="14"/>
  <c r="V1987" i="14"/>
  <c r="V4138" i="14"/>
  <c r="V3932" i="14"/>
  <c r="V3728" i="14"/>
  <c r="V3626" i="14"/>
  <c r="V3420" i="14"/>
  <c r="V3216" i="14"/>
  <c r="V2550" i="14"/>
  <c r="V2204" i="14"/>
  <c r="V2057" i="14"/>
  <c r="V1804" i="14"/>
  <c r="V1456" i="14"/>
  <c r="V1248" i="14"/>
  <c r="V932" i="14"/>
  <c r="V702" i="14"/>
  <c r="V2364" i="14"/>
  <c r="V2126" i="14"/>
  <c r="V1981" i="14"/>
  <c r="V1857" i="14"/>
  <c r="V1113" i="14"/>
  <c r="V3332" i="14"/>
  <c r="V2228" i="14"/>
  <c r="V1676" i="14"/>
  <c r="V660" i="14"/>
  <c r="V2013" i="14"/>
  <c r="V1882" i="14"/>
  <c r="V1770" i="14"/>
  <c r="V1548" i="14"/>
  <c r="V2104" i="14"/>
  <c r="V2124" i="14"/>
  <c r="V1976" i="14"/>
  <c r="V1745" i="14"/>
  <c r="V521" i="14"/>
  <c r="V3828" i="14"/>
  <c r="V4283" i="14"/>
  <c r="V4247" i="14"/>
  <c r="V4177" i="14"/>
  <c r="V4160" i="14"/>
  <c r="V4013" i="14"/>
  <c r="V3809" i="14"/>
  <c r="V2857" i="14"/>
  <c r="V2745" i="14"/>
  <c r="V2527" i="14"/>
  <c r="V2301" i="14"/>
  <c r="V4136" i="14"/>
  <c r="V3930" i="14"/>
  <c r="V3826" i="14"/>
  <c r="V3724" i="14"/>
  <c r="V3624" i="14"/>
  <c r="V3520" i="14"/>
  <c r="V3418" i="14"/>
  <c r="V3096" i="14"/>
  <c r="V2660" i="14"/>
  <c r="V2548" i="14"/>
  <c r="V3463" i="14"/>
  <c r="V3257" i="14"/>
  <c r="V2919" i="14"/>
  <c r="V2593" i="14"/>
  <c r="V2483" i="14"/>
  <c r="V2141" i="14"/>
  <c r="V3978" i="14"/>
  <c r="V3466" i="14"/>
  <c r="V3362" i="14"/>
  <c r="V3144" i="14"/>
  <c r="V2488" i="14"/>
  <c r="V2326" i="14"/>
  <c r="V1975" i="14"/>
  <c r="V1852" i="14"/>
  <c r="V1510" i="14"/>
  <c r="V520" i="14"/>
  <c r="V2196" i="14"/>
  <c r="V2040" i="14"/>
  <c r="V1797" i="14"/>
  <c r="V673" i="14"/>
  <c r="V2476" i="14"/>
  <c r="V1916" i="14"/>
  <c r="V1244" i="14"/>
  <c r="V2233" i="14"/>
  <c r="V2076" i="14"/>
  <c r="V1936" i="14"/>
  <c r="V1268" i="14"/>
  <c r="V1024" i="14"/>
  <c r="V2208" i="14"/>
  <c r="V624" i="14"/>
  <c r="V2148" i="14"/>
  <c r="V2004" i="14"/>
  <c r="V1409" i="14"/>
  <c r="V1177" i="14"/>
  <c r="V3924" i="14"/>
  <c r="V3412" i="14"/>
  <c r="V2868" i="14"/>
  <c r="V4289" i="14"/>
  <c r="V4260" i="14"/>
  <c r="V4209" i="14"/>
  <c r="V4204" i="14"/>
  <c r="V4235" i="14"/>
  <c r="V3881" i="14"/>
  <c r="V3575" i="14"/>
  <c r="V3469" i="14"/>
  <c r="V3369" i="14"/>
  <c r="V3265" i="14"/>
  <c r="V2925" i="14"/>
  <c r="V2713" i="14"/>
  <c r="V2495" i="14"/>
  <c r="V4104" i="14"/>
  <c r="V3592" i="14"/>
  <c r="V2956" i="14"/>
  <c r="V2512" i="14"/>
  <c r="V4145" i="14"/>
  <c r="V4043" i="14"/>
  <c r="V3737" i="14"/>
  <c r="V3633" i="14"/>
  <c r="V3225" i="14"/>
  <c r="V3105" i="14"/>
  <c r="V2673" i="14"/>
  <c r="V2557" i="14"/>
  <c r="V2451" i="14"/>
  <c r="V2217" i="14"/>
  <c r="V4184" i="14"/>
  <c r="V3946" i="14"/>
  <c r="V3228" i="14"/>
  <c r="V3112" i="14"/>
  <c r="V3008" i="14"/>
  <c r="V2676" i="14"/>
  <c r="V2456" i="14"/>
  <c r="V2221" i="14"/>
  <c r="V2074" i="14"/>
  <c r="V1930" i="14"/>
  <c r="V2110" i="14"/>
  <c r="V1960" i="14"/>
  <c r="V1847" i="14"/>
  <c r="V1621" i="14"/>
  <c r="V1501" i="14"/>
  <c r="V1287" i="14"/>
  <c r="V2716" i="14"/>
  <c r="V2156" i="14"/>
  <c r="V1596" i="14"/>
  <c r="V1996" i="14"/>
  <c r="V1534" i="14"/>
  <c r="V2032" i="14"/>
  <c r="V1472" i="14"/>
  <c r="V2280" i="14"/>
  <c r="V2107" i="14"/>
  <c r="V1841" i="14"/>
  <c r="V1731" i="14"/>
  <c r="V767" i="14"/>
  <c r="V3764" i="14"/>
  <c r="V3252" i="14"/>
  <c r="V4263" i="14"/>
  <c r="V4168" i="14"/>
  <c r="V4203" i="14"/>
  <c r="V4129" i="14"/>
  <c r="V3821" i="14"/>
  <c r="V3617" i="14"/>
  <c r="V3515" i="14"/>
  <c r="V3415" i="14"/>
  <c r="V2871" i="14"/>
  <c r="V2657" i="14"/>
  <c r="V2537" i="14"/>
  <c r="V4146" i="14"/>
  <c r="V4044" i="14"/>
  <c r="V3944" i="14"/>
  <c r="V3532" i="14"/>
  <c r="V3432" i="14"/>
  <c r="V3226" i="14"/>
  <c r="V2888" i="14"/>
  <c r="V2776" i="14"/>
  <c r="V2674" i="14"/>
  <c r="V3985" i="14"/>
  <c r="V3473" i="14"/>
  <c r="V4092" i="14"/>
  <c r="V3992" i="14"/>
  <c r="V3786" i="14"/>
  <c r="V3682" i="14"/>
  <c r="V3480" i="14"/>
  <c r="V2722" i="14"/>
  <c r="V2614" i="14"/>
  <c r="V2396" i="14"/>
  <c r="V2139" i="14"/>
  <c r="V1754" i="14"/>
  <c r="V1170" i="14"/>
  <c r="V2212" i="14"/>
  <c r="V1461" i="14"/>
  <c r="V1015" i="14"/>
  <c r="V3620" i="14"/>
  <c r="V3092" i="14"/>
  <c r="V1984" i="14"/>
  <c r="V1404" i="14"/>
  <c r="V1608" i="14"/>
  <c r="V1278" i="14"/>
  <c r="V360" i="14"/>
  <c r="V1860" i="14"/>
  <c r="V1921" i="14"/>
  <c r="V1805" i="14"/>
  <c r="V4116" i="14"/>
  <c r="V3604" i="14"/>
  <c r="V2524" i="14"/>
  <c r="V3511" i="14"/>
  <c r="V4199" i="14"/>
  <c r="V4266" i="14"/>
  <c r="V4268" i="14"/>
  <c r="V4210" i="14"/>
  <c r="V4164" i="14"/>
  <c r="V3433" i="14"/>
  <c r="V3227" i="14"/>
  <c r="V2889" i="14"/>
  <c r="V2675" i="14"/>
  <c r="V2333" i="14"/>
  <c r="V3552" i="14"/>
  <c r="V2584" i="14"/>
  <c r="V2472" i="14"/>
  <c r="V2366" i="14"/>
  <c r="V2242" i="14"/>
  <c r="V3901" i="14"/>
  <c r="V3169" i="14"/>
  <c r="V2629" i="14"/>
  <c r="V2411" i="14"/>
  <c r="V1955" i="14"/>
  <c r="V3906" i="14"/>
  <c r="V3804" i="14"/>
  <c r="V3192" i="14"/>
  <c r="V2850" i="14"/>
  <c r="V2640" i="14"/>
  <c r="V2520" i="14"/>
  <c r="V1776" i="14"/>
  <c r="V1550" i="14"/>
  <c r="V1418" i="14"/>
  <c r="V908" i="14"/>
  <c r="V636" i="14"/>
  <c r="V1944" i="14"/>
  <c r="V1061" i="14"/>
  <c r="V3716" i="14"/>
  <c r="V2652" i="14"/>
  <c r="V2088" i="14"/>
  <c r="V1528" i="14"/>
  <c r="V2125" i="14"/>
  <c r="V1980" i="14"/>
  <c r="V1856" i="14"/>
  <c r="V1630" i="14"/>
  <c r="V1344" i="14"/>
  <c r="V782" i="14"/>
  <c r="V1340" i="14"/>
  <c r="V1939" i="14"/>
  <c r="V1601" i="14"/>
  <c r="V3188" i="14"/>
  <c r="V2636" i="14"/>
  <c r="V4288" i="14"/>
  <c r="V4264" i="14"/>
  <c r="V4151" i="14"/>
  <c r="V4155" i="14"/>
  <c r="V4241" i="14"/>
  <c r="V3885" i="14"/>
  <c r="V3579" i="14"/>
  <c r="V3373" i="14"/>
  <c r="V3153" i="14"/>
  <c r="V2947" i="14"/>
  <c r="V2499" i="14"/>
  <c r="V4108" i="14"/>
  <c r="V3802" i="14"/>
  <c r="V3596" i="14"/>
  <c r="V3170" i="14"/>
  <c r="V2412" i="14"/>
  <c r="V2288" i="14"/>
  <c r="V3641" i="14"/>
  <c r="V3537" i="14"/>
  <c r="V3335" i="14"/>
  <c r="V3229" i="14"/>
  <c r="V3009" i="14"/>
  <c r="V2677" i="14"/>
  <c r="V2569" i="14"/>
  <c r="V4188" i="14"/>
  <c r="V3850" i="14"/>
  <c r="V3746" i="14"/>
  <c r="V3338" i="14"/>
  <c r="V3234" i="14"/>
  <c r="V2682" i="14"/>
  <c r="V2464" i="14"/>
  <c r="V2081" i="14"/>
  <c r="V1938" i="14"/>
  <c r="V1822" i="14"/>
  <c r="V1270" i="14"/>
  <c r="V2150" i="14"/>
  <c r="V1653" i="14"/>
  <c r="V1195" i="14"/>
  <c r="V629" i="14"/>
  <c r="V3428" i="14"/>
  <c r="V2884" i="14"/>
  <c r="V2328" i="14"/>
  <c r="V1772" i="14"/>
  <c r="V904" i="14"/>
  <c r="V1796" i="14"/>
  <c r="V1570" i="14"/>
  <c r="V2068" i="14"/>
  <c r="V1971" i="14"/>
  <c r="V773" i="14"/>
  <c r="V3796" i="14"/>
  <c r="V2732" i="14"/>
  <c r="V4172" i="14"/>
  <c r="V4171" i="14"/>
  <c r="V4193" i="14"/>
  <c r="V3547" i="14"/>
  <c r="V3121" i="14"/>
  <c r="V2689" i="14"/>
  <c r="V2363" i="14"/>
  <c r="V3976" i="14"/>
  <c r="V3872" i="14"/>
  <c r="V3770" i="14"/>
  <c r="V3464" i="14"/>
  <c r="V3138" i="14"/>
  <c r="V2594" i="14"/>
  <c r="V2256" i="14"/>
  <c r="V3403" i="14"/>
  <c r="V2529" i="14"/>
  <c r="V2195" i="14"/>
  <c r="V4124" i="14"/>
  <c r="V4024" i="14"/>
  <c r="V3408" i="14"/>
  <c r="V2984" i="14"/>
  <c r="V2432" i="14"/>
  <c r="V2036" i="14"/>
  <c r="V2220" i="14"/>
  <c r="V2072" i="14"/>
  <c r="V1477" i="14"/>
  <c r="V1019" i="14"/>
  <c r="V735" i="14"/>
  <c r="V3652" i="14"/>
  <c r="V3124" i="14"/>
  <c r="V2580" i="14"/>
  <c r="V2016" i="14"/>
  <c r="V1448" i="14"/>
  <c r="V1500" i="14"/>
  <c r="V1070" i="14"/>
  <c r="V768" i="14"/>
  <c r="V512" i="14"/>
  <c r="V1900" i="14"/>
  <c r="V1220" i="14"/>
  <c r="V2215" i="14"/>
  <c r="V2066" i="14"/>
  <c r="V1813" i="14"/>
  <c r="V709" i="14"/>
  <c r="V4180" i="14"/>
  <c r="V3636" i="14"/>
  <c r="V2564" i="14"/>
  <c r="V4276" i="14"/>
  <c r="V4249" i="14"/>
  <c r="V4148" i="14"/>
  <c r="V4176" i="14"/>
  <c r="V4001" i="14"/>
  <c r="V3489" i="14"/>
  <c r="V3065" i="14"/>
  <c r="V2513" i="14"/>
  <c r="V2405" i="14"/>
  <c r="V4122" i="14"/>
  <c r="V4018" i="14"/>
  <c r="V3916" i="14"/>
  <c r="V3506" i="14"/>
  <c r="V3404" i="14"/>
  <c r="V2752" i="14"/>
  <c r="V3961" i="14"/>
  <c r="V3857" i="14"/>
  <c r="V3755" i="14"/>
  <c r="V3655" i="14"/>
  <c r="V3449" i="14"/>
  <c r="V2801" i="14"/>
  <c r="V2691" i="14"/>
  <c r="V2583" i="14"/>
  <c r="V4218" i="14"/>
  <c r="V3658" i="14"/>
  <c r="V3026" i="14"/>
  <c r="V2808" i="14"/>
  <c r="V2696" i="14"/>
  <c r="V1954" i="14"/>
  <c r="V1730" i="14"/>
  <c r="V1610" i="14"/>
  <c r="V766" i="14"/>
  <c r="V2175" i="14"/>
  <c r="V1889" i="14"/>
  <c r="V1779" i="14"/>
  <c r="V1679" i="14"/>
  <c r="V4004" i="14"/>
  <c r="V1844" i="14"/>
  <c r="V2211" i="14"/>
  <c r="V1806" i="14"/>
  <c r="V1584" i="14"/>
  <c r="V1250" i="14"/>
  <c r="V760" i="14"/>
  <c r="V2021" i="14"/>
  <c r="V1551" i="14"/>
  <c r="V637" i="14"/>
  <c r="V3988" i="14"/>
  <c r="V3476" i="14"/>
  <c r="V2944" i="14"/>
  <c r="V3201" i="14"/>
  <c r="V4040" i="14"/>
  <c r="V3936" i="14"/>
  <c r="V3834" i="14"/>
  <c r="V3628" i="14"/>
  <c r="V3528" i="14"/>
  <c r="V3424" i="14"/>
  <c r="V3000" i="14"/>
  <c r="V2880" i="14"/>
  <c r="V2770" i="14"/>
  <c r="V2666" i="14"/>
  <c r="V4081" i="14"/>
  <c r="V3673" i="14"/>
  <c r="V3569" i="14"/>
  <c r="V3467" i="14"/>
  <c r="V2605" i="14"/>
  <c r="V2145" i="14"/>
  <c r="V4236" i="14"/>
  <c r="V4088" i="14"/>
  <c r="V3882" i="14"/>
  <c r="V3472" i="14"/>
  <c r="V3370" i="14"/>
  <c r="V3266" i="14"/>
  <c r="V3148" i="14"/>
  <c r="V3048" i="14"/>
  <c r="V2826" i="14"/>
  <c r="V2128" i="14"/>
  <c r="V1346" i="14"/>
  <c r="V784" i="14"/>
  <c r="V548" i="14"/>
  <c r="V2056" i="14"/>
  <c r="V1697" i="14"/>
  <c r="V1247" i="14"/>
  <c r="V4100" i="14"/>
  <c r="V3060" i="14"/>
  <c r="V2508" i="14"/>
  <c r="V1948" i="14"/>
  <c r="V1280" i="14"/>
  <c r="V2247" i="14"/>
  <c r="V2092" i="14"/>
  <c r="V1940" i="14"/>
  <c r="V1832" i="14"/>
  <c r="V1486" i="14"/>
  <c r="V744" i="14"/>
  <c r="V1056" i="14"/>
  <c r="V2198" i="14"/>
  <c r="V2045" i="14"/>
  <c r="V1453" i="14"/>
  <c r="V699" i="14"/>
  <c r="V3572" i="14"/>
  <c r="V2492" i="14"/>
  <c r="V4284" i="14"/>
  <c r="V4251" i="14"/>
  <c r="V4201" i="14"/>
  <c r="V4065" i="14"/>
  <c r="V3863" i="14"/>
  <c r="V3129" i="14"/>
  <c r="V2585" i="14"/>
  <c r="V4234" i="14"/>
  <c r="V3880" i="14"/>
  <c r="V3776" i="14"/>
  <c r="V3468" i="14"/>
  <c r="V3368" i="14"/>
  <c r="V2824" i="14"/>
  <c r="V2490" i="14"/>
  <c r="V2264" i="14"/>
  <c r="V3921" i="14"/>
  <c r="V3719" i="14"/>
  <c r="V3409" i="14"/>
  <c r="V2433" i="14"/>
  <c r="V2199" i="14"/>
  <c r="V2091" i="14"/>
  <c r="V4028" i="14"/>
  <c r="V3928" i="14"/>
  <c r="V3722" i="14"/>
  <c r="V3416" i="14"/>
  <c r="V2658" i="14"/>
  <c r="V2538" i="14"/>
  <c r="V2436" i="14"/>
  <c r="V1690" i="14"/>
  <c r="V1452" i="14"/>
  <c r="V1232" i="14"/>
  <c r="V1974" i="14"/>
  <c r="V1851" i="14"/>
  <c r="V3812" i="14"/>
  <c r="V2748" i="14"/>
  <c r="V2192" i="14"/>
  <c r="V544" i="14"/>
  <c r="V2006" i="14"/>
  <c r="V1874" i="14"/>
  <c r="V1540" i="14"/>
  <c r="V1932" i="14"/>
  <c r="V1264" i="14"/>
  <c r="V2222" i="14"/>
  <c r="V1935" i="14"/>
  <c r="V1713" i="14"/>
  <c r="V1593" i="14"/>
  <c r="V3668" i="14"/>
  <c r="V3140" i="14"/>
  <c r="V2600" i="14"/>
  <c r="V4280" i="14"/>
  <c r="V4157" i="14"/>
  <c r="V4153" i="14"/>
  <c r="V4137" i="14"/>
  <c r="V4033" i="14"/>
  <c r="V3419" i="14"/>
  <c r="V2993" i="14"/>
  <c r="V2661" i="14"/>
  <c r="V2441" i="14"/>
  <c r="V4186" i="14"/>
  <c r="V3948" i="14"/>
  <c r="V3848" i="14"/>
  <c r="V3232" i="14"/>
  <c r="V2792" i="14"/>
  <c r="V2680" i="14"/>
  <c r="V3993" i="14"/>
  <c r="V3889" i="14"/>
  <c r="V3687" i="14"/>
  <c r="V3377" i="14"/>
  <c r="V3159" i="14"/>
  <c r="V2833" i="14"/>
  <c r="V2619" i="14"/>
  <c r="V2273" i="14"/>
  <c r="V2055" i="14"/>
  <c r="V3996" i="14"/>
  <c r="V3690" i="14"/>
  <c r="V3484" i="14"/>
  <c r="V2144" i="14"/>
  <c r="V1872" i="14"/>
  <c r="V1905" i="14"/>
  <c r="V1785" i="14"/>
  <c r="V1683" i="14"/>
  <c r="V1567" i="14"/>
  <c r="V917" i="14"/>
  <c r="V3524" i="14"/>
  <c r="V2996" i="14"/>
  <c r="V2444" i="14"/>
  <c r="V1876" i="14"/>
  <c r="V1192" i="14"/>
  <c r="V2216" i="14"/>
  <c r="V1706" i="14"/>
  <c r="V1256" i="14"/>
  <c r="V2312" i="14"/>
  <c r="V1756" i="14"/>
  <c r="V864" i="14"/>
  <c r="V2178" i="14"/>
  <c r="V1681" i="14"/>
  <c r="V1557" i="14"/>
  <c r="V1223" i="14"/>
  <c r="V3508" i="14"/>
  <c r="V2428" i="14"/>
  <c r="V4273" i="14"/>
  <c r="V4200" i="14"/>
  <c r="V3873" i="14"/>
  <c r="V3771" i="14"/>
  <c r="V3465" i="14"/>
  <c r="V2921" i="14"/>
  <c r="V2817" i="14"/>
  <c r="V2381" i="14"/>
  <c r="V3994" i="14"/>
  <c r="V3890" i="14"/>
  <c r="V3788" i="14"/>
  <c r="V3482" i="14"/>
  <c r="V3378" i="14"/>
  <c r="V3160" i="14"/>
  <c r="V2950" i="14"/>
  <c r="V2724" i="14"/>
  <c r="V2620" i="14"/>
  <c r="V2504" i="14"/>
  <c r="V4039" i="14"/>
  <c r="V3933" i="14"/>
  <c r="V3729" i="14"/>
  <c r="V3421" i="14"/>
  <c r="V2999" i="14"/>
  <c r="V2665" i="14"/>
  <c r="V2447" i="14"/>
  <c r="V2213" i="14"/>
  <c r="V2101" i="14"/>
  <c r="V4042" i="14"/>
  <c r="V3938" i="14"/>
  <c r="V3530" i="14"/>
  <c r="V3426" i="14"/>
  <c r="V3224" i="14"/>
  <c r="V2672" i="14"/>
  <c r="V2450" i="14"/>
  <c r="V2214" i="14"/>
  <c r="V2064" i="14"/>
  <c r="V1586" i="14"/>
  <c r="V1462" i="14"/>
  <c r="V708" i="14"/>
  <c r="V2134" i="14"/>
  <c r="V1990" i="14"/>
  <c r="V1865" i="14"/>
  <c r="V1531" i="14"/>
  <c r="V789" i="14"/>
  <c r="V3876" i="14"/>
  <c r="V3364" i="14"/>
  <c r="V2820" i="14"/>
  <c r="V732" i="14"/>
  <c r="V2170" i="14"/>
  <c r="V1778" i="14"/>
  <c r="V1662" i="14"/>
  <c r="V1436" i="14"/>
  <c r="V1204" i="14"/>
  <c r="V2136" i="14"/>
  <c r="V2129" i="14"/>
  <c r="V1863" i="14"/>
  <c r="V1517" i="14"/>
  <c r="V3860" i="14"/>
  <c r="V3348" i="14"/>
  <c r="V2804" i="14"/>
  <c r="L5556" i="14" l="1"/>
  <c r="M5556" i="14" s="1"/>
  <c r="U5684" i="14"/>
  <c r="L5560" i="14"/>
  <c r="M5560" i="14" s="1"/>
  <c r="U5688" i="14"/>
  <c r="L5557" i="14"/>
  <c r="M5557" i="14" s="1"/>
  <c r="U5685" i="14"/>
  <c r="L5562" i="14"/>
  <c r="M5562" i="14" s="1"/>
  <c r="U5690" i="14"/>
  <c r="L5564" i="14"/>
  <c r="M5564" i="14" s="1"/>
  <c r="U5692" i="14"/>
  <c r="M5799" i="14"/>
  <c r="L5729" i="14"/>
  <c r="M5729" i="14" s="1"/>
  <c r="U5729" i="14"/>
  <c r="L5728" i="14"/>
  <c r="M5728" i="14" s="1"/>
  <c r="U5728" i="14"/>
  <c r="L5724" i="14"/>
  <c r="M5724" i="14" s="1"/>
  <c r="U5724" i="14"/>
  <c r="L5717" i="14"/>
  <c r="M5717" i="14" s="1"/>
  <c r="U5717" i="14"/>
  <c r="K5819" i="14"/>
  <c r="L5819" i="14" s="1"/>
  <c r="M5824" i="14"/>
  <c r="M5823" i="14" s="1"/>
  <c r="M5499" i="14"/>
  <c r="M5575" i="14"/>
  <c r="K5779" i="14"/>
  <c r="K5823" i="14"/>
  <c r="M5731" i="14"/>
  <c r="L5823" i="14"/>
  <c r="M5795" i="14"/>
  <c r="M5783" i="14"/>
  <c r="M5782" i="14" s="1"/>
  <c r="K5800" i="14"/>
  <c r="L5800" i="14" s="1"/>
  <c r="M5800" i="14" s="1"/>
  <c r="K5814" i="14"/>
  <c r="K5795" i="14"/>
  <c r="L5795" i="14" s="1"/>
  <c r="L5779" i="14"/>
  <c r="K5807" i="14"/>
  <c r="L5807" i="14" s="1"/>
  <c r="L5791" i="14"/>
  <c r="K5812" i="14"/>
  <c r="L5812" i="14" s="1"/>
  <c r="L5811" i="14" s="1"/>
  <c r="K5811" i="14"/>
  <c r="K5782" i="14"/>
  <c r="K5809" i="14"/>
  <c r="U5809" i="14" s="1"/>
  <c r="L5782" i="14"/>
  <c r="K5791" i="14"/>
  <c r="M5815" i="14"/>
  <c r="M5572" i="14"/>
  <c r="K5720" i="14"/>
  <c r="V5720" i="14"/>
  <c r="K5719" i="14"/>
  <c r="U5799" i="14" s="1"/>
  <c r="V5719" i="14"/>
  <c r="M5442" i="14"/>
  <c r="U5427" i="14"/>
  <c r="M5780" i="14"/>
  <c r="M5779" i="14" s="1"/>
  <c r="M5792" i="14"/>
  <c r="M5791" i="14" s="1"/>
  <c r="K5731" i="14"/>
  <c r="M5584" i="14"/>
  <c r="M5734" i="14"/>
  <c r="M5743" i="14"/>
  <c r="K5743" i="14"/>
  <c r="K5734" i="14"/>
  <c r="L5574" i="14"/>
  <c r="M5574" i="14" s="1"/>
  <c r="L5571" i="14"/>
  <c r="M5571" i="14" s="1"/>
  <c r="L5583" i="14"/>
  <c r="M5583" i="14" s="1"/>
  <c r="M5760" i="14"/>
  <c r="M5759" i="14" s="1"/>
  <c r="K5386" i="14"/>
  <c r="M5386" i="14" s="1"/>
  <c r="K5389" i="14"/>
  <c r="L5389" i="14" s="1"/>
  <c r="M5389" i="14" s="1"/>
  <c r="K5387" i="14"/>
  <c r="L5387" i="14" s="1"/>
  <c r="M5387" i="14" s="1"/>
  <c r="K5388" i="14"/>
  <c r="M5388" i="14" s="1"/>
  <c r="K5384" i="14"/>
  <c r="M5384" i="14" s="1"/>
  <c r="L5750" i="14"/>
  <c r="L5747" i="14"/>
  <c r="K5747" i="14"/>
  <c r="L5759" i="14"/>
  <c r="K5759" i="14"/>
  <c r="K5750" i="14"/>
  <c r="M5751" i="14"/>
  <c r="M5750" i="14" s="1"/>
  <c r="M5748" i="14"/>
  <c r="M5747" i="14" s="1"/>
  <c r="L5727" i="14"/>
  <c r="K5716" i="14"/>
  <c r="U5796" i="14" s="1"/>
  <c r="K5715" i="14"/>
  <c r="U5795" i="14" s="1"/>
  <c r="K5537" i="14"/>
  <c r="V5537" i="14"/>
  <c r="K5532" i="14"/>
  <c r="V5532" i="14"/>
  <c r="K5531" i="14"/>
  <c r="V5531" i="14"/>
  <c r="K5528" i="14"/>
  <c r="V5528" i="14"/>
  <c r="K5527" i="14"/>
  <c r="U5527" i="14" s="1"/>
  <c r="V5527" i="14"/>
  <c r="M5683" i="14"/>
  <c r="K5679" i="14"/>
  <c r="M5670" i="14"/>
  <c r="K5670" i="14"/>
  <c r="K5683" i="14"/>
  <c r="L5683" i="14" s="1"/>
  <c r="K5668" i="14"/>
  <c r="L5667" i="14" s="1"/>
  <c r="K5667" i="14"/>
  <c r="K5696" i="14"/>
  <c r="L5696" i="14" s="1"/>
  <c r="M5696" i="14" s="1"/>
  <c r="M5695" i="14" s="1"/>
  <c r="K5695" i="14"/>
  <c r="L5695" i="14" s="1"/>
  <c r="L5670" i="14"/>
  <c r="M5680" i="14"/>
  <c r="M5679" i="14" s="1"/>
  <c r="M5622" i="14"/>
  <c r="M5487" i="14"/>
  <c r="L5567" i="14"/>
  <c r="M5567" i="14" s="1"/>
  <c r="M5568" i="14"/>
  <c r="K5487" i="14"/>
  <c r="K5622" i="14"/>
  <c r="M5478" i="14"/>
  <c r="K5478" i="14"/>
  <c r="M5631" i="14"/>
  <c r="L5559" i="14"/>
  <c r="K5476" i="14"/>
  <c r="M5476" i="14" s="1"/>
  <c r="M5475" i="14" s="1"/>
  <c r="K5475" i="14"/>
  <c r="K5631" i="14"/>
  <c r="K5619" i="14"/>
  <c r="K5620" i="14"/>
  <c r="M5620" i="14" s="1"/>
  <c r="M5619" i="14" s="1"/>
  <c r="L5549" i="14"/>
  <c r="M5549" i="14" s="1"/>
  <c r="L5545" i="14"/>
  <c r="M5545" i="14" s="1"/>
  <c r="V356" i="14"/>
  <c r="K5533" i="14"/>
  <c r="M5533" i="14" s="1"/>
  <c r="V5533" i="14"/>
  <c r="K5529" i="14"/>
  <c r="U5529" i="14" s="1"/>
  <c r="V5529" i="14"/>
  <c r="L5548" i="14"/>
  <c r="M5548" i="14" s="1"/>
  <c r="L5544" i="14"/>
  <c r="M5544" i="14" s="1"/>
  <c r="L5543" i="14"/>
  <c r="L5552" i="14"/>
  <c r="L5540" i="14"/>
  <c r="L5553" i="14"/>
  <c r="M5553" i="14" s="1"/>
  <c r="L5547" i="14"/>
  <c r="M5547" i="14" s="1"/>
  <c r="M5546" i="14"/>
  <c r="L5541" i="14"/>
  <c r="M5541" i="14" s="1"/>
  <c r="K5538" i="14"/>
  <c r="V5514" i="14"/>
  <c r="M5500" i="14"/>
  <c r="K5511" i="14"/>
  <c r="K5524" i="14"/>
  <c r="K5516" i="14"/>
  <c r="V5516" i="14"/>
  <c r="V5530" i="14"/>
  <c r="K5530" i="14"/>
  <c r="K5512" i="14"/>
  <c r="V5512" i="14"/>
  <c r="K5520" i="14"/>
  <c r="K5536" i="14"/>
  <c r="U5536" i="14" s="1"/>
  <c r="K5508" i="14"/>
  <c r="K5521" i="14"/>
  <c r="V5521" i="14"/>
  <c r="U5514" i="14"/>
  <c r="M5514" i="14"/>
  <c r="K4279" i="14"/>
  <c r="U4279" i="14" s="1"/>
  <c r="L5433" i="14"/>
  <c r="M5433" i="14" s="1"/>
  <c r="K5463" i="14"/>
  <c r="K5462" i="14"/>
  <c r="K5471" i="14"/>
  <c r="K5460" i="14"/>
  <c r="L5471" i="14"/>
  <c r="K5494" i="14"/>
  <c r="K5503" i="14"/>
  <c r="K5504" i="14"/>
  <c r="K5492" i="14"/>
  <c r="M5080" i="14"/>
  <c r="V5435" i="14"/>
  <c r="M5084" i="14"/>
  <c r="L5089" i="14"/>
  <c r="M5089" i="14" s="1"/>
  <c r="K5436" i="14"/>
  <c r="L5436" i="14" s="1"/>
  <c r="M5436" i="14" s="1"/>
  <c r="V5436" i="14"/>
  <c r="K5434" i="14"/>
  <c r="V5434" i="14"/>
  <c r="V5432" i="14"/>
  <c r="V5428" i="14"/>
  <c r="K5428" i="14"/>
  <c r="L5435" i="14"/>
  <c r="M5435" i="14" s="1"/>
  <c r="V5431" i="14"/>
  <c r="K5431" i="14"/>
  <c r="V5440" i="14"/>
  <c r="K5440" i="14"/>
  <c r="L5440" i="14" s="1"/>
  <c r="L5450" i="14"/>
  <c r="M5450" i="14" s="1"/>
  <c r="U5435" i="14"/>
  <c r="L5449" i="14"/>
  <c r="M5449" i="14" s="1"/>
  <c r="U5434" i="14"/>
  <c r="L5453" i="14"/>
  <c r="M5453" i="14" s="1"/>
  <c r="U5438" i="14"/>
  <c r="K5415" i="14"/>
  <c r="K5414" i="14"/>
  <c r="M5444" i="14"/>
  <c r="K5447" i="14"/>
  <c r="U5432" i="14" s="1"/>
  <c r="K5446" i="14"/>
  <c r="U5431" i="14" s="1"/>
  <c r="K5456" i="14"/>
  <c r="U5441" i="14" s="1"/>
  <c r="K5455" i="14"/>
  <c r="U5440" i="14" s="1"/>
  <c r="L5457" i="14"/>
  <c r="M5457" i="14" s="1"/>
  <c r="L5448" i="14"/>
  <c r="M5448" i="14" s="1"/>
  <c r="K5412" i="14"/>
  <c r="K5424" i="14"/>
  <c r="L5424" i="14" s="1"/>
  <c r="K5423" i="14"/>
  <c r="L5451" i="14"/>
  <c r="M5451" i="14" s="1"/>
  <c r="M5402" i="14"/>
  <c r="K5408" i="14"/>
  <c r="L5408" i="14" s="1"/>
  <c r="K5407" i="14"/>
  <c r="K5392" i="14"/>
  <c r="K5391" i="14"/>
  <c r="L5401" i="14"/>
  <c r="M5401" i="14" s="1"/>
  <c r="K5383" i="14"/>
  <c r="K5382" i="14"/>
  <c r="L5396" i="14"/>
  <c r="L5395" i="14" s="1"/>
  <c r="M5385" i="14"/>
  <c r="K5398" i="14"/>
  <c r="K5399" i="14"/>
  <c r="K5380" i="14"/>
  <c r="K5352" i="14"/>
  <c r="V5352" i="14"/>
  <c r="K5348" i="14"/>
  <c r="U5333" i="14" s="1"/>
  <c r="V5348" i="14"/>
  <c r="U5345" i="14"/>
  <c r="L5360" i="14"/>
  <c r="M5360" i="14" s="1"/>
  <c r="U5378" i="14"/>
  <c r="M5378" i="14"/>
  <c r="U5338" i="14"/>
  <c r="L5353" i="14"/>
  <c r="M5353" i="14" s="1"/>
  <c r="U5341" i="14"/>
  <c r="L5356" i="14"/>
  <c r="M5356" i="14" s="1"/>
  <c r="U5346" i="14"/>
  <c r="L5361" i="14"/>
  <c r="M5361" i="14" s="1"/>
  <c r="U5340" i="14"/>
  <c r="L5355" i="14"/>
  <c r="M5355" i="14" s="1"/>
  <c r="U5369" i="14"/>
  <c r="M5369" i="14"/>
  <c r="K5364" i="14"/>
  <c r="V5364" i="14"/>
  <c r="U5336" i="14"/>
  <c r="L5351" i="14"/>
  <c r="M5351" i="14" s="1"/>
  <c r="U5339" i="14"/>
  <c r="L5354" i="14"/>
  <c r="M5354" i="14" s="1"/>
  <c r="U5347" i="14"/>
  <c r="L5362" i="14"/>
  <c r="M5362" i="14" s="1"/>
  <c r="V5371" i="14"/>
  <c r="K5371" i="14"/>
  <c r="M5346" i="14"/>
  <c r="K5370" i="14"/>
  <c r="V5370" i="14"/>
  <c r="K5367" i="14"/>
  <c r="V5367" i="14"/>
  <c r="M5377" i="14"/>
  <c r="K5376" i="14"/>
  <c r="V5376" i="14"/>
  <c r="U5373" i="14"/>
  <c r="M5373" i="14"/>
  <c r="U5372" i="14"/>
  <c r="M5372" i="14"/>
  <c r="U5368" i="14"/>
  <c r="M5368" i="14"/>
  <c r="U5342" i="14"/>
  <c r="L5357" i="14"/>
  <c r="M5357" i="14" s="1"/>
  <c r="K5335" i="14"/>
  <c r="V5335" i="14"/>
  <c r="K5332" i="14"/>
  <c r="V5332" i="14"/>
  <c r="V5344" i="14"/>
  <c r="K5344" i="14"/>
  <c r="K5339" i="14"/>
  <c r="V5339" i="14"/>
  <c r="K5340" i="14"/>
  <c r="V5340" i="14"/>
  <c r="K5338" i="14"/>
  <c r="V5338" i="14"/>
  <c r="K5336" i="14"/>
  <c r="V5336" i="14"/>
  <c r="M5318" i="14"/>
  <c r="K5359" i="14"/>
  <c r="U5344" i="14" s="1"/>
  <c r="K5327" i="14"/>
  <c r="M5327" i="14"/>
  <c r="K5318" i="14"/>
  <c r="K5314" i="14"/>
  <c r="V5314" i="14"/>
  <c r="K5309" i="14"/>
  <c r="M5309" i="14" s="1"/>
  <c r="K5297" i="14"/>
  <c r="U5297" i="14" s="1"/>
  <c r="V5313" i="14"/>
  <c r="V354" i="14"/>
  <c r="V348" i="14"/>
  <c r="V352" i="14"/>
  <c r="V351" i="14"/>
  <c r="V355" i="14"/>
  <c r="V5305" i="14"/>
  <c r="V5302" i="14"/>
  <c r="K5300" i="14"/>
  <c r="V5300" i="14"/>
  <c r="U5308" i="14"/>
  <c r="L5308" i="14"/>
  <c r="M5308" i="14" s="1"/>
  <c r="M5305" i="14"/>
  <c r="U5305" i="14"/>
  <c r="V5304" i="14"/>
  <c r="K5304" i="14"/>
  <c r="L5304" i="14" s="1"/>
  <c r="M5304" i="14" s="1"/>
  <c r="K5312" i="14"/>
  <c r="U5313" i="14"/>
  <c r="L5313" i="14"/>
  <c r="M5313" i="14" s="1"/>
  <c r="U5303" i="14"/>
  <c r="L5303" i="14"/>
  <c r="K5280" i="14"/>
  <c r="L5280" i="14" s="1"/>
  <c r="V5281" i="14"/>
  <c r="K5284" i="14"/>
  <c r="M5284" i="14" s="1"/>
  <c r="V5296" i="14"/>
  <c r="K5296" i="14"/>
  <c r="J5295" i="14"/>
  <c r="K5291" i="14"/>
  <c r="V5291" i="14"/>
  <c r="V5274" i="14"/>
  <c r="K5274" i="14"/>
  <c r="V5271" i="14"/>
  <c r="K5271" i="14"/>
  <c r="K5276" i="14"/>
  <c r="V5276" i="14"/>
  <c r="V5290" i="14"/>
  <c r="K5290" i="14"/>
  <c r="K5275" i="14"/>
  <c r="V5275" i="14"/>
  <c r="V5268" i="14"/>
  <c r="K5268" i="14"/>
  <c r="K5288" i="14"/>
  <c r="V5288" i="14"/>
  <c r="V5287" i="14"/>
  <c r="K5287" i="14"/>
  <c r="J5286" i="14"/>
  <c r="U5281" i="14"/>
  <c r="L5281" i="14"/>
  <c r="M5281" i="14" s="1"/>
  <c r="K5292" i="14"/>
  <c r="V5292" i="14"/>
  <c r="V5272" i="14"/>
  <c r="K5272" i="14"/>
  <c r="K4665" i="14"/>
  <c r="U4665" i="14" s="1"/>
  <c r="V4665" i="14"/>
  <c r="K4669" i="14"/>
  <c r="U4669" i="14" s="1"/>
  <c r="V4669" i="14"/>
  <c r="K4674" i="14"/>
  <c r="U4674" i="14" s="1"/>
  <c r="V4674" i="14"/>
  <c r="K5186" i="14"/>
  <c r="L5186" i="14" s="1"/>
  <c r="V5186" i="14"/>
  <c r="K5185" i="14"/>
  <c r="U5185" i="14" s="1"/>
  <c r="V5185" i="14"/>
  <c r="K5181" i="14"/>
  <c r="L5181" i="14" s="1"/>
  <c r="V5181" i="14"/>
  <c r="K5180" i="14"/>
  <c r="U5180" i="14" s="1"/>
  <c r="V5180" i="14"/>
  <c r="K5178" i="14"/>
  <c r="U5178" i="14" s="1"/>
  <c r="V5178" i="14"/>
  <c r="K5177" i="14"/>
  <c r="L5177" i="14" s="1"/>
  <c r="V5177" i="14"/>
  <c r="K5176" i="14"/>
  <c r="U5176" i="14" s="1"/>
  <c r="V5176" i="14"/>
  <c r="K5236" i="14"/>
  <c r="K5240" i="14"/>
  <c r="M5240" i="14" s="1"/>
  <c r="K5151" i="14"/>
  <c r="U5151" i="14" s="1"/>
  <c r="V5248" i="14"/>
  <c r="K5248" i="14"/>
  <c r="K5216" i="14"/>
  <c r="K5188" i="14"/>
  <c r="K5207" i="14"/>
  <c r="L5207" i="14" s="1"/>
  <c r="L5204" i="14"/>
  <c r="M5204" i="14" s="1"/>
  <c r="K5263" i="14"/>
  <c r="U5263" i="14" s="1"/>
  <c r="K5264" i="14"/>
  <c r="K5224" i="14"/>
  <c r="V5224" i="14"/>
  <c r="K5255" i="14"/>
  <c r="K5217" i="14"/>
  <c r="V5217" i="14"/>
  <c r="K5212" i="14"/>
  <c r="V5212" i="14"/>
  <c r="V5258" i="14"/>
  <c r="K5258" i="14"/>
  <c r="V5196" i="14"/>
  <c r="K5196" i="14"/>
  <c r="V5210" i="14"/>
  <c r="K5210" i="14"/>
  <c r="K5220" i="14"/>
  <c r="K5140" i="14"/>
  <c r="V5140" i="14"/>
  <c r="V5148" i="14"/>
  <c r="K5148" i="14"/>
  <c r="K5260" i="14"/>
  <c r="V5260" i="14"/>
  <c r="K5200" i="14"/>
  <c r="K5249" i="14"/>
  <c r="V5249" i="14"/>
  <c r="L5223" i="14"/>
  <c r="K5243" i="14"/>
  <c r="V5243" i="14"/>
  <c r="K5256" i="14"/>
  <c r="V5256" i="14"/>
  <c r="V5146" i="14"/>
  <c r="K5146" i="14"/>
  <c r="K5226" i="14"/>
  <c r="V5226" i="14"/>
  <c r="V5153" i="14"/>
  <c r="K5153" i="14"/>
  <c r="K5241" i="14"/>
  <c r="V5241" i="14"/>
  <c r="K5244" i="14"/>
  <c r="V5244" i="14"/>
  <c r="K5194" i="14"/>
  <c r="V5194" i="14"/>
  <c r="K5201" i="14"/>
  <c r="V5201" i="14"/>
  <c r="K5245" i="14"/>
  <c r="V5245" i="14"/>
  <c r="K5231" i="14"/>
  <c r="U5231" i="14" s="1"/>
  <c r="K5232" i="14"/>
  <c r="K5191" i="14"/>
  <c r="V5242" i="14"/>
  <c r="K5242" i="14"/>
  <c r="K5250" i="14"/>
  <c r="U5331" i="14" s="1"/>
  <c r="V5250" i="14"/>
  <c r="K5252" i="14"/>
  <c r="V5252" i="14"/>
  <c r="V5239" i="14"/>
  <c r="K5239" i="14"/>
  <c r="K5143" i="14"/>
  <c r="M5143" i="14" s="1"/>
  <c r="V5144" i="14"/>
  <c r="K5144" i="14"/>
  <c r="K5160" i="14"/>
  <c r="V5160" i="14"/>
  <c r="K5162" i="14"/>
  <c r="U5162" i="14" s="1"/>
  <c r="V5162" i="14"/>
  <c r="K5169" i="14"/>
  <c r="V5169" i="14"/>
  <c r="L5179" i="14"/>
  <c r="M5179" i="14" s="1"/>
  <c r="K5172" i="14"/>
  <c r="U5172" i="14" s="1"/>
  <c r="L5184" i="14"/>
  <c r="M5184" i="14" s="1"/>
  <c r="V5111" i="14"/>
  <c r="L5175" i="14"/>
  <c r="M5164" i="14"/>
  <c r="L5163" i="14"/>
  <c r="M5163" i="14" s="1"/>
  <c r="K5156" i="14"/>
  <c r="K5159" i="14"/>
  <c r="K5168" i="14"/>
  <c r="V5112" i="14"/>
  <c r="K5056" i="14"/>
  <c r="M5056" i="14" s="1"/>
  <c r="V5108" i="14"/>
  <c r="K5116" i="14"/>
  <c r="V5116" i="14"/>
  <c r="M5112" i="14"/>
  <c r="U5112" i="14"/>
  <c r="V5131" i="14"/>
  <c r="K5131" i="14"/>
  <c r="K5120" i="14"/>
  <c r="V5120" i="14"/>
  <c r="V5124" i="14"/>
  <c r="K5124" i="14"/>
  <c r="V5127" i="14"/>
  <c r="K5127" i="14"/>
  <c r="L5127" i="14" s="1"/>
  <c r="K5136" i="14"/>
  <c r="V5130" i="14"/>
  <c r="K5130" i="14"/>
  <c r="K5115" i="14"/>
  <c r="V5115" i="14"/>
  <c r="V5137" i="14"/>
  <c r="K5137" i="14"/>
  <c r="V5132" i="14"/>
  <c r="K5132" i="14"/>
  <c r="K5114" i="14"/>
  <c r="V5114" i="14"/>
  <c r="V5113" i="14"/>
  <c r="K5113" i="14"/>
  <c r="M5113" i="14" s="1"/>
  <c r="M5108" i="14"/>
  <c r="U5108" i="14"/>
  <c r="V5128" i="14"/>
  <c r="K5128" i="14"/>
  <c r="K5121" i="14"/>
  <c r="V5121" i="14"/>
  <c r="U5111" i="14"/>
  <c r="K5103" i="14"/>
  <c r="U5103" i="14" s="1"/>
  <c r="K5106" i="14"/>
  <c r="M5106" i="14" s="1"/>
  <c r="M5103" i="14" s="1"/>
  <c r="V5097" i="14"/>
  <c r="V5094" i="14"/>
  <c r="M5097" i="14"/>
  <c r="M5094" i="14" s="1"/>
  <c r="U5097" i="14"/>
  <c r="V4984" i="14"/>
  <c r="K5033" i="14"/>
  <c r="U5033" i="14" s="1"/>
  <c r="K5051" i="14"/>
  <c r="U5051" i="14" s="1"/>
  <c r="V5051" i="14"/>
  <c r="K5052" i="14"/>
  <c r="M5052" i="14" s="1"/>
  <c r="V5052" i="14"/>
  <c r="K5079" i="14"/>
  <c r="V5079" i="14"/>
  <c r="K5049" i="14"/>
  <c r="M5049" i="14" s="1"/>
  <c r="V5049" i="14"/>
  <c r="K5057" i="14"/>
  <c r="U5057" i="14" s="1"/>
  <c r="V5057" i="14"/>
  <c r="K5053" i="14"/>
  <c r="M5053" i="14" s="1"/>
  <c r="V5053" i="14"/>
  <c r="V5081" i="14"/>
  <c r="K5081" i="14"/>
  <c r="K5050" i="14"/>
  <c r="M5050" i="14" s="1"/>
  <c r="V5050" i="14"/>
  <c r="K5088" i="14"/>
  <c r="L5088" i="14" s="1"/>
  <c r="V5088" i="14"/>
  <c r="V5076" i="14"/>
  <c r="K5076" i="14"/>
  <c r="L5076" i="14" s="1"/>
  <c r="K5058" i="14"/>
  <c r="M5058" i="14" s="1"/>
  <c r="V5058" i="14"/>
  <c r="K5085" i="14"/>
  <c r="V5085" i="14"/>
  <c r="K5082" i="14"/>
  <c r="V5082" i="14"/>
  <c r="K5048" i="14"/>
  <c r="U5048" i="14" s="1"/>
  <c r="V5048" i="14"/>
  <c r="V5090" i="14"/>
  <c r="K5090" i="14"/>
  <c r="L5090" i="14" s="1"/>
  <c r="K5044" i="14"/>
  <c r="M5044" i="14" s="1"/>
  <c r="V5044" i="14"/>
  <c r="K5083" i="14"/>
  <c r="V5083" i="14"/>
  <c r="V5074" i="14"/>
  <c r="K5039" i="14"/>
  <c r="U5039" i="14" s="1"/>
  <c r="V5060" i="14"/>
  <c r="K5060" i="14"/>
  <c r="U5074" i="14"/>
  <c r="M5074" i="14"/>
  <c r="K5028" i="14"/>
  <c r="M5028" i="14" s="1"/>
  <c r="V5065" i="14"/>
  <c r="K5065" i="14"/>
  <c r="K5069" i="14"/>
  <c r="V5069" i="14"/>
  <c r="K5047" i="14"/>
  <c r="V5042" i="14"/>
  <c r="K5042" i="14"/>
  <c r="K5072" i="14"/>
  <c r="M5072" i="14" s="1"/>
  <c r="K5031" i="14"/>
  <c r="M5031" i="14" s="1"/>
  <c r="K5063" i="14"/>
  <c r="M5063" i="14" s="1"/>
  <c r="K5016" i="14"/>
  <c r="U5016" i="14" s="1"/>
  <c r="V5004" i="14"/>
  <c r="M4932" i="14"/>
  <c r="K4944" i="14"/>
  <c r="K4943" i="14"/>
  <c r="K4935" i="14"/>
  <c r="K4934" i="14"/>
  <c r="K4983" i="14"/>
  <c r="K4998" i="14"/>
  <c r="U4998" i="14" s="1"/>
  <c r="V5014" i="14"/>
  <c r="V5009" i="14"/>
  <c r="K5009" i="14"/>
  <c r="K5012" i="14"/>
  <c r="M5012" i="14" s="1"/>
  <c r="K5018" i="14"/>
  <c r="V5018" i="14"/>
  <c r="M5004" i="14"/>
  <c r="U5004" i="14"/>
  <c r="K5024" i="14"/>
  <c r="M5024" i="14" s="1"/>
  <c r="M5023" i="14" s="1"/>
  <c r="K5023" i="14"/>
  <c r="K4996" i="14"/>
  <c r="V4996" i="14"/>
  <c r="K5020" i="14"/>
  <c r="V5020" i="14"/>
  <c r="K5007" i="14"/>
  <c r="U5007" i="14" s="1"/>
  <c r="K5002" i="14"/>
  <c r="V5002" i="14"/>
  <c r="V4967" i="14"/>
  <c r="K4969" i="14"/>
  <c r="U4969" i="14" s="1"/>
  <c r="K4972" i="14"/>
  <c r="M4972" i="14" s="1"/>
  <c r="K4993" i="14"/>
  <c r="U4993" i="14" s="1"/>
  <c r="K4968" i="14"/>
  <c r="M4968" i="14" s="1"/>
  <c r="K4966" i="14"/>
  <c r="U4966" i="14" s="1"/>
  <c r="V4976" i="14"/>
  <c r="V4988" i="14"/>
  <c r="K4964" i="14"/>
  <c r="M4964" i="14" s="1"/>
  <c r="V4971" i="14"/>
  <c r="U4984" i="14"/>
  <c r="M4984" i="14"/>
  <c r="V4980" i="14"/>
  <c r="K4980" i="14"/>
  <c r="K4978" i="14"/>
  <c r="V4978" i="14"/>
  <c r="V4977" i="14"/>
  <c r="K4977" i="14"/>
  <c r="M4988" i="14"/>
  <c r="U4988" i="14"/>
  <c r="K4992" i="14"/>
  <c r="V4992" i="14"/>
  <c r="K4986" i="14"/>
  <c r="V4986" i="14"/>
  <c r="V4994" i="14"/>
  <c r="K4994" i="14"/>
  <c r="L4994" i="14" s="1"/>
  <c r="M4994" i="14" s="1"/>
  <c r="K4970" i="14"/>
  <c r="V4970" i="14"/>
  <c r="K4987" i="14"/>
  <c r="V4987" i="14"/>
  <c r="V4985" i="14"/>
  <c r="K4985" i="14"/>
  <c r="L4985" i="14" s="1"/>
  <c r="M4985" i="14" s="1"/>
  <c r="U4971" i="14"/>
  <c r="M4971" i="14"/>
  <c r="U4967" i="14"/>
  <c r="M4967" i="14"/>
  <c r="U4976" i="14"/>
  <c r="L4976" i="14"/>
  <c r="M4976" i="14" s="1"/>
  <c r="K4956" i="14"/>
  <c r="U4956" i="14" s="1"/>
  <c r="K4951" i="14"/>
  <c r="L4951" i="14" s="1"/>
  <c r="K4900" i="14"/>
  <c r="M4900" i="14" s="1"/>
  <c r="K4929" i="14"/>
  <c r="V4929" i="14"/>
  <c r="L4962" i="14"/>
  <c r="M4962" i="14" s="1"/>
  <c r="K4916" i="14"/>
  <c r="L4916" i="14" s="1"/>
  <c r="K4855" i="14"/>
  <c r="M4855" i="14" s="1"/>
  <c r="M4854" i="14" s="1"/>
  <c r="K4854" i="14"/>
  <c r="K4961" i="14"/>
  <c r="V4961" i="14"/>
  <c r="K4852" i="14"/>
  <c r="M4852" i="14" s="1"/>
  <c r="K4954" i="14"/>
  <c r="V4954" i="14"/>
  <c r="K4952" i="14"/>
  <c r="V4952" i="14"/>
  <c r="K4928" i="14"/>
  <c r="K4919" i="14"/>
  <c r="K4948" i="14"/>
  <c r="V4948" i="14"/>
  <c r="K4903" i="14"/>
  <c r="M4903" i="14" s="1"/>
  <c r="M4902" i="14" s="1"/>
  <c r="K4902" i="14"/>
  <c r="K4960" i="14"/>
  <c r="K4863" i="14"/>
  <c r="K4864" i="14"/>
  <c r="M4864" i="14" s="1"/>
  <c r="M4863" i="14" s="1"/>
  <c r="K4920" i="14"/>
  <c r="V4920" i="14"/>
  <c r="K4922" i="14"/>
  <c r="V4922" i="14"/>
  <c r="K4912" i="14"/>
  <c r="M4912" i="14" s="1"/>
  <c r="M4911" i="14" s="1"/>
  <c r="K4911" i="14"/>
  <c r="K4603" i="14"/>
  <c r="U4603" i="14" s="1"/>
  <c r="V4603" i="14"/>
  <c r="K4836" i="14"/>
  <c r="K4839" i="14"/>
  <c r="K4838" i="14"/>
  <c r="K4848" i="14"/>
  <c r="K4847" i="14"/>
  <c r="K4258" i="14"/>
  <c r="L4258" i="14" s="1"/>
  <c r="M4258" i="14" s="1"/>
  <c r="K4825" i="14"/>
  <c r="L4825" i="14" s="1"/>
  <c r="M4825" i="14" s="1"/>
  <c r="V4826" i="14"/>
  <c r="K4884" i="14"/>
  <c r="M4884" i="14" s="1"/>
  <c r="K4868" i="14"/>
  <c r="L4868" i="14" s="1"/>
  <c r="V4873" i="14"/>
  <c r="K4873" i="14"/>
  <c r="L4873" i="14" s="1"/>
  <c r="M4873" i="14" s="1"/>
  <c r="K4874" i="14"/>
  <c r="V4874" i="14"/>
  <c r="K4881" i="14"/>
  <c r="V4881" i="14"/>
  <c r="V4876" i="14"/>
  <c r="K4876" i="14"/>
  <c r="K4880" i="14"/>
  <c r="K4871" i="14"/>
  <c r="L4871" i="14" s="1"/>
  <c r="K4886" i="14"/>
  <c r="K4887" i="14"/>
  <c r="M4887" i="14" s="1"/>
  <c r="M4886" i="14" s="1"/>
  <c r="K4896" i="14"/>
  <c r="M4896" i="14" s="1"/>
  <c r="M4895" i="14" s="1"/>
  <c r="K4895" i="14"/>
  <c r="L4601" i="14"/>
  <c r="M4601" i="14" s="1"/>
  <c r="L4605" i="14"/>
  <c r="M4605" i="14" s="1"/>
  <c r="K4834" i="14"/>
  <c r="V4834" i="14"/>
  <c r="K4823" i="14"/>
  <c r="K4833" i="14"/>
  <c r="V4833" i="14"/>
  <c r="K4824" i="14"/>
  <c r="V4824" i="14"/>
  <c r="M4832" i="14"/>
  <c r="L4826" i="14"/>
  <c r="M4826" i="14" s="1"/>
  <c r="U4826" i="14"/>
  <c r="K4791" i="14"/>
  <c r="K4790" i="14"/>
  <c r="K4800" i="14"/>
  <c r="K4799" i="14"/>
  <c r="K4820" i="14"/>
  <c r="K4788" i="14"/>
  <c r="V4760" i="14"/>
  <c r="K4785" i="14"/>
  <c r="M4785" i="14" s="1"/>
  <c r="K4202" i="14"/>
  <c r="U4202" i="14" s="1"/>
  <c r="K4817" i="14"/>
  <c r="V4817" i="14"/>
  <c r="K4812" i="14"/>
  <c r="V4812" i="14"/>
  <c r="K4726" i="14"/>
  <c r="V4810" i="14"/>
  <c r="K4810" i="14"/>
  <c r="K4808" i="14"/>
  <c r="V4808" i="14"/>
  <c r="K4804" i="14"/>
  <c r="M4804" i="14" s="1"/>
  <c r="M4726" i="14"/>
  <c r="K4807" i="14"/>
  <c r="M4807" i="14" s="1"/>
  <c r="V4818" i="14"/>
  <c r="K4818" i="14"/>
  <c r="M4818" i="14" s="1"/>
  <c r="V4809" i="14"/>
  <c r="K4809" i="14"/>
  <c r="M4809" i="14" s="1"/>
  <c r="V4813" i="14"/>
  <c r="K4813" i="14"/>
  <c r="M4813" i="14" s="1"/>
  <c r="K4736" i="14"/>
  <c r="M4736" i="14" s="1"/>
  <c r="M4735" i="14" s="1"/>
  <c r="K4735" i="14"/>
  <c r="K4784" i="14"/>
  <c r="M4784" i="14" s="1"/>
  <c r="V4775" i="14"/>
  <c r="K4775" i="14"/>
  <c r="K4769" i="14"/>
  <c r="V4769" i="14"/>
  <c r="K4756" i="14"/>
  <c r="M4756" i="14" s="1"/>
  <c r="M4760" i="14"/>
  <c r="U4760" i="14"/>
  <c r="K4761" i="14"/>
  <c r="V4761" i="14"/>
  <c r="K4786" i="14"/>
  <c r="V4786" i="14"/>
  <c r="K4776" i="14"/>
  <c r="V4776" i="14"/>
  <c r="V4777" i="14"/>
  <c r="K4777" i="14"/>
  <c r="K4779" i="14"/>
  <c r="V4779" i="14"/>
  <c r="K4764" i="14"/>
  <c r="V4764" i="14"/>
  <c r="K4768" i="14"/>
  <c r="M4768" i="14" s="1"/>
  <c r="K4778" i="14"/>
  <c r="V4778" i="14"/>
  <c r="V4772" i="14"/>
  <c r="V4762" i="14"/>
  <c r="K4762" i="14"/>
  <c r="M4762" i="14" s="1"/>
  <c r="V4781" i="14"/>
  <c r="K4781" i="14"/>
  <c r="K4780" i="14"/>
  <c r="V4780" i="14"/>
  <c r="K4765" i="14"/>
  <c r="V4765" i="14"/>
  <c r="K4743" i="14"/>
  <c r="M4743" i="14" s="1"/>
  <c r="M4742" i="14" s="1"/>
  <c r="K4742" i="14"/>
  <c r="K4752" i="14"/>
  <c r="M4752" i="14" s="1"/>
  <c r="M4751" i="14" s="1"/>
  <c r="K4751" i="14"/>
  <c r="K4740" i="14"/>
  <c r="M4740" i="14" s="1"/>
  <c r="K4672" i="14"/>
  <c r="M4672" i="14" s="1"/>
  <c r="V4672" i="14"/>
  <c r="K4666" i="14"/>
  <c r="V4666" i="14"/>
  <c r="K4667" i="14"/>
  <c r="V4667" i="14"/>
  <c r="L4673" i="14"/>
  <c r="M4673" i="14" s="1"/>
  <c r="M4668" i="14"/>
  <c r="M4664" i="14"/>
  <c r="U4660" i="14"/>
  <c r="V4660" i="14"/>
  <c r="K4678" i="14"/>
  <c r="L4678" i="14"/>
  <c r="L4687" i="14"/>
  <c r="K4676" i="14"/>
  <c r="L4676" i="14" s="1"/>
  <c r="K4687" i="14"/>
  <c r="M4600" i="14"/>
  <c r="U4600" i="14"/>
  <c r="K4720" i="14"/>
  <c r="M4720" i="14" s="1"/>
  <c r="M4719" i="14" s="1"/>
  <c r="K4719" i="14"/>
  <c r="K4708" i="14"/>
  <c r="M4708" i="14" s="1"/>
  <c r="K4692" i="14"/>
  <c r="M4692" i="14" s="1"/>
  <c r="K4695" i="14"/>
  <c r="M4695" i="14" s="1"/>
  <c r="M4694" i="14" s="1"/>
  <c r="K4694" i="14"/>
  <c r="K4704" i="14"/>
  <c r="M4704" i="14" s="1"/>
  <c r="M4703" i="14" s="1"/>
  <c r="K4703" i="14"/>
  <c r="K4711" i="14"/>
  <c r="M4711" i="14" s="1"/>
  <c r="M4710" i="14" s="1"/>
  <c r="K4710" i="14"/>
  <c r="K4663" i="14"/>
  <c r="K4628" i="14"/>
  <c r="M4628" i="14" s="1"/>
  <c r="K4631" i="14"/>
  <c r="M4631" i="14" s="1"/>
  <c r="M4630" i="14" s="1"/>
  <c r="K4630" i="14"/>
  <c r="K4644" i="14"/>
  <c r="M4644" i="14" s="1"/>
  <c r="K4640" i="14"/>
  <c r="M4640" i="14" s="1"/>
  <c r="M4639" i="14" s="1"/>
  <c r="K4639" i="14"/>
  <c r="K4647" i="14"/>
  <c r="M4647" i="14" s="1"/>
  <c r="M4646" i="14" s="1"/>
  <c r="K4646" i="14"/>
  <c r="K4656" i="14"/>
  <c r="M4656" i="14" s="1"/>
  <c r="M4655" i="14" s="1"/>
  <c r="K4655" i="14"/>
  <c r="K4608" i="14"/>
  <c r="L4608" i="14" s="1"/>
  <c r="V4608" i="14"/>
  <c r="K4612" i="14"/>
  <c r="V4612" i="14"/>
  <c r="K4599" i="14"/>
  <c r="K4615" i="14"/>
  <c r="M4615" i="14" s="1"/>
  <c r="V4625" i="14"/>
  <c r="K4625" i="14"/>
  <c r="K4516" i="14"/>
  <c r="M4516" i="14" s="1"/>
  <c r="K4620" i="14"/>
  <c r="V4620" i="14"/>
  <c r="K4624" i="14"/>
  <c r="M4624" i="14" s="1"/>
  <c r="M4580" i="14"/>
  <c r="K4592" i="14"/>
  <c r="M4592" i="14" s="1"/>
  <c r="M4591" i="14" s="1"/>
  <c r="K4591" i="14"/>
  <c r="K4610" i="14"/>
  <c r="L4610" i="14" s="1"/>
  <c r="V4610" i="14"/>
  <c r="K4596" i="14"/>
  <c r="K4583" i="14"/>
  <c r="M4583" i="14" s="1"/>
  <c r="M4582" i="14" s="1"/>
  <c r="K4582" i="14"/>
  <c r="K4519" i="14"/>
  <c r="M4519" i="14" s="1"/>
  <c r="K4518" i="14"/>
  <c r="V4604" i="14"/>
  <c r="K4604" i="14"/>
  <c r="L4604" i="14" s="1"/>
  <c r="L4529" i="14"/>
  <c r="L4527" i="14" s="1"/>
  <c r="K4618" i="14"/>
  <c r="V4618" i="14"/>
  <c r="V4602" i="14"/>
  <c r="K4602" i="14"/>
  <c r="U4602" i="14" s="1"/>
  <c r="L4520" i="14"/>
  <c r="L4518" i="14" s="1"/>
  <c r="V4609" i="14"/>
  <c r="K4609" i="14"/>
  <c r="L4609" i="14" s="1"/>
  <c r="K4528" i="14"/>
  <c r="M4528" i="14" s="1"/>
  <c r="K4527" i="14"/>
  <c r="K4616" i="14"/>
  <c r="V4616" i="14"/>
  <c r="K4572" i="14"/>
  <c r="V4572" i="14"/>
  <c r="K4564" i="14"/>
  <c r="M4564" i="14" s="1"/>
  <c r="K4570" i="14"/>
  <c r="V4570" i="14"/>
  <c r="K4577" i="14"/>
  <c r="V4577" i="14"/>
  <c r="K4576" i="14"/>
  <c r="M4576" i="14" s="1"/>
  <c r="V4560" i="14"/>
  <c r="K4560" i="14"/>
  <c r="K4555" i="14"/>
  <c r="V4555" i="14"/>
  <c r="V4548" i="14"/>
  <c r="K4548" i="14"/>
  <c r="V4551" i="14"/>
  <c r="K4551" i="14"/>
  <c r="M4552" i="14"/>
  <c r="L4550" i="14"/>
  <c r="V4554" i="14"/>
  <c r="K4554" i="14"/>
  <c r="L4561" i="14"/>
  <c r="L4559" i="14" s="1"/>
  <c r="V3867" i="14"/>
  <c r="V3864" i="14"/>
  <c r="V3868" i="14"/>
  <c r="K4463" i="14"/>
  <c r="M4463" i="14"/>
  <c r="K4532" i="14"/>
  <c r="M4532" i="14" s="1"/>
  <c r="K4496" i="14"/>
  <c r="M4496" i="14" s="1"/>
  <c r="M4495" i="14" s="1"/>
  <c r="K4495" i="14"/>
  <c r="K4512" i="14"/>
  <c r="M4512" i="14" s="1"/>
  <c r="M4511" i="14" s="1"/>
  <c r="K4511" i="14"/>
  <c r="K4503" i="14"/>
  <c r="M4503" i="14" s="1"/>
  <c r="M4502" i="14" s="1"/>
  <c r="K4502" i="14"/>
  <c r="K4500" i="14"/>
  <c r="M4500" i="14" s="1"/>
  <c r="K4484" i="14"/>
  <c r="M4484" i="14" s="1"/>
  <c r="K4487" i="14"/>
  <c r="M4487" i="14" s="1"/>
  <c r="M4486" i="14" s="1"/>
  <c r="K4486" i="14"/>
  <c r="K4535" i="14"/>
  <c r="M4535" i="14" s="1"/>
  <c r="M4534" i="14" s="1"/>
  <c r="K4534" i="14"/>
  <c r="K4543" i="14"/>
  <c r="M4543" i="14"/>
  <c r="K4454" i="14"/>
  <c r="M4454" i="14"/>
  <c r="K4480" i="14"/>
  <c r="M4480" i="14" s="1"/>
  <c r="M4479" i="14" s="1"/>
  <c r="K4479" i="14"/>
  <c r="K4471" i="14"/>
  <c r="M4471" i="14" s="1"/>
  <c r="M4470" i="14" s="1"/>
  <c r="K4470" i="14"/>
  <c r="K4468" i="14"/>
  <c r="M4468" i="14" s="1"/>
  <c r="V4432" i="14"/>
  <c r="K4432" i="14"/>
  <c r="V4423" i="14"/>
  <c r="K4423" i="14"/>
  <c r="V4420" i="14"/>
  <c r="K4420" i="14"/>
  <c r="V4444" i="14"/>
  <c r="K4444" i="14"/>
  <c r="M4444" i="14" s="1"/>
  <c r="V4440" i="14"/>
  <c r="K4440" i="14"/>
  <c r="K4442" i="14"/>
  <c r="V4442" i="14"/>
  <c r="K4436" i="14"/>
  <c r="M4436" i="14" s="1"/>
  <c r="V4427" i="14"/>
  <c r="K4427" i="14"/>
  <c r="K4424" i="14"/>
  <c r="V4424" i="14"/>
  <c r="V4426" i="14"/>
  <c r="K4426" i="14"/>
  <c r="K4439" i="14"/>
  <c r="M4439" i="14" s="1"/>
  <c r="K4448" i="14"/>
  <c r="M4448" i="14" s="1"/>
  <c r="K4428" i="14"/>
  <c r="V4428" i="14"/>
  <c r="K4433" i="14"/>
  <c r="V4433" i="14"/>
  <c r="V4449" i="14"/>
  <c r="K4449" i="14"/>
  <c r="M3917" i="14"/>
  <c r="M4349" i="14"/>
  <c r="M4365" i="14"/>
  <c r="M4377" i="14"/>
  <c r="M4368" i="14"/>
  <c r="M4343" i="14"/>
  <c r="M4297" i="14"/>
  <c r="M4375" i="14"/>
  <c r="M4354" i="14"/>
  <c r="M4292" i="14"/>
  <c r="M4384" i="14"/>
  <c r="M4360" i="14"/>
  <c r="M4321" i="14"/>
  <c r="M4315" i="14"/>
  <c r="M4317" i="14"/>
  <c r="M4324" i="14"/>
  <c r="M4322" i="14"/>
  <c r="M4328" i="14"/>
  <c r="M4308" i="14"/>
  <c r="M4320" i="14"/>
  <c r="M4306" i="14"/>
  <c r="M4412" i="14"/>
  <c r="M4395" i="14"/>
  <c r="M4408" i="14"/>
  <c r="K4393" i="14"/>
  <c r="K4378" i="14"/>
  <c r="V4378" i="14"/>
  <c r="K4392" i="14"/>
  <c r="V4392" i="14"/>
  <c r="K4397" i="14"/>
  <c r="V4397" i="14"/>
  <c r="K4332" i="14"/>
  <c r="V4332" i="14"/>
  <c r="K4314" i="14"/>
  <c r="V4314" i="14"/>
  <c r="K4348" i="14"/>
  <c r="V4348" i="14"/>
  <c r="K4401" i="14"/>
  <c r="V4401" i="14"/>
  <c r="K4396" i="14"/>
  <c r="V4396" i="14"/>
  <c r="K4364" i="14"/>
  <c r="V4364" i="14"/>
  <c r="K4154" i="14"/>
  <c r="V4154" i="14"/>
  <c r="K4316" i="14"/>
  <c r="V4316" i="14"/>
  <c r="K4385" i="14"/>
  <c r="V4385" i="14"/>
  <c r="K4296" i="14"/>
  <c r="V4296" i="14"/>
  <c r="K4340" i="14"/>
  <c r="V4340" i="14"/>
  <c r="K2649" i="14"/>
  <c r="V2649" i="14"/>
  <c r="K4394" i="14"/>
  <c r="V4394" i="14"/>
  <c r="M4388" i="14"/>
  <c r="K4400" i="14"/>
  <c r="L4391" i="14"/>
  <c r="K4361" i="14"/>
  <c r="K4356" i="14"/>
  <c r="K4410" i="14"/>
  <c r="K4413" i="14"/>
  <c r="K4417" i="14"/>
  <c r="K4418" i="14"/>
  <c r="K4409" i="14"/>
  <c r="V4415" i="14"/>
  <c r="K4416" i="14"/>
  <c r="V4406" i="14"/>
  <c r="K4407" i="14"/>
  <c r="K4404" i="14"/>
  <c r="K4411" i="14"/>
  <c r="K4380" i="14"/>
  <c r="K4290" i="14"/>
  <c r="K4376" i="14"/>
  <c r="K4305" i="14"/>
  <c r="K4337" i="14"/>
  <c r="K4336" i="14"/>
  <c r="K4331" i="14"/>
  <c r="K4369" i="14"/>
  <c r="K4295" i="14"/>
  <c r="K4344" i="14"/>
  <c r="K4352" i="14"/>
  <c r="K4300" i="14"/>
  <c r="K4311" i="14"/>
  <c r="K4363" i="14"/>
  <c r="K4313" i="14"/>
  <c r="K4298" i="14"/>
  <c r="K4353" i="14"/>
  <c r="K4338" i="14"/>
  <c r="K4301" i="14"/>
  <c r="K4345" i="14"/>
  <c r="K4327" i="14"/>
  <c r="K4359" i="14"/>
  <c r="K4347" i="14"/>
  <c r="K4372" i="14"/>
  <c r="K4362" i="14"/>
  <c r="V4342" i="14"/>
  <c r="K4333" i="14"/>
  <c r="K4312" i="14"/>
  <c r="K4299" i="14"/>
  <c r="K4346" i="14"/>
  <c r="K4379" i="14"/>
  <c r="K4329" i="14"/>
  <c r="V4374" i="14"/>
  <c r="V4383" i="14"/>
  <c r="K4386" i="14"/>
  <c r="K4304" i="14"/>
  <c r="K4381" i="14"/>
  <c r="K4330" i="14"/>
  <c r="V4326" i="14"/>
  <c r="V4294" i="14"/>
  <c r="K4367" i="14"/>
  <c r="V4358" i="14"/>
  <c r="K4370" i="14"/>
  <c r="V4278" i="14"/>
  <c r="K1436" i="14"/>
  <c r="K1888" i="14"/>
  <c r="V1887" i="14"/>
  <c r="K1708" i="14"/>
  <c r="K3876" i="14"/>
  <c r="K1349" i="14"/>
  <c r="K1865" i="14"/>
  <c r="V707" i="14"/>
  <c r="K708" i="14"/>
  <c r="K1586" i="14"/>
  <c r="K2064" i="14"/>
  <c r="V2063" i="14"/>
  <c r="K2672" i="14"/>
  <c r="K3104" i="14"/>
  <c r="V3103" i="14"/>
  <c r="K3530" i="14"/>
  <c r="K3938" i="14"/>
  <c r="K2101" i="14"/>
  <c r="K2551" i="14"/>
  <c r="K2999" i="14"/>
  <c r="V2998" i="14"/>
  <c r="K3421" i="14"/>
  <c r="K3833" i="14"/>
  <c r="K2274" i="14"/>
  <c r="K2724" i="14"/>
  <c r="K3160" i="14"/>
  <c r="K3584" i="14"/>
  <c r="K3994" i="14"/>
  <c r="K2485" i="14"/>
  <c r="K2921" i="14"/>
  <c r="K3361" i="14"/>
  <c r="K3771" i="14"/>
  <c r="K4231" i="14"/>
  <c r="V4230" i="14"/>
  <c r="K2428" i="14"/>
  <c r="K665" i="14"/>
  <c r="K1557" i="14"/>
  <c r="K2028" i="14"/>
  <c r="V2027" i="14"/>
  <c r="K2312" i="14"/>
  <c r="K1476" i="14"/>
  <c r="K1928" i="14"/>
  <c r="V1927" i="14"/>
  <c r="K1876" i="14"/>
  <c r="K4036" i="14"/>
  <c r="K1441" i="14"/>
  <c r="K1905" i="14"/>
  <c r="K870" i="14"/>
  <c r="K1646" i="14"/>
  <c r="K2144" i="14"/>
  <c r="V2727" i="14"/>
  <c r="K2728" i="14"/>
  <c r="K3162" i="14"/>
  <c r="K3586" i="14"/>
  <c r="K3996" i="14"/>
  <c r="K2163" i="14"/>
  <c r="K2619" i="14"/>
  <c r="V2618" i="14"/>
  <c r="K3053" i="14"/>
  <c r="K3481" i="14"/>
  <c r="K3889" i="14"/>
  <c r="K2336" i="14"/>
  <c r="K2792" i="14"/>
  <c r="V3231" i="14"/>
  <c r="K3232" i="14"/>
  <c r="K3642" i="14"/>
  <c r="K4050" i="14"/>
  <c r="K2549" i="14"/>
  <c r="K2993" i="14"/>
  <c r="K3419" i="14"/>
  <c r="K3831" i="14"/>
  <c r="V3830" i="14"/>
  <c r="K4153" i="14"/>
  <c r="U4153" i="14" s="1"/>
  <c r="K2600" i="14"/>
  <c r="K737" i="14"/>
  <c r="K1593" i="14"/>
  <c r="K2075" i="14"/>
  <c r="K1540" i="14"/>
  <c r="V1539" i="14"/>
  <c r="K2006" i="14"/>
  <c r="K2192" i="14"/>
  <c r="K517" i="14"/>
  <c r="K1509" i="14"/>
  <c r="K1974" i="14"/>
  <c r="K926" i="14"/>
  <c r="K1690" i="14"/>
  <c r="K2197" i="14"/>
  <c r="K2760" i="14"/>
  <c r="V2759" i="14"/>
  <c r="K3210" i="14"/>
  <c r="K3618" i="14"/>
  <c r="K4028" i="14"/>
  <c r="K2199" i="14"/>
  <c r="K2655" i="14"/>
  <c r="V2654" i="14"/>
  <c r="K3085" i="14"/>
  <c r="K3513" i="14"/>
  <c r="K3921" i="14"/>
  <c r="K2384" i="14"/>
  <c r="K2824" i="14"/>
  <c r="K3264" i="14"/>
  <c r="V3263" i="14"/>
  <c r="K3674" i="14"/>
  <c r="K4082" i="14"/>
  <c r="K2585" i="14"/>
  <c r="K3025" i="14"/>
  <c r="K3451" i="14"/>
  <c r="K3863" i="14"/>
  <c r="M3863" i="14" s="1"/>
  <c r="V3862" i="14"/>
  <c r="K4178" i="14"/>
  <c r="K2492" i="14"/>
  <c r="K699" i="14"/>
  <c r="V698" i="14"/>
  <c r="K1573" i="14"/>
  <c r="K2045" i="14"/>
  <c r="K354" i="14"/>
  <c r="K1486" i="14"/>
  <c r="K1940" i="14"/>
  <c r="K1948" i="14"/>
  <c r="K4100" i="14"/>
  <c r="K1455" i="14"/>
  <c r="K1919" i="14"/>
  <c r="V1918" i="14"/>
  <c r="K784" i="14"/>
  <c r="K1636" i="14"/>
  <c r="K2128" i="14"/>
  <c r="K2714" i="14"/>
  <c r="K3148" i="14"/>
  <c r="K3576" i="14"/>
  <c r="K3984" i="14"/>
  <c r="V3983" i="14"/>
  <c r="K2145" i="14"/>
  <c r="K2605" i="14"/>
  <c r="K3041" i="14"/>
  <c r="K3467" i="14"/>
  <c r="K3879" i="14"/>
  <c r="V3878" i="14"/>
  <c r="K2324" i="14"/>
  <c r="V2323" i="14"/>
  <c r="K2770" i="14"/>
  <c r="K3218" i="14"/>
  <c r="K3628" i="14"/>
  <c r="K4040" i="14"/>
  <c r="K2531" i="14"/>
  <c r="K3201" i="14"/>
  <c r="K2944" i="14"/>
  <c r="K909" i="14"/>
  <c r="K1661" i="14"/>
  <c r="K2168" i="14"/>
  <c r="V2167" i="14"/>
  <c r="K704" i="14"/>
  <c r="K1584" i="14"/>
  <c r="K2060" i="14"/>
  <c r="K2408" i="14"/>
  <c r="K663" i="14"/>
  <c r="V662" i="14"/>
  <c r="K1553" i="14"/>
  <c r="K2024" i="14"/>
  <c r="K1068" i="14"/>
  <c r="V1067" i="14"/>
  <c r="K1730" i="14"/>
  <c r="K2272" i="14"/>
  <c r="V2271" i="14"/>
  <c r="K2808" i="14"/>
  <c r="K3248" i="14"/>
  <c r="V3247" i="14"/>
  <c r="K3658" i="14"/>
  <c r="K4066" i="14"/>
  <c r="K2241" i="14"/>
  <c r="K2691" i="14"/>
  <c r="K3127" i="14"/>
  <c r="V3126" i="14"/>
  <c r="K3549" i="14"/>
  <c r="K3961" i="14"/>
  <c r="K2422" i="14"/>
  <c r="K2860" i="14"/>
  <c r="K3304" i="14"/>
  <c r="K3712" i="14"/>
  <c r="V3711" i="14"/>
  <c r="K4122" i="14"/>
  <c r="K2625" i="14"/>
  <c r="K3065" i="14"/>
  <c r="K3489" i="14"/>
  <c r="K3899" i="14"/>
  <c r="K4148" i="14"/>
  <c r="K3108" i="14"/>
  <c r="K1017" i="14"/>
  <c r="K1705" i="14"/>
  <c r="K2215" i="14"/>
  <c r="K768" i="14"/>
  <c r="K1620" i="14"/>
  <c r="K2108" i="14"/>
  <c r="K2580" i="14"/>
  <c r="K735" i="14"/>
  <c r="V734" i="14"/>
  <c r="K1589" i="14"/>
  <c r="K2072" i="14"/>
  <c r="K1226" i="14"/>
  <c r="K1786" i="14"/>
  <c r="K2432" i="14"/>
  <c r="K2864" i="14"/>
  <c r="V2863" i="14"/>
  <c r="K3306" i="14"/>
  <c r="K3714" i="14"/>
  <c r="K4124" i="14"/>
  <c r="K2303" i="14"/>
  <c r="K2751" i="14"/>
  <c r="V2750" i="14"/>
  <c r="K3197" i="14"/>
  <c r="K3609" i="14"/>
  <c r="K4017" i="14"/>
  <c r="K2484" i="14"/>
  <c r="K2920" i="14"/>
  <c r="K3360" i="14"/>
  <c r="V3359" i="14"/>
  <c r="K3770" i="14"/>
  <c r="K4226" i="14"/>
  <c r="K2689" i="14"/>
  <c r="K3121" i="14"/>
  <c r="K3547" i="14"/>
  <c r="K3959" i="14"/>
  <c r="V3958" i="14"/>
  <c r="K4172" i="14"/>
  <c r="U4172" i="14" s="1"/>
  <c r="K3284" i="14"/>
  <c r="K1105" i="14"/>
  <c r="K1737" i="14"/>
  <c r="K2308" i="14"/>
  <c r="V2307" i="14"/>
  <c r="K924" i="14"/>
  <c r="K1688" i="14"/>
  <c r="V1687" i="14"/>
  <c r="K2186" i="14"/>
  <c r="K2884" i="14"/>
  <c r="K873" i="14"/>
  <c r="K1653" i="14"/>
  <c r="K2150" i="14"/>
  <c r="K1270" i="14"/>
  <c r="K1822" i="14"/>
  <c r="K2464" i="14"/>
  <c r="K2896" i="14"/>
  <c r="V2895" i="14"/>
  <c r="K3338" i="14"/>
  <c r="K3746" i="14"/>
  <c r="K4188" i="14"/>
  <c r="K2335" i="14"/>
  <c r="K2791" i="14"/>
  <c r="V2790" i="14"/>
  <c r="K3229" i="14"/>
  <c r="K3641" i="14"/>
  <c r="K4049" i="14"/>
  <c r="K2516" i="14"/>
  <c r="K2968" i="14"/>
  <c r="K3392" i="14"/>
  <c r="K3802" i="14"/>
  <c r="K2269" i="14"/>
  <c r="K2721" i="14"/>
  <c r="K3153" i="14"/>
  <c r="K3579" i="14"/>
  <c r="K3991" i="14"/>
  <c r="V3990" i="14"/>
  <c r="K4151" i="14"/>
  <c r="V4150" i="14"/>
  <c r="K3188" i="14"/>
  <c r="K1059" i="14"/>
  <c r="V1058" i="14"/>
  <c r="K1717" i="14"/>
  <c r="K2240" i="14"/>
  <c r="V2239" i="14"/>
  <c r="K782" i="14"/>
  <c r="K1630" i="14"/>
  <c r="K2125" i="14"/>
  <c r="K2652" i="14"/>
  <c r="K745" i="14"/>
  <c r="K1603" i="14"/>
  <c r="K2093" i="14"/>
  <c r="K1200" i="14"/>
  <c r="K1776" i="14"/>
  <c r="K2414" i="14"/>
  <c r="K2850" i="14"/>
  <c r="K3292" i="14"/>
  <c r="K3704" i="14"/>
  <c r="K4112" i="14"/>
  <c r="V4111" i="14"/>
  <c r="K2285" i="14"/>
  <c r="K2737" i="14"/>
  <c r="K3169" i="14"/>
  <c r="K3595" i="14"/>
  <c r="K4007" i="14"/>
  <c r="V4006" i="14"/>
  <c r="K2472" i="14"/>
  <c r="V2471" i="14"/>
  <c r="K2906" i="14"/>
  <c r="K3346" i="14"/>
  <c r="K3756" i="14"/>
  <c r="K4216" i="14"/>
  <c r="K2675" i="14"/>
  <c r="V3110" i="14"/>
  <c r="K3111" i="14"/>
  <c r="K3533" i="14"/>
  <c r="K3945" i="14"/>
  <c r="K4210" i="14"/>
  <c r="U4210" i="14" s="1"/>
  <c r="K3689" i="14"/>
  <c r="K3604" i="14"/>
  <c r="K1249" i="14"/>
  <c r="K1805" i="14"/>
  <c r="K1164" i="14"/>
  <c r="K1064" i="14"/>
  <c r="K1728" i="14"/>
  <c r="K2258" i="14"/>
  <c r="K3092" i="14"/>
  <c r="K1015" i="14"/>
  <c r="V1014" i="14"/>
  <c r="K1701" i="14"/>
  <c r="K2212" i="14"/>
  <c r="K1352" i="14"/>
  <c r="V1351" i="14"/>
  <c r="K1866" i="14"/>
  <c r="K2500" i="14"/>
  <c r="K2948" i="14"/>
  <c r="K3376" i="14"/>
  <c r="V3375" i="14"/>
  <c r="K3786" i="14"/>
  <c r="K4242" i="14"/>
  <c r="K2389" i="14"/>
  <c r="K2827" i="14"/>
  <c r="K3271" i="14"/>
  <c r="V3270" i="14"/>
  <c r="K3677" i="14"/>
  <c r="K4089" i="14"/>
  <c r="K2558" i="14"/>
  <c r="K3004" i="14"/>
  <c r="K3432" i="14"/>
  <c r="K3840" i="14"/>
  <c r="K2315" i="14"/>
  <c r="V2314" i="14"/>
  <c r="K2757" i="14"/>
  <c r="K3209" i="14"/>
  <c r="K3617" i="14"/>
  <c r="K4027" i="14"/>
  <c r="K4263" i="14"/>
  <c r="V4262" i="14"/>
  <c r="K3764" i="14"/>
  <c r="K1285" i="14"/>
  <c r="K1841" i="14"/>
  <c r="K1472" i="14"/>
  <c r="K1172" i="14"/>
  <c r="K1760" i="14"/>
  <c r="K348" i="14"/>
  <c r="K3268" i="14"/>
  <c r="K1103" i="14"/>
  <c r="V1102" i="14"/>
  <c r="K1733" i="14"/>
  <c r="K2290" i="14"/>
  <c r="K1478" i="14"/>
  <c r="K1930" i="14"/>
  <c r="K2568" i="14"/>
  <c r="K3008" i="14"/>
  <c r="V3007" i="14"/>
  <c r="K3434" i="14"/>
  <c r="K3842" i="14"/>
  <c r="K1997" i="14"/>
  <c r="K2451" i="14"/>
  <c r="K2887" i="14"/>
  <c r="V2886" i="14"/>
  <c r="K3325" i="14"/>
  <c r="K3737" i="14"/>
  <c r="K4145" i="14"/>
  <c r="K2624" i="14"/>
  <c r="K3064" i="14"/>
  <c r="K3488" i="14"/>
  <c r="V3487" i="14"/>
  <c r="K3898" i="14"/>
  <c r="K2385" i="14"/>
  <c r="K2825" i="14"/>
  <c r="K3265" i="14"/>
  <c r="K3675" i="14"/>
  <c r="K4087" i="14"/>
  <c r="V4086" i="14"/>
  <c r="K4260" i="14"/>
  <c r="K3924" i="14"/>
  <c r="K1409" i="14"/>
  <c r="K1873" i="14"/>
  <c r="K1648" i="14"/>
  <c r="K1268" i="14"/>
  <c r="K1820" i="14"/>
  <c r="V1819" i="14"/>
  <c r="K1244" i="14"/>
  <c r="K3556" i="14"/>
  <c r="K1229" i="14"/>
  <c r="K1797" i="14"/>
  <c r="V519" i="14"/>
  <c r="K520" i="14"/>
  <c r="K1510" i="14"/>
  <c r="K1975" i="14"/>
  <c r="K2604" i="14"/>
  <c r="K3040" i="14"/>
  <c r="V3039" i="14"/>
  <c r="K3466" i="14"/>
  <c r="K3874" i="14"/>
  <c r="M3874" i="14" s="1"/>
  <c r="K2029" i="14"/>
  <c r="K2483" i="14"/>
  <c r="K2919" i="14"/>
  <c r="V2918" i="14"/>
  <c r="K3357" i="14"/>
  <c r="K3769" i="14"/>
  <c r="K4225" i="14"/>
  <c r="K2660" i="14"/>
  <c r="K3096" i="14"/>
  <c r="K3520" i="14"/>
  <c r="V3519" i="14"/>
  <c r="K3930" i="14"/>
  <c r="K2417" i="14"/>
  <c r="K2857" i="14"/>
  <c r="K3297" i="14"/>
  <c r="K3707" i="14"/>
  <c r="K4119" i="14"/>
  <c r="V4118" i="14"/>
  <c r="K4265" i="14"/>
  <c r="K3828" i="14"/>
  <c r="K1343" i="14"/>
  <c r="V1342" i="14"/>
  <c r="K1853" i="14"/>
  <c r="K1544" i="14"/>
  <c r="K1198" i="14"/>
  <c r="K1770" i="14"/>
  <c r="K660" i="14"/>
  <c r="K3332" i="14"/>
  <c r="K1113" i="14"/>
  <c r="K1747" i="14"/>
  <c r="K2364" i="14"/>
  <c r="K1456" i="14"/>
  <c r="K1920" i="14"/>
  <c r="K2550" i="14"/>
  <c r="K2994" i="14"/>
  <c r="K3420" i="14"/>
  <c r="K3832" i="14"/>
  <c r="K1987" i="14"/>
  <c r="V1986" i="14"/>
  <c r="K2437" i="14"/>
  <c r="K2873" i="14"/>
  <c r="K3313" i="14"/>
  <c r="K3723" i="14"/>
  <c r="K4135" i="14"/>
  <c r="V4134" i="14"/>
  <c r="K2612" i="14"/>
  <c r="V2611" i="14"/>
  <c r="K3050" i="14"/>
  <c r="K3474" i="14"/>
  <c r="K3884" i="14"/>
  <c r="K2373" i="14"/>
  <c r="K2811" i="14"/>
  <c r="K3255" i="14"/>
  <c r="V3254" i="14"/>
  <c r="K3661" i="14"/>
  <c r="K4073" i="14"/>
  <c r="K3995" i="14"/>
  <c r="K3305" i="14"/>
  <c r="K2668" i="14"/>
  <c r="K763" i="14"/>
  <c r="K1605" i="14"/>
  <c r="K2096" i="14"/>
  <c r="K550" i="14"/>
  <c r="K1518" i="14"/>
  <c r="K1989" i="14"/>
  <c r="K2120" i="14"/>
  <c r="K361" i="14"/>
  <c r="K1495" i="14"/>
  <c r="K1953" i="14"/>
  <c r="K912" i="14"/>
  <c r="K1680" i="14"/>
  <c r="K2176" i="14"/>
  <c r="K2746" i="14"/>
  <c r="K3196" i="14"/>
  <c r="K3608" i="14"/>
  <c r="K4016" i="14"/>
  <c r="V4015" i="14"/>
  <c r="K2181" i="14"/>
  <c r="K2641" i="14"/>
  <c r="K3073" i="14"/>
  <c r="K3499" i="14"/>
  <c r="K3911" i="14"/>
  <c r="V3910" i="14"/>
  <c r="K2372" i="14"/>
  <c r="V2371" i="14"/>
  <c r="K2810" i="14"/>
  <c r="K3250" i="14"/>
  <c r="K3660" i="14"/>
  <c r="K4072" i="14"/>
  <c r="K2571" i="14"/>
  <c r="K3015" i="14"/>
  <c r="V3014" i="14"/>
  <c r="K3437" i="14"/>
  <c r="K3849" i="14"/>
  <c r="V4166" i="14"/>
  <c r="K4167" i="14"/>
  <c r="U4167" i="14" s="1"/>
  <c r="K2836" i="14"/>
  <c r="K867" i="14"/>
  <c r="V866" i="14"/>
  <c r="K1641" i="14"/>
  <c r="K2140" i="14"/>
  <c r="K666" i="14"/>
  <c r="K1558" i="14"/>
  <c r="K2030" i="14"/>
  <c r="K2296" i="14"/>
  <c r="K557" i="14"/>
  <c r="K1535" i="14"/>
  <c r="K1998" i="14"/>
  <c r="K1104" i="14"/>
  <c r="K1736" i="14"/>
  <c r="V1735" i="14"/>
  <c r="K2302" i="14"/>
  <c r="K2812" i="14"/>
  <c r="K3256" i="14"/>
  <c r="K3664" i="14"/>
  <c r="V3663" i="14"/>
  <c r="K4074" i="14"/>
  <c r="K2249" i="14"/>
  <c r="K2697" i="14"/>
  <c r="K3131" i="14"/>
  <c r="K3559" i="14"/>
  <c r="V3558" i="14"/>
  <c r="K3965" i="14"/>
  <c r="K2434" i="14"/>
  <c r="K2866" i="14"/>
  <c r="K3308" i="14"/>
  <c r="K3720" i="14"/>
  <c r="K4128" i="14"/>
  <c r="V4127" i="14"/>
  <c r="K2639" i="14"/>
  <c r="V2638" i="14"/>
  <c r="K3069" i="14"/>
  <c r="K3497" i="14"/>
  <c r="K3905" i="14"/>
  <c r="K4156" i="14"/>
  <c r="K3012" i="14"/>
  <c r="K923" i="14"/>
  <c r="V922" i="14"/>
  <c r="K1685" i="14"/>
  <c r="K2185" i="14"/>
  <c r="K774" i="14"/>
  <c r="K1624" i="14"/>
  <c r="K2116" i="14"/>
  <c r="V2115" i="14"/>
  <c r="K2616" i="14"/>
  <c r="K739" i="14"/>
  <c r="K1599" i="14"/>
  <c r="K2080" i="14"/>
  <c r="V2079" i="14"/>
  <c r="K1196" i="14"/>
  <c r="K1768" i="14"/>
  <c r="V1767" i="14"/>
  <c r="K2406" i="14"/>
  <c r="K2844" i="14"/>
  <c r="K3288" i="14"/>
  <c r="K3696" i="14"/>
  <c r="V3695" i="14"/>
  <c r="K4106" i="14"/>
  <c r="K2281" i="14"/>
  <c r="K2729" i="14"/>
  <c r="K3163" i="14"/>
  <c r="V3590" i="14"/>
  <c r="K3591" i="14"/>
  <c r="K3997" i="14"/>
  <c r="K2466" i="14"/>
  <c r="K2898" i="14"/>
  <c r="K3340" i="14"/>
  <c r="M3752" i="14"/>
  <c r="K4192" i="14"/>
  <c r="V4191" i="14"/>
  <c r="V2670" i="14"/>
  <c r="K2671" i="14"/>
  <c r="K3101" i="14"/>
  <c r="K3529" i="14"/>
  <c r="K3937" i="14"/>
  <c r="K4162" i="14"/>
  <c r="K2900" i="14"/>
  <c r="K877" i="14"/>
  <c r="K1655" i="14"/>
  <c r="K2161" i="14"/>
  <c r="K700" i="14"/>
  <c r="K1576" i="14"/>
  <c r="V1575" i="14"/>
  <c r="K2046" i="14"/>
  <c r="K2376" i="14"/>
  <c r="K633" i="14"/>
  <c r="K1549" i="14"/>
  <c r="K2014" i="14"/>
  <c r="K1062" i="14"/>
  <c r="K1722" i="14"/>
  <c r="K2251" i="14"/>
  <c r="K2800" i="14"/>
  <c r="V2799" i="14"/>
  <c r="K3242" i="14"/>
  <c r="K3650" i="14"/>
  <c r="K4060" i="14"/>
  <c r="K2235" i="14"/>
  <c r="K2687" i="14"/>
  <c r="V2686" i="14"/>
  <c r="K3117" i="14"/>
  <c r="K3545" i="14"/>
  <c r="K3953" i="14"/>
  <c r="K2416" i="14"/>
  <c r="K2856" i="14"/>
  <c r="K3296" i="14"/>
  <c r="K3706" i="14"/>
  <c r="K4114" i="14"/>
  <c r="K2621" i="14"/>
  <c r="K3057" i="14"/>
  <c r="K3483" i="14"/>
  <c r="K4257" i="14"/>
  <c r="K1517" i="14"/>
  <c r="K1637" i="14"/>
  <c r="K2022" i="14"/>
  <c r="K2260" i="14"/>
  <c r="K551" i="14"/>
  <c r="K1531" i="14"/>
  <c r="V1530" i="14"/>
  <c r="K1990" i="14"/>
  <c r="K1016" i="14"/>
  <c r="K1704" i="14"/>
  <c r="V1703" i="14"/>
  <c r="K2214" i="14"/>
  <c r="K2772" i="14"/>
  <c r="K3224" i="14"/>
  <c r="K3632" i="14"/>
  <c r="V3631" i="14"/>
  <c r="K4042" i="14"/>
  <c r="K2213" i="14"/>
  <c r="K2665" i="14"/>
  <c r="K3099" i="14"/>
  <c r="K3527" i="14"/>
  <c r="V3526" i="14"/>
  <c r="K3933" i="14"/>
  <c r="K2398" i="14"/>
  <c r="K2834" i="14"/>
  <c r="K3276" i="14"/>
  <c r="K3688" i="14"/>
  <c r="K4096" i="14"/>
  <c r="K2603" i="14"/>
  <c r="V2602" i="14"/>
  <c r="K3037" i="14"/>
  <c r="K3465" i="14"/>
  <c r="K3873" i="14"/>
  <c r="M3873" i="14" s="1"/>
  <c r="K4200" i="14"/>
  <c r="K2980" i="14"/>
  <c r="K913" i="14"/>
  <c r="K1681" i="14"/>
  <c r="K2178" i="14"/>
  <c r="K710" i="14"/>
  <c r="K1588" i="14"/>
  <c r="V2070" i="14"/>
  <c r="K2071" i="14"/>
  <c r="K2444" i="14"/>
  <c r="K667" i="14"/>
  <c r="K1567" i="14"/>
  <c r="V1566" i="14"/>
  <c r="K2035" i="14"/>
  <c r="V2034" i="14"/>
  <c r="K1176" i="14"/>
  <c r="V1175" i="14"/>
  <c r="K1762" i="14"/>
  <c r="K2400" i="14"/>
  <c r="K2840" i="14"/>
  <c r="K3280" i="14"/>
  <c r="K3690" i="14"/>
  <c r="K4098" i="14"/>
  <c r="K2273" i="14"/>
  <c r="K2723" i="14"/>
  <c r="K3159" i="14"/>
  <c r="V3158" i="14"/>
  <c r="K3581" i="14"/>
  <c r="K3993" i="14"/>
  <c r="K2458" i="14"/>
  <c r="K2892" i="14"/>
  <c r="K3336" i="14"/>
  <c r="K3744" i="14"/>
  <c r="V3743" i="14"/>
  <c r="K4186" i="14"/>
  <c r="K2661" i="14"/>
  <c r="K3097" i="14"/>
  <c r="K3521" i="14"/>
  <c r="K3931" i="14"/>
  <c r="K4157" i="14"/>
  <c r="K3140" i="14"/>
  <c r="K1021" i="14"/>
  <c r="K1713" i="14"/>
  <c r="K2222" i="14"/>
  <c r="K872" i="14"/>
  <c r="K1652" i="14"/>
  <c r="K2149" i="14"/>
  <c r="K2748" i="14"/>
  <c r="K779" i="14"/>
  <c r="K1625" i="14"/>
  <c r="K2117" i="14"/>
  <c r="K1232" i="14"/>
  <c r="V1231" i="14"/>
  <c r="K1798" i="14"/>
  <c r="K2436" i="14"/>
  <c r="K2872" i="14"/>
  <c r="K3312" i="14"/>
  <c r="K3722" i="14"/>
  <c r="K4130" i="14"/>
  <c r="K2309" i="14"/>
  <c r="K2755" i="14"/>
  <c r="V3206" i="14"/>
  <c r="K3207" i="14"/>
  <c r="K3613" i="14"/>
  <c r="K4025" i="14"/>
  <c r="K2490" i="14"/>
  <c r="K2924" i="14"/>
  <c r="K3368" i="14"/>
  <c r="K3776" i="14"/>
  <c r="V3775" i="14"/>
  <c r="K4234" i="14"/>
  <c r="M4234" i="14" s="1"/>
  <c r="K2693" i="14"/>
  <c r="K3129" i="14"/>
  <c r="K3553" i="14"/>
  <c r="K3963" i="14"/>
  <c r="K4201" i="14"/>
  <c r="U4201" i="14" s="1"/>
  <c r="K3044" i="14"/>
  <c r="K927" i="14"/>
  <c r="K1695" i="14"/>
  <c r="V1694" i="14"/>
  <c r="K2198" i="14"/>
  <c r="V743" i="14"/>
  <c r="K744" i="14"/>
  <c r="K1602" i="14"/>
  <c r="K2092" i="14"/>
  <c r="K2508" i="14"/>
  <c r="K701" i="14"/>
  <c r="K1577" i="14"/>
  <c r="K2056" i="14"/>
  <c r="K1114" i="14"/>
  <c r="K1748" i="14"/>
  <c r="K2368" i="14"/>
  <c r="K2826" i="14"/>
  <c r="K3266" i="14"/>
  <c r="K3676" i="14"/>
  <c r="K4088" i="14"/>
  <c r="K2263" i="14"/>
  <c r="V2262" i="14"/>
  <c r="K2709" i="14"/>
  <c r="K3145" i="14"/>
  <c r="K3569" i="14"/>
  <c r="K3979" i="14"/>
  <c r="K2448" i="14"/>
  <c r="K2880" i="14"/>
  <c r="V2879" i="14"/>
  <c r="K3322" i="14"/>
  <c r="K3730" i="14"/>
  <c r="K4140" i="14"/>
  <c r="K2753" i="14"/>
  <c r="K3405" i="14"/>
  <c r="K3476" i="14"/>
  <c r="K1201" i="14"/>
  <c r="K1777" i="14"/>
  <c r="K760" i="14"/>
  <c r="K934" i="14"/>
  <c r="K1700" i="14"/>
  <c r="K2211" i="14"/>
  <c r="V2210" i="14"/>
  <c r="K2964" i="14"/>
  <c r="K911" i="14"/>
  <c r="K1679" i="14"/>
  <c r="V1678" i="14"/>
  <c r="K2175" i="14"/>
  <c r="V2174" i="14"/>
  <c r="K1284" i="14"/>
  <c r="K1840" i="14"/>
  <c r="V1839" i="14"/>
  <c r="K2474" i="14"/>
  <c r="K2908" i="14"/>
  <c r="K3352" i="14"/>
  <c r="K3760" i="14"/>
  <c r="K4218" i="14"/>
  <c r="K2365" i="14"/>
  <c r="K2801" i="14"/>
  <c r="K3243" i="14"/>
  <c r="K3655" i="14"/>
  <c r="V3654" i="14"/>
  <c r="K4061" i="14"/>
  <c r="K2530" i="14"/>
  <c r="K2978" i="14"/>
  <c r="K3404" i="14"/>
  <c r="K3816" i="14"/>
  <c r="K2283" i="14"/>
  <c r="K2735" i="14"/>
  <c r="V2734" i="14"/>
  <c r="K3165" i="14"/>
  <c r="K3593" i="14"/>
  <c r="K4001" i="14"/>
  <c r="K4249" i="14"/>
  <c r="K3636" i="14"/>
  <c r="K1253" i="14"/>
  <c r="K1813" i="14"/>
  <c r="K1220" i="14"/>
  <c r="K1070" i="14"/>
  <c r="K1732" i="14"/>
  <c r="K2284" i="14"/>
  <c r="K3124" i="14"/>
  <c r="K1019" i="14"/>
  <c r="K1711" i="14"/>
  <c r="V1710" i="14"/>
  <c r="V2219" i="14"/>
  <c r="K2220" i="14"/>
  <c r="K1444" i="14"/>
  <c r="V1443" i="14"/>
  <c r="K1906" i="14"/>
  <c r="K2532" i="14"/>
  <c r="K2984" i="14"/>
  <c r="K3408" i="14"/>
  <c r="V3407" i="14"/>
  <c r="K3818" i="14"/>
  <c r="K1973" i="14"/>
  <c r="K2421" i="14"/>
  <c r="K2859" i="14"/>
  <c r="K3303" i="14"/>
  <c r="K3709" i="14"/>
  <c r="K4121" i="14"/>
  <c r="K2594" i="14"/>
  <c r="K3036" i="14"/>
  <c r="K3464" i="14"/>
  <c r="K3872" i="14"/>
  <c r="M3872" i="14" s="1"/>
  <c r="V3871" i="14"/>
  <c r="K2363" i="14"/>
  <c r="V2362" i="14"/>
  <c r="K2797" i="14"/>
  <c r="K3241" i="14"/>
  <c r="K3649" i="14"/>
  <c r="K4059" i="14"/>
  <c r="K4250" i="14"/>
  <c r="K3796" i="14"/>
  <c r="K1289" i="14"/>
  <c r="K1849" i="14"/>
  <c r="K1504" i="14"/>
  <c r="K1228" i="14"/>
  <c r="K1796" i="14"/>
  <c r="K904" i="14"/>
  <c r="K3428" i="14"/>
  <c r="K1195" i="14"/>
  <c r="V1194" i="14"/>
  <c r="K1765" i="14"/>
  <c r="K352" i="14"/>
  <c r="K1484" i="14"/>
  <c r="V1483" i="14"/>
  <c r="K1938" i="14"/>
  <c r="K2572" i="14"/>
  <c r="K3016" i="14"/>
  <c r="K3440" i="14"/>
  <c r="V3439" i="14"/>
  <c r="K3850" i="14"/>
  <c r="K2005" i="14"/>
  <c r="K2457" i="14"/>
  <c r="K2891" i="14"/>
  <c r="K3335" i="14"/>
  <c r="V3334" i="14"/>
  <c r="K3741" i="14"/>
  <c r="K4185" i="14"/>
  <c r="K2630" i="14"/>
  <c r="K3068" i="14"/>
  <c r="K3496" i="14"/>
  <c r="K3904" i="14"/>
  <c r="V3903" i="14"/>
  <c r="K2395" i="14"/>
  <c r="V2394" i="14"/>
  <c r="K2829" i="14"/>
  <c r="K3273" i="14"/>
  <c r="K3681" i="14"/>
  <c r="K4091" i="14"/>
  <c r="K4264" i="14"/>
  <c r="K3700" i="14"/>
  <c r="K1271" i="14"/>
  <c r="K1831" i="14"/>
  <c r="V1830" i="14"/>
  <c r="K1340" i="14"/>
  <c r="K1112" i="14"/>
  <c r="V1111" i="14"/>
  <c r="K1746" i="14"/>
  <c r="K2340" i="14"/>
  <c r="V2339" i="14"/>
  <c r="K3204" i="14"/>
  <c r="K1061" i="14"/>
  <c r="K1721" i="14"/>
  <c r="K2248" i="14"/>
  <c r="K1418" i="14"/>
  <c r="K1884" i="14"/>
  <c r="K2520" i="14"/>
  <c r="V2519" i="14"/>
  <c r="K2970" i="14"/>
  <c r="K3394" i="14"/>
  <c r="K3804" i="14"/>
  <c r="K1955" i="14"/>
  <c r="K2411" i="14"/>
  <c r="V2410" i="14"/>
  <c r="K2845" i="14"/>
  <c r="K3289" i="14"/>
  <c r="K3697" i="14"/>
  <c r="K4107" i="14"/>
  <c r="K2584" i="14"/>
  <c r="K3024" i="14"/>
  <c r="V3023" i="14"/>
  <c r="K3450" i="14"/>
  <c r="K3858" i="14"/>
  <c r="K2333" i="14"/>
  <c r="K2777" i="14"/>
  <c r="K3227" i="14"/>
  <c r="K3639" i="14"/>
  <c r="V3638" i="14"/>
  <c r="K4045" i="14"/>
  <c r="K4268" i="14"/>
  <c r="V4198" i="14"/>
  <c r="K4199" i="14"/>
  <c r="K4116" i="14"/>
  <c r="K1457" i="14"/>
  <c r="K1921" i="14"/>
  <c r="K1860" i="14"/>
  <c r="K1278" i="14"/>
  <c r="K1836" i="14"/>
  <c r="K1404" i="14"/>
  <c r="K3620" i="14"/>
  <c r="K1251" i="14"/>
  <c r="K1811" i="14"/>
  <c r="V1810" i="14"/>
  <c r="K552" i="14"/>
  <c r="K1532" i="14"/>
  <c r="K1992" i="14"/>
  <c r="K2614" i="14"/>
  <c r="K3052" i="14"/>
  <c r="K3480" i="14"/>
  <c r="K3888" i="14"/>
  <c r="V3887" i="14"/>
  <c r="K2041" i="14"/>
  <c r="K2497" i="14"/>
  <c r="K2929" i="14"/>
  <c r="K3371" i="14"/>
  <c r="K3783" i="14"/>
  <c r="V3782" i="14"/>
  <c r="K4237" i="14"/>
  <c r="K2674" i="14"/>
  <c r="K3106" i="14"/>
  <c r="K3532" i="14"/>
  <c r="K3944" i="14"/>
  <c r="K2435" i="14"/>
  <c r="K2871" i="14"/>
  <c r="V2870" i="14"/>
  <c r="K3309" i="14"/>
  <c r="K3721" i="14"/>
  <c r="K4129" i="14"/>
  <c r="K4281" i="14"/>
  <c r="K1497" i="14"/>
  <c r="K1956" i="14"/>
  <c r="K2032" i="14"/>
  <c r="K1354" i="14"/>
  <c r="K1868" i="14"/>
  <c r="K1596" i="14"/>
  <c r="K3780" i="14"/>
  <c r="K1287" i="14"/>
  <c r="K1847" i="14"/>
  <c r="V1846" i="14"/>
  <c r="K736" i="14"/>
  <c r="K1592" i="14"/>
  <c r="V1591" i="14"/>
  <c r="K2074" i="14"/>
  <c r="K2676" i="14"/>
  <c r="K3112" i="14"/>
  <c r="K3536" i="14"/>
  <c r="V3535" i="14"/>
  <c r="K3946" i="14"/>
  <c r="K2109" i="14"/>
  <c r="K2557" i="14"/>
  <c r="K3003" i="14"/>
  <c r="V3430" i="14"/>
  <c r="K3431" i="14"/>
  <c r="K3837" i="14"/>
  <c r="K2282" i="14"/>
  <c r="K2730" i="14"/>
  <c r="K3164" i="14"/>
  <c r="K3592" i="14"/>
  <c r="K4000" i="14"/>
  <c r="V3999" i="14"/>
  <c r="K2495" i="14"/>
  <c r="V2494" i="14"/>
  <c r="K2925" i="14"/>
  <c r="U2925" i="14" s="1"/>
  <c r="K3369" i="14"/>
  <c r="K3777" i="14"/>
  <c r="K4235" i="14"/>
  <c r="M4235" i="14" s="1"/>
  <c r="K4289" i="14"/>
  <c r="K1537" i="14"/>
  <c r="K2004" i="14"/>
  <c r="K2208" i="14"/>
  <c r="K1480" i="14"/>
  <c r="K1936" i="14"/>
  <c r="K1916" i="14"/>
  <c r="K4068" i="14"/>
  <c r="K1451" i="14"/>
  <c r="V1450" i="14"/>
  <c r="K1909" i="14"/>
  <c r="K1628" i="14"/>
  <c r="V1627" i="14"/>
  <c r="K2118" i="14"/>
  <c r="K2708" i="14"/>
  <c r="K3144" i="14"/>
  <c r="K3568" i="14"/>
  <c r="V3567" i="14"/>
  <c r="K3978" i="14"/>
  <c r="K2141" i="14"/>
  <c r="K2593" i="14"/>
  <c r="K3035" i="14"/>
  <c r="V3462" i="14"/>
  <c r="K3463" i="14"/>
  <c r="K3869" i="14"/>
  <c r="M3869" i="14" s="1"/>
  <c r="K2318" i="14"/>
  <c r="K2762" i="14"/>
  <c r="K3212" i="14"/>
  <c r="K3624" i="14"/>
  <c r="K4032" i="14"/>
  <c r="V4031" i="14"/>
  <c r="K2527" i="14"/>
  <c r="V2526" i="14"/>
  <c r="K2973" i="14"/>
  <c r="K3401" i="14"/>
  <c r="K3809" i="14"/>
  <c r="K4160" i="14"/>
  <c r="V4159" i="14"/>
  <c r="K4283" i="14"/>
  <c r="K521" i="14"/>
  <c r="K1511" i="14"/>
  <c r="K1976" i="14"/>
  <c r="K2104" i="14"/>
  <c r="K1416" i="14"/>
  <c r="V1415" i="14"/>
  <c r="K1882" i="14"/>
  <c r="K1676" i="14"/>
  <c r="K3844" i="14"/>
  <c r="K1345" i="14"/>
  <c r="K1857" i="14"/>
  <c r="K702" i="14"/>
  <c r="K1578" i="14"/>
  <c r="K2057" i="14"/>
  <c r="K2664" i="14"/>
  <c r="V2663" i="14"/>
  <c r="K3098" i="14"/>
  <c r="K3522" i="14"/>
  <c r="K3932" i="14"/>
  <c r="K2095" i="14"/>
  <c r="K2547" i="14"/>
  <c r="V2546" i="14"/>
  <c r="K2989" i="14"/>
  <c r="K3417" i="14"/>
  <c r="K3825" i="14"/>
  <c r="K2268" i="14"/>
  <c r="K2720" i="14"/>
  <c r="K3152" i="14"/>
  <c r="V3151" i="14"/>
  <c r="K3578" i="14"/>
  <c r="K3986" i="14"/>
  <c r="K2481" i="14"/>
  <c r="K2913" i="14"/>
  <c r="K3355" i="14"/>
  <c r="K3767" i="14"/>
  <c r="V3766" i="14"/>
  <c r="K4221" i="14"/>
  <c r="K4169" i="14"/>
  <c r="K3817" i="14"/>
  <c r="K3220" i="14"/>
  <c r="K1063" i="14"/>
  <c r="K1727" i="14"/>
  <c r="V1726" i="14"/>
  <c r="K2252" i="14"/>
  <c r="V787" i="14"/>
  <c r="K788" i="14"/>
  <c r="K1638" i="14"/>
  <c r="K2132" i="14"/>
  <c r="V2131" i="14"/>
  <c r="K2684" i="14"/>
  <c r="K765" i="14"/>
  <c r="K1609" i="14"/>
  <c r="K2100" i="14"/>
  <c r="V2099" i="14"/>
  <c r="K1206" i="14"/>
  <c r="K1780" i="14"/>
  <c r="K2420" i="14"/>
  <c r="V2419" i="14"/>
  <c r="K2858" i="14"/>
  <c r="K3298" i="14"/>
  <c r="K3708" i="14"/>
  <c r="K4120" i="14"/>
  <c r="K2299" i="14"/>
  <c r="V2298" i="14"/>
  <c r="K2741" i="14"/>
  <c r="K3193" i="14"/>
  <c r="K3601" i="14"/>
  <c r="K4011" i="14"/>
  <c r="K2480" i="14"/>
  <c r="K2912" i="14"/>
  <c r="V2911" i="14"/>
  <c r="K3354" i="14"/>
  <c r="K3762" i="14"/>
  <c r="K4220" i="14"/>
  <c r="K2681" i="14"/>
  <c r="K3115" i="14"/>
  <c r="K3543" i="14"/>
  <c r="V3542" i="14"/>
  <c r="K3949" i="14"/>
  <c r="V4207" i="14"/>
  <c r="K4208" i="14"/>
  <c r="K3380" i="14"/>
  <c r="K1171" i="14"/>
  <c r="V1758" i="14"/>
  <c r="K1759" i="14"/>
  <c r="K508" i="14"/>
  <c r="K916" i="14"/>
  <c r="V915" i="14"/>
  <c r="K1682" i="14"/>
  <c r="K2179" i="14"/>
  <c r="K2852" i="14"/>
  <c r="K869" i="14"/>
  <c r="K1645" i="14"/>
  <c r="K2143" i="14"/>
  <c r="K1288" i="14"/>
  <c r="K1848" i="14"/>
  <c r="K2482" i="14"/>
  <c r="K2914" i="14"/>
  <c r="K3356" i="14"/>
  <c r="K3768" i="14"/>
  <c r="K4224" i="14"/>
  <c r="K2369" i="14"/>
  <c r="K2809" i="14"/>
  <c r="K3249" i="14"/>
  <c r="K3659" i="14"/>
  <c r="K4071" i="14"/>
  <c r="V4070" i="14"/>
  <c r="K2536" i="14"/>
  <c r="V2535" i="14"/>
  <c r="K2986" i="14"/>
  <c r="K3410" i="14"/>
  <c r="K3820" i="14"/>
  <c r="K2289" i="14"/>
  <c r="K2739" i="14"/>
  <c r="K3191" i="14"/>
  <c r="V3190" i="14"/>
  <c r="K3597" i="14"/>
  <c r="K4009" i="14"/>
  <c r="K4253" i="14"/>
  <c r="M4253" i="14" s="1"/>
  <c r="K3540" i="14"/>
  <c r="K1227" i="14"/>
  <c r="K1795" i="14"/>
  <c r="V1794" i="14"/>
  <c r="K920" i="14"/>
  <c r="K1106" i="14"/>
  <c r="K1738" i="14"/>
  <c r="K2316" i="14"/>
  <c r="K3156" i="14"/>
  <c r="K1025" i="14"/>
  <c r="K1715" i="14"/>
  <c r="K2234" i="14"/>
  <c r="K1412" i="14"/>
  <c r="K1880" i="14"/>
  <c r="K2514" i="14"/>
  <c r="K2958" i="14"/>
  <c r="K3388" i="14"/>
  <c r="K3800" i="14"/>
  <c r="K1951" i="14"/>
  <c r="V1950" i="14"/>
  <c r="K2401" i="14"/>
  <c r="K2841" i="14"/>
  <c r="K3281" i="14"/>
  <c r="K3691" i="14"/>
  <c r="K4103" i="14"/>
  <c r="V4102" i="14"/>
  <c r="K2576" i="14"/>
  <c r="V2575" i="14"/>
  <c r="K3018" i="14"/>
  <c r="K3442" i="14"/>
  <c r="K3852" i="14"/>
  <c r="K2325" i="14"/>
  <c r="K2771" i="14"/>
  <c r="K3223" i="14"/>
  <c r="V3222" i="14"/>
  <c r="K3629" i="14"/>
  <c r="K4041" i="14"/>
  <c r="V4255" i="14"/>
  <c r="K4256" i="14"/>
  <c r="K3444" i="14"/>
  <c r="K1197" i="14"/>
  <c r="K1769" i="14"/>
  <c r="K696" i="14"/>
  <c r="K928" i="14"/>
  <c r="K1696" i="14"/>
  <c r="K2200" i="14"/>
  <c r="K2916" i="14"/>
  <c r="V906" i="14"/>
  <c r="K907" i="14"/>
  <c r="K1657" i="14"/>
  <c r="K2164" i="14"/>
  <c r="K1276" i="14"/>
  <c r="V1275" i="14"/>
  <c r="K1834" i="14"/>
  <c r="K2468" i="14"/>
  <c r="K2904" i="14"/>
  <c r="V3343" i="14"/>
  <c r="K3344" i="14"/>
  <c r="K3754" i="14"/>
  <c r="K4194" i="14"/>
  <c r="K2341" i="14"/>
  <c r="K2795" i="14"/>
  <c r="K3239" i="14"/>
  <c r="V3238" i="14"/>
  <c r="K3645" i="14"/>
  <c r="K4057" i="14"/>
  <c r="K2522" i="14"/>
  <c r="K2972" i="14"/>
  <c r="K3400" i="14"/>
  <c r="M3400" i="14" s="1"/>
  <c r="K3808" i="14"/>
  <c r="V3807" i="14"/>
  <c r="K2279" i="14"/>
  <c r="V2278" i="14"/>
  <c r="K2725" i="14"/>
  <c r="K3161" i="14"/>
  <c r="K3789" i="14"/>
  <c r="K3611" i="14"/>
  <c r="K1988" i="14"/>
  <c r="K2804" i="14"/>
  <c r="K785" i="14"/>
  <c r="K2129" i="14"/>
  <c r="K638" i="14"/>
  <c r="K1552" i="14"/>
  <c r="K3348" i="14"/>
  <c r="K1167" i="14"/>
  <c r="V1166" i="14"/>
  <c r="K1749" i="14"/>
  <c r="K2374" i="14"/>
  <c r="K910" i="14"/>
  <c r="K1662" i="14"/>
  <c r="K2170" i="14"/>
  <c r="K2820" i="14"/>
  <c r="K789" i="14"/>
  <c r="K1639" i="14"/>
  <c r="K2134" i="14"/>
  <c r="K1252" i="14"/>
  <c r="K1812" i="14"/>
  <c r="K2450" i="14"/>
  <c r="K2882" i="14"/>
  <c r="K3324" i="14"/>
  <c r="K3736" i="14"/>
  <c r="K4144" i="14"/>
  <c r="V4143" i="14"/>
  <c r="K2321" i="14"/>
  <c r="K2769" i="14"/>
  <c r="K3217" i="14"/>
  <c r="K3627" i="14"/>
  <c r="V4038" i="14"/>
  <c r="K4039" i="14"/>
  <c r="V2503" i="14"/>
  <c r="K2504" i="14"/>
  <c r="K2950" i="14"/>
  <c r="K3378" i="14"/>
  <c r="K3788" i="14"/>
  <c r="K2257" i="14"/>
  <c r="K2707" i="14"/>
  <c r="K3143" i="14"/>
  <c r="V3142" i="14"/>
  <c r="K3565" i="14"/>
  <c r="K3977" i="14"/>
  <c r="K4248" i="14"/>
  <c r="K3508" i="14"/>
  <c r="K1223" i="14"/>
  <c r="V1222" i="14"/>
  <c r="K1781" i="14"/>
  <c r="K864" i="14"/>
  <c r="K1018" i="14"/>
  <c r="K1706" i="14"/>
  <c r="K2216" i="14"/>
  <c r="K2996" i="14"/>
  <c r="K917" i="14"/>
  <c r="K1683" i="14"/>
  <c r="K2180" i="14"/>
  <c r="K1408" i="14"/>
  <c r="V1871" i="14"/>
  <c r="K1872" i="14"/>
  <c r="K2506" i="14"/>
  <c r="K2952" i="14"/>
  <c r="K3384" i="14"/>
  <c r="K3792" i="14"/>
  <c r="V3791" i="14"/>
  <c r="K1941" i="14"/>
  <c r="K2397" i="14"/>
  <c r="K2833" i="14"/>
  <c r="K3275" i="14"/>
  <c r="K3687" i="14"/>
  <c r="V3686" i="14"/>
  <c r="K4093" i="14"/>
  <c r="K2570" i="14"/>
  <c r="K3010" i="14"/>
  <c r="K3436" i="14"/>
  <c r="K3848" i="14"/>
  <c r="K2319" i="14"/>
  <c r="K2767" i="14"/>
  <c r="V2766" i="14"/>
  <c r="K3213" i="14"/>
  <c r="K3625" i="14"/>
  <c r="K4033" i="14"/>
  <c r="K4252" i="14"/>
  <c r="K3668" i="14"/>
  <c r="K1267" i="14"/>
  <c r="V1266" i="14"/>
  <c r="K1817" i="14"/>
  <c r="K1264" i="14"/>
  <c r="K1178" i="14"/>
  <c r="K1764" i="14"/>
  <c r="K544" i="14"/>
  <c r="K3300" i="14"/>
  <c r="K1107" i="14"/>
  <c r="K1743" i="14"/>
  <c r="V1742" i="14"/>
  <c r="K2320" i="14"/>
  <c r="K1452" i="14"/>
  <c r="K1912" i="14"/>
  <c r="V1911" i="14"/>
  <c r="K2538" i="14"/>
  <c r="K2988" i="14"/>
  <c r="K3416" i="14"/>
  <c r="K3824" i="14"/>
  <c r="V3823" i="14"/>
  <c r="K1977" i="14"/>
  <c r="K2433" i="14"/>
  <c r="K2865" i="14"/>
  <c r="K3307" i="14"/>
  <c r="K3719" i="14"/>
  <c r="V3718" i="14"/>
  <c r="K4125" i="14"/>
  <c r="K2606" i="14"/>
  <c r="K3042" i="14"/>
  <c r="K3468" i="14"/>
  <c r="K3880" i="14"/>
  <c r="K2367" i="14"/>
  <c r="K2807" i="14"/>
  <c r="V2806" i="14"/>
  <c r="K3245" i="14"/>
  <c r="K3657" i="14"/>
  <c r="K4065" i="14"/>
  <c r="K4251" i="14"/>
  <c r="K3572" i="14"/>
  <c r="K1233" i="14"/>
  <c r="K1799" i="14"/>
  <c r="K1056" i="14"/>
  <c r="K1060" i="14"/>
  <c r="K1720" i="14"/>
  <c r="V1719" i="14"/>
  <c r="K2247" i="14"/>
  <c r="V2246" i="14"/>
  <c r="K3060" i="14"/>
  <c r="K929" i="14"/>
  <c r="K1697" i="14"/>
  <c r="K2201" i="14"/>
  <c r="K1346" i="14"/>
  <c r="K1858" i="14"/>
  <c r="K2496" i="14"/>
  <c r="K2928" i="14"/>
  <c r="V2927" i="14"/>
  <c r="K3370" i="14"/>
  <c r="K3778" i="14"/>
  <c r="K4236" i="14"/>
  <c r="M4236" i="14" s="1"/>
  <c r="K2383" i="14"/>
  <c r="K2823" i="14"/>
  <c r="V2822" i="14"/>
  <c r="K3261" i="14"/>
  <c r="K3673" i="14"/>
  <c r="K4081" i="14"/>
  <c r="K2552" i="14"/>
  <c r="K3000" i="14"/>
  <c r="K3424" i="14"/>
  <c r="V3423" i="14"/>
  <c r="K3834" i="14"/>
  <c r="K2305" i="14"/>
  <c r="K2861" i="14"/>
  <c r="K4023" i="14"/>
  <c r="V4022" i="14"/>
  <c r="K3988" i="14"/>
  <c r="K1435" i="14"/>
  <c r="V1434" i="14"/>
  <c r="K1885" i="14"/>
  <c r="K1724" i="14"/>
  <c r="K1250" i="14"/>
  <c r="K1806" i="14"/>
  <c r="K1100" i="14"/>
  <c r="K3492" i="14"/>
  <c r="K1205" i="14"/>
  <c r="K1779" i="14"/>
  <c r="K362" i="14"/>
  <c r="K1496" i="14"/>
  <c r="K1954" i="14"/>
  <c r="K2586" i="14"/>
  <c r="K3026" i="14"/>
  <c r="K3452" i="14"/>
  <c r="K3864" i="14"/>
  <c r="M3864" i="14" s="1"/>
  <c r="K2019" i="14"/>
  <c r="V2018" i="14"/>
  <c r="K2469" i="14"/>
  <c r="K2905" i="14"/>
  <c r="K3345" i="14"/>
  <c r="K3755" i="14"/>
  <c r="K4215" i="14"/>
  <c r="V4214" i="14"/>
  <c r="K2648" i="14"/>
  <c r="V2647" i="14"/>
  <c r="K3082" i="14"/>
  <c r="K3506" i="14"/>
  <c r="K3916" i="14"/>
  <c r="K2405" i="14"/>
  <c r="K2843" i="14"/>
  <c r="K3287" i="14"/>
  <c r="K3693" i="14"/>
  <c r="K4105" i="14"/>
  <c r="K4276" i="14"/>
  <c r="K4180" i="14"/>
  <c r="K1475" i="14"/>
  <c r="V1474" i="14"/>
  <c r="K1925" i="14"/>
  <c r="K1900" i="14"/>
  <c r="K1286" i="14"/>
  <c r="K1842" i="14"/>
  <c r="K1448" i="14"/>
  <c r="K3652" i="14"/>
  <c r="K1257" i="14"/>
  <c r="K1815" i="14"/>
  <c r="K668" i="14"/>
  <c r="K1568" i="14"/>
  <c r="K2036" i="14"/>
  <c r="K2650" i="14"/>
  <c r="K3084" i="14"/>
  <c r="K3512" i="14"/>
  <c r="K3920" i="14"/>
  <c r="V3919" i="14"/>
  <c r="K2077" i="14"/>
  <c r="K2529" i="14"/>
  <c r="K2977" i="14"/>
  <c r="K3403" i="14"/>
  <c r="K3815" i="14"/>
  <c r="V3814" i="14"/>
  <c r="K2256" i="14"/>
  <c r="V2255" i="14"/>
  <c r="K2706" i="14"/>
  <c r="K3138" i="14"/>
  <c r="K3564" i="14"/>
  <c r="K3976" i="14"/>
  <c r="K2467" i="14"/>
  <c r="K2903" i="14"/>
  <c r="V2902" i="14"/>
  <c r="K3341" i="14"/>
  <c r="K3753" i="14"/>
  <c r="K4193" i="14"/>
  <c r="K4285" i="14"/>
  <c r="K515" i="14"/>
  <c r="K1507" i="14"/>
  <c r="V1506" i="14"/>
  <c r="V1970" i="14"/>
  <c r="K1971" i="14"/>
  <c r="K2068" i="14"/>
  <c r="K1446" i="14"/>
  <c r="K1908" i="14"/>
  <c r="K1772" i="14"/>
  <c r="K3940" i="14"/>
  <c r="K1411" i="14"/>
  <c r="K1879" i="14"/>
  <c r="V1878" i="14"/>
  <c r="K740" i="14"/>
  <c r="K2081" i="14"/>
  <c r="K2682" i="14"/>
  <c r="K3116" i="14"/>
  <c r="K3544" i="14"/>
  <c r="V3951" i="14"/>
  <c r="K3952" i="14"/>
  <c r="K2113" i="14"/>
  <c r="K2569" i="14"/>
  <c r="K3009" i="14"/>
  <c r="K3435" i="14"/>
  <c r="K3847" i="14"/>
  <c r="V3846" i="14"/>
  <c r="K2288" i="14"/>
  <c r="V2287" i="14"/>
  <c r="K2738" i="14"/>
  <c r="K3170" i="14"/>
  <c r="K3596" i="14"/>
  <c r="K4008" i="14"/>
  <c r="K2499" i="14"/>
  <c r="K2947" i="14"/>
  <c r="V2946" i="14"/>
  <c r="K3373" i="14"/>
  <c r="K3785" i="14"/>
  <c r="K4241" i="14"/>
  <c r="K4288" i="14"/>
  <c r="V4287" i="14"/>
  <c r="K353" i="14"/>
  <c r="K1485" i="14"/>
  <c r="K1939" i="14"/>
  <c r="K1968" i="14"/>
  <c r="K1344" i="14"/>
  <c r="K1856" i="14"/>
  <c r="V1855" i="14"/>
  <c r="K1528" i="14"/>
  <c r="K3716" i="14"/>
  <c r="K1273" i="14"/>
  <c r="K1833" i="14"/>
  <c r="K636" i="14"/>
  <c r="V635" i="14"/>
  <c r="K1550" i="14"/>
  <c r="K2020" i="14"/>
  <c r="K2640" i="14"/>
  <c r="K3072" i="14"/>
  <c r="V3071" i="14"/>
  <c r="K3498" i="14"/>
  <c r="K3906" i="14"/>
  <c r="K2065" i="14"/>
  <c r="K2515" i="14"/>
  <c r="K2967" i="14"/>
  <c r="V2966" i="14"/>
  <c r="K3389" i="14"/>
  <c r="K3801" i="14"/>
  <c r="K2242" i="14"/>
  <c r="K2692" i="14"/>
  <c r="K3128" i="14"/>
  <c r="K3552" i="14"/>
  <c r="V3551" i="14"/>
  <c r="K3962" i="14"/>
  <c r="K2453" i="14"/>
  <c r="K2889" i="14"/>
  <c r="K3329" i="14"/>
  <c r="K3739" i="14"/>
  <c r="K4183" i="14"/>
  <c r="V4182" i="14"/>
  <c r="K4173" i="14"/>
  <c r="K3511" i="14"/>
  <c r="V3510" i="14"/>
  <c r="K2524" i="14"/>
  <c r="K703" i="14"/>
  <c r="K1583" i="14"/>
  <c r="V1582" i="14"/>
  <c r="K2058" i="14"/>
  <c r="K360" i="14"/>
  <c r="V359" i="14"/>
  <c r="K1494" i="14"/>
  <c r="K1952" i="14"/>
  <c r="K1984" i="14"/>
  <c r="K4132" i="14"/>
  <c r="K1461" i="14"/>
  <c r="K1923" i="14"/>
  <c r="K790" i="14"/>
  <c r="K1640" i="14"/>
  <c r="K2139" i="14"/>
  <c r="V2138" i="14"/>
  <c r="K2722" i="14"/>
  <c r="K3154" i="14"/>
  <c r="K3580" i="14"/>
  <c r="K3992" i="14"/>
  <c r="K2159" i="14"/>
  <c r="V2158" i="14"/>
  <c r="K2609" i="14"/>
  <c r="K3049" i="14"/>
  <c r="K3473" i="14"/>
  <c r="K3883" i="14"/>
  <c r="K2332" i="14"/>
  <c r="V2775" i="14"/>
  <c r="K2776" i="14"/>
  <c r="K3226" i="14"/>
  <c r="K3634" i="14"/>
  <c r="K4044" i="14"/>
  <c r="K2537" i="14"/>
  <c r="K2987" i="14"/>
  <c r="K3415" i="14"/>
  <c r="V3414" i="14"/>
  <c r="K3821" i="14"/>
  <c r="K4203" i="14"/>
  <c r="K2700" i="14"/>
  <c r="K767" i="14"/>
  <c r="K1619" i="14"/>
  <c r="V1618" i="14"/>
  <c r="K2107" i="14"/>
  <c r="V2106" i="14"/>
  <c r="K556" i="14"/>
  <c r="V555" i="14"/>
  <c r="K1534" i="14"/>
  <c r="K1996" i="14"/>
  <c r="V1995" i="14"/>
  <c r="K2156" i="14"/>
  <c r="K513" i="14"/>
  <c r="K1501" i="14"/>
  <c r="K1960" i="14"/>
  <c r="V1959" i="14"/>
  <c r="K1020" i="14"/>
  <c r="K1712" i="14"/>
  <c r="K2221" i="14"/>
  <c r="K2778" i="14"/>
  <c r="K3228" i="14"/>
  <c r="K3640" i="14"/>
  <c r="K4048" i="14"/>
  <c r="K2217" i="14"/>
  <c r="K2673" i="14"/>
  <c r="K3105" i="14"/>
  <c r="K3531" i="14"/>
  <c r="K3943" i="14"/>
  <c r="V3942" i="14"/>
  <c r="K2404" i="14"/>
  <c r="V2403" i="14"/>
  <c r="K2842" i="14"/>
  <c r="K3282" i="14"/>
  <c r="K3692" i="14"/>
  <c r="K4104" i="14"/>
  <c r="K2607" i="14"/>
  <c r="K3047" i="14"/>
  <c r="V3046" i="14"/>
  <c r="K3469" i="14"/>
  <c r="K3881" i="14"/>
  <c r="K4204" i="14"/>
  <c r="K2868" i="14"/>
  <c r="K871" i="14"/>
  <c r="K1651" i="14"/>
  <c r="V1650" i="14"/>
  <c r="K2148" i="14"/>
  <c r="V2147" i="14"/>
  <c r="K738" i="14"/>
  <c r="K1594" i="14"/>
  <c r="K2076" i="14"/>
  <c r="K2476" i="14"/>
  <c r="K673" i="14"/>
  <c r="K1571" i="14"/>
  <c r="K2040" i="14"/>
  <c r="K1108" i="14"/>
  <c r="K1744" i="14"/>
  <c r="K2326" i="14"/>
  <c r="K2818" i="14"/>
  <c r="K3260" i="14"/>
  <c r="K3672" i="14"/>
  <c r="K4080" i="14"/>
  <c r="V4079" i="14"/>
  <c r="K2253" i="14"/>
  <c r="K2705" i="14"/>
  <c r="K3137" i="14"/>
  <c r="K3563" i="14"/>
  <c r="K3975" i="14"/>
  <c r="V3974" i="14"/>
  <c r="K2440" i="14"/>
  <c r="V2439" i="14"/>
  <c r="K2874" i="14"/>
  <c r="K3314" i="14"/>
  <c r="K3724" i="14"/>
  <c r="K4136" i="14"/>
  <c r="K2643" i="14"/>
  <c r="K3079" i="14"/>
  <c r="V3078" i="14"/>
  <c r="K3501" i="14"/>
  <c r="K3913" i="14"/>
  <c r="K4177" i="14"/>
  <c r="U4177" i="14" s="1"/>
  <c r="K2764" i="14"/>
  <c r="K781" i="14"/>
  <c r="K1629" i="14"/>
  <c r="K2124" i="14"/>
  <c r="K632" i="14"/>
  <c r="K1548" i="14"/>
  <c r="K2013" i="14"/>
  <c r="K2228" i="14"/>
  <c r="V546" i="14"/>
  <c r="K547" i="14"/>
  <c r="K1513" i="14"/>
  <c r="K1981" i="14"/>
  <c r="V931" i="14"/>
  <c r="K932" i="14"/>
  <c r="K1698" i="14"/>
  <c r="K2204" i="14"/>
  <c r="V2203" i="14"/>
  <c r="K2768" i="14"/>
  <c r="K3216" i="14"/>
  <c r="V3215" i="14"/>
  <c r="K3626" i="14"/>
  <c r="K4034" i="14"/>
  <c r="K2205" i="14"/>
  <c r="K2659" i="14"/>
  <c r="K3095" i="14"/>
  <c r="V3094" i="14"/>
  <c r="K3517" i="14"/>
  <c r="K3929" i="14"/>
  <c r="K2390" i="14"/>
  <c r="K2828" i="14"/>
  <c r="K3272" i="14"/>
  <c r="V3679" i="14"/>
  <c r="K3680" i="14"/>
  <c r="K4090" i="14"/>
  <c r="K2589" i="14"/>
  <c r="K3033" i="14"/>
  <c r="K3457" i="14"/>
  <c r="K3867" i="14"/>
  <c r="M3867" i="14" s="1"/>
  <c r="K4244" i="14"/>
  <c r="K4274" i="14"/>
  <c r="K3732" i="14"/>
  <c r="K1277" i="14"/>
  <c r="K1835" i="14"/>
  <c r="K1432" i="14"/>
  <c r="K1168" i="14"/>
  <c r="K1752" i="14"/>
  <c r="V1751" i="14"/>
  <c r="K2382" i="14"/>
  <c r="K3236" i="14"/>
  <c r="K1065" i="14"/>
  <c r="K1729" i="14"/>
  <c r="K2266" i="14"/>
  <c r="K1438" i="14"/>
  <c r="K1890" i="14"/>
  <c r="K2528" i="14"/>
  <c r="K2976" i="14"/>
  <c r="V2975" i="14"/>
  <c r="K3402" i="14"/>
  <c r="K3810" i="14"/>
  <c r="L3810" i="14" s="1"/>
  <c r="K1961" i="14"/>
  <c r="K2415" i="14"/>
  <c r="K2855" i="14"/>
  <c r="V2854" i="14"/>
  <c r="K3293" i="14"/>
  <c r="K3705" i="14"/>
  <c r="K4113" i="14"/>
  <c r="K2588" i="14"/>
  <c r="K3032" i="14"/>
  <c r="K3456" i="14"/>
  <c r="V3455" i="14"/>
  <c r="K3866" i="14"/>
  <c r="M3866" i="14" s="1"/>
  <c r="K2337" i="14"/>
  <c r="K2793" i="14"/>
  <c r="K3233" i="14"/>
  <c r="K3643" i="14"/>
  <c r="K4055" i="14"/>
  <c r="V4054" i="14"/>
  <c r="K4269" i="14"/>
  <c r="K3892" i="14"/>
  <c r="K1353" i="14"/>
  <c r="K1867" i="14"/>
  <c r="K1616" i="14"/>
  <c r="K1224" i="14"/>
  <c r="K1784" i="14"/>
  <c r="V1783" i="14"/>
  <c r="K776" i="14"/>
  <c r="K3396" i="14"/>
  <c r="K1173" i="14"/>
  <c r="K1761" i="14"/>
  <c r="K514" i="14"/>
  <c r="K1502" i="14"/>
  <c r="K1962" i="14"/>
  <c r="K2592" i="14"/>
  <c r="V2591" i="14"/>
  <c r="K3034" i="14"/>
  <c r="K3458" i="14"/>
  <c r="K3868" i="14"/>
  <c r="M3868" i="14" s="1"/>
  <c r="K2023" i="14"/>
  <c r="V2478" i="14"/>
  <c r="K2479" i="14"/>
  <c r="K2909" i="14"/>
  <c r="K3353" i="14"/>
  <c r="K3761" i="14"/>
  <c r="K4219" i="14"/>
  <c r="K2656" i="14"/>
  <c r="K3088" i="14"/>
  <c r="V3087" i="14"/>
  <c r="K3514" i="14"/>
  <c r="K3922" i="14"/>
  <c r="K2413" i="14"/>
  <c r="K2849" i="14"/>
  <c r="K3291" i="14"/>
  <c r="K3703" i="14"/>
  <c r="V3702" i="14"/>
  <c r="K4109" i="14"/>
  <c r="K4272" i="14"/>
  <c r="V4271" i="14"/>
  <c r="K4052" i="14"/>
  <c r="K1445" i="14"/>
  <c r="K1907" i="14"/>
  <c r="K1792" i="14"/>
  <c r="K1292" i="14"/>
  <c r="V1291" i="14"/>
  <c r="K1850" i="14"/>
  <c r="K1488" i="14"/>
  <c r="K3684" i="14"/>
  <c r="K1269" i="14"/>
  <c r="K1821" i="14"/>
  <c r="K630" i="14"/>
  <c r="K1542" i="14"/>
  <c r="K2008" i="14"/>
  <c r="K2628" i="14"/>
  <c r="V2627" i="14"/>
  <c r="K3066" i="14"/>
  <c r="K3490" i="14"/>
  <c r="K3900" i="14"/>
  <c r="K2059" i="14"/>
  <c r="K2511" i="14"/>
  <c r="V2510" i="14"/>
  <c r="K2953" i="14"/>
  <c r="K3385" i="14"/>
  <c r="K3793" i="14"/>
  <c r="K2236" i="14"/>
  <c r="K2688" i="14"/>
  <c r="K3120" i="14"/>
  <c r="V3119" i="14"/>
  <c r="K3546" i="14"/>
  <c r="K3954" i="14"/>
  <c r="K2449" i="14"/>
  <c r="K2881" i="14"/>
  <c r="K3323" i="14"/>
  <c r="K3735" i="14"/>
  <c r="V3734" i="14"/>
  <c r="K4141" i="14"/>
  <c r="K4267" i="14"/>
  <c r="K3956" i="14"/>
  <c r="K1413" i="14"/>
  <c r="K1881" i="14"/>
  <c r="K1692" i="14"/>
  <c r="K1234" i="14"/>
  <c r="K1800" i="14"/>
  <c r="K1012" i="14"/>
  <c r="K3460" i="14"/>
  <c r="K1199" i="14"/>
  <c r="V1774" i="14"/>
  <c r="K1775" i="14"/>
  <c r="K356" i="14"/>
  <c r="K1945" i="14"/>
  <c r="K2578" i="14"/>
  <c r="K3020" i="14"/>
  <c r="K3448" i="14"/>
  <c r="K3856" i="14"/>
  <c r="V3855" i="14"/>
  <c r="K2009" i="14"/>
  <c r="K2465" i="14"/>
  <c r="K2897" i="14"/>
  <c r="K3339" i="14"/>
  <c r="K3751" i="14"/>
  <c r="V3750" i="14"/>
  <c r="K4189" i="14"/>
  <c r="K2642" i="14"/>
  <c r="K3074" i="14"/>
  <c r="K3500" i="14"/>
  <c r="K3912" i="14"/>
  <c r="K2399" i="14"/>
  <c r="K2839" i="14"/>
  <c r="V2838" i="14"/>
  <c r="K3277" i="14"/>
  <c r="V3894" i="14"/>
  <c r="K3895" i="14"/>
  <c r="K3713" i="14"/>
  <c r="K549" i="14"/>
  <c r="K2136" i="14"/>
  <c r="K3860" i="14"/>
  <c r="M3860" i="14" s="1"/>
  <c r="K1347" i="14"/>
  <c r="K1863" i="14"/>
  <c r="V1862" i="14"/>
  <c r="K1580" i="14"/>
  <c r="K1204" i="14"/>
  <c r="V1203" i="14"/>
  <c r="K1778" i="14"/>
  <c r="K732" i="14"/>
  <c r="K3364" i="14"/>
  <c r="K1169" i="14"/>
  <c r="K1753" i="14"/>
  <c r="K2388" i="14"/>
  <c r="V2387" i="14"/>
  <c r="K1462" i="14"/>
  <c r="K1924" i="14"/>
  <c r="K2556" i="14"/>
  <c r="V2555" i="14"/>
  <c r="K3002" i="14"/>
  <c r="K3426" i="14"/>
  <c r="K3836" i="14"/>
  <c r="K1991" i="14"/>
  <c r="K2447" i="14"/>
  <c r="V2446" i="14"/>
  <c r="K2877" i="14"/>
  <c r="K3321" i="14"/>
  <c r="K3729" i="14"/>
  <c r="K4139" i="14"/>
  <c r="K2620" i="14"/>
  <c r="V3055" i="14"/>
  <c r="K3056" i="14"/>
  <c r="K3482" i="14"/>
  <c r="K3890" i="14"/>
  <c r="K2381" i="14"/>
  <c r="K2817" i="14"/>
  <c r="K3259" i="14"/>
  <c r="K3671" i="14"/>
  <c r="V3670" i="14"/>
  <c r="K4077" i="14"/>
  <c r="K4273" i="14"/>
  <c r="K4020" i="14"/>
  <c r="K1439" i="14"/>
  <c r="V1902" i="14"/>
  <c r="K1903" i="14"/>
  <c r="K1756" i="14"/>
  <c r="K1256" i="14"/>
  <c r="V1255" i="14"/>
  <c r="K1814" i="14"/>
  <c r="K1192" i="14"/>
  <c r="K3524" i="14"/>
  <c r="K1225" i="14"/>
  <c r="K1785" i="14"/>
  <c r="K558" i="14"/>
  <c r="K1536" i="14"/>
  <c r="K2003" i="14"/>
  <c r="V2002" i="14"/>
  <c r="K2622" i="14"/>
  <c r="K3058" i="14"/>
  <c r="K3484" i="14"/>
  <c r="K3896" i="14"/>
  <c r="K2055" i="14"/>
  <c r="V2054" i="14"/>
  <c r="K2501" i="14"/>
  <c r="K2949" i="14"/>
  <c r="K3377" i="14"/>
  <c r="K3787" i="14"/>
  <c r="K2232" i="14"/>
  <c r="K2680" i="14"/>
  <c r="V2679" i="14"/>
  <c r="K3114" i="14"/>
  <c r="K3538" i="14"/>
  <c r="K3948" i="14"/>
  <c r="K2441" i="14"/>
  <c r="K2875" i="14"/>
  <c r="K3319" i="14"/>
  <c r="K3725" i="14"/>
  <c r="K4137" i="14"/>
  <c r="K4280" i="14"/>
  <c r="K4228" i="14"/>
  <c r="K1479" i="14"/>
  <c r="K1935" i="14"/>
  <c r="V1934" i="14"/>
  <c r="K1932" i="14"/>
  <c r="K1410" i="14"/>
  <c r="K1874" i="14"/>
  <c r="K1632" i="14"/>
  <c r="K3812" i="14"/>
  <c r="K1293" i="14"/>
  <c r="K1851" i="14"/>
  <c r="K674" i="14"/>
  <c r="K1572" i="14"/>
  <c r="K2044" i="14"/>
  <c r="V2043" i="14"/>
  <c r="K2658" i="14"/>
  <c r="K3090" i="14"/>
  <c r="K3516" i="14"/>
  <c r="K3928" i="14"/>
  <c r="K2091" i="14"/>
  <c r="V2090" i="14"/>
  <c r="K2533" i="14"/>
  <c r="K2985" i="14"/>
  <c r="K3409" i="14"/>
  <c r="K3819" i="14"/>
  <c r="K2264" i="14"/>
  <c r="V2711" i="14"/>
  <c r="K2712" i="14"/>
  <c r="K3146" i="14"/>
  <c r="K3570" i="14"/>
  <c r="K3980" i="14"/>
  <c r="K2473" i="14"/>
  <c r="K2907" i="14"/>
  <c r="K3351" i="14"/>
  <c r="V3350" i="14"/>
  <c r="K3757" i="14"/>
  <c r="K4217" i="14"/>
  <c r="K4284" i="14"/>
  <c r="K4084" i="14"/>
  <c r="K1453" i="14"/>
  <c r="K1913" i="14"/>
  <c r="K1828" i="14"/>
  <c r="K1272" i="14"/>
  <c r="K1832" i="14"/>
  <c r="K1280" i="14"/>
  <c r="K3588" i="14"/>
  <c r="K1247" i="14"/>
  <c r="V1246" i="14"/>
  <c r="K1801" i="14"/>
  <c r="K548" i="14"/>
  <c r="K1516" i="14"/>
  <c r="V1515" i="14"/>
  <c r="K1982" i="14"/>
  <c r="K2608" i="14"/>
  <c r="K3048" i="14"/>
  <c r="K3472" i="14"/>
  <c r="V3471" i="14"/>
  <c r="K3882" i="14"/>
  <c r="K2037" i="14"/>
  <c r="K2489" i="14"/>
  <c r="K2923" i="14"/>
  <c r="K3367" i="14"/>
  <c r="V3366" i="14"/>
  <c r="K3773" i="14"/>
  <c r="K4233" i="14"/>
  <c r="K2666" i="14"/>
  <c r="K3100" i="14"/>
  <c r="K3528" i="14"/>
  <c r="K3936" i="14"/>
  <c r="V3935" i="14"/>
  <c r="K2431" i="14"/>
  <c r="V2430" i="14"/>
  <c r="K2983" i="14"/>
  <c r="V2982" i="14"/>
  <c r="K4205" i="14"/>
  <c r="K2392" i="14"/>
  <c r="K637" i="14"/>
  <c r="K1551" i="14"/>
  <c r="K2021" i="14"/>
  <c r="K2276" i="14"/>
  <c r="K1460" i="14"/>
  <c r="V1459" i="14"/>
  <c r="K1922" i="14"/>
  <c r="K1844" i="14"/>
  <c r="K4004" i="14"/>
  <c r="K1437" i="14"/>
  <c r="K1889" i="14"/>
  <c r="K766" i="14"/>
  <c r="K1610" i="14"/>
  <c r="K2102" i="14"/>
  <c r="K2696" i="14"/>
  <c r="V2695" i="14"/>
  <c r="K3130" i="14"/>
  <c r="K3554" i="14"/>
  <c r="K3964" i="14"/>
  <c r="K2127" i="14"/>
  <c r="K2583" i="14"/>
  <c r="V2582" i="14"/>
  <c r="K3021" i="14"/>
  <c r="K3449" i="14"/>
  <c r="K3857" i="14"/>
  <c r="K2304" i="14"/>
  <c r="K2752" i="14"/>
  <c r="K3200" i="14"/>
  <c r="V3199" i="14"/>
  <c r="K3610" i="14"/>
  <c r="K4018" i="14"/>
  <c r="K2513" i="14"/>
  <c r="K2957" i="14"/>
  <c r="K3387" i="14"/>
  <c r="K3799" i="14"/>
  <c r="V3798" i="14"/>
  <c r="V4175" i="14"/>
  <c r="K4176" i="14"/>
  <c r="U4176" i="14" s="1"/>
  <c r="K2564" i="14"/>
  <c r="K709" i="14"/>
  <c r="K1587" i="14"/>
  <c r="K2066" i="14"/>
  <c r="K512" i="14"/>
  <c r="K1500" i="14"/>
  <c r="V1499" i="14"/>
  <c r="K1957" i="14"/>
  <c r="K2016" i="14"/>
  <c r="K4212" i="14"/>
  <c r="K1477" i="14"/>
  <c r="K1929" i="14"/>
  <c r="K918" i="14"/>
  <c r="K1684" i="14"/>
  <c r="K2184" i="14"/>
  <c r="K2754" i="14"/>
  <c r="K3202" i="14"/>
  <c r="K3612" i="14"/>
  <c r="K4024" i="14"/>
  <c r="K2195" i="14"/>
  <c r="V2194" i="14"/>
  <c r="K2645" i="14"/>
  <c r="K3081" i="14"/>
  <c r="K3505" i="14"/>
  <c r="K3915" i="14"/>
  <c r="K2380" i="14"/>
  <c r="K2816" i="14"/>
  <c r="V2815" i="14"/>
  <c r="K3258" i="14"/>
  <c r="K3666" i="14"/>
  <c r="K4076" i="14"/>
  <c r="K2577" i="14"/>
  <c r="K3019" i="14"/>
  <c r="K3447" i="14"/>
  <c r="V3446" i="14"/>
  <c r="K3853" i="14"/>
  <c r="K4171" i="14"/>
  <c r="U4171" i="14" s="1"/>
  <c r="K2732" i="14"/>
  <c r="K773" i="14"/>
  <c r="K1623" i="14"/>
  <c r="K2112" i="14"/>
  <c r="V671" i="14"/>
  <c r="K672" i="14"/>
  <c r="K1570" i="14"/>
  <c r="K2039" i="14"/>
  <c r="K2328" i="14"/>
  <c r="K629" i="14"/>
  <c r="K1541" i="14"/>
  <c r="K2007" i="14"/>
  <c r="K1026" i="14"/>
  <c r="K1716" i="14"/>
  <c r="K2237" i="14"/>
  <c r="K2794" i="14"/>
  <c r="K3234" i="14"/>
  <c r="K3644" i="14"/>
  <c r="K4056" i="14"/>
  <c r="K2231" i="14"/>
  <c r="V2230" i="14"/>
  <c r="K2677" i="14"/>
  <c r="K3113" i="14"/>
  <c r="K3537" i="14"/>
  <c r="K3947" i="14"/>
  <c r="K2412" i="14"/>
  <c r="V2847" i="14"/>
  <c r="K2848" i="14"/>
  <c r="K3290" i="14"/>
  <c r="K3698" i="14"/>
  <c r="K4108" i="14"/>
  <c r="K2613" i="14"/>
  <c r="K3051" i="14"/>
  <c r="K3479" i="14"/>
  <c r="V3478" i="14"/>
  <c r="K3885" i="14"/>
  <c r="K4155" i="14"/>
  <c r="K2636" i="14"/>
  <c r="K741" i="14"/>
  <c r="K1601" i="14"/>
  <c r="K2082" i="14"/>
  <c r="K522" i="14"/>
  <c r="K1512" i="14"/>
  <c r="K1980" i="14"/>
  <c r="V1979" i="14"/>
  <c r="K2088" i="14"/>
  <c r="K355" i="14"/>
  <c r="K1944" i="14"/>
  <c r="V1943" i="14"/>
  <c r="K908" i="14"/>
  <c r="K1660" i="14"/>
  <c r="V1659" i="14"/>
  <c r="K2165" i="14"/>
  <c r="K2740" i="14"/>
  <c r="K3192" i="14"/>
  <c r="K3600" i="14"/>
  <c r="V3599" i="14"/>
  <c r="K4010" i="14"/>
  <c r="K2177" i="14"/>
  <c r="K2629" i="14"/>
  <c r="K3067" i="14"/>
  <c r="V3494" i="14"/>
  <c r="K3495" i="14"/>
  <c r="K3901" i="14"/>
  <c r="K2366" i="14"/>
  <c r="K2802" i="14"/>
  <c r="K3244" i="14"/>
  <c r="K3656" i="14"/>
  <c r="K4064" i="14"/>
  <c r="V4063" i="14"/>
  <c r="V2566" i="14"/>
  <c r="K2567" i="14"/>
  <c r="K3005" i="14"/>
  <c r="K3433" i="14"/>
  <c r="K3841" i="14"/>
  <c r="K4164" i="14"/>
  <c r="U4164" i="14" s="1"/>
  <c r="K4266" i="14"/>
  <c r="K4123" i="14"/>
  <c r="K3076" i="14"/>
  <c r="K933" i="14"/>
  <c r="K1699" i="14"/>
  <c r="K2206" i="14"/>
  <c r="K1608" i="14"/>
  <c r="V1607" i="14"/>
  <c r="K2097" i="14"/>
  <c r="K2544" i="14"/>
  <c r="K705" i="14"/>
  <c r="K1585" i="14"/>
  <c r="K2061" i="14"/>
  <c r="K1170" i="14"/>
  <c r="K1754" i="14"/>
  <c r="K2396" i="14"/>
  <c r="K2832" i="14"/>
  <c r="V2831" i="14"/>
  <c r="K3274" i="14"/>
  <c r="K3682" i="14"/>
  <c r="K4092" i="14"/>
  <c r="K2267" i="14"/>
  <c r="K2719" i="14"/>
  <c r="V2718" i="14"/>
  <c r="K3149" i="14"/>
  <c r="K3577" i="14"/>
  <c r="K3985" i="14"/>
  <c r="K2452" i="14"/>
  <c r="K2888" i="14"/>
  <c r="K3328" i="14"/>
  <c r="K3738" i="14"/>
  <c r="K4146" i="14"/>
  <c r="K2657" i="14"/>
  <c r="K3089" i="14"/>
  <c r="K3515" i="14"/>
  <c r="K3927" i="14"/>
  <c r="V3926" i="14"/>
  <c r="K4168" i="14"/>
  <c r="U4168" i="14" s="1"/>
  <c r="K3252" i="14"/>
  <c r="K1069" i="14"/>
  <c r="K1731" i="14"/>
  <c r="K2280" i="14"/>
  <c r="K868" i="14"/>
  <c r="K1644" i="14"/>
  <c r="V1643" i="14"/>
  <c r="K2142" i="14"/>
  <c r="K2716" i="14"/>
  <c r="K769" i="14"/>
  <c r="K1621" i="14"/>
  <c r="K2110" i="14"/>
  <c r="K1258" i="14"/>
  <c r="K1816" i="14"/>
  <c r="K2456" i="14"/>
  <c r="V2455" i="14"/>
  <c r="K2890" i="14"/>
  <c r="K3330" i="14"/>
  <c r="K3740" i="14"/>
  <c r="K4184" i="14"/>
  <c r="K2331" i="14"/>
  <c r="V2330" i="14"/>
  <c r="K2773" i="14"/>
  <c r="K3225" i="14"/>
  <c r="K3633" i="14"/>
  <c r="K4043" i="14"/>
  <c r="K2512" i="14"/>
  <c r="K2956" i="14"/>
  <c r="V2955" i="14"/>
  <c r="K3386" i="14"/>
  <c r="K3794" i="14"/>
  <c r="K2265" i="14"/>
  <c r="K2713" i="14"/>
  <c r="K3147" i="14"/>
  <c r="K3575" i="14"/>
  <c r="V3574" i="14"/>
  <c r="K3981" i="14"/>
  <c r="K4209" i="14"/>
  <c r="K3412" i="14"/>
  <c r="K1177" i="14"/>
  <c r="K1763" i="14"/>
  <c r="K624" i="14"/>
  <c r="K1024" i="14"/>
  <c r="V1023" i="14"/>
  <c r="K1714" i="14"/>
  <c r="K2233" i="14"/>
  <c r="K3028" i="14"/>
  <c r="K925" i="14"/>
  <c r="K1689" i="14"/>
  <c r="K2196" i="14"/>
  <c r="K1294" i="14"/>
  <c r="K1852" i="14"/>
  <c r="K2488" i="14"/>
  <c r="V2487" i="14"/>
  <c r="K2922" i="14"/>
  <c r="K3362" i="14"/>
  <c r="K3772" i="14"/>
  <c r="K4232" i="14"/>
  <c r="K2379" i="14"/>
  <c r="V2378" i="14"/>
  <c r="K2813" i="14"/>
  <c r="K3257" i="14"/>
  <c r="K3665" i="14"/>
  <c r="K4075" i="14"/>
  <c r="K2548" i="14"/>
  <c r="K2992" i="14"/>
  <c r="V2991" i="14"/>
  <c r="K3418" i="14"/>
  <c r="K3826" i="14"/>
  <c r="K2301" i="14"/>
  <c r="K2745" i="14"/>
  <c r="K3195" i="14"/>
  <c r="K3607" i="14"/>
  <c r="V3606" i="14"/>
  <c r="K4013" i="14"/>
  <c r="K4247" i="14"/>
  <c r="V4246" i="14"/>
  <c r="K3316" i="14"/>
  <c r="K1109" i="14"/>
  <c r="K1745" i="14"/>
  <c r="K2334" i="14"/>
  <c r="K878" i="14"/>
  <c r="K1656" i="14"/>
  <c r="K2162" i="14"/>
  <c r="K2788" i="14"/>
  <c r="K783" i="14"/>
  <c r="K1635" i="14"/>
  <c r="V1634" i="14"/>
  <c r="K2126" i="14"/>
  <c r="K1248" i="14"/>
  <c r="K1804" i="14"/>
  <c r="V1803" i="14"/>
  <c r="K2442" i="14"/>
  <c r="K2876" i="14"/>
  <c r="K3320" i="14"/>
  <c r="K3728" i="14"/>
  <c r="V3727" i="14"/>
  <c r="K4138" i="14"/>
  <c r="K2317" i="14"/>
  <c r="K2761" i="14"/>
  <c r="K3211" i="14"/>
  <c r="K3623" i="14"/>
  <c r="V3622" i="14"/>
  <c r="K4029" i="14"/>
  <c r="K2498" i="14"/>
  <c r="K2930" i="14"/>
  <c r="K3372" i="14"/>
  <c r="K3784" i="14"/>
  <c r="V4239" i="14"/>
  <c r="K4240" i="14"/>
  <c r="M4240" i="14" s="1"/>
  <c r="K2703" i="14"/>
  <c r="V2702" i="14"/>
  <c r="K3133" i="14"/>
  <c r="K3561" i="14"/>
  <c r="K3969" i="14"/>
  <c r="K3585" i="14"/>
  <c r="K3083" i="14"/>
  <c r="K357" i="14"/>
  <c r="K1493" i="14"/>
  <c r="K1946" i="14"/>
  <c r="K2000" i="14"/>
  <c r="K1348" i="14"/>
  <c r="K1864" i="14"/>
  <c r="K1564" i="14"/>
  <c r="K3748" i="14"/>
  <c r="K1283" i="14"/>
  <c r="V1282" i="14"/>
  <c r="K1837" i="14"/>
  <c r="K664" i="14"/>
  <c r="K1556" i="14"/>
  <c r="V1555" i="14"/>
  <c r="K2025" i="14"/>
  <c r="K2644" i="14"/>
  <c r="K3080" i="14"/>
  <c r="K3504" i="14"/>
  <c r="V3503" i="14"/>
  <c r="K3914" i="14"/>
  <c r="K2073" i="14"/>
  <c r="K2521" i="14"/>
  <c r="K2971" i="14"/>
  <c r="K3399" i="14"/>
  <c r="M3399" i="14" s="1"/>
  <c r="V3398" i="14"/>
  <c r="K3805" i="14"/>
  <c r="K2250" i="14"/>
  <c r="K2698" i="14"/>
  <c r="K3132" i="14"/>
  <c r="K3560" i="14"/>
  <c r="K3968" i="14"/>
  <c r="V3967" i="14"/>
  <c r="K2463" i="14"/>
  <c r="V2462" i="14"/>
  <c r="K2893" i="14"/>
  <c r="K3337" i="14"/>
  <c r="K3745" i="14"/>
  <c r="K4187" i="14"/>
  <c r="K4282" i="14"/>
  <c r="K553" i="14"/>
  <c r="K1533" i="14"/>
  <c r="K1993" i="14"/>
  <c r="K2172" i="14"/>
  <c r="K1440" i="14"/>
  <c r="K1904" i="14"/>
  <c r="K1740" i="14"/>
  <c r="K3908" i="14"/>
  <c r="K1407" i="14"/>
  <c r="V1406" i="14"/>
  <c r="K1869" i="14"/>
  <c r="K772" i="14"/>
  <c r="V771" i="14"/>
  <c r="K1622" i="14"/>
  <c r="K2111" i="14"/>
  <c r="K2704" i="14"/>
  <c r="V3135" i="14"/>
  <c r="K3136" i="14"/>
  <c r="K3562" i="14"/>
  <c r="K3970" i="14"/>
  <c r="K2133" i="14"/>
  <c r="K2587" i="14"/>
  <c r="K3031" i="14"/>
  <c r="V3030" i="14"/>
  <c r="K3453" i="14"/>
  <c r="K3865" i="14"/>
  <c r="M3865" i="14" s="1"/>
  <c r="K2310" i="14"/>
  <c r="K2756" i="14"/>
  <c r="K3208" i="14"/>
  <c r="V3615" i="14"/>
  <c r="K3616" i="14"/>
  <c r="K4026" i="14"/>
  <c r="K2517" i="14"/>
  <c r="K2969" i="14"/>
  <c r="K3393" i="14"/>
  <c r="K3803" i="14"/>
  <c r="K4152" i="14"/>
  <c r="K2460" i="14"/>
  <c r="K669" i="14"/>
  <c r="K1569" i="14"/>
  <c r="K2038" i="14"/>
  <c r="K516" i="14"/>
  <c r="K1508" i="14"/>
  <c r="K1972" i="14"/>
  <c r="K2052" i="14"/>
  <c r="K351" i="14"/>
  <c r="V350" i="14"/>
  <c r="K1481" i="14"/>
  <c r="K1937" i="14"/>
  <c r="V875" i="14"/>
  <c r="K876" i="14"/>
  <c r="K1654" i="14"/>
  <c r="K2160" i="14"/>
  <c r="K2736" i="14"/>
  <c r="V3167" i="14"/>
  <c r="K3168" i="14"/>
  <c r="K3594" i="14"/>
  <c r="K4002" i="14"/>
  <c r="K2169" i="14"/>
  <c r="K2623" i="14"/>
  <c r="K3063" i="14"/>
  <c r="V3062" i="14"/>
  <c r="K3485" i="14"/>
  <c r="K3897" i="14"/>
  <c r="K2342" i="14"/>
  <c r="K2796" i="14"/>
  <c r="K3240" i="14"/>
  <c r="K3648" i="14"/>
  <c r="V3647" i="14"/>
  <c r="K4058" i="14"/>
  <c r="K2553" i="14"/>
  <c r="K3001" i="14"/>
  <c r="K3425" i="14"/>
  <c r="K3835" i="14"/>
  <c r="K4161" i="14"/>
  <c r="K2360" i="14"/>
  <c r="K631" i="14"/>
  <c r="K1547" i="14"/>
  <c r="V1546" i="14"/>
  <c r="K2012" i="14"/>
  <c r="V2011" i="14"/>
  <c r="K2244" i="14"/>
  <c r="K1454" i="14"/>
  <c r="K1914" i="14"/>
  <c r="K1808" i="14"/>
  <c r="K3972" i="14"/>
  <c r="K1417" i="14"/>
  <c r="K1883" i="14"/>
  <c r="K746" i="14"/>
  <c r="K1604" i="14"/>
  <c r="K2094" i="14"/>
  <c r="K2690" i="14"/>
  <c r="K3122" i="14"/>
  <c r="K3548" i="14"/>
  <c r="K3960" i="14"/>
  <c r="K2123" i="14"/>
  <c r="V2122" i="14"/>
  <c r="K2573" i="14"/>
  <c r="K3017" i="14"/>
  <c r="K3441" i="14"/>
  <c r="K3851" i="14"/>
  <c r="K2300" i="14"/>
  <c r="K2744" i="14"/>
  <c r="V2743" i="14"/>
  <c r="K3194" i="14"/>
  <c r="K3602" i="14"/>
  <c r="K4012" i="14"/>
  <c r="K2505" i="14"/>
  <c r="K2951" i="14"/>
  <c r="K3383" i="14"/>
  <c r="K4097" i="14"/>
  <c r="K4196" i="14"/>
  <c r="L5555" i="14" l="1"/>
  <c r="M5555" i="14" s="1"/>
  <c r="L5558" i="14"/>
  <c r="M5558" i="14" s="1"/>
  <c r="L5352" i="14"/>
  <c r="M5352" i="14" s="1"/>
  <c r="M5350" i="14" s="1"/>
  <c r="U5337" i="14"/>
  <c r="U5236" i="14"/>
  <c r="U5524" i="14"/>
  <c r="M5524" i="14"/>
  <c r="L5798" i="14"/>
  <c r="M5727" i="14"/>
  <c r="L5715" i="14"/>
  <c r="U5715" i="14"/>
  <c r="L5716" i="14"/>
  <c r="M5716" i="14" s="1"/>
  <c r="M5715" i="14" s="1"/>
  <c r="U5716" i="14"/>
  <c r="M5819" i="14"/>
  <c r="M5814" i="14" s="1"/>
  <c r="L5814" i="14"/>
  <c r="M5494" i="14"/>
  <c r="V5807" i="14"/>
  <c r="U5800" i="14"/>
  <c r="U5807" i="14"/>
  <c r="L5809" i="14"/>
  <c r="M5809" i="14" s="1"/>
  <c r="M5807" i="14" s="1"/>
  <c r="M5812" i="14"/>
  <c r="M5811" i="14" s="1"/>
  <c r="L5720" i="14"/>
  <c r="M5720" i="14" s="1"/>
  <c r="U5720" i="14"/>
  <c r="L5719" i="14"/>
  <c r="M5719" i="14" s="1"/>
  <c r="U5719" i="14"/>
  <c r="K5439" i="14"/>
  <c r="V5439" i="14"/>
  <c r="M5527" i="14"/>
  <c r="M5537" i="14"/>
  <c r="U5537" i="14"/>
  <c r="M5532" i="14"/>
  <c r="U5532" i="14"/>
  <c r="M5531" i="14"/>
  <c r="U5531" i="14"/>
  <c r="M5530" i="14"/>
  <c r="U5530" i="14"/>
  <c r="M5528" i="14"/>
  <c r="U5528" i="14"/>
  <c r="M5668" i="14"/>
  <c r="M5667" i="14" s="1"/>
  <c r="M5559" i="14"/>
  <c r="M5529" i="14"/>
  <c r="U5533" i="14"/>
  <c r="K5535" i="14"/>
  <c r="U5535" i="14" s="1"/>
  <c r="V5535" i="14"/>
  <c r="K5526" i="14"/>
  <c r="U5526" i="14" s="1"/>
  <c r="V5526" i="14"/>
  <c r="M5538" i="14"/>
  <c r="U5538" i="14"/>
  <c r="L5551" i="14"/>
  <c r="M5551" i="14" s="1"/>
  <c r="M5552" i="14"/>
  <c r="L5539" i="14"/>
  <c r="M5539" i="14" s="1"/>
  <c r="L5542" i="14"/>
  <c r="M5542" i="14" s="1"/>
  <c r="M5540" i="14"/>
  <c r="M5543" i="14"/>
  <c r="L4279" i="14"/>
  <c r="L5494" i="14"/>
  <c r="K5519" i="14"/>
  <c r="U5519" i="14" s="1"/>
  <c r="V5519" i="14"/>
  <c r="L5520" i="14"/>
  <c r="L5511" i="14"/>
  <c r="U5521" i="14"/>
  <c r="M5521" i="14"/>
  <c r="U5512" i="14"/>
  <c r="M5512" i="14"/>
  <c r="K5510" i="14"/>
  <c r="U5510" i="14" s="1"/>
  <c r="V5510" i="14"/>
  <c r="L5508" i="14"/>
  <c r="M5508" i="14" s="1"/>
  <c r="U5516" i="14"/>
  <c r="M5516" i="14"/>
  <c r="L5434" i="14"/>
  <c r="M5434" i="14" s="1"/>
  <c r="M5460" i="14"/>
  <c r="M5471" i="14"/>
  <c r="L5462" i="14"/>
  <c r="M5492" i="14"/>
  <c r="L5504" i="14"/>
  <c r="L5503" i="14" s="1"/>
  <c r="L5087" i="14"/>
  <c r="L5078" i="14"/>
  <c r="M5440" i="14"/>
  <c r="M5439" i="14" s="1"/>
  <c r="L5439" i="14"/>
  <c r="V5430" i="14"/>
  <c r="K5430" i="14"/>
  <c r="L5431" i="14"/>
  <c r="M5431" i="14" s="1"/>
  <c r="L5428" i="14"/>
  <c r="M5428" i="14" s="1"/>
  <c r="M5132" i="14"/>
  <c r="M5160" i="14"/>
  <c r="L5447" i="14"/>
  <c r="L5446" i="14" s="1"/>
  <c r="M5424" i="14"/>
  <c r="M5423" i="14" s="1"/>
  <c r="L5423" i="14"/>
  <c r="L5412" i="14"/>
  <c r="L5456" i="14"/>
  <c r="L5455" i="14" s="1"/>
  <c r="L5415" i="14"/>
  <c r="L5414" i="14" s="1"/>
  <c r="M5396" i="14"/>
  <c r="L5380" i="14"/>
  <c r="M5380" i="14" s="1"/>
  <c r="L5392" i="14"/>
  <c r="L5391" i="14" s="1"/>
  <c r="L5399" i="14"/>
  <c r="L5398" i="14" s="1"/>
  <c r="L5383" i="14"/>
  <c r="L5382" i="14" s="1"/>
  <c r="M5408" i="14"/>
  <c r="M5407" i="14" s="1"/>
  <c r="L5407" i="14"/>
  <c r="M5348" i="14"/>
  <c r="K5350" i="14"/>
  <c r="U5335" i="14" s="1"/>
  <c r="V5350" i="14"/>
  <c r="U5370" i="14"/>
  <c r="M5370" i="14"/>
  <c r="V5366" i="14"/>
  <c r="K5366" i="14"/>
  <c r="U5366" i="14" s="1"/>
  <c r="U5376" i="14"/>
  <c r="L5375" i="14"/>
  <c r="U5364" i="14"/>
  <c r="M5364" i="14"/>
  <c r="U5371" i="14"/>
  <c r="M5371" i="14"/>
  <c r="M5359" i="14"/>
  <c r="L5359" i="14"/>
  <c r="K5375" i="14"/>
  <c r="U5375" i="14" s="1"/>
  <c r="V5375" i="14"/>
  <c r="U5367" i="14"/>
  <c r="M5338" i="14"/>
  <c r="L5339" i="14"/>
  <c r="M5339" i="14" s="1"/>
  <c r="L5344" i="14"/>
  <c r="L5332" i="14"/>
  <c r="L5336" i="14"/>
  <c r="M5336" i="14" s="1"/>
  <c r="L5340" i="14"/>
  <c r="M5340" i="14" s="1"/>
  <c r="V5334" i="14"/>
  <c r="K5334" i="14"/>
  <c r="L5335" i="14"/>
  <c r="U5314" i="14"/>
  <c r="M5314" i="14"/>
  <c r="L5297" i="14"/>
  <c r="M5297" i="14" s="1"/>
  <c r="U5309" i="14"/>
  <c r="K5302" i="14"/>
  <c r="U5302" i="14" s="1"/>
  <c r="M5303" i="14"/>
  <c r="M5302" i="14" s="1"/>
  <c r="L5302" i="14"/>
  <c r="K5311" i="14"/>
  <c r="U5311" i="14" s="1"/>
  <c r="V5311" i="14"/>
  <c r="U5312" i="14"/>
  <c r="L5312" i="14"/>
  <c r="L5311" i="14" s="1"/>
  <c r="M5300" i="14"/>
  <c r="U5300" i="14"/>
  <c r="U5280" i="14"/>
  <c r="M4669" i="14"/>
  <c r="M5176" i="14"/>
  <c r="M4665" i="14"/>
  <c r="U5284" i="14"/>
  <c r="L4674" i="14"/>
  <c r="M4674" i="14" s="1"/>
  <c r="L5279" i="14"/>
  <c r="M5280" i="14"/>
  <c r="M5279" i="14" s="1"/>
  <c r="L5178" i="14"/>
  <c r="M5178" i="14" s="1"/>
  <c r="U5271" i="14"/>
  <c r="L5271" i="14"/>
  <c r="M5271" i="14" s="1"/>
  <c r="U5292" i="14"/>
  <c r="M5292" i="14"/>
  <c r="M5275" i="14"/>
  <c r="U5275" i="14"/>
  <c r="U5274" i="14"/>
  <c r="M5274" i="14"/>
  <c r="K5279" i="14"/>
  <c r="U5279" i="14" s="1"/>
  <c r="V5279" i="14"/>
  <c r="M5290" i="14"/>
  <c r="U5290" i="14"/>
  <c r="K5286" i="14"/>
  <c r="U5286" i="14" s="1"/>
  <c r="V5286" i="14"/>
  <c r="U5291" i="14"/>
  <c r="M5291" i="14"/>
  <c r="U5287" i="14"/>
  <c r="U5288" i="14"/>
  <c r="M5288" i="14"/>
  <c r="V5295" i="14"/>
  <c r="K5295" i="14"/>
  <c r="U5295" i="14" s="1"/>
  <c r="U5276" i="14"/>
  <c r="M5276" i="14"/>
  <c r="U5296" i="14"/>
  <c r="L5296" i="14"/>
  <c r="M5272" i="14"/>
  <c r="U5272" i="14"/>
  <c r="M5268" i="14"/>
  <c r="U5268" i="14"/>
  <c r="K5270" i="14"/>
  <c r="U5270" i="14" s="1"/>
  <c r="V5270" i="14"/>
  <c r="M5180" i="14"/>
  <c r="M5185" i="14"/>
  <c r="M5186" i="14"/>
  <c r="U5186" i="14"/>
  <c r="K5183" i="14"/>
  <c r="U5183" i="14" s="1"/>
  <c r="V5183" i="14"/>
  <c r="M5181" i="14"/>
  <c r="U5181" i="14"/>
  <c r="M5236" i="14"/>
  <c r="U5240" i="14"/>
  <c r="M5177" i="14"/>
  <c r="U5177" i="14"/>
  <c r="K5174" i="14"/>
  <c r="U5174" i="14" s="1"/>
  <c r="V5174" i="14"/>
  <c r="V5151" i="14"/>
  <c r="M5226" i="14"/>
  <c r="U5226" i="14"/>
  <c r="U5252" i="14"/>
  <c r="M5252" i="14"/>
  <c r="U5244" i="14"/>
  <c r="L5244" i="14"/>
  <c r="M5244" i="14" s="1"/>
  <c r="U5146" i="14"/>
  <c r="M5146" i="14"/>
  <c r="K5247" i="14"/>
  <c r="U5247" i="14" s="1"/>
  <c r="V5247" i="14"/>
  <c r="L5216" i="14"/>
  <c r="M5216" i="14" s="1"/>
  <c r="V5142" i="14"/>
  <c r="K5142" i="14"/>
  <c r="U5142" i="14" s="1"/>
  <c r="U5249" i="14"/>
  <c r="L5249" i="14"/>
  <c r="M5249" i="14" s="1"/>
  <c r="U5258" i="14"/>
  <c r="M5258" i="14"/>
  <c r="U5217" i="14"/>
  <c r="M5217" i="14"/>
  <c r="U5248" i="14"/>
  <c r="L5248" i="14"/>
  <c r="U5212" i="14"/>
  <c r="M5212" i="14"/>
  <c r="M5250" i="14"/>
  <c r="U5250" i="14"/>
  <c r="M5245" i="14"/>
  <c r="U5245" i="14"/>
  <c r="M5241" i="14"/>
  <c r="U5241" i="14"/>
  <c r="V5199" i="14"/>
  <c r="K5199" i="14"/>
  <c r="U5199" i="14" s="1"/>
  <c r="U5140" i="14"/>
  <c r="M5255" i="14"/>
  <c r="M5207" i="14"/>
  <c r="L5232" i="14"/>
  <c r="L5231" i="14" s="1"/>
  <c r="U5196" i="14"/>
  <c r="M5196" i="14"/>
  <c r="U5239" i="14"/>
  <c r="M5239" i="14"/>
  <c r="U5242" i="14"/>
  <c r="L5242" i="14"/>
  <c r="M5242" i="14" s="1"/>
  <c r="U5153" i="14"/>
  <c r="L5151" i="14"/>
  <c r="U5256" i="14"/>
  <c r="M5256" i="14"/>
  <c r="L5200" i="14"/>
  <c r="L5199" i="14" s="1"/>
  <c r="K5254" i="14"/>
  <c r="U5254" i="14" s="1"/>
  <c r="V5254" i="14"/>
  <c r="V5206" i="14"/>
  <c r="K5206" i="14"/>
  <c r="U5206" i="14" s="1"/>
  <c r="K5238" i="14"/>
  <c r="U5238" i="14" s="1"/>
  <c r="V5238" i="14"/>
  <c r="U5201" i="14"/>
  <c r="M5201" i="14"/>
  <c r="L5220" i="14"/>
  <c r="M5220" i="14" s="1"/>
  <c r="L5188" i="14"/>
  <c r="M5144" i="14"/>
  <c r="U5144" i="14"/>
  <c r="V5190" i="14"/>
  <c r="K5190" i="14"/>
  <c r="U5190" i="14" s="1"/>
  <c r="V5222" i="14"/>
  <c r="K5222" i="14"/>
  <c r="U5222" i="14" s="1"/>
  <c r="U5243" i="14"/>
  <c r="L5243" i="14"/>
  <c r="M5243" i="14" s="1"/>
  <c r="U5260" i="14"/>
  <c r="M5260" i="14"/>
  <c r="M5210" i="14"/>
  <c r="U5210" i="14"/>
  <c r="U5224" i="14"/>
  <c r="M5224" i="14"/>
  <c r="L5191" i="14"/>
  <c r="L5190" i="14" s="1"/>
  <c r="M5194" i="14"/>
  <c r="U5194" i="14"/>
  <c r="M5223" i="14"/>
  <c r="M5148" i="14"/>
  <c r="U5148" i="14"/>
  <c r="L5264" i="14"/>
  <c r="L5263" i="14" s="1"/>
  <c r="V5215" i="14"/>
  <c r="K5215" i="14"/>
  <c r="U5215" i="14" s="1"/>
  <c r="M5162" i="14"/>
  <c r="U5160" i="14"/>
  <c r="K5158" i="14"/>
  <c r="U5158" i="14" s="1"/>
  <c r="V5158" i="14"/>
  <c r="K5167" i="14"/>
  <c r="U5167" i="14" s="1"/>
  <c r="V5167" i="14"/>
  <c r="M5169" i="14"/>
  <c r="U5169" i="14"/>
  <c r="M5175" i="14"/>
  <c r="L5168" i="14"/>
  <c r="L5159" i="14"/>
  <c r="L5156" i="14"/>
  <c r="M5156" i="14" s="1"/>
  <c r="U5056" i="14"/>
  <c r="L5120" i="14"/>
  <c r="M5120" i="14" s="1"/>
  <c r="U5120" i="14"/>
  <c r="M5111" i="14"/>
  <c r="M5114" i="14"/>
  <c r="U5114" i="14"/>
  <c r="K5119" i="14"/>
  <c r="U5119" i="14" s="1"/>
  <c r="V5119" i="14"/>
  <c r="K5110" i="14"/>
  <c r="U5110" i="14" s="1"/>
  <c r="V5110" i="14"/>
  <c r="U5132" i="14"/>
  <c r="U5130" i="14"/>
  <c r="M5130" i="14"/>
  <c r="U5131" i="14"/>
  <c r="L5131" i="14"/>
  <c r="M5131" i="14" s="1"/>
  <c r="L5121" i="14"/>
  <c r="M5121" i="14" s="1"/>
  <c r="U5121" i="14"/>
  <c r="U5115" i="14"/>
  <c r="M5115" i="14"/>
  <c r="U5128" i="14"/>
  <c r="M5128" i="14"/>
  <c r="U5137" i="14"/>
  <c r="M5137" i="14"/>
  <c r="L5136" i="14"/>
  <c r="M5136" i="14" s="1"/>
  <c r="V5135" i="14"/>
  <c r="K5135" i="14"/>
  <c r="U5135" i="14" s="1"/>
  <c r="L5124" i="14"/>
  <c r="M5124" i="14" s="1"/>
  <c r="K5126" i="14"/>
  <c r="U5126" i="14" s="1"/>
  <c r="V5126" i="14"/>
  <c r="M5127" i="14"/>
  <c r="U5116" i="14"/>
  <c r="M5116" i="14"/>
  <c r="V5103" i="14"/>
  <c r="M5033" i="14"/>
  <c r="M5030" i="14" s="1"/>
  <c r="U5106" i="14"/>
  <c r="K5094" i="14"/>
  <c r="U5094" i="14" s="1"/>
  <c r="K4671" i="14"/>
  <c r="U4671" i="14" s="1"/>
  <c r="V4671" i="14"/>
  <c r="K4662" i="14"/>
  <c r="U4662" i="14" s="1"/>
  <c r="V4662" i="14"/>
  <c r="V5039" i="14"/>
  <c r="M5051" i="14"/>
  <c r="M5057" i="14"/>
  <c r="M5055" i="14" s="1"/>
  <c r="U5052" i="14"/>
  <c r="U5044" i="14"/>
  <c r="U5053" i="14"/>
  <c r="M5048" i="14"/>
  <c r="K5046" i="14"/>
  <c r="U5046" i="14" s="1"/>
  <c r="V5046" i="14"/>
  <c r="U5058" i="14"/>
  <c r="U5081" i="14"/>
  <c r="M5081" i="14"/>
  <c r="V5078" i="14"/>
  <c r="K5078" i="14"/>
  <c r="U5078" i="14" s="1"/>
  <c r="M5076" i="14"/>
  <c r="U5076" i="14"/>
  <c r="U5049" i="14"/>
  <c r="M5079" i="14"/>
  <c r="U5079" i="14"/>
  <c r="K5055" i="14"/>
  <c r="U5055" i="14" s="1"/>
  <c r="V5055" i="14"/>
  <c r="M5083" i="14"/>
  <c r="U5083" i="14"/>
  <c r="M5082" i="14"/>
  <c r="U5082" i="14"/>
  <c r="U5050" i="14"/>
  <c r="M5088" i="14"/>
  <c r="U5088" i="14"/>
  <c r="U5085" i="14"/>
  <c r="M5085" i="14"/>
  <c r="V5087" i="14"/>
  <c r="K5087" i="14"/>
  <c r="U5087" i="14" s="1"/>
  <c r="M5090" i="14"/>
  <c r="U5090" i="14"/>
  <c r="M5047" i="14"/>
  <c r="U5047" i="14"/>
  <c r="M5071" i="14"/>
  <c r="K5062" i="14"/>
  <c r="U5062" i="14" s="1"/>
  <c r="V5062" i="14"/>
  <c r="K5030" i="14"/>
  <c r="U5030" i="14" s="1"/>
  <c r="V5030" i="14"/>
  <c r="V5071" i="14"/>
  <c r="K5071" i="14"/>
  <c r="U5071" i="14" s="1"/>
  <c r="M5042" i="14"/>
  <c r="M5039" i="14" s="1"/>
  <c r="U5042" i="14"/>
  <c r="M5069" i="14"/>
  <c r="U5069" i="14"/>
  <c r="M5065" i="14"/>
  <c r="U5065" i="14"/>
  <c r="M5060" i="14"/>
  <c r="U5060" i="14"/>
  <c r="M3871" i="14"/>
  <c r="M3862" i="14"/>
  <c r="M5016" i="14"/>
  <c r="V4998" i="14"/>
  <c r="U4983" i="14"/>
  <c r="M4935" i="14"/>
  <c r="M4934" i="14" s="1"/>
  <c r="L4934" i="14"/>
  <c r="L4944" i="14"/>
  <c r="L4943" i="14" s="1"/>
  <c r="K5014" i="14"/>
  <c r="U5014" i="14" s="1"/>
  <c r="U4972" i="14"/>
  <c r="M5018" i="14"/>
  <c r="U5018" i="14"/>
  <c r="U5009" i="14"/>
  <c r="M5009" i="14"/>
  <c r="M5007" i="14" s="1"/>
  <c r="U5002" i="14"/>
  <c r="M5002" i="14"/>
  <c r="M4998" i="14" s="1"/>
  <c r="U5020" i="14"/>
  <c r="M5020" i="14"/>
  <c r="M4996" i="14"/>
  <c r="U4996" i="14"/>
  <c r="U4968" i="14"/>
  <c r="M4993" i="14"/>
  <c r="M4969" i="14"/>
  <c r="U4964" i="14"/>
  <c r="V4966" i="14"/>
  <c r="U4992" i="14"/>
  <c r="M4987" i="14"/>
  <c r="U4987" i="14"/>
  <c r="U4977" i="14"/>
  <c r="L4977" i="14"/>
  <c r="U4978" i="14"/>
  <c r="L4978" i="14"/>
  <c r="M4978" i="14" s="1"/>
  <c r="V4975" i="14"/>
  <c r="K4975" i="14"/>
  <c r="U4975" i="14" s="1"/>
  <c r="U4980" i="14"/>
  <c r="U4970" i="14"/>
  <c r="M4970" i="14"/>
  <c r="M4983" i="14"/>
  <c r="U4986" i="14"/>
  <c r="M4986" i="14"/>
  <c r="V4982" i="14"/>
  <c r="K4982" i="14"/>
  <c r="U4982" i="14" s="1"/>
  <c r="K4991" i="14"/>
  <c r="U4991" i="14" s="1"/>
  <c r="V4991" i="14"/>
  <c r="L4956" i="14"/>
  <c r="M4956" i="14" s="1"/>
  <c r="K4918" i="14"/>
  <c r="U4918" i="14" s="1"/>
  <c r="V4918" i="14"/>
  <c r="M4920" i="14"/>
  <c r="U4920" i="14"/>
  <c r="L4919" i="14"/>
  <c r="M4919" i="14" s="1"/>
  <c r="L4954" i="14"/>
  <c r="M4954" i="14" s="1"/>
  <c r="U4954" i="14"/>
  <c r="M4929" i="14"/>
  <c r="U4929" i="14"/>
  <c r="K4927" i="14"/>
  <c r="U4927" i="14" s="1"/>
  <c r="V4927" i="14"/>
  <c r="L4928" i="14"/>
  <c r="M4928" i="14" s="1"/>
  <c r="M4916" i="14"/>
  <c r="L4960" i="14"/>
  <c r="M4960" i="14" s="1"/>
  <c r="K4950" i="14"/>
  <c r="U4950" i="14" s="1"/>
  <c r="V4950" i="14"/>
  <c r="M4922" i="14"/>
  <c r="U4922" i="14"/>
  <c r="K4959" i="14"/>
  <c r="U4959" i="14" s="1"/>
  <c r="V4959" i="14"/>
  <c r="U4948" i="14"/>
  <c r="L4948" i="14"/>
  <c r="U4952" i="14"/>
  <c r="L4952" i="14"/>
  <c r="M4952" i="14" s="1"/>
  <c r="U4961" i="14"/>
  <c r="L4961" i="14"/>
  <c r="M4961" i="14" s="1"/>
  <c r="M4951" i="14"/>
  <c r="L4603" i="14"/>
  <c r="M4603" i="14" s="1"/>
  <c r="M4848" i="14"/>
  <c r="M4847" i="14" s="1"/>
  <c r="L4847" i="14"/>
  <c r="M4839" i="14"/>
  <c r="M4838" i="14" s="1"/>
  <c r="L4838" i="14"/>
  <c r="M4836" i="14"/>
  <c r="U4258" i="14"/>
  <c r="U4825" i="14"/>
  <c r="V4870" i="14"/>
  <c r="K4870" i="14"/>
  <c r="U4870" i="14" s="1"/>
  <c r="L4876" i="14"/>
  <c r="M4876" i="14" s="1"/>
  <c r="U4876" i="14"/>
  <c r="M4871" i="14"/>
  <c r="L4874" i="14"/>
  <c r="M4874" i="14" s="1"/>
  <c r="U4874" i="14"/>
  <c r="M4868" i="14"/>
  <c r="V4879" i="14"/>
  <c r="K4879" i="14"/>
  <c r="U4879" i="14" s="1"/>
  <c r="L4880" i="14"/>
  <c r="M4880" i="14" s="1"/>
  <c r="L4881" i="14"/>
  <c r="M4881" i="14" s="1"/>
  <c r="U4881" i="14"/>
  <c r="L4602" i="14"/>
  <c r="M4602" i="14" s="1"/>
  <c r="L4596" i="14"/>
  <c r="M4596" i="14" s="1"/>
  <c r="L4599" i="14"/>
  <c r="M4599" i="14" s="1"/>
  <c r="L4791" i="14"/>
  <c r="L4790" i="14" s="1"/>
  <c r="L4833" i="14"/>
  <c r="U4833" i="14"/>
  <c r="M4788" i="14"/>
  <c r="L4820" i="14"/>
  <c r="M4820" i="14" s="1"/>
  <c r="L4823" i="14"/>
  <c r="M4823" i="14" s="1"/>
  <c r="K4831" i="14"/>
  <c r="U4831" i="14" s="1"/>
  <c r="V4831" i="14"/>
  <c r="K4822" i="14"/>
  <c r="U4822" i="14" s="1"/>
  <c r="V4822" i="14"/>
  <c r="L4800" i="14"/>
  <c r="L4799" i="14" s="1"/>
  <c r="M4824" i="14"/>
  <c r="U4824" i="14"/>
  <c r="L4834" i="14"/>
  <c r="M4834" i="14" s="1"/>
  <c r="U4834" i="14"/>
  <c r="U4785" i="14"/>
  <c r="M4202" i="14"/>
  <c r="U4784" i="14"/>
  <c r="K4815" i="14"/>
  <c r="U4815" i="14" s="1"/>
  <c r="V4815" i="14"/>
  <c r="M4812" i="14"/>
  <c r="U4812" i="14"/>
  <c r="K4806" i="14"/>
  <c r="U4806" i="14" s="1"/>
  <c r="V4806" i="14"/>
  <c r="M4808" i="14"/>
  <c r="U4808" i="14"/>
  <c r="U4810" i="14"/>
  <c r="M4810" i="14"/>
  <c r="M4817" i="14"/>
  <c r="M4815" i="14" s="1"/>
  <c r="U4817" i="14"/>
  <c r="M4781" i="14"/>
  <c r="U4781" i="14"/>
  <c r="M4778" i="14"/>
  <c r="U4778" i="14"/>
  <c r="U4776" i="14"/>
  <c r="M4776" i="14"/>
  <c r="K4767" i="14"/>
  <c r="U4767" i="14" s="1"/>
  <c r="V4767" i="14"/>
  <c r="M4779" i="14"/>
  <c r="U4779" i="14"/>
  <c r="M4786" i="14"/>
  <c r="M4783" i="14" s="1"/>
  <c r="U4786" i="14"/>
  <c r="K4758" i="14"/>
  <c r="U4758" i="14" s="1"/>
  <c r="V4758" i="14"/>
  <c r="M4765" i="14"/>
  <c r="U4765" i="14"/>
  <c r="K4783" i="14"/>
  <c r="U4783" i="14" s="1"/>
  <c r="V4783" i="14"/>
  <c r="M4761" i="14"/>
  <c r="U4761" i="14"/>
  <c r="M4769" i="14"/>
  <c r="M4767" i="14" s="1"/>
  <c r="U4769" i="14"/>
  <c r="M4764" i="14"/>
  <c r="U4764" i="14"/>
  <c r="U4777" i="14"/>
  <c r="M4777" i="14"/>
  <c r="M4775" i="14"/>
  <c r="U4775" i="14"/>
  <c r="M4780" i="14"/>
  <c r="U4780" i="14"/>
  <c r="M4772" i="14"/>
  <c r="U4772" i="14"/>
  <c r="K4774" i="14"/>
  <c r="U4774" i="14" s="1"/>
  <c r="V4774" i="14"/>
  <c r="U4672" i="14"/>
  <c r="U4667" i="14"/>
  <c r="U4666" i="14"/>
  <c r="M4666" i="14"/>
  <c r="M4667" i="14"/>
  <c r="M4663" i="14"/>
  <c r="U4663" i="14"/>
  <c r="M4440" i="14"/>
  <c r="M4529" i="14"/>
  <c r="M4527" i="14" s="1"/>
  <c r="M4520" i="14"/>
  <c r="M4518" i="14" s="1"/>
  <c r="M4616" i="14"/>
  <c r="U4616" i="14"/>
  <c r="U4609" i="14"/>
  <c r="M4609" i="14"/>
  <c r="U4618" i="14"/>
  <c r="M4618" i="14"/>
  <c r="U4604" i="14"/>
  <c r="M4604" i="14"/>
  <c r="M4610" i="14"/>
  <c r="U4610" i="14"/>
  <c r="K4623" i="14"/>
  <c r="U4623" i="14" s="1"/>
  <c r="V4623" i="14"/>
  <c r="U4620" i="14"/>
  <c r="M4620" i="14"/>
  <c r="U4625" i="14"/>
  <c r="M4625" i="14"/>
  <c r="M4623" i="14" s="1"/>
  <c r="V4614" i="14"/>
  <c r="K4614" i="14"/>
  <c r="U4614" i="14" s="1"/>
  <c r="V4598" i="14"/>
  <c r="K4598" i="14"/>
  <c r="M4598" i="14" s="1"/>
  <c r="M4612" i="14"/>
  <c r="U4612" i="14"/>
  <c r="V4607" i="14"/>
  <c r="K4607" i="14"/>
  <c r="M4608" i="14"/>
  <c r="U4608" i="14"/>
  <c r="K4575" i="14"/>
  <c r="U4575" i="14" s="1"/>
  <c r="V4575" i="14"/>
  <c r="M4577" i="14"/>
  <c r="M4575" i="14" s="1"/>
  <c r="U4577" i="14"/>
  <c r="M4572" i="14"/>
  <c r="U4572" i="14"/>
  <c r="M4570" i="14"/>
  <c r="U4570" i="14"/>
  <c r="K4566" i="14"/>
  <c r="U4566" i="14" s="1"/>
  <c r="V4566" i="14"/>
  <c r="M4561" i="14"/>
  <c r="U4554" i="14"/>
  <c r="M4554" i="14"/>
  <c r="M4551" i="14"/>
  <c r="U4551" i="14"/>
  <c r="V4550" i="14"/>
  <c r="K4550" i="14"/>
  <c r="U4550" i="14" s="1"/>
  <c r="M4548" i="14"/>
  <c r="U4548" i="14"/>
  <c r="M4555" i="14"/>
  <c r="U4555" i="14"/>
  <c r="M4560" i="14"/>
  <c r="U4560" i="14"/>
  <c r="K4559" i="14"/>
  <c r="U4559" i="14" s="1"/>
  <c r="V4559" i="14"/>
  <c r="M4426" i="14"/>
  <c r="U4426" i="14"/>
  <c r="K4447" i="14"/>
  <c r="U4447" i="14" s="1"/>
  <c r="V4447" i="14"/>
  <c r="U4423" i="14"/>
  <c r="M4423" i="14"/>
  <c r="K4431" i="14"/>
  <c r="U4431" i="14" s="1"/>
  <c r="V4431" i="14"/>
  <c r="M4424" i="14"/>
  <c r="U4424" i="14"/>
  <c r="U4427" i="14"/>
  <c r="M4427" i="14"/>
  <c r="U4432" i="14"/>
  <c r="M4432" i="14"/>
  <c r="U4449" i="14"/>
  <c r="M4428" i="14"/>
  <c r="U4428" i="14"/>
  <c r="U4440" i="14"/>
  <c r="U4420" i="14"/>
  <c r="M4420" i="14"/>
  <c r="M4433" i="14"/>
  <c r="U4433" i="14"/>
  <c r="K4438" i="14"/>
  <c r="U4438" i="14" s="1"/>
  <c r="V4438" i="14"/>
  <c r="M4442" i="14"/>
  <c r="U4442" i="14"/>
  <c r="V4422" i="14"/>
  <c r="K4422" i="14"/>
  <c r="U4422" i="14" s="1"/>
  <c r="M4319" i="14"/>
  <c r="U4196" i="14"/>
  <c r="M4097" i="14"/>
  <c r="U2951" i="14"/>
  <c r="M2505" i="14"/>
  <c r="M4012" i="14"/>
  <c r="M3602" i="14"/>
  <c r="U3194" i="14"/>
  <c r="M2300" i="14"/>
  <c r="M3851" i="14"/>
  <c r="U3441" i="14"/>
  <c r="U3017" i="14"/>
  <c r="M2573" i="14"/>
  <c r="M3960" i="14"/>
  <c r="M3548" i="14"/>
  <c r="M3122" i="14"/>
  <c r="U2690" i="14"/>
  <c r="U2094" i="14"/>
  <c r="M1604" i="14"/>
  <c r="M746" i="14"/>
  <c r="M1883" i="14"/>
  <c r="M1417" i="14"/>
  <c r="M3972" i="14"/>
  <c r="U1808" i="14"/>
  <c r="U1914" i="14"/>
  <c r="U1454" i="14"/>
  <c r="U2244" i="14"/>
  <c r="U1547" i="14"/>
  <c r="M631" i="14"/>
  <c r="U2360" i="14"/>
  <c r="U4161" i="14"/>
  <c r="M3835" i="14"/>
  <c r="U3425" i="14"/>
  <c r="M3001" i="14"/>
  <c r="M2553" i="14"/>
  <c r="M4058" i="14"/>
  <c r="M3648" i="14"/>
  <c r="U3240" i="14"/>
  <c r="M2796" i="14"/>
  <c r="U2342" i="14"/>
  <c r="U3897" i="14"/>
  <c r="M3485" i="14"/>
  <c r="M2623" i="14"/>
  <c r="M2169" i="14"/>
  <c r="U4002" i="14"/>
  <c r="U3594" i="14"/>
  <c r="U3168" i="14"/>
  <c r="U2736" i="14"/>
  <c r="M2160" i="14"/>
  <c r="M1654" i="14"/>
  <c r="U876" i="14"/>
  <c r="M1937" i="14"/>
  <c r="M1481" i="14"/>
  <c r="U351" i="14"/>
  <c r="U2052" i="14"/>
  <c r="U1972" i="14"/>
  <c r="U1508" i="14"/>
  <c r="M516" i="14"/>
  <c r="U2038" i="14"/>
  <c r="M1569" i="14"/>
  <c r="M669" i="14"/>
  <c r="U4152" i="14"/>
  <c r="M3803" i="14"/>
  <c r="M3393" i="14"/>
  <c r="M2969" i="14"/>
  <c r="M2517" i="14"/>
  <c r="U4026" i="14"/>
  <c r="M3616" i="14"/>
  <c r="M3208" i="14"/>
  <c r="M2756" i="14"/>
  <c r="U2310" i="14"/>
  <c r="M3453" i="14"/>
  <c r="M2587" i="14"/>
  <c r="U2133" i="14"/>
  <c r="U3970" i="14"/>
  <c r="U3562" i="14"/>
  <c r="U2704" i="14"/>
  <c r="U2111" i="14"/>
  <c r="M1622" i="14"/>
  <c r="U772" i="14"/>
  <c r="M1869" i="14"/>
  <c r="U1740" i="14"/>
  <c r="M1904" i="14"/>
  <c r="M1440" i="14"/>
  <c r="U2172" i="14"/>
  <c r="M1993" i="14"/>
  <c r="U1533" i="14"/>
  <c r="M553" i="14"/>
  <c r="U4282" i="14"/>
  <c r="M4187" i="14"/>
  <c r="M3745" i="14"/>
  <c r="M3337" i="14"/>
  <c r="M2893" i="14"/>
  <c r="U2463" i="14"/>
  <c r="M3968" i="14"/>
  <c r="U3560" i="14"/>
  <c r="M3132" i="14"/>
  <c r="U2698" i="14"/>
  <c r="M2250" i="14"/>
  <c r="M3805" i="14"/>
  <c r="U3399" i="14"/>
  <c r="M2971" i="14"/>
  <c r="M2521" i="14"/>
  <c r="M2073" i="14"/>
  <c r="U3914" i="14"/>
  <c r="M3504" i="14"/>
  <c r="M3080" i="14"/>
  <c r="U2644" i="14"/>
  <c r="M2025" i="14"/>
  <c r="U1556" i="14"/>
  <c r="U664" i="14"/>
  <c r="M1837" i="14"/>
  <c r="U1283" i="14"/>
  <c r="U3748" i="14"/>
  <c r="U1864" i="14"/>
  <c r="U1348" i="14"/>
  <c r="U2000" i="14"/>
  <c r="M1946" i="14"/>
  <c r="U1493" i="14"/>
  <c r="M3083" i="14"/>
  <c r="M3585" i="14"/>
  <c r="M3969" i="14"/>
  <c r="M3561" i="14"/>
  <c r="M3133" i="14"/>
  <c r="U4240" i="14"/>
  <c r="U3784" i="14"/>
  <c r="U3372" i="14"/>
  <c r="U2930" i="14"/>
  <c r="U2498" i="14"/>
  <c r="U3211" i="14"/>
  <c r="U2761" i="14"/>
  <c r="U2317" i="14"/>
  <c r="U4138" i="14"/>
  <c r="U3728" i="14"/>
  <c r="M3320" i="14"/>
  <c r="M2876" i="14"/>
  <c r="M2442" i="14"/>
  <c r="U1804" i="14"/>
  <c r="U1248" i="14"/>
  <c r="U2126" i="14"/>
  <c r="M783" i="14"/>
  <c r="M2162" i="14"/>
  <c r="M1656" i="14"/>
  <c r="M878" i="14"/>
  <c r="M2334" i="14"/>
  <c r="U1745" i="14"/>
  <c r="M1109" i="14"/>
  <c r="U4247" i="14"/>
  <c r="U4013" i="14"/>
  <c r="M3607" i="14"/>
  <c r="M3195" i="14"/>
  <c r="U2745" i="14"/>
  <c r="U2301" i="14"/>
  <c r="U3826" i="14"/>
  <c r="U3418" i="14"/>
  <c r="U2548" i="14"/>
  <c r="M4075" i="14"/>
  <c r="M3665" i="14"/>
  <c r="U3257" i="14"/>
  <c r="M2813" i="14"/>
  <c r="U3362" i="14"/>
  <c r="M2922" i="14"/>
  <c r="U2488" i="14"/>
  <c r="U1852" i="14"/>
  <c r="M1294" i="14"/>
  <c r="U2196" i="14"/>
  <c r="M1689" i="14"/>
  <c r="M925" i="14"/>
  <c r="U2233" i="14"/>
  <c r="M1714" i="14"/>
  <c r="U1024" i="14"/>
  <c r="U624" i="14"/>
  <c r="M1763" i="14"/>
  <c r="U1177" i="14"/>
  <c r="U3412" i="14"/>
  <c r="U4209" i="14"/>
  <c r="M3981" i="14"/>
  <c r="U3575" i="14"/>
  <c r="M3147" i="14"/>
  <c r="U2713" i="14"/>
  <c r="M2265" i="14"/>
  <c r="M3794" i="14"/>
  <c r="M3386" i="14"/>
  <c r="U2956" i="14"/>
  <c r="U2512" i="14"/>
  <c r="U4043" i="14"/>
  <c r="U3633" i="14"/>
  <c r="U3225" i="14"/>
  <c r="M2773" i="14"/>
  <c r="U4184" i="14"/>
  <c r="M3740" i="14"/>
  <c r="M3330" i="14"/>
  <c r="M2890" i="14"/>
  <c r="U2456" i="14"/>
  <c r="M1816" i="14"/>
  <c r="M1258" i="14"/>
  <c r="U2110" i="14"/>
  <c r="U1621" i="14"/>
  <c r="M769" i="14"/>
  <c r="U2716" i="14"/>
  <c r="M2142" i="14"/>
  <c r="M868" i="14"/>
  <c r="U2280" i="14"/>
  <c r="U1731" i="14"/>
  <c r="M1069" i="14"/>
  <c r="U3252" i="14"/>
  <c r="M4168" i="14"/>
  <c r="M3927" i="14"/>
  <c r="U3515" i="14"/>
  <c r="M3089" i="14"/>
  <c r="U2657" i="14"/>
  <c r="U4146" i="14"/>
  <c r="M3738" i="14"/>
  <c r="U2888" i="14"/>
  <c r="M2452" i="14"/>
  <c r="U3985" i="14"/>
  <c r="M3577" i="14"/>
  <c r="M3149" i="14"/>
  <c r="M2267" i="14"/>
  <c r="U4092" i="14"/>
  <c r="U3682" i="14"/>
  <c r="M3274" i="14"/>
  <c r="U2396" i="14"/>
  <c r="U1754" i="14"/>
  <c r="U1170" i="14"/>
  <c r="M2061" i="14"/>
  <c r="M1585" i="14"/>
  <c r="M705" i="14"/>
  <c r="M2097" i="14"/>
  <c r="U1608" i="14"/>
  <c r="M2206" i="14"/>
  <c r="M1699" i="14"/>
  <c r="M933" i="14"/>
  <c r="M4123" i="14"/>
  <c r="U4266" i="14"/>
  <c r="M4164" i="14"/>
  <c r="U3433" i="14"/>
  <c r="M3005" i="14"/>
  <c r="M4064" i="14"/>
  <c r="M3656" i="14"/>
  <c r="M3244" i="14"/>
  <c r="M2802" i="14"/>
  <c r="U2366" i="14"/>
  <c r="U3901" i="14"/>
  <c r="M3495" i="14"/>
  <c r="M3067" i="14"/>
  <c r="U2629" i="14"/>
  <c r="M2177" i="14"/>
  <c r="M4010" i="14"/>
  <c r="M3600" i="14"/>
  <c r="U3192" i="14"/>
  <c r="M2740" i="14"/>
  <c r="M2165" i="14"/>
  <c r="U908" i="14"/>
  <c r="U1944" i="14"/>
  <c r="U355" i="14"/>
  <c r="U2088" i="14"/>
  <c r="U1980" i="14"/>
  <c r="M1512" i="14"/>
  <c r="M522" i="14"/>
  <c r="M2082" i="14"/>
  <c r="U1601" i="14"/>
  <c r="M741" i="14"/>
  <c r="U2636" i="14"/>
  <c r="U4155" i="14"/>
  <c r="U3885" i="14"/>
  <c r="M3051" i="14"/>
  <c r="M2613" i="14"/>
  <c r="U4108" i="14"/>
  <c r="M3698" i="14"/>
  <c r="M3290" i="14"/>
  <c r="U2412" i="14"/>
  <c r="M3947" i="14"/>
  <c r="U3537" i="14"/>
  <c r="M3113" i="14"/>
  <c r="U2677" i="14"/>
  <c r="M4056" i="14"/>
  <c r="M3644" i="14"/>
  <c r="U3234" i="14"/>
  <c r="M2794" i="14"/>
  <c r="M2237" i="14"/>
  <c r="M1716" i="14"/>
  <c r="M1026" i="14"/>
  <c r="M2007" i="14"/>
  <c r="M1541" i="14"/>
  <c r="U629" i="14"/>
  <c r="U2328" i="14"/>
  <c r="M2039" i="14"/>
  <c r="U1570" i="14"/>
  <c r="M2112" i="14"/>
  <c r="M1623" i="14"/>
  <c r="U773" i="14"/>
  <c r="U2732" i="14"/>
  <c r="M4171" i="14"/>
  <c r="M3853" i="14"/>
  <c r="M3447" i="14"/>
  <c r="M3019" i="14"/>
  <c r="M2577" i="14"/>
  <c r="M4076" i="14"/>
  <c r="M3666" i="14"/>
  <c r="M3258" i="14"/>
  <c r="M2380" i="14"/>
  <c r="M3915" i="14"/>
  <c r="M3505" i="14"/>
  <c r="M3081" i="14"/>
  <c r="M2645" i="14"/>
  <c r="U2195" i="14"/>
  <c r="U4024" i="14"/>
  <c r="M3612" i="14"/>
  <c r="M3202" i="14"/>
  <c r="M2754" i="14"/>
  <c r="M1684" i="14"/>
  <c r="M918" i="14"/>
  <c r="M1929" i="14"/>
  <c r="U1477" i="14"/>
  <c r="U2016" i="14"/>
  <c r="M1957" i="14"/>
  <c r="U1500" i="14"/>
  <c r="U512" i="14"/>
  <c r="U2066" i="14"/>
  <c r="M1587" i="14"/>
  <c r="U709" i="14"/>
  <c r="U2564" i="14"/>
  <c r="M4176" i="14"/>
  <c r="M3799" i="14"/>
  <c r="M3387" i="14"/>
  <c r="M2957" i="14"/>
  <c r="U2513" i="14"/>
  <c r="U4018" i="14"/>
  <c r="M3610" i="14"/>
  <c r="U2752" i="14"/>
  <c r="M2304" i="14"/>
  <c r="U3857" i="14"/>
  <c r="U3449" i="14"/>
  <c r="M3021" i="14"/>
  <c r="U2583" i="14"/>
  <c r="M2127" i="14"/>
  <c r="M3964" i="14"/>
  <c r="M3554" i="14"/>
  <c r="M3130" i="14"/>
  <c r="U2696" i="14"/>
  <c r="M2102" i="14"/>
  <c r="U1610" i="14"/>
  <c r="U766" i="14"/>
  <c r="U1889" i="14"/>
  <c r="M1437" i="14"/>
  <c r="U4004" i="14"/>
  <c r="U1844" i="14"/>
  <c r="M1922" i="14"/>
  <c r="U2021" i="14"/>
  <c r="U1551" i="14"/>
  <c r="U637" i="14"/>
  <c r="M4205" i="14"/>
  <c r="U3936" i="14"/>
  <c r="U3528" i="14"/>
  <c r="M3100" i="14"/>
  <c r="U2666" i="14"/>
  <c r="L3773" i="14"/>
  <c r="M3773" i="14" s="1"/>
  <c r="M2923" i="14"/>
  <c r="M2489" i="14"/>
  <c r="M2037" i="14"/>
  <c r="U3882" i="14"/>
  <c r="U3472" i="14"/>
  <c r="U3048" i="14"/>
  <c r="M2608" i="14"/>
  <c r="M1982" i="14"/>
  <c r="U548" i="14"/>
  <c r="M1801" i="14"/>
  <c r="U1247" i="14"/>
  <c r="M3588" i="14"/>
  <c r="U1280" i="14"/>
  <c r="U1832" i="14"/>
  <c r="M1272" i="14"/>
  <c r="M1913" i="14"/>
  <c r="U1453" i="14"/>
  <c r="M4084" i="14"/>
  <c r="U4284" i="14"/>
  <c r="L3757" i="14"/>
  <c r="M2907" i="14"/>
  <c r="M2473" i="14"/>
  <c r="M3980" i="14"/>
  <c r="M3570" i="14"/>
  <c r="M3146" i="14"/>
  <c r="U2264" i="14"/>
  <c r="M3819" i="14"/>
  <c r="U3409" i="14"/>
  <c r="M2985" i="14"/>
  <c r="M2533" i="14"/>
  <c r="U2091" i="14"/>
  <c r="U3928" i="14"/>
  <c r="M3516" i="14"/>
  <c r="M3090" i="14"/>
  <c r="U2658" i="14"/>
  <c r="M1572" i="14"/>
  <c r="M674" i="14"/>
  <c r="U1851" i="14"/>
  <c r="M1293" i="14"/>
  <c r="U3812" i="14"/>
  <c r="U1874" i="14"/>
  <c r="M1410" i="14"/>
  <c r="U1932" i="14"/>
  <c r="U1935" i="14"/>
  <c r="M1479" i="14"/>
  <c r="L4228" i="14"/>
  <c r="M4228" i="14" s="1"/>
  <c r="U4280" i="14"/>
  <c r="U4137" i="14"/>
  <c r="M3725" i="14"/>
  <c r="M2875" i="14"/>
  <c r="U2441" i="14"/>
  <c r="U3948" i="14"/>
  <c r="M3538" i="14"/>
  <c r="M3114" i="14"/>
  <c r="U2680" i="14"/>
  <c r="M2232" i="14"/>
  <c r="M3787" i="14"/>
  <c r="M2949" i="14"/>
  <c r="M2501" i="14"/>
  <c r="U2055" i="14"/>
  <c r="M3896" i="14"/>
  <c r="U3484" i="14"/>
  <c r="M3058" i="14"/>
  <c r="M2622" i="14"/>
  <c r="M1536" i="14"/>
  <c r="M558" i="14"/>
  <c r="U1785" i="14"/>
  <c r="M1225" i="14"/>
  <c r="U3524" i="14"/>
  <c r="U1192" i="14"/>
  <c r="M1814" i="14"/>
  <c r="U1256" i="14"/>
  <c r="U1756" i="14"/>
  <c r="M1439" i="14"/>
  <c r="U4273" i="14"/>
  <c r="M4077" i="14"/>
  <c r="M3671" i="14"/>
  <c r="M3259" i="14"/>
  <c r="U2817" i="14"/>
  <c r="U2381" i="14"/>
  <c r="U3890" i="14"/>
  <c r="U3482" i="14"/>
  <c r="U2620" i="14"/>
  <c r="M4139" i="14"/>
  <c r="U3729" i="14"/>
  <c r="M3321" i="14"/>
  <c r="M2877" i="14"/>
  <c r="U2447" i="14"/>
  <c r="M1991" i="14"/>
  <c r="U3426" i="14"/>
  <c r="M3002" i="14"/>
  <c r="M1924" i="14"/>
  <c r="U1462" i="14"/>
  <c r="M1753" i="14"/>
  <c r="M1169" i="14"/>
  <c r="U3364" i="14"/>
  <c r="U732" i="14"/>
  <c r="U1778" i="14"/>
  <c r="U1204" i="14"/>
  <c r="U1863" i="14"/>
  <c r="M1347" i="14"/>
  <c r="U3860" i="14"/>
  <c r="U2136" i="14"/>
  <c r="M549" i="14"/>
  <c r="U3713" i="14"/>
  <c r="M3895" i="14"/>
  <c r="M3277" i="14"/>
  <c r="M2399" i="14"/>
  <c r="U3912" i="14"/>
  <c r="M3500" i="14"/>
  <c r="U3074" i="14"/>
  <c r="U2642" i="14"/>
  <c r="U3751" i="14"/>
  <c r="U3339" i="14"/>
  <c r="U2897" i="14"/>
  <c r="M2465" i="14"/>
  <c r="M2009" i="14"/>
  <c r="M3856" i="14"/>
  <c r="M3448" i="14"/>
  <c r="M3020" i="14"/>
  <c r="U2578" i="14"/>
  <c r="M1945" i="14"/>
  <c r="U356" i="14"/>
  <c r="U1775" i="14"/>
  <c r="M1199" i="14"/>
  <c r="U3460" i="14"/>
  <c r="U1012" i="14"/>
  <c r="M1800" i="14"/>
  <c r="M1234" i="14"/>
  <c r="U1692" i="14"/>
  <c r="M1881" i="14"/>
  <c r="M1413" i="14"/>
  <c r="U3956" i="14"/>
  <c r="U4267" i="14"/>
  <c r="M4141" i="14"/>
  <c r="M3735" i="14"/>
  <c r="M3323" i="14"/>
  <c r="M2881" i="14"/>
  <c r="M2449" i="14"/>
  <c r="M3954" i="14"/>
  <c r="U3546" i="14"/>
  <c r="M2688" i="14"/>
  <c r="M2236" i="14"/>
  <c r="U3793" i="14"/>
  <c r="M3385" i="14"/>
  <c r="M2953" i="14"/>
  <c r="U2511" i="14"/>
  <c r="M2059" i="14"/>
  <c r="M3900" i="14"/>
  <c r="M3490" i="14"/>
  <c r="M3066" i="14"/>
  <c r="U2628" i="14"/>
  <c r="U2008" i="14"/>
  <c r="U1542" i="14"/>
  <c r="M630" i="14"/>
  <c r="M1821" i="14"/>
  <c r="U1269" i="14"/>
  <c r="U3684" i="14"/>
  <c r="U1488" i="14"/>
  <c r="U1850" i="14"/>
  <c r="U1292" i="14"/>
  <c r="U1792" i="14"/>
  <c r="M1907" i="14"/>
  <c r="U1445" i="14"/>
  <c r="M4052" i="14"/>
  <c r="U4272" i="14"/>
  <c r="M4109" i="14"/>
  <c r="M3703" i="14"/>
  <c r="M3291" i="14"/>
  <c r="M2849" i="14"/>
  <c r="M2413" i="14"/>
  <c r="U3514" i="14"/>
  <c r="U2656" i="14"/>
  <c r="U4219" i="14"/>
  <c r="M3761" i="14"/>
  <c r="U3353" i="14"/>
  <c r="M2909" i="14"/>
  <c r="U2479" i="14"/>
  <c r="M2023" i="14"/>
  <c r="U3868" i="14"/>
  <c r="U3458" i="14"/>
  <c r="M3034" i="14"/>
  <c r="U2592" i="14"/>
  <c r="M1962" i="14"/>
  <c r="U1502" i="14"/>
  <c r="M514" i="14"/>
  <c r="U1761" i="14"/>
  <c r="M1173" i="14"/>
  <c r="U776" i="14"/>
  <c r="U1784" i="14"/>
  <c r="M1224" i="14"/>
  <c r="U1616" i="14"/>
  <c r="M1867" i="14"/>
  <c r="U1353" i="14"/>
  <c r="U3892" i="14"/>
  <c r="M4055" i="14"/>
  <c r="M3643" i="14"/>
  <c r="U3233" i="14"/>
  <c r="M2793" i="14"/>
  <c r="M2337" i="14"/>
  <c r="U3866" i="14"/>
  <c r="M3456" i="14"/>
  <c r="M3032" i="14"/>
  <c r="M2588" i="14"/>
  <c r="U4113" i="14"/>
  <c r="M3705" i="14"/>
  <c r="M3293" i="14"/>
  <c r="M2415" i="14"/>
  <c r="M1961" i="14"/>
  <c r="M3810" i="14"/>
  <c r="U3402" i="14"/>
  <c r="U2528" i="14"/>
  <c r="M1890" i="14"/>
  <c r="U1438" i="14"/>
  <c r="U2266" i="14"/>
  <c r="M1729" i="14"/>
  <c r="M1065" i="14"/>
  <c r="U3236" i="14"/>
  <c r="M2382" i="14"/>
  <c r="U1168" i="14"/>
  <c r="M1835" i="14"/>
  <c r="U1277" i="14"/>
  <c r="U3732" i="14"/>
  <c r="L4274" i="14"/>
  <c r="M4274" i="14" s="1"/>
  <c r="U4244" i="14"/>
  <c r="U3867" i="14"/>
  <c r="M3457" i="14"/>
  <c r="M3033" i="14"/>
  <c r="M2589" i="14"/>
  <c r="U4090" i="14"/>
  <c r="M3680" i="14"/>
  <c r="U3272" i="14"/>
  <c r="U2828" i="14"/>
  <c r="U2390" i="14"/>
  <c r="U3929" i="14"/>
  <c r="M3517" i="14"/>
  <c r="M2659" i="14"/>
  <c r="U2205" i="14"/>
  <c r="U3626" i="14"/>
  <c r="U3216" i="14"/>
  <c r="M2768" i="14"/>
  <c r="U2204" i="14"/>
  <c r="M1698" i="14"/>
  <c r="U932" i="14"/>
  <c r="U1981" i="14"/>
  <c r="M1513" i="14"/>
  <c r="U2228" i="14"/>
  <c r="U2013" i="14"/>
  <c r="U1548" i="14"/>
  <c r="M632" i="14"/>
  <c r="U2124" i="14"/>
  <c r="M1629" i="14"/>
  <c r="M781" i="14"/>
  <c r="M4177" i="14"/>
  <c r="M3913" i="14"/>
  <c r="M3501" i="14"/>
  <c r="M2643" i="14"/>
  <c r="U4136" i="14"/>
  <c r="U3724" i="14"/>
  <c r="M3314" i="14"/>
  <c r="M2874" i="14"/>
  <c r="M3975" i="14"/>
  <c r="M3563" i="14"/>
  <c r="M3137" i="14"/>
  <c r="M2705" i="14"/>
  <c r="M2253" i="14"/>
  <c r="M4080" i="14"/>
  <c r="M3672" i="14"/>
  <c r="M3260" i="14"/>
  <c r="M2818" i="14"/>
  <c r="U2326" i="14"/>
  <c r="M1744" i="14"/>
  <c r="M1108" i="14"/>
  <c r="U2040" i="14"/>
  <c r="M1571" i="14"/>
  <c r="U673" i="14"/>
  <c r="U2476" i="14"/>
  <c r="U2076" i="14"/>
  <c r="M1594" i="14"/>
  <c r="M738" i="14"/>
  <c r="U2148" i="14"/>
  <c r="M871" i="14"/>
  <c r="U2868" i="14"/>
  <c r="U4204" i="14"/>
  <c r="U3881" i="14"/>
  <c r="U3469" i="14"/>
  <c r="M2607" i="14"/>
  <c r="U4104" i="14"/>
  <c r="M3692" i="14"/>
  <c r="M3282" i="14"/>
  <c r="M2842" i="14"/>
  <c r="M3943" i="14"/>
  <c r="M3531" i="14"/>
  <c r="U3105" i="14"/>
  <c r="U2673" i="14"/>
  <c r="U2217" i="14"/>
  <c r="M4048" i="14"/>
  <c r="M3640" i="14"/>
  <c r="U3228" i="14"/>
  <c r="M2778" i="14"/>
  <c r="U2221" i="14"/>
  <c r="M1712" i="14"/>
  <c r="M1020" i="14"/>
  <c r="U1960" i="14"/>
  <c r="U1501" i="14"/>
  <c r="M513" i="14"/>
  <c r="U2156" i="14"/>
  <c r="U1996" i="14"/>
  <c r="U1534" i="14"/>
  <c r="U2107" i="14"/>
  <c r="U767" i="14"/>
  <c r="U4203" i="14"/>
  <c r="U3821" i="14"/>
  <c r="U3415" i="14"/>
  <c r="M2987" i="14"/>
  <c r="U2537" i="14"/>
  <c r="U4044" i="14"/>
  <c r="M3634" i="14"/>
  <c r="U3226" i="14"/>
  <c r="U2776" i="14"/>
  <c r="M2332" i="14"/>
  <c r="M3883" i="14"/>
  <c r="U3473" i="14"/>
  <c r="M3049" i="14"/>
  <c r="M2609" i="14"/>
  <c r="U3992" i="14"/>
  <c r="M3580" i="14"/>
  <c r="M3154" i="14"/>
  <c r="U2722" i="14"/>
  <c r="U2139" i="14"/>
  <c r="M1640" i="14"/>
  <c r="M790" i="14"/>
  <c r="M1923" i="14"/>
  <c r="U1461" i="14"/>
  <c r="U1984" i="14"/>
  <c r="M1952" i="14"/>
  <c r="M1494" i="14"/>
  <c r="U360" i="14"/>
  <c r="M2058" i="14"/>
  <c r="M703" i="14"/>
  <c r="U2524" i="14"/>
  <c r="U3511" i="14"/>
  <c r="M4173" i="14"/>
  <c r="M4183" i="14"/>
  <c r="M3739" i="14"/>
  <c r="M3329" i="14"/>
  <c r="U2889" i="14"/>
  <c r="M2453" i="14"/>
  <c r="M3962" i="14"/>
  <c r="U3552" i="14"/>
  <c r="M3128" i="14"/>
  <c r="M2692" i="14"/>
  <c r="U2242" i="14"/>
  <c r="M3801" i="14"/>
  <c r="M3389" i="14"/>
  <c r="M2515" i="14"/>
  <c r="M2065" i="14"/>
  <c r="U3906" i="14"/>
  <c r="M3498" i="14"/>
  <c r="U2640" i="14"/>
  <c r="M2020" i="14"/>
  <c r="U1550" i="14"/>
  <c r="U636" i="14"/>
  <c r="M1833" i="14"/>
  <c r="M1273" i="14"/>
  <c r="U3716" i="14"/>
  <c r="U1528" i="14"/>
  <c r="U1856" i="14"/>
  <c r="U1344" i="14"/>
  <c r="U1939" i="14"/>
  <c r="M1485" i="14"/>
  <c r="U4288" i="14"/>
  <c r="U4241" i="14"/>
  <c r="M3785" i="14"/>
  <c r="U3373" i="14"/>
  <c r="U2947" i="14"/>
  <c r="U2499" i="14"/>
  <c r="M4008" i="14"/>
  <c r="U3596" i="14"/>
  <c r="U3170" i="14"/>
  <c r="M2738" i="14"/>
  <c r="U2288" i="14"/>
  <c r="M3847" i="14"/>
  <c r="M3435" i="14"/>
  <c r="U3009" i="14"/>
  <c r="U2569" i="14"/>
  <c r="M2113" i="14"/>
  <c r="M3952" i="14"/>
  <c r="M3544" i="14"/>
  <c r="M3116" i="14"/>
  <c r="U2682" i="14"/>
  <c r="U2081" i="14"/>
  <c r="M740" i="14"/>
  <c r="M1411" i="14"/>
  <c r="M3940" i="14"/>
  <c r="U1772" i="14"/>
  <c r="M1908" i="14"/>
  <c r="M1446" i="14"/>
  <c r="U2068" i="14"/>
  <c r="U1971" i="14"/>
  <c r="M515" i="14"/>
  <c r="L4285" i="14"/>
  <c r="M4285" i="14" s="1"/>
  <c r="U4193" i="14"/>
  <c r="L3753" i="14"/>
  <c r="M3753" i="14" s="1"/>
  <c r="M3341" i="14"/>
  <c r="M2467" i="14"/>
  <c r="U3976" i="14"/>
  <c r="M3564" i="14"/>
  <c r="U3138" i="14"/>
  <c r="M2706" i="14"/>
  <c r="U2256" i="14"/>
  <c r="M3815" i="14"/>
  <c r="U3403" i="14"/>
  <c r="M2977" i="14"/>
  <c r="U2529" i="14"/>
  <c r="M2077" i="14"/>
  <c r="M3920" i="14"/>
  <c r="M3512" i="14"/>
  <c r="M3084" i="14"/>
  <c r="M2650" i="14"/>
  <c r="U2036" i="14"/>
  <c r="M1568" i="14"/>
  <c r="M668" i="14"/>
  <c r="M1815" i="14"/>
  <c r="M1257" i="14"/>
  <c r="U3652" i="14"/>
  <c r="U1448" i="14"/>
  <c r="M1842" i="14"/>
  <c r="M1286" i="14"/>
  <c r="U1900" i="14"/>
  <c r="M1925" i="14"/>
  <c r="U4180" i="14"/>
  <c r="U4276" i="14"/>
  <c r="M4105" i="14"/>
  <c r="M3693" i="14"/>
  <c r="M2843" i="14"/>
  <c r="U2405" i="14"/>
  <c r="U3916" i="14"/>
  <c r="U3506" i="14"/>
  <c r="M3082" i="14"/>
  <c r="M4215" i="14"/>
  <c r="U3755" i="14"/>
  <c r="M3345" i="14"/>
  <c r="M2905" i="14"/>
  <c r="M2469" i="14"/>
  <c r="U3864" i="14"/>
  <c r="M3452" i="14"/>
  <c r="U3026" i="14"/>
  <c r="M2586" i="14"/>
  <c r="U1954" i="14"/>
  <c r="M1496" i="14"/>
  <c r="U1779" i="14"/>
  <c r="M1205" i="14"/>
  <c r="M3492" i="14"/>
  <c r="U1806" i="14"/>
  <c r="U1250" i="14"/>
  <c r="M1885" i="14"/>
  <c r="U3988" i="14"/>
  <c r="M4023" i="14"/>
  <c r="M2861" i="14"/>
  <c r="M2305" i="14"/>
  <c r="U3834" i="14"/>
  <c r="U3424" i="14"/>
  <c r="U3000" i="14"/>
  <c r="M2552" i="14"/>
  <c r="U4081" i="14"/>
  <c r="U3673" i="14"/>
  <c r="M3261" i="14"/>
  <c r="M2383" i="14"/>
  <c r="U4236" i="14"/>
  <c r="L3778" i="14"/>
  <c r="M3778" i="14" s="1"/>
  <c r="U3370" i="14"/>
  <c r="M2496" i="14"/>
  <c r="M1858" i="14"/>
  <c r="U1346" i="14"/>
  <c r="M2201" i="14"/>
  <c r="U1697" i="14"/>
  <c r="M929" i="14"/>
  <c r="U3060" i="14"/>
  <c r="U2247" i="14"/>
  <c r="M1060" i="14"/>
  <c r="U1056" i="14"/>
  <c r="M1799" i="14"/>
  <c r="M1233" i="14"/>
  <c r="U3572" i="14"/>
  <c r="U4251" i="14"/>
  <c r="U4065" i="14"/>
  <c r="M3657" i="14"/>
  <c r="M3245" i="14"/>
  <c r="M2367" i="14"/>
  <c r="U3880" i="14"/>
  <c r="U3468" i="14"/>
  <c r="M3042" i="14"/>
  <c r="M2606" i="14"/>
  <c r="M4125" i="14"/>
  <c r="U3719" i="14"/>
  <c r="M3307" i="14"/>
  <c r="M2865" i="14"/>
  <c r="U2433" i="14"/>
  <c r="M1977" i="14"/>
  <c r="M3824" i="14"/>
  <c r="U3416" i="14"/>
  <c r="M2988" i="14"/>
  <c r="U2538" i="14"/>
  <c r="U1452" i="14"/>
  <c r="M2320" i="14"/>
  <c r="M1107" i="14"/>
  <c r="U544" i="14"/>
  <c r="M1764" i="14"/>
  <c r="M1178" i="14"/>
  <c r="U1264" i="14"/>
  <c r="M1817" i="14"/>
  <c r="U3668" i="14"/>
  <c r="U4033" i="14"/>
  <c r="M3625" i="14"/>
  <c r="M3213" i="14"/>
  <c r="M2319" i="14"/>
  <c r="U3848" i="14"/>
  <c r="M3436" i="14"/>
  <c r="M3010" i="14"/>
  <c r="M2570" i="14"/>
  <c r="M4093" i="14"/>
  <c r="U3687" i="14"/>
  <c r="M3275" i="14"/>
  <c r="U2833" i="14"/>
  <c r="M2397" i="14"/>
  <c r="M1941" i="14"/>
  <c r="M3792" i="14"/>
  <c r="M3384" i="14"/>
  <c r="M2952" i="14"/>
  <c r="M2506" i="14"/>
  <c r="U1872" i="14"/>
  <c r="M1408" i="14"/>
  <c r="M2180" i="14"/>
  <c r="U1683" i="14"/>
  <c r="U917" i="14"/>
  <c r="U2996" i="14"/>
  <c r="U2216" i="14"/>
  <c r="U1706" i="14"/>
  <c r="M1018" i="14"/>
  <c r="U864" i="14"/>
  <c r="M1781" i="14"/>
  <c r="U1223" i="14"/>
  <c r="U3508" i="14"/>
  <c r="M3977" i="14"/>
  <c r="M3565" i="14"/>
  <c r="M2707" i="14"/>
  <c r="M2257" i="14"/>
  <c r="U3788" i="14"/>
  <c r="U3378" i="14"/>
  <c r="U2950" i="14"/>
  <c r="U2504" i="14"/>
  <c r="U4039" i="14"/>
  <c r="M3627" i="14"/>
  <c r="M3217" i="14"/>
  <c r="M2769" i="14"/>
  <c r="M2321" i="14"/>
  <c r="M4144" i="14"/>
  <c r="M3736" i="14"/>
  <c r="M3324" i="14"/>
  <c r="M2882" i="14"/>
  <c r="U2450" i="14"/>
  <c r="M1812" i="14"/>
  <c r="M1252" i="14"/>
  <c r="U2134" i="14"/>
  <c r="M1639" i="14"/>
  <c r="U789" i="14"/>
  <c r="U2820" i="14"/>
  <c r="U2170" i="14"/>
  <c r="U1662" i="14"/>
  <c r="M910" i="14"/>
  <c r="M2374" i="14"/>
  <c r="M1749" i="14"/>
  <c r="U3348" i="14"/>
  <c r="M1552" i="14"/>
  <c r="M638" i="14"/>
  <c r="U2129" i="14"/>
  <c r="M785" i="14"/>
  <c r="U2804" i="14"/>
  <c r="M1988" i="14"/>
  <c r="M3611" i="14"/>
  <c r="M3789" i="14"/>
  <c r="U3161" i="14"/>
  <c r="M2725" i="14"/>
  <c r="U2279" i="14"/>
  <c r="M3808" i="14"/>
  <c r="U3400" i="14"/>
  <c r="M2972" i="14"/>
  <c r="U2522" i="14"/>
  <c r="M4057" i="14"/>
  <c r="M3645" i="14"/>
  <c r="M2795" i="14"/>
  <c r="M2341" i="14"/>
  <c r="L4194" i="14"/>
  <c r="M4194" i="14" s="1"/>
  <c r="U3754" i="14"/>
  <c r="U3344" i="14"/>
  <c r="U2904" i="14"/>
  <c r="M2468" i="14"/>
  <c r="M1834" i="14"/>
  <c r="M2164" i="14"/>
  <c r="M1657" i="14"/>
  <c r="U907" i="14"/>
  <c r="U2916" i="14"/>
  <c r="U2200" i="14"/>
  <c r="M1696" i="14"/>
  <c r="M928" i="14"/>
  <c r="U696" i="14"/>
  <c r="M1769" i="14"/>
  <c r="M1197" i="14"/>
  <c r="U3444" i="14"/>
  <c r="U4256" i="14"/>
  <c r="L4041" i="14"/>
  <c r="M4041" i="14" s="1"/>
  <c r="M3629" i="14"/>
  <c r="U3223" i="14"/>
  <c r="U2771" i="14"/>
  <c r="M2325" i="14"/>
  <c r="U3852" i="14"/>
  <c r="U3442" i="14"/>
  <c r="M3018" i="14"/>
  <c r="M4103" i="14"/>
  <c r="U3691" i="14"/>
  <c r="M3281" i="14"/>
  <c r="U2841" i="14"/>
  <c r="M2401" i="14"/>
  <c r="U1951" i="14"/>
  <c r="U3800" i="14"/>
  <c r="M3388" i="14"/>
  <c r="M2958" i="14"/>
  <c r="M2514" i="14"/>
  <c r="U1880" i="14"/>
  <c r="M1412" i="14"/>
  <c r="M2234" i="14"/>
  <c r="M1715" i="14"/>
  <c r="M1025" i="14"/>
  <c r="U3156" i="14"/>
  <c r="M2316" i="14"/>
  <c r="M1738" i="14"/>
  <c r="M1106" i="14"/>
  <c r="U920" i="14"/>
  <c r="U1795" i="14"/>
  <c r="M1227" i="14"/>
  <c r="U3540" i="14"/>
  <c r="U4253" i="14"/>
  <c r="U4009" i="14"/>
  <c r="M3597" i="14"/>
  <c r="U3191" i="14"/>
  <c r="M2739" i="14"/>
  <c r="M2289" i="14"/>
  <c r="M3820" i="14"/>
  <c r="M3410" i="14"/>
  <c r="M2986" i="14"/>
  <c r="M4071" i="14"/>
  <c r="U3659" i="14"/>
  <c r="U3249" i="14"/>
  <c r="M2809" i="14"/>
  <c r="M2369" i="14"/>
  <c r="M4224" i="14"/>
  <c r="M3356" i="14"/>
  <c r="M2914" i="14"/>
  <c r="U2482" i="14"/>
  <c r="U1848" i="14"/>
  <c r="M1288" i="14"/>
  <c r="M2143" i="14"/>
  <c r="U1645" i="14"/>
  <c r="M869" i="14"/>
  <c r="U2852" i="14"/>
  <c r="U2179" i="14"/>
  <c r="M1682" i="14"/>
  <c r="U916" i="14"/>
  <c r="U508" i="14"/>
  <c r="M1171" i="14"/>
  <c r="U4208" i="14"/>
  <c r="M3949" i="14"/>
  <c r="U3543" i="14"/>
  <c r="M3115" i="14"/>
  <c r="U2681" i="14"/>
  <c r="M4220" i="14"/>
  <c r="L3762" i="14"/>
  <c r="M3762" i="14" s="1"/>
  <c r="M3354" i="14"/>
  <c r="M2480" i="14"/>
  <c r="M4011" i="14"/>
  <c r="U3601" i="14"/>
  <c r="M3193" i="14"/>
  <c r="M2741" i="14"/>
  <c r="U2299" i="14"/>
  <c r="U4120" i="14"/>
  <c r="U3708" i="14"/>
  <c r="M3298" i="14"/>
  <c r="M2858" i="14"/>
  <c r="U2420" i="14"/>
  <c r="U1780" i="14"/>
  <c r="M1206" i="14"/>
  <c r="U2100" i="14"/>
  <c r="U1609" i="14"/>
  <c r="M765" i="14"/>
  <c r="U2684" i="14"/>
  <c r="U1638" i="14"/>
  <c r="M2252" i="14"/>
  <c r="U1727" i="14"/>
  <c r="M1063" i="14"/>
  <c r="U3220" i="14"/>
  <c r="U3817" i="14"/>
  <c r="M4169" i="14"/>
  <c r="M4221" i="14"/>
  <c r="U3767" i="14"/>
  <c r="M3355" i="14"/>
  <c r="U2913" i="14"/>
  <c r="U2481" i="14"/>
  <c r="M3986" i="14"/>
  <c r="U3578" i="14"/>
  <c r="U2720" i="14"/>
  <c r="M2268" i="14"/>
  <c r="M3825" i="14"/>
  <c r="U3417" i="14"/>
  <c r="M2989" i="14"/>
  <c r="U2095" i="14"/>
  <c r="U3932" i="14"/>
  <c r="M3522" i="14"/>
  <c r="M3098" i="14"/>
  <c r="U2057" i="14"/>
  <c r="M1578" i="14"/>
  <c r="U702" i="14"/>
  <c r="U1857" i="14"/>
  <c r="M1345" i="14"/>
  <c r="M3844" i="14"/>
  <c r="U1676" i="14"/>
  <c r="U1882" i="14"/>
  <c r="U2104" i="14"/>
  <c r="U1976" i="14"/>
  <c r="M1511" i="14"/>
  <c r="U521" i="14"/>
  <c r="U4283" i="14"/>
  <c r="U4160" i="14"/>
  <c r="U3809" i="14"/>
  <c r="M3401" i="14"/>
  <c r="M2973" i="14"/>
  <c r="U2527" i="14"/>
  <c r="M4032" i="14"/>
  <c r="U3624" i="14"/>
  <c r="M3212" i="14"/>
  <c r="M2762" i="14"/>
  <c r="M2318" i="14"/>
  <c r="U3463" i="14"/>
  <c r="M3035" i="14"/>
  <c r="U2593" i="14"/>
  <c r="U2141" i="14"/>
  <c r="U3978" i="14"/>
  <c r="U3144" i="14"/>
  <c r="M2708" i="14"/>
  <c r="M2118" i="14"/>
  <c r="M1909" i="14"/>
  <c r="M4068" i="14"/>
  <c r="U1916" i="14"/>
  <c r="U1936" i="14"/>
  <c r="M1480" i="14"/>
  <c r="U2208" i="14"/>
  <c r="U2004" i="14"/>
  <c r="M1537" i="14"/>
  <c r="U4289" i="14"/>
  <c r="U4235" i="14"/>
  <c r="L3777" i="14"/>
  <c r="M3777" i="14" s="1"/>
  <c r="U3369" i="14"/>
  <c r="M2925" i="14"/>
  <c r="U2495" i="14"/>
  <c r="M4000" i="14"/>
  <c r="U3592" i="14"/>
  <c r="M3164" i="14"/>
  <c r="M2730" i="14"/>
  <c r="M2282" i="14"/>
  <c r="M3837" i="14"/>
  <c r="M3003" i="14"/>
  <c r="U2557" i="14"/>
  <c r="M2109" i="14"/>
  <c r="U3946" i="14"/>
  <c r="U3112" i="14"/>
  <c r="U2676" i="14"/>
  <c r="U2074" i="14"/>
  <c r="M736" i="14"/>
  <c r="U1847" i="14"/>
  <c r="U1287" i="14"/>
  <c r="M3780" i="14"/>
  <c r="U1596" i="14"/>
  <c r="M1868" i="14"/>
  <c r="M1354" i="14"/>
  <c r="U2032" i="14"/>
  <c r="M1956" i="14"/>
  <c r="M1497" i="14"/>
  <c r="L4281" i="14"/>
  <c r="M4281" i="14" s="1"/>
  <c r="U4129" i="14"/>
  <c r="M3721" i="14"/>
  <c r="M3309" i="14"/>
  <c r="U2871" i="14"/>
  <c r="M2435" i="14"/>
  <c r="U3944" i="14"/>
  <c r="U3532" i="14"/>
  <c r="M3106" i="14"/>
  <c r="U2674" i="14"/>
  <c r="M4237" i="14"/>
  <c r="M3783" i="14"/>
  <c r="M3371" i="14"/>
  <c r="M2929" i="14"/>
  <c r="M2497" i="14"/>
  <c r="M2041" i="14"/>
  <c r="M3888" i="14"/>
  <c r="U3480" i="14"/>
  <c r="M3052" i="14"/>
  <c r="U2614" i="14"/>
  <c r="M1992" i="14"/>
  <c r="M1532" i="14"/>
  <c r="M552" i="14"/>
  <c r="M1251" i="14"/>
  <c r="U3620" i="14"/>
  <c r="U1404" i="14"/>
  <c r="M1836" i="14"/>
  <c r="U1278" i="14"/>
  <c r="U1860" i="14"/>
  <c r="U1921" i="14"/>
  <c r="M1457" i="14"/>
  <c r="U4116" i="14"/>
  <c r="U4199" i="14"/>
  <c r="U4268" i="14"/>
  <c r="L4045" i="14"/>
  <c r="M4045" i="14" s="1"/>
  <c r="M3639" i="14"/>
  <c r="U3227" i="14"/>
  <c r="M2777" i="14"/>
  <c r="U2333" i="14"/>
  <c r="M3858" i="14"/>
  <c r="M3450" i="14"/>
  <c r="U2584" i="14"/>
  <c r="M4107" i="14"/>
  <c r="M3697" i="14"/>
  <c r="M3289" i="14"/>
  <c r="M2845" i="14"/>
  <c r="U2411" i="14"/>
  <c r="U1955" i="14"/>
  <c r="U3804" i="14"/>
  <c r="M3394" i="14"/>
  <c r="M2970" i="14"/>
  <c r="U2520" i="14"/>
  <c r="M1884" i="14"/>
  <c r="U1418" i="14"/>
  <c r="M2248" i="14"/>
  <c r="M1721" i="14"/>
  <c r="U1061" i="14"/>
  <c r="M1746" i="14"/>
  <c r="U1340" i="14"/>
  <c r="M1271" i="14"/>
  <c r="M3700" i="14"/>
  <c r="U4264" i="14"/>
  <c r="M4091" i="14"/>
  <c r="M3681" i="14"/>
  <c r="M3273" i="14"/>
  <c r="M2829" i="14"/>
  <c r="M3904" i="14"/>
  <c r="M3496" i="14"/>
  <c r="M3068" i="14"/>
  <c r="M2630" i="14"/>
  <c r="M4185" i="14"/>
  <c r="M3741" i="14"/>
  <c r="U3335" i="14"/>
  <c r="M2891" i="14"/>
  <c r="M2457" i="14"/>
  <c r="M2005" i="14"/>
  <c r="U3850" i="14"/>
  <c r="M3016" i="14"/>
  <c r="M2572" i="14"/>
  <c r="U1938" i="14"/>
  <c r="U352" i="14"/>
  <c r="M1765" i="14"/>
  <c r="U1195" i="14"/>
  <c r="U3428" i="14"/>
  <c r="U904" i="14"/>
  <c r="U1796" i="14"/>
  <c r="M1228" i="14"/>
  <c r="M1849" i="14"/>
  <c r="M1289" i="14"/>
  <c r="U3796" i="14"/>
  <c r="M4059" i="14"/>
  <c r="M3649" i="14"/>
  <c r="M3241" i="14"/>
  <c r="M2797" i="14"/>
  <c r="U2363" i="14"/>
  <c r="U3872" i="14"/>
  <c r="U3464" i="14"/>
  <c r="M3036" i="14"/>
  <c r="U2594" i="14"/>
  <c r="M4121" i="14"/>
  <c r="M3709" i="14"/>
  <c r="M2859" i="14"/>
  <c r="M2421" i="14"/>
  <c r="M1973" i="14"/>
  <c r="M3818" i="14"/>
  <c r="U3408" i="14"/>
  <c r="U2984" i="14"/>
  <c r="M2532" i="14"/>
  <c r="M1906" i="14"/>
  <c r="U2220" i="14"/>
  <c r="U1019" i="14"/>
  <c r="U3124" i="14"/>
  <c r="M2284" i="14"/>
  <c r="M1732" i="14"/>
  <c r="U1070" i="14"/>
  <c r="U1220" i="14"/>
  <c r="U1813" i="14"/>
  <c r="M1253" i="14"/>
  <c r="U3636" i="14"/>
  <c r="U4249" i="14"/>
  <c r="U4001" i="14"/>
  <c r="M3593" i="14"/>
  <c r="M3165" i="14"/>
  <c r="M2283" i="14"/>
  <c r="M3816" i="14"/>
  <c r="U3404" i="14"/>
  <c r="M2978" i="14"/>
  <c r="M2530" i="14"/>
  <c r="M4061" i="14"/>
  <c r="U3655" i="14"/>
  <c r="M3243" i="14"/>
  <c r="U2801" i="14"/>
  <c r="M2365" i="14"/>
  <c r="U4218" i="14"/>
  <c r="M3760" i="14"/>
  <c r="M3352" i="14"/>
  <c r="M2908" i="14"/>
  <c r="M2474" i="14"/>
  <c r="M1284" i="14"/>
  <c r="U2175" i="14"/>
  <c r="U1679" i="14"/>
  <c r="M911" i="14"/>
  <c r="U2211" i="14"/>
  <c r="M1700" i="14"/>
  <c r="M934" i="14"/>
  <c r="U760" i="14"/>
  <c r="M1777" i="14"/>
  <c r="M1201" i="14"/>
  <c r="U3476" i="14"/>
  <c r="M3405" i="14"/>
  <c r="M2753" i="14"/>
  <c r="M4140" i="14"/>
  <c r="M3730" i="14"/>
  <c r="M3322" i="14"/>
  <c r="U2880" i="14"/>
  <c r="M2448" i="14"/>
  <c r="M3979" i="14"/>
  <c r="U3569" i="14"/>
  <c r="M3145" i="14"/>
  <c r="M2709" i="14"/>
  <c r="U4088" i="14"/>
  <c r="M3676" i="14"/>
  <c r="U3266" i="14"/>
  <c r="U2826" i="14"/>
  <c r="M2368" i="14"/>
  <c r="M1748" i="14"/>
  <c r="M1114" i="14"/>
  <c r="U2056" i="14"/>
  <c r="M1577" i="14"/>
  <c r="M701" i="14"/>
  <c r="U2508" i="14"/>
  <c r="U2092" i="14"/>
  <c r="M1602" i="14"/>
  <c r="U744" i="14"/>
  <c r="U2198" i="14"/>
  <c r="M927" i="14"/>
  <c r="M4201" i="14"/>
  <c r="M3963" i="14"/>
  <c r="M3553" i="14"/>
  <c r="U3129" i="14"/>
  <c r="M2693" i="14"/>
  <c r="U4234" i="14"/>
  <c r="U3776" i="14"/>
  <c r="U3368" i="14"/>
  <c r="M2924" i="14"/>
  <c r="U2490" i="14"/>
  <c r="M4025" i="14"/>
  <c r="M3613" i="14"/>
  <c r="M2755" i="14"/>
  <c r="M2309" i="14"/>
  <c r="M4130" i="14"/>
  <c r="U3722" i="14"/>
  <c r="M2872" i="14"/>
  <c r="U2436" i="14"/>
  <c r="M1798" i="14"/>
  <c r="U1232" i="14"/>
  <c r="M2117" i="14"/>
  <c r="M1625" i="14"/>
  <c r="U2748" i="14"/>
  <c r="M2149" i="14"/>
  <c r="M1652" i="14"/>
  <c r="M872" i="14"/>
  <c r="U2222" i="14"/>
  <c r="U1713" i="14"/>
  <c r="M1021" i="14"/>
  <c r="U3140" i="14"/>
  <c r="U4157" i="14"/>
  <c r="M3931" i="14"/>
  <c r="M3521" i="14"/>
  <c r="M3097" i="14"/>
  <c r="U2661" i="14"/>
  <c r="U4186" i="14"/>
  <c r="M3744" i="14"/>
  <c r="M3336" i="14"/>
  <c r="M2892" i="14"/>
  <c r="M2458" i="14"/>
  <c r="U3993" i="14"/>
  <c r="M3581" i="14"/>
  <c r="U3159" i="14"/>
  <c r="M2723" i="14"/>
  <c r="U2273" i="14"/>
  <c r="M4098" i="14"/>
  <c r="U3690" i="14"/>
  <c r="M2840" i="14"/>
  <c r="M2400" i="14"/>
  <c r="M1762" i="14"/>
  <c r="U1567" i="14"/>
  <c r="M667" i="14"/>
  <c r="U2444" i="14"/>
  <c r="M1588" i="14"/>
  <c r="M710" i="14"/>
  <c r="U2178" i="14"/>
  <c r="U1681" i="14"/>
  <c r="M913" i="14"/>
  <c r="U4200" i="14"/>
  <c r="U3873" i="14"/>
  <c r="U3465" i="14"/>
  <c r="M3037" i="14"/>
  <c r="M4096" i="14"/>
  <c r="M3688" i="14"/>
  <c r="M3276" i="14"/>
  <c r="M2834" i="14"/>
  <c r="M2398" i="14"/>
  <c r="U3933" i="14"/>
  <c r="M3099" i="14"/>
  <c r="U2665" i="14"/>
  <c r="U2213" i="14"/>
  <c r="U4042" i="14"/>
  <c r="U3224" i="14"/>
  <c r="M2772" i="14"/>
  <c r="U2214" i="14"/>
  <c r="M1016" i="14"/>
  <c r="U1990" i="14"/>
  <c r="U1531" i="14"/>
  <c r="M551" i="14"/>
  <c r="M2022" i="14"/>
  <c r="M1637" i="14"/>
  <c r="U1517" i="14"/>
  <c r="M4257" i="14"/>
  <c r="M3483" i="14"/>
  <c r="U3057" i="14"/>
  <c r="M2621" i="14"/>
  <c r="M4114" i="14"/>
  <c r="M3706" i="14"/>
  <c r="M2856" i="14"/>
  <c r="M2416" i="14"/>
  <c r="U3953" i="14"/>
  <c r="M3545" i="14"/>
  <c r="M3117" i="14"/>
  <c r="U2687" i="14"/>
  <c r="M2235" i="14"/>
  <c r="U4060" i="14"/>
  <c r="U3650" i="14"/>
  <c r="M3242" i="14"/>
  <c r="M2251" i="14"/>
  <c r="U1722" i="14"/>
  <c r="M1062" i="14"/>
  <c r="M2014" i="14"/>
  <c r="M1549" i="14"/>
  <c r="M633" i="14"/>
  <c r="U2376" i="14"/>
  <c r="M2046" i="14"/>
  <c r="U1576" i="14"/>
  <c r="U700" i="14"/>
  <c r="U2161" i="14"/>
  <c r="M1655" i="14"/>
  <c r="M877" i="14"/>
  <c r="U2900" i="14"/>
  <c r="U4162" i="14"/>
  <c r="U3937" i="14"/>
  <c r="M3529" i="14"/>
  <c r="M3101" i="14"/>
  <c r="U2671" i="14"/>
  <c r="M4192" i="14"/>
  <c r="M3340" i="14"/>
  <c r="U2898" i="14"/>
  <c r="M2466" i="14"/>
  <c r="M3591" i="14"/>
  <c r="M3163" i="14"/>
  <c r="U2729" i="14"/>
  <c r="M2281" i="14"/>
  <c r="U4106" i="14"/>
  <c r="U3696" i="14"/>
  <c r="M3288" i="14"/>
  <c r="M2844" i="14"/>
  <c r="M2406" i="14"/>
  <c r="M1196" i="14"/>
  <c r="U1599" i="14"/>
  <c r="M739" i="14"/>
  <c r="U2116" i="14"/>
  <c r="M1624" i="14"/>
  <c r="M774" i="14"/>
  <c r="M2185" i="14"/>
  <c r="U1685" i="14"/>
  <c r="U923" i="14"/>
  <c r="U3012" i="14"/>
  <c r="U4156" i="14"/>
  <c r="M3905" i="14"/>
  <c r="U3497" i="14"/>
  <c r="M3069" i="14"/>
  <c r="M4128" i="14"/>
  <c r="U3720" i="14"/>
  <c r="M3308" i="14"/>
  <c r="U2866" i="14"/>
  <c r="U2434" i="14"/>
  <c r="U3965" i="14"/>
  <c r="M3131" i="14"/>
  <c r="M2697" i="14"/>
  <c r="M2249" i="14"/>
  <c r="U4074" i="14"/>
  <c r="U3664" i="14"/>
  <c r="U3256" i="14"/>
  <c r="M2812" i="14"/>
  <c r="M2302" i="14"/>
  <c r="U1736" i="14"/>
  <c r="U1104" i="14"/>
  <c r="M1998" i="14"/>
  <c r="M1535" i="14"/>
  <c r="U557" i="14"/>
  <c r="U2296" i="14"/>
  <c r="U2030" i="14"/>
  <c r="M1558" i="14"/>
  <c r="U666" i="14"/>
  <c r="U2140" i="14"/>
  <c r="M1641" i="14"/>
  <c r="U867" i="14"/>
  <c r="U2836" i="14"/>
  <c r="M4167" i="14"/>
  <c r="M3849" i="14"/>
  <c r="M3437" i="14"/>
  <c r="M2571" i="14"/>
  <c r="M4072" i="14"/>
  <c r="M3660" i="14"/>
  <c r="M3250" i="14"/>
  <c r="M2810" i="14"/>
  <c r="U2372" i="14"/>
  <c r="M3911" i="14"/>
  <c r="M3499" i="14"/>
  <c r="M3073" i="14"/>
  <c r="U2641" i="14"/>
  <c r="M2181" i="14"/>
  <c r="M4016" i="14"/>
  <c r="U3608" i="14"/>
  <c r="U3196" i="14"/>
  <c r="M2746" i="14"/>
  <c r="M2176" i="14"/>
  <c r="M1680" i="14"/>
  <c r="M912" i="14"/>
  <c r="M1953" i="14"/>
  <c r="M1495" i="14"/>
  <c r="U361" i="14"/>
  <c r="U2120" i="14"/>
  <c r="M1989" i="14"/>
  <c r="M1518" i="14"/>
  <c r="U550" i="14"/>
  <c r="U2096" i="14"/>
  <c r="M1605" i="14"/>
  <c r="U763" i="14"/>
  <c r="U2668" i="14"/>
  <c r="M3305" i="14"/>
  <c r="M3995" i="14"/>
  <c r="M4073" i="14"/>
  <c r="M3661" i="14"/>
  <c r="M2811" i="14"/>
  <c r="U2373" i="14"/>
  <c r="U3884" i="14"/>
  <c r="U3474" i="14"/>
  <c r="M3050" i="14"/>
  <c r="M4135" i="14"/>
  <c r="U3723" i="14"/>
  <c r="M3313" i="14"/>
  <c r="M2873" i="14"/>
  <c r="U2437" i="14"/>
  <c r="U1987" i="14"/>
  <c r="L3832" i="14"/>
  <c r="M3832" i="14" s="1"/>
  <c r="U3420" i="14"/>
  <c r="M2994" i="14"/>
  <c r="U2550" i="14"/>
  <c r="M1920" i="14"/>
  <c r="U1456" i="14"/>
  <c r="U2364" i="14"/>
  <c r="M1747" i="14"/>
  <c r="U1113" i="14"/>
  <c r="U3332" i="14"/>
  <c r="U660" i="14"/>
  <c r="U1770" i="14"/>
  <c r="M1198" i="14"/>
  <c r="M1544" i="14"/>
  <c r="M1853" i="14"/>
  <c r="U3828" i="14"/>
  <c r="M4119" i="14"/>
  <c r="M3707" i="14"/>
  <c r="M3297" i="14"/>
  <c r="U2857" i="14"/>
  <c r="M2417" i="14"/>
  <c r="U3930" i="14"/>
  <c r="U3520" i="14"/>
  <c r="U3096" i="14"/>
  <c r="U2660" i="14"/>
  <c r="L3769" i="14"/>
  <c r="M3769" i="14" s="1"/>
  <c r="M3357" i="14"/>
  <c r="U2919" i="14"/>
  <c r="U2483" i="14"/>
  <c r="M2029" i="14"/>
  <c r="U3466" i="14"/>
  <c r="M2604" i="14"/>
  <c r="U1975" i="14"/>
  <c r="U1510" i="14"/>
  <c r="U520" i="14"/>
  <c r="U1797" i="14"/>
  <c r="M1229" i="14"/>
  <c r="U1244" i="14"/>
  <c r="U1268" i="14"/>
  <c r="M1873" i="14"/>
  <c r="U1409" i="14"/>
  <c r="U3924" i="14"/>
  <c r="U4260" i="14"/>
  <c r="M4087" i="14"/>
  <c r="M3675" i="14"/>
  <c r="U3265" i="14"/>
  <c r="M2825" i="14"/>
  <c r="M2385" i="14"/>
  <c r="M3898" i="14"/>
  <c r="M3064" i="14"/>
  <c r="M2624" i="14"/>
  <c r="U4145" i="14"/>
  <c r="U3737" i="14"/>
  <c r="M3325" i="14"/>
  <c r="U2451" i="14"/>
  <c r="M1997" i="14"/>
  <c r="M3842" i="14"/>
  <c r="M3434" i="14"/>
  <c r="U3008" i="14"/>
  <c r="M2568" i="14"/>
  <c r="U1930" i="14"/>
  <c r="M1478" i="14"/>
  <c r="M2290" i="14"/>
  <c r="M1733" i="14"/>
  <c r="U348" i="14"/>
  <c r="M1760" i="14"/>
  <c r="M1172" i="14"/>
  <c r="U1472" i="14"/>
  <c r="U1841" i="14"/>
  <c r="M1285" i="14"/>
  <c r="U3764" i="14"/>
  <c r="U4263" i="14"/>
  <c r="M4027" i="14"/>
  <c r="U3617" i="14"/>
  <c r="M3209" i="14"/>
  <c r="M2757" i="14"/>
  <c r="U3432" i="14"/>
  <c r="M3004" i="14"/>
  <c r="M2558" i="14"/>
  <c r="M4089" i="14"/>
  <c r="M3677" i="14"/>
  <c r="M2827" i="14"/>
  <c r="M2389" i="14"/>
  <c r="M4242" i="14"/>
  <c r="U3786" i="14"/>
  <c r="M2948" i="14"/>
  <c r="M2500" i="14"/>
  <c r="M1866" i="14"/>
  <c r="U2212" i="14"/>
  <c r="M1701" i="14"/>
  <c r="U1015" i="14"/>
  <c r="U3092" i="14"/>
  <c r="M2258" i="14"/>
  <c r="M1728" i="14"/>
  <c r="M1064" i="14"/>
  <c r="U1805" i="14"/>
  <c r="M1249" i="14"/>
  <c r="U3604" i="14"/>
  <c r="M3689" i="14"/>
  <c r="M4210" i="14"/>
  <c r="M3945" i="14"/>
  <c r="M3533" i="14"/>
  <c r="U2675" i="14"/>
  <c r="M3756" i="14"/>
  <c r="M3346" i="14"/>
  <c r="M2906" i="14"/>
  <c r="U2472" i="14"/>
  <c r="M4007" i="14"/>
  <c r="M3595" i="14"/>
  <c r="U3169" i="14"/>
  <c r="M2737" i="14"/>
  <c r="M2285" i="14"/>
  <c r="M4112" i="14"/>
  <c r="M3704" i="14"/>
  <c r="M3292" i="14"/>
  <c r="U2850" i="14"/>
  <c r="M2414" i="14"/>
  <c r="U1776" i="14"/>
  <c r="M1200" i="14"/>
  <c r="M2093" i="14"/>
  <c r="M1603" i="14"/>
  <c r="M745" i="14"/>
  <c r="U2652" i="14"/>
  <c r="U2125" i="14"/>
  <c r="U1630" i="14"/>
  <c r="U782" i="14"/>
  <c r="M1717" i="14"/>
  <c r="U3188" i="14"/>
  <c r="U4151" i="14"/>
  <c r="M3991" i="14"/>
  <c r="U3579" i="14"/>
  <c r="U3153" i="14"/>
  <c r="M2721" i="14"/>
  <c r="M2269" i="14"/>
  <c r="U3802" i="14"/>
  <c r="M2968" i="14"/>
  <c r="M2516" i="14"/>
  <c r="U3641" i="14"/>
  <c r="U3229" i="14"/>
  <c r="M2335" i="14"/>
  <c r="U4188" i="14"/>
  <c r="U3746" i="14"/>
  <c r="U3338" i="14"/>
  <c r="U2464" i="14"/>
  <c r="U1822" i="14"/>
  <c r="U1270" i="14"/>
  <c r="U2150" i="14"/>
  <c r="U1653" i="14"/>
  <c r="M873" i="14"/>
  <c r="U2884" i="14"/>
  <c r="M2186" i="14"/>
  <c r="M924" i="14"/>
  <c r="M1737" i="14"/>
  <c r="M1105" i="14"/>
  <c r="M4172" i="14"/>
  <c r="M3959" i="14"/>
  <c r="U3547" i="14"/>
  <c r="U3121" i="14"/>
  <c r="U2689" i="14"/>
  <c r="L4226" i="14"/>
  <c r="M4226" i="14" s="1"/>
  <c r="U3770" i="14"/>
  <c r="M2920" i="14"/>
  <c r="M2484" i="14"/>
  <c r="M4017" i="14"/>
  <c r="M3609" i="14"/>
  <c r="M3197" i="14"/>
  <c r="M2303" i="14"/>
  <c r="U4124" i="14"/>
  <c r="M3714" i="14"/>
  <c r="M3306" i="14"/>
  <c r="U2432" i="14"/>
  <c r="M1786" i="14"/>
  <c r="M1226" i="14"/>
  <c r="U2072" i="14"/>
  <c r="M1589" i="14"/>
  <c r="U735" i="14"/>
  <c r="U2580" i="14"/>
  <c r="M2108" i="14"/>
  <c r="M1620" i="14"/>
  <c r="U768" i="14"/>
  <c r="U2215" i="14"/>
  <c r="M1705" i="14"/>
  <c r="M1017" i="14"/>
  <c r="U4148" i="14"/>
  <c r="M3899" i="14"/>
  <c r="U3489" i="14"/>
  <c r="U3065" i="14"/>
  <c r="M2625" i="14"/>
  <c r="U4122" i="14"/>
  <c r="M3712" i="14"/>
  <c r="M3304" i="14"/>
  <c r="M2860" i="14"/>
  <c r="M2422" i="14"/>
  <c r="U3961" i="14"/>
  <c r="M3549" i="14"/>
  <c r="U2691" i="14"/>
  <c r="M2241" i="14"/>
  <c r="M4066" i="14"/>
  <c r="U3658" i="14"/>
  <c r="U2808" i="14"/>
  <c r="U1730" i="14"/>
  <c r="M2024" i="14"/>
  <c r="M1553" i="14"/>
  <c r="M2060" i="14"/>
  <c r="U1584" i="14"/>
  <c r="M704" i="14"/>
  <c r="M1661" i="14"/>
  <c r="M909" i="14"/>
  <c r="U2944" i="14"/>
  <c r="U3201" i="14"/>
  <c r="M2531" i="14"/>
  <c r="U4040" i="14"/>
  <c r="U3628" i="14"/>
  <c r="M3218" i="14"/>
  <c r="U2770" i="14"/>
  <c r="M3879" i="14"/>
  <c r="U3467" i="14"/>
  <c r="M3041" i="14"/>
  <c r="U2605" i="14"/>
  <c r="U2145" i="14"/>
  <c r="M3984" i="14"/>
  <c r="M3576" i="14"/>
  <c r="U3148" i="14"/>
  <c r="M2714" i="14"/>
  <c r="U2128" i="14"/>
  <c r="M1636" i="14"/>
  <c r="U784" i="14"/>
  <c r="M1455" i="14"/>
  <c r="U4100" i="14"/>
  <c r="U1948" i="14"/>
  <c r="U1940" i="14"/>
  <c r="U1486" i="14"/>
  <c r="U354" i="14"/>
  <c r="U2045" i="14"/>
  <c r="M1573" i="14"/>
  <c r="U699" i="14"/>
  <c r="U2492" i="14"/>
  <c r="M4178" i="14"/>
  <c r="U3863" i="14"/>
  <c r="M3451" i="14"/>
  <c r="M3025" i="14"/>
  <c r="U2585" i="14"/>
  <c r="M4082" i="14"/>
  <c r="M3674" i="14"/>
  <c r="U2824" i="14"/>
  <c r="M2384" i="14"/>
  <c r="U3921" i="14"/>
  <c r="M3513" i="14"/>
  <c r="M3085" i="14"/>
  <c r="U2199" i="14"/>
  <c r="U4028" i="14"/>
  <c r="M3618" i="14"/>
  <c r="M3210" i="14"/>
  <c r="M2197" i="14"/>
  <c r="U1690" i="14"/>
  <c r="M926" i="14"/>
  <c r="U1974" i="14"/>
  <c r="M1509" i="14"/>
  <c r="M517" i="14"/>
  <c r="U2192" i="14"/>
  <c r="U2006" i="14"/>
  <c r="U1540" i="14"/>
  <c r="M2075" i="14"/>
  <c r="U1593" i="14"/>
  <c r="M737" i="14"/>
  <c r="U2600" i="14"/>
  <c r="M4153" i="14"/>
  <c r="U3419" i="14"/>
  <c r="U2993" i="14"/>
  <c r="M2549" i="14"/>
  <c r="L4050" i="14"/>
  <c r="M4050" i="14" s="1"/>
  <c r="M3642" i="14"/>
  <c r="U3232" i="14"/>
  <c r="U2792" i="14"/>
  <c r="M2336" i="14"/>
  <c r="U3889" i="14"/>
  <c r="M3481" i="14"/>
  <c r="M3053" i="14"/>
  <c r="U2619" i="14"/>
  <c r="M2163" i="14"/>
  <c r="U3996" i="14"/>
  <c r="M3586" i="14"/>
  <c r="M3162" i="14"/>
  <c r="U2144" i="14"/>
  <c r="M1646" i="14"/>
  <c r="M870" i="14"/>
  <c r="U1905" i="14"/>
  <c r="M1441" i="14"/>
  <c r="M4036" i="14"/>
  <c r="U1876" i="14"/>
  <c r="M1476" i="14"/>
  <c r="U2312" i="14"/>
  <c r="U1557" i="14"/>
  <c r="M665" i="14"/>
  <c r="U2428" i="14"/>
  <c r="M4231" i="14"/>
  <c r="U3771" i="14"/>
  <c r="M3361" i="14"/>
  <c r="U2921" i="14"/>
  <c r="M2485" i="14"/>
  <c r="U3994" i="14"/>
  <c r="U3160" i="14"/>
  <c r="U2724" i="14"/>
  <c r="M2274" i="14"/>
  <c r="M3833" i="14"/>
  <c r="U3421" i="14"/>
  <c r="U2999" i="14"/>
  <c r="M2551" i="14"/>
  <c r="U2101" i="14"/>
  <c r="U3938" i="14"/>
  <c r="U3530" i="14"/>
  <c r="U2672" i="14"/>
  <c r="U2064" i="14"/>
  <c r="U1586" i="14"/>
  <c r="U708" i="14"/>
  <c r="U1865" i="14"/>
  <c r="M1349" i="14"/>
  <c r="U3876" i="14"/>
  <c r="U1436" i="14"/>
  <c r="M4370" i="14"/>
  <c r="U4330" i="14"/>
  <c r="M4381" i="14"/>
  <c r="M4304" i="14"/>
  <c r="M4386" i="14"/>
  <c r="M4329" i="14"/>
  <c r="M4379" i="14"/>
  <c r="U4346" i="14"/>
  <c r="M4299" i="14"/>
  <c r="U4312" i="14"/>
  <c r="M4333" i="14"/>
  <c r="U4362" i="14"/>
  <c r="U4372" i="14"/>
  <c r="M4347" i="14"/>
  <c r="M4359" i="14"/>
  <c r="M4327" i="14"/>
  <c r="M4345" i="14"/>
  <c r="M4301" i="14"/>
  <c r="M4338" i="14"/>
  <c r="U4353" i="14"/>
  <c r="U4298" i="14"/>
  <c r="M4313" i="14"/>
  <c r="M4363" i="14"/>
  <c r="M4311" i="14"/>
  <c r="U4300" i="14"/>
  <c r="M4352" i="14"/>
  <c r="U4344" i="14"/>
  <c r="M4295" i="14"/>
  <c r="M4369" i="14"/>
  <c r="M4331" i="14"/>
  <c r="M4336" i="14"/>
  <c r="U4337" i="14"/>
  <c r="U4305" i="14"/>
  <c r="U4376" i="14"/>
  <c r="L4290" i="14"/>
  <c r="M4290" i="14" s="1"/>
  <c r="U4380" i="14"/>
  <c r="M4409" i="14"/>
  <c r="M4418" i="14"/>
  <c r="M4417" i="14"/>
  <c r="M4413" i="14"/>
  <c r="M4356" i="14"/>
  <c r="M4361" i="14"/>
  <c r="U2649" i="14"/>
  <c r="U4340" i="14"/>
  <c r="U4296" i="14"/>
  <c r="U4385" i="14"/>
  <c r="U4316" i="14"/>
  <c r="U4154" i="14"/>
  <c r="U4364" i="14"/>
  <c r="U4348" i="14"/>
  <c r="U4314" i="14"/>
  <c r="U4332" i="14"/>
  <c r="U4378" i="14"/>
  <c r="M4393" i="14"/>
  <c r="U3377" i="14"/>
  <c r="U4393" i="14"/>
  <c r="M4378" i="14"/>
  <c r="M2649" i="14"/>
  <c r="U3997" i="14"/>
  <c r="M3997" i="14"/>
  <c r="M4332" i="14"/>
  <c r="M4296" i="14"/>
  <c r="M4154" i="14"/>
  <c r="M4340" i="14"/>
  <c r="M4364" i="14"/>
  <c r="M4316" i="14"/>
  <c r="M4416" i="14"/>
  <c r="U4416" i="14"/>
  <c r="K4351" i="14"/>
  <c r="V4351" i="14"/>
  <c r="K4390" i="14"/>
  <c r="V4390" i="14"/>
  <c r="K4303" i="14"/>
  <c r="V4303" i="14"/>
  <c r="K4310" i="14"/>
  <c r="V4310" i="14"/>
  <c r="M4385" i="14"/>
  <c r="M4394" i="14"/>
  <c r="U4394" i="14"/>
  <c r="M4410" i="14"/>
  <c r="U4410" i="14"/>
  <c r="M4397" i="14"/>
  <c r="U4397" i="14"/>
  <c r="M4411" i="14"/>
  <c r="U4411" i="14"/>
  <c r="M4404" i="14"/>
  <c r="U4404" i="14"/>
  <c r="M4396" i="14"/>
  <c r="U4396" i="14"/>
  <c r="M4392" i="14"/>
  <c r="U4392" i="14"/>
  <c r="M4407" i="14"/>
  <c r="U4407" i="14"/>
  <c r="K4399" i="14"/>
  <c r="V4399" i="14"/>
  <c r="M4348" i="14"/>
  <c r="K4335" i="14"/>
  <c r="V4335" i="14"/>
  <c r="M4314" i="14"/>
  <c r="M4401" i="14"/>
  <c r="U4401" i="14"/>
  <c r="M4196" i="14"/>
  <c r="M2951" i="14"/>
  <c r="M3194" i="14"/>
  <c r="M3425" i="14"/>
  <c r="M2342" i="14"/>
  <c r="M3594" i="14"/>
  <c r="M2038" i="14"/>
  <c r="M4152" i="14"/>
  <c r="L2133" i="14"/>
  <c r="M2133" i="14" s="1"/>
  <c r="M2698" i="14"/>
  <c r="M3914" i="14"/>
  <c r="M2644" i="14"/>
  <c r="M3748" i="14"/>
  <c r="M2498" i="14"/>
  <c r="M3211" i="14"/>
  <c r="M2126" i="14"/>
  <c r="M3826" i="14"/>
  <c r="M2548" i="14"/>
  <c r="M2713" i="14"/>
  <c r="M3515" i="14"/>
  <c r="M3682" i="14"/>
  <c r="M2396" i="14"/>
  <c r="M3901" i="14"/>
  <c r="M2629" i="14"/>
  <c r="M1601" i="14"/>
  <c r="M3885" i="14"/>
  <c r="M3537" i="14"/>
  <c r="M709" i="14"/>
  <c r="M2513" i="14"/>
  <c r="M3449" i="14"/>
  <c r="M766" i="14"/>
  <c r="M3528" i="14"/>
  <c r="M1832" i="14"/>
  <c r="M1453" i="14"/>
  <c r="M3409" i="14"/>
  <c r="M2658" i="14"/>
  <c r="L4280" i="14"/>
  <c r="M4280" i="14" s="1"/>
  <c r="M3484" i="14"/>
  <c r="M2817" i="14"/>
  <c r="M3729" i="14"/>
  <c r="M1462" i="14"/>
  <c r="M3912" i="14"/>
  <c r="M2897" i="14"/>
  <c r="M3956" i="14"/>
  <c r="M1850" i="14"/>
  <c r="M4272" i="14"/>
  <c r="M3514" i="14"/>
  <c r="M4219" i="14"/>
  <c r="M3458" i="14"/>
  <c r="M1353" i="14"/>
  <c r="M2266" i="14"/>
  <c r="M3929" i="14"/>
  <c r="M1981" i="14"/>
  <c r="M2124" i="14"/>
  <c r="M2217" i="14"/>
  <c r="M3228" i="14"/>
  <c r="M1534" i="14"/>
  <c r="M1461" i="14"/>
  <c r="M3716" i="14"/>
  <c r="M1344" i="14"/>
  <c r="M2499" i="14"/>
  <c r="M3403" i="14"/>
  <c r="M3988" i="14"/>
  <c r="M3673" i="14"/>
  <c r="M1346" i="14"/>
  <c r="M2538" i="14"/>
  <c r="M3668" i="14"/>
  <c r="M3848" i="14"/>
  <c r="M2833" i="14"/>
  <c r="M1683" i="14"/>
  <c r="M1706" i="14"/>
  <c r="M2950" i="14"/>
  <c r="M2904" i="14"/>
  <c r="M3444" i="14"/>
  <c r="M3691" i="14"/>
  <c r="M1848" i="14"/>
  <c r="M1780" i="14"/>
  <c r="M1609" i="14"/>
  <c r="M2481" i="14"/>
  <c r="M3417" i="14"/>
  <c r="M2095" i="14"/>
  <c r="M702" i="14"/>
  <c r="L4283" i="14"/>
  <c r="M3978" i="14"/>
  <c r="M2004" i="14"/>
  <c r="M3112" i="14"/>
  <c r="M1287" i="14"/>
  <c r="M3532" i="14"/>
  <c r="M3480" i="14"/>
  <c r="M1278" i="14"/>
  <c r="M1418" i="14"/>
  <c r="M1796" i="14"/>
  <c r="M2984" i="14"/>
  <c r="M4088" i="14"/>
  <c r="M3368" i="14"/>
  <c r="M2214" i="14"/>
  <c r="M1990" i="14"/>
  <c r="M4060" i="14"/>
  <c r="M2161" i="14"/>
  <c r="M4162" i="14"/>
  <c r="M2729" i="14"/>
  <c r="M3696" i="14"/>
  <c r="M2434" i="14"/>
  <c r="M2030" i="14"/>
  <c r="M2437" i="14"/>
  <c r="M3420" i="14"/>
  <c r="M1456" i="14"/>
  <c r="M3930" i="14"/>
  <c r="M2660" i="14"/>
  <c r="M3265" i="14"/>
  <c r="M1930" i="14"/>
  <c r="M3432" i="14"/>
  <c r="M2675" i="14"/>
  <c r="M3641" i="14"/>
  <c r="M1270" i="14"/>
  <c r="M4124" i="14"/>
  <c r="M2072" i="14"/>
  <c r="M2215" i="14"/>
  <c r="M4148" i="14"/>
  <c r="M1730" i="14"/>
  <c r="M3201" i="14"/>
  <c r="M2605" i="14"/>
  <c r="M1486" i="14"/>
  <c r="M2585" i="14"/>
  <c r="M2199" i="14"/>
  <c r="M2993" i="14"/>
  <c r="M3889" i="14"/>
  <c r="M1557" i="14"/>
  <c r="M3160" i="14"/>
  <c r="M3421" i="14"/>
  <c r="M2101" i="14"/>
  <c r="M1586" i="14"/>
  <c r="M4344" i="14"/>
  <c r="M4305" i="14"/>
  <c r="M3441" i="14"/>
  <c r="M2690" i="14"/>
  <c r="M1914" i="14"/>
  <c r="M3897" i="14"/>
  <c r="M1972" i="14"/>
  <c r="M4026" i="14"/>
  <c r="M3970" i="14"/>
  <c r="M2704" i="14"/>
  <c r="L4282" i="14"/>
  <c r="M4282" i="14" s="1"/>
  <c r="M3784" i="14"/>
  <c r="M2761" i="14"/>
  <c r="M3728" i="14"/>
  <c r="M1745" i="14"/>
  <c r="M3418" i="14"/>
  <c r="M3362" i="14"/>
  <c r="M1852" i="14"/>
  <c r="M1177" i="14"/>
  <c r="M3225" i="14"/>
  <c r="M4184" i="14"/>
  <c r="M2110" i="14"/>
  <c r="M2280" i="14"/>
  <c r="M1754" i="14"/>
  <c r="M3192" i="14"/>
  <c r="M4108" i="14"/>
  <c r="M1570" i="14"/>
  <c r="M512" i="14"/>
  <c r="M4018" i="14"/>
  <c r="M2752" i="14"/>
  <c r="M1889" i="14"/>
  <c r="M2021" i="14"/>
  <c r="M3048" i="14"/>
  <c r="M3928" i="14"/>
  <c r="M1851" i="14"/>
  <c r="M1874" i="14"/>
  <c r="M2381" i="14"/>
  <c r="M3713" i="14"/>
  <c r="M3460" i="14"/>
  <c r="M3546" i="14"/>
  <c r="M2008" i="14"/>
  <c r="M1269" i="14"/>
  <c r="M1445" i="14"/>
  <c r="M1502" i="14"/>
  <c r="M3892" i="14"/>
  <c r="M2528" i="14"/>
  <c r="M4244" i="14"/>
  <c r="M3272" i="14"/>
  <c r="M2205" i="14"/>
  <c r="M2013" i="14"/>
  <c r="M3469" i="14"/>
  <c r="M4104" i="14"/>
  <c r="M4203" i="14"/>
  <c r="M3226" i="14"/>
  <c r="M3906" i="14"/>
  <c r="M2640" i="14"/>
  <c r="M3373" i="14"/>
  <c r="M2682" i="14"/>
  <c r="M2036" i="14"/>
  <c r="M2405" i="14"/>
  <c r="M3755" i="14"/>
  <c r="M3026" i="14"/>
  <c r="M3000" i="14"/>
  <c r="M3880" i="14"/>
  <c r="M917" i="14"/>
  <c r="M2170" i="14"/>
  <c r="M3161" i="14"/>
  <c r="M2522" i="14"/>
  <c r="M3754" i="14"/>
  <c r="M4256" i="14"/>
  <c r="M4009" i="14"/>
  <c r="M2681" i="14"/>
  <c r="M3601" i="14"/>
  <c r="M1638" i="14"/>
  <c r="M3817" i="14"/>
  <c r="M3767" i="14"/>
  <c r="M2720" i="14"/>
  <c r="M3932" i="14"/>
  <c r="M1857" i="14"/>
  <c r="M1882" i="14"/>
  <c r="M1976" i="14"/>
  <c r="M1936" i="14"/>
  <c r="M3369" i="14"/>
  <c r="M3946" i="14"/>
  <c r="M2676" i="14"/>
  <c r="M4199" i="14"/>
  <c r="M2333" i="14"/>
  <c r="M1955" i="14"/>
  <c r="M3796" i="14"/>
  <c r="M2594" i="14"/>
  <c r="M1019" i="14"/>
  <c r="M1070" i="14"/>
  <c r="M3636" i="14"/>
  <c r="M2222" i="14"/>
  <c r="M4157" i="14"/>
  <c r="M2661" i="14"/>
  <c r="M2273" i="14"/>
  <c r="M2178" i="14"/>
  <c r="M4200" i="14"/>
  <c r="M3933" i="14"/>
  <c r="M2665" i="14"/>
  <c r="M3650" i="14"/>
  <c r="M3937" i="14"/>
  <c r="M1685" i="14"/>
  <c r="M4156" i="14"/>
  <c r="M3720" i="14"/>
  <c r="M3965" i="14"/>
  <c r="M3664" i="14"/>
  <c r="M3608" i="14"/>
  <c r="M550" i="14"/>
  <c r="M2373" i="14"/>
  <c r="M3723" i="14"/>
  <c r="M2364" i="14"/>
  <c r="M3466" i="14"/>
  <c r="M1975" i="14"/>
  <c r="M1797" i="14"/>
  <c r="M3737" i="14"/>
  <c r="M2451" i="14"/>
  <c r="M3764" i="14"/>
  <c r="M3617" i="14"/>
  <c r="M3604" i="14"/>
  <c r="M2850" i="14"/>
  <c r="M2125" i="14"/>
  <c r="M3229" i="14"/>
  <c r="M4188" i="14"/>
  <c r="M2150" i="14"/>
  <c r="M3547" i="14"/>
  <c r="M3770" i="14"/>
  <c r="M2432" i="14"/>
  <c r="M4122" i="14"/>
  <c r="M2808" i="14"/>
  <c r="M1584" i="14"/>
  <c r="M2770" i="14"/>
  <c r="M2145" i="14"/>
  <c r="M3148" i="14"/>
  <c r="M784" i="14"/>
  <c r="M4100" i="14"/>
  <c r="M2824" i="14"/>
  <c r="M4028" i="14"/>
  <c r="M1974" i="14"/>
  <c r="M2006" i="14"/>
  <c r="M1593" i="14"/>
  <c r="M3771" i="14"/>
  <c r="M2724" i="14"/>
  <c r="M3938" i="14"/>
  <c r="M2672" i="14"/>
  <c r="M3876" i="14"/>
  <c r="M1436" i="14"/>
  <c r="M4330" i="14"/>
  <c r="M4346" i="14"/>
  <c r="M4372" i="14"/>
  <c r="M4353" i="14"/>
  <c r="M4376" i="14"/>
  <c r="M3017" i="14"/>
  <c r="M2094" i="14"/>
  <c r="M1454" i="14"/>
  <c r="M4161" i="14"/>
  <c r="M3240" i="14"/>
  <c r="M1508" i="14"/>
  <c r="M2310" i="14"/>
  <c r="L3562" i="14"/>
  <c r="M2111" i="14"/>
  <c r="M1864" i="14"/>
  <c r="M1493" i="14"/>
  <c r="M3372" i="14"/>
  <c r="M2317" i="14"/>
  <c r="M4013" i="14"/>
  <c r="M2745" i="14"/>
  <c r="M2512" i="14"/>
  <c r="M1621" i="14"/>
  <c r="M1731" i="14"/>
  <c r="M2657" i="14"/>
  <c r="M1170" i="14"/>
  <c r="M3433" i="14"/>
  <c r="M908" i="14"/>
  <c r="M2412" i="14"/>
  <c r="M2677" i="14"/>
  <c r="M629" i="14"/>
  <c r="M773" i="14"/>
  <c r="M2066" i="14"/>
  <c r="M1551" i="14"/>
  <c r="M3882" i="14"/>
  <c r="M548" i="14"/>
  <c r="L4284" i="14"/>
  <c r="M4284" i="14" s="1"/>
  <c r="M2264" i="14"/>
  <c r="M2441" i="14"/>
  <c r="M3890" i="14"/>
  <c r="M2620" i="14"/>
  <c r="M3074" i="14"/>
  <c r="M3751" i="14"/>
  <c r="M3793" i="14"/>
  <c r="M1542" i="14"/>
  <c r="M3684" i="14"/>
  <c r="M3353" i="14"/>
  <c r="M3233" i="14"/>
  <c r="M4113" i="14"/>
  <c r="M3402" i="14"/>
  <c r="M1277" i="14"/>
  <c r="M4090" i="14"/>
  <c r="M2828" i="14"/>
  <c r="M1548" i="14"/>
  <c r="M2040" i="14"/>
  <c r="M2076" i="14"/>
  <c r="M3105" i="14"/>
  <c r="M2221" i="14"/>
  <c r="M3821" i="14"/>
  <c r="M2537" i="14"/>
  <c r="M3473" i="14"/>
  <c r="M2722" i="14"/>
  <c r="M2242" i="14"/>
  <c r="M1939" i="14"/>
  <c r="M3596" i="14"/>
  <c r="M3009" i="14"/>
  <c r="M2081" i="14"/>
  <c r="M3138" i="14"/>
  <c r="M2529" i="14"/>
  <c r="M3652" i="14"/>
  <c r="M4180" i="14"/>
  <c r="M3916" i="14"/>
  <c r="M1779" i="14"/>
  <c r="M1806" i="14"/>
  <c r="M3834" i="14"/>
  <c r="M1697" i="14"/>
  <c r="M4251" i="14"/>
  <c r="M3468" i="14"/>
  <c r="M2433" i="14"/>
  <c r="M3416" i="14"/>
  <c r="M4033" i="14"/>
  <c r="M3687" i="14"/>
  <c r="M3788" i="14"/>
  <c r="M2450" i="14"/>
  <c r="M1662" i="14"/>
  <c r="M2200" i="14"/>
  <c r="M3442" i="14"/>
  <c r="M2841" i="14"/>
  <c r="M1880" i="14"/>
  <c r="M3659" i="14"/>
  <c r="M2179" i="14"/>
  <c r="M4120" i="14"/>
  <c r="M3578" i="14"/>
  <c r="M2057" i="14"/>
  <c r="M4160" i="14"/>
  <c r="M2593" i="14"/>
  <c r="M4289" i="14"/>
  <c r="M2074" i="14"/>
  <c r="M2674" i="14"/>
  <c r="M2614" i="14"/>
  <c r="M1921" i="14"/>
  <c r="M2584" i="14"/>
  <c r="M3804" i="14"/>
  <c r="M3850" i="14"/>
  <c r="M3404" i="14"/>
  <c r="M3266" i="14"/>
  <c r="M2490" i="14"/>
  <c r="M3722" i="14"/>
  <c r="M2436" i="14"/>
  <c r="M1713" i="14"/>
  <c r="M1681" i="14"/>
  <c r="M2213" i="14"/>
  <c r="M3224" i="14"/>
  <c r="M3057" i="14"/>
  <c r="M3953" i="14"/>
  <c r="M1722" i="14"/>
  <c r="M2898" i="14"/>
  <c r="M4106" i="14"/>
  <c r="M3256" i="14"/>
  <c r="M557" i="14"/>
  <c r="M3196" i="14"/>
  <c r="M2096" i="14"/>
  <c r="M3884" i="14"/>
  <c r="M2550" i="14"/>
  <c r="M1770" i="14"/>
  <c r="M2857" i="14"/>
  <c r="M2483" i="14"/>
  <c r="M1510" i="14"/>
  <c r="M1409" i="14"/>
  <c r="M3786" i="14"/>
  <c r="M2212" i="14"/>
  <c r="M3169" i="14"/>
  <c r="M1630" i="14"/>
  <c r="M3579" i="14"/>
  <c r="M3802" i="14"/>
  <c r="M3746" i="14"/>
  <c r="M2464" i="14"/>
  <c r="M1653" i="14"/>
  <c r="M3121" i="14"/>
  <c r="M3489" i="14"/>
  <c r="M3658" i="14"/>
  <c r="M4040" i="14"/>
  <c r="M3467" i="14"/>
  <c r="M2045" i="14"/>
  <c r="M2792" i="14"/>
  <c r="M1905" i="14"/>
  <c r="M3530" i="14"/>
  <c r="M4298" i="14"/>
  <c r="M4300" i="14"/>
  <c r="M1547" i="14"/>
  <c r="L4002" i="14"/>
  <c r="M4002" i="14" s="1"/>
  <c r="M2736" i="14"/>
  <c r="M1533" i="14"/>
  <c r="M1556" i="14"/>
  <c r="M1348" i="14"/>
  <c r="M2930" i="14"/>
  <c r="M4138" i="14"/>
  <c r="M1248" i="14"/>
  <c r="M2301" i="14"/>
  <c r="M3257" i="14"/>
  <c r="M2196" i="14"/>
  <c r="M2233" i="14"/>
  <c r="M4209" i="14"/>
  <c r="M4043" i="14"/>
  <c r="M2888" i="14"/>
  <c r="M4092" i="14"/>
  <c r="M2366" i="14"/>
  <c r="M4155" i="14"/>
  <c r="M3234" i="14"/>
  <c r="M1477" i="14"/>
  <c r="L3857" i="14"/>
  <c r="M3857" i="14" s="1"/>
  <c r="M1610" i="14"/>
  <c r="M4004" i="14"/>
  <c r="M637" i="14"/>
  <c r="M3936" i="14"/>
  <c r="M3812" i="14"/>
  <c r="M3948" i="14"/>
  <c r="M1785" i="14"/>
  <c r="M3482" i="14"/>
  <c r="M3426" i="14"/>
  <c r="M1778" i="14"/>
  <c r="M2642" i="14"/>
  <c r="M3339" i="14"/>
  <c r="M2578" i="14"/>
  <c r="M2656" i="14"/>
  <c r="M1761" i="14"/>
  <c r="M1438" i="14"/>
  <c r="M1168" i="14"/>
  <c r="M3732" i="14"/>
  <c r="M2390" i="14"/>
  <c r="M3626" i="14"/>
  <c r="M3724" i="14"/>
  <c r="M2326" i="14"/>
  <c r="M4204" i="14"/>
  <c r="M2673" i="14"/>
  <c r="M1501" i="14"/>
  <c r="M767" i="14"/>
  <c r="M4044" i="14"/>
  <c r="M3992" i="14"/>
  <c r="M2889" i="14"/>
  <c r="M3552" i="14"/>
  <c r="M1550" i="14"/>
  <c r="M3170" i="14"/>
  <c r="M2569" i="14"/>
  <c r="M3506" i="14"/>
  <c r="M1954" i="14"/>
  <c r="M1250" i="14"/>
  <c r="M3370" i="14"/>
  <c r="M4065" i="14"/>
  <c r="M3719" i="14"/>
  <c r="M1452" i="14"/>
  <c r="M2216" i="14"/>
  <c r="M3378" i="14"/>
  <c r="M4039" i="14"/>
  <c r="M789" i="14"/>
  <c r="M2129" i="14"/>
  <c r="M2771" i="14"/>
  <c r="M3540" i="14"/>
  <c r="M3249" i="14"/>
  <c r="M2482" i="14"/>
  <c r="M1645" i="14"/>
  <c r="M4208" i="14"/>
  <c r="M3543" i="14"/>
  <c r="M3708" i="14"/>
  <c r="M2913" i="14"/>
  <c r="M521" i="14"/>
  <c r="M3463" i="14"/>
  <c r="M2141" i="14"/>
  <c r="M3144" i="14"/>
  <c r="M3592" i="14"/>
  <c r="M2557" i="14"/>
  <c r="M3944" i="14"/>
  <c r="M3227" i="14"/>
  <c r="M1061" i="14"/>
  <c r="M4264" i="14"/>
  <c r="M1938" i="14"/>
  <c r="M3464" i="14"/>
  <c r="M1813" i="14"/>
  <c r="M3655" i="14"/>
  <c r="M3569" i="14"/>
  <c r="M2826" i="14"/>
  <c r="M2056" i="14"/>
  <c r="M2092" i="14"/>
  <c r="M2198" i="14"/>
  <c r="M3129" i="14"/>
  <c r="M3776" i="14"/>
  <c r="M3690" i="14"/>
  <c r="M3465" i="14"/>
  <c r="M4042" i="14"/>
  <c r="M1517" i="14"/>
  <c r="M700" i="14"/>
  <c r="M3497" i="14"/>
  <c r="M2866" i="14"/>
  <c r="M1104" i="14"/>
  <c r="M2140" i="14"/>
  <c r="M3474" i="14"/>
  <c r="M1113" i="14"/>
  <c r="M3096" i="14"/>
  <c r="M1268" i="14"/>
  <c r="M3924" i="14"/>
  <c r="M1841" i="14"/>
  <c r="M4263" i="14"/>
  <c r="M1805" i="14"/>
  <c r="M1776" i="14"/>
  <c r="M782" i="14"/>
  <c r="M4151" i="14"/>
  <c r="M3153" i="14"/>
  <c r="M3338" i="14"/>
  <c r="M1822" i="14"/>
  <c r="M2689" i="14"/>
  <c r="M768" i="14"/>
  <c r="M3065" i="14"/>
  <c r="M3961" i="14"/>
  <c r="M2691" i="14"/>
  <c r="M3628" i="14"/>
  <c r="M2128" i="14"/>
  <c r="M1940" i="14"/>
  <c r="M3921" i="14"/>
  <c r="M1690" i="14"/>
  <c r="M3419" i="14"/>
  <c r="M2144" i="14"/>
  <c r="M2921" i="14"/>
  <c r="M1865" i="14"/>
  <c r="M4312" i="14"/>
  <c r="M4362" i="14"/>
  <c r="M4337" i="14"/>
  <c r="M4380" i="14"/>
  <c r="M4391" i="14"/>
  <c r="K4319" i="14"/>
  <c r="L4400" i="14"/>
  <c r="M4189" i="14"/>
  <c r="K4415" i="14"/>
  <c r="K4406" i="14"/>
  <c r="L2663" i="14"/>
  <c r="K4374" i="14"/>
  <c r="K4342" i="14"/>
  <c r="K4294" i="14"/>
  <c r="K4383" i="14"/>
  <c r="K4326" i="14"/>
  <c r="K4358" i="14"/>
  <c r="M4249" i="14"/>
  <c r="K4278" i="14"/>
  <c r="M362" i="14"/>
  <c r="M352" i="14"/>
  <c r="M357" i="14"/>
  <c r="M360" i="14"/>
  <c r="M353" i="14"/>
  <c r="M348" i="14"/>
  <c r="M355" i="14"/>
  <c r="M354" i="14"/>
  <c r="M351" i="14"/>
  <c r="M361" i="14"/>
  <c r="M1635" i="14"/>
  <c r="K1634" i="14"/>
  <c r="M2716" i="14"/>
  <c r="K3926" i="14"/>
  <c r="M3383" i="14"/>
  <c r="K3382" i="14"/>
  <c r="M2012" i="14"/>
  <c r="K2011" i="14"/>
  <c r="M2360" i="14"/>
  <c r="M3063" i="14"/>
  <c r="K3062" i="14"/>
  <c r="M3136" i="14"/>
  <c r="K3135" i="14"/>
  <c r="M2172" i="14"/>
  <c r="L3560" i="14"/>
  <c r="L4029" i="14"/>
  <c r="M4029" i="14" s="1"/>
  <c r="K4246" i="14"/>
  <c r="M2379" i="14"/>
  <c r="K2378" i="14"/>
  <c r="L3772" i="14"/>
  <c r="M3575" i="14"/>
  <c r="K3574" i="14"/>
  <c r="M3328" i="14"/>
  <c r="K3327" i="14"/>
  <c r="M2832" i="14"/>
  <c r="K2831" i="14"/>
  <c r="M1608" i="14"/>
  <c r="K1607" i="14"/>
  <c r="M3076" i="14"/>
  <c r="M2567" i="14"/>
  <c r="K2566" i="14"/>
  <c r="M2088" i="14"/>
  <c r="M2636" i="14"/>
  <c r="M2732" i="14"/>
  <c r="M2816" i="14"/>
  <c r="K2815" i="14"/>
  <c r="K3935" i="14"/>
  <c r="K3471" i="14"/>
  <c r="K2090" i="14"/>
  <c r="M2091" i="14"/>
  <c r="M1632" i="14"/>
  <c r="M1932" i="14"/>
  <c r="M4137" i="14"/>
  <c r="M1192" i="14"/>
  <c r="M1756" i="14"/>
  <c r="L4020" i="14"/>
  <c r="M4020" i="14" s="1"/>
  <c r="M2556" i="14"/>
  <c r="K2555" i="14"/>
  <c r="M1863" i="14"/>
  <c r="K1862" i="14"/>
  <c r="M2839" i="14"/>
  <c r="K2838" i="14"/>
  <c r="M356" i="14"/>
  <c r="M1012" i="14"/>
  <c r="K3734" i="14"/>
  <c r="K3702" i="14"/>
  <c r="L4269" i="14"/>
  <c r="M4269" i="14" s="1"/>
  <c r="M2855" i="14"/>
  <c r="K2854" i="14"/>
  <c r="M1432" i="14"/>
  <c r="L4034" i="14"/>
  <c r="L4031" i="14" s="1"/>
  <c r="M2764" i="14"/>
  <c r="K3974" i="14"/>
  <c r="M2476" i="14"/>
  <c r="K2403" i="14"/>
  <c r="M2404" i="14"/>
  <c r="M2156" i="14"/>
  <c r="K555" i="14"/>
  <c r="M556" i="14"/>
  <c r="M2159" i="14"/>
  <c r="K2158" i="14"/>
  <c r="M2967" i="14"/>
  <c r="K2966" i="14"/>
  <c r="M636" i="14"/>
  <c r="K635" i="14"/>
  <c r="K3846" i="14"/>
  <c r="K3951" i="14"/>
  <c r="M2068" i="14"/>
  <c r="L4193" i="14"/>
  <c r="M2256" i="14"/>
  <c r="K2255" i="14"/>
  <c r="M1448" i="14"/>
  <c r="M1475" i="14"/>
  <c r="K1474" i="14"/>
  <c r="K4214" i="14"/>
  <c r="M2019" i="14"/>
  <c r="K2018" i="14"/>
  <c r="M1724" i="14"/>
  <c r="K4022" i="14"/>
  <c r="L4081" i="14"/>
  <c r="L4079" i="14" s="1"/>
  <c r="K2246" i="14"/>
  <c r="M2247" i="14"/>
  <c r="M1056" i="14"/>
  <c r="K3718" i="14"/>
  <c r="M1743" i="14"/>
  <c r="K1742" i="14"/>
  <c r="M544" i="14"/>
  <c r="M1267" i="14"/>
  <c r="K1266" i="14"/>
  <c r="K3686" i="14"/>
  <c r="M1872" i="14"/>
  <c r="K1871" i="14"/>
  <c r="M2996" i="14"/>
  <c r="M864" i="14"/>
  <c r="L4248" i="14"/>
  <c r="M4248" i="14" s="1"/>
  <c r="K4143" i="14"/>
  <c r="K3807" i="14"/>
  <c r="M3344" i="14"/>
  <c r="K3343" i="14"/>
  <c r="M907" i="14"/>
  <c r="K906" i="14"/>
  <c r="M2916" i="14"/>
  <c r="M696" i="14"/>
  <c r="L3852" i="14"/>
  <c r="L3846" i="14" s="1"/>
  <c r="M3191" i="14"/>
  <c r="K3190" i="14"/>
  <c r="M2852" i="14"/>
  <c r="M1759" i="14"/>
  <c r="K1758" i="14"/>
  <c r="M2299" i="14"/>
  <c r="K2298" i="14"/>
  <c r="L2132" i="14"/>
  <c r="K2131" i="14"/>
  <c r="M788" i="14"/>
  <c r="K787" i="14"/>
  <c r="K3567" i="14"/>
  <c r="M3568" i="14"/>
  <c r="M1916" i="14"/>
  <c r="M2495" i="14"/>
  <c r="K2494" i="14"/>
  <c r="K1591" i="14"/>
  <c r="M1592" i="14"/>
  <c r="M2032" i="14"/>
  <c r="L4129" i="14"/>
  <c r="L4127" i="14" s="1"/>
  <c r="K3887" i="14"/>
  <c r="M1811" i="14"/>
  <c r="K1810" i="14"/>
  <c r="M1404" i="14"/>
  <c r="M4268" i="14"/>
  <c r="M1340" i="14"/>
  <c r="M1831" i="14"/>
  <c r="K1830" i="14"/>
  <c r="K3903" i="14"/>
  <c r="M3428" i="14"/>
  <c r="M904" i="14"/>
  <c r="M2801" i="14"/>
  <c r="M4218" i="14"/>
  <c r="K1839" i="14"/>
  <c r="M1840" i="14"/>
  <c r="M1679" i="14"/>
  <c r="K1678" i="14"/>
  <c r="M2964" i="14"/>
  <c r="M2211" i="14"/>
  <c r="K2210" i="14"/>
  <c r="M2263" i="14"/>
  <c r="K2262" i="14"/>
  <c r="M3044" i="14"/>
  <c r="M1232" i="14"/>
  <c r="K1231" i="14"/>
  <c r="M3993" i="14"/>
  <c r="M3280" i="14"/>
  <c r="K3279" i="14"/>
  <c r="M2035" i="14"/>
  <c r="K2034" i="14"/>
  <c r="M2444" i="14"/>
  <c r="M2980" i="14"/>
  <c r="M3296" i="14"/>
  <c r="K3295" i="14"/>
  <c r="M2800" i="14"/>
  <c r="K2799" i="14"/>
  <c r="K1575" i="14"/>
  <c r="M1576" i="14"/>
  <c r="K4191" i="14"/>
  <c r="K3695" i="14"/>
  <c r="M3015" i="14"/>
  <c r="K3014" i="14"/>
  <c r="M3255" i="14"/>
  <c r="K3254" i="14"/>
  <c r="K3519" i="14"/>
  <c r="M3520" i="14"/>
  <c r="M3040" i="14"/>
  <c r="K3039" i="14"/>
  <c r="M520" i="14"/>
  <c r="K519" i="14"/>
  <c r="L3556" i="14"/>
  <c r="M1472" i="14"/>
  <c r="M3840" i="14"/>
  <c r="K3839" i="14"/>
  <c r="M3376" i="14"/>
  <c r="K3375" i="14"/>
  <c r="M1015" i="14"/>
  <c r="K1014" i="14"/>
  <c r="M1164" i="14"/>
  <c r="K4111" i="14"/>
  <c r="M1059" i="14"/>
  <c r="K1058" i="14"/>
  <c r="K3990" i="14"/>
  <c r="L4049" i="14"/>
  <c r="M3360" i="14"/>
  <c r="K3359" i="14"/>
  <c r="M2864" i="14"/>
  <c r="K2863" i="14"/>
  <c r="M3127" i="14"/>
  <c r="K3126" i="14"/>
  <c r="M2272" i="14"/>
  <c r="K2271" i="14"/>
  <c r="M663" i="14"/>
  <c r="K662" i="14"/>
  <c r="M2168" i="14"/>
  <c r="K2167" i="14"/>
  <c r="K3878" i="14"/>
  <c r="M2492" i="14"/>
  <c r="K3862" i="14"/>
  <c r="M3831" i="14"/>
  <c r="K3830" i="14"/>
  <c r="K3231" i="14"/>
  <c r="M3232" i="14"/>
  <c r="M2728" i="14"/>
  <c r="K2727" i="14"/>
  <c r="M1928" i="14"/>
  <c r="K1927" i="14"/>
  <c r="M2028" i="14"/>
  <c r="K2027" i="14"/>
  <c r="M3994" i="14"/>
  <c r="M2999" i="14"/>
  <c r="K2998" i="14"/>
  <c r="M2064" i="14"/>
  <c r="K2063" i="14"/>
  <c r="M708" i="14"/>
  <c r="K707" i="14"/>
  <c r="M3316" i="14"/>
  <c r="M3412" i="14"/>
  <c r="M2956" i="14"/>
  <c r="K2955" i="14"/>
  <c r="M2456" i="14"/>
  <c r="K2455" i="14"/>
  <c r="M2719" i="14"/>
  <c r="K2718" i="14"/>
  <c r="M2195" i="14"/>
  <c r="K2194" i="14"/>
  <c r="M3200" i="14"/>
  <c r="K3199" i="14"/>
  <c r="M2696" i="14"/>
  <c r="K2695" i="14"/>
  <c r="M2276" i="14"/>
  <c r="M1247" i="14"/>
  <c r="K1246" i="14"/>
  <c r="M1828" i="14"/>
  <c r="M4217" i="14"/>
  <c r="M3319" i="14"/>
  <c r="K3318" i="14"/>
  <c r="M3524" i="14"/>
  <c r="M1256" i="14"/>
  <c r="K1255" i="14"/>
  <c r="M2447" i="14"/>
  <c r="K2446" i="14"/>
  <c r="L3836" i="14"/>
  <c r="M732" i="14"/>
  <c r="M1580" i="14"/>
  <c r="K3855" i="14"/>
  <c r="M4267" i="14"/>
  <c r="L3922" i="14"/>
  <c r="L3919" i="14" s="1"/>
  <c r="M1784" i="14"/>
  <c r="K1783" i="14"/>
  <c r="K4054" i="14"/>
  <c r="K3679" i="14"/>
  <c r="M3216" i="14"/>
  <c r="K3215" i="14"/>
  <c r="M547" i="14"/>
  <c r="K546" i="14"/>
  <c r="M2228" i="14"/>
  <c r="M3079" i="14"/>
  <c r="K3078" i="14"/>
  <c r="M4136" i="14"/>
  <c r="M1651" i="14"/>
  <c r="K1650" i="14"/>
  <c r="K4047" i="14"/>
  <c r="M1960" i="14"/>
  <c r="K1959" i="14"/>
  <c r="M1984" i="14"/>
  <c r="M1583" i="14"/>
  <c r="K1582" i="14"/>
  <c r="K3510" i="14"/>
  <c r="M3511" i="14"/>
  <c r="K4182" i="14"/>
  <c r="M1856" i="14"/>
  <c r="K1855" i="14"/>
  <c r="M2947" i="14"/>
  <c r="K2946" i="14"/>
  <c r="M1879" i="14"/>
  <c r="K1878" i="14"/>
  <c r="M1772" i="14"/>
  <c r="K3919" i="14"/>
  <c r="M3287" i="14"/>
  <c r="K3286" i="14"/>
  <c r="M1100" i="14"/>
  <c r="M1435" i="14"/>
  <c r="K1434" i="14"/>
  <c r="M3060" i="14"/>
  <c r="M1912" i="14"/>
  <c r="K1911" i="14"/>
  <c r="M3300" i="14"/>
  <c r="M3508" i="14"/>
  <c r="M2804" i="14"/>
  <c r="K4102" i="14"/>
  <c r="M1951" i="14"/>
  <c r="K1950" i="14"/>
  <c r="M2536" i="14"/>
  <c r="K2535" i="14"/>
  <c r="L3768" i="14"/>
  <c r="K4207" i="14"/>
  <c r="K3542" i="14"/>
  <c r="M2684" i="14"/>
  <c r="M3152" i="14"/>
  <c r="K3151" i="14"/>
  <c r="M2664" i="14"/>
  <c r="K2663" i="14"/>
  <c r="M1676" i="14"/>
  <c r="M2104" i="14"/>
  <c r="M2527" i="14"/>
  <c r="K2526" i="14"/>
  <c r="K3462" i="14"/>
  <c r="M1628" i="14"/>
  <c r="K1627" i="14"/>
  <c r="M1847" i="14"/>
  <c r="K1846" i="14"/>
  <c r="M1596" i="14"/>
  <c r="K3782" i="14"/>
  <c r="M3620" i="14"/>
  <c r="K4198" i="14"/>
  <c r="M3024" i="14"/>
  <c r="K3023" i="14"/>
  <c r="M2520" i="14"/>
  <c r="K2519" i="14"/>
  <c r="M2340" i="14"/>
  <c r="K2339" i="14"/>
  <c r="M3440" i="14"/>
  <c r="K3439" i="14"/>
  <c r="M4250" i="14"/>
  <c r="K3871" i="14"/>
  <c r="K2219" i="14"/>
  <c r="M2220" i="14"/>
  <c r="M1711" i="14"/>
  <c r="K1710" i="14"/>
  <c r="M2735" i="14"/>
  <c r="K2734" i="14"/>
  <c r="M2175" i="14"/>
  <c r="K2174" i="14"/>
  <c r="M744" i="14"/>
  <c r="K743" i="14"/>
  <c r="M3140" i="14"/>
  <c r="M3159" i="14"/>
  <c r="K3158" i="14"/>
  <c r="M1176" i="14"/>
  <c r="K1175" i="14"/>
  <c r="K4095" i="14"/>
  <c r="M2687" i="14"/>
  <c r="K2686" i="14"/>
  <c r="K2670" i="14"/>
  <c r="M2671" i="14"/>
  <c r="M923" i="14"/>
  <c r="K922" i="14"/>
  <c r="K4127" i="14"/>
  <c r="K3663" i="14"/>
  <c r="K4166" i="14"/>
  <c r="U4166" i="14" s="1"/>
  <c r="M2372" i="14"/>
  <c r="K2371" i="14"/>
  <c r="M2120" i="14"/>
  <c r="M763" i="14"/>
  <c r="M2668" i="14"/>
  <c r="M2612" i="14"/>
  <c r="K2611" i="14"/>
  <c r="L4265" i="14"/>
  <c r="M4265" i="14" s="1"/>
  <c r="M2919" i="14"/>
  <c r="K2918" i="14"/>
  <c r="M3488" i="14"/>
  <c r="K3487" i="14"/>
  <c r="M3008" i="14"/>
  <c r="K3007" i="14"/>
  <c r="M3268" i="14"/>
  <c r="K4262" i="14"/>
  <c r="M2315" i="14"/>
  <c r="K2314" i="14"/>
  <c r="K3270" i="14"/>
  <c r="M3271" i="14"/>
  <c r="M1352" i="14"/>
  <c r="K1351" i="14"/>
  <c r="M3111" i="14"/>
  <c r="K3110" i="14"/>
  <c r="K4006" i="14"/>
  <c r="K4150" i="14"/>
  <c r="M2884" i="14"/>
  <c r="K2750" i="14"/>
  <c r="M2751" i="14"/>
  <c r="M735" i="14"/>
  <c r="K734" i="14"/>
  <c r="M1068" i="14"/>
  <c r="K1067" i="14"/>
  <c r="K698" i="14"/>
  <c r="M699" i="14"/>
  <c r="M2192" i="14"/>
  <c r="M1876" i="14"/>
  <c r="M2312" i="14"/>
  <c r="K4230" i="14"/>
  <c r="K4175" i="14"/>
  <c r="U4175" i="14" s="1"/>
  <c r="M1844" i="14"/>
  <c r="M1808" i="14"/>
  <c r="K1546" i="14"/>
  <c r="M3168" i="14"/>
  <c r="K3167" i="14"/>
  <c r="M3031" i="14"/>
  <c r="K3030" i="14"/>
  <c r="K771" i="14"/>
  <c r="M772" i="14"/>
  <c r="L3908" i="14"/>
  <c r="L3907" i="14" s="1"/>
  <c r="M4232" i="14"/>
  <c r="M3252" i="14"/>
  <c r="L3985" i="14"/>
  <c r="L3983" i="14" s="1"/>
  <c r="L3841" i="14"/>
  <c r="L3839" i="14" s="1"/>
  <c r="M2583" i="14"/>
  <c r="K2582" i="14"/>
  <c r="M1460" i="14"/>
  <c r="K1459" i="14"/>
  <c r="K2430" i="14"/>
  <c r="M2431" i="14"/>
  <c r="M3367" i="14"/>
  <c r="K3366" i="14"/>
  <c r="M1516" i="14"/>
  <c r="K1515" i="14"/>
  <c r="M3351" i="14"/>
  <c r="K3350" i="14"/>
  <c r="M2712" i="14"/>
  <c r="K2711" i="14"/>
  <c r="K2679" i="14"/>
  <c r="M2680" i="14"/>
  <c r="M2003" i="14"/>
  <c r="K2002" i="14"/>
  <c r="M1903" i="14"/>
  <c r="K1902" i="14"/>
  <c r="K3670" i="14"/>
  <c r="M3364" i="14"/>
  <c r="K1203" i="14"/>
  <c r="M1204" i="14"/>
  <c r="K3750" i="14"/>
  <c r="M3120" i="14"/>
  <c r="K3119" i="14"/>
  <c r="M2628" i="14"/>
  <c r="K2627" i="14"/>
  <c r="M1488" i="14"/>
  <c r="M1792" i="14"/>
  <c r="M3088" i="14"/>
  <c r="K3087" i="14"/>
  <c r="K2478" i="14"/>
  <c r="M2479" i="14"/>
  <c r="M2592" i="14"/>
  <c r="K2591" i="14"/>
  <c r="M776" i="14"/>
  <c r="M1616" i="14"/>
  <c r="K3455" i="14"/>
  <c r="M3236" i="14"/>
  <c r="M3095" i="14"/>
  <c r="K3094" i="14"/>
  <c r="M2204" i="14"/>
  <c r="K2203" i="14"/>
  <c r="M932" i="14"/>
  <c r="K931" i="14"/>
  <c r="M2440" i="14"/>
  <c r="K2439" i="14"/>
  <c r="M2148" i="14"/>
  <c r="K2147" i="14"/>
  <c r="M2868" i="14"/>
  <c r="K3942" i="14"/>
  <c r="M1619" i="14"/>
  <c r="K1618" i="14"/>
  <c r="M3415" i="14"/>
  <c r="K3414" i="14"/>
  <c r="K2775" i="14"/>
  <c r="M2776" i="14"/>
  <c r="L4132" i="14"/>
  <c r="M2524" i="14"/>
  <c r="K3551" i="14"/>
  <c r="M1528" i="14"/>
  <c r="M1968" i="14"/>
  <c r="M2288" i="14"/>
  <c r="K2287" i="14"/>
  <c r="M1971" i="14"/>
  <c r="K1970" i="14"/>
  <c r="M1507" i="14"/>
  <c r="K1506" i="14"/>
  <c r="K3814" i="14"/>
  <c r="M2648" i="14"/>
  <c r="K2647" i="14"/>
  <c r="M3424" i="14"/>
  <c r="K3423" i="14"/>
  <c r="M2928" i="14"/>
  <c r="K2927" i="14"/>
  <c r="M2807" i="14"/>
  <c r="K2806" i="14"/>
  <c r="L4252" i="14"/>
  <c r="M4252" i="14" s="1"/>
  <c r="M2767" i="14"/>
  <c r="K2766" i="14"/>
  <c r="M1223" i="14"/>
  <c r="K1222" i="14"/>
  <c r="M3143" i="14"/>
  <c r="K3142" i="14"/>
  <c r="K2503" i="14"/>
  <c r="M2504" i="14"/>
  <c r="K4038" i="14"/>
  <c r="M2820" i="14"/>
  <c r="M3348" i="14"/>
  <c r="M2279" i="14"/>
  <c r="K2278" i="14"/>
  <c r="M3239" i="14"/>
  <c r="K3238" i="14"/>
  <c r="M1276" i="14"/>
  <c r="K1275" i="14"/>
  <c r="K3222" i="14"/>
  <c r="M3223" i="14"/>
  <c r="M3156" i="14"/>
  <c r="M920" i="14"/>
  <c r="M1795" i="14"/>
  <c r="K1794" i="14"/>
  <c r="K4223" i="14"/>
  <c r="M508" i="14"/>
  <c r="M3380" i="14"/>
  <c r="M2100" i="14"/>
  <c r="K2099" i="14"/>
  <c r="K1726" i="14"/>
  <c r="M1727" i="14"/>
  <c r="M2547" i="14"/>
  <c r="K2546" i="14"/>
  <c r="M1416" i="14"/>
  <c r="K1415" i="14"/>
  <c r="L3809" i="14"/>
  <c r="M3809" i="14" s="1"/>
  <c r="L3624" i="14"/>
  <c r="L3622" i="14" s="1"/>
  <c r="M1451" i="14"/>
  <c r="K1450" i="14"/>
  <c r="K3999" i="14"/>
  <c r="M4116" i="14"/>
  <c r="M2411" i="14"/>
  <c r="K2410" i="14"/>
  <c r="M3204" i="14"/>
  <c r="M1112" i="14"/>
  <c r="K1111" i="14"/>
  <c r="K2394" i="14"/>
  <c r="M2395" i="14"/>
  <c r="M3335" i="14"/>
  <c r="K3334" i="14"/>
  <c r="M1484" i="14"/>
  <c r="K1483" i="14"/>
  <c r="M1195" i="14"/>
  <c r="K1194" i="14"/>
  <c r="K3407" i="14"/>
  <c r="M3408" i="14"/>
  <c r="M3124" i="14"/>
  <c r="L4001" i="14"/>
  <c r="K3759" i="14"/>
  <c r="M760" i="14"/>
  <c r="M3476" i="14"/>
  <c r="K3775" i="14"/>
  <c r="M779" i="14"/>
  <c r="M2748" i="14"/>
  <c r="K2070" i="14"/>
  <c r="M2071" i="14"/>
  <c r="K3631" i="14"/>
  <c r="M3632" i="14"/>
  <c r="M1531" i="14"/>
  <c r="K1530" i="14"/>
  <c r="M2376" i="14"/>
  <c r="K3590" i="14"/>
  <c r="M1768" i="14"/>
  <c r="K1767" i="14"/>
  <c r="M1599" i="14"/>
  <c r="M2116" i="14"/>
  <c r="K2115" i="14"/>
  <c r="M2296" i="14"/>
  <c r="M2836" i="14"/>
  <c r="L2641" i="14"/>
  <c r="K4015" i="14"/>
  <c r="M3828" i="14"/>
  <c r="K4118" i="14"/>
  <c r="L4225" i="14"/>
  <c r="M1820" i="14"/>
  <c r="K1819" i="14"/>
  <c r="M4260" i="14"/>
  <c r="M2887" i="14"/>
  <c r="K2886" i="14"/>
  <c r="M1103" i="14"/>
  <c r="K1102" i="14"/>
  <c r="M3092" i="14"/>
  <c r="M4216" i="14"/>
  <c r="M2652" i="14"/>
  <c r="M3392" i="14"/>
  <c r="K3391" i="14"/>
  <c r="M2896" i="14"/>
  <c r="K2895" i="14"/>
  <c r="M1688" i="14"/>
  <c r="K1687" i="14"/>
  <c r="M3284" i="14"/>
  <c r="K3958" i="14"/>
  <c r="K3711" i="14"/>
  <c r="M2324" i="14"/>
  <c r="K2323" i="14"/>
  <c r="M3264" i="14"/>
  <c r="K3263" i="14"/>
  <c r="M2760" i="14"/>
  <c r="K2759" i="14"/>
  <c r="M1540" i="14"/>
  <c r="K1539" i="14"/>
  <c r="M2619" i="14"/>
  <c r="K2618" i="14"/>
  <c r="M3584" i="14"/>
  <c r="K3583" i="14"/>
  <c r="M1888" i="14"/>
  <c r="K1887" i="14"/>
  <c r="M2744" i="14"/>
  <c r="K2743" i="14"/>
  <c r="M2244" i="14"/>
  <c r="K3615" i="14"/>
  <c r="M1740" i="14"/>
  <c r="K3967" i="14"/>
  <c r="K3503" i="14"/>
  <c r="M664" i="14"/>
  <c r="K3727" i="14"/>
  <c r="K3606" i="14"/>
  <c r="K3494" i="14"/>
  <c r="K1659" i="14"/>
  <c r="M1660" i="14"/>
  <c r="M2231" i="14"/>
  <c r="K2230" i="14"/>
  <c r="M4233" i="14"/>
  <c r="M2123" i="14"/>
  <c r="K2122" i="14"/>
  <c r="K3647" i="14"/>
  <c r="K350" i="14"/>
  <c r="M2460" i="14"/>
  <c r="K1555" i="14"/>
  <c r="M1283" i="14"/>
  <c r="K1282" i="14"/>
  <c r="K4239" i="14"/>
  <c r="M4247" i="14"/>
  <c r="M624" i="14"/>
  <c r="M2331" i="14"/>
  <c r="K2330" i="14"/>
  <c r="M4266" i="14"/>
  <c r="M1944" i="14"/>
  <c r="K1943" i="14"/>
  <c r="K671" i="14"/>
  <c r="M672" i="14"/>
  <c r="K3446" i="14"/>
  <c r="M2016" i="14"/>
  <c r="M2564" i="14"/>
  <c r="M2392" i="14"/>
  <c r="M876" i="14"/>
  <c r="K875" i="14"/>
  <c r="M2052" i="14"/>
  <c r="K1406" i="14"/>
  <c r="M1407" i="14"/>
  <c r="K2462" i="14"/>
  <c r="M2463" i="14"/>
  <c r="K3398" i="14"/>
  <c r="M1564" i="14"/>
  <c r="M2000" i="14"/>
  <c r="M2703" i="14"/>
  <c r="K2702" i="14"/>
  <c r="M3623" i="14"/>
  <c r="K3622" i="14"/>
  <c r="M1804" i="14"/>
  <c r="K1803" i="14"/>
  <c r="M2788" i="14"/>
  <c r="M2992" i="14"/>
  <c r="K2991" i="14"/>
  <c r="M2488" i="14"/>
  <c r="K2487" i="14"/>
  <c r="M3028" i="14"/>
  <c r="M1024" i="14"/>
  <c r="K1023" i="14"/>
  <c r="L3633" i="14"/>
  <c r="L3631" i="14" s="1"/>
  <c r="K1643" i="14"/>
  <c r="M1644" i="14"/>
  <c r="M4146" i="14"/>
  <c r="M2544" i="14"/>
  <c r="K4063" i="14"/>
  <c r="K3599" i="14"/>
  <c r="M1980" i="14"/>
  <c r="K1979" i="14"/>
  <c r="M3479" i="14"/>
  <c r="K3478" i="14"/>
  <c r="K2847" i="14"/>
  <c r="M2848" i="14"/>
  <c r="M2328" i="14"/>
  <c r="K2183" i="14"/>
  <c r="M2184" i="14"/>
  <c r="L4212" i="14"/>
  <c r="M4212" i="14" s="1"/>
  <c r="M1500" i="14"/>
  <c r="K1499" i="14"/>
  <c r="K3798" i="14"/>
  <c r="M2983" i="14"/>
  <c r="K2982" i="14"/>
  <c r="M1280" i="14"/>
  <c r="M2044" i="14"/>
  <c r="K2043" i="14"/>
  <c r="K1934" i="14"/>
  <c r="M1935" i="14"/>
  <c r="M2055" i="14"/>
  <c r="K2054" i="14"/>
  <c r="M3056" i="14"/>
  <c r="K3055" i="14"/>
  <c r="M2388" i="14"/>
  <c r="K2387" i="14"/>
  <c r="M2136" i="14"/>
  <c r="K3894" i="14"/>
  <c r="K1774" i="14"/>
  <c r="M1775" i="14"/>
  <c r="M1692" i="14"/>
  <c r="M2511" i="14"/>
  <c r="K2510" i="14"/>
  <c r="M1292" i="14"/>
  <c r="K1291" i="14"/>
  <c r="K4271" i="14"/>
  <c r="M3396" i="14"/>
  <c r="M2976" i="14"/>
  <c r="K2975" i="14"/>
  <c r="M1752" i="14"/>
  <c r="K1751" i="14"/>
  <c r="K4079" i="14"/>
  <c r="M3047" i="14"/>
  <c r="K3046" i="14"/>
  <c r="M1996" i="14"/>
  <c r="K1995" i="14"/>
  <c r="M2107" i="14"/>
  <c r="K2106" i="14"/>
  <c r="M2700" i="14"/>
  <c r="M2139" i="14"/>
  <c r="K2138" i="14"/>
  <c r="K359" i="14"/>
  <c r="M3072" i="14"/>
  <c r="K3071" i="14"/>
  <c r="K4287" i="14"/>
  <c r="M2903" i="14"/>
  <c r="K2902" i="14"/>
  <c r="M1900" i="14"/>
  <c r="L4276" i="14"/>
  <c r="M2823" i="14"/>
  <c r="K2822" i="14"/>
  <c r="M1720" i="14"/>
  <c r="K1719" i="14"/>
  <c r="M3572" i="14"/>
  <c r="K3823" i="14"/>
  <c r="M1264" i="14"/>
  <c r="K3791" i="14"/>
  <c r="L2134" i="14"/>
  <c r="M1167" i="14"/>
  <c r="K1166" i="14"/>
  <c r="K4255" i="14"/>
  <c r="M2576" i="14"/>
  <c r="K2575" i="14"/>
  <c r="L3800" i="14"/>
  <c r="L3798" i="14" s="1"/>
  <c r="K4070" i="14"/>
  <c r="K915" i="14"/>
  <c r="M916" i="14"/>
  <c r="M2912" i="14"/>
  <c r="K2911" i="14"/>
  <c r="M2420" i="14"/>
  <c r="K2419" i="14"/>
  <c r="M3220" i="14"/>
  <c r="K3766" i="14"/>
  <c r="K4159" i="14"/>
  <c r="K4031" i="14"/>
  <c r="M2208" i="14"/>
  <c r="M3431" i="14"/>
  <c r="K3430" i="14"/>
  <c r="M3536" i="14"/>
  <c r="K3535" i="14"/>
  <c r="M2871" i="14"/>
  <c r="K2870" i="14"/>
  <c r="M1860" i="14"/>
  <c r="K3638" i="14"/>
  <c r="M1504" i="14"/>
  <c r="M2363" i="14"/>
  <c r="K2362" i="14"/>
  <c r="M3303" i="14"/>
  <c r="K3302" i="14"/>
  <c r="M1444" i="14"/>
  <c r="K1443" i="14"/>
  <c r="M1220" i="14"/>
  <c r="K3654" i="14"/>
  <c r="M2880" i="14"/>
  <c r="K2879" i="14"/>
  <c r="M2508" i="14"/>
  <c r="M1695" i="14"/>
  <c r="K1694" i="14"/>
  <c r="M3207" i="14"/>
  <c r="K3206" i="14"/>
  <c r="M3312" i="14"/>
  <c r="K3311" i="14"/>
  <c r="K3743" i="14"/>
  <c r="M1567" i="14"/>
  <c r="K1566" i="14"/>
  <c r="M2603" i="14"/>
  <c r="K2602" i="14"/>
  <c r="M3527" i="14"/>
  <c r="K3526" i="14"/>
  <c r="M1704" i="14"/>
  <c r="K1703" i="14"/>
  <c r="M2260" i="14"/>
  <c r="M2900" i="14"/>
  <c r="M2080" i="14"/>
  <c r="K2079" i="14"/>
  <c r="M2616" i="14"/>
  <c r="M3012" i="14"/>
  <c r="K2638" i="14"/>
  <c r="M2639" i="14"/>
  <c r="K3558" i="14"/>
  <c r="M3559" i="14"/>
  <c r="L4074" i="14"/>
  <c r="L4070" i="14" s="1"/>
  <c r="M1736" i="14"/>
  <c r="K1735" i="14"/>
  <c r="M867" i="14"/>
  <c r="K866" i="14"/>
  <c r="K3910" i="14"/>
  <c r="K4134" i="14"/>
  <c r="M1987" i="14"/>
  <c r="K1986" i="14"/>
  <c r="M3332" i="14"/>
  <c r="M1343" i="14"/>
  <c r="K1342" i="14"/>
  <c r="M1244" i="14"/>
  <c r="M1648" i="14"/>
  <c r="K4086" i="14"/>
  <c r="M4145" i="14"/>
  <c r="M2472" i="14"/>
  <c r="K2471" i="14"/>
  <c r="M2240" i="14"/>
  <c r="K2239" i="14"/>
  <c r="M3188" i="14"/>
  <c r="M2791" i="14"/>
  <c r="K2790" i="14"/>
  <c r="M2308" i="14"/>
  <c r="K2307" i="14"/>
  <c r="M2580" i="14"/>
  <c r="M3108" i="14"/>
  <c r="M3248" i="14"/>
  <c r="K3247" i="14"/>
  <c r="M2408" i="14"/>
  <c r="M2944" i="14"/>
  <c r="K3983" i="14"/>
  <c r="M1919" i="14"/>
  <c r="K1918" i="14"/>
  <c r="M1948" i="14"/>
  <c r="M2655" i="14"/>
  <c r="K2654" i="14"/>
  <c r="M2600" i="14"/>
  <c r="M2428" i="14"/>
  <c r="M3104" i="14"/>
  <c r="K3103" i="14"/>
  <c r="M1708" i="14"/>
  <c r="L5350" i="14" l="1"/>
  <c r="L5535" i="14"/>
  <c r="L5526" i="14"/>
  <c r="M5526" i="14"/>
  <c r="M3757" i="14"/>
  <c r="M3750" i="14" s="1"/>
  <c r="M4279" i="14"/>
  <c r="L5519" i="14"/>
  <c r="L5510" i="14"/>
  <c r="M5520" i="14"/>
  <c r="M5519" i="14" s="1"/>
  <c r="M5536" i="14"/>
  <c r="M5535" i="14" s="1"/>
  <c r="M5511" i="14"/>
  <c r="M5510" i="14" s="1"/>
  <c r="M5463" i="14"/>
  <c r="M5462" i="14" s="1"/>
  <c r="M5430" i="14"/>
  <c r="M5504" i="14"/>
  <c r="M5503" i="14" s="1"/>
  <c r="M5415" i="14"/>
  <c r="M5414" i="14" s="1"/>
  <c r="M5456" i="14"/>
  <c r="M5455" i="14" s="1"/>
  <c r="M5412" i="14"/>
  <c r="M5447" i="14"/>
  <c r="M5446" i="14" s="1"/>
  <c r="M5392" i="14"/>
  <c r="M5391" i="14" s="1"/>
  <c r="M5383" i="14"/>
  <c r="M5382" i="14" s="1"/>
  <c r="M5399" i="14"/>
  <c r="M5398" i="14" s="1"/>
  <c r="M5376" i="14"/>
  <c r="M5375" i="14" s="1"/>
  <c r="L5366" i="14"/>
  <c r="M5367" i="14"/>
  <c r="M5366" i="14" s="1"/>
  <c r="M5344" i="14"/>
  <c r="L5334" i="14"/>
  <c r="M5334" i="14"/>
  <c r="M5332" i="14"/>
  <c r="L5295" i="14"/>
  <c r="M4283" i="14"/>
  <c r="M3562" i="14"/>
  <c r="M3556" i="14"/>
  <c r="M5312" i="14"/>
  <c r="M5311" i="14" s="1"/>
  <c r="L4662" i="14"/>
  <c r="L5174" i="14"/>
  <c r="L5183" i="14"/>
  <c r="M4671" i="14"/>
  <c r="L5286" i="14"/>
  <c r="M5183" i="14"/>
  <c r="M5287" i="14"/>
  <c r="M5286" i="14" s="1"/>
  <c r="M5296" i="14"/>
  <c r="M5295" i="14" s="1"/>
  <c r="M5270" i="14"/>
  <c r="L5270" i="14"/>
  <c r="M5174" i="14"/>
  <c r="L5247" i="14"/>
  <c r="M5264" i="14"/>
  <c r="M5263" i="14" s="1"/>
  <c r="M5222" i="14"/>
  <c r="L5222" i="14"/>
  <c r="M5191" i="14"/>
  <c r="M5190" i="14" s="1"/>
  <c r="M5232" i="14"/>
  <c r="M5231" i="14" s="1"/>
  <c r="M5215" i="14"/>
  <c r="L5215" i="14"/>
  <c r="M5200" i="14"/>
  <c r="M5199" i="14" s="1"/>
  <c r="L5206" i="14"/>
  <c r="M5238" i="14"/>
  <c r="M5206" i="14"/>
  <c r="M5142" i="14"/>
  <c r="L5238" i="14"/>
  <c r="M5254" i="14"/>
  <c r="M5248" i="14"/>
  <c r="M5247" i="14" s="1"/>
  <c r="L5142" i="14"/>
  <c r="L5254" i="14"/>
  <c r="M5188" i="14"/>
  <c r="M5153" i="14"/>
  <c r="M5151" i="14" s="1"/>
  <c r="M5140" i="14"/>
  <c r="L5158" i="14"/>
  <c r="L5167" i="14"/>
  <c r="M5168" i="14"/>
  <c r="M5167" i="14" s="1"/>
  <c r="M5172" i="14"/>
  <c r="M5159" i="14"/>
  <c r="M5158" i="14" s="1"/>
  <c r="M5135" i="14"/>
  <c r="L5126" i="14"/>
  <c r="M5126" i="14"/>
  <c r="L5135" i="14"/>
  <c r="M5119" i="14"/>
  <c r="L5119" i="14"/>
  <c r="L5110" i="14"/>
  <c r="M5110" i="14"/>
  <c r="M4660" i="14"/>
  <c r="M5087" i="14"/>
  <c r="M5046" i="14"/>
  <c r="M5078" i="14"/>
  <c r="M5062" i="14"/>
  <c r="M4944" i="14"/>
  <c r="M4943" i="14" s="1"/>
  <c r="M4966" i="14"/>
  <c r="M5014" i="14"/>
  <c r="L4975" i="14"/>
  <c r="L4982" i="14"/>
  <c r="M4977" i="14"/>
  <c r="M4975" i="14" s="1"/>
  <c r="M4982" i="14"/>
  <c r="L4966" i="14"/>
  <c r="M4992" i="14"/>
  <c r="M4991" i="14" s="1"/>
  <c r="L4991" i="14"/>
  <c r="M4980" i="14"/>
  <c r="M4927" i="14"/>
  <c r="L4950" i="14"/>
  <c r="M4950" i="14"/>
  <c r="M4918" i="14"/>
  <c r="M4948" i="14"/>
  <c r="L4918" i="14"/>
  <c r="M4959" i="14"/>
  <c r="L4927" i="14"/>
  <c r="L4959" i="14"/>
  <c r="M4870" i="14"/>
  <c r="M4879" i="14"/>
  <c r="L4879" i="14"/>
  <c r="L4870" i="14"/>
  <c r="M4791" i="14"/>
  <c r="M4790" i="14" s="1"/>
  <c r="M4822" i="14"/>
  <c r="M4276" i="14"/>
  <c r="U4598" i="14"/>
  <c r="U4607" i="14"/>
  <c r="L4607" i="14"/>
  <c r="M4833" i="14"/>
  <c r="M4831" i="14" s="1"/>
  <c r="L4831" i="14"/>
  <c r="L4822" i="14"/>
  <c r="M4800" i="14"/>
  <c r="M4799" i="14" s="1"/>
  <c r="M4806" i="14"/>
  <c r="M4758" i="14"/>
  <c r="M4774" i="14"/>
  <c r="M4662" i="14"/>
  <c r="M4614" i="14"/>
  <c r="M4607" i="14"/>
  <c r="M4566" i="14"/>
  <c r="M4550" i="14"/>
  <c r="M4559" i="14"/>
  <c r="M4438" i="14"/>
  <c r="M4431" i="14"/>
  <c r="M4422" i="14"/>
  <c r="L4438" i="14"/>
  <c r="M4449" i="14"/>
  <c r="M4447" i="14" s="1"/>
  <c r="M1943" i="14"/>
  <c r="M3599" i="14"/>
  <c r="L4255" i="14"/>
  <c r="M3087" i="14"/>
  <c r="M1291" i="14"/>
  <c r="M3759" i="14"/>
  <c r="L4191" i="14"/>
  <c r="M3791" i="14"/>
  <c r="L4223" i="14"/>
  <c r="M2455" i="14"/>
  <c r="L3775" i="14"/>
  <c r="L3830" i="14"/>
  <c r="M3823" i="14"/>
  <c r="L4239" i="14"/>
  <c r="M4367" i="14"/>
  <c r="M2503" i="14"/>
  <c r="L4038" i="14"/>
  <c r="L3750" i="14"/>
  <c r="M3078" i="14"/>
  <c r="M2955" i="14"/>
  <c r="M3663" i="14"/>
  <c r="M1255" i="14"/>
  <c r="M1231" i="14"/>
  <c r="M3503" i="14"/>
  <c r="M3951" i="14"/>
  <c r="M3327" i="14"/>
  <c r="M4095" i="14"/>
  <c r="M2870" i="14"/>
  <c r="M3647" i="14"/>
  <c r="M3311" i="14"/>
  <c r="M875" i="14"/>
  <c r="L4047" i="14"/>
  <c r="M2419" i="14"/>
  <c r="M3295" i="14"/>
  <c r="M3679" i="14"/>
  <c r="M4351" i="14"/>
  <c r="M4166" i="14"/>
  <c r="M3039" i="14"/>
  <c r="M4015" i="14"/>
  <c r="M1735" i="14"/>
  <c r="M2911" i="14"/>
  <c r="M1627" i="14"/>
  <c r="M3343" i="14"/>
  <c r="M2255" i="14"/>
  <c r="M3855" i="14"/>
  <c r="M3695" i="14"/>
  <c r="M931" i="14"/>
  <c r="M2339" i="14"/>
  <c r="M2471" i="14"/>
  <c r="M2183" i="14"/>
  <c r="M3279" i="14"/>
  <c r="M2975" i="14"/>
  <c r="M922" i="14"/>
  <c r="L3759" i="14"/>
  <c r="M3807" i="14"/>
  <c r="M2879" i="14"/>
  <c r="M1023" i="14"/>
  <c r="M2115" i="14"/>
  <c r="M2647" i="14"/>
  <c r="M3215" i="14"/>
  <c r="M3382" i="14"/>
  <c r="M3734" i="14"/>
  <c r="M3606" i="14"/>
  <c r="M3391" i="14"/>
  <c r="M1222" i="14"/>
  <c r="M1203" i="14"/>
  <c r="M1959" i="14"/>
  <c r="M3615" i="14"/>
  <c r="M3638" i="14"/>
  <c r="M4335" i="14"/>
  <c r="M3551" i="14"/>
  <c r="M3967" i="14"/>
  <c r="M4175" i="14"/>
  <c r="M3302" i="14"/>
  <c r="M1194" i="14"/>
  <c r="M2927" i="14"/>
  <c r="M2775" i="14"/>
  <c r="M2711" i="14"/>
  <c r="M3286" i="14"/>
  <c r="M3519" i="14"/>
  <c r="M4111" i="14"/>
  <c r="M3903" i="14"/>
  <c r="M3455" i="14"/>
  <c r="M2287" i="14"/>
  <c r="M3030" i="14"/>
  <c r="M2966" i="14"/>
  <c r="M3494" i="14"/>
  <c r="M3670" i="14"/>
  <c r="M4383" i="14"/>
  <c r="M4303" i="14"/>
  <c r="M3446" i="14"/>
  <c r="M4415" i="14"/>
  <c r="M866" i="14"/>
  <c r="M1995" i="14"/>
  <c r="M3583" i="14"/>
  <c r="M734" i="14"/>
  <c r="M743" i="14"/>
  <c r="M3318" i="14"/>
  <c r="M4255" i="14"/>
  <c r="M2246" i="14"/>
  <c r="M1575" i="14"/>
  <c r="M3702" i="14"/>
  <c r="M4063" i="14"/>
  <c r="M3743" i="14"/>
  <c r="M3711" i="14"/>
  <c r="M4054" i="14"/>
  <c r="L3375" i="14"/>
  <c r="M3377" i="14"/>
  <c r="M3375" i="14" s="1"/>
  <c r="M3958" i="14"/>
  <c r="M1415" i="14"/>
  <c r="U3103" i="14"/>
  <c r="U2654" i="14"/>
  <c r="U1918" i="14"/>
  <c r="U3983" i="14"/>
  <c r="U3247" i="14"/>
  <c r="U2307" i="14"/>
  <c r="U2790" i="14"/>
  <c r="U2239" i="14"/>
  <c r="U2471" i="14"/>
  <c r="U4086" i="14"/>
  <c r="U1342" i="14"/>
  <c r="U1986" i="14"/>
  <c r="U4134" i="14"/>
  <c r="U3910" i="14"/>
  <c r="U866" i="14"/>
  <c r="U1735" i="14"/>
  <c r="U3558" i="14"/>
  <c r="U2638" i="14"/>
  <c r="U2079" i="14"/>
  <c r="U1703" i="14"/>
  <c r="U3526" i="14"/>
  <c r="U2602" i="14"/>
  <c r="U1566" i="14"/>
  <c r="U3743" i="14"/>
  <c r="U3206" i="14"/>
  <c r="U1694" i="14"/>
  <c r="U2879" i="14"/>
  <c r="U3654" i="14"/>
  <c r="U1443" i="14"/>
  <c r="U2362" i="14"/>
  <c r="U3638" i="14"/>
  <c r="U2870" i="14"/>
  <c r="U3535" i="14"/>
  <c r="U3430" i="14"/>
  <c r="U4031" i="14"/>
  <c r="U4159" i="14"/>
  <c r="U3766" i="14"/>
  <c r="U2419" i="14"/>
  <c r="U2911" i="14"/>
  <c r="U915" i="14"/>
  <c r="U4070" i="14"/>
  <c r="U2575" i="14"/>
  <c r="U4255" i="14"/>
  <c r="U1166" i="14"/>
  <c r="U3791" i="14"/>
  <c r="U3823" i="14"/>
  <c r="U1719" i="14"/>
  <c r="U2822" i="14"/>
  <c r="U2902" i="14"/>
  <c r="U4287" i="14"/>
  <c r="U3071" i="14"/>
  <c r="U359" i="14"/>
  <c r="U2138" i="14"/>
  <c r="U2106" i="14"/>
  <c r="U1995" i="14"/>
  <c r="U3046" i="14"/>
  <c r="U4079" i="14"/>
  <c r="U1751" i="14"/>
  <c r="U2975" i="14"/>
  <c r="U4271" i="14"/>
  <c r="U1291" i="14"/>
  <c r="U2510" i="14"/>
  <c r="U1774" i="14"/>
  <c r="U3894" i="14"/>
  <c r="U2387" i="14"/>
  <c r="U3055" i="14"/>
  <c r="U2054" i="14"/>
  <c r="U1934" i="14"/>
  <c r="U2043" i="14"/>
  <c r="U2982" i="14"/>
  <c r="U3798" i="14"/>
  <c r="U1499" i="14"/>
  <c r="U2847" i="14"/>
  <c r="U3478" i="14"/>
  <c r="U1979" i="14"/>
  <c r="U3599" i="14"/>
  <c r="U4063" i="14"/>
  <c r="U1643" i="14"/>
  <c r="U1023" i="14"/>
  <c r="U2487" i="14"/>
  <c r="U2991" i="14"/>
  <c r="U1803" i="14"/>
  <c r="U3622" i="14"/>
  <c r="U2702" i="14"/>
  <c r="U3398" i="14"/>
  <c r="U2462" i="14"/>
  <c r="U1406" i="14"/>
  <c r="U875" i="14"/>
  <c r="U3446" i="14"/>
  <c r="U671" i="14"/>
  <c r="U1943" i="14"/>
  <c r="U2330" i="14"/>
  <c r="U4239" i="14"/>
  <c r="U1282" i="14"/>
  <c r="U1555" i="14"/>
  <c r="U350" i="14"/>
  <c r="U3647" i="14"/>
  <c r="U2122" i="14"/>
  <c r="U2230" i="14"/>
  <c r="U1659" i="14"/>
  <c r="U3494" i="14"/>
  <c r="U3606" i="14"/>
  <c r="U3727" i="14"/>
  <c r="U3503" i="14"/>
  <c r="U3967" i="14"/>
  <c r="U3615" i="14"/>
  <c r="U2743" i="14"/>
  <c r="U1887" i="14"/>
  <c r="U2618" i="14"/>
  <c r="U1539" i="14"/>
  <c r="U2759" i="14"/>
  <c r="U3263" i="14"/>
  <c r="U2323" i="14"/>
  <c r="U3711" i="14"/>
  <c r="U3958" i="14"/>
  <c r="U1687" i="14"/>
  <c r="U2895" i="14"/>
  <c r="U1102" i="14"/>
  <c r="U2886" i="14"/>
  <c r="U1819" i="14"/>
  <c r="U4118" i="14"/>
  <c r="U4015" i="14"/>
  <c r="U2115" i="14"/>
  <c r="U1767" i="14"/>
  <c r="U3590" i="14"/>
  <c r="U1530" i="14"/>
  <c r="U3631" i="14"/>
  <c r="U2070" i="14"/>
  <c r="U3775" i="14"/>
  <c r="U3407" i="14"/>
  <c r="U1194" i="14"/>
  <c r="U1483" i="14"/>
  <c r="U3334" i="14"/>
  <c r="U2394" i="14"/>
  <c r="U1111" i="14"/>
  <c r="U2410" i="14"/>
  <c r="U3999" i="14"/>
  <c r="U1450" i="14"/>
  <c r="U1415" i="14"/>
  <c r="U2546" i="14"/>
  <c r="U1726" i="14"/>
  <c r="U2099" i="14"/>
  <c r="U1794" i="14"/>
  <c r="U3222" i="14"/>
  <c r="U1275" i="14"/>
  <c r="U3238" i="14"/>
  <c r="U2278" i="14"/>
  <c r="U4038" i="14"/>
  <c r="U2503" i="14"/>
  <c r="U3142" i="14"/>
  <c r="U1222" i="14"/>
  <c r="U2766" i="14"/>
  <c r="U2806" i="14"/>
  <c r="U2927" i="14"/>
  <c r="U3423" i="14"/>
  <c r="U2647" i="14"/>
  <c r="U3814" i="14"/>
  <c r="U1506" i="14"/>
  <c r="U1970" i="14"/>
  <c r="U2287" i="14"/>
  <c r="U3551" i="14"/>
  <c r="U2775" i="14"/>
  <c r="U3414" i="14"/>
  <c r="U1618" i="14"/>
  <c r="U3942" i="14"/>
  <c r="U2147" i="14"/>
  <c r="U2439" i="14"/>
  <c r="U931" i="14"/>
  <c r="U2203" i="14"/>
  <c r="U3094" i="14"/>
  <c r="U3455" i="14"/>
  <c r="U2591" i="14"/>
  <c r="U2478" i="14"/>
  <c r="U3087" i="14"/>
  <c r="U2627" i="14"/>
  <c r="U3119" i="14"/>
  <c r="U3750" i="14"/>
  <c r="U1203" i="14"/>
  <c r="U3670" i="14"/>
  <c r="U1902" i="14"/>
  <c r="U2002" i="14"/>
  <c r="U2679" i="14"/>
  <c r="U2711" i="14"/>
  <c r="U3350" i="14"/>
  <c r="U1515" i="14"/>
  <c r="U3366" i="14"/>
  <c r="U2430" i="14"/>
  <c r="U1459" i="14"/>
  <c r="U2582" i="14"/>
  <c r="U771" i="14"/>
  <c r="U3030" i="14"/>
  <c r="U3167" i="14"/>
  <c r="U1546" i="14"/>
  <c r="U4230" i="14"/>
  <c r="U698" i="14"/>
  <c r="U1067" i="14"/>
  <c r="U734" i="14"/>
  <c r="U2750" i="14"/>
  <c r="U4150" i="14"/>
  <c r="U4006" i="14"/>
  <c r="U3110" i="14"/>
  <c r="U1351" i="14"/>
  <c r="U3270" i="14"/>
  <c r="U2314" i="14"/>
  <c r="U4262" i="14"/>
  <c r="U3007" i="14"/>
  <c r="U3487" i="14"/>
  <c r="U2918" i="14"/>
  <c r="U2611" i="14"/>
  <c r="U2371" i="14"/>
  <c r="U3663" i="14"/>
  <c r="U4127" i="14"/>
  <c r="U922" i="14"/>
  <c r="U2670" i="14"/>
  <c r="U2686" i="14"/>
  <c r="U1175" i="14"/>
  <c r="U3158" i="14"/>
  <c r="U743" i="14"/>
  <c r="U2174" i="14"/>
  <c r="U2734" i="14"/>
  <c r="U1710" i="14"/>
  <c r="U2219" i="14"/>
  <c r="U3871" i="14"/>
  <c r="U3439" i="14"/>
  <c r="U2339" i="14"/>
  <c r="U2519" i="14"/>
  <c r="U3023" i="14"/>
  <c r="U4198" i="14"/>
  <c r="U3782" i="14"/>
  <c r="U1846" i="14"/>
  <c r="U1627" i="14"/>
  <c r="U3462" i="14"/>
  <c r="U2526" i="14"/>
  <c r="U2663" i="14"/>
  <c r="U3151" i="14"/>
  <c r="U3542" i="14"/>
  <c r="U4207" i="14"/>
  <c r="U2535" i="14"/>
  <c r="U1950" i="14"/>
  <c r="U4102" i="14"/>
  <c r="U1911" i="14"/>
  <c r="U1434" i="14"/>
  <c r="U3919" i="14"/>
  <c r="U1878" i="14"/>
  <c r="U2946" i="14"/>
  <c r="U1855" i="14"/>
  <c r="U4182" i="14"/>
  <c r="U3510" i="14"/>
  <c r="U1582" i="14"/>
  <c r="U1959" i="14"/>
  <c r="U1650" i="14"/>
  <c r="U3078" i="14"/>
  <c r="U546" i="14"/>
  <c r="U3215" i="14"/>
  <c r="U3679" i="14"/>
  <c r="U4054" i="14"/>
  <c r="U1783" i="14"/>
  <c r="U3855" i="14"/>
  <c r="U2446" i="14"/>
  <c r="U1255" i="14"/>
  <c r="U1246" i="14"/>
  <c r="U2695" i="14"/>
  <c r="U3199" i="14"/>
  <c r="U2194" i="14"/>
  <c r="U2718" i="14"/>
  <c r="U2455" i="14"/>
  <c r="U2955" i="14"/>
  <c r="U707" i="14"/>
  <c r="U2063" i="14"/>
  <c r="U2998" i="14"/>
  <c r="U2027" i="14"/>
  <c r="U1927" i="14"/>
  <c r="U2727" i="14"/>
  <c r="U3231" i="14"/>
  <c r="U3830" i="14"/>
  <c r="U3862" i="14"/>
  <c r="U3878" i="14"/>
  <c r="U2167" i="14"/>
  <c r="U662" i="14"/>
  <c r="U2271" i="14"/>
  <c r="U3126" i="14"/>
  <c r="U2863" i="14"/>
  <c r="U3359" i="14"/>
  <c r="U3990" i="14"/>
  <c r="U1058" i="14"/>
  <c r="U4111" i="14"/>
  <c r="U1014" i="14"/>
  <c r="U3375" i="14"/>
  <c r="U519" i="14"/>
  <c r="U3039" i="14"/>
  <c r="U3519" i="14"/>
  <c r="U3254" i="14"/>
  <c r="U3014" i="14"/>
  <c r="U3695" i="14"/>
  <c r="U4191" i="14"/>
  <c r="U1575" i="14"/>
  <c r="U2799" i="14"/>
  <c r="U2034" i="14"/>
  <c r="U1231" i="14"/>
  <c r="U2262" i="14"/>
  <c r="U2210" i="14"/>
  <c r="U1678" i="14"/>
  <c r="U1839" i="14"/>
  <c r="U3903" i="14"/>
  <c r="U1830" i="14"/>
  <c r="U1810" i="14"/>
  <c r="U3887" i="14"/>
  <c r="U1591" i="14"/>
  <c r="U2494" i="14"/>
  <c r="U3567" i="14"/>
  <c r="U787" i="14"/>
  <c r="U2131" i="14"/>
  <c r="U2298" i="14"/>
  <c r="U1758" i="14"/>
  <c r="U3190" i="14"/>
  <c r="U906" i="14"/>
  <c r="U3343" i="14"/>
  <c r="U3807" i="14"/>
  <c r="U4143" i="14"/>
  <c r="U1871" i="14"/>
  <c r="U3686" i="14"/>
  <c r="U1266" i="14"/>
  <c r="U1742" i="14"/>
  <c r="U3718" i="14"/>
  <c r="U2246" i="14"/>
  <c r="U4022" i="14"/>
  <c r="U2018" i="14"/>
  <c r="U4214" i="14"/>
  <c r="U1474" i="14"/>
  <c r="U2255" i="14"/>
  <c r="U3951" i="14"/>
  <c r="U3846" i="14"/>
  <c r="U635" i="14"/>
  <c r="U2966" i="14"/>
  <c r="U2158" i="14"/>
  <c r="U555" i="14"/>
  <c r="U2403" i="14"/>
  <c r="U3974" i="14"/>
  <c r="U2854" i="14"/>
  <c r="U3702" i="14"/>
  <c r="U3734" i="14"/>
  <c r="U2838" i="14"/>
  <c r="U1862" i="14"/>
  <c r="U2555" i="14"/>
  <c r="U2090" i="14"/>
  <c r="U3471" i="14"/>
  <c r="U3935" i="14"/>
  <c r="U2815" i="14"/>
  <c r="U2566" i="14"/>
  <c r="U1607" i="14"/>
  <c r="U2831" i="14"/>
  <c r="U3574" i="14"/>
  <c r="U2378" i="14"/>
  <c r="U4246" i="14"/>
  <c r="U3135" i="14"/>
  <c r="U3062" i="14"/>
  <c r="U2011" i="14"/>
  <c r="U3926" i="14"/>
  <c r="U1634" i="14"/>
  <c r="U4278" i="14"/>
  <c r="U4358" i="14"/>
  <c r="U4326" i="14"/>
  <c r="U4383" i="14"/>
  <c r="U4294" i="14"/>
  <c r="U4342" i="14"/>
  <c r="U4374" i="14"/>
  <c r="U4406" i="14"/>
  <c r="U4415" i="14"/>
  <c r="U4335" i="14"/>
  <c r="U4399" i="14"/>
  <c r="U4310" i="14"/>
  <c r="U4303" i="14"/>
  <c r="U4390" i="14"/>
  <c r="U4351" i="14"/>
  <c r="M2526" i="14"/>
  <c r="M2099" i="14"/>
  <c r="M2394" i="14"/>
  <c r="M2439" i="14"/>
  <c r="L4271" i="14"/>
  <c r="M1014" i="14"/>
  <c r="M1659" i="14"/>
  <c r="M3407" i="14"/>
  <c r="M1783" i="14"/>
  <c r="L4399" i="14"/>
  <c r="M3894" i="14"/>
  <c r="M2387" i="14"/>
  <c r="M2627" i="14"/>
  <c r="M555" i="14"/>
  <c r="M2362" i="14"/>
  <c r="M2043" i="14"/>
  <c r="M2886" i="14"/>
  <c r="M1111" i="14"/>
  <c r="M2410" i="14"/>
  <c r="M3350" i="14"/>
  <c r="M4358" i="14"/>
  <c r="M2278" i="14"/>
  <c r="M4326" i="14"/>
  <c r="M3158" i="14"/>
  <c r="M1855" i="14"/>
  <c r="M3046" i="14"/>
  <c r="M2982" i="14"/>
  <c r="M3055" i="14"/>
  <c r="M2487" i="14"/>
  <c r="M1819" i="14"/>
  <c r="M1703" i="14"/>
  <c r="M2106" i="14"/>
  <c r="M2519" i="14"/>
  <c r="M3094" i="14"/>
  <c r="M2918" i="14"/>
  <c r="M906" i="14"/>
  <c r="M2702" i="14"/>
  <c r="M2323" i="14"/>
  <c r="M1275" i="14"/>
  <c r="M1067" i="14"/>
  <c r="M3775" i="14"/>
  <c r="L4287" i="14"/>
  <c r="M4086" i="14"/>
  <c r="M3535" i="14"/>
  <c r="M1878" i="14"/>
  <c r="M1902" i="14"/>
  <c r="M2946" i="14"/>
  <c r="M1591" i="14"/>
  <c r="M1751" i="14"/>
  <c r="M2618" i="14"/>
  <c r="M1710" i="14"/>
  <c r="M2446" i="14"/>
  <c r="M1515" i="14"/>
  <c r="M3014" i="14"/>
  <c r="M2790" i="14"/>
  <c r="M1694" i="14"/>
  <c r="M2219" i="14"/>
  <c r="M2239" i="14"/>
  <c r="M1986" i="14"/>
  <c r="M2759" i="14"/>
  <c r="M3167" i="14"/>
  <c r="M3270" i="14"/>
  <c r="M3199" i="14"/>
  <c r="M3126" i="14"/>
  <c r="M1678" i="14"/>
  <c r="M2403" i="14"/>
  <c r="L4278" i="14"/>
  <c r="M2806" i="14"/>
  <c r="M1871" i="14"/>
  <c r="M2378" i="14"/>
  <c r="M4390" i="14"/>
  <c r="M519" i="14"/>
  <c r="M2494" i="14"/>
  <c r="M1351" i="14"/>
  <c r="M2902" i="14"/>
  <c r="M2314" i="14"/>
  <c r="M2611" i="14"/>
  <c r="M4374" i="14"/>
  <c r="M4006" i="14"/>
  <c r="M3071" i="14"/>
  <c r="M1918" i="14"/>
  <c r="M2203" i="14"/>
  <c r="L3878" i="14"/>
  <c r="M2602" i="14"/>
  <c r="M771" i="14"/>
  <c r="M3110" i="14"/>
  <c r="M2815" i="14"/>
  <c r="M2679" i="14"/>
  <c r="M2854" i="14"/>
  <c r="M3206" i="14"/>
  <c r="M1582" i="14"/>
  <c r="M3423" i="14"/>
  <c r="M1742" i="14"/>
  <c r="M2743" i="14"/>
  <c r="M1450" i="14"/>
  <c r="M698" i="14"/>
  <c r="M2011" i="14"/>
  <c r="M1058" i="14"/>
  <c r="M787" i="14"/>
  <c r="M4342" i="14"/>
  <c r="M3942" i="14"/>
  <c r="M3574" i="14"/>
  <c r="M4294" i="14"/>
  <c r="M4406" i="14"/>
  <c r="M1810" i="14"/>
  <c r="M1474" i="14"/>
  <c r="M1839" i="14"/>
  <c r="M3542" i="14"/>
  <c r="M4150" i="14"/>
  <c r="M3727" i="14"/>
  <c r="M1483" i="14"/>
  <c r="M3023" i="14"/>
  <c r="M1927" i="14"/>
  <c r="M2298" i="14"/>
  <c r="M4102" i="14"/>
  <c r="M3910" i="14"/>
  <c r="M707" i="14"/>
  <c r="M2271" i="14"/>
  <c r="M2158" i="14"/>
  <c r="M1282" i="14"/>
  <c r="M2063" i="14"/>
  <c r="M3439" i="14"/>
  <c r="M3526" i="14"/>
  <c r="M2575" i="14"/>
  <c r="M2138" i="14"/>
  <c r="M1803" i="14"/>
  <c r="M4207" i="14"/>
  <c r="M3686" i="14"/>
  <c r="M3887" i="14"/>
  <c r="M1566" i="14"/>
  <c r="M3007" i="14"/>
  <c r="M1546" i="14"/>
  <c r="M3935" i="14"/>
  <c r="M3135" i="14"/>
  <c r="M915" i="14"/>
  <c r="M3151" i="14"/>
  <c r="M2718" i="14"/>
  <c r="M2863" i="14"/>
  <c r="M3478" i="14"/>
  <c r="M2307" i="14"/>
  <c r="M1443" i="14"/>
  <c r="M2054" i="14"/>
  <c r="M1499" i="14"/>
  <c r="M1887" i="14"/>
  <c r="M3238" i="14"/>
  <c r="M2734" i="14"/>
  <c r="M1246" i="14"/>
  <c r="M3359" i="14"/>
  <c r="M1618" i="14"/>
  <c r="M1719" i="14"/>
  <c r="M2371" i="14"/>
  <c r="M1175" i="14"/>
  <c r="M2654" i="14"/>
  <c r="M1934" i="14"/>
  <c r="M2002" i="14"/>
  <c r="M3487" i="14"/>
  <c r="M1911" i="14"/>
  <c r="M2822" i="14"/>
  <c r="M2535" i="14"/>
  <c r="M1650" i="14"/>
  <c r="M2546" i="14"/>
  <c r="M2727" i="14"/>
  <c r="M3814" i="14"/>
  <c r="M2330" i="14"/>
  <c r="M1539" i="14"/>
  <c r="M1687" i="14"/>
  <c r="M2070" i="14"/>
  <c r="M1970" i="14"/>
  <c r="M3510" i="14"/>
  <c r="M1758" i="14"/>
  <c r="M2555" i="14"/>
  <c r="M2766" i="14"/>
  <c r="M2430" i="14"/>
  <c r="M2847" i="14"/>
  <c r="M1459" i="14"/>
  <c r="M2122" i="14"/>
  <c r="M2582" i="14"/>
  <c r="M2670" i="14"/>
  <c r="M2510" i="14"/>
  <c r="M1979" i="14"/>
  <c r="M3142" i="14"/>
  <c r="M3567" i="14"/>
  <c r="M2079" i="14"/>
  <c r="M2034" i="14"/>
  <c r="M3430" i="14"/>
  <c r="M1767" i="14"/>
  <c r="M2686" i="14"/>
  <c r="M2174" i="14"/>
  <c r="M2998" i="14"/>
  <c r="M4159" i="14"/>
  <c r="M1342" i="14"/>
  <c r="M1774" i="14"/>
  <c r="M2462" i="14"/>
  <c r="M3254" i="14"/>
  <c r="M1634" i="14"/>
  <c r="M3590" i="14"/>
  <c r="M4198" i="14"/>
  <c r="M1726" i="14"/>
  <c r="M1506" i="14"/>
  <c r="M2478" i="14"/>
  <c r="M2230" i="14"/>
  <c r="M2750" i="14"/>
  <c r="M1950" i="14"/>
  <c r="M1266" i="14"/>
  <c r="M2210" i="14"/>
  <c r="M1607" i="14"/>
  <c r="M3366" i="14"/>
  <c r="M546" i="14"/>
  <c r="M3103" i="14"/>
  <c r="M3247" i="14"/>
  <c r="L3999" i="14"/>
  <c r="M3190" i="14"/>
  <c r="M2991" i="14"/>
  <c r="M1102" i="14"/>
  <c r="M3119" i="14"/>
  <c r="M3398" i="14"/>
  <c r="M3718" i="14"/>
  <c r="M3782" i="14"/>
  <c r="M3654" i="14"/>
  <c r="M3462" i="14"/>
  <c r="M3926" i="14"/>
  <c r="M1555" i="14"/>
  <c r="M3062" i="14"/>
  <c r="M3222" i="14"/>
  <c r="M1794" i="14"/>
  <c r="M2018" i="14"/>
  <c r="M635" i="14"/>
  <c r="M2838" i="14"/>
  <c r="M1862" i="14"/>
  <c r="M2895" i="14"/>
  <c r="M2591" i="14"/>
  <c r="L3471" i="14"/>
  <c r="M2027" i="14"/>
  <c r="L3558" i="14"/>
  <c r="M3263" i="14"/>
  <c r="L4118" i="14"/>
  <c r="M3334" i="14"/>
  <c r="M4118" i="14"/>
  <c r="M2695" i="14"/>
  <c r="M3414" i="14"/>
  <c r="M1166" i="14"/>
  <c r="M1434" i="14"/>
  <c r="M2262" i="14"/>
  <c r="M2167" i="14"/>
  <c r="M2831" i="14"/>
  <c r="M1406" i="14"/>
  <c r="M3231" i="14"/>
  <c r="M1643" i="14"/>
  <c r="M1530" i="14"/>
  <c r="M4310" i="14"/>
  <c r="M1846" i="14"/>
  <c r="M4038" i="14"/>
  <c r="M2194" i="14"/>
  <c r="M1830" i="14"/>
  <c r="M2147" i="14"/>
  <c r="M2090" i="14"/>
  <c r="M2566" i="14"/>
  <c r="L4390" i="14"/>
  <c r="L4182" i="14"/>
  <c r="L3855" i="14"/>
  <c r="M4400" i="14"/>
  <c r="M4399" i="14" s="1"/>
  <c r="M2666" i="14"/>
  <c r="M2663" i="14" s="1"/>
  <c r="M2641" i="14"/>
  <c r="M2638" i="14" s="1"/>
  <c r="M3841" i="14"/>
  <c r="M3839" i="14" s="1"/>
  <c r="L3766" i="14"/>
  <c r="L4022" i="14"/>
  <c r="L3990" i="14"/>
  <c r="M4225" i="14"/>
  <c r="M4223" i="14" s="1"/>
  <c r="M3836" i="14"/>
  <c r="M3830" i="14" s="1"/>
  <c r="M350" i="14"/>
  <c r="M660" i="14"/>
  <c r="M3800" i="14"/>
  <c r="M3798" i="14" s="1"/>
  <c r="M3772" i="14"/>
  <c r="M4241" i="14"/>
  <c r="M4239" i="14" s="1"/>
  <c r="L671" i="14"/>
  <c r="M359" i="14"/>
  <c r="M2799" i="14"/>
  <c r="M2134" i="14"/>
  <c r="M4024" i="14"/>
  <c r="M4022" i="14" s="1"/>
  <c r="M3996" i="14"/>
  <c r="M3990" i="14" s="1"/>
  <c r="L2638" i="14"/>
  <c r="M3908" i="14"/>
  <c r="L4134" i="14"/>
  <c r="L4214" i="14"/>
  <c r="L662" i="14"/>
  <c r="M4186" i="14"/>
  <c r="M4182" i="14" s="1"/>
  <c r="M4134" i="14"/>
  <c r="M4049" i="14"/>
  <c r="M4047" i="14" s="1"/>
  <c r="M666" i="14"/>
  <c r="M662" i="14" s="1"/>
  <c r="M3560" i="14"/>
  <c r="M3881" i="14"/>
  <c r="M3878" i="14" s="1"/>
  <c r="M3985" i="14"/>
  <c r="M3983" i="14" s="1"/>
  <c r="M4129" i="14"/>
  <c r="M4127" i="14" s="1"/>
  <c r="M4193" i="14"/>
  <c r="M4191" i="14" s="1"/>
  <c r="L4262" i="14"/>
  <c r="L4246" i="14"/>
  <c r="M4074" i="14"/>
  <c r="M4070" i="14" s="1"/>
  <c r="M3633" i="14"/>
  <c r="M3631" i="14" s="1"/>
  <c r="M3852" i="14"/>
  <c r="M3846" i="14" s="1"/>
  <c r="L4230" i="14"/>
  <c r="M3768" i="14"/>
  <c r="M4288" i="14"/>
  <c r="M4287" i="14" s="1"/>
  <c r="M3922" i="14"/>
  <c r="M3919" i="14" s="1"/>
  <c r="M3472" i="14"/>
  <c r="M3471" i="14" s="1"/>
  <c r="M4262" i="14"/>
  <c r="M4143" i="14"/>
  <c r="L4143" i="14"/>
  <c r="M4273" i="14"/>
  <c r="M4271" i="14" s="1"/>
  <c r="M4246" i="14"/>
  <c r="M4001" i="14"/>
  <c r="M3999" i="14" s="1"/>
  <c r="M3624" i="14"/>
  <c r="M3622" i="14" s="1"/>
  <c r="M4214" i="14"/>
  <c r="M4132" i="14"/>
  <c r="M673" i="14"/>
  <c r="M671" i="14" s="1"/>
  <c r="M4230" i="14"/>
  <c r="M2132" i="14"/>
  <c r="L2131" i="14"/>
  <c r="M4081" i="14"/>
  <c r="M4079" i="14" s="1"/>
  <c r="M4034" i="14"/>
  <c r="M4031" i="14" s="1"/>
  <c r="M4278" i="14" l="1"/>
  <c r="M3558" i="14"/>
  <c r="M2131" i="14"/>
  <c r="L6096" i="14"/>
  <c r="M3766" i="14"/>
  <c r="J6078" i="14" l="1"/>
  <c r="K6078" i="14" s="1"/>
  <c r="L6078" i="14" s="1"/>
  <c r="M6078" i="14" s="1"/>
  <c r="J6062" i="14"/>
  <c r="K6062" i="14" s="1"/>
  <c r="L6062" i="14" s="1"/>
  <c r="M6062" i="14" s="1"/>
  <c r="Q6078" i="14"/>
  <c r="Q6062" i="14"/>
  <c r="Q4190" i="14"/>
  <c r="Q2878" i="14"/>
  <c r="Q2470" i="14"/>
  <c r="Q3966" i="14"/>
  <c r="Q3998" i="14"/>
  <c r="Q4046" i="14"/>
  <c r="Q2974" i="14"/>
  <c r="Q1642" i="14"/>
  <c r="Q1350" i="14"/>
  <c r="Q2182" i="14"/>
  <c r="Q2370" i="14"/>
  <c r="Q3310" i="14"/>
  <c r="Q3598" i="14"/>
  <c r="Q1750" i="14"/>
  <c r="Q3214" i="14"/>
  <c r="Q1626" i="14"/>
  <c r="Q2926" i="14"/>
  <c r="Q2418" i="14"/>
  <c r="Q2338" i="14"/>
  <c r="Q2218" i="14"/>
  <c r="Q1574" i="14"/>
  <c r="Q1734" i="14"/>
  <c r="Q3486" i="14"/>
  <c r="Q1870" i="14"/>
  <c r="Q742" i="14"/>
  <c r="Q554" i="14"/>
  <c r="Q1926" i="14"/>
  <c r="Q1994" i="14"/>
  <c r="Q4430" i="14"/>
  <c r="Q2254" i="14"/>
  <c r="Q3262" i="14"/>
  <c r="Q2758" i="14"/>
  <c r="Q3502" i="14"/>
  <c r="Q874" i="14"/>
  <c r="Q3246" i="14"/>
  <c r="Q3710" i="14"/>
  <c r="Q3054" i="14"/>
  <c r="Q4286" i="14"/>
  <c r="Q670" i="14"/>
  <c r="Q2554" i="14"/>
  <c r="Q4094" i="14"/>
  <c r="Q1414" i="14"/>
  <c r="Q2710" i="14"/>
  <c r="Q1606" i="14"/>
  <c r="Q1718" i="14"/>
  <c r="Q706" i="14"/>
  <c r="Q1702" i="14"/>
  <c r="Q1514" i="14"/>
  <c r="Q2238" i="14"/>
  <c r="Q3118" i="14"/>
  <c r="Q1230" i="14"/>
  <c r="Q5918" i="14"/>
  <c r="Q6030" i="14"/>
  <c r="J6030" i="14"/>
  <c r="K6030" i="14" s="1"/>
  <c r="L6030" i="14" s="1"/>
  <c r="M6030" i="14" s="1"/>
  <c r="J5918" i="14"/>
  <c r="K5918" i="14" s="1"/>
  <c r="L5918" i="14" s="1"/>
  <c r="M5918" i="14" s="1"/>
  <c r="Q1958" i="14"/>
  <c r="Q3934" i="14"/>
  <c r="Q3630" i="14"/>
  <c r="Q5390" i="14"/>
  <c r="Q2646" i="14"/>
  <c r="J4878" i="14"/>
  <c r="J2742" i="14"/>
  <c r="V2742" i="14" s="1"/>
  <c r="J2774" i="14"/>
  <c r="V2774" i="14" s="1"/>
  <c r="J2238" i="14"/>
  <c r="V2238" i="14" s="1"/>
  <c r="J1554" i="14"/>
  <c r="J5790" i="14"/>
  <c r="K5790" i="14" s="1"/>
  <c r="L5790" i="14" s="1"/>
  <c r="M5790" i="14" s="1"/>
  <c r="Q3950" i="14"/>
  <c r="Q5998" i="14"/>
  <c r="Q3806" i="14"/>
  <c r="Q5326" i="14"/>
  <c r="Q2146" i="14"/>
  <c r="J4974" i="14"/>
  <c r="J3838" i="14"/>
  <c r="J2694" i="14"/>
  <c r="V2694" i="14" s="1"/>
  <c r="J1958" i="14"/>
  <c r="V1958" i="14" s="1"/>
  <c r="J5742" i="14"/>
  <c r="K5742" i="14" s="1"/>
  <c r="L5742" i="14" s="1"/>
  <c r="M5742" i="14" s="1"/>
  <c r="J5438" i="14"/>
  <c r="Q5070" i="14"/>
  <c r="J3806" i="14"/>
  <c r="V3806" i="14" s="1"/>
  <c r="J1886" i="14"/>
  <c r="V1886" i="14" s="1"/>
  <c r="J554" i="14"/>
  <c r="V554" i="14" s="1"/>
  <c r="Q1686" i="14"/>
  <c r="Q5694" i="14"/>
  <c r="Q5294" i="14"/>
  <c r="J4366" i="14"/>
  <c r="V4366" i="14" s="1"/>
  <c r="J3902" i="14"/>
  <c r="V3902" i="14" s="1"/>
  <c r="J1926" i="14"/>
  <c r="V1926" i="14" s="1"/>
  <c r="J5630" i="14"/>
  <c r="K5630" i="14" s="1"/>
  <c r="L5630" i="14" s="1"/>
  <c r="M5630" i="14" s="1"/>
  <c r="Q3902" i="14"/>
  <c r="Q1274" i="14"/>
  <c r="Q4062" i="14"/>
  <c r="J4702" i="14"/>
  <c r="K4702" i="14" s="1"/>
  <c r="M4702" i="14" s="1"/>
  <c r="J3998" i="14"/>
  <c r="V3998" i="14" s="1"/>
  <c r="J3390" i="14"/>
  <c r="J742" i="14"/>
  <c r="V742" i="14" s="1"/>
  <c r="J1782" i="14"/>
  <c r="V1782" i="14" s="1"/>
  <c r="J5518" i="14"/>
  <c r="Q3918" i="14"/>
  <c r="J3262" i="14"/>
  <c r="J930" i="14"/>
  <c r="V930" i="14" s="1"/>
  <c r="Q1854" i="14"/>
  <c r="Q2130" i="14"/>
  <c r="Q3678" i="14"/>
  <c r="Q5966" i="14"/>
  <c r="Q4702" i="14"/>
  <c r="Q5518" i="14"/>
  <c r="Q3518" i="14"/>
  <c r="J5022" i="14"/>
  <c r="J2990" i="14"/>
  <c r="V2990" i="14" s="1"/>
  <c r="J2166" i="14"/>
  <c r="V2166" i="14" s="1"/>
  <c r="J1818" i="14"/>
  <c r="J5806" i="14"/>
  <c r="Q786" i="14"/>
  <c r="Q2062" i="14"/>
  <c r="Q5470" i="14"/>
  <c r="J4766" i="14"/>
  <c r="J1538" i="14"/>
  <c r="V1538" i="14" s="1"/>
  <c r="Q3822" i="14"/>
  <c r="Q1458" i="14"/>
  <c r="Q5550" i="14"/>
  <c r="Q5118" i="14"/>
  <c r="J4462" i="14"/>
  <c r="K4462" i="14" s="1"/>
  <c r="L4462" i="14" s="1"/>
  <c r="M4462" i="14" s="1"/>
  <c r="J3422" i="14"/>
  <c r="V3422" i="14" s="1"/>
  <c r="J2554" i="14"/>
  <c r="V2554" i="14" s="1"/>
  <c r="J2202" i="14"/>
  <c r="V2202" i="14" s="1"/>
  <c r="J5502" i="14"/>
  <c r="K5502" i="14" s="1"/>
  <c r="L5502" i="14" s="1"/>
  <c r="M5502" i="14" s="1"/>
  <c r="J2130" i="14"/>
  <c r="V2130" i="14" s="1"/>
  <c r="Q3694" i="14"/>
  <c r="Q2486" i="14"/>
  <c r="Q2610" i="14"/>
  <c r="J5070" i="14"/>
  <c r="J3278" i="14"/>
  <c r="J2610" i="14"/>
  <c r="V2610" i="14" s="1"/>
  <c r="J1498" i="14"/>
  <c r="V1498" i="14" s="1"/>
  <c r="Q6014" i="14"/>
  <c r="Q5982" i="14"/>
  <c r="Q6046" i="14"/>
  <c r="Q2098" i="14"/>
  <c r="Q3550" i="14"/>
  <c r="Q3294" i="14"/>
  <c r="Q1886" i="14"/>
  <c r="Q5614" i="14"/>
  <c r="Q5790" i="14"/>
  <c r="Q4302" i="14"/>
  <c r="Q1802" i="14"/>
  <c r="Q5134" i="14"/>
  <c r="J4798" i="14"/>
  <c r="K4798" i="14" s="1"/>
  <c r="M4798" i="14" s="1"/>
  <c r="J4638" i="14"/>
  <c r="K4638" i="14" s="1"/>
  <c r="M4638" i="14" s="1"/>
  <c r="J3870" i="14"/>
  <c r="V3870" i="14" s="1"/>
  <c r="J4046" i="14"/>
  <c r="J4110" i="14"/>
  <c r="V4110" i="14" s="1"/>
  <c r="J3134" i="14"/>
  <c r="V3134" i="14" s="1"/>
  <c r="J2218" i="14"/>
  <c r="V2218" i="14" s="1"/>
  <c r="J2322" i="14"/>
  <c r="V2322" i="14" s="1"/>
  <c r="J2286" i="14"/>
  <c r="V2286" i="14" s="1"/>
  <c r="J1978" i="14"/>
  <c r="V1978" i="14" s="1"/>
  <c r="J706" i="14"/>
  <c r="V706" i="14" s="1"/>
  <c r="J770" i="14"/>
  <c r="V770" i="14" s="1"/>
  <c r="Q2678" i="14"/>
  <c r="Q3406" i="14"/>
  <c r="Q2202" i="14"/>
  <c r="Q4318" i="14"/>
  <c r="Q4238" i="14"/>
  <c r="Q5806" i="14"/>
  <c r="Q2954" i="14"/>
  <c r="Q1818" i="14"/>
  <c r="Q5310" i="14"/>
  <c r="J4670" i="14"/>
  <c r="J4686" i="14"/>
  <c r="K4686" i="14" s="1"/>
  <c r="L4686" i="14" s="1"/>
  <c r="J3614" i="14"/>
  <c r="V3614" i="14" s="1"/>
  <c r="J4014" i="14"/>
  <c r="V4014" i="14" s="1"/>
  <c r="J3982" i="14"/>
  <c r="V3982" i="14" s="1"/>
  <c r="J3950" i="14"/>
  <c r="V3950" i="14" s="1"/>
  <c r="J1802" i="14"/>
  <c r="V1802" i="14" s="1"/>
  <c r="J2182" i="14"/>
  <c r="J2146" i="14"/>
  <c r="V2146" i="14" s="1"/>
  <c r="J1838" i="14"/>
  <c r="V1838" i="14" s="1"/>
  <c r="J5422" i="14"/>
  <c r="K5422" i="14" s="1"/>
  <c r="L5422" i="14" s="1"/>
  <c r="M5422" i="14" s="1"/>
  <c r="J634" i="14"/>
  <c r="V634" i="14" s="1"/>
  <c r="Q3790" i="14"/>
  <c r="Q1022" i="14"/>
  <c r="Q3230" i="14"/>
  <c r="Q4350" i="14"/>
  <c r="Q5726" i="14"/>
  <c r="Q1482" i="14"/>
  <c r="Q5230" i="14"/>
  <c r="J5182" i="14"/>
  <c r="J4526" i="14"/>
  <c r="K4526" i="14" s="1"/>
  <c r="L4526" i="14" s="1"/>
  <c r="M4526" i="14" s="1"/>
  <c r="J5086" i="14"/>
  <c r="J3790" i="14"/>
  <c r="V3790" i="14" s="1"/>
  <c r="J3758" i="14"/>
  <c r="J3726" i="14"/>
  <c r="J3182" i="14"/>
  <c r="V3182" i="14" s="1"/>
  <c r="J1274" i="14"/>
  <c r="V1274" i="14" s="1"/>
  <c r="J1910" i="14"/>
  <c r="V1910" i="14" s="1"/>
  <c r="J1590" i="14"/>
  <c r="V1590" i="14" s="1"/>
  <c r="J1702" i="14"/>
  <c r="V1702" i="14" s="1"/>
  <c r="J5822" i="14"/>
  <c r="K5822" i="14" s="1"/>
  <c r="L5822" i="14" s="1"/>
  <c r="M5822" i="14" s="1"/>
  <c r="Q2846" i="14"/>
  <c r="Q4334" i="14"/>
  <c r="Q5678" i="14"/>
  <c r="Q2662" i="14"/>
  <c r="Q4974" i="14"/>
  <c r="J5038" i="14"/>
  <c r="J5102" i="14"/>
  <c r="V5102" i="14" s="1"/>
  <c r="J4990" i="14"/>
  <c r="K4990" i="14" s="1"/>
  <c r="L4990" i="14" s="1"/>
  <c r="M4990" i="14" s="1"/>
  <c r="J3662" i="14"/>
  <c r="V3662" i="14" s="1"/>
  <c r="J3502" i="14"/>
  <c r="J3598" i="14"/>
  <c r="V3598" i="14" s="1"/>
  <c r="J3054" i="14"/>
  <c r="J2758" i="14"/>
  <c r="V2758" i="14" s="1"/>
  <c r="J1482" i="14"/>
  <c r="V1482" i="14" s="1"/>
  <c r="J2926" i="14"/>
  <c r="V2926" i="14" s="1"/>
  <c r="Q5950" i="14"/>
  <c r="Q4750" i="14"/>
  <c r="Q5022" i="14"/>
  <c r="Q3342" i="14"/>
  <c r="Q1782" i="14"/>
  <c r="Q2830" i="14"/>
  <c r="Q3390" i="14"/>
  <c r="Q3422" i="14"/>
  <c r="Q5502" i="14"/>
  <c r="Q5438" i="14"/>
  <c r="Q4014" i="14"/>
  <c r="Q5246" i="14"/>
  <c r="J5118" i="14"/>
  <c r="J4574" i="14"/>
  <c r="J4654" i="14"/>
  <c r="K4654" i="14" s="1"/>
  <c r="L4654" i="14" s="1"/>
  <c r="M4654" i="14" s="1"/>
  <c r="J2878" i="14"/>
  <c r="V2878" i="14" s="1"/>
  <c r="J4318" i="14"/>
  <c r="V4318" i="14" s="1"/>
  <c r="J3518" i="14"/>
  <c r="V3518" i="14" s="1"/>
  <c r="J6046" i="14"/>
  <c r="K6046" i="14" s="1"/>
  <c r="L6046" i="14" s="1"/>
  <c r="M6046" i="14" s="1"/>
  <c r="Q4862" i="14"/>
  <c r="J5934" i="14"/>
  <c r="K5934" i="14" s="1"/>
  <c r="L5934" i="14" s="1"/>
  <c r="M5934" i="14" s="1"/>
  <c r="Q1978" i="14"/>
  <c r="Q2322" i="14"/>
  <c r="Q2726" i="14"/>
  <c r="Q1442" i="14"/>
  <c r="Q3374" i="14"/>
  <c r="Q5406" i="14"/>
  <c r="Q4366" i="14"/>
  <c r="Q4910" i="14"/>
  <c r="Q5934" i="14"/>
  <c r="Q358" i="14"/>
  <c r="Q4558" i="14"/>
  <c r="Q2042" i="14"/>
  <c r="Q2286" i="14"/>
  <c r="Q3086" i="14"/>
  <c r="Q5374" i="14"/>
  <c r="Q5630" i="14"/>
  <c r="Q5742" i="14"/>
  <c r="Q1538" i="14"/>
  <c r="Q4222" i="14"/>
  <c r="Q5150" i="14"/>
  <c r="J5246" i="14"/>
  <c r="J4750" i="14"/>
  <c r="K4750" i="14" s="1"/>
  <c r="M4750" i="14" s="1"/>
  <c r="J5198" i="14"/>
  <c r="J4734" i="14"/>
  <c r="K4734" i="14" s="1"/>
  <c r="J3230" i="14"/>
  <c r="V3230" i="14" s="1"/>
  <c r="J3454" i="14"/>
  <c r="J4174" i="14"/>
  <c r="K4174" i="14" s="1"/>
  <c r="L4174" i="14" s="1"/>
  <c r="M4174" i="14" s="1"/>
  <c r="J3214" i="14"/>
  <c r="V3214" i="14" s="1"/>
  <c r="J3694" i="14"/>
  <c r="V3694" i="14" s="1"/>
  <c r="J1750" i="14"/>
  <c r="V1750" i="14" s="1"/>
  <c r="J1854" i="14"/>
  <c r="V1854" i="14" s="1"/>
  <c r="J874" i="14"/>
  <c r="V874" i="14" s="1"/>
  <c r="J2010" i="14"/>
  <c r="V2010" i="14" s="1"/>
  <c r="J1254" i="14"/>
  <c r="V1254" i="14" s="1"/>
  <c r="J5454" i="14"/>
  <c r="K5454" i="14" s="1"/>
  <c r="U5439" i="14" s="1"/>
  <c r="J5470" i="14"/>
  <c r="K5470" i="14" s="1"/>
  <c r="L5470" i="14" s="1"/>
  <c r="M5470" i="14" s="1"/>
  <c r="J5678" i="14"/>
  <c r="K5678" i="14" s="1"/>
  <c r="L5678" i="14" s="1"/>
  <c r="M5678" i="14" s="1"/>
  <c r="Q4830" i="14"/>
  <c r="J5662" i="14"/>
  <c r="K5662" i="14" s="1"/>
  <c r="M5662" i="14" s="1"/>
  <c r="Q2626" i="14"/>
  <c r="Q4734" i="14"/>
  <c r="Q1838" i="14"/>
  <c r="Q2386" i="14"/>
  <c r="Q2306" i="14"/>
  <c r="Q5342" i="14"/>
  <c r="Q5534" i="14"/>
  <c r="Q5758" i="14"/>
  <c r="Q2438" i="14"/>
  <c r="Q3982" i="14"/>
  <c r="Q5198" i="14"/>
  <c r="J5262" i="14"/>
  <c r="J4350" i="14"/>
  <c r="V4350" i="14" s="1"/>
  <c r="J5166" i="14"/>
  <c r="J4590" i="14"/>
  <c r="K4590" i="14" s="1"/>
  <c r="L4590" i="14" s="1"/>
  <c r="M4590" i="14" s="1"/>
  <c r="J4382" i="14"/>
  <c r="V4382" i="14" s="1"/>
  <c r="J3326" i="14"/>
  <c r="J4078" i="14"/>
  <c r="V4078" i="14" s="1"/>
  <c r="J2954" i="14"/>
  <c r="V2954" i="14" s="1"/>
  <c r="J3566" i="14"/>
  <c r="V3566" i="14" s="1"/>
  <c r="J1606" i="14"/>
  <c r="V1606" i="14" s="1"/>
  <c r="J1574" i="14"/>
  <c r="V1574" i="14" s="1"/>
  <c r="J2386" i="14"/>
  <c r="V2386" i="14" s="1"/>
  <c r="J1870" i="14"/>
  <c r="V1870" i="14" s="1"/>
  <c r="J2402" i="14"/>
  <c r="V2402" i="14" s="1"/>
  <c r="J1066" i="14"/>
  <c r="V1066" i="14" s="1"/>
  <c r="J5726" i="14"/>
  <c r="Q3870" i="14"/>
  <c r="Q4814" i="14"/>
  <c r="Q1290" i="14"/>
  <c r="Q3358" i="14"/>
  <c r="Q4686" i="14"/>
  <c r="Q3614" i="14"/>
  <c r="Q5774" i="14"/>
  <c r="Q2166" i="14"/>
  <c r="Q4942" i="14"/>
  <c r="Q2798" i="14"/>
  <c r="Q3438" i="14"/>
  <c r="Q4878" i="14"/>
  <c r="Q4894" i="14"/>
  <c r="Q5646" i="14"/>
  <c r="J5774" i="14"/>
  <c r="K5774" i="14" s="1"/>
  <c r="L5774" i="14" s="1"/>
  <c r="M5774" i="14" s="1"/>
  <c r="Q3582" i="14"/>
  <c r="Q3022" i="14"/>
  <c r="Q2518" i="14"/>
  <c r="Q2774" i="14"/>
  <c r="Q2574" i="14"/>
  <c r="Q3102" i="14"/>
  <c r="Q1202" i="14"/>
  <c r="Q3182" i="14"/>
  <c r="Q5422" i="14"/>
  <c r="Q3134" i="14"/>
  <c r="Q5566" i="14"/>
  <c r="Q5582" i="14"/>
  <c r="Q4382" i="14"/>
  <c r="Q4142" i="14"/>
  <c r="Q2910" i="14"/>
  <c r="Q5278" i="14"/>
  <c r="Q5262" i="14"/>
  <c r="J4958" i="14"/>
  <c r="K4958" i="14" s="1"/>
  <c r="J4222" i="14"/>
  <c r="V4222" i="14" s="1"/>
  <c r="J5214" i="14"/>
  <c r="J4542" i="14"/>
  <c r="K4542" i="14" s="1"/>
  <c r="M4542" i="14" s="1"/>
  <c r="J4430" i="14"/>
  <c r="J4270" i="14"/>
  <c r="V4270" i="14" s="1"/>
  <c r="J3582" i="14"/>
  <c r="V3582" i="14" s="1"/>
  <c r="J3374" i="14"/>
  <c r="V3374" i="14" s="1"/>
  <c r="J3038" i="14"/>
  <c r="V3038" i="14" s="1"/>
  <c r="J4030" i="14"/>
  <c r="V4030" i="14" s="1"/>
  <c r="J3822" i="14"/>
  <c r="V3822" i="14" s="1"/>
  <c r="J2306" i="14"/>
  <c r="V2306" i="14" s="1"/>
  <c r="J1658" i="14"/>
  <c r="V1658" i="14" s="1"/>
  <c r="J1110" i="14"/>
  <c r="V1110" i="14" s="1"/>
  <c r="J1230" i="14"/>
  <c r="V1230" i="14" s="1"/>
  <c r="J2798" i="14"/>
  <c r="V2798" i="14" s="1"/>
  <c r="J2338" i="14"/>
  <c r="V2338" i="14" s="1"/>
  <c r="J2254" i="14"/>
  <c r="V2254" i="14" s="1"/>
  <c r="J5582" i="14"/>
  <c r="K5582" i="14" s="1"/>
  <c r="L5582" i="14" s="1"/>
  <c r="M5582" i="14" s="1"/>
  <c r="J914" i="14"/>
  <c r="V914" i="14" s="1"/>
  <c r="J786" i="14"/>
  <c r="Q3454" i="14"/>
  <c r="Q4798" i="14"/>
  <c r="Q4446" i="14"/>
  <c r="Q5662" i="14"/>
  <c r="Q3534" i="14"/>
  <c r="Q770" i="14"/>
  <c r="Q3854" i="14"/>
  <c r="Q3886" i="14"/>
  <c r="Q4926" i="14"/>
  <c r="Q4782" i="14"/>
  <c r="Q5006" i="14"/>
  <c r="Q3566" i="14"/>
  <c r="Q4958" i="14"/>
  <c r="Q4670" i="14"/>
  <c r="Q5710" i="14"/>
  <c r="J5710" i="14"/>
  <c r="K5710" i="14" s="1"/>
  <c r="M5710" i="14" s="1"/>
  <c r="Q3742" i="14"/>
  <c r="Q3774" i="14"/>
  <c r="Q930" i="14"/>
  <c r="Q2454" i="14"/>
  <c r="Q4206" i="14"/>
  <c r="Q2862" i="14"/>
  <c r="Q5182" i="14"/>
  <c r="Q4270" i="14"/>
  <c r="Q3278" i="14"/>
  <c r="Q5598" i="14"/>
  <c r="Q5486" i="14"/>
  <c r="Q5822" i="14"/>
  <c r="Q5454" i="14"/>
  <c r="Q4398" i="14"/>
  <c r="Q4414" i="14"/>
  <c r="Q5102" i="14"/>
  <c r="Q4990" i="14"/>
  <c r="J5054" i="14"/>
  <c r="J4478" i="14"/>
  <c r="K4478" i="14" s="1"/>
  <c r="M4478" i="14" s="1"/>
  <c r="J4846" i="14"/>
  <c r="K4846" i="14" s="1"/>
  <c r="L4846" i="14" s="1"/>
  <c r="M4846" i="14" s="1"/>
  <c r="J4942" i="14"/>
  <c r="K4942" i="14" s="1"/>
  <c r="L4942" i="14" s="1"/>
  <c r="M4942" i="14" s="1"/>
  <c r="J4782" i="14"/>
  <c r="J2974" i="14"/>
  <c r="V2974" i="14" s="1"/>
  <c r="J4126" i="14"/>
  <c r="V4126" i="14" s="1"/>
  <c r="J3630" i="14"/>
  <c r="V3630" i="14" s="1"/>
  <c r="J3550" i="14"/>
  <c r="J3086" i="14"/>
  <c r="V3086" i="14" s="1"/>
  <c r="J2862" i="14"/>
  <c r="V2862" i="14" s="1"/>
  <c r="J2830" i="14"/>
  <c r="V2830" i="14" s="1"/>
  <c r="J2078" i="14"/>
  <c r="V2078" i="14" s="1"/>
  <c r="J1718" i="14"/>
  <c r="V1718" i="14" s="1"/>
  <c r="J1766" i="14"/>
  <c r="V1766" i="14" s="1"/>
  <c r="J1686" i="14"/>
  <c r="V1686" i="14" s="1"/>
  <c r="J1442" i="14"/>
  <c r="V1442" i="14" s="1"/>
  <c r="J2814" i="14"/>
  <c r="V2814" i="14" s="1"/>
  <c r="J358" i="14"/>
  <c r="J5758" i="14"/>
  <c r="K5758" i="14" s="1"/>
  <c r="L5758" i="14" s="1"/>
  <c r="M5758" i="14" s="1"/>
  <c r="J1290" i="14"/>
  <c r="V1290" i="14" s="1"/>
  <c r="J5486" i="14"/>
  <c r="K5486" i="14" s="1"/>
  <c r="L5486" i="14" s="1"/>
  <c r="M5486" i="14" s="1"/>
  <c r="J5646" i="14"/>
  <c r="K5646" i="14" s="1"/>
  <c r="L5646" i="14" s="1"/>
  <c r="M5646" i="14" s="1"/>
  <c r="Q1554" i="14"/>
  <c r="Q2590" i="14"/>
  <c r="Q4462" i="14"/>
  <c r="Q1910" i="14"/>
  <c r="Q2814" i="14"/>
  <c r="Q3758" i="14"/>
  <c r="Q5166" i="14"/>
  <c r="Q3470" i="14"/>
  <c r="Q2894" i="14"/>
  <c r="Q634" i="14"/>
  <c r="Q4846" i="14"/>
  <c r="Q4654" i="14"/>
  <c r="J5998" i="14"/>
  <c r="K5998" i="14" s="1"/>
  <c r="L5998" i="14" s="1"/>
  <c r="M5998" i="14" s="1"/>
  <c r="J6014" i="14"/>
  <c r="K6014" i="14" s="1"/>
  <c r="L6014" i="14" s="1"/>
  <c r="M6014" i="14" s="1"/>
  <c r="J5966" i="14"/>
  <c r="K5966" i="14" s="1"/>
  <c r="J5982" i="14"/>
  <c r="K5982" i="14" s="1"/>
  <c r="L5982" i="14" s="1"/>
  <c r="M5982" i="14" s="1"/>
  <c r="J5950" i="14"/>
  <c r="K5950" i="14" s="1"/>
  <c r="Q5902" i="14"/>
  <c r="Q5870" i="14"/>
  <c r="Q5886" i="14"/>
  <c r="Q5838" i="14"/>
  <c r="Q5854" i="14"/>
  <c r="Q3838" i="14"/>
  <c r="Q5054" i="14"/>
  <c r="Q4606" i="14"/>
  <c r="Q2026" i="14"/>
  <c r="Q1066" i="14"/>
  <c r="Q1658" i="14"/>
  <c r="Q3038" i="14"/>
  <c r="Q2990" i="14"/>
  <c r="Q4174" i="14"/>
  <c r="Q4158" i="14"/>
  <c r="Q4494" i="14"/>
  <c r="Q4510" i="14"/>
  <c r="Q4478" i="14"/>
  <c r="Q1590" i="14"/>
  <c r="Q3726" i="14"/>
  <c r="Q2402" i="14"/>
  <c r="Q4078" i="14"/>
  <c r="Q4110" i="14"/>
  <c r="Q4254" i="14"/>
  <c r="Q2694" i="14"/>
  <c r="Q1942" i="14"/>
  <c r="Q5214" i="14"/>
  <c r="Q4574" i="14"/>
  <c r="Q4718" i="14"/>
  <c r="Q1766" i="14"/>
  <c r="Q1110" i="14"/>
  <c r="Q3662" i="14"/>
  <c r="Q1254" i="14"/>
  <c r="Q4126" i="14"/>
  <c r="Q2114" i="14"/>
  <c r="Q5086" i="14"/>
  <c r="Q4542" i="14"/>
  <c r="Q1174" i="14"/>
  <c r="Q2534" i="14"/>
  <c r="Q2270" i="14"/>
  <c r="Q3326" i="14"/>
  <c r="Q2742" i="14"/>
  <c r="Q5038" i="14"/>
  <c r="Q1498" i="14"/>
  <c r="Q2502" i="14"/>
  <c r="Q3070" i="14"/>
  <c r="Q3006" i="14"/>
  <c r="Q4590" i="14"/>
  <c r="Q3646" i="14"/>
  <c r="Q4622" i="14"/>
  <c r="Q4526" i="14"/>
  <c r="Q4766" i="14"/>
  <c r="Q4030" i="14"/>
  <c r="Q2078" i="14"/>
  <c r="Q2010" i="14"/>
  <c r="Q3198" i="14"/>
  <c r="Q518" i="14"/>
  <c r="Q914" i="14"/>
  <c r="Q5358" i="14"/>
  <c r="Q4638" i="14"/>
  <c r="J5902" i="14"/>
  <c r="J5278" i="14"/>
  <c r="J4558" i="14"/>
  <c r="J4094" i="14"/>
  <c r="V4094" i="14" s="1"/>
  <c r="J4446" i="14"/>
  <c r="J4814" i="14"/>
  <c r="J4206" i="14"/>
  <c r="K4206" i="14" s="1"/>
  <c r="L4206" i="14" s="1"/>
  <c r="M4206" i="14" s="1"/>
  <c r="J3486" i="14"/>
  <c r="V3486" i="14" s="1"/>
  <c r="J3022" i="14"/>
  <c r="V3022" i="14" s="1"/>
  <c r="J3198" i="14"/>
  <c r="V3198" i="14" s="1"/>
  <c r="J2846" i="14"/>
  <c r="V2846" i="14" s="1"/>
  <c r="J4238" i="14"/>
  <c r="V4238" i="14" s="1"/>
  <c r="J4302" i="14"/>
  <c r="V4302" i="14" s="1"/>
  <c r="J4142" i="14"/>
  <c r="V4142" i="14" s="1"/>
  <c r="J2646" i="14"/>
  <c r="V2646" i="14" s="1"/>
  <c r="J2502" i="14"/>
  <c r="V2502" i="14" s="1"/>
  <c r="J2418" i="14"/>
  <c r="V2418" i="14" s="1"/>
  <c r="J2470" i="14"/>
  <c r="V2470" i="14" s="1"/>
  <c r="J518" i="14"/>
  <c r="V518" i="14" s="1"/>
  <c r="J2574" i="14"/>
  <c r="V2574" i="14" s="1"/>
  <c r="J2486" i="14"/>
  <c r="V2486" i="14" s="1"/>
  <c r="J2626" i="14"/>
  <c r="V2626" i="14" s="1"/>
  <c r="J5534" i="14"/>
  <c r="J5374" i="14"/>
  <c r="J5342" i="14"/>
  <c r="J5310" i="14"/>
  <c r="J5134" i="14"/>
  <c r="J5006" i="14"/>
  <c r="J4926" i="14"/>
  <c r="J4718" i="14"/>
  <c r="K4718" i="14" s="1"/>
  <c r="L4718" i="14" s="1"/>
  <c r="M4718" i="14" s="1"/>
  <c r="J4894" i="14"/>
  <c r="K4894" i="14" s="1"/>
  <c r="L4894" i="14" s="1"/>
  <c r="M4894" i="14" s="1"/>
  <c r="J4414" i="14"/>
  <c r="V4414" i="14" s="1"/>
  <c r="J4910" i="14"/>
  <c r="K4910" i="14" s="1"/>
  <c r="M4910" i="14" s="1"/>
  <c r="J3742" i="14"/>
  <c r="V3742" i="14" s="1"/>
  <c r="J3918" i="14"/>
  <c r="V3918" i="14" s="1"/>
  <c r="J4190" i="14"/>
  <c r="V4190" i="14" s="1"/>
  <c r="J3070" i="14"/>
  <c r="V3070" i="14" s="1"/>
  <c r="J3118" i="14"/>
  <c r="V3118" i="14" s="1"/>
  <c r="J3678" i="14"/>
  <c r="V3678" i="14" s="1"/>
  <c r="J3854" i="14"/>
  <c r="V3854" i="14" s="1"/>
  <c r="J4158" i="14"/>
  <c r="K4158" i="14" s="1"/>
  <c r="L4158" i="14" s="1"/>
  <c r="M4158" i="14" s="1"/>
  <c r="J3006" i="14"/>
  <c r="V3006" i="14" s="1"/>
  <c r="J3438" i="14"/>
  <c r="J2454" i="14"/>
  <c r="V2454" i="14" s="1"/>
  <c r="J2370" i="14"/>
  <c r="V2370" i="14" s="1"/>
  <c r="J2678" i="14"/>
  <c r="V2678" i="14" s="1"/>
  <c r="J1414" i="14"/>
  <c r="V1414" i="14" s="1"/>
  <c r="J2042" i="14"/>
  <c r="V2042" i="14" s="1"/>
  <c r="J2518" i="14"/>
  <c r="V2518" i="14" s="1"/>
  <c r="J2894" i="14"/>
  <c r="V2894" i="14" s="1"/>
  <c r="J1734" i="14"/>
  <c r="V1734" i="14" s="1"/>
  <c r="J2062" i="14"/>
  <c r="V2062" i="14" s="1"/>
  <c r="J2534" i="14"/>
  <c r="J1350" i="14"/>
  <c r="V1350" i="14" s="1"/>
  <c r="J5326" i="14"/>
  <c r="K5326" i="14" s="1"/>
  <c r="L5326" i="14" s="1"/>
  <c r="M5326" i="14" s="1"/>
  <c r="J5550" i="14"/>
  <c r="K5550" i="14" s="1"/>
  <c r="L5550" i="14" s="1"/>
  <c r="M5550" i="14" s="1"/>
  <c r="J1202" i="14"/>
  <c r="V1202" i="14" s="1"/>
  <c r="J5566" i="14"/>
  <c r="K5566" i="14" s="1"/>
  <c r="J5358" i="14"/>
  <c r="K5358" i="14" s="1"/>
  <c r="J5614" i="14"/>
  <c r="K5614" i="14" s="1"/>
  <c r="L5614" i="14" s="1"/>
  <c r="M5614" i="14" s="1"/>
  <c r="J5598" i="14"/>
  <c r="K5598" i="14" s="1"/>
  <c r="L5598" i="14" s="1"/>
  <c r="M5598" i="14" s="1"/>
  <c r="J5150" i="14"/>
  <c r="J4830" i="14"/>
  <c r="J4606" i="14"/>
  <c r="J4622" i="14"/>
  <c r="J5230" i="14"/>
  <c r="J4494" i="14"/>
  <c r="K4494" i="14" s="1"/>
  <c r="M4494" i="14" s="1"/>
  <c r="J4862" i="14"/>
  <c r="K4862" i="14" s="1"/>
  <c r="L4862" i="14" s="1"/>
  <c r="M4862" i="14" s="1"/>
  <c r="J4510" i="14"/>
  <c r="K4510" i="14" s="1"/>
  <c r="L4510" i="14" s="1"/>
  <c r="M4510" i="14" s="1"/>
  <c r="J3358" i="14"/>
  <c r="J3534" i="14"/>
  <c r="V3534" i="14" s="1"/>
  <c r="J3710" i="14"/>
  <c r="V3710" i="14" s="1"/>
  <c r="J3886" i="14"/>
  <c r="V3886" i="14" s="1"/>
  <c r="J2710" i="14"/>
  <c r="V2710" i="14" s="1"/>
  <c r="J3294" i="14"/>
  <c r="J3470" i="14"/>
  <c r="J3646" i="14"/>
  <c r="J4062" i="14"/>
  <c r="V4062" i="14" s="1"/>
  <c r="J2910" i="14"/>
  <c r="V2910" i="14" s="1"/>
  <c r="J2026" i="14"/>
  <c r="V2026" i="14" s="1"/>
  <c r="J1942" i="14"/>
  <c r="V1942" i="14" s="1"/>
  <c r="J2270" i="14"/>
  <c r="V2270" i="14" s="1"/>
  <c r="J2662" i="14"/>
  <c r="V2662" i="14" s="1"/>
  <c r="J1626" i="14"/>
  <c r="V1626" i="14" s="1"/>
  <c r="J2098" i="14"/>
  <c r="V2098" i="14" s="1"/>
  <c r="J2438" i="14"/>
  <c r="V2438" i="14" s="1"/>
  <c r="J1174" i="14"/>
  <c r="V1174" i="14" s="1"/>
  <c r="J1642" i="14"/>
  <c r="V1642" i="14" s="1"/>
  <c r="J2114" i="14"/>
  <c r="V2114" i="14" s="1"/>
  <c r="J5406" i="14"/>
  <c r="K5406" i="14" s="1"/>
  <c r="L5406" i="14" s="1"/>
  <c r="M5406" i="14" s="1"/>
  <c r="J5694" i="14"/>
  <c r="J670" i="14"/>
  <c r="V670" i="14" s="1"/>
  <c r="J5390" i="14"/>
  <c r="K5390" i="14" s="1"/>
  <c r="L5390" i="14" s="1"/>
  <c r="M5390" i="14" s="1"/>
  <c r="J1022" i="14"/>
  <c r="J5854" i="14"/>
  <c r="K5854" i="14" s="1"/>
  <c r="L5854" i="14" s="1"/>
  <c r="M5854" i="14" s="1"/>
  <c r="J5886" i="14"/>
  <c r="K5886" i="14" s="1"/>
  <c r="L5886" i="14" s="1"/>
  <c r="M5886" i="14" s="1"/>
  <c r="J5870" i="14"/>
  <c r="K5870" i="14" s="1"/>
  <c r="L5870" i="14" s="1"/>
  <c r="M5870" i="14" s="1"/>
  <c r="J5838" i="14"/>
  <c r="V4605" i="14" s="1"/>
  <c r="J7" i="14"/>
  <c r="J3166" i="14"/>
  <c r="J4334" i="14"/>
  <c r="V4334" i="14" s="1"/>
  <c r="J4286" i="14"/>
  <c r="V4286" i="14" s="1"/>
  <c r="J3102" i="14"/>
  <c r="V3102" i="14" s="1"/>
  <c r="J3406" i="14"/>
  <c r="V3406" i="14" s="1"/>
  <c r="J3966" i="14"/>
  <c r="V3966" i="14" s="1"/>
  <c r="J4254" i="14"/>
  <c r="V4254" i="14" s="1"/>
  <c r="J3246" i="14"/>
  <c r="V3246" i="14" s="1"/>
  <c r="J3934" i="14"/>
  <c r="V3934" i="14" s="1"/>
  <c r="J4398" i="14"/>
  <c r="J3342" i="14"/>
  <c r="J3774" i="14"/>
  <c r="J2726" i="14"/>
  <c r="V2726" i="14" s="1"/>
  <c r="J3310" i="14"/>
  <c r="J2590" i="14"/>
  <c r="V2590" i="14" s="1"/>
  <c r="J1458" i="14"/>
  <c r="V1458" i="14" s="1"/>
  <c r="J1514" i="14"/>
  <c r="V1514" i="14" s="1"/>
  <c r="J1994" i="14"/>
  <c r="V1994" i="14" s="1"/>
  <c r="J3150" i="14"/>
  <c r="V3150" i="14" s="1"/>
  <c r="Q3150" i="14"/>
  <c r="Q3166" i="14"/>
  <c r="J5294" i="14"/>
  <c r="Q2962" i="14"/>
  <c r="Q2936" i="14"/>
  <c r="Q2942" i="14"/>
  <c r="Q2598" i="14"/>
  <c r="Q2086" i="14"/>
  <c r="Q1670" i="14"/>
  <c r="Q2941" i="14"/>
  <c r="Q2357" i="14"/>
  <c r="Q2293" i="14"/>
  <c r="Q1526" i="14"/>
  <c r="Q1613" i="14"/>
  <c r="Q1668" i="14"/>
  <c r="Q1426" i="14"/>
  <c r="Q1362" i="14"/>
  <c r="Q1298" i="14"/>
  <c r="Q1373" i="14"/>
  <c r="Q1309" i="14"/>
  <c r="Q1181" i="14"/>
  <c r="Q1117" i="14"/>
  <c r="Q1053" i="14"/>
  <c r="Q989" i="14"/>
  <c r="Q1420" i="14"/>
  <c r="Q2561" i="14"/>
  <c r="Q2780" i="14"/>
  <c r="Q1666" i="14"/>
  <c r="Q1561" i="14"/>
  <c r="Q1374" i="14"/>
  <c r="Q1310" i="14"/>
  <c r="Q1182" i="14"/>
  <c r="Q1118" i="14"/>
  <c r="Q1385" i="14"/>
  <c r="Q1321" i="14"/>
  <c r="Q1129" i="14"/>
  <c r="Q1001" i="14"/>
  <c r="Q937" i="14"/>
  <c r="Q1368" i="14"/>
  <c r="Q1304" i="14"/>
  <c r="Q1240" i="14"/>
  <c r="Q1038" i="14"/>
  <c r="Q974" i="14"/>
  <c r="Q846" i="14"/>
  <c r="Q718" i="14"/>
  <c r="Q654" i="14"/>
  <c r="Q590" i="14"/>
  <c r="Q845" i="14"/>
  <c r="Q717" i="14"/>
  <c r="Q653" i="14"/>
  <c r="Q589" i="14"/>
  <c r="Q996" i="14"/>
  <c r="Q804" i="14"/>
  <c r="Q676" i="14"/>
  <c r="Q612" i="14"/>
  <c r="Q562" i="14"/>
  <c r="Q498" i="14"/>
  <c r="Q434" i="14"/>
  <c r="Q370" i="14"/>
  <c r="Q302" i="14"/>
  <c r="Q238" i="14"/>
  <c r="Q497" i="14"/>
  <c r="Q433" i="14"/>
  <c r="Q369" i="14"/>
  <c r="Q305" i="14"/>
  <c r="Q241" i="14"/>
  <c r="Q452" i="14"/>
  <c r="Q388" i="14"/>
  <c r="Q324" i="14"/>
  <c r="Q260" i="14"/>
  <c r="Q201" i="14"/>
  <c r="Q137" i="14"/>
  <c r="Q73" i="14"/>
  <c r="Q9" i="14"/>
  <c r="Q172" i="14"/>
  <c r="Q108" i="14"/>
  <c r="Q44" i="14"/>
  <c r="Q2190" i="14"/>
  <c r="Q2541" i="14"/>
  <c r="Q2349" i="14"/>
  <c r="Q2632" i="14"/>
  <c r="Q1966" i="14"/>
  <c r="Q1669" i="14"/>
  <c r="Q1788" i="14"/>
  <c r="Q1162" i="14"/>
  <c r="Q1429" i="14"/>
  <c r="Q1365" i="14"/>
  <c r="Q1301" i="14"/>
  <c r="Q1237" i="14"/>
  <c r="Q1045" i="14"/>
  <c r="Q981" i="14"/>
  <c r="Q1156" i="14"/>
  <c r="Q1082" i="14"/>
  <c r="Q2938" i="14"/>
  <c r="Q2786" i="14"/>
  <c r="Q2597" i="14"/>
  <c r="Q2560" i="14"/>
  <c r="Q1894" i="14"/>
  <c r="Q1789" i="14"/>
  <c r="Q1469" i="14"/>
  <c r="Q1524" i="14"/>
  <c r="Q1218" i="14"/>
  <c r="Q1154" i="14"/>
  <c r="Q1421" i="14"/>
  <c r="Q1357" i="14"/>
  <c r="Q1037" i="14"/>
  <c r="Q973" i="14"/>
  <c r="Q1468" i="14"/>
  <c r="Q2353" i="14"/>
  <c r="Q2225" i="14"/>
  <c r="Q1522" i="14"/>
  <c r="Q1673" i="14"/>
  <c r="Q2048" i="14"/>
  <c r="Q1664" i="14"/>
  <c r="Q1422" i="14"/>
  <c r="Q1358" i="14"/>
  <c r="Q1369" i="14"/>
  <c r="Q1305" i="14"/>
  <c r="Q1241" i="14"/>
  <c r="Q1049" i="14"/>
  <c r="Q985" i="14"/>
  <c r="Q1160" i="14"/>
  <c r="Q1096" i="14"/>
  <c r="Q1086" i="14"/>
  <c r="Q958" i="14"/>
  <c r="Q894" i="14"/>
  <c r="Q830" i="14"/>
  <c r="Q893" i="14"/>
  <c r="Q829" i="14"/>
  <c r="Q573" i="14"/>
  <c r="Q1044" i="14"/>
  <c r="Q980" i="14"/>
  <c r="Q852" i="14"/>
  <c r="Q724" i="14"/>
  <c r="Q596" i="14"/>
  <c r="Q482" i="14"/>
  <c r="Q418" i="14"/>
  <c r="Q286" i="14"/>
  <c r="Q481" i="14"/>
  <c r="Q417" i="14"/>
  <c r="Q289" i="14"/>
  <c r="Q564" i="14"/>
  <c r="Q500" i="14"/>
  <c r="Q436" i="14"/>
  <c r="Q372" i="14"/>
  <c r="Q308" i="14"/>
  <c r="Q244" i="14"/>
  <c r="Q185" i="14"/>
  <c r="Q121" i="14"/>
  <c r="Q57" i="14"/>
  <c r="Q220" i="14"/>
  <c r="Q156" i="14"/>
  <c r="Q92" i="14"/>
  <c r="Q28" i="14"/>
  <c r="Q2781" i="14"/>
  <c r="Q2424" i="14"/>
  <c r="Q1525" i="14"/>
  <c r="Q1964" i="14"/>
  <c r="Q1466" i="14"/>
  <c r="Q1402" i="14"/>
  <c r="Q1338" i="14"/>
  <c r="Q1210" i="14"/>
  <c r="Q1146" i="14"/>
  <c r="Q1157" i="14"/>
  <c r="Q1093" i="14"/>
  <c r="Q1029" i="14"/>
  <c r="Q965" i="14"/>
  <c r="Q901" i="14"/>
  <c r="Q1396" i="14"/>
  <c r="Q1332" i="14"/>
  <c r="Q1140" i="14"/>
  <c r="Q1002" i="14"/>
  <c r="Q938" i="14"/>
  <c r="Q810" i="14"/>
  <c r="Q682" i="14"/>
  <c r="Q618" i="14"/>
  <c r="Q809" i="14"/>
  <c r="Q681" i="14"/>
  <c r="Q617" i="14"/>
  <c r="Q1088" i="14"/>
  <c r="Q960" i="14"/>
  <c r="Q896" i="14"/>
  <c r="Q832" i="14"/>
  <c r="Q640" i="14"/>
  <c r="Q526" i="14"/>
  <c r="Q462" i="14"/>
  <c r="Q398" i="14"/>
  <c r="Q330" i="14"/>
  <c r="Q266" i="14"/>
  <c r="Q525" i="14"/>
  <c r="Q461" i="14"/>
  <c r="Q397" i="14"/>
  <c r="Q333" i="14"/>
  <c r="Q269" i="14"/>
  <c r="Q480" i="14"/>
  <c r="Q416" i="14"/>
  <c r="Q288" i="14"/>
  <c r="Q229" i="14"/>
  <c r="Q165" i="14"/>
  <c r="Q101" i="14"/>
  <c r="Q37" i="14"/>
  <c r="Q200" i="14"/>
  <c r="Q136" i="14"/>
  <c r="Q72" i="14"/>
  <c r="Q8" i="14"/>
  <c r="Q210" i="14"/>
  <c r="Q146" i="14"/>
  <c r="Q82" i="14"/>
  <c r="Q18" i="14"/>
  <c r="Q2961" i="14"/>
  <c r="Q2940" i="14"/>
  <c r="Q2934" i="14"/>
  <c r="Q2782" i="14"/>
  <c r="Q2932" i="14"/>
  <c r="Q2358" i="14"/>
  <c r="Q2294" i="14"/>
  <c r="Q2352" i="14"/>
  <c r="Q2224" i="14"/>
  <c r="Q1965" i="14"/>
  <c r="Q2084" i="14"/>
  <c r="Q1892" i="14"/>
  <c r="Q1394" i="14"/>
  <c r="Q1330" i="14"/>
  <c r="Q1138" i="14"/>
  <c r="Q1213" i="14"/>
  <c r="Q1149" i="14"/>
  <c r="Q1085" i="14"/>
  <c r="Q957" i="14"/>
  <c r="Q1388" i="14"/>
  <c r="Q2960" i="14"/>
  <c r="Q2562" i="14"/>
  <c r="Q2050" i="14"/>
  <c r="Q2785" i="14"/>
  <c r="Q1826" i="14"/>
  <c r="Q1465" i="14"/>
  <c r="Q1470" i="14"/>
  <c r="Q1214" i="14"/>
  <c r="Q1150" i="14"/>
  <c r="Q1161" i="14"/>
  <c r="Q1097" i="14"/>
  <c r="Q1033" i="14"/>
  <c r="Q969" i="14"/>
  <c r="Q1464" i="14"/>
  <c r="Q1400" i="14"/>
  <c r="Q1336" i="14"/>
  <c r="Q1208" i="14"/>
  <c r="Q1144" i="14"/>
  <c r="Q1006" i="14"/>
  <c r="Q942" i="14"/>
  <c r="Q814" i="14"/>
  <c r="Q750" i="14"/>
  <c r="Q686" i="14"/>
  <c r="Q1314" i="14"/>
  <c r="Q1389" i="14"/>
  <c r="Q1133" i="14"/>
  <c r="Q1897" i="14"/>
  <c r="Q1384" i="14"/>
  <c r="Q1128" i="14"/>
  <c r="Q861" i="14"/>
  <c r="Q605" i="14"/>
  <c r="Q884" i="14"/>
  <c r="Q756" i="14"/>
  <c r="Q578" i="14"/>
  <c r="Q450" i="14"/>
  <c r="Q318" i="14"/>
  <c r="Q385" i="14"/>
  <c r="Q257" i="14"/>
  <c r="Q468" i="14"/>
  <c r="Q340" i="14"/>
  <c r="Q217" i="14"/>
  <c r="Q89" i="14"/>
  <c r="Q188" i="14"/>
  <c r="Q60" i="14"/>
  <c r="Q1790" i="14"/>
  <c r="Q1612" i="14"/>
  <c r="Q1306" i="14"/>
  <c r="Q1381" i="14"/>
  <c r="Q1125" i="14"/>
  <c r="Q997" i="14"/>
  <c r="Q1364" i="14"/>
  <c r="Q1236" i="14"/>
  <c r="Q1034" i="14"/>
  <c r="Q842" i="14"/>
  <c r="Q586" i="14"/>
  <c r="Q825" i="14"/>
  <c r="Q729" i="14"/>
  <c r="Q649" i="14"/>
  <c r="Q569" i="14"/>
  <c r="Q1008" i="14"/>
  <c r="Q848" i="14"/>
  <c r="Q752" i="14"/>
  <c r="Q592" i="14"/>
  <c r="Q542" i="14"/>
  <c r="Q446" i="14"/>
  <c r="Q366" i="14"/>
  <c r="Q282" i="14"/>
  <c r="Q429" i="14"/>
  <c r="Q253" i="14"/>
  <c r="Q432" i="14"/>
  <c r="Q336" i="14"/>
  <c r="Q256" i="14"/>
  <c r="Q181" i="14"/>
  <c r="Q85" i="14"/>
  <c r="Q232" i="14"/>
  <c r="Q152" i="14"/>
  <c r="Q56" i="14"/>
  <c r="Q178" i="14"/>
  <c r="Q98" i="14"/>
  <c r="Q1898" i="14"/>
  <c r="Q2784" i="14"/>
  <c r="Q2346" i="14"/>
  <c r="Q2154" i="14"/>
  <c r="Q2633" i="14"/>
  <c r="Q2596" i="14"/>
  <c r="Q1190" i="14"/>
  <c r="Q1009" i="14"/>
  <c r="Q1376" i="14"/>
  <c r="Q1120" i="14"/>
  <c r="Q1046" i="14"/>
  <c r="Q853" i="14"/>
  <c r="Q725" i="14"/>
  <c r="Q597" i="14"/>
  <c r="Q1004" i="14"/>
  <c r="Q748" i="14"/>
  <c r="Q620" i="14"/>
  <c r="Q570" i="14"/>
  <c r="Q182" i="14"/>
  <c r="Q10" i="14"/>
  <c r="Q1366" i="14"/>
  <c r="Q1185" i="14"/>
  <c r="Q1212" i="14"/>
  <c r="Q1010" i="14"/>
  <c r="Q882" i="14"/>
  <c r="Q754" i="14"/>
  <c r="Q817" i="14"/>
  <c r="Q689" i="14"/>
  <c r="Q561" i="14"/>
  <c r="Q968" i="14"/>
  <c r="Q840" i="14"/>
  <c r="Q712" i="14"/>
  <c r="Q584" i="14"/>
  <c r="Q534" i="14"/>
  <c r="Q406" i="14"/>
  <c r="Q274" i="14"/>
  <c r="Q469" i="14"/>
  <c r="Q341" i="14"/>
  <c r="Q424" i="14"/>
  <c r="Q296" i="14"/>
  <c r="Q173" i="14"/>
  <c r="Q45" i="14"/>
  <c r="Q144" i="14"/>
  <c r="Q16" i="14"/>
  <c r="Q198" i="14"/>
  <c r="Q110" i="14"/>
  <c r="Q26" i="14"/>
  <c r="Q161" i="14"/>
  <c r="Q33" i="14"/>
  <c r="Q505" i="14"/>
  <c r="Q300" i="14"/>
  <c r="Q49" i="14"/>
  <c r="Q52" i="14"/>
  <c r="Q1158" i="14"/>
  <c r="Q977" i="14"/>
  <c r="Q1360" i="14"/>
  <c r="Q1030" i="14"/>
  <c r="Q902" i="14"/>
  <c r="Q646" i="14"/>
  <c r="Q837" i="14"/>
  <c r="Q581" i="14"/>
  <c r="Q988" i="14"/>
  <c r="Q860" i="14"/>
  <c r="Q604" i="14"/>
  <c r="Q426" i="14"/>
  <c r="Q294" i="14"/>
  <c r="Q489" i="14"/>
  <c r="Q572" i="14"/>
  <c r="Q444" i="14"/>
  <c r="Q316" i="14"/>
  <c r="Q164" i="14"/>
  <c r="Q36" i="14"/>
  <c r="Q214" i="14"/>
  <c r="Q126" i="14"/>
  <c r="Q22" i="14"/>
  <c r="Q441" i="14"/>
  <c r="Q492" i="14"/>
  <c r="Q236" i="14"/>
  <c r="Q212" i="14"/>
  <c r="Q94" i="14"/>
  <c r="Q1398" i="14"/>
  <c r="Q1142" i="14"/>
  <c r="Q1217" i="14"/>
  <c r="Q961" i="14"/>
  <c r="Q1356" i="14"/>
  <c r="Q898" i="14"/>
  <c r="Q642" i="14"/>
  <c r="Q833" i="14"/>
  <c r="Q577" i="14"/>
  <c r="Q984" i="14"/>
  <c r="Q856" i="14"/>
  <c r="Q728" i="14"/>
  <c r="Q600" i="14"/>
  <c r="Q422" i="14"/>
  <c r="Q290" i="14"/>
  <c r="Q485" i="14"/>
  <c r="Q568" i="14"/>
  <c r="Q440" i="14"/>
  <c r="Q312" i="14"/>
  <c r="Q189" i="14"/>
  <c r="Q61" i="14"/>
  <c r="Q160" i="14"/>
  <c r="Q32" i="14"/>
  <c r="Q206" i="14"/>
  <c r="Q122" i="14"/>
  <c r="Q38" i="14"/>
  <c r="Q410" i="14"/>
  <c r="Q1325" i="14"/>
  <c r="Q2226" i="14"/>
  <c r="Q1824" i="14"/>
  <c r="Q1390" i="14"/>
  <c r="Q1134" i="14"/>
  <c r="Q1209" i="14"/>
  <c r="Q953" i="14"/>
  <c r="Q1320" i="14"/>
  <c r="Q862" i="14"/>
  <c r="Q622" i="14"/>
  <c r="Q813" i="14"/>
  <c r="Q685" i="14"/>
  <c r="Q1092" i="14"/>
  <c r="Q964" i="14"/>
  <c r="Q836" i="14"/>
  <c r="Q580" i="14"/>
  <c r="Q530" i="14"/>
  <c r="Q402" i="14"/>
  <c r="Q270" i="14"/>
  <c r="Q465" i="14"/>
  <c r="Q337" i="14"/>
  <c r="Q420" i="14"/>
  <c r="Q292" i="14"/>
  <c r="Q169" i="14"/>
  <c r="Q41" i="14"/>
  <c r="Q140" i="14"/>
  <c r="Q12" i="14"/>
  <c r="Q2350" i="14"/>
  <c r="Q1614" i="14"/>
  <c r="Q2085" i="14"/>
  <c r="Q1386" i="14"/>
  <c r="Q1130" i="14"/>
  <c r="Q1333" i="14"/>
  <c r="Q1077" i="14"/>
  <c r="Q949" i="14"/>
  <c r="Q1316" i="14"/>
  <c r="Q1188" i="14"/>
  <c r="Q986" i="14"/>
  <c r="Q826" i="14"/>
  <c r="Q730" i="14"/>
  <c r="Q650" i="14"/>
  <c r="Q889" i="14"/>
  <c r="Q793" i="14"/>
  <c r="Q713" i="14"/>
  <c r="Q1072" i="14"/>
  <c r="Q992" i="14"/>
  <c r="Q816" i="14"/>
  <c r="Q656" i="14"/>
  <c r="Q430" i="14"/>
  <c r="Q346" i="14"/>
  <c r="Q250" i="14"/>
  <c r="Q493" i="14"/>
  <c r="Q413" i="14"/>
  <c r="Q317" i="14"/>
  <c r="Q576" i="14"/>
  <c r="Q496" i="14"/>
  <c r="Q400" i="14"/>
  <c r="Q320" i="14"/>
  <c r="Q240" i="14"/>
  <c r="Q149" i="14"/>
  <c r="Q69" i="14"/>
  <c r="Q216" i="14"/>
  <c r="Q120" i="14"/>
  <c r="Q40" i="14"/>
  <c r="Q162" i="14"/>
  <c r="Q66" i="14"/>
  <c r="Q2049" i="14"/>
  <c r="Q2425" i="14"/>
  <c r="Q1562" i="14"/>
  <c r="Q1560" i="14"/>
  <c r="Q1382" i="14"/>
  <c r="Q1126" i="14"/>
  <c r="Q945" i="14"/>
  <c r="Q1216" i="14"/>
  <c r="Q886" i="14"/>
  <c r="Q758" i="14"/>
  <c r="Q821" i="14"/>
  <c r="Q693" i="14"/>
  <c r="Q565" i="14"/>
  <c r="Q972" i="14"/>
  <c r="Q844" i="14"/>
  <c r="Q716" i="14"/>
  <c r="Q588" i="14"/>
  <c r="Q538" i="14"/>
  <c r="Q138" i="14"/>
  <c r="Q1302" i="14"/>
  <c r="Q1377" i="14"/>
  <c r="Q1121" i="14"/>
  <c r="Q1308" i="14"/>
  <c r="Q1180" i="14"/>
  <c r="Q978" i="14"/>
  <c r="Q850" i="14"/>
  <c r="Q722" i="14"/>
  <c r="Q594" i="14"/>
  <c r="Q657" i="14"/>
  <c r="Q936" i="14"/>
  <c r="Q808" i="14"/>
  <c r="Q680" i="14"/>
  <c r="Q502" i="14"/>
  <c r="Q374" i="14"/>
  <c r="Q242" i="14"/>
  <c r="Q437" i="14"/>
  <c r="Q309" i="14"/>
  <c r="Q392" i="14"/>
  <c r="Q264" i="14"/>
  <c r="Q141" i="14"/>
  <c r="Q13" i="14"/>
  <c r="Q112" i="14"/>
  <c r="Q174" i="14"/>
  <c r="Q90" i="14"/>
  <c r="Q252" i="14"/>
  <c r="Q129" i="14"/>
  <c r="Q42" i="14"/>
  <c r="Q409" i="14"/>
  <c r="Q524" i="14"/>
  <c r="Q268" i="14"/>
  <c r="Q17" i="14"/>
  <c r="Q1425" i="14"/>
  <c r="Q1328" i="14"/>
  <c r="Q998" i="14"/>
  <c r="Q614" i="14"/>
  <c r="Q805" i="14"/>
  <c r="Q677" i="14"/>
  <c r="Q1084" i="14"/>
  <c r="Q956" i="14"/>
  <c r="Q828" i="14"/>
  <c r="Q394" i="14"/>
  <c r="Q262" i="14"/>
  <c r="Q457" i="14"/>
  <c r="Q329" i="14"/>
  <c r="Q540" i="14"/>
  <c r="Q412" i="14"/>
  <c r="Q284" i="14"/>
  <c r="Q132" i="14"/>
  <c r="Q190" i="14"/>
  <c r="Q106" i="14"/>
  <c r="Q278" i="14"/>
  <c r="Q377" i="14"/>
  <c r="Q460" i="14"/>
  <c r="Q209" i="14"/>
  <c r="Q148" i="14"/>
  <c r="Q202" i="14"/>
  <c r="Q54" i="14"/>
  <c r="Q1521" i="14"/>
  <c r="Q1334" i="14"/>
  <c r="Q1153" i="14"/>
  <c r="Q1520" i="14"/>
  <c r="Q1324" i="14"/>
  <c r="Q994" i="14"/>
  <c r="Q610" i="14"/>
  <c r="Q801" i="14"/>
  <c r="Q1080" i="14"/>
  <c r="Q952" i="14"/>
  <c r="Q824" i="14"/>
  <c r="Q390" i="14"/>
  <c r="Q258" i="14"/>
  <c r="Q453" i="14"/>
  <c r="Q325" i="14"/>
  <c r="Q536" i="14"/>
  <c r="Q408" i="14"/>
  <c r="Q280" i="14"/>
  <c r="Q157" i="14"/>
  <c r="Q29" i="14"/>
  <c r="Q128" i="14"/>
  <c r="Q186" i="14"/>
  <c r="Q102" i="14"/>
  <c r="Q14" i="14"/>
  <c r="Q378" i="14"/>
  <c r="Q1186" i="14"/>
  <c r="Q1261" i="14"/>
  <c r="Q1005" i="14"/>
  <c r="Q2634" i="14"/>
  <c r="Q2348" i="14"/>
  <c r="Q1326" i="14"/>
  <c r="Q1401" i="14"/>
  <c r="Q1145" i="14"/>
  <c r="Q1054" i="14"/>
  <c r="Q798" i="14"/>
  <c r="Q606" i="14"/>
  <c r="Q797" i="14"/>
  <c r="Q1076" i="14"/>
  <c r="Q948" i="14"/>
  <c r="Q820" i="14"/>
  <c r="Q692" i="14"/>
  <c r="Q386" i="14"/>
  <c r="Q254" i="14"/>
  <c r="Q449" i="14"/>
  <c r="Q321" i="14"/>
  <c r="Q532" i="14"/>
  <c r="Q404" i="14"/>
  <c r="Q276" i="14"/>
  <c r="Q153" i="14"/>
  <c r="Q25" i="14"/>
  <c r="Q124" i="14"/>
  <c r="Q2188" i="14"/>
  <c r="Q1370" i="14"/>
  <c r="Q1242" i="14"/>
  <c r="Q1317" i="14"/>
  <c r="Q1189" i="14"/>
  <c r="Q1428" i="14"/>
  <c r="Q1300" i="14"/>
  <c r="Q1098" i="14"/>
  <c r="Q970" i="14"/>
  <c r="Q890" i="14"/>
  <c r="Q794" i="14"/>
  <c r="Q714" i="14"/>
  <c r="Q857" i="14"/>
  <c r="Q601" i="14"/>
  <c r="Q976" i="14"/>
  <c r="Q880" i="14"/>
  <c r="Q800" i="14"/>
  <c r="Q720" i="14"/>
  <c r="Q574" i="14"/>
  <c r="Q494" i="14"/>
  <c r="Q414" i="14"/>
  <c r="Q314" i="14"/>
  <c r="Q477" i="14"/>
  <c r="Q381" i="14"/>
  <c r="Q301" i="14"/>
  <c r="Q560" i="14"/>
  <c r="Q464" i="14"/>
  <c r="Q384" i="14"/>
  <c r="Q304" i="14"/>
  <c r="Q213" i="14"/>
  <c r="Q133" i="14"/>
  <c r="Q53" i="14"/>
  <c r="Q184" i="14"/>
  <c r="Q104" i="14"/>
  <c r="Q24" i="14"/>
  <c r="Q226" i="14"/>
  <c r="Q130" i="14"/>
  <c r="Q50" i="14"/>
  <c r="Q2933" i="14"/>
  <c r="Q2345" i="14"/>
  <c r="Q2153" i="14"/>
  <c r="Q1674" i="14"/>
  <c r="Q1318" i="14"/>
  <c r="Q1393" i="14"/>
  <c r="Q1137" i="14"/>
  <c r="Q1312" i="14"/>
  <c r="Q1184" i="14"/>
  <c r="Q982" i="14"/>
  <c r="Q854" i="14"/>
  <c r="Q726" i="14"/>
  <c r="Q598" i="14"/>
  <c r="Q940" i="14"/>
  <c r="Q812" i="14"/>
  <c r="Q684" i="14"/>
  <c r="Q506" i="14"/>
  <c r="Q74" i="14"/>
  <c r="Q1672" i="14"/>
  <c r="Q1238" i="14"/>
  <c r="Q1313" i="14"/>
  <c r="Q1424" i="14"/>
  <c r="Q1148" i="14"/>
  <c r="Q1074" i="14"/>
  <c r="Q946" i="14"/>
  <c r="Q818" i="14"/>
  <c r="Q690" i="14"/>
  <c r="Q881" i="14"/>
  <c r="Q753" i="14"/>
  <c r="Q1032" i="14"/>
  <c r="Q648" i="14"/>
  <c r="Q470" i="14"/>
  <c r="Q338" i="14"/>
  <c r="Q533" i="14"/>
  <c r="Q405" i="14"/>
  <c r="Q277" i="14"/>
  <c r="Q488" i="14"/>
  <c r="Q237" i="14"/>
  <c r="Q109" i="14"/>
  <c r="Q208" i="14"/>
  <c r="Q80" i="14"/>
  <c r="Q154" i="14"/>
  <c r="Q70" i="14"/>
  <c r="Q225" i="14"/>
  <c r="Q97" i="14"/>
  <c r="Q310" i="14"/>
  <c r="Q345" i="14"/>
  <c r="Q428" i="14"/>
  <c r="Q177" i="14"/>
  <c r="Q180" i="14"/>
  <c r="Q1361" i="14"/>
  <c r="Q1296" i="14"/>
  <c r="Q1094" i="14"/>
  <c r="Q966" i="14"/>
  <c r="Q838" i="14"/>
  <c r="Q582" i="14"/>
  <c r="Q645" i="14"/>
  <c r="Q1052" i="14"/>
  <c r="Q796" i="14"/>
  <c r="Q490" i="14"/>
  <c r="Q425" i="14"/>
  <c r="Q297" i="14"/>
  <c r="Q380" i="14"/>
  <c r="Q228" i="14"/>
  <c r="Q100" i="14"/>
  <c r="Q170" i="14"/>
  <c r="Q86" i="14"/>
  <c r="Q246" i="14"/>
  <c r="Q281" i="14"/>
  <c r="Q364" i="14"/>
  <c r="Q145" i="14"/>
  <c r="Q116" i="14"/>
  <c r="Q158" i="14"/>
  <c r="Q1089" i="14"/>
  <c r="Q1090" i="14"/>
  <c r="Q962" i="14"/>
  <c r="Q834" i="14"/>
  <c r="Q897" i="14"/>
  <c r="Q641" i="14"/>
  <c r="Q1048" i="14"/>
  <c r="Q792" i="14"/>
  <c r="Q486" i="14"/>
  <c r="Q421" i="14"/>
  <c r="Q293" i="14"/>
  <c r="Q504" i="14"/>
  <c r="Q376" i="14"/>
  <c r="Q248" i="14"/>
  <c r="Q125" i="14"/>
  <c r="Q224" i="14"/>
  <c r="Q96" i="14"/>
  <c r="Q166" i="14"/>
  <c r="Q78" i="14"/>
  <c r="Q474" i="14"/>
  <c r="Q342" i="14"/>
  <c r="Q1378" i="14"/>
  <c r="Q1122" i="14"/>
  <c r="Q941" i="14"/>
  <c r="Q2354" i="14"/>
  <c r="Q2540" i="14"/>
  <c r="Q1262" i="14"/>
  <c r="Q1337" i="14"/>
  <c r="Q1081" i="14"/>
  <c r="Q990" i="14"/>
  <c r="Q749" i="14"/>
  <c r="Q621" i="14"/>
  <c r="Q1028" i="14"/>
  <c r="Q900" i="14"/>
  <c r="Q644" i="14"/>
  <c r="Q466" i="14"/>
  <c r="Q334" i="14"/>
  <c r="Q529" i="14"/>
  <c r="Q401" i="14"/>
  <c r="Q273" i="14"/>
  <c r="Q484" i="14"/>
  <c r="Q233" i="14"/>
  <c r="Q105" i="14"/>
  <c r="Q204" i="14"/>
  <c r="Q76" i="14"/>
  <c r="Q2937" i="14"/>
  <c r="Q2542" i="14"/>
  <c r="Q2189" i="14"/>
  <c r="Q2344" i="14"/>
  <c r="Q1893" i="14"/>
  <c r="Q1322" i="14"/>
  <c r="Q1397" i="14"/>
  <c r="Q1141" i="14"/>
  <c r="Q1380" i="14"/>
  <c r="Q1124" i="14"/>
  <c r="Q1050" i="14"/>
  <c r="Q954" i="14"/>
  <c r="Q858" i="14"/>
  <c r="Q602" i="14"/>
  <c r="Q841" i="14"/>
  <c r="Q585" i="14"/>
  <c r="Q1040" i="14"/>
  <c r="Q944" i="14"/>
  <c r="Q688" i="14"/>
  <c r="Q608" i="14"/>
  <c r="Q478" i="14"/>
  <c r="Q382" i="14"/>
  <c r="Q298" i="14"/>
  <c r="Q541" i="14"/>
  <c r="Q445" i="14"/>
  <c r="Q365" i="14"/>
  <c r="Q285" i="14"/>
  <c r="Q528" i="14"/>
  <c r="Q448" i="14"/>
  <c r="Q368" i="14"/>
  <c r="Q272" i="14"/>
  <c r="Q197" i="14"/>
  <c r="Q117" i="14"/>
  <c r="Q21" i="14"/>
  <c r="Q168" i="14"/>
  <c r="Q88" i="14"/>
  <c r="Q194" i="14"/>
  <c r="Q114" i="14"/>
  <c r="Q34" i="14"/>
  <c r="Q1825" i="14"/>
  <c r="Q2426" i="14"/>
  <c r="Q2356" i="14"/>
  <c r="Q2292" i="14"/>
  <c r="Q1329" i="14"/>
  <c r="Q1073" i="14"/>
  <c r="Q1152" i="14"/>
  <c r="Q1078" i="14"/>
  <c r="Q950" i="14"/>
  <c r="Q822" i="14"/>
  <c r="Q694" i="14"/>
  <c r="Q885" i="14"/>
  <c r="Q757" i="14"/>
  <c r="Q1036" i="14"/>
  <c r="Q652" i="14"/>
  <c r="Q222" i="14"/>
  <c r="Q30" i="14"/>
  <c r="Q1430" i="14"/>
  <c r="Q993" i="14"/>
  <c r="Q1372" i="14"/>
  <c r="Q1116" i="14"/>
  <c r="Q1042" i="14"/>
  <c r="Q658" i="14"/>
  <c r="Q849" i="14"/>
  <c r="Q721" i="14"/>
  <c r="Q593" i="14"/>
  <c r="Q1000" i="14"/>
  <c r="Q616" i="14"/>
  <c r="Q566" i="14"/>
  <c r="Q438" i="14"/>
  <c r="Q306" i="14"/>
  <c r="Q501" i="14"/>
  <c r="Q373" i="14"/>
  <c r="Q245" i="14"/>
  <c r="Q456" i="14"/>
  <c r="Q328" i="14"/>
  <c r="Q205" i="14"/>
  <c r="Q77" i="14"/>
  <c r="Q176" i="14"/>
  <c r="Q48" i="14"/>
  <c r="Q218" i="14"/>
  <c r="Q134" i="14"/>
  <c r="Q46" i="14"/>
  <c r="Q193" i="14"/>
  <c r="Q65" i="14"/>
  <c r="Q537" i="14"/>
  <c r="Q313" i="14"/>
  <c r="Q396" i="14"/>
  <c r="Q113" i="14"/>
  <c r="Q84" i="14"/>
  <c r="Q1665" i="14"/>
  <c r="Q1297" i="14"/>
  <c r="Q1041" i="14"/>
  <c r="Q1136" i="14"/>
  <c r="Q806" i="14"/>
  <c r="Q678" i="14"/>
  <c r="Q613" i="14"/>
  <c r="Q892" i="14"/>
  <c r="Q458" i="14"/>
  <c r="Q326" i="14"/>
  <c r="Q393" i="14"/>
  <c r="Q265" i="14"/>
  <c r="Q476" i="14"/>
  <c r="Q196" i="14"/>
  <c r="Q68" i="14"/>
  <c r="Q234" i="14"/>
  <c r="Q150" i="14"/>
  <c r="Q62" i="14"/>
  <c r="Q473" i="14"/>
  <c r="Q249" i="14"/>
  <c r="Q332" i="14"/>
  <c r="Q81" i="14"/>
  <c r="Q20" i="14"/>
  <c r="Q118" i="14"/>
  <c r="Q2152" i="14"/>
  <c r="Q1896" i="14"/>
  <c r="Q1392" i="14"/>
  <c r="Q1260" i="14"/>
  <c r="Q1132" i="14"/>
  <c r="Q802" i="14"/>
  <c r="Q609" i="14"/>
  <c r="Q888" i="14"/>
  <c r="Q454" i="14"/>
  <c r="Q322" i="14"/>
  <c r="Q389" i="14"/>
  <c r="Q261" i="14"/>
  <c r="Q472" i="14"/>
  <c r="Q344" i="14"/>
  <c r="Q221" i="14"/>
  <c r="Q93" i="14"/>
  <c r="Q192" i="14"/>
  <c r="Q64" i="14"/>
  <c r="Q230" i="14"/>
  <c r="Q142" i="14"/>
  <c r="Q58" i="14"/>
  <c r="Q442" i="14"/>
  <c r="J2937" i="14"/>
  <c r="V2937" i="14" s="1"/>
  <c r="J2786" i="14"/>
  <c r="J2226" i="14"/>
  <c r="V2226" i="14" s="1"/>
  <c r="J1893" i="14"/>
  <c r="J1666" i="14"/>
  <c r="V1666" i="14" s="1"/>
  <c r="J1560" i="14"/>
  <c r="V1560" i="14" s="1"/>
  <c r="J1469" i="14"/>
  <c r="V1469" i="14" s="1"/>
  <c r="J1392" i="14"/>
  <c r="V1392" i="14" s="1"/>
  <c r="J1376" i="14"/>
  <c r="V1376" i="14" s="1"/>
  <c r="J1360" i="14"/>
  <c r="V1360" i="14" s="1"/>
  <c r="J1329" i="14"/>
  <c r="V1329" i="14" s="1"/>
  <c r="J1313" i="14"/>
  <c r="J1297" i="14"/>
  <c r="V1297" i="14" s="1"/>
  <c r="J1236" i="14"/>
  <c r="V1236" i="14" s="1"/>
  <c r="J1190" i="14"/>
  <c r="V1190" i="14" s="1"/>
  <c r="J1096" i="14"/>
  <c r="V1096" i="14" s="1"/>
  <c r="J1080" i="14"/>
  <c r="V1080" i="14" s="1"/>
  <c r="J1049" i="14"/>
  <c r="V1049" i="14" s="1"/>
  <c r="J1033" i="14"/>
  <c r="V1033" i="14" s="1"/>
  <c r="J1002" i="14"/>
  <c r="V1002" i="14" s="1"/>
  <c r="J986" i="14"/>
  <c r="V986" i="14" s="1"/>
  <c r="J970" i="14"/>
  <c r="J954" i="14"/>
  <c r="J938" i="14"/>
  <c r="V938" i="14" s="1"/>
  <c r="J892" i="14"/>
  <c r="V892" i="14" s="1"/>
  <c r="J861" i="14"/>
  <c r="V861" i="14" s="1"/>
  <c r="J845" i="14"/>
  <c r="V845" i="14" s="1"/>
  <c r="J829" i="14"/>
  <c r="V829" i="14" s="1"/>
  <c r="J813" i="14"/>
  <c r="V813" i="14" s="1"/>
  <c r="J797" i="14"/>
  <c r="V797" i="14" s="1"/>
  <c r="J720" i="14"/>
  <c r="V720" i="14" s="1"/>
  <c r="J689" i="14"/>
  <c r="V689" i="14" s="1"/>
  <c r="J658" i="14"/>
  <c r="V658" i="14" s="1"/>
  <c r="J642" i="14"/>
  <c r="V642" i="14" s="1"/>
  <c r="J532" i="14"/>
  <c r="V532" i="14" s="1"/>
  <c r="J501" i="14"/>
  <c r="V501" i="14" s="1"/>
  <c r="J485" i="14"/>
  <c r="J469" i="14"/>
  <c r="V469" i="14" s="1"/>
  <c r="J453" i="14"/>
  <c r="V453" i="14" s="1"/>
  <c r="J437" i="14"/>
  <c r="V437" i="14" s="1"/>
  <c r="J421" i="14"/>
  <c r="V421" i="14" s="1"/>
  <c r="J405" i="14"/>
  <c r="V405" i="14" s="1"/>
  <c r="J389" i="14"/>
  <c r="V389" i="14" s="1"/>
  <c r="J373" i="14"/>
  <c r="V373" i="14" s="1"/>
  <c r="J342" i="14"/>
  <c r="V342" i="14" s="1"/>
  <c r="J326" i="14"/>
  <c r="V326" i="14" s="1"/>
  <c r="J310" i="14"/>
  <c r="V310" i="14" s="1"/>
  <c r="J294" i="14"/>
  <c r="V294" i="14" s="1"/>
  <c r="J278" i="14"/>
  <c r="V278" i="14" s="1"/>
  <c r="J262" i="14"/>
  <c r="V262" i="14" s="1"/>
  <c r="J246" i="14"/>
  <c r="J230" i="14"/>
  <c r="V230" i="14" s="1"/>
  <c r="J214" i="14"/>
  <c r="V214" i="14" s="1"/>
  <c r="J198" i="14"/>
  <c r="V198" i="14" s="1"/>
  <c r="J182" i="14"/>
  <c r="V182" i="14" s="1"/>
  <c r="J166" i="14"/>
  <c r="V166" i="14" s="1"/>
  <c r="J150" i="14"/>
  <c r="J134" i="14"/>
  <c r="V134" i="14" s="1"/>
  <c r="J118" i="14"/>
  <c r="V118" i="14" s="1"/>
  <c r="J102" i="14"/>
  <c r="V102" i="14" s="1"/>
  <c r="J86" i="14"/>
  <c r="V86" i="14" s="1"/>
  <c r="J70" i="14"/>
  <c r="V70" i="14" s="1"/>
  <c r="J54" i="14"/>
  <c r="V54" i="14" s="1"/>
  <c r="J38" i="14"/>
  <c r="V38" i="14" s="1"/>
  <c r="J22" i="14"/>
  <c r="V22" i="14" s="1"/>
  <c r="J1036" i="14"/>
  <c r="V1036" i="14" s="1"/>
  <c r="J1001" i="14"/>
  <c r="V1001" i="14" s="1"/>
  <c r="V3174" i="14"/>
  <c r="J2932" i="14"/>
  <c r="V2932" i="14" s="1"/>
  <c r="J2781" i="14"/>
  <c r="V2781" i="14" s="1"/>
  <c r="J2358" i="14"/>
  <c r="V2358" i="14" s="1"/>
  <c r="J2085" i="14"/>
  <c r="V2085" i="14" s="1"/>
  <c r="J1964" i="14"/>
  <c r="V1964" i="14" s="1"/>
  <c r="J1525" i="14"/>
  <c r="V1525" i="14" s="1"/>
  <c r="J1464" i="14"/>
  <c r="V1464" i="14" s="1"/>
  <c r="J1324" i="14"/>
  <c r="V1324" i="14" s="1"/>
  <c r="J1308" i="14"/>
  <c r="V1308" i="14" s="1"/>
  <c r="J1262" i="14"/>
  <c r="V1262" i="14" s="1"/>
  <c r="J1216" i="14"/>
  <c r="V1216" i="14" s="1"/>
  <c r="J1185" i="14"/>
  <c r="V1185" i="14" s="1"/>
  <c r="J1154" i="14"/>
  <c r="V1154" i="14" s="1"/>
  <c r="J1138" i="14"/>
  <c r="V1138" i="14" s="1"/>
  <c r="J1122" i="14"/>
  <c r="V1122" i="14" s="1"/>
  <c r="J1044" i="14"/>
  <c r="V1044" i="14" s="1"/>
  <c r="J2561" i="14"/>
  <c r="V2561" i="14" s="1"/>
  <c r="J2425" i="14"/>
  <c r="V2425" i="14" s="1"/>
  <c r="J2349" i="14"/>
  <c r="V2349" i="14" s="1"/>
  <c r="J2152" i="14"/>
  <c r="J1789" i="14"/>
  <c r="V1789" i="14" s="1"/>
  <c r="J1668" i="14"/>
  <c r="V1668" i="14" s="1"/>
  <c r="J1562" i="14"/>
  <c r="V1562" i="14" s="1"/>
  <c r="J1425" i="14"/>
  <c r="V1425" i="14" s="1"/>
  <c r="J1394" i="14"/>
  <c r="V1394" i="14" s="1"/>
  <c r="J1378" i="14"/>
  <c r="V1378" i="14" s="1"/>
  <c r="J1362" i="14"/>
  <c r="V1362" i="14" s="1"/>
  <c r="J1238" i="14"/>
  <c r="V1238" i="14" s="1"/>
  <c r="J1161" i="14"/>
  <c r="V1161" i="14" s="1"/>
  <c r="J1145" i="14"/>
  <c r="V1145" i="14" s="1"/>
  <c r="J1129" i="14"/>
  <c r="V1129" i="14" s="1"/>
  <c r="J1098" i="14"/>
  <c r="V1098" i="14" s="1"/>
  <c r="J1082" i="14"/>
  <c r="V1082" i="14" s="1"/>
  <c r="J1004" i="14"/>
  <c r="V1004" i="14" s="1"/>
  <c r="J988" i="14"/>
  <c r="V988" i="14" s="1"/>
  <c r="J972" i="14"/>
  <c r="V972" i="14" s="1"/>
  <c r="J956" i="14"/>
  <c r="V956" i="14" s="1"/>
  <c r="J940" i="14"/>
  <c r="V940" i="14" s="1"/>
  <c r="J894" i="14"/>
  <c r="V894" i="14" s="1"/>
  <c r="J753" i="14"/>
  <c r="V753" i="14" s="1"/>
  <c r="J722" i="14"/>
  <c r="V722" i="14" s="1"/>
  <c r="J644" i="14"/>
  <c r="V644" i="14" s="1"/>
  <c r="J613" i="14"/>
  <c r="V613" i="14" s="1"/>
  <c r="J597" i="14"/>
  <c r="V597" i="14" s="1"/>
  <c r="J581" i="14"/>
  <c r="V581" i="14" s="1"/>
  <c r="J565" i="14"/>
  <c r="V565" i="14" s="1"/>
  <c r="J534" i="14"/>
  <c r="V534" i="14" s="1"/>
  <c r="J344" i="14"/>
  <c r="V344" i="14" s="1"/>
  <c r="J328" i="14"/>
  <c r="V328" i="14" s="1"/>
  <c r="J312" i="14"/>
  <c r="J296" i="14"/>
  <c r="J280" i="14"/>
  <c r="J264" i="14"/>
  <c r="V264" i="14" s="1"/>
  <c r="J248" i="14"/>
  <c r="V248" i="14" s="1"/>
  <c r="J232" i="14"/>
  <c r="V232" i="14" s="1"/>
  <c r="J216" i="14"/>
  <c r="V216" i="14" s="1"/>
  <c r="J200" i="14"/>
  <c r="V200" i="14" s="1"/>
  <c r="J184" i="14"/>
  <c r="V184" i="14" s="1"/>
  <c r="J168" i="14"/>
  <c r="V168" i="14" s="1"/>
  <c r="J152" i="14"/>
  <c r="V152" i="14" s="1"/>
  <c r="J136" i="14"/>
  <c r="V136" i="14" s="1"/>
  <c r="J120" i="14"/>
  <c r="V120" i="14" s="1"/>
  <c r="J104" i="14"/>
  <c r="V104" i="14" s="1"/>
  <c r="J88" i="14"/>
  <c r="V88" i="14" s="1"/>
  <c r="J72" i="14"/>
  <c r="V72" i="14" s="1"/>
  <c r="J56" i="14"/>
  <c r="V56" i="14" s="1"/>
  <c r="J40" i="14"/>
  <c r="V40" i="14" s="1"/>
  <c r="J24" i="14"/>
  <c r="V24" i="14" s="1"/>
  <c r="J8" i="14"/>
  <c r="V8" i="14" s="1"/>
  <c r="J2961" i="14"/>
  <c r="J2424" i="14"/>
  <c r="V2424" i="14" s="1"/>
  <c r="J2348" i="14"/>
  <c r="V2348" i="14" s="1"/>
  <c r="J2560" i="14"/>
  <c r="V2560" i="14" s="1"/>
  <c r="J1420" i="14"/>
  <c r="V1420" i="14" s="1"/>
  <c r="J1326" i="14"/>
  <c r="V1326" i="14" s="1"/>
  <c r="J1093" i="14"/>
  <c r="V1093" i="14" s="1"/>
  <c r="J965" i="14"/>
  <c r="V965" i="14" s="1"/>
  <c r="J856" i="14"/>
  <c r="V856" i="14" s="1"/>
  <c r="J824" i="14"/>
  <c r="V824" i="14" s="1"/>
  <c r="J792" i="14"/>
  <c r="V792" i="14" s="1"/>
  <c r="J653" i="14"/>
  <c r="V653" i="14" s="1"/>
  <c r="J606" i="14"/>
  <c r="V606" i="14" s="1"/>
  <c r="J574" i="14"/>
  <c r="J480" i="14"/>
  <c r="V480" i="14" s="1"/>
  <c r="J448" i="14"/>
  <c r="V448" i="14" s="1"/>
  <c r="J416" i="14"/>
  <c r="V416" i="14" s="1"/>
  <c r="J384" i="14"/>
  <c r="V384" i="14" s="1"/>
  <c r="J337" i="14"/>
  <c r="V337" i="14" s="1"/>
  <c r="J305" i="14"/>
  <c r="V305" i="14" s="1"/>
  <c r="J273" i="14"/>
  <c r="V273" i="14" s="1"/>
  <c r="J241" i="14"/>
  <c r="V241" i="14" s="1"/>
  <c r="J209" i="14"/>
  <c r="V209" i="14" s="1"/>
  <c r="J177" i="14"/>
  <c r="V177" i="14" s="1"/>
  <c r="J145" i="14"/>
  <c r="V145" i="14" s="1"/>
  <c r="J113" i="14"/>
  <c r="V113" i="14" s="1"/>
  <c r="J81" i="14"/>
  <c r="V81" i="14" s="1"/>
  <c r="J49" i="14"/>
  <c r="V49" i="14" s="1"/>
  <c r="J17" i="14"/>
  <c r="V17" i="14" s="1"/>
  <c r="J594" i="14"/>
  <c r="V594" i="14" s="1"/>
  <c r="J500" i="14"/>
  <c r="V500" i="14" s="1"/>
  <c r="J436" i="14"/>
  <c r="V436" i="14" s="1"/>
  <c r="J372" i="14"/>
  <c r="V372" i="14" s="1"/>
  <c r="J301" i="14"/>
  <c r="V301" i="14" s="1"/>
  <c r="J245" i="14"/>
  <c r="V245" i="14" s="1"/>
  <c r="J189" i="14"/>
  <c r="V189" i="14" s="1"/>
  <c r="J133" i="14"/>
  <c r="V133" i="14" s="1"/>
  <c r="J69" i="14"/>
  <c r="V69" i="14" s="1"/>
  <c r="J1826" i="14"/>
  <c r="V1826" i="14" s="1"/>
  <c r="J1338" i="14"/>
  <c r="J1214" i="14"/>
  <c r="J1120" i="14"/>
  <c r="V1120" i="14" s="1"/>
  <c r="J862" i="14"/>
  <c r="J830" i="14"/>
  <c r="V830" i="14" s="1"/>
  <c r="J798" i="14"/>
  <c r="V798" i="14" s="1"/>
  <c r="J721" i="14"/>
  <c r="V721" i="14" s="1"/>
  <c r="J612" i="14"/>
  <c r="V612" i="14" s="1"/>
  <c r="J580" i="14"/>
  <c r="V580" i="14" s="1"/>
  <c r="J533" i="14"/>
  <c r="V533" i="14" s="1"/>
  <c r="J486" i="14"/>
  <c r="J454" i="14"/>
  <c r="V454" i="14" s="1"/>
  <c r="J422" i="14"/>
  <c r="V422" i="14" s="1"/>
  <c r="J390" i="14"/>
  <c r="V390" i="14" s="1"/>
  <c r="J1898" i="14"/>
  <c r="V1898" i="14" s="1"/>
  <c r="J1365" i="14"/>
  <c r="V1365" i="14" s="1"/>
  <c r="J1241" i="14"/>
  <c r="V1241" i="14" s="1"/>
  <c r="J1132" i="14"/>
  <c r="V1132" i="14" s="1"/>
  <c r="J1038" i="14"/>
  <c r="V1038" i="14" s="1"/>
  <c r="J977" i="14"/>
  <c r="V977" i="14" s="1"/>
  <c r="J945" i="14"/>
  <c r="V945" i="14" s="1"/>
  <c r="J844" i="14"/>
  <c r="V844" i="14" s="1"/>
  <c r="J277" i="14"/>
  <c r="V277" i="14" s="1"/>
  <c r="J197" i="14"/>
  <c r="V197" i="14" s="1"/>
  <c r="J1788" i="14"/>
  <c r="V1788" i="14" s="1"/>
  <c r="J1424" i="14"/>
  <c r="V1424" i="14" s="1"/>
  <c r="J1330" i="14"/>
  <c r="V1330" i="14" s="1"/>
  <c r="J1097" i="14"/>
  <c r="J858" i="14"/>
  <c r="V858" i="14" s="1"/>
  <c r="J826" i="14"/>
  <c r="J794" i="14"/>
  <c r="V794" i="14" s="1"/>
  <c r="J717" i="14"/>
  <c r="V717" i="14" s="1"/>
  <c r="J608" i="14"/>
  <c r="V608" i="14" s="1"/>
  <c r="J576" i="14"/>
  <c r="V576" i="14" s="1"/>
  <c r="J529" i="14"/>
  <c r="J482" i="14"/>
  <c r="V482" i="14" s="1"/>
  <c r="J450" i="14"/>
  <c r="V450" i="14" s="1"/>
  <c r="J418" i="14"/>
  <c r="V418" i="14" s="1"/>
  <c r="J386" i="14"/>
  <c r="V386" i="14" s="1"/>
  <c r="J836" i="14"/>
  <c r="V836" i="14" s="1"/>
  <c r="J750" i="14"/>
  <c r="J649" i="14"/>
  <c r="V649" i="14" s="1"/>
  <c r="J570" i="14"/>
  <c r="V570" i="14" s="1"/>
  <c r="J476" i="14"/>
  <c r="V476" i="14" s="1"/>
  <c r="J412" i="14"/>
  <c r="V412" i="14" s="1"/>
  <c r="J333" i="14"/>
  <c r="V333" i="14" s="1"/>
  <c r="J77" i="14"/>
  <c r="V77" i="14" s="1"/>
  <c r="J13" i="14"/>
  <c r="V13" i="14" s="1"/>
  <c r="J834" i="14"/>
  <c r="J678" i="14"/>
  <c r="V678" i="14" s="1"/>
  <c r="J616" i="14"/>
  <c r="V616" i="14" s="1"/>
  <c r="J584" i="14"/>
  <c r="V584" i="14" s="1"/>
  <c r="J537" i="14"/>
  <c r="V537" i="14" s="1"/>
  <c r="J490" i="14"/>
  <c r="V490" i="14" s="1"/>
  <c r="J458" i="14"/>
  <c r="V458" i="14" s="1"/>
  <c r="J426" i="14"/>
  <c r="V426" i="14" s="1"/>
  <c r="J394" i="14"/>
  <c r="J796" i="14"/>
  <c r="V796" i="14" s="1"/>
  <c r="J680" i="14"/>
  <c r="J586" i="14"/>
  <c r="V586" i="14" s="1"/>
  <c r="J492" i="14"/>
  <c r="V492" i="14" s="1"/>
  <c r="J428" i="14"/>
  <c r="V428" i="14" s="1"/>
  <c r="J364" i="14"/>
  <c r="V364" i="14" s="1"/>
  <c r="J93" i="14"/>
  <c r="V93" i="14" s="1"/>
  <c r="J29" i="14"/>
  <c r="V29" i="14" s="1"/>
  <c r="J2933" i="14"/>
  <c r="V2933" i="14" s="1"/>
  <c r="J2782" i="14"/>
  <c r="V2782" i="14" s="1"/>
  <c r="J2540" i="14"/>
  <c r="V2540" i="14" s="1"/>
  <c r="J2086" i="14"/>
  <c r="V2086" i="14" s="1"/>
  <c r="J1965" i="14"/>
  <c r="V1965" i="14" s="1"/>
  <c r="J1526" i="14"/>
  <c r="V1526" i="14" s="1"/>
  <c r="J1465" i="14"/>
  <c r="V1465" i="14" s="1"/>
  <c r="J1388" i="14"/>
  <c r="V1388" i="14" s="1"/>
  <c r="J1356" i="14"/>
  <c r="V1356" i="14" s="1"/>
  <c r="J1325" i="14"/>
  <c r="V1325" i="14" s="1"/>
  <c r="J1309" i="14"/>
  <c r="J1217" i="14"/>
  <c r="V1217" i="14" s="1"/>
  <c r="J1186" i="14"/>
  <c r="V1186" i="14" s="1"/>
  <c r="J1092" i="14"/>
  <c r="V1092" i="14" s="1"/>
  <c r="J1076" i="14"/>
  <c r="V1076" i="14" s="1"/>
  <c r="J1045" i="14"/>
  <c r="V1045" i="14" s="1"/>
  <c r="J1029" i="14"/>
  <c r="V1029" i="14" s="1"/>
  <c r="J998" i="14"/>
  <c r="V998" i="14" s="1"/>
  <c r="J982" i="14"/>
  <c r="V982" i="14" s="1"/>
  <c r="J966" i="14"/>
  <c r="V966" i="14" s="1"/>
  <c r="J950" i="14"/>
  <c r="V950" i="14" s="1"/>
  <c r="J888" i="14"/>
  <c r="V888" i="14" s="1"/>
  <c r="J857" i="14"/>
  <c r="V857" i="14" s="1"/>
  <c r="J841" i="14"/>
  <c r="V841" i="14" s="1"/>
  <c r="J825" i="14"/>
  <c r="V825" i="14" s="1"/>
  <c r="J809" i="14"/>
  <c r="V809" i="14" s="1"/>
  <c r="J793" i="14"/>
  <c r="V793" i="14" s="1"/>
  <c r="J716" i="14"/>
  <c r="V716" i="14" s="1"/>
  <c r="J685" i="14"/>
  <c r="V685" i="14" s="1"/>
  <c r="J654" i="14"/>
  <c r="V654" i="14" s="1"/>
  <c r="J528" i="14"/>
  <c r="J497" i="14"/>
  <c r="V497" i="14" s="1"/>
  <c r="J481" i="14"/>
  <c r="V481" i="14" s="1"/>
  <c r="J465" i="14"/>
  <c r="V465" i="14" s="1"/>
  <c r="J449" i="14"/>
  <c r="J433" i="14"/>
  <c r="V433" i="14" s="1"/>
  <c r="J417" i="14"/>
  <c r="V417" i="14" s="1"/>
  <c r="J401" i="14"/>
  <c r="V401" i="14" s="1"/>
  <c r="J385" i="14"/>
  <c r="V385" i="14" s="1"/>
  <c r="J369" i="14"/>
  <c r="V369" i="14" s="1"/>
  <c r="J338" i="14"/>
  <c r="V338" i="14" s="1"/>
  <c r="J322" i="14"/>
  <c r="J306" i="14"/>
  <c r="V306" i="14" s="1"/>
  <c r="J290" i="14"/>
  <c r="V290" i="14" s="1"/>
  <c r="J274" i="14"/>
  <c r="V274" i="14" s="1"/>
  <c r="J258" i="14"/>
  <c r="V258" i="14" s="1"/>
  <c r="J242" i="14"/>
  <c r="V242" i="14" s="1"/>
  <c r="J226" i="14"/>
  <c r="V226" i="14" s="1"/>
  <c r="J210" i="14"/>
  <c r="V210" i="14" s="1"/>
  <c r="J194" i="14"/>
  <c r="V194" i="14" s="1"/>
  <c r="J178" i="14"/>
  <c r="V178" i="14" s="1"/>
  <c r="J162" i="14"/>
  <c r="V162" i="14" s="1"/>
  <c r="J146" i="14"/>
  <c r="V146" i="14" s="1"/>
  <c r="J130" i="14"/>
  <c r="V130" i="14" s="1"/>
  <c r="J114" i="14"/>
  <c r="V114" i="14" s="1"/>
  <c r="J98" i="14"/>
  <c r="V98" i="14" s="1"/>
  <c r="J82" i="14"/>
  <c r="V82" i="14" s="1"/>
  <c r="J66" i="14"/>
  <c r="V66" i="14" s="1"/>
  <c r="J50" i="14"/>
  <c r="V50" i="14" s="1"/>
  <c r="J34" i="14"/>
  <c r="V34" i="14" s="1"/>
  <c r="J18" i="14"/>
  <c r="V18" i="14" s="1"/>
  <c r="J1028" i="14"/>
  <c r="V1028" i="14" s="1"/>
  <c r="J997" i="14"/>
  <c r="V997" i="14" s="1"/>
  <c r="J2596" i="14"/>
  <c r="V2596" i="14" s="1"/>
  <c r="J2354" i="14"/>
  <c r="V2354" i="14" s="1"/>
  <c r="J2293" i="14"/>
  <c r="V2293" i="14" s="1"/>
  <c r="J1824" i="14"/>
  <c r="V1824" i="14" s="1"/>
  <c r="J1673" i="14"/>
  <c r="V1673" i="14" s="1"/>
  <c r="J1612" i="14"/>
  <c r="V1612" i="14" s="1"/>
  <c r="J1521" i="14"/>
  <c r="V1521" i="14" s="1"/>
  <c r="J1430" i="14"/>
  <c r="V1430" i="14" s="1"/>
  <c r="J1336" i="14"/>
  <c r="J1320" i="14"/>
  <c r="V1320" i="14" s="1"/>
  <c r="J1304" i="14"/>
  <c r="V1304" i="14" s="1"/>
  <c r="J1212" i="14"/>
  <c r="V1212" i="14" s="1"/>
  <c r="J1181" i="14"/>
  <c r="V1181" i="14" s="1"/>
  <c r="J1150" i="14"/>
  <c r="V1150" i="14" s="1"/>
  <c r="J1134" i="14"/>
  <c r="V1134" i="14" s="1"/>
  <c r="J1118" i="14"/>
  <c r="V1118" i="14" s="1"/>
  <c r="J1040" i="14"/>
  <c r="V1040" i="14" s="1"/>
  <c r="J2784" i="14"/>
  <c r="V2784" i="14" s="1"/>
  <c r="J2633" i="14"/>
  <c r="V2633" i="14" s="1"/>
  <c r="J2542" i="14"/>
  <c r="V2542" i="14" s="1"/>
  <c r="J2345" i="14"/>
  <c r="V2345" i="14" s="1"/>
  <c r="J2224" i="14"/>
  <c r="V2224" i="14" s="1"/>
  <c r="J1664" i="14"/>
  <c r="V1664" i="14" s="1"/>
  <c r="J1421" i="14"/>
  <c r="V1421" i="14" s="1"/>
  <c r="J1390" i="14"/>
  <c r="V1390" i="14" s="1"/>
  <c r="J1374" i="14"/>
  <c r="V1374" i="14" s="1"/>
  <c r="J1358" i="14"/>
  <c r="V1358" i="14" s="1"/>
  <c r="J1188" i="14"/>
  <c r="V1188" i="14" s="1"/>
  <c r="J1157" i="14"/>
  <c r="V1157" i="14" s="1"/>
  <c r="J1141" i="14"/>
  <c r="V1141" i="14" s="1"/>
  <c r="J1125" i="14"/>
  <c r="V1125" i="14" s="1"/>
  <c r="J1094" i="14"/>
  <c r="V1094" i="14" s="1"/>
  <c r="J1078" i="14"/>
  <c r="V1078" i="14" s="1"/>
  <c r="J1000" i="14"/>
  <c r="V1000" i="14" s="1"/>
  <c r="J984" i="14"/>
  <c r="V984" i="14" s="1"/>
  <c r="J968" i="14"/>
  <c r="V968" i="14" s="1"/>
  <c r="J952" i="14"/>
  <c r="V952" i="14" s="1"/>
  <c r="J936" i="14"/>
  <c r="V936" i="14" s="1"/>
  <c r="J890" i="14"/>
  <c r="V890" i="14" s="1"/>
  <c r="J749" i="14"/>
  <c r="V749" i="14" s="1"/>
  <c r="J718" i="14"/>
  <c r="V718" i="14" s="1"/>
  <c r="J656" i="14"/>
  <c r="V656" i="14" s="1"/>
  <c r="J640" i="14"/>
  <c r="V640" i="14" s="1"/>
  <c r="J609" i="14"/>
  <c r="V609" i="14" s="1"/>
  <c r="J593" i="14"/>
  <c r="V593" i="14" s="1"/>
  <c r="J577" i="14"/>
  <c r="V577" i="14" s="1"/>
  <c r="J530" i="14"/>
  <c r="V530" i="14" s="1"/>
  <c r="J340" i="14"/>
  <c r="V340" i="14" s="1"/>
  <c r="J324" i="14"/>
  <c r="V324" i="14" s="1"/>
  <c r="J308" i="14"/>
  <c r="V308" i="14" s="1"/>
  <c r="J292" i="14"/>
  <c r="V292" i="14" s="1"/>
  <c r="J276" i="14"/>
  <c r="V276" i="14" s="1"/>
  <c r="J260" i="14"/>
  <c r="V260" i="14" s="1"/>
  <c r="J244" i="14"/>
  <c r="V244" i="14" s="1"/>
  <c r="J228" i="14"/>
  <c r="V228" i="14" s="1"/>
  <c r="J196" i="14"/>
  <c r="V196" i="14" s="1"/>
  <c r="J180" i="14"/>
  <c r="V180" i="14" s="1"/>
  <c r="J164" i="14"/>
  <c r="V164" i="14" s="1"/>
  <c r="J148" i="14"/>
  <c r="V148" i="14" s="1"/>
  <c r="J132" i="14"/>
  <c r="V132" i="14" s="1"/>
  <c r="J116" i="14"/>
  <c r="V116" i="14" s="1"/>
  <c r="J100" i="14"/>
  <c r="V100" i="14" s="1"/>
  <c r="J84" i="14"/>
  <c r="V84" i="14" s="1"/>
  <c r="J68" i="14"/>
  <c r="V68" i="14" s="1"/>
  <c r="J52" i="14"/>
  <c r="V52" i="14" s="1"/>
  <c r="J36" i="14"/>
  <c r="V36" i="14" s="1"/>
  <c r="J20" i="14"/>
  <c r="V20" i="14" s="1"/>
  <c r="J2942" i="14"/>
  <c r="V2942" i="14" s="1"/>
  <c r="J2632" i="14"/>
  <c r="V2632" i="14" s="1"/>
  <c r="J2541" i="14"/>
  <c r="V2541" i="14" s="1"/>
  <c r="J1389" i="14"/>
  <c r="V1389" i="14" s="1"/>
  <c r="J1310" i="14"/>
  <c r="V1310" i="14" s="1"/>
  <c r="J1156" i="14"/>
  <c r="V1156" i="14" s="1"/>
  <c r="J1077" i="14"/>
  <c r="V1077" i="14" s="1"/>
  <c r="J989" i="14"/>
  <c r="V989" i="14" s="1"/>
  <c r="J957" i="14"/>
  <c r="V957" i="14" s="1"/>
  <c r="J848" i="14"/>
  <c r="V848" i="14" s="1"/>
  <c r="J816" i="14"/>
  <c r="J754" i="14"/>
  <c r="V754" i="14" s="1"/>
  <c r="J692" i="14"/>
  <c r="V692" i="14" s="1"/>
  <c r="J645" i="14"/>
  <c r="V645" i="14" s="1"/>
  <c r="J598" i="14"/>
  <c r="V598" i="14" s="1"/>
  <c r="J566" i="14"/>
  <c r="V566" i="14" s="1"/>
  <c r="J504" i="14"/>
  <c r="V504" i="14" s="1"/>
  <c r="J472" i="14"/>
  <c r="V472" i="14" s="1"/>
  <c r="J440" i="14"/>
  <c r="V440" i="14" s="1"/>
  <c r="J408" i="14"/>
  <c r="V408" i="14" s="1"/>
  <c r="J376" i="14"/>
  <c r="V376" i="14" s="1"/>
  <c r="J329" i="14"/>
  <c r="V329" i="14" s="1"/>
  <c r="J297" i="14"/>
  <c r="V297" i="14" s="1"/>
  <c r="J265" i="14"/>
  <c r="V265" i="14" s="1"/>
  <c r="J233" i="14"/>
  <c r="V233" i="14" s="1"/>
  <c r="J201" i="14"/>
  <c r="V201" i="14" s="1"/>
  <c r="J169" i="14"/>
  <c r="V169" i="14" s="1"/>
  <c r="J137" i="14"/>
  <c r="V137" i="14" s="1"/>
  <c r="J105" i="14"/>
  <c r="V105" i="14" s="1"/>
  <c r="J73" i="14"/>
  <c r="V73" i="14" s="1"/>
  <c r="J41" i="14"/>
  <c r="V41" i="14" s="1"/>
  <c r="J9" i="14"/>
  <c r="V9" i="14" s="1"/>
  <c r="J657" i="14"/>
  <c r="V657" i="14" s="1"/>
  <c r="J578" i="14"/>
  <c r="V578" i="14" s="1"/>
  <c r="J484" i="14"/>
  <c r="V484" i="14" s="1"/>
  <c r="J420" i="14"/>
  <c r="V420" i="14" s="1"/>
  <c r="J341" i="14"/>
  <c r="V341" i="14" s="1"/>
  <c r="J285" i="14"/>
  <c r="V285" i="14" s="1"/>
  <c r="J229" i="14"/>
  <c r="V229" i="14" s="1"/>
  <c r="J181" i="14"/>
  <c r="V181" i="14" s="1"/>
  <c r="J117" i="14"/>
  <c r="V117" i="14" s="1"/>
  <c r="J53" i="14"/>
  <c r="V53" i="14" s="1"/>
  <c r="J2189" i="14"/>
  <c r="V2189" i="14" s="1"/>
  <c r="J1401" i="14"/>
  <c r="V1401" i="14" s="1"/>
  <c r="J1322" i="14"/>
  <c r="J1089" i="14"/>
  <c r="V1089" i="14" s="1"/>
  <c r="J901" i="14"/>
  <c r="V901" i="14" s="1"/>
  <c r="J854" i="14"/>
  <c r="V854" i="14" s="1"/>
  <c r="J822" i="14"/>
  <c r="V822" i="14" s="1"/>
  <c r="J713" i="14"/>
  <c r="V713" i="14" s="1"/>
  <c r="J604" i="14"/>
  <c r="J572" i="14"/>
  <c r="V572" i="14" s="1"/>
  <c r="J525" i="14"/>
  <c r="V525" i="14" s="1"/>
  <c r="J478" i="14"/>
  <c r="V478" i="14" s="1"/>
  <c r="J446" i="14"/>
  <c r="V446" i="14" s="1"/>
  <c r="J414" i="14"/>
  <c r="V414" i="14" s="1"/>
  <c r="J382" i="14"/>
  <c r="J1428" i="14"/>
  <c r="J1334" i="14"/>
  <c r="V1334" i="14" s="1"/>
  <c r="J1210" i="14"/>
  <c r="V1210" i="14" s="1"/>
  <c r="J1116" i="14"/>
  <c r="V1116" i="14" s="1"/>
  <c r="J969" i="14"/>
  <c r="V969" i="14" s="1"/>
  <c r="J937" i="14"/>
  <c r="V937" i="14" s="1"/>
  <c r="J828" i="14"/>
  <c r="V828" i="14" s="1"/>
  <c r="J688" i="14"/>
  <c r="V688" i="14" s="1"/>
  <c r="J253" i="14"/>
  <c r="V253" i="14" s="1"/>
  <c r="J173" i="14"/>
  <c r="V173" i="14" s="1"/>
  <c r="J1393" i="14"/>
  <c r="V1393" i="14" s="1"/>
  <c r="J1314" i="14"/>
  <c r="V1314" i="14" s="1"/>
  <c r="J1160" i="14"/>
  <c r="V1160" i="14" s="1"/>
  <c r="J1081" i="14"/>
  <c r="V1081" i="14" s="1"/>
  <c r="J897" i="14"/>
  <c r="V897" i="14" s="1"/>
  <c r="J850" i="14"/>
  <c r="V850" i="14" s="1"/>
  <c r="J818" i="14"/>
  <c r="V818" i="14" s="1"/>
  <c r="J756" i="14"/>
  <c r="V756" i="14" s="1"/>
  <c r="J694" i="14"/>
  <c r="V694" i="14" s="1"/>
  <c r="J600" i="14"/>
  <c r="V600" i="14" s="1"/>
  <c r="J568" i="14"/>
  <c r="V568" i="14" s="1"/>
  <c r="J506" i="14"/>
  <c r="J474" i="14"/>
  <c r="V474" i="14" s="1"/>
  <c r="J442" i="14"/>
  <c r="V442" i="14" s="1"/>
  <c r="J410" i="14"/>
  <c r="V410" i="14" s="1"/>
  <c r="J378" i="14"/>
  <c r="V378" i="14" s="1"/>
  <c r="J820" i="14"/>
  <c r="V820" i="14" s="1"/>
  <c r="J618" i="14"/>
  <c r="V618" i="14" s="1"/>
  <c r="J460" i="14"/>
  <c r="V460" i="14" s="1"/>
  <c r="J396" i="14"/>
  <c r="V396" i="14" s="1"/>
  <c r="J125" i="14"/>
  <c r="V125" i="14" s="1"/>
  <c r="J61" i="14"/>
  <c r="V61" i="14" s="1"/>
  <c r="J802" i="14"/>
  <c r="V802" i="14" s="1"/>
  <c r="J2960" i="14"/>
  <c r="V2960" i="14" s="1"/>
  <c r="J2597" i="14"/>
  <c r="V2597" i="14" s="1"/>
  <c r="J2294" i="14"/>
  <c r="V2294" i="14" s="1"/>
  <c r="J2188" i="14"/>
  <c r="V2188" i="14" s="1"/>
  <c r="J1825" i="14"/>
  <c r="V1825" i="14" s="1"/>
  <c r="J1674" i="14"/>
  <c r="V1674" i="14" s="1"/>
  <c r="J1613" i="14"/>
  <c r="V1613" i="14" s="1"/>
  <c r="J1522" i="14"/>
  <c r="V1522" i="14" s="1"/>
  <c r="J1384" i="14"/>
  <c r="V1384" i="14" s="1"/>
  <c r="J1368" i="14"/>
  <c r="V1368" i="14" s="1"/>
  <c r="J1337" i="14"/>
  <c r="V1337" i="14" s="1"/>
  <c r="J1321" i="14"/>
  <c r="V1321" i="14" s="1"/>
  <c r="J1305" i="14"/>
  <c r="V1305" i="14" s="1"/>
  <c r="J1213" i="14"/>
  <c r="V1213" i="14" s="1"/>
  <c r="J1182" i="14"/>
  <c r="V1182" i="14" s="1"/>
  <c r="J1088" i="14"/>
  <c r="J1072" i="14"/>
  <c r="V1072" i="14" s="1"/>
  <c r="J1041" i="14"/>
  <c r="V1041" i="14" s="1"/>
  <c r="J1010" i="14"/>
  <c r="V1010" i="14" s="1"/>
  <c r="J994" i="14"/>
  <c r="V994" i="14" s="1"/>
  <c r="J978" i="14"/>
  <c r="V978" i="14" s="1"/>
  <c r="J962" i="14"/>
  <c r="V962" i="14" s="1"/>
  <c r="J946" i="14"/>
  <c r="V946" i="14" s="1"/>
  <c r="J900" i="14"/>
  <c r="V900" i="14" s="1"/>
  <c r="J853" i="14"/>
  <c r="V853" i="14" s="1"/>
  <c r="J837" i="14"/>
  <c r="V837" i="14" s="1"/>
  <c r="J821" i="14"/>
  <c r="V821" i="14" s="1"/>
  <c r="J805" i="14"/>
  <c r="V805" i="14" s="1"/>
  <c r="J728" i="14"/>
  <c r="V728" i="14" s="1"/>
  <c r="J712" i="14"/>
  <c r="V712" i="14" s="1"/>
  <c r="J681" i="14"/>
  <c r="J650" i="14"/>
  <c r="V650" i="14" s="1"/>
  <c r="J540" i="14"/>
  <c r="V540" i="14" s="1"/>
  <c r="J524" i="14"/>
  <c r="V524" i="14" s="1"/>
  <c r="J493" i="14"/>
  <c r="V493" i="14" s="1"/>
  <c r="J477" i="14"/>
  <c r="V477" i="14" s="1"/>
  <c r="J461" i="14"/>
  <c r="V461" i="14" s="1"/>
  <c r="J445" i="14"/>
  <c r="V445" i="14" s="1"/>
  <c r="J429" i="14"/>
  <c r="V429" i="14" s="1"/>
  <c r="J413" i="14"/>
  <c r="V413" i="14" s="1"/>
  <c r="J397" i="14"/>
  <c r="V397" i="14" s="1"/>
  <c r="J381" i="14"/>
  <c r="V381" i="14" s="1"/>
  <c r="J365" i="14"/>
  <c r="V365" i="14" s="1"/>
  <c r="J334" i="14"/>
  <c r="V334" i="14" s="1"/>
  <c r="J318" i="14"/>
  <c r="V318" i="14" s="1"/>
  <c r="J302" i="14"/>
  <c r="V302" i="14" s="1"/>
  <c r="J286" i="14"/>
  <c r="V286" i="14" s="1"/>
  <c r="J270" i="14"/>
  <c r="V270" i="14" s="1"/>
  <c r="J254" i="14"/>
  <c r="V254" i="14" s="1"/>
  <c r="J238" i="14"/>
  <c r="V238" i="14" s="1"/>
  <c r="J222" i="14"/>
  <c r="V222" i="14" s="1"/>
  <c r="J206" i="14"/>
  <c r="V206" i="14" s="1"/>
  <c r="J190" i="14"/>
  <c r="V190" i="14" s="1"/>
  <c r="J174" i="14"/>
  <c r="V174" i="14" s="1"/>
  <c r="J158" i="14"/>
  <c r="V158" i="14" s="1"/>
  <c r="J142" i="14"/>
  <c r="V142" i="14" s="1"/>
  <c r="J126" i="14"/>
  <c r="V126" i="14" s="1"/>
  <c r="J110" i="14"/>
  <c r="V110" i="14" s="1"/>
  <c r="J94" i="14"/>
  <c r="V94" i="14" s="1"/>
  <c r="J78" i="14"/>
  <c r="V78" i="14" s="1"/>
  <c r="J62" i="14"/>
  <c r="V62" i="14" s="1"/>
  <c r="J46" i="14"/>
  <c r="V46" i="14" s="1"/>
  <c r="J30" i="14"/>
  <c r="V30" i="14" s="1"/>
  <c r="J14" i="14"/>
  <c r="V14" i="14" s="1"/>
  <c r="J1009" i="14"/>
  <c r="V1009" i="14" s="1"/>
  <c r="J2940" i="14"/>
  <c r="V2940" i="14" s="1"/>
  <c r="J2562" i="14"/>
  <c r="V2562" i="14" s="1"/>
  <c r="J2426" i="14"/>
  <c r="V2426" i="14" s="1"/>
  <c r="J2350" i="14"/>
  <c r="V2350" i="14" s="1"/>
  <c r="J2153" i="14"/>
  <c r="V2153" i="14" s="1"/>
  <c r="J1896" i="14"/>
  <c r="J1790" i="14"/>
  <c r="V1790" i="14" s="1"/>
  <c r="J1669" i="14"/>
  <c r="V1669" i="14" s="1"/>
  <c r="J1426" i="14"/>
  <c r="V1426" i="14" s="1"/>
  <c r="J1332" i="14"/>
  <c r="V1332" i="14" s="1"/>
  <c r="J1316" i="14"/>
  <c r="V1316" i="14" s="1"/>
  <c r="J1300" i="14"/>
  <c r="V1300" i="14" s="1"/>
  <c r="J1208" i="14"/>
  <c r="V1208" i="14" s="1"/>
  <c r="J1162" i="14"/>
  <c r="V1162" i="14" s="1"/>
  <c r="J1146" i="14"/>
  <c r="V1146" i="14" s="1"/>
  <c r="J1130" i="14"/>
  <c r="V1130" i="14" s="1"/>
  <c r="J1052" i="14"/>
  <c r="V1052" i="14" s="1"/>
  <c r="J1032" i="14"/>
  <c r="V1032" i="14" s="1"/>
  <c r="J2962" i="14"/>
  <c r="J2780" i="14"/>
  <c r="V2780" i="14" s="1"/>
  <c r="J2357" i="14"/>
  <c r="V2357" i="14" s="1"/>
  <c r="J2190" i="14"/>
  <c r="V2190" i="14" s="1"/>
  <c r="J2084" i="14"/>
  <c r="V2084" i="14" s="1"/>
  <c r="J1524" i="14"/>
  <c r="J1402" i="14"/>
  <c r="V1402" i="14" s="1"/>
  <c r="J1386" i="14"/>
  <c r="V1386" i="14" s="1"/>
  <c r="J1370" i="14"/>
  <c r="J1261" i="14"/>
  <c r="V1261" i="14" s="1"/>
  <c r="J1184" i="14"/>
  <c r="V1184" i="14" s="1"/>
  <c r="J1153" i="14"/>
  <c r="V1153" i="14" s="1"/>
  <c r="J1121" i="14"/>
  <c r="V1121" i="14" s="1"/>
  <c r="J1090" i="14"/>
  <c r="V1090" i="14" s="1"/>
  <c r="J1074" i="14"/>
  <c r="V1074" i="14" s="1"/>
  <c r="J996" i="14"/>
  <c r="V996" i="14" s="1"/>
  <c r="J980" i="14"/>
  <c r="V980" i="14" s="1"/>
  <c r="J964" i="14"/>
  <c r="V964" i="14" s="1"/>
  <c r="J948" i="14"/>
  <c r="V948" i="14" s="1"/>
  <c r="J902" i="14"/>
  <c r="V902" i="14" s="1"/>
  <c r="J886" i="14"/>
  <c r="V886" i="14" s="1"/>
  <c r="J730" i="14"/>
  <c r="V730" i="14" s="1"/>
  <c r="J714" i="14"/>
  <c r="V714" i="14" s="1"/>
  <c r="J652" i="14"/>
  <c r="V652" i="14" s="1"/>
  <c r="J621" i="14"/>
  <c r="V621" i="14" s="1"/>
  <c r="J605" i="14"/>
  <c r="J589" i="14"/>
  <c r="V589" i="14" s="1"/>
  <c r="J573" i="14"/>
  <c r="V573" i="14" s="1"/>
  <c r="J542" i="14"/>
  <c r="V542" i="14" s="1"/>
  <c r="J526" i="14"/>
  <c r="J336" i="14"/>
  <c r="V336" i="14" s="1"/>
  <c r="J320" i="14"/>
  <c r="V320" i="14" s="1"/>
  <c r="J304" i="14"/>
  <c r="V304" i="14" s="1"/>
  <c r="J288" i="14"/>
  <c r="V288" i="14" s="1"/>
  <c r="J272" i="14"/>
  <c r="V272" i="14" s="1"/>
  <c r="J256" i="14"/>
  <c r="J240" i="14"/>
  <c r="V240" i="14" s="1"/>
  <c r="J224" i="14"/>
  <c r="V224" i="14" s="1"/>
  <c r="J208" i="14"/>
  <c r="J192" i="14"/>
  <c r="V192" i="14" s="1"/>
  <c r="J176" i="14"/>
  <c r="V176" i="14" s="1"/>
  <c r="J160" i="14"/>
  <c r="V160" i="14" s="1"/>
  <c r="J144" i="14"/>
  <c r="V144" i="14" s="1"/>
  <c r="J128" i="14"/>
  <c r="V128" i="14" s="1"/>
  <c r="J112" i="14"/>
  <c r="V112" i="14" s="1"/>
  <c r="J96" i="14"/>
  <c r="V96" i="14" s="1"/>
  <c r="J80" i="14"/>
  <c r="V80" i="14" s="1"/>
  <c r="J64" i="14"/>
  <c r="V64" i="14" s="1"/>
  <c r="J48" i="14"/>
  <c r="V48" i="14" s="1"/>
  <c r="J32" i="14"/>
  <c r="V32" i="14" s="1"/>
  <c r="J16" i="14"/>
  <c r="V16" i="14" s="1"/>
  <c r="J2938" i="14"/>
  <c r="V2938" i="14" s="1"/>
  <c r="J2356" i="14"/>
  <c r="V2356" i="14" s="1"/>
  <c r="J2598" i="14"/>
  <c r="V2598" i="14" s="1"/>
  <c r="J1966" i="14"/>
  <c r="V1966" i="14" s="1"/>
  <c r="J1373" i="14"/>
  <c r="V1373" i="14" s="1"/>
  <c r="J1140" i="14"/>
  <c r="V1140" i="14" s="1"/>
  <c r="J1046" i="14"/>
  <c r="V1046" i="14" s="1"/>
  <c r="J981" i="14"/>
  <c r="V981" i="14" s="1"/>
  <c r="J949" i="14"/>
  <c r="V949" i="14" s="1"/>
  <c r="J808" i="14"/>
  <c r="V808" i="14" s="1"/>
  <c r="J684" i="14"/>
  <c r="V684" i="14" s="1"/>
  <c r="J622" i="14"/>
  <c r="V622" i="14" s="1"/>
  <c r="J590" i="14"/>
  <c r="V590" i="14" s="1"/>
  <c r="J496" i="14"/>
  <c r="V496" i="14" s="1"/>
  <c r="J464" i="14"/>
  <c r="V464" i="14" s="1"/>
  <c r="J432" i="14"/>
  <c r="V432" i="14" s="1"/>
  <c r="J400" i="14"/>
  <c r="V400" i="14" s="1"/>
  <c r="J368" i="14"/>
  <c r="V368" i="14" s="1"/>
  <c r="J321" i="14"/>
  <c r="V321" i="14" s="1"/>
  <c r="J289" i="14"/>
  <c r="V289" i="14" s="1"/>
  <c r="J257" i="14"/>
  <c r="V257" i="14" s="1"/>
  <c r="J225" i="14"/>
  <c r="V225" i="14" s="1"/>
  <c r="J193" i="14"/>
  <c r="V193" i="14" s="1"/>
  <c r="J161" i="14"/>
  <c r="V161" i="14" s="1"/>
  <c r="J129" i="14"/>
  <c r="V129" i="14" s="1"/>
  <c r="J97" i="14"/>
  <c r="V97" i="14" s="1"/>
  <c r="J65" i="14"/>
  <c r="V65" i="14" s="1"/>
  <c r="J33" i="14"/>
  <c r="V33" i="14" s="1"/>
  <c r="J641" i="14"/>
  <c r="V641" i="14" s="1"/>
  <c r="J562" i="14"/>
  <c r="V562" i="14" s="1"/>
  <c r="J468" i="14"/>
  <c r="V468" i="14" s="1"/>
  <c r="J404" i="14"/>
  <c r="V404" i="14" s="1"/>
  <c r="J325" i="14"/>
  <c r="V325" i="14" s="1"/>
  <c r="J269" i="14"/>
  <c r="V269" i="14" s="1"/>
  <c r="J221" i="14"/>
  <c r="V221" i="14" s="1"/>
  <c r="J165" i="14"/>
  <c r="V165" i="14" s="1"/>
  <c r="J101" i="14"/>
  <c r="V101" i="14" s="1"/>
  <c r="J37" i="14"/>
  <c r="V37" i="14" s="1"/>
  <c r="J1614" i="14"/>
  <c r="V1614" i="14" s="1"/>
  <c r="J1385" i="14"/>
  <c r="V1385" i="14" s="1"/>
  <c r="J1306" i="14"/>
  <c r="J1152" i="14"/>
  <c r="V1152" i="14" s="1"/>
  <c r="J1073" i="14"/>
  <c r="V1073" i="14" s="1"/>
  <c r="J893" i="14"/>
  <c r="V893" i="14" s="1"/>
  <c r="J846" i="14"/>
  <c r="V846" i="14" s="1"/>
  <c r="J814" i="14"/>
  <c r="V814" i="14" s="1"/>
  <c r="J752" i="14"/>
  <c r="V752" i="14" s="1"/>
  <c r="J690" i="14"/>
  <c r="V690" i="14" s="1"/>
  <c r="J596" i="14"/>
  <c r="V596" i="14" s="1"/>
  <c r="J564" i="14"/>
  <c r="V564" i="14" s="1"/>
  <c r="J502" i="14"/>
  <c r="V502" i="14" s="1"/>
  <c r="J470" i="14"/>
  <c r="V470" i="14" s="1"/>
  <c r="J438" i="14"/>
  <c r="V438" i="14" s="1"/>
  <c r="J406" i="14"/>
  <c r="V406" i="14" s="1"/>
  <c r="J374" i="14"/>
  <c r="V374" i="14" s="1"/>
  <c r="J1397" i="14"/>
  <c r="V1397" i="14" s="1"/>
  <c r="J1318" i="14"/>
  <c r="V1318" i="14" s="1"/>
  <c r="J1085" i="14"/>
  <c r="V1085" i="14" s="1"/>
  <c r="J993" i="14"/>
  <c r="V993" i="14" s="1"/>
  <c r="J961" i="14"/>
  <c r="V961" i="14" s="1"/>
  <c r="J812" i="14"/>
  <c r="V812" i="14" s="1"/>
  <c r="J317" i="14"/>
  <c r="V317" i="14" s="1"/>
  <c r="J237" i="14"/>
  <c r="V237" i="14" s="1"/>
  <c r="J157" i="14"/>
  <c r="J1561" i="14"/>
  <c r="V1561" i="14" s="1"/>
  <c r="J1377" i="14"/>
  <c r="V1377" i="14" s="1"/>
  <c r="J1298" i="14"/>
  <c r="V1298" i="14" s="1"/>
  <c r="J1144" i="14"/>
  <c r="V1144" i="14" s="1"/>
  <c r="J1050" i="14"/>
  <c r="V1050" i="14" s="1"/>
  <c r="J889" i="14"/>
  <c r="V889" i="14" s="1"/>
  <c r="J842" i="14"/>
  <c r="V842" i="14" s="1"/>
  <c r="J810" i="14"/>
  <c r="V810" i="14" s="1"/>
  <c r="J748" i="14"/>
  <c r="V748" i="14" s="1"/>
  <c r="J686" i="14"/>
  <c r="V686" i="14" s="1"/>
  <c r="J592" i="14"/>
  <c r="V592" i="14" s="1"/>
  <c r="J560" i="14"/>
  <c r="V560" i="14" s="1"/>
  <c r="J498" i="14"/>
  <c r="J466" i="14"/>
  <c r="V466" i="14" s="1"/>
  <c r="J434" i="14"/>
  <c r="V434" i="14" s="1"/>
  <c r="J402" i="14"/>
  <c r="V402" i="14" s="1"/>
  <c r="J370" i="14"/>
  <c r="J804" i="14"/>
  <c r="V804" i="14" s="1"/>
  <c r="J602" i="14"/>
  <c r="V602" i="14" s="1"/>
  <c r="J444" i="14"/>
  <c r="V444" i="14" s="1"/>
  <c r="J380" i="14"/>
  <c r="V380" i="14" s="1"/>
  <c r="J109" i="14"/>
  <c r="V109" i="14" s="1"/>
  <c r="J45" i="14"/>
  <c r="V45" i="14" s="1"/>
  <c r="V3183" i="14"/>
  <c r="J2941" i="14"/>
  <c r="V2941" i="14" s="1"/>
  <c r="J2154" i="14"/>
  <c r="V2154" i="14" s="1"/>
  <c r="J2048" i="14"/>
  <c r="V2048" i="14" s="1"/>
  <c r="J1897" i="14"/>
  <c r="V1897" i="14" s="1"/>
  <c r="J1670" i="14"/>
  <c r="V1670" i="14" s="1"/>
  <c r="J1396" i="14"/>
  <c r="V1396" i="14" s="1"/>
  <c r="J1380" i="14"/>
  <c r="V1380" i="14" s="1"/>
  <c r="J1364" i="14"/>
  <c r="V1364" i="14" s="1"/>
  <c r="J1317" i="14"/>
  <c r="V1317" i="14" s="1"/>
  <c r="J1301" i="14"/>
  <c r="V1301" i="14" s="1"/>
  <c r="J1240" i="14"/>
  <c r="V1240" i="14" s="1"/>
  <c r="J1209" i="14"/>
  <c r="V1209" i="14" s="1"/>
  <c r="J1084" i="14"/>
  <c r="V1084" i="14" s="1"/>
  <c r="J1053" i="14"/>
  <c r="V1053" i="14" s="1"/>
  <c r="J1037" i="14"/>
  <c r="V1037" i="14" s="1"/>
  <c r="J1006" i="14"/>
  <c r="V1006" i="14" s="1"/>
  <c r="J990" i="14"/>
  <c r="V990" i="14" s="1"/>
  <c r="J974" i="14"/>
  <c r="V974" i="14" s="1"/>
  <c r="J958" i="14"/>
  <c r="V958" i="14" s="1"/>
  <c r="J942" i="14"/>
  <c r="V942" i="14" s="1"/>
  <c r="J896" i="14"/>
  <c r="V896" i="14" s="1"/>
  <c r="J880" i="14"/>
  <c r="V880" i="14" s="1"/>
  <c r="J849" i="14"/>
  <c r="V849" i="14" s="1"/>
  <c r="J833" i="14"/>
  <c r="V833" i="14" s="1"/>
  <c r="J817" i="14"/>
  <c r="V817" i="14" s="1"/>
  <c r="J801" i="14"/>
  <c r="V801" i="14" s="1"/>
  <c r="J724" i="14"/>
  <c r="V724" i="14" s="1"/>
  <c r="J693" i="14"/>
  <c r="V693" i="14" s="1"/>
  <c r="J677" i="14"/>
  <c r="V677" i="14" s="1"/>
  <c r="J646" i="14"/>
  <c r="V646" i="14" s="1"/>
  <c r="J536" i="14"/>
  <c r="V536" i="14" s="1"/>
  <c r="J505" i="14"/>
  <c r="V505" i="14" s="1"/>
  <c r="J489" i="14"/>
  <c r="V489" i="14" s="1"/>
  <c r="J473" i="14"/>
  <c r="V473" i="14" s="1"/>
  <c r="J457" i="14"/>
  <c r="V457" i="14" s="1"/>
  <c r="J441" i="14"/>
  <c r="V441" i="14" s="1"/>
  <c r="J425" i="14"/>
  <c r="V425" i="14" s="1"/>
  <c r="J409" i="14"/>
  <c r="V409" i="14" s="1"/>
  <c r="J393" i="14"/>
  <c r="V393" i="14" s="1"/>
  <c r="J377" i="14"/>
  <c r="V377" i="14" s="1"/>
  <c r="J346" i="14"/>
  <c r="V346" i="14" s="1"/>
  <c r="J330" i="14"/>
  <c r="V330" i="14" s="1"/>
  <c r="J314" i="14"/>
  <c r="V314" i="14" s="1"/>
  <c r="J298" i="14"/>
  <c r="V298" i="14" s="1"/>
  <c r="J282" i="14"/>
  <c r="V282" i="14" s="1"/>
  <c r="J266" i="14"/>
  <c r="V266" i="14" s="1"/>
  <c r="J250" i="14"/>
  <c r="V250" i="14" s="1"/>
  <c r="J234" i="14"/>
  <c r="V234" i="14" s="1"/>
  <c r="J218" i="14"/>
  <c r="V218" i="14" s="1"/>
  <c r="J202" i="14"/>
  <c r="V202" i="14" s="1"/>
  <c r="J186" i="14"/>
  <c r="V186" i="14" s="1"/>
  <c r="J170" i="14"/>
  <c r="V170" i="14" s="1"/>
  <c r="J154" i="14"/>
  <c r="J138" i="14"/>
  <c r="V138" i="14" s="1"/>
  <c r="J122" i="14"/>
  <c r="V122" i="14" s="1"/>
  <c r="J106" i="14"/>
  <c r="V106" i="14" s="1"/>
  <c r="J90" i="14"/>
  <c r="V90" i="14" s="1"/>
  <c r="J74" i="14"/>
  <c r="V74" i="14" s="1"/>
  <c r="J58" i="14"/>
  <c r="V58" i="14" s="1"/>
  <c r="J42" i="14"/>
  <c r="V42" i="14" s="1"/>
  <c r="J26" i="14"/>
  <c r="V26" i="14" s="1"/>
  <c r="J10" i="14"/>
  <c r="V10" i="14" s="1"/>
  <c r="J1005" i="14"/>
  <c r="V1005" i="14" s="1"/>
  <c r="J2936" i="14"/>
  <c r="V2936" i="14" s="1"/>
  <c r="J2785" i="14"/>
  <c r="V2785" i="14" s="1"/>
  <c r="J2634" i="14"/>
  <c r="V2634" i="14" s="1"/>
  <c r="J2346" i="14"/>
  <c r="V2346" i="14" s="1"/>
  <c r="J2225" i="14"/>
  <c r="V2225" i="14" s="1"/>
  <c r="J1892" i="14"/>
  <c r="J1665" i="14"/>
  <c r="V1665" i="14" s="1"/>
  <c r="J1468" i="14"/>
  <c r="J1422" i="14"/>
  <c r="V1422" i="14" s="1"/>
  <c r="J1328" i="14"/>
  <c r="V1328" i="14" s="1"/>
  <c r="J1312" i="14"/>
  <c r="V1312" i="14" s="1"/>
  <c r="J1296" i="14"/>
  <c r="J1189" i="14"/>
  <c r="V1189" i="14" s="1"/>
  <c r="J1158" i="14"/>
  <c r="V1158" i="14" s="1"/>
  <c r="J1142" i="14"/>
  <c r="V1142" i="14" s="1"/>
  <c r="J1126" i="14"/>
  <c r="V1126" i="14" s="1"/>
  <c r="J1048" i="14"/>
  <c r="V1048" i="14" s="1"/>
  <c r="J2353" i="14"/>
  <c r="V2353" i="14" s="1"/>
  <c r="J2292" i="14"/>
  <c r="V2292" i="14" s="1"/>
  <c r="J2050" i="14"/>
  <c r="V2050" i="14" s="1"/>
  <c r="J1672" i="14"/>
  <c r="V1672" i="14" s="1"/>
  <c r="J1520" i="14"/>
  <c r="V1520" i="14" s="1"/>
  <c r="J1429" i="14"/>
  <c r="V1429" i="14" s="1"/>
  <c r="J1398" i="14"/>
  <c r="V1398" i="14" s="1"/>
  <c r="J1382" i="14"/>
  <c r="V1382" i="14" s="1"/>
  <c r="J1366" i="14"/>
  <c r="V1366" i="14" s="1"/>
  <c r="J1242" i="14"/>
  <c r="V1242" i="14" s="1"/>
  <c r="J1180" i="14"/>
  <c r="V1180" i="14" s="1"/>
  <c r="J1149" i="14"/>
  <c r="V1149" i="14" s="1"/>
  <c r="J1133" i="14"/>
  <c r="V1133" i="14" s="1"/>
  <c r="J1117" i="14"/>
  <c r="V1117" i="14" s="1"/>
  <c r="J1086" i="14"/>
  <c r="V1086" i="14" s="1"/>
  <c r="J1008" i="14"/>
  <c r="V1008" i="14" s="1"/>
  <c r="J992" i="14"/>
  <c r="V992" i="14" s="1"/>
  <c r="J976" i="14"/>
  <c r="V976" i="14" s="1"/>
  <c r="J960" i="14"/>
  <c r="V960" i="14" s="1"/>
  <c r="J944" i="14"/>
  <c r="V944" i="14" s="1"/>
  <c r="J898" i="14"/>
  <c r="J882" i="14"/>
  <c r="V882" i="14" s="1"/>
  <c r="J757" i="14"/>
  <c r="V757" i="14" s="1"/>
  <c r="J726" i="14"/>
  <c r="V726" i="14" s="1"/>
  <c r="J648" i="14"/>
  <c r="V648" i="14" s="1"/>
  <c r="J617" i="14"/>
  <c r="V617" i="14" s="1"/>
  <c r="J601" i="14"/>
  <c r="V601" i="14" s="1"/>
  <c r="J585" i="14"/>
  <c r="V585" i="14" s="1"/>
  <c r="J569" i="14"/>
  <c r="V569" i="14" s="1"/>
  <c r="J538" i="14"/>
  <c r="V538" i="14" s="1"/>
  <c r="J332" i="14"/>
  <c r="V332" i="14" s="1"/>
  <c r="J316" i="14"/>
  <c r="V316" i="14" s="1"/>
  <c r="J300" i="14"/>
  <c r="V300" i="14" s="1"/>
  <c r="J284" i="14"/>
  <c r="V284" i="14" s="1"/>
  <c r="J268" i="14"/>
  <c r="V268" i="14" s="1"/>
  <c r="J252" i="14"/>
  <c r="V252" i="14" s="1"/>
  <c r="J236" i="14"/>
  <c r="V236" i="14" s="1"/>
  <c r="J220" i="14"/>
  <c r="V220" i="14" s="1"/>
  <c r="J204" i="14"/>
  <c r="V204" i="14" s="1"/>
  <c r="J188" i="14"/>
  <c r="V188" i="14" s="1"/>
  <c r="J172" i="14"/>
  <c r="V172" i="14" s="1"/>
  <c r="J156" i="14"/>
  <c r="J140" i="14"/>
  <c r="V140" i="14" s="1"/>
  <c r="J124" i="14"/>
  <c r="V124" i="14" s="1"/>
  <c r="J108" i="14"/>
  <c r="V108" i="14" s="1"/>
  <c r="J92" i="14"/>
  <c r="V92" i="14" s="1"/>
  <c r="J76" i="14"/>
  <c r="V76" i="14" s="1"/>
  <c r="J60" i="14"/>
  <c r="V60" i="14" s="1"/>
  <c r="J44" i="14"/>
  <c r="V44" i="14" s="1"/>
  <c r="J28" i="14"/>
  <c r="V28" i="14" s="1"/>
  <c r="J12" i="14"/>
  <c r="V12" i="14" s="1"/>
  <c r="J2934" i="14"/>
  <c r="V2934" i="14" s="1"/>
  <c r="J2352" i="14"/>
  <c r="V2352" i="14" s="1"/>
  <c r="J2344" i="14"/>
  <c r="V2344" i="14" s="1"/>
  <c r="J1466" i="14"/>
  <c r="V1466" i="14" s="1"/>
  <c r="J1357" i="14"/>
  <c r="V1357" i="14" s="1"/>
  <c r="J1218" i="14"/>
  <c r="V1218" i="14" s="1"/>
  <c r="J1124" i="14"/>
  <c r="V1124" i="14" s="1"/>
  <c r="J1030" i="14"/>
  <c r="V1030" i="14" s="1"/>
  <c r="J973" i="14"/>
  <c r="V973" i="14" s="1"/>
  <c r="J941" i="14"/>
  <c r="V941" i="14" s="1"/>
  <c r="J832" i="14"/>
  <c r="V832" i="14" s="1"/>
  <c r="J800" i="14"/>
  <c r="V800" i="14" s="1"/>
  <c r="J676" i="14"/>
  <c r="V676" i="14" s="1"/>
  <c r="J614" i="14"/>
  <c r="J582" i="14"/>
  <c r="V582" i="14" s="1"/>
  <c r="J488" i="14"/>
  <c r="V488" i="14" s="1"/>
  <c r="J456" i="14"/>
  <c r="V456" i="14" s="1"/>
  <c r="J424" i="14"/>
  <c r="V424" i="14" s="1"/>
  <c r="J392" i="14"/>
  <c r="V392" i="14" s="1"/>
  <c r="J345" i="14"/>
  <c r="V345" i="14" s="1"/>
  <c r="J313" i="14"/>
  <c r="V313" i="14" s="1"/>
  <c r="J281" i="14"/>
  <c r="V281" i="14" s="1"/>
  <c r="J249" i="14"/>
  <c r="V249" i="14" s="1"/>
  <c r="J217" i="14"/>
  <c r="V217" i="14" s="1"/>
  <c r="J185" i="14"/>
  <c r="V185" i="14" s="1"/>
  <c r="J153" i="14"/>
  <c r="J121" i="14"/>
  <c r="V121" i="14" s="1"/>
  <c r="J89" i="14"/>
  <c r="V89" i="14" s="1"/>
  <c r="J57" i="14"/>
  <c r="V57" i="14" s="1"/>
  <c r="J25" i="14"/>
  <c r="V25" i="14" s="1"/>
  <c r="J610" i="14"/>
  <c r="V610" i="14" s="1"/>
  <c r="J452" i="14"/>
  <c r="V452" i="14" s="1"/>
  <c r="J388" i="14"/>
  <c r="J309" i="14"/>
  <c r="V309" i="14" s="1"/>
  <c r="J261" i="14"/>
  <c r="V261" i="14" s="1"/>
  <c r="J205" i="14"/>
  <c r="V205" i="14" s="1"/>
  <c r="J149" i="14"/>
  <c r="V149" i="14" s="1"/>
  <c r="J85" i="14"/>
  <c r="J21" i="14"/>
  <c r="V21" i="14" s="1"/>
  <c r="J1369" i="14"/>
  <c r="V1369" i="14" s="1"/>
  <c r="J1260" i="14"/>
  <c r="V1260" i="14" s="1"/>
  <c r="J1136" i="14"/>
  <c r="V1136" i="14" s="1"/>
  <c r="J1042" i="14"/>
  <c r="V1042" i="14" s="1"/>
  <c r="J885" i="14"/>
  <c r="V885" i="14" s="1"/>
  <c r="J838" i="14"/>
  <c r="V838" i="14" s="1"/>
  <c r="J806" i="14"/>
  <c r="V806" i="14" s="1"/>
  <c r="J729" i="14"/>
  <c r="V729" i="14" s="1"/>
  <c r="J682" i="14"/>
  <c r="V682" i="14" s="1"/>
  <c r="J620" i="14"/>
  <c r="V620" i="14" s="1"/>
  <c r="J588" i="14"/>
  <c r="V588" i="14" s="1"/>
  <c r="J541" i="14"/>
  <c r="J494" i="14"/>
  <c r="J462" i="14"/>
  <c r="V462" i="14" s="1"/>
  <c r="J430" i="14"/>
  <c r="V430" i="14" s="1"/>
  <c r="J398" i="14"/>
  <c r="V398" i="14" s="1"/>
  <c r="J366" i="14"/>
  <c r="V366" i="14" s="1"/>
  <c r="J2049" i="14"/>
  <c r="J1381" i="14"/>
  <c r="V1381" i="14" s="1"/>
  <c r="J1302" i="14"/>
  <c r="V1302" i="14" s="1"/>
  <c r="J1148" i="14"/>
  <c r="V1148" i="14" s="1"/>
  <c r="J1054" i="14"/>
  <c r="V1054" i="14" s="1"/>
  <c r="J985" i="14"/>
  <c r="V985" i="14" s="1"/>
  <c r="J953" i="14"/>
  <c r="V953" i="14" s="1"/>
  <c r="J860" i="14"/>
  <c r="V860" i="14" s="1"/>
  <c r="J758" i="14"/>
  <c r="J293" i="14"/>
  <c r="V293" i="14" s="1"/>
  <c r="J213" i="14"/>
  <c r="V213" i="14" s="1"/>
  <c r="J141" i="14"/>
  <c r="V141" i="14" s="1"/>
  <c r="J1894" i="14"/>
  <c r="J1470" i="14"/>
  <c r="V1470" i="14" s="1"/>
  <c r="J1361" i="14"/>
  <c r="V1361" i="14" s="1"/>
  <c r="J1237" i="14"/>
  <c r="V1237" i="14" s="1"/>
  <c r="J1128" i="14"/>
  <c r="V1128" i="14" s="1"/>
  <c r="J1034" i="14"/>
  <c r="V1034" i="14" s="1"/>
  <c r="J881" i="14"/>
  <c r="V881" i="14" s="1"/>
  <c r="J725" i="14"/>
  <c r="V725" i="14" s="1"/>
  <c r="J852" i="14"/>
  <c r="V852" i="14" s="1"/>
  <c r="V1492" i="14"/>
  <c r="J1400" i="14"/>
  <c r="V1400" i="14" s="1"/>
  <c r="J884" i="14"/>
  <c r="V884" i="14" s="1"/>
  <c r="J212" i="14"/>
  <c r="V212" i="14" s="1"/>
  <c r="J1137" i="14"/>
  <c r="V1137" i="14" s="1"/>
  <c r="J1333" i="14"/>
  <c r="V1333" i="14" s="1"/>
  <c r="V5694" i="14" l="1"/>
  <c r="V5806" i="14"/>
  <c r="L5566" i="14"/>
  <c r="M5566" i="14" s="1"/>
  <c r="U5694" i="14"/>
  <c r="V5726" i="14"/>
  <c r="K5726" i="14"/>
  <c r="U5806" i="14" s="1"/>
  <c r="L5966" i="14"/>
  <c r="M5966" i="14" s="1"/>
  <c r="L5950" i="14"/>
  <c r="M5950" i="14" s="1"/>
  <c r="K5902" i="14"/>
  <c r="L5902" i="14" s="1"/>
  <c r="M5902" i="14" s="1"/>
  <c r="V5838" i="14"/>
  <c r="K5838" i="14"/>
  <c r="V5525" i="14"/>
  <c r="K5534" i="14"/>
  <c r="V5534" i="14"/>
  <c r="V5518" i="14"/>
  <c r="K5518" i="14"/>
  <c r="V5427" i="14"/>
  <c r="K5345" i="14"/>
  <c r="L5345" i="14" s="1"/>
  <c r="V5345" i="14"/>
  <c r="K5438" i="14"/>
  <c r="L5438" i="14" s="1"/>
  <c r="M5438" i="14" s="1"/>
  <c r="V5438" i="14"/>
  <c r="L5454" i="14"/>
  <c r="M5454" i="14" s="1"/>
  <c r="V5349" i="14"/>
  <c r="L5358" i="14"/>
  <c r="M5358" i="14" s="1"/>
  <c r="U5343" i="14"/>
  <c r="V5374" i="14"/>
  <c r="K5374" i="14"/>
  <c r="V5342" i="14"/>
  <c r="K5342" i="14"/>
  <c r="V628" i="14"/>
  <c r="K5310" i="14"/>
  <c r="V5310" i="14"/>
  <c r="K5278" i="14"/>
  <c r="V5278" i="14"/>
  <c r="K5294" i="14"/>
  <c r="V5294" i="14"/>
  <c r="K5182" i="14"/>
  <c r="U5182" i="14" s="1"/>
  <c r="V5182" i="14"/>
  <c r="K5214" i="14"/>
  <c r="V5214" i="14"/>
  <c r="K5262" i="14"/>
  <c r="V5262" i="14"/>
  <c r="K5230" i="14"/>
  <c r="V5230" i="14"/>
  <c r="K5150" i="14"/>
  <c r="V5150" i="14"/>
  <c r="K5198" i="14"/>
  <c r="V5198" i="14"/>
  <c r="V5173" i="14"/>
  <c r="K5246" i="14"/>
  <c r="V5246" i="14"/>
  <c r="V5166" i="14"/>
  <c r="K5166" i="14"/>
  <c r="M5166" i="14" s="1"/>
  <c r="V5118" i="14"/>
  <c r="K5118" i="14"/>
  <c r="V5134" i="14"/>
  <c r="K5134" i="14"/>
  <c r="N4548" i="14"/>
  <c r="K5102" i="14"/>
  <c r="L5102" i="14" s="1"/>
  <c r="M5102" i="14" s="1"/>
  <c r="N5101" i="14"/>
  <c r="N5095" i="14"/>
  <c r="N5096" i="14"/>
  <c r="N5104" i="14"/>
  <c r="N5097" i="14"/>
  <c r="N5093" i="14"/>
  <c r="N5105" i="14"/>
  <c r="N5106" i="14"/>
  <c r="N5098" i="14"/>
  <c r="N5099" i="14"/>
  <c r="N5100" i="14"/>
  <c r="N5092" i="14"/>
  <c r="K5091" i="14"/>
  <c r="U5091" i="14" s="1"/>
  <c r="N5083" i="14"/>
  <c r="N5077" i="14"/>
  <c r="N5089" i="14"/>
  <c r="N5080" i="14"/>
  <c r="N5090" i="14"/>
  <c r="N5081" i="14"/>
  <c r="N5084" i="14"/>
  <c r="N5085" i="14"/>
  <c r="N5082" i="14"/>
  <c r="N5076" i="14"/>
  <c r="N5088" i="14"/>
  <c r="N5079" i="14"/>
  <c r="K5086" i="14"/>
  <c r="V5086" i="14"/>
  <c r="N5067" i="14"/>
  <c r="N5065" i="14"/>
  <c r="N5053" i="14"/>
  <c r="N5050" i="14"/>
  <c r="N5047" i="14"/>
  <c r="N5033" i="14"/>
  <c r="N5031" i="14"/>
  <c r="N3861" i="14"/>
  <c r="N3869" i="14"/>
  <c r="N5073" i="14"/>
  <c r="N5056" i="14"/>
  <c r="N3873" i="14"/>
  <c r="N5063" i="14"/>
  <c r="N5037" i="14"/>
  <c r="N5035" i="14"/>
  <c r="N3862" i="14"/>
  <c r="N3866" i="14"/>
  <c r="N3870" i="14"/>
  <c r="N5060" i="14"/>
  <c r="N5052" i="14"/>
  <c r="N5049" i="14"/>
  <c r="N5041" i="14"/>
  <c r="N3859" i="14"/>
  <c r="N3874" i="14"/>
  <c r="N5068" i="14"/>
  <c r="N5058" i="14"/>
  <c r="N5032" i="14"/>
  <c r="N5028" i="14"/>
  <c r="N5074" i="14"/>
  <c r="N3863" i="14"/>
  <c r="N3867" i="14"/>
  <c r="N5066" i="14"/>
  <c r="N5064" i="14"/>
  <c r="N5036" i="14"/>
  <c r="N5034" i="14"/>
  <c r="N3871" i="14"/>
  <c r="N5072" i="14"/>
  <c r="N5051" i="14"/>
  <c r="N5048" i="14"/>
  <c r="N5045" i="14"/>
  <c r="N3860" i="14"/>
  <c r="N5057" i="14"/>
  <c r="N5042" i="14"/>
  <c r="N3864" i="14"/>
  <c r="N3868" i="14"/>
  <c r="N5069" i="14"/>
  <c r="N5029" i="14"/>
  <c r="N3872" i="14"/>
  <c r="N5061" i="14"/>
  <c r="N5044" i="14"/>
  <c r="N5040" i="14"/>
  <c r="N3865" i="14"/>
  <c r="V5045" i="14"/>
  <c r="K5054" i="14"/>
  <c r="V5054" i="14"/>
  <c r="V5038" i="14"/>
  <c r="K5038" i="14"/>
  <c r="V5070" i="14"/>
  <c r="K5070" i="14"/>
  <c r="N4942" i="14"/>
  <c r="N4941" i="14"/>
  <c r="N4939" i="14"/>
  <c r="N4937" i="14"/>
  <c r="N4935" i="14"/>
  <c r="N4945" i="14"/>
  <c r="N4932" i="14"/>
  <c r="N4946" i="14"/>
  <c r="N4940" i="14"/>
  <c r="N4938" i="14"/>
  <c r="N4936" i="14"/>
  <c r="N4944" i="14"/>
  <c r="N4933" i="14"/>
  <c r="N5019" i="14"/>
  <c r="N4999" i="14"/>
  <c r="N5016" i="14"/>
  <c r="N5013" i="14"/>
  <c r="N5010" i="14"/>
  <c r="N5004" i="14"/>
  <c r="N5021" i="14"/>
  <c r="N5001" i="14"/>
  <c r="N5024" i="14"/>
  <c r="N5018" i="14"/>
  <c r="N5012" i="14"/>
  <c r="N5009" i="14"/>
  <c r="N5026" i="14"/>
  <c r="N5015" i="14"/>
  <c r="N5003" i="14"/>
  <c r="N5020" i="14"/>
  <c r="N5000" i="14"/>
  <c r="N4997" i="14"/>
  <c r="N5017" i="14"/>
  <c r="N5005" i="14"/>
  <c r="N5008" i="14"/>
  <c r="N5002" i="14"/>
  <c r="N5025" i="14"/>
  <c r="N4996" i="14"/>
  <c r="K5022" i="14"/>
  <c r="V5022" i="14"/>
  <c r="K5006" i="14"/>
  <c r="V5006" i="14"/>
  <c r="N4988" i="14"/>
  <c r="N4971" i="14"/>
  <c r="N4981" i="14"/>
  <c r="N4964" i="14"/>
  <c r="N4994" i="14"/>
  <c r="N4977" i="14"/>
  <c r="N4984" i="14"/>
  <c r="N4967" i="14"/>
  <c r="N4987" i="14"/>
  <c r="N4970" i="14"/>
  <c r="N4980" i="14"/>
  <c r="N4973" i="14"/>
  <c r="N4993" i="14"/>
  <c r="N4976" i="14"/>
  <c r="N4983" i="14"/>
  <c r="N4986" i="14"/>
  <c r="N4969" i="14"/>
  <c r="N4989" i="14"/>
  <c r="N4972" i="14"/>
  <c r="N4965" i="14"/>
  <c r="N4992" i="14"/>
  <c r="N4978" i="14"/>
  <c r="N4985" i="14"/>
  <c r="N4968" i="14"/>
  <c r="K4974" i="14"/>
  <c r="V4974" i="14"/>
  <c r="N4866" i="14"/>
  <c r="N4865" i="14"/>
  <c r="N4864" i="14"/>
  <c r="N4863" i="14"/>
  <c r="N4862" i="14"/>
  <c r="N4861" i="14"/>
  <c r="N4860" i="14"/>
  <c r="N4859" i="14"/>
  <c r="N4858" i="14"/>
  <c r="N4857" i="14"/>
  <c r="N4856" i="14"/>
  <c r="N4855" i="14"/>
  <c r="N4854" i="14"/>
  <c r="N4853" i="14"/>
  <c r="N4852" i="14"/>
  <c r="N4851" i="14"/>
  <c r="N4948" i="14"/>
  <c r="N4953" i="14"/>
  <c r="N4954" i="14"/>
  <c r="N4930" i="14"/>
  <c r="N4925" i="14"/>
  <c r="N4922" i="14"/>
  <c r="N4919" i="14"/>
  <c r="N4914" i="14"/>
  <c r="N4911" i="14"/>
  <c r="N4909" i="14"/>
  <c r="N4906" i="14"/>
  <c r="N4903" i="14"/>
  <c r="N4900" i="14"/>
  <c r="N4949" i="14"/>
  <c r="N4955" i="14"/>
  <c r="N4956" i="14"/>
  <c r="N4960" i="14"/>
  <c r="N4961" i="14"/>
  <c r="N4929" i="14"/>
  <c r="N4924" i="14"/>
  <c r="N4921" i="14"/>
  <c r="N4917" i="14"/>
  <c r="N4913" i="14"/>
  <c r="N4908" i="14"/>
  <c r="N4905" i="14"/>
  <c r="N4902" i="14"/>
  <c r="N4899" i="14"/>
  <c r="N4951" i="14"/>
  <c r="N4952" i="14"/>
  <c r="N4957" i="14"/>
  <c r="N4962" i="14"/>
  <c r="N4928" i="14"/>
  <c r="N4923" i="14"/>
  <c r="N4920" i="14"/>
  <c r="N4916" i="14"/>
  <c r="N4912" i="14"/>
  <c r="N4910" i="14"/>
  <c r="N4907" i="14"/>
  <c r="N4904" i="14"/>
  <c r="N4901" i="14"/>
  <c r="K4926" i="14"/>
  <c r="V4926" i="14"/>
  <c r="L4958" i="14"/>
  <c r="M4958" i="14" s="1"/>
  <c r="N4844" i="14"/>
  <c r="N4840" i="14"/>
  <c r="N4837" i="14"/>
  <c r="N4850" i="14"/>
  <c r="N4848" i="14"/>
  <c r="N4845" i="14"/>
  <c r="N4843" i="14"/>
  <c r="N4841" i="14"/>
  <c r="N4839" i="14"/>
  <c r="N4849" i="14"/>
  <c r="N4836" i="14"/>
  <c r="N4842" i="14"/>
  <c r="N2967" i="14"/>
  <c r="N3591" i="14"/>
  <c r="N4615" i="14"/>
  <c r="N3415" i="14"/>
  <c r="N4151" i="14"/>
  <c r="N4727" i="14"/>
  <c r="N1633" i="14"/>
  <c r="N2601" i="14"/>
  <c r="N1741" i="14"/>
  <c r="N2493" i="14"/>
  <c r="N2965" i="14"/>
  <c r="N3253" i="14"/>
  <c r="N3621" i="14"/>
  <c r="N3989" i="14"/>
  <c r="N4261" i="14"/>
  <c r="N4517" i="14"/>
  <c r="N4773" i="14"/>
  <c r="N2887" i="14"/>
  <c r="N3783" i="14"/>
  <c r="N4807" i="14"/>
  <c r="N3447" i="14"/>
  <c r="N4183" i="14"/>
  <c r="N761" i="14"/>
  <c r="N1649" i="14"/>
  <c r="N2617" i="14"/>
  <c r="N1877" i="14"/>
  <c r="N2509" i="14"/>
  <c r="N2981" i="14"/>
  <c r="N3349" i="14"/>
  <c r="N3637" i="14"/>
  <c r="N4005" i="14"/>
  <c r="N4277" i="14"/>
  <c r="N4533" i="14"/>
  <c r="N4789" i="14"/>
  <c r="N3847" i="14"/>
  <c r="N4871" i="14"/>
  <c r="N3639" i="14"/>
  <c r="N4215" i="14"/>
  <c r="N777" i="14"/>
  <c r="N2017" i="14"/>
  <c r="N2945" i="14"/>
  <c r="N1901" i="14"/>
  <c r="N2669" i="14"/>
  <c r="N2997" i="14"/>
  <c r="N3365" i="14"/>
  <c r="N3733" i="14"/>
  <c r="N4021" i="14"/>
  <c r="N4357" i="14"/>
  <c r="N4613" i="14"/>
  <c r="N3509" i="14"/>
  <c r="N3877" i="14"/>
  <c r="N4229" i="14"/>
  <c r="N4485" i="14"/>
  <c r="N4741" i="14"/>
  <c r="N3527" i="14"/>
  <c r="N4551" i="14"/>
  <c r="N3383" i="14"/>
  <c r="N3959" i="14"/>
  <c r="N4695" i="14"/>
  <c r="N1617" i="14"/>
  <c r="N2329" i="14"/>
  <c r="N1725" i="14"/>
  <c r="N2477" i="14"/>
  <c r="N2837" i="14"/>
  <c r="N3237" i="14"/>
  <c r="N3605" i="14"/>
  <c r="N3893" i="14"/>
  <c r="N2999" i="14"/>
  <c r="N4039" i="14"/>
  <c r="N3015" i="14"/>
  <c r="N3671" i="14"/>
  <c r="N4407" i="14"/>
  <c r="N865" i="14"/>
  <c r="N2033" i="14"/>
  <c r="N1245" i="14"/>
  <c r="N1917" i="14"/>
  <c r="N2685" i="14"/>
  <c r="N3093" i="14"/>
  <c r="N3381" i="14"/>
  <c r="N3749" i="14"/>
  <c r="N4117" i="14"/>
  <c r="N4373" i="14"/>
  <c r="N4629" i="14"/>
  <c r="N3079" i="14"/>
  <c r="N4103" i="14"/>
  <c r="N3127" i="14"/>
  <c r="N3703" i="14"/>
  <c r="N4439" i="14"/>
  <c r="N1281" i="14"/>
  <c r="N2089" i="14"/>
  <c r="N1341" i="14"/>
  <c r="N2173" i="14"/>
  <c r="N2701" i="14"/>
  <c r="N3109" i="14"/>
  <c r="N3477" i="14"/>
  <c r="N3765" i="14"/>
  <c r="N4133" i="14"/>
  <c r="N4389" i="14"/>
  <c r="N4645" i="14"/>
  <c r="N3271" i="14"/>
  <c r="N4295" i="14"/>
  <c r="N3159" i="14"/>
  <c r="N3895" i="14"/>
  <c r="N4471" i="14"/>
  <c r="N1433" i="14"/>
  <c r="N2297" i="14"/>
  <c r="N1405" i="14"/>
  <c r="N2229" i="14"/>
  <c r="N2805" i="14"/>
  <c r="N3125" i="14"/>
  <c r="N3493" i="14"/>
  <c r="N4149" i="14"/>
  <c r="N4405" i="14"/>
  <c r="N4661" i="14"/>
  <c r="N3335" i="14"/>
  <c r="N4359" i="14"/>
  <c r="N3191" i="14"/>
  <c r="N3927" i="14"/>
  <c r="N4663" i="14"/>
  <c r="N1449" i="14"/>
  <c r="N2313" i="14"/>
  <c r="N1709" i="14"/>
  <c r="N2245" i="14"/>
  <c r="N2821" i="14"/>
  <c r="N3221" i="14"/>
  <c r="N4245" i="14"/>
  <c r="N4501" i="14"/>
  <c r="N4757" i="14"/>
  <c r="N4052" i="14"/>
  <c r="N2947" i="14"/>
  <c r="N2823" i="14"/>
  <c r="N3303" i="14"/>
  <c r="N3559" i="14"/>
  <c r="N3815" i="14"/>
  <c r="N4071" i="14"/>
  <c r="N4327" i="14"/>
  <c r="N4583" i="14"/>
  <c r="N3063" i="14"/>
  <c r="N3111" i="14"/>
  <c r="N3367" i="14"/>
  <c r="N3623" i="14"/>
  <c r="N3879" i="14"/>
  <c r="N4135" i="14"/>
  <c r="N4391" i="14"/>
  <c r="N4647" i="14"/>
  <c r="N3031" i="14"/>
  <c r="N3223" i="14"/>
  <c r="N3479" i="14"/>
  <c r="N3735" i="14"/>
  <c r="N3991" i="14"/>
  <c r="N4247" i="14"/>
  <c r="N4503" i="14"/>
  <c r="N4759" i="14"/>
  <c r="N905" i="14"/>
  <c r="N1473" i="14"/>
  <c r="N1793" i="14"/>
  <c r="N2105" i="14"/>
  <c r="N2361" i="14"/>
  <c r="N733" i="14"/>
  <c r="N1565" i="14"/>
  <c r="N1757" i="14"/>
  <c r="N1933" i="14"/>
  <c r="N2261" i="14"/>
  <c r="N2525" i="14"/>
  <c r="N2717" i="14"/>
  <c r="N2853" i="14"/>
  <c r="N3013" i="14"/>
  <c r="N3141" i="14"/>
  <c r="N3269" i="14"/>
  <c r="N3397" i="14"/>
  <c r="N3525" i="14"/>
  <c r="N3653" i="14"/>
  <c r="N3781" i="14"/>
  <c r="N3909" i="14"/>
  <c r="N4037" i="14"/>
  <c r="N4165" i="14"/>
  <c r="N4293" i="14"/>
  <c r="N4421" i="14"/>
  <c r="N4549" i="14"/>
  <c r="N4677" i="14"/>
  <c r="N4805" i="14"/>
  <c r="N3445" i="14"/>
  <c r="N3573" i="14"/>
  <c r="N3701" i="14"/>
  <c r="N3829" i="14"/>
  <c r="N3957" i="14"/>
  <c r="N4085" i="14"/>
  <c r="N4213" i="14"/>
  <c r="N4341" i="14"/>
  <c r="N4469" i="14"/>
  <c r="N4597" i="14"/>
  <c r="N4725" i="14"/>
  <c r="N4885" i="14"/>
  <c r="N2983" i="14"/>
  <c r="N3495" i="14"/>
  <c r="N3751" i="14"/>
  <c r="N4007" i="14"/>
  <c r="N4263" i="14"/>
  <c r="N4519" i="14"/>
  <c r="N4775" i="14"/>
  <c r="N3095" i="14"/>
  <c r="N3351" i="14"/>
  <c r="N3607" i="14"/>
  <c r="N4119" i="14"/>
  <c r="N4375" i="14"/>
  <c r="N4631" i="14"/>
  <c r="N697" i="14"/>
  <c r="N1265" i="14"/>
  <c r="N1545" i="14"/>
  <c r="N2001" i="14"/>
  <c r="N2209" i="14"/>
  <c r="N2545" i="14"/>
  <c r="N1221" i="14"/>
  <c r="N1693" i="14"/>
  <c r="N1861" i="14"/>
  <c r="N2157" i="14"/>
  <c r="N2461" i="14"/>
  <c r="N2653" i="14"/>
  <c r="N2789" i="14"/>
  <c r="N2917" i="14"/>
  <c r="N3077" i="14"/>
  <c r="N2751" i="14"/>
  <c r="N3143" i="14"/>
  <c r="N3399" i="14"/>
  <c r="N3655" i="14"/>
  <c r="N3911" i="14"/>
  <c r="N4167" i="14"/>
  <c r="N4423" i="14"/>
  <c r="N4679" i="14"/>
  <c r="N2247" i="14"/>
  <c r="N3255" i="14"/>
  <c r="N3511" i="14"/>
  <c r="N3767" i="14"/>
  <c r="N4023" i="14"/>
  <c r="N4279" i="14"/>
  <c r="N4535" i="14"/>
  <c r="N4791" i="14"/>
  <c r="N921" i="14"/>
  <c r="N1489" i="14"/>
  <c r="N1809" i="14"/>
  <c r="N2121" i="14"/>
  <c r="N2377" i="14"/>
  <c r="N1013" i="14"/>
  <c r="N1581" i="14"/>
  <c r="N1773" i="14"/>
  <c r="N1949" i="14"/>
  <c r="N2277" i="14"/>
  <c r="N2565" i="14"/>
  <c r="N2733" i="14"/>
  <c r="N2869" i="14"/>
  <c r="N3029" i="14"/>
  <c r="N3157" i="14"/>
  <c r="N3285" i="14"/>
  <c r="N3413" i="14"/>
  <c r="N3541" i="14"/>
  <c r="N3669" i="14"/>
  <c r="N3797" i="14"/>
  <c r="N3925" i="14"/>
  <c r="N4053" i="14"/>
  <c r="N4181" i="14"/>
  <c r="N4309" i="14"/>
  <c r="N4437" i="14"/>
  <c r="N4565" i="14"/>
  <c r="N4693" i="14"/>
  <c r="N4821" i="14"/>
  <c r="N2855" i="14"/>
  <c r="N3175" i="14"/>
  <c r="N3431" i="14"/>
  <c r="N3687" i="14"/>
  <c r="N3943" i="14"/>
  <c r="N4199" i="14"/>
  <c r="N4455" i="14"/>
  <c r="N4711" i="14"/>
  <c r="N3047" i="14"/>
  <c r="N3287" i="14"/>
  <c r="N3543" i="14"/>
  <c r="N3799" i="14"/>
  <c r="N4055" i="14"/>
  <c r="N4311" i="14"/>
  <c r="N4567" i="14"/>
  <c r="N4823" i="14"/>
  <c r="N1057" i="14"/>
  <c r="N1505" i="14"/>
  <c r="N1969" i="14"/>
  <c r="N2137" i="14"/>
  <c r="N2393" i="14"/>
  <c r="N1101" i="14"/>
  <c r="N1597" i="14"/>
  <c r="N1829" i="14"/>
  <c r="N2053" i="14"/>
  <c r="N2429" i="14"/>
  <c r="N2581" i="14"/>
  <c r="N2749" i="14"/>
  <c r="N2885" i="14"/>
  <c r="N3045" i="14"/>
  <c r="N3173" i="14"/>
  <c r="N3301" i="14"/>
  <c r="N3429" i="14"/>
  <c r="N3557" i="14"/>
  <c r="N3685" i="14"/>
  <c r="N3813" i="14"/>
  <c r="N3941" i="14"/>
  <c r="N4069" i="14"/>
  <c r="N4197" i="14"/>
  <c r="N4325" i="14"/>
  <c r="N4453" i="14"/>
  <c r="N4581" i="14"/>
  <c r="N4709" i="14"/>
  <c r="N4869" i="14"/>
  <c r="N2791" i="14"/>
  <c r="N3207" i="14"/>
  <c r="N3463" i="14"/>
  <c r="N3719" i="14"/>
  <c r="N3975" i="14"/>
  <c r="N4231" i="14"/>
  <c r="N4487" i="14"/>
  <c r="N4743" i="14"/>
  <c r="N2919" i="14"/>
  <c r="N3319" i="14"/>
  <c r="N3575" i="14"/>
  <c r="N3831" i="14"/>
  <c r="N4087" i="14"/>
  <c r="N4343" i="14"/>
  <c r="N4599" i="14"/>
  <c r="N4887" i="14"/>
  <c r="N1193" i="14"/>
  <c r="N1529" i="14"/>
  <c r="N1985" i="14"/>
  <c r="N2193" i="14"/>
  <c r="N2409" i="14"/>
  <c r="N1165" i="14"/>
  <c r="N1677" i="14"/>
  <c r="N1845" i="14"/>
  <c r="N2069" i="14"/>
  <c r="N2445" i="14"/>
  <c r="N2637" i="14"/>
  <c r="N2765" i="14"/>
  <c r="N2901" i="14"/>
  <c r="N3061" i="14"/>
  <c r="N3189" i="14"/>
  <c r="N3317" i="14"/>
  <c r="N3239" i="14"/>
  <c r="N3205" i="14"/>
  <c r="N3333" i="14"/>
  <c r="N3461" i="14"/>
  <c r="N3589" i="14"/>
  <c r="N3717" i="14"/>
  <c r="N3845" i="14"/>
  <c r="N3973" i="14"/>
  <c r="N4101" i="14"/>
  <c r="N3293" i="14"/>
  <c r="N3552" i="14"/>
  <c r="N3698" i="14"/>
  <c r="N3808" i="14"/>
  <c r="N3901" i="14"/>
  <c r="N3995" i="14"/>
  <c r="N4089" i="14"/>
  <c r="N4154" i="14"/>
  <c r="N4184" i="14"/>
  <c r="N4217" i="14"/>
  <c r="N4242" i="14"/>
  <c r="N4265" i="14"/>
  <c r="N4282" i="14"/>
  <c r="N4300" i="14"/>
  <c r="N4322" i="14"/>
  <c r="N4340" i="14"/>
  <c r="N4363" i="14"/>
  <c r="N4380" i="14"/>
  <c r="N4400" i="14"/>
  <c r="N4416" i="14"/>
  <c r="N4432" i="14"/>
  <c r="N4450" i="14"/>
  <c r="N4464" i="14"/>
  <c r="N4476" i="14"/>
  <c r="N4489" i="14"/>
  <c r="N4500" i="14"/>
  <c r="N4513" i="14"/>
  <c r="N4525" i="14"/>
  <c r="N4539" i="14"/>
  <c r="N4553" i="14"/>
  <c r="N4564" i="14"/>
  <c r="N4577" i="14"/>
  <c r="N4589" i="14"/>
  <c r="N4603" i="14"/>
  <c r="N4617" i="14"/>
  <c r="N4628" i="14"/>
  <c r="N4640" i="14"/>
  <c r="N4652" i="14"/>
  <c r="N4665" i="14"/>
  <c r="N4674" i="14"/>
  <c r="N4686" i="14"/>
  <c r="N4699" i="14"/>
  <c r="N4712" i="14"/>
  <c r="N4721" i="14"/>
  <c r="N4733" i="14"/>
  <c r="N4747" i="14"/>
  <c r="N4760" i="14"/>
  <c r="N4770" i="14"/>
  <c r="N4784" i="14"/>
  <c r="N4796" i="14"/>
  <c r="N4810" i="14"/>
  <c r="N4824" i="14"/>
  <c r="N4834" i="14"/>
  <c r="N4880" i="14"/>
  <c r="N4892" i="14"/>
  <c r="N4653" i="14"/>
  <c r="N4676" i="14"/>
  <c r="N4700" i="14"/>
  <c r="N4722" i="14"/>
  <c r="N4736" i="14"/>
  <c r="N4772" i="14"/>
  <c r="N4797" i="14"/>
  <c r="N4825" i="14"/>
  <c r="N4868" i="14"/>
  <c r="N4881" i="14"/>
  <c r="N3340" i="14"/>
  <c r="N3572" i="14"/>
  <c r="N3713" i="14"/>
  <c r="N3820" i="14"/>
  <c r="N3914" i="14"/>
  <c r="N4008" i="14"/>
  <c r="N4098" i="14"/>
  <c r="N4157" i="14"/>
  <c r="N4188" i="14"/>
  <c r="N4218" i="14"/>
  <c r="N4248" i="14"/>
  <c r="N4266" i="14"/>
  <c r="N4285" i="14"/>
  <c r="N4301" i="14"/>
  <c r="N4324" i="14"/>
  <c r="N4345" i="14"/>
  <c r="N4364" i="14"/>
  <c r="N4381" i="14"/>
  <c r="N4401" i="14"/>
  <c r="N4417" i="14"/>
  <c r="N4433" i="14"/>
  <c r="N4452" i="14"/>
  <c r="N4465" i="14"/>
  <c r="N4477" i="14"/>
  <c r="N4490" i="14"/>
  <c r="N4504" i="14"/>
  <c r="N4514" i="14"/>
  <c r="N4528" i="14"/>
  <c r="N4540" i="14"/>
  <c r="N4554" i="14"/>
  <c r="N4568" i="14"/>
  <c r="N4578" i="14"/>
  <c r="N4592" i="14"/>
  <c r="N4604" i="14"/>
  <c r="N4618" i="14"/>
  <c r="N4632" i="14"/>
  <c r="N4641" i="14"/>
  <c r="N4666" i="14"/>
  <c r="N4688" i="14"/>
  <c r="N4713" i="14"/>
  <c r="N4748" i="14"/>
  <c r="N4761" i="14"/>
  <c r="N4785" i="14"/>
  <c r="N4811" i="14"/>
  <c r="N4893" i="14"/>
  <c r="N3387" i="14"/>
  <c r="N3592" i="14"/>
  <c r="N3728" i="14"/>
  <c r="N3833" i="14"/>
  <c r="N3924" i="14"/>
  <c r="N4017" i="14"/>
  <c r="N4110" i="14"/>
  <c r="N4158" i="14"/>
  <c r="N4192" i="14"/>
  <c r="N4222" i="14"/>
  <c r="N4251" i="14"/>
  <c r="N4267" i="14"/>
  <c r="N4286" i="14"/>
  <c r="N4305" i="14"/>
  <c r="N4328" i="14"/>
  <c r="N4348" i="14"/>
  <c r="N4365" i="14"/>
  <c r="N4386" i="14"/>
  <c r="N4402" i="14"/>
  <c r="N4418" i="14"/>
  <c r="N4440" i="14"/>
  <c r="N4456" i="14"/>
  <c r="N4466" i="14"/>
  <c r="N4478" i="14"/>
  <c r="N4491" i="14"/>
  <c r="N4505" i="14"/>
  <c r="N4516" i="14"/>
  <c r="N4529" i="14"/>
  <c r="N4541" i="14"/>
  <c r="N4555" i="14"/>
  <c r="N4569" i="14"/>
  <c r="N4580" i="14"/>
  <c r="N4593" i="14"/>
  <c r="N4605" i="14"/>
  <c r="N4619" i="14"/>
  <c r="N4633" i="14"/>
  <c r="N4642" i="14"/>
  <c r="N4654" i="14"/>
  <c r="N4667" i="14"/>
  <c r="N4680" i="14"/>
  <c r="N4689" i="14"/>
  <c r="N4701" i="14"/>
  <c r="N4714" i="14"/>
  <c r="N4724" i="14"/>
  <c r="N4737" i="14"/>
  <c r="N4749" i="14"/>
  <c r="N4762" i="14"/>
  <c r="N4776" i="14"/>
  <c r="N4786" i="14"/>
  <c r="N4800" i="14"/>
  <c r="N4812" i="14"/>
  <c r="N4826" i="14"/>
  <c r="N4872" i="14"/>
  <c r="N4882" i="14"/>
  <c r="N4894" i="14"/>
  <c r="N3434" i="14"/>
  <c r="N3610" i="14"/>
  <c r="N3744" i="14"/>
  <c r="N3842" i="14"/>
  <c r="N3936" i="14"/>
  <c r="N4029" i="14"/>
  <c r="N4123" i="14"/>
  <c r="N4164" i="14"/>
  <c r="N4193" i="14"/>
  <c r="N4226" i="14"/>
  <c r="N4252" i="14"/>
  <c r="N4269" i="14"/>
  <c r="N4288" i="14"/>
  <c r="N4312" i="14"/>
  <c r="N4329" i="14"/>
  <c r="N4349" i="14"/>
  <c r="N4369" i="14"/>
  <c r="N4388" i="14"/>
  <c r="N4404" i="14"/>
  <c r="N4420" i="14"/>
  <c r="N4441" i="14"/>
  <c r="N4457" i="14"/>
  <c r="N4468" i="14"/>
  <c r="N4480" i="14"/>
  <c r="N4492" i="14"/>
  <c r="N4506" i="14"/>
  <c r="N4520" i="14"/>
  <c r="N4530" i="14"/>
  <c r="N4544" i="14"/>
  <c r="N4556" i="14"/>
  <c r="N4570" i="14"/>
  <c r="N4584" i="14"/>
  <c r="N4594" i="14"/>
  <c r="N4608" i="14"/>
  <c r="N4620" i="14"/>
  <c r="N4634" i="14"/>
  <c r="N4644" i="14"/>
  <c r="N4656" i="14"/>
  <c r="N4668" i="14"/>
  <c r="N4681" i="14"/>
  <c r="N4690" i="14"/>
  <c r="N4702" i="14"/>
  <c r="N4715" i="14"/>
  <c r="N4728" i="14"/>
  <c r="N4738" i="14"/>
  <c r="N4750" i="14"/>
  <c r="N4763" i="14"/>
  <c r="N4777" i="14"/>
  <c r="N4788" i="14"/>
  <c r="N4801" i="14"/>
  <c r="N4813" i="14"/>
  <c r="N4827" i="14"/>
  <c r="N4873" i="14"/>
  <c r="N4884" i="14"/>
  <c r="N4896" i="14"/>
  <c r="N4141" i="14"/>
  <c r="N4204" i="14"/>
  <c r="N4254" i="14"/>
  <c r="N4353" i="14"/>
  <c r="N4393" i="14"/>
  <c r="N4409" i="14"/>
  <c r="N4443" i="14"/>
  <c r="N4473" i="14"/>
  <c r="N4508" i="14"/>
  <c r="N4536" i="14"/>
  <c r="N4560" i="14"/>
  <c r="N4586" i="14"/>
  <c r="N4600" i="14"/>
  <c r="N4610" i="14"/>
  <c r="N4624" i="14"/>
  <c r="N4658" i="14"/>
  <c r="N4683" i="14"/>
  <c r="N4705" i="14"/>
  <c r="N4730" i="14"/>
  <c r="N4753" i="14"/>
  <c r="N4779" i="14"/>
  <c r="N4804" i="14"/>
  <c r="N4829" i="14"/>
  <c r="N4889" i="14"/>
  <c r="N3458" i="14"/>
  <c r="N3629" i="14"/>
  <c r="N3757" i="14"/>
  <c r="N3854" i="14"/>
  <c r="N3948" i="14"/>
  <c r="N4042" i="14"/>
  <c r="N4136" i="14"/>
  <c r="N4170" i="14"/>
  <c r="N4201" i="14"/>
  <c r="N4228" i="14"/>
  <c r="N4253" i="14"/>
  <c r="N4273" i="14"/>
  <c r="N4289" i="14"/>
  <c r="N4313" i="14"/>
  <c r="N4331" i="14"/>
  <c r="N4352" i="14"/>
  <c r="N4376" i="14"/>
  <c r="N4392" i="14"/>
  <c r="N4408" i="14"/>
  <c r="N4426" i="14"/>
  <c r="N4442" i="14"/>
  <c r="N4458" i="14"/>
  <c r="N4472" i="14"/>
  <c r="N4481" i="14"/>
  <c r="N4493" i="14"/>
  <c r="N4507" i="14"/>
  <c r="N4521" i="14"/>
  <c r="N4532" i="14"/>
  <c r="N4545" i="14"/>
  <c r="N4557" i="14"/>
  <c r="N4571" i="14"/>
  <c r="N4585" i="14"/>
  <c r="N4596" i="14"/>
  <c r="N4609" i="14"/>
  <c r="N4621" i="14"/>
  <c r="N4635" i="14"/>
  <c r="N4648" i="14"/>
  <c r="N4657" i="14"/>
  <c r="N4669" i="14"/>
  <c r="N4682" i="14"/>
  <c r="N4692" i="14"/>
  <c r="N4704" i="14"/>
  <c r="N4716" i="14"/>
  <c r="N4729" i="14"/>
  <c r="N4740" i="14"/>
  <c r="N4752" i="14"/>
  <c r="N4764" i="14"/>
  <c r="N4778" i="14"/>
  <c r="N4792" i="14"/>
  <c r="N4802" i="14"/>
  <c r="N4816" i="14"/>
  <c r="N4828" i="14"/>
  <c r="N4874" i="14"/>
  <c r="N4888" i="14"/>
  <c r="N4897" i="14"/>
  <c r="N4171" i="14"/>
  <c r="N4235" i="14"/>
  <c r="N4274" i="14"/>
  <c r="N4292" i="14"/>
  <c r="N4314" i="14"/>
  <c r="N4336" i="14"/>
  <c r="N4377" i="14"/>
  <c r="N4427" i="14"/>
  <c r="N4459" i="14"/>
  <c r="N4482" i="14"/>
  <c r="N4496" i="14"/>
  <c r="N4522" i="14"/>
  <c r="N4546" i="14"/>
  <c r="N4572" i="14"/>
  <c r="N4636" i="14"/>
  <c r="N4649" i="14"/>
  <c r="N4670" i="14"/>
  <c r="N4696" i="14"/>
  <c r="N4717" i="14"/>
  <c r="N4744" i="14"/>
  <c r="N4765" i="14"/>
  <c r="N4793" i="14"/>
  <c r="N4817" i="14"/>
  <c r="N4875" i="14"/>
  <c r="N4898" i="14"/>
  <c r="N3153" i="14"/>
  <c r="N3483" i="14"/>
  <c r="N3645" i="14"/>
  <c r="N3771" i="14"/>
  <c r="N3961" i="14"/>
  <c r="N3200" i="14"/>
  <c r="N3505" i="14"/>
  <c r="N3665" i="14"/>
  <c r="N3785" i="14"/>
  <c r="N3880" i="14"/>
  <c r="N3970" i="14"/>
  <c r="N4064" i="14"/>
  <c r="N4145" i="14"/>
  <c r="N4176" i="14"/>
  <c r="N4205" i="14"/>
  <c r="N4238" i="14"/>
  <c r="N4257" i="14"/>
  <c r="N4276" i="14"/>
  <c r="N4298" i="14"/>
  <c r="N4315" i="14"/>
  <c r="N4337" i="14"/>
  <c r="N4356" i="14"/>
  <c r="N4378" i="14"/>
  <c r="N4394" i="14"/>
  <c r="N4412" i="14"/>
  <c r="N4428" i="14"/>
  <c r="N4444" i="14"/>
  <c r="N4460" i="14"/>
  <c r="N4474" i="14"/>
  <c r="N4484" i="14"/>
  <c r="N4497" i="14"/>
  <c r="N4509" i="14"/>
  <c r="N4523" i="14"/>
  <c r="N4537" i="14"/>
  <c r="N4561" i="14"/>
  <c r="N4573" i="14"/>
  <c r="N4587" i="14"/>
  <c r="N4601" i="14"/>
  <c r="N4612" i="14"/>
  <c r="N4625" i="14"/>
  <c r="N4637" i="14"/>
  <c r="N4650" i="14"/>
  <c r="N4672" i="14"/>
  <c r="N4684" i="14"/>
  <c r="N4697" i="14"/>
  <c r="N4706" i="14"/>
  <c r="N4718" i="14"/>
  <c r="N4731" i="14"/>
  <c r="N4745" i="14"/>
  <c r="N4754" i="14"/>
  <c r="N4768" i="14"/>
  <c r="N4780" i="14"/>
  <c r="N4794" i="14"/>
  <c r="N4808" i="14"/>
  <c r="N4818" i="14"/>
  <c r="N4832" i="14"/>
  <c r="N4876" i="14"/>
  <c r="N4890" i="14"/>
  <c r="N3246" i="14"/>
  <c r="N3530" i="14"/>
  <c r="N3681" i="14"/>
  <c r="N3796" i="14"/>
  <c r="N3889" i="14"/>
  <c r="N3982" i="14"/>
  <c r="N4076" i="14"/>
  <c r="N4146" i="14"/>
  <c r="N4180" i="14"/>
  <c r="N4210" i="14"/>
  <c r="N4240" i="14"/>
  <c r="N4264" i="14"/>
  <c r="N4280" i="14"/>
  <c r="N4299" i="14"/>
  <c r="N4317" i="14"/>
  <c r="N4338" i="14"/>
  <c r="N4362" i="14"/>
  <c r="N4379" i="14"/>
  <c r="N4395" i="14"/>
  <c r="N4413" i="14"/>
  <c r="N4429" i="14"/>
  <c r="N4445" i="14"/>
  <c r="N4461" i="14"/>
  <c r="N4475" i="14"/>
  <c r="N4488" i="14"/>
  <c r="N4498" i="14"/>
  <c r="N4512" i="14"/>
  <c r="N4524" i="14"/>
  <c r="N4538" i="14"/>
  <c r="N4552" i="14"/>
  <c r="N4562" i="14"/>
  <c r="N4576" i="14"/>
  <c r="N4588" i="14"/>
  <c r="N4602" i="14"/>
  <c r="N4616" i="14"/>
  <c r="N4626" i="14"/>
  <c r="N4638" i="14"/>
  <c r="N4651" i="14"/>
  <c r="N4664" i="14"/>
  <c r="N4673" i="14"/>
  <c r="N4685" i="14"/>
  <c r="N4698" i="14"/>
  <c r="N4708" i="14"/>
  <c r="N4720" i="14"/>
  <c r="N4732" i="14"/>
  <c r="N4746" i="14"/>
  <c r="N4756" i="14"/>
  <c r="N4769" i="14"/>
  <c r="N4781" i="14"/>
  <c r="N4795" i="14"/>
  <c r="N4809" i="14"/>
  <c r="N4820" i="14"/>
  <c r="N4833" i="14"/>
  <c r="N4877" i="14"/>
  <c r="N4891" i="14"/>
  <c r="N2534" i="14"/>
  <c r="N2889" i="14"/>
  <c r="N3038" i="14"/>
  <c r="N3131" i="14"/>
  <c r="N3178" i="14"/>
  <c r="N3225" i="14"/>
  <c r="N3272" i="14"/>
  <c r="N3316" i="14"/>
  <c r="N3362" i="14"/>
  <c r="N3409" i="14"/>
  <c r="N3449" i="14"/>
  <c r="N3470" i="14"/>
  <c r="N3496" i="14"/>
  <c r="N3517" i="14"/>
  <c r="N3540" i="14"/>
  <c r="N3563" i="14"/>
  <c r="N3582" i="14"/>
  <c r="N3598" i="14"/>
  <c r="N3618" i="14"/>
  <c r="N3636" i="14"/>
  <c r="N3657" i="14"/>
  <c r="N3676" i="14"/>
  <c r="N3691" i="14"/>
  <c r="N3706" i="14"/>
  <c r="N3723" i="14"/>
  <c r="N3738" i="14"/>
  <c r="N3752" i="14"/>
  <c r="N3762" i="14"/>
  <c r="N3776" i="14"/>
  <c r="N3790" i="14"/>
  <c r="N3803" i="14"/>
  <c r="N3816" i="14"/>
  <c r="N3825" i="14"/>
  <c r="N3837" i="14"/>
  <c r="N3850" i="14"/>
  <c r="N3884" i="14"/>
  <c r="N3897" i="14"/>
  <c r="N3906" i="14"/>
  <c r="N3918" i="14"/>
  <c r="N3931" i="14"/>
  <c r="N3944" i="14"/>
  <c r="N3953" i="14"/>
  <c r="N3965" i="14"/>
  <c r="N3978" i="14"/>
  <c r="N3988" i="14"/>
  <c r="N4000" i="14"/>
  <c r="N4012" i="14"/>
  <c r="N4025" i="14"/>
  <c r="N4034" i="14"/>
  <c r="N4046" i="14"/>
  <c r="N4059" i="14"/>
  <c r="N4072" i="14"/>
  <c r="N4081" i="14"/>
  <c r="N4093" i="14"/>
  <c r="N4106" i="14"/>
  <c r="N4116" i="14"/>
  <c r="N4128" i="14"/>
  <c r="N4140" i="14"/>
  <c r="N4153" i="14"/>
  <c r="N4162" i="14"/>
  <c r="N4174" i="14"/>
  <c r="N4187" i="14"/>
  <c r="N4200" i="14"/>
  <c r="N4209" i="14"/>
  <c r="N4221" i="14"/>
  <c r="N4234" i="14"/>
  <c r="N4244" i="14"/>
  <c r="N4256" i="14"/>
  <c r="N4268" i="14"/>
  <c r="N4281" i="14"/>
  <c r="N4290" i="14"/>
  <c r="N4304" i="14"/>
  <c r="N4316" i="14"/>
  <c r="N4330" i="14"/>
  <c r="N4344" i="14"/>
  <c r="N4354" i="14"/>
  <c r="N4368" i="14"/>
  <c r="N2636" i="14"/>
  <c r="N2907" i="14"/>
  <c r="N3052" i="14"/>
  <c r="N3136" i="14"/>
  <c r="N3182" i="14"/>
  <c r="N3229" i="14"/>
  <c r="N3276" i="14"/>
  <c r="N3323" i="14"/>
  <c r="N3370" i="14"/>
  <c r="N3417" i="14"/>
  <c r="N3451" i="14"/>
  <c r="N3473" i="14"/>
  <c r="N3498" i="14"/>
  <c r="N3520" i="14"/>
  <c r="N3545" i="14"/>
  <c r="N3564" i="14"/>
  <c r="N3584" i="14"/>
  <c r="N3601" i="14"/>
  <c r="N3620" i="14"/>
  <c r="N3642" i="14"/>
  <c r="N3658" i="14"/>
  <c r="N3677" i="14"/>
  <c r="N3692" i="14"/>
  <c r="N3707" i="14"/>
  <c r="N3724" i="14"/>
  <c r="N3739" i="14"/>
  <c r="N3753" i="14"/>
  <c r="N3764" i="14"/>
  <c r="N3778" i="14"/>
  <c r="N3792" i="14"/>
  <c r="N3804" i="14"/>
  <c r="N3817" i="14"/>
  <c r="N3826" i="14"/>
  <c r="N3838" i="14"/>
  <c r="N3851" i="14"/>
  <c r="N3885" i="14"/>
  <c r="N3898" i="14"/>
  <c r="N3908" i="14"/>
  <c r="N3920" i="14"/>
  <c r="N3932" i="14"/>
  <c r="N3945" i="14"/>
  <c r="N3954" i="14"/>
  <c r="N3966" i="14"/>
  <c r="N3979" i="14"/>
  <c r="N3992" i="14"/>
  <c r="N4001" i="14"/>
  <c r="N4013" i="14"/>
  <c r="N4026" i="14"/>
  <c r="N4036" i="14"/>
  <c r="N4048" i="14"/>
  <c r="N4060" i="14"/>
  <c r="N4073" i="14"/>
  <c r="N4082" i="14"/>
  <c r="N4094" i="14"/>
  <c r="N4107" i="14"/>
  <c r="N4120" i="14"/>
  <c r="N4129" i="14"/>
  <c r="N2722" i="14"/>
  <c r="N2926" i="14"/>
  <c r="N3066" i="14"/>
  <c r="N3144" i="14"/>
  <c r="N3188" i="14"/>
  <c r="N3234" i="14"/>
  <c r="N3281" i="14"/>
  <c r="N3328" i="14"/>
  <c r="N3374" i="14"/>
  <c r="N3421" i="14"/>
  <c r="N3454" i="14"/>
  <c r="N3480" i="14"/>
  <c r="N3501" i="14"/>
  <c r="N3524" i="14"/>
  <c r="N3548" i="14"/>
  <c r="N3566" i="14"/>
  <c r="N3585" i="14"/>
  <c r="N3608" i="14"/>
  <c r="N3624" i="14"/>
  <c r="N3643" i="14"/>
  <c r="N3660" i="14"/>
  <c r="N3678" i="14"/>
  <c r="N3693" i="14"/>
  <c r="N3710" i="14"/>
  <c r="N3725" i="14"/>
  <c r="N3740" i="14"/>
  <c r="N3754" i="14"/>
  <c r="N3769" i="14"/>
  <c r="N3780" i="14"/>
  <c r="N3793" i="14"/>
  <c r="N3805" i="14"/>
  <c r="N3818" i="14"/>
  <c r="N3828" i="14"/>
  <c r="N3840" i="14"/>
  <c r="N3852" i="14"/>
  <c r="N3886" i="14"/>
  <c r="N3899" i="14"/>
  <c r="N3912" i="14"/>
  <c r="N3921" i="14"/>
  <c r="N3933" i="14"/>
  <c r="N3946" i="14"/>
  <c r="N3956" i="14"/>
  <c r="N3968" i="14"/>
  <c r="N3980" i="14"/>
  <c r="N3993" i="14"/>
  <c r="N4002" i="14"/>
  <c r="N4014" i="14"/>
  <c r="N4027" i="14"/>
  <c r="N4040" i="14"/>
  <c r="N4049" i="14"/>
  <c r="N4061" i="14"/>
  <c r="N4074" i="14"/>
  <c r="N4084" i="14"/>
  <c r="N4096" i="14"/>
  <c r="N4108" i="14"/>
  <c r="N4121" i="14"/>
  <c r="N4130" i="14"/>
  <c r="N4142" i="14"/>
  <c r="N4155" i="14"/>
  <c r="N4168" i="14"/>
  <c r="N4177" i="14"/>
  <c r="N4189" i="14"/>
  <c r="N4202" i="14"/>
  <c r="N4212" i="14"/>
  <c r="N4224" i="14"/>
  <c r="N4236" i="14"/>
  <c r="N4249" i="14"/>
  <c r="N4258" i="14"/>
  <c r="N4270" i="14"/>
  <c r="N4283" i="14"/>
  <c r="N4296" i="14"/>
  <c r="N4306" i="14"/>
  <c r="N4320" i="14"/>
  <c r="N4332" i="14"/>
  <c r="N4346" i="14"/>
  <c r="N4360" i="14"/>
  <c r="N4370" i="14"/>
  <c r="N4384" i="14"/>
  <c r="N4396" i="14"/>
  <c r="N4410" i="14"/>
  <c r="N4424" i="14"/>
  <c r="N4434" i="14"/>
  <c r="N4448" i="14"/>
  <c r="N2770" i="14"/>
  <c r="N2953" i="14"/>
  <c r="N3080" i="14"/>
  <c r="N3148" i="14"/>
  <c r="N3195" i="14"/>
  <c r="N3242" i="14"/>
  <c r="N3289" i="14"/>
  <c r="N3336" i="14"/>
  <c r="N3380" i="14"/>
  <c r="N3426" i="14"/>
  <c r="N3456" i="14"/>
  <c r="N3481" i="14"/>
  <c r="N3502" i="14"/>
  <c r="N3528" i="14"/>
  <c r="N3549" i="14"/>
  <c r="N3570" i="14"/>
  <c r="N3586" i="14"/>
  <c r="N3609" i="14"/>
  <c r="N3626" i="14"/>
  <c r="N3644" i="14"/>
  <c r="N3664" i="14"/>
  <c r="N3680" i="14"/>
  <c r="N3694" i="14"/>
  <c r="N3712" i="14"/>
  <c r="N3726" i="14"/>
  <c r="N3741" i="14"/>
  <c r="N3756" i="14"/>
  <c r="N3770" i="14"/>
  <c r="N3784" i="14"/>
  <c r="N3794" i="14"/>
  <c r="N3806" i="14"/>
  <c r="N3819" i="14"/>
  <c r="N3832" i="14"/>
  <c r="N3841" i="14"/>
  <c r="N3853" i="14"/>
  <c r="N3876" i="14"/>
  <c r="N3888" i="14"/>
  <c r="N3900" i="14"/>
  <c r="N3913" i="14"/>
  <c r="N3922" i="14"/>
  <c r="N3934" i="14"/>
  <c r="N3947" i="14"/>
  <c r="N3960" i="14"/>
  <c r="N3969" i="14"/>
  <c r="N3981" i="14"/>
  <c r="N3994" i="14"/>
  <c r="N4004" i="14"/>
  <c r="N4016" i="14"/>
  <c r="N4028" i="14"/>
  <c r="N4041" i="14"/>
  <c r="N4050" i="14"/>
  <c r="N4062" i="14"/>
  <c r="N4075" i="14"/>
  <c r="N4088" i="14"/>
  <c r="N4097" i="14"/>
  <c r="N4109" i="14"/>
  <c r="N4122" i="14"/>
  <c r="N4132" i="14"/>
  <c r="N4144" i="14"/>
  <c r="N4156" i="14"/>
  <c r="N4169" i="14"/>
  <c r="N4178" i="14"/>
  <c r="N4190" i="14"/>
  <c r="N4203" i="14"/>
  <c r="N4216" i="14"/>
  <c r="N4225" i="14"/>
  <c r="N4237" i="14"/>
  <c r="N4250" i="14"/>
  <c r="N4260" i="14"/>
  <c r="N4272" i="14"/>
  <c r="N4284" i="14"/>
  <c r="N4297" i="14"/>
  <c r="N4308" i="14"/>
  <c r="N4321" i="14"/>
  <c r="N4333" i="14"/>
  <c r="N4347" i="14"/>
  <c r="N4361" i="14"/>
  <c r="N4372" i="14"/>
  <c r="N4385" i="14"/>
  <c r="N4397" i="14"/>
  <c r="N4411" i="14"/>
  <c r="N4425" i="14"/>
  <c r="N4436" i="14"/>
  <c r="N4449" i="14"/>
  <c r="N2810" i="14"/>
  <c r="N2974" i="14"/>
  <c r="N3089" i="14"/>
  <c r="N2235" i="14"/>
  <c r="N2833" i="14"/>
  <c r="N2989" i="14"/>
  <c r="N3101" i="14"/>
  <c r="N3161" i="14"/>
  <c r="N3208" i="14"/>
  <c r="N3252" i="14"/>
  <c r="N3298" i="14"/>
  <c r="N3345" i="14"/>
  <c r="N3392" i="14"/>
  <c r="N3436" i="14"/>
  <c r="N3464" i="14"/>
  <c r="N3485" i="14"/>
  <c r="N3508" i="14"/>
  <c r="N3532" i="14"/>
  <c r="N3554" i="14"/>
  <c r="N3576" i="14"/>
  <c r="N3595" i="14"/>
  <c r="N3611" i="14"/>
  <c r="N3630" i="14"/>
  <c r="N3648" i="14"/>
  <c r="N3666" i="14"/>
  <c r="N3682" i="14"/>
  <c r="N3700" i="14"/>
  <c r="N3714" i="14"/>
  <c r="N3729" i="14"/>
  <c r="N3745" i="14"/>
  <c r="N3758" i="14"/>
  <c r="N3772" i="14"/>
  <c r="N3786" i="14"/>
  <c r="N3800" i="14"/>
  <c r="N3809" i="14"/>
  <c r="N3821" i="14"/>
  <c r="N3834" i="14"/>
  <c r="N3844" i="14"/>
  <c r="N3856" i="14"/>
  <c r="N3881" i="14"/>
  <c r="N3890" i="14"/>
  <c r="N3902" i="14"/>
  <c r="N3915" i="14"/>
  <c r="N3928" i="14"/>
  <c r="N3937" i="14"/>
  <c r="N3949" i="14"/>
  <c r="N3962" i="14"/>
  <c r="N3972" i="14"/>
  <c r="N3984" i="14"/>
  <c r="N3996" i="14"/>
  <c r="N4009" i="14"/>
  <c r="N4018" i="14"/>
  <c r="N4030" i="14"/>
  <c r="N4043" i="14"/>
  <c r="N4056" i="14"/>
  <c r="N4065" i="14"/>
  <c r="N4077" i="14"/>
  <c r="N4090" i="14"/>
  <c r="N4100" i="14"/>
  <c r="N4112" i="14"/>
  <c r="N4124" i="14"/>
  <c r="N4137" i="14"/>
  <c r="N2360" i="14"/>
  <c r="N2852" i="14"/>
  <c r="N3006" i="14"/>
  <c r="N3114" i="14"/>
  <c r="N3165" i="14"/>
  <c r="N3212" i="14"/>
  <c r="N3259" i="14"/>
  <c r="N3306" i="14"/>
  <c r="N3353" i="14"/>
  <c r="N3400" i="14"/>
  <c r="N3438" i="14"/>
  <c r="N3467" i="14"/>
  <c r="N3489" i="14"/>
  <c r="N3514" i="14"/>
  <c r="N3536" i="14"/>
  <c r="N3561" i="14"/>
  <c r="N3577" i="14"/>
  <c r="N3596" i="14"/>
  <c r="N3613" i="14"/>
  <c r="N3632" i="14"/>
  <c r="N3652" i="14"/>
  <c r="N3668" i="14"/>
  <c r="N3689" i="14"/>
  <c r="N3704" i="14"/>
  <c r="N3716" i="14"/>
  <c r="N3736" i="14"/>
  <c r="N3746" i="14"/>
  <c r="N3760" i="14"/>
  <c r="N3773" i="14"/>
  <c r="N3787" i="14"/>
  <c r="N3801" i="14"/>
  <c r="N3810" i="14"/>
  <c r="N3822" i="14"/>
  <c r="N3835" i="14"/>
  <c r="N3848" i="14"/>
  <c r="N3857" i="14"/>
  <c r="N3882" i="14"/>
  <c r="N3892" i="14"/>
  <c r="N3904" i="14"/>
  <c r="N3916" i="14"/>
  <c r="N3929" i="14"/>
  <c r="N3938" i="14"/>
  <c r="N3950" i="14"/>
  <c r="N3963" i="14"/>
  <c r="N3976" i="14"/>
  <c r="N3985" i="14"/>
  <c r="N3997" i="14"/>
  <c r="N4010" i="14"/>
  <c r="N4020" i="14"/>
  <c r="N4032" i="14"/>
  <c r="N4044" i="14"/>
  <c r="N4057" i="14"/>
  <c r="N4066" i="14"/>
  <c r="N4078" i="14"/>
  <c r="N4091" i="14"/>
  <c r="N4104" i="14"/>
  <c r="N4113" i="14"/>
  <c r="N4125" i="14"/>
  <c r="N4138" i="14"/>
  <c r="N4148" i="14"/>
  <c r="N4160" i="14"/>
  <c r="N4172" i="14"/>
  <c r="N4185" i="14"/>
  <c r="N4194" i="14"/>
  <c r="N4206" i="14"/>
  <c r="N4219" i="14"/>
  <c r="N4232" i="14"/>
  <c r="N4241" i="14"/>
  <c r="N2450" i="14"/>
  <c r="N2868" i="14"/>
  <c r="N3021" i="14"/>
  <c r="N3124" i="14"/>
  <c r="N3170" i="14"/>
  <c r="N3217" i="14"/>
  <c r="N3264" i="14"/>
  <c r="N3310" i="14"/>
  <c r="N3357" i="14"/>
  <c r="N3404" i="14"/>
  <c r="N3444" i="14"/>
  <c r="N3468" i="14"/>
  <c r="N3490" i="14"/>
  <c r="N3515" i="14"/>
  <c r="N3537" i="14"/>
  <c r="N3562" i="14"/>
  <c r="N3579" i="14"/>
  <c r="N3597" i="14"/>
  <c r="N3617" i="14"/>
  <c r="N3633" i="14"/>
  <c r="N3656" i="14"/>
  <c r="N3673" i="14"/>
  <c r="N3690" i="14"/>
  <c r="N3705" i="14"/>
  <c r="N3720" i="14"/>
  <c r="N3737" i="14"/>
  <c r="N3748" i="14"/>
  <c r="N3761" i="14"/>
  <c r="N3774" i="14"/>
  <c r="N3788" i="14"/>
  <c r="N3802" i="14"/>
  <c r="N3812" i="14"/>
  <c r="N3824" i="14"/>
  <c r="N3836" i="14"/>
  <c r="N3849" i="14"/>
  <c r="N3858" i="14"/>
  <c r="N3883" i="14"/>
  <c r="N3896" i="14"/>
  <c r="N3905" i="14"/>
  <c r="N3917" i="14"/>
  <c r="N3930" i="14"/>
  <c r="N3940" i="14"/>
  <c r="N3952" i="14"/>
  <c r="N3964" i="14"/>
  <c r="N3977" i="14"/>
  <c r="N3986" i="14"/>
  <c r="N3998" i="14"/>
  <c r="N4011" i="14"/>
  <c r="N4024" i="14"/>
  <c r="N4033" i="14"/>
  <c r="N4045" i="14"/>
  <c r="N4058" i="14"/>
  <c r="N4068" i="14"/>
  <c r="N4080" i="14"/>
  <c r="N4092" i="14"/>
  <c r="N4105" i="14"/>
  <c r="N4114" i="14"/>
  <c r="N4126" i="14"/>
  <c r="N4139" i="14"/>
  <c r="N4152" i="14"/>
  <c r="N4161" i="14"/>
  <c r="N4173" i="14"/>
  <c r="N4186" i="14"/>
  <c r="N4196" i="14"/>
  <c r="N4208" i="14"/>
  <c r="N4220" i="14"/>
  <c r="N4233" i="14"/>
  <c r="N2177" i="14"/>
  <c r="N2302" i="14"/>
  <c r="N2402" i="14"/>
  <c r="N2492" i="14"/>
  <c r="N2586" i="14"/>
  <c r="N2678" i="14"/>
  <c r="N2754" i="14"/>
  <c r="N2794" i="14"/>
  <c r="N2825" i="14"/>
  <c r="N2843" i="14"/>
  <c r="N2862" i="14"/>
  <c r="N2877" i="14"/>
  <c r="N2897" i="14"/>
  <c r="N2916" i="14"/>
  <c r="N2944" i="14"/>
  <c r="N2968" i="14"/>
  <c r="N2980" i="14"/>
  <c r="N3000" i="14"/>
  <c r="N3012" i="14"/>
  <c r="N3032" i="14"/>
  <c r="N3044" i="14"/>
  <c r="N3058" i="14"/>
  <c r="N3072" i="14"/>
  <c r="N3084" i="14"/>
  <c r="N3097" i="14"/>
  <c r="N3106" i="14"/>
  <c r="N3118" i="14"/>
  <c r="N2192" i="14"/>
  <c r="N2312" i="14"/>
  <c r="N2414" i="14"/>
  <c r="N2502" i="14"/>
  <c r="N2600" i="14"/>
  <c r="N2690" i="14"/>
  <c r="N2758" i="14"/>
  <c r="N2798" i="14"/>
  <c r="N2826" i="14"/>
  <c r="N2844" i="14"/>
  <c r="N2864" i="14"/>
  <c r="N2878" i="14"/>
  <c r="N2898" i="14"/>
  <c r="N2920" i="14"/>
  <c r="N2950" i="14"/>
  <c r="N2969" i="14"/>
  <c r="N2986" i="14"/>
  <c r="N3001" i="14"/>
  <c r="N3018" i="14"/>
  <c r="N3033" i="14"/>
  <c r="N3049" i="14"/>
  <c r="N3060" i="14"/>
  <c r="N3073" i="14"/>
  <c r="N3085" i="14"/>
  <c r="N3098" i="14"/>
  <c r="N3108" i="14"/>
  <c r="N3120" i="14"/>
  <c r="N3132" i="14"/>
  <c r="N3145" i="14"/>
  <c r="N3154" i="14"/>
  <c r="N3166" i="14"/>
  <c r="N3179" i="14"/>
  <c r="N3192" i="14"/>
  <c r="N3201" i="14"/>
  <c r="N3213" i="14"/>
  <c r="N3226" i="14"/>
  <c r="N3236" i="14"/>
  <c r="N3248" i="14"/>
  <c r="N3260" i="14"/>
  <c r="N3273" i="14"/>
  <c r="N3282" i="14"/>
  <c r="N3294" i="14"/>
  <c r="N3307" i="14"/>
  <c r="N3320" i="14"/>
  <c r="N3329" i="14"/>
  <c r="N3341" i="14"/>
  <c r="N3354" i="14"/>
  <c r="N3364" i="14"/>
  <c r="N3376" i="14"/>
  <c r="N3388" i="14"/>
  <c r="N3401" i="14"/>
  <c r="N3410" i="14"/>
  <c r="N3422" i="14"/>
  <c r="N3435" i="14"/>
  <c r="N3448" i="14"/>
  <c r="N3457" i="14"/>
  <c r="N3469" i="14"/>
  <c r="N3482" i="14"/>
  <c r="N3492" i="14"/>
  <c r="N3504" i="14"/>
  <c r="N3516" i="14"/>
  <c r="N3529" i="14"/>
  <c r="N3538" i="14"/>
  <c r="N3550" i="14"/>
  <c r="N2204" i="14"/>
  <c r="N2322" i="14"/>
  <c r="N2428" i="14"/>
  <c r="N2514" i="14"/>
  <c r="N2610" i="14"/>
  <c r="N2700" i="14"/>
  <c r="N2760" i="14"/>
  <c r="N2800" i="14"/>
  <c r="N2830" i="14"/>
  <c r="N2845" i="14"/>
  <c r="N2865" i="14"/>
  <c r="N2884" i="14"/>
  <c r="N2900" i="14"/>
  <c r="N2921" i="14"/>
  <c r="N2951" i="14"/>
  <c r="N2970" i="14"/>
  <c r="N2987" i="14"/>
  <c r="N3002" i="14"/>
  <c r="N3019" i="14"/>
  <c r="N3034" i="14"/>
  <c r="N3050" i="14"/>
  <c r="N3064" i="14"/>
  <c r="N3074" i="14"/>
  <c r="N3086" i="14"/>
  <c r="N3099" i="14"/>
  <c r="N3112" i="14"/>
  <c r="N3121" i="14"/>
  <c r="N3133" i="14"/>
  <c r="N3146" i="14"/>
  <c r="N3156" i="14"/>
  <c r="N3168" i="14"/>
  <c r="N3180" i="14"/>
  <c r="N3193" i="14"/>
  <c r="N3202" i="14"/>
  <c r="N3214" i="14"/>
  <c r="N3227" i="14"/>
  <c r="N3240" i="14"/>
  <c r="N3249" i="14"/>
  <c r="N3261" i="14"/>
  <c r="N3274" i="14"/>
  <c r="N3284" i="14"/>
  <c r="N3296" i="14"/>
  <c r="N3308" i="14"/>
  <c r="N3321" i="14"/>
  <c r="N3330" i="14"/>
  <c r="N3342" i="14"/>
  <c r="N3355" i="14"/>
  <c r="N3368" i="14"/>
  <c r="N3377" i="14"/>
  <c r="N3389" i="14"/>
  <c r="N3402" i="14"/>
  <c r="N3412" i="14"/>
  <c r="N3424" i="14"/>
  <c r="N2217" i="14"/>
  <c r="N2334" i="14"/>
  <c r="N2438" i="14"/>
  <c r="N2524" i="14"/>
  <c r="N2622" i="14"/>
  <c r="N2710" i="14"/>
  <c r="N2764" i="14"/>
  <c r="N2804" i="14"/>
  <c r="N2832" i="14"/>
  <c r="N2846" i="14"/>
  <c r="N2866" i="14"/>
  <c r="N2888" i="14"/>
  <c r="N2906" i="14"/>
  <c r="N2922" i="14"/>
  <c r="N2952" i="14"/>
  <c r="N2971" i="14"/>
  <c r="N2988" i="14"/>
  <c r="N3003" i="14"/>
  <c r="N3020" i="14"/>
  <c r="N3035" i="14"/>
  <c r="N3051" i="14"/>
  <c r="N3065" i="14"/>
  <c r="N3076" i="14"/>
  <c r="N3088" i="14"/>
  <c r="N3100" i="14"/>
  <c r="N3113" i="14"/>
  <c r="N3122" i="14"/>
  <c r="N3134" i="14"/>
  <c r="N3147" i="14"/>
  <c r="N3160" i="14"/>
  <c r="N3169" i="14"/>
  <c r="N3181" i="14"/>
  <c r="N3194" i="14"/>
  <c r="N3204" i="14"/>
  <c r="N3216" i="14"/>
  <c r="N3228" i="14"/>
  <c r="N3241" i="14"/>
  <c r="N3250" i="14"/>
  <c r="N3262" i="14"/>
  <c r="N3275" i="14"/>
  <c r="N3288" i="14"/>
  <c r="N3297" i="14"/>
  <c r="N3309" i="14"/>
  <c r="N3322" i="14"/>
  <c r="N3332" i="14"/>
  <c r="N3344" i="14"/>
  <c r="N3356" i="14"/>
  <c r="N3369" i="14"/>
  <c r="N3378" i="14"/>
  <c r="N3390" i="14"/>
  <c r="N3403" i="14"/>
  <c r="N3416" i="14"/>
  <c r="N3425" i="14"/>
  <c r="N3437" i="14"/>
  <c r="N3450" i="14"/>
  <c r="N3460" i="14"/>
  <c r="N3472" i="14"/>
  <c r="N3484" i="14"/>
  <c r="N3497" i="14"/>
  <c r="N3506" i="14"/>
  <c r="N3518" i="14"/>
  <c r="N3531" i="14"/>
  <c r="N3544" i="14"/>
  <c r="N3553" i="14"/>
  <c r="N3565" i="14"/>
  <c r="N3578" i="14"/>
  <c r="N3588" i="14"/>
  <c r="N3600" i="14"/>
  <c r="N3612" i="14"/>
  <c r="N3625" i="14"/>
  <c r="N3634" i="14"/>
  <c r="N3646" i="14"/>
  <c r="N3659" i="14"/>
  <c r="N3672" i="14"/>
  <c r="N2126" i="14"/>
  <c r="N2258" i="14"/>
  <c r="N2370" i="14"/>
  <c r="N2460" i="14"/>
  <c r="N2550" i="14"/>
  <c r="N2646" i="14"/>
  <c r="N2732" i="14"/>
  <c r="N2771" i="14"/>
  <c r="N2811" i="14"/>
  <c r="N2834" i="14"/>
  <c r="N2856" i="14"/>
  <c r="N2874" i="14"/>
  <c r="N2890" i="14"/>
  <c r="N2908" i="14"/>
  <c r="N2928" i="14"/>
  <c r="N2954" i="14"/>
  <c r="N2976" i="14"/>
  <c r="N2990" i="14"/>
  <c r="N3008" i="14"/>
  <c r="N3022" i="14"/>
  <c r="N3040" i="14"/>
  <c r="N3053" i="14"/>
  <c r="N3067" i="14"/>
  <c r="N3081" i="14"/>
  <c r="N3090" i="14"/>
  <c r="N3102" i="14"/>
  <c r="N3115" i="14"/>
  <c r="N3128" i="14"/>
  <c r="N3137" i="14"/>
  <c r="N3149" i="14"/>
  <c r="N3162" i="14"/>
  <c r="N3172" i="14"/>
  <c r="N3184" i="14"/>
  <c r="N3196" i="14"/>
  <c r="N3209" i="14"/>
  <c r="N3218" i="14"/>
  <c r="N3230" i="14"/>
  <c r="N3243" i="14"/>
  <c r="N3256" i="14"/>
  <c r="N3265" i="14"/>
  <c r="N3277" i="14"/>
  <c r="N3290" i="14"/>
  <c r="N3300" i="14"/>
  <c r="N3312" i="14"/>
  <c r="N3324" i="14"/>
  <c r="N3337" i="14"/>
  <c r="N3346" i="14"/>
  <c r="N3358" i="14"/>
  <c r="N3371" i="14"/>
  <c r="N3384" i="14"/>
  <c r="N3393" i="14"/>
  <c r="N3405" i="14"/>
  <c r="N3418" i="14"/>
  <c r="N3428" i="14"/>
  <c r="N3440" i="14"/>
  <c r="N3452" i="14"/>
  <c r="N3465" i="14"/>
  <c r="N3474" i="14"/>
  <c r="N3486" i="14"/>
  <c r="N3499" i="14"/>
  <c r="N3512" i="14"/>
  <c r="N3521" i="14"/>
  <c r="N3533" i="14"/>
  <c r="N3546" i="14"/>
  <c r="N3556" i="14"/>
  <c r="N3568" i="14"/>
  <c r="N3580" i="14"/>
  <c r="N3593" i="14"/>
  <c r="N3602" i="14"/>
  <c r="N3614" i="14"/>
  <c r="N3627" i="14"/>
  <c r="N3640" i="14"/>
  <c r="N3649" i="14"/>
  <c r="N3661" i="14"/>
  <c r="N3674" i="14"/>
  <c r="N3684" i="14"/>
  <c r="N3696" i="14"/>
  <c r="N3708" i="14"/>
  <c r="N3721" i="14"/>
  <c r="N3730" i="14"/>
  <c r="N3742" i="14"/>
  <c r="N3755" i="14"/>
  <c r="N3768" i="14"/>
  <c r="N3777" i="14"/>
  <c r="N3789" i="14"/>
  <c r="N2143" i="14"/>
  <c r="N2270" i="14"/>
  <c r="N2382" i="14"/>
  <c r="N2470" i="14"/>
  <c r="N2564" i="14"/>
  <c r="N2658" i="14"/>
  <c r="N2739" i="14"/>
  <c r="N2774" i="14"/>
  <c r="N2814" i="14"/>
  <c r="N2836" i="14"/>
  <c r="N2857" i="14"/>
  <c r="N2875" i="14"/>
  <c r="N2894" i="14"/>
  <c r="N2909" i="14"/>
  <c r="N2929" i="14"/>
  <c r="N2956" i="14"/>
  <c r="N2977" i="14"/>
  <c r="N2992" i="14"/>
  <c r="N3009" i="14"/>
  <c r="N3024" i="14"/>
  <c r="N3041" i="14"/>
  <c r="N3054" i="14"/>
  <c r="N3069" i="14"/>
  <c r="N3082" i="14"/>
  <c r="N3092" i="14"/>
  <c r="N3104" i="14"/>
  <c r="N3116" i="14"/>
  <c r="N3129" i="14"/>
  <c r="N3138" i="14"/>
  <c r="N3150" i="14"/>
  <c r="N3163" i="14"/>
  <c r="N3176" i="14"/>
  <c r="N3185" i="14"/>
  <c r="N3197" i="14"/>
  <c r="N3210" i="14"/>
  <c r="N3220" i="14"/>
  <c r="N3232" i="14"/>
  <c r="N3244" i="14"/>
  <c r="N3257" i="14"/>
  <c r="N3266" i="14"/>
  <c r="N3278" i="14"/>
  <c r="N3291" i="14"/>
  <c r="N3304" i="14"/>
  <c r="N3313" i="14"/>
  <c r="N3325" i="14"/>
  <c r="N3338" i="14"/>
  <c r="N3348" i="14"/>
  <c r="N3360" i="14"/>
  <c r="N3372" i="14"/>
  <c r="N3385" i="14"/>
  <c r="N3394" i="14"/>
  <c r="N3406" i="14"/>
  <c r="N3419" i="14"/>
  <c r="N3432" i="14"/>
  <c r="N3441" i="14"/>
  <c r="N3453" i="14"/>
  <c r="N3466" i="14"/>
  <c r="N3476" i="14"/>
  <c r="N3488" i="14"/>
  <c r="N3500" i="14"/>
  <c r="N3513" i="14"/>
  <c r="N3522" i="14"/>
  <c r="N3534" i="14"/>
  <c r="N3547" i="14"/>
  <c r="N3560" i="14"/>
  <c r="N3569" i="14"/>
  <c r="N3581" i="14"/>
  <c r="N3594" i="14"/>
  <c r="N3604" i="14"/>
  <c r="N3616" i="14"/>
  <c r="N3628" i="14"/>
  <c r="N3641" i="14"/>
  <c r="N3650" i="14"/>
  <c r="N3662" i="14"/>
  <c r="N3675" i="14"/>
  <c r="N3688" i="14"/>
  <c r="N3697" i="14"/>
  <c r="N3709" i="14"/>
  <c r="N3722" i="14"/>
  <c r="N3732" i="14"/>
  <c r="N2165" i="14"/>
  <c r="N2284" i="14"/>
  <c r="N2392" i="14"/>
  <c r="N2482" i="14"/>
  <c r="N2574" i="14"/>
  <c r="N2668" i="14"/>
  <c r="N2742" i="14"/>
  <c r="N2788" i="14"/>
  <c r="N2820" i="14"/>
  <c r="N2842" i="14"/>
  <c r="N2858" i="14"/>
  <c r="N2876" i="14"/>
  <c r="N2896" i="14"/>
  <c r="N2910" i="14"/>
  <c r="N2930" i="14"/>
  <c r="N2964" i="14"/>
  <c r="N2978" i="14"/>
  <c r="N2996" i="14"/>
  <c r="N3010" i="14"/>
  <c r="N3028" i="14"/>
  <c r="N3042" i="14"/>
  <c r="N3056" i="14"/>
  <c r="N3070" i="14"/>
  <c r="N3083" i="14"/>
  <c r="N3096" i="14"/>
  <c r="N3105" i="14"/>
  <c r="N3117" i="14"/>
  <c r="N3130" i="14"/>
  <c r="N3140" i="14"/>
  <c r="N3152" i="14"/>
  <c r="N3164" i="14"/>
  <c r="N3177" i="14"/>
  <c r="N3186" i="14"/>
  <c r="N3198" i="14"/>
  <c r="N3211" i="14"/>
  <c r="N3224" i="14"/>
  <c r="N3233" i="14"/>
  <c r="N3245" i="14"/>
  <c r="N3258" i="14"/>
  <c r="N3268" i="14"/>
  <c r="N3280" i="14"/>
  <c r="N3292" i="14"/>
  <c r="N3305" i="14"/>
  <c r="N3314" i="14"/>
  <c r="N3326" i="14"/>
  <c r="N3339" i="14"/>
  <c r="N3352" i="14"/>
  <c r="N3361" i="14"/>
  <c r="N3373" i="14"/>
  <c r="N3386" i="14"/>
  <c r="N3396" i="14"/>
  <c r="N3408" i="14"/>
  <c r="N3420" i="14"/>
  <c r="N3433" i="14"/>
  <c r="N3442" i="14"/>
  <c r="N1658" i="14"/>
  <c r="N1782" i="14"/>
  <c r="N1884" i="14"/>
  <c r="N1977" i="14"/>
  <c r="N2045" i="14"/>
  <c r="N2096" i="14"/>
  <c r="N2117" i="14"/>
  <c r="N2139" i="14"/>
  <c r="N2162" i="14"/>
  <c r="N2175" i="14"/>
  <c r="N2185" i="14"/>
  <c r="N2201" i="14"/>
  <c r="N2215" i="14"/>
  <c r="N2233" i="14"/>
  <c r="N2242" i="14"/>
  <c r="N2254" i="14"/>
  <c r="N2268" i="14"/>
  <c r="N2281" i="14"/>
  <c r="N2300" i="14"/>
  <c r="N2309" i="14"/>
  <c r="N2320" i="14"/>
  <c r="N2332" i="14"/>
  <c r="N2341" i="14"/>
  <c r="N2368" i="14"/>
  <c r="N2380" i="14"/>
  <c r="N2389" i="14"/>
  <c r="N2400" i="14"/>
  <c r="N2412" i="14"/>
  <c r="N2421" i="14"/>
  <c r="N2436" i="14"/>
  <c r="N2448" i="14"/>
  <c r="N2457" i="14"/>
  <c r="N2468" i="14"/>
  <c r="N2480" i="14"/>
  <c r="N2489" i="14"/>
  <c r="N2500" i="14"/>
  <c r="N2512" i="14"/>
  <c r="N2521" i="14"/>
  <c r="N2532" i="14"/>
  <c r="N2548" i="14"/>
  <c r="N2557" i="14"/>
  <c r="N2572" i="14"/>
  <c r="N2584" i="14"/>
  <c r="N2593" i="14"/>
  <c r="N2608" i="14"/>
  <c r="N2620" i="14"/>
  <c r="N2629" i="14"/>
  <c r="N2644" i="14"/>
  <c r="N2656" i="14"/>
  <c r="N2665" i="14"/>
  <c r="N2676" i="14"/>
  <c r="N2688" i="14"/>
  <c r="N2697" i="14"/>
  <c r="N2708" i="14"/>
  <c r="N2720" i="14"/>
  <c r="N2729" i="14"/>
  <c r="N2740" i="14"/>
  <c r="N2752" i="14"/>
  <c r="N2761" i="14"/>
  <c r="N2772" i="14"/>
  <c r="N2792" i="14"/>
  <c r="N2801" i="14"/>
  <c r="N2812" i="14"/>
  <c r="N2824" i="14"/>
  <c r="N1685" i="14"/>
  <c r="N1799" i="14"/>
  <c r="N1900" i="14"/>
  <c r="N1994" i="14"/>
  <c r="N2060" i="14"/>
  <c r="N2102" i="14"/>
  <c r="N2125" i="14"/>
  <c r="N2142" i="14"/>
  <c r="N2164" i="14"/>
  <c r="N2176" i="14"/>
  <c r="N2186" i="14"/>
  <c r="N2202" i="14"/>
  <c r="N2216" i="14"/>
  <c r="N2234" i="14"/>
  <c r="N2244" i="14"/>
  <c r="N2257" i="14"/>
  <c r="N2269" i="14"/>
  <c r="N2283" i="14"/>
  <c r="N2301" i="14"/>
  <c r="N2310" i="14"/>
  <c r="N2321" i="14"/>
  <c r="N2333" i="14"/>
  <c r="N2342" i="14"/>
  <c r="N2369" i="14"/>
  <c r="N2381" i="14"/>
  <c r="N2390" i="14"/>
  <c r="N2401" i="14"/>
  <c r="N2413" i="14"/>
  <c r="N2422" i="14"/>
  <c r="N2437" i="14"/>
  <c r="N2449" i="14"/>
  <c r="N2458" i="14"/>
  <c r="N2469" i="14"/>
  <c r="N2481" i="14"/>
  <c r="N2490" i="14"/>
  <c r="N2501" i="14"/>
  <c r="N2513" i="14"/>
  <c r="N2522" i="14"/>
  <c r="N2533" i="14"/>
  <c r="N2549" i="14"/>
  <c r="N2558" i="14"/>
  <c r="N2573" i="14"/>
  <c r="N2585" i="14"/>
  <c r="N2594" i="14"/>
  <c r="N2609" i="14"/>
  <c r="N2621" i="14"/>
  <c r="N2630" i="14"/>
  <c r="N2645" i="14"/>
  <c r="N2657" i="14"/>
  <c r="N2666" i="14"/>
  <c r="N2677" i="14"/>
  <c r="N2689" i="14"/>
  <c r="N2698" i="14"/>
  <c r="N2709" i="14"/>
  <c r="N2721" i="14"/>
  <c r="N2730" i="14"/>
  <c r="N2741" i="14"/>
  <c r="N2753" i="14"/>
  <c r="N2762" i="14"/>
  <c r="N2773" i="14"/>
  <c r="N2793" i="14"/>
  <c r="N2802" i="14"/>
  <c r="N2813" i="14"/>
  <c r="N1697" i="14"/>
  <c r="N1816" i="14"/>
  <c r="N1909" i="14"/>
  <c r="N2003" i="14"/>
  <c r="N2062" i="14"/>
  <c r="N2104" i="14"/>
  <c r="N1717" i="14"/>
  <c r="N1833" i="14"/>
  <c r="N1926" i="14"/>
  <c r="N2020" i="14"/>
  <c r="N2068" i="14"/>
  <c r="N2108" i="14"/>
  <c r="N2128" i="14"/>
  <c r="N2145" i="14"/>
  <c r="N2166" i="14"/>
  <c r="N2178" i="14"/>
  <c r="N2195" i="14"/>
  <c r="N2206" i="14"/>
  <c r="N2218" i="14"/>
  <c r="N2236" i="14"/>
  <c r="N2249" i="14"/>
  <c r="N2260" i="14"/>
  <c r="N2272" i="14"/>
  <c r="N2285" i="14"/>
  <c r="N2303" i="14"/>
  <c r="N2315" i="14"/>
  <c r="N2324" i="14"/>
  <c r="N2335" i="14"/>
  <c r="N2363" i="14"/>
  <c r="N2372" i="14"/>
  <c r="N2383" i="14"/>
  <c r="N2395" i="14"/>
  <c r="N2404" i="14"/>
  <c r="N2415" i="14"/>
  <c r="N2431" i="14"/>
  <c r="N2440" i="14"/>
  <c r="N2451" i="14"/>
  <c r="N2463" i="14"/>
  <c r="N2472" i="14"/>
  <c r="N2483" i="14"/>
  <c r="N2495" i="14"/>
  <c r="N2504" i="14"/>
  <c r="N2515" i="14"/>
  <c r="N2527" i="14"/>
  <c r="N2536" i="14"/>
  <c r="N2551" i="14"/>
  <c r="N2567" i="14"/>
  <c r="N2576" i="14"/>
  <c r="N2587" i="14"/>
  <c r="N2603" i="14"/>
  <c r="N2612" i="14"/>
  <c r="N2623" i="14"/>
  <c r="N2639" i="14"/>
  <c r="N2648" i="14"/>
  <c r="N2659" i="14"/>
  <c r="N2671" i="14"/>
  <c r="N2680" i="14"/>
  <c r="N2691" i="14"/>
  <c r="N2703" i="14"/>
  <c r="N2712" i="14"/>
  <c r="N2723" i="14"/>
  <c r="N2735" i="14"/>
  <c r="N2744" i="14"/>
  <c r="N2755" i="14"/>
  <c r="N2767" i="14"/>
  <c r="N2776" i="14"/>
  <c r="N2795" i="14"/>
  <c r="N2807" i="14"/>
  <c r="N2816" i="14"/>
  <c r="N2827" i="14"/>
  <c r="N2839" i="14"/>
  <c r="N2848" i="14"/>
  <c r="N2859" i="14"/>
  <c r="N2871" i="14"/>
  <c r="N2880" i="14"/>
  <c r="N2891" i="14"/>
  <c r="N2903" i="14"/>
  <c r="N2912" i="14"/>
  <c r="N2923" i="14"/>
  <c r="N1727" i="14"/>
  <c r="N1841" i="14"/>
  <c r="N1935" i="14"/>
  <c r="N2026" i="14"/>
  <c r="N2071" i="14"/>
  <c r="N2109" i="14"/>
  <c r="N2130" i="14"/>
  <c r="N2150" i="14"/>
  <c r="N2168" i="14"/>
  <c r="N2179" i="14"/>
  <c r="N2196" i="14"/>
  <c r="N2208" i="14"/>
  <c r="N2220" i="14"/>
  <c r="N2237" i="14"/>
  <c r="N2250" i="14"/>
  <c r="N2263" i="14"/>
  <c r="N2274" i="14"/>
  <c r="N2286" i="14"/>
  <c r="N2304" i="14"/>
  <c r="N2316" i="14"/>
  <c r="N2325" i="14"/>
  <c r="N2336" i="14"/>
  <c r="N2364" i="14"/>
  <c r="N2373" i="14"/>
  <c r="N2384" i="14"/>
  <c r="N2396" i="14"/>
  <c r="N2405" i="14"/>
  <c r="N2416" i="14"/>
  <c r="N2432" i="14"/>
  <c r="N2441" i="14"/>
  <c r="N2452" i="14"/>
  <c r="N2464" i="14"/>
  <c r="N2473" i="14"/>
  <c r="N2484" i="14"/>
  <c r="N2496" i="14"/>
  <c r="N2505" i="14"/>
  <c r="N2516" i="14"/>
  <c r="N2528" i="14"/>
  <c r="N2537" i="14"/>
  <c r="N2552" i="14"/>
  <c r="N2568" i="14"/>
  <c r="N2577" i="14"/>
  <c r="N2588" i="14"/>
  <c r="N2604" i="14"/>
  <c r="N2613" i="14"/>
  <c r="N2624" i="14"/>
  <c r="N2640" i="14"/>
  <c r="N2649" i="14"/>
  <c r="N2660" i="14"/>
  <c r="N2672" i="14"/>
  <c r="N2681" i="14"/>
  <c r="N2692" i="14"/>
  <c r="N2704" i="14"/>
  <c r="N2713" i="14"/>
  <c r="N2724" i="14"/>
  <c r="N2736" i="14"/>
  <c r="N2745" i="14"/>
  <c r="N2756" i="14"/>
  <c r="N2768" i="14"/>
  <c r="N2777" i="14"/>
  <c r="N2796" i="14"/>
  <c r="N2808" i="14"/>
  <c r="N2817" i="14"/>
  <c r="N2828" i="14"/>
  <c r="N2840" i="14"/>
  <c r="N2849" i="14"/>
  <c r="N2860" i="14"/>
  <c r="N2872" i="14"/>
  <c r="N2881" i="14"/>
  <c r="N2892" i="14"/>
  <c r="N2904" i="14"/>
  <c r="N2913" i="14"/>
  <c r="N2924" i="14"/>
  <c r="N2948" i="14"/>
  <c r="N2957" i="14"/>
  <c r="N2972" i="14"/>
  <c r="N2984" i="14"/>
  <c r="N2993" i="14"/>
  <c r="N3004" i="14"/>
  <c r="N3016" i="14"/>
  <c r="N3025" i="14"/>
  <c r="N3036" i="14"/>
  <c r="N3048" i="14"/>
  <c r="N3057" i="14"/>
  <c r="N3068" i="14"/>
  <c r="N1494" i="14"/>
  <c r="N1736" i="14"/>
  <c r="N1850" i="14"/>
  <c r="N1952" i="14"/>
  <c r="N2028" i="14"/>
  <c r="N2077" i="14"/>
  <c r="N2111" i="14"/>
  <c r="N2133" i="14"/>
  <c r="N2159" i="14"/>
  <c r="N2169" i="14"/>
  <c r="N2181" i="14"/>
  <c r="N2198" i="14"/>
  <c r="N2211" i="14"/>
  <c r="N2221" i="14"/>
  <c r="N2238" i="14"/>
  <c r="N2251" i="14"/>
  <c r="N2264" i="14"/>
  <c r="N2276" i="14"/>
  <c r="N2288" i="14"/>
  <c r="N2305" i="14"/>
  <c r="N2317" i="14"/>
  <c r="N2326" i="14"/>
  <c r="N2337" i="14"/>
  <c r="N2365" i="14"/>
  <c r="N2374" i="14"/>
  <c r="N2385" i="14"/>
  <c r="N2397" i="14"/>
  <c r="N2406" i="14"/>
  <c r="N2417" i="14"/>
  <c r="N2433" i="14"/>
  <c r="N2442" i="14"/>
  <c r="N2453" i="14"/>
  <c r="N2465" i="14"/>
  <c r="N2474" i="14"/>
  <c r="N2485" i="14"/>
  <c r="N2497" i="14"/>
  <c r="N2506" i="14"/>
  <c r="N2517" i="14"/>
  <c r="N2529" i="14"/>
  <c r="N2538" i="14"/>
  <c r="N2553" i="14"/>
  <c r="N2569" i="14"/>
  <c r="N2578" i="14"/>
  <c r="N2589" i="14"/>
  <c r="N2605" i="14"/>
  <c r="N2614" i="14"/>
  <c r="N2625" i="14"/>
  <c r="N2641" i="14"/>
  <c r="N2650" i="14"/>
  <c r="N2661" i="14"/>
  <c r="N2673" i="14"/>
  <c r="N2682" i="14"/>
  <c r="N2693" i="14"/>
  <c r="N2705" i="14"/>
  <c r="N2714" i="14"/>
  <c r="N2725" i="14"/>
  <c r="N2737" i="14"/>
  <c r="N2746" i="14"/>
  <c r="N2757" i="14"/>
  <c r="N2769" i="14"/>
  <c r="N2778" i="14"/>
  <c r="N2797" i="14"/>
  <c r="N2809" i="14"/>
  <c r="N2818" i="14"/>
  <c r="N2829" i="14"/>
  <c r="N2841" i="14"/>
  <c r="N2850" i="14"/>
  <c r="N2861" i="14"/>
  <c r="N2873" i="14"/>
  <c r="N2882" i="14"/>
  <c r="N2893" i="14"/>
  <c r="N2905" i="14"/>
  <c r="N2914" i="14"/>
  <c r="N2925" i="14"/>
  <c r="N2949" i="14"/>
  <c r="N2958" i="14"/>
  <c r="N2973" i="14"/>
  <c r="N2985" i="14"/>
  <c r="N2994" i="14"/>
  <c r="N3005" i="14"/>
  <c r="N3017" i="14"/>
  <c r="N3026" i="14"/>
  <c r="N3037" i="14"/>
  <c r="N1599" i="14"/>
  <c r="N1746" i="14"/>
  <c r="N1858" i="14"/>
  <c r="N1960" i="14"/>
  <c r="N2035" i="14"/>
  <c r="N2091" i="14"/>
  <c r="N2113" i="14"/>
  <c r="N2134" i="14"/>
  <c r="N2160" i="14"/>
  <c r="N2170" i="14"/>
  <c r="N2182" i="14"/>
  <c r="N2199" i="14"/>
  <c r="N2212" i="14"/>
  <c r="N2228" i="14"/>
  <c r="N2240" i="14"/>
  <c r="N2252" i="14"/>
  <c r="N2266" i="14"/>
  <c r="N2279" i="14"/>
  <c r="N2289" i="14"/>
  <c r="N2306" i="14"/>
  <c r="N2318" i="14"/>
  <c r="N2328" i="14"/>
  <c r="N2338" i="14"/>
  <c r="N2366" i="14"/>
  <c r="N2376" i="14"/>
  <c r="N2386" i="14"/>
  <c r="N2398" i="14"/>
  <c r="N2408" i="14"/>
  <c r="N2418" i="14"/>
  <c r="N2434" i="14"/>
  <c r="N2444" i="14"/>
  <c r="N2454" i="14"/>
  <c r="N2466" i="14"/>
  <c r="N2476" i="14"/>
  <c r="N2486" i="14"/>
  <c r="N2498" i="14"/>
  <c r="N2508" i="14"/>
  <c r="N2518" i="14"/>
  <c r="N2530" i="14"/>
  <c r="N2544" i="14"/>
  <c r="N2554" i="14"/>
  <c r="N2570" i="14"/>
  <c r="N2580" i="14"/>
  <c r="N2590" i="14"/>
  <c r="N2606" i="14"/>
  <c r="N2616" i="14"/>
  <c r="N2626" i="14"/>
  <c r="N2642" i="14"/>
  <c r="N2652" i="14"/>
  <c r="N2662" i="14"/>
  <c r="N2674" i="14"/>
  <c r="N2684" i="14"/>
  <c r="N2694" i="14"/>
  <c r="N2706" i="14"/>
  <c r="N2716" i="14"/>
  <c r="N2726" i="14"/>
  <c r="N2738" i="14"/>
  <c r="N2748" i="14"/>
  <c r="N1632" i="14"/>
  <c r="N1765" i="14"/>
  <c r="N1867" i="14"/>
  <c r="N1968" i="14"/>
  <c r="N2037" i="14"/>
  <c r="N2094" i="14"/>
  <c r="N2116" i="14"/>
  <c r="N2136" i="14"/>
  <c r="N2161" i="14"/>
  <c r="N2172" i="14"/>
  <c r="N2184" i="14"/>
  <c r="N2200" i="14"/>
  <c r="N2213" i="14"/>
  <c r="N2232" i="14"/>
  <c r="N2241" i="14"/>
  <c r="N2253" i="14"/>
  <c r="N2267" i="14"/>
  <c r="N2280" i="14"/>
  <c r="N2296" i="14"/>
  <c r="N2308" i="14"/>
  <c r="N2319" i="14"/>
  <c r="N2331" i="14"/>
  <c r="N2340" i="14"/>
  <c r="N2367" i="14"/>
  <c r="N2379" i="14"/>
  <c r="N2388" i="14"/>
  <c r="N2399" i="14"/>
  <c r="N2411" i="14"/>
  <c r="N2420" i="14"/>
  <c r="N2435" i="14"/>
  <c r="N2447" i="14"/>
  <c r="N2456" i="14"/>
  <c r="N2467" i="14"/>
  <c r="N2479" i="14"/>
  <c r="N2488" i="14"/>
  <c r="N2499" i="14"/>
  <c r="N2511" i="14"/>
  <c r="N2520" i="14"/>
  <c r="N2531" i="14"/>
  <c r="N2547" i="14"/>
  <c r="N2556" i="14"/>
  <c r="N2571" i="14"/>
  <c r="N2583" i="14"/>
  <c r="N2592" i="14"/>
  <c r="N2607" i="14"/>
  <c r="N2619" i="14"/>
  <c r="N2628" i="14"/>
  <c r="N2643" i="14"/>
  <c r="N2655" i="14"/>
  <c r="N2664" i="14"/>
  <c r="N2675" i="14"/>
  <c r="N2687" i="14"/>
  <c r="N2696" i="14"/>
  <c r="N2707" i="14"/>
  <c r="N2719" i="14"/>
  <c r="N2728" i="14"/>
  <c r="N877" i="14"/>
  <c r="N1106" i="14"/>
  <c r="N1216" i="14"/>
  <c r="N1288" i="14"/>
  <c r="N1353" i="14"/>
  <c r="N1418" i="14"/>
  <c r="N1485" i="14"/>
  <c r="N1553" i="14"/>
  <c r="N1595" i="14"/>
  <c r="N1629" i="14"/>
  <c r="N1655" i="14"/>
  <c r="N1671" i="14"/>
  <c r="N1684" i="14"/>
  <c r="N1695" i="14"/>
  <c r="N1705" i="14"/>
  <c r="N1716" i="14"/>
  <c r="N1726" i="14"/>
  <c r="N1735" i="14"/>
  <c r="N1745" i="14"/>
  <c r="N1754" i="14"/>
  <c r="N1764" i="14"/>
  <c r="N1772" i="14"/>
  <c r="N1781" i="14"/>
  <c r="N1789" i="14"/>
  <c r="N1798" i="14"/>
  <c r="N1806" i="14"/>
  <c r="N1815" i="14"/>
  <c r="N1823" i="14"/>
  <c r="N1832" i="14"/>
  <c r="N1840" i="14"/>
  <c r="N1849" i="14"/>
  <c r="N1857" i="14"/>
  <c r="N1866" i="14"/>
  <c r="N1874" i="14"/>
  <c r="N1883" i="14"/>
  <c r="N1891" i="14"/>
  <c r="N1899" i="14"/>
  <c r="N1908" i="14"/>
  <c r="N1916" i="14"/>
  <c r="N1925" i="14"/>
  <c r="N1934" i="14"/>
  <c r="N1942" i="14"/>
  <c r="N1951" i="14"/>
  <c r="N1959" i="14"/>
  <c r="N1967" i="14"/>
  <c r="N1976" i="14"/>
  <c r="N1984" i="14"/>
  <c r="N1993" i="14"/>
  <c r="N2002" i="14"/>
  <c r="N2010" i="14"/>
  <c r="N2019" i="14"/>
  <c r="N2027" i="14"/>
  <c r="N2036" i="14"/>
  <c r="N2044" i="14"/>
  <c r="N2052" i="14"/>
  <c r="N2061" i="14"/>
  <c r="N2070" i="14"/>
  <c r="N2078" i="14"/>
  <c r="N2086" i="14"/>
  <c r="N2095" i="14"/>
  <c r="N2103" i="14"/>
  <c r="N2112" i="14"/>
  <c r="N2120" i="14"/>
  <c r="N2129" i="14"/>
  <c r="N2138" i="14"/>
  <c r="N2146" i="14"/>
  <c r="N2154" i="14"/>
  <c r="N2163" i="14"/>
  <c r="N2171" i="14"/>
  <c r="N2180" i="14"/>
  <c r="N2188" i="14"/>
  <c r="N2197" i="14"/>
  <c r="N2205" i="14"/>
  <c r="N2214" i="14"/>
  <c r="N2222" i="14"/>
  <c r="N2231" i="14"/>
  <c r="N2239" i="14"/>
  <c r="N2248" i="14"/>
  <c r="N2256" i="14"/>
  <c r="N2265" i="14"/>
  <c r="N2273" i="14"/>
  <c r="N2282" i="14"/>
  <c r="N2290" i="14"/>
  <c r="N2299" i="14"/>
  <c r="N2307" i="14"/>
  <c r="N910" i="14"/>
  <c r="N1122" i="14"/>
  <c r="N1226" i="14"/>
  <c r="N1296" i="14"/>
  <c r="N1361" i="14"/>
  <c r="N1426" i="14"/>
  <c r="N943" i="14"/>
  <c r="N1138" i="14"/>
  <c r="N1235" i="14"/>
  <c r="N1304" i="14"/>
  <c r="N1369" i="14"/>
  <c r="N1435" i="14"/>
  <c r="N1502" i="14"/>
  <c r="N1570" i="14"/>
  <c r="N1604" i="14"/>
  <c r="N1638" i="14"/>
  <c r="N1659" i="14"/>
  <c r="N1675" i="14"/>
  <c r="N1686" i="14"/>
  <c r="N1699" i="14"/>
  <c r="N1708" i="14"/>
  <c r="N1718" i="14"/>
  <c r="N1728" i="14"/>
  <c r="N1737" i="14"/>
  <c r="N1747" i="14"/>
  <c r="N1756" i="14"/>
  <c r="N1766" i="14"/>
  <c r="N1775" i="14"/>
  <c r="N1783" i="14"/>
  <c r="N1791" i="14"/>
  <c r="N1800" i="14"/>
  <c r="N1808" i="14"/>
  <c r="N1817" i="14"/>
  <c r="N1825" i="14"/>
  <c r="N1834" i="14"/>
  <c r="N1842" i="14"/>
  <c r="N1851" i="14"/>
  <c r="N1859" i="14"/>
  <c r="N1868" i="14"/>
  <c r="N1876" i="14"/>
  <c r="N1885" i="14"/>
  <c r="N1893" i="14"/>
  <c r="N1902" i="14"/>
  <c r="N1910" i="14"/>
  <c r="N1919" i="14"/>
  <c r="N1927" i="14"/>
  <c r="N1936" i="14"/>
  <c r="N1944" i="14"/>
  <c r="N1953" i="14"/>
  <c r="N1961" i="14"/>
  <c r="N1970" i="14"/>
  <c r="N1978" i="14"/>
  <c r="N1987" i="14"/>
  <c r="N1995" i="14"/>
  <c r="N2004" i="14"/>
  <c r="N2012" i="14"/>
  <c r="N2021" i="14"/>
  <c r="N2029" i="14"/>
  <c r="N2038" i="14"/>
  <c r="N2046" i="14"/>
  <c r="N2055" i="14"/>
  <c r="N2063" i="14"/>
  <c r="N2072" i="14"/>
  <c r="N2080" i="14"/>
  <c r="N2088" i="14"/>
  <c r="N2097" i="14"/>
  <c r="N2106" i="14"/>
  <c r="N2114" i="14"/>
  <c r="N2123" i="14"/>
  <c r="N2131" i="14"/>
  <c r="N2140" i="14"/>
  <c r="N2148" i="14"/>
  <c r="N2156" i="14"/>
  <c r="N975" i="14"/>
  <c r="N1154" i="14"/>
  <c r="N1244" i="14"/>
  <c r="N1312" i="14"/>
  <c r="N1377" i="14"/>
  <c r="N1443" i="14"/>
  <c r="N1511" i="14"/>
  <c r="N1573" i="14"/>
  <c r="N1607" i="14"/>
  <c r="N1641" i="14"/>
  <c r="N1660" i="14"/>
  <c r="N1676" i="14"/>
  <c r="N1688" i="14"/>
  <c r="N1700" i="14"/>
  <c r="N1710" i="14"/>
  <c r="N1719" i="14"/>
  <c r="N1729" i="14"/>
  <c r="N1738" i="14"/>
  <c r="N1748" i="14"/>
  <c r="N1759" i="14"/>
  <c r="N1767" i="14"/>
  <c r="N1776" i="14"/>
  <c r="N1784" i="14"/>
  <c r="N1792" i="14"/>
  <c r="N1801" i="14"/>
  <c r="N1810" i="14"/>
  <c r="N1818" i="14"/>
  <c r="N1826" i="14"/>
  <c r="N1835" i="14"/>
  <c r="N1843" i="14"/>
  <c r="N1852" i="14"/>
  <c r="N1860" i="14"/>
  <c r="N1869" i="14"/>
  <c r="N1878" i="14"/>
  <c r="N1886" i="14"/>
  <c r="N1894" i="14"/>
  <c r="N1903" i="14"/>
  <c r="N1911" i="14"/>
  <c r="N1920" i="14"/>
  <c r="N1928" i="14"/>
  <c r="N1937" i="14"/>
  <c r="N1945" i="14"/>
  <c r="N1954" i="14"/>
  <c r="N1962" i="14"/>
  <c r="N1971" i="14"/>
  <c r="N1979" i="14"/>
  <c r="N1988" i="14"/>
  <c r="N1996" i="14"/>
  <c r="N2005" i="14"/>
  <c r="N2013" i="14"/>
  <c r="N2022" i="14"/>
  <c r="N2030" i="14"/>
  <c r="N2039" i="14"/>
  <c r="N2047" i="14"/>
  <c r="N2056" i="14"/>
  <c r="N2064" i="14"/>
  <c r="N2073" i="14"/>
  <c r="N2081" i="14"/>
  <c r="N2090" i="14"/>
  <c r="N2098" i="14"/>
  <c r="N2107" i="14"/>
  <c r="N2115" i="14"/>
  <c r="N2124" i="14"/>
  <c r="N2132" i="14"/>
  <c r="N2141" i="14"/>
  <c r="N2149" i="14"/>
  <c r="N2158" i="14"/>
  <c r="N1007" i="14"/>
  <c r="N1171" i="14"/>
  <c r="N1254" i="14"/>
  <c r="N1320" i="14"/>
  <c r="N1385" i="14"/>
  <c r="N1452" i="14"/>
  <c r="N1519" i="14"/>
  <c r="N1578" i="14"/>
  <c r="N1612" i="14"/>
  <c r="N1643" i="14"/>
  <c r="N1663" i="14"/>
  <c r="N1678" i="14"/>
  <c r="N1690" i="14"/>
  <c r="N1701" i="14"/>
  <c r="N1711" i="14"/>
  <c r="N1720" i="14"/>
  <c r="N1730" i="14"/>
  <c r="N1739" i="14"/>
  <c r="N1750" i="14"/>
  <c r="N1760" i="14"/>
  <c r="N1768" i="14"/>
  <c r="N1777" i="14"/>
  <c r="N1785" i="14"/>
  <c r="N1794" i="14"/>
  <c r="N1802" i="14"/>
  <c r="N1811" i="14"/>
  <c r="N1819" i="14"/>
  <c r="N1827" i="14"/>
  <c r="N1836" i="14"/>
  <c r="N1844" i="14"/>
  <c r="N1853" i="14"/>
  <c r="N1862" i="14"/>
  <c r="N1870" i="14"/>
  <c r="N1879" i="14"/>
  <c r="N1887" i="14"/>
  <c r="N1895" i="14"/>
  <c r="N1904" i="14"/>
  <c r="N1912" i="14"/>
  <c r="N1921" i="14"/>
  <c r="N1929" i="14"/>
  <c r="N1938" i="14"/>
  <c r="N1946" i="14"/>
  <c r="N1955" i="14"/>
  <c r="N1963" i="14"/>
  <c r="N1972" i="14"/>
  <c r="N1980" i="14"/>
  <c r="N1989" i="14"/>
  <c r="N1997" i="14"/>
  <c r="N2006" i="14"/>
  <c r="N2014" i="14"/>
  <c r="N2023" i="14"/>
  <c r="N2031" i="14"/>
  <c r="N2040" i="14"/>
  <c r="N2048" i="14"/>
  <c r="N2057" i="14"/>
  <c r="N2065" i="14"/>
  <c r="N2074" i="14"/>
  <c r="N2082" i="14"/>
  <c r="N689" i="14"/>
  <c r="N1040" i="14"/>
  <c r="N1185" i="14"/>
  <c r="N1262" i="14"/>
  <c r="N1328" i="14"/>
  <c r="N1393" i="14"/>
  <c r="N1460" i="14"/>
  <c r="N1527" i="14"/>
  <c r="N1582" i="14"/>
  <c r="N1615" i="14"/>
  <c r="N1646" i="14"/>
  <c r="N1666" i="14"/>
  <c r="N1680" i="14"/>
  <c r="N1691" i="14"/>
  <c r="N1702" i="14"/>
  <c r="N1712" i="14"/>
  <c r="N1721" i="14"/>
  <c r="N1731" i="14"/>
  <c r="N1742" i="14"/>
  <c r="N1751" i="14"/>
  <c r="N1761" i="14"/>
  <c r="N1769" i="14"/>
  <c r="N1778" i="14"/>
  <c r="N1786" i="14"/>
  <c r="N1795" i="14"/>
  <c r="N1803" i="14"/>
  <c r="N1812" i="14"/>
  <c r="N1820" i="14"/>
  <c r="N1828" i="14"/>
  <c r="N1837" i="14"/>
  <c r="N1846" i="14"/>
  <c r="N1854" i="14"/>
  <c r="N1863" i="14"/>
  <c r="N1871" i="14"/>
  <c r="N1880" i="14"/>
  <c r="N1888" i="14"/>
  <c r="N1896" i="14"/>
  <c r="N1905" i="14"/>
  <c r="N1913" i="14"/>
  <c r="N1922" i="14"/>
  <c r="N1930" i="14"/>
  <c r="N1939" i="14"/>
  <c r="N1947" i="14"/>
  <c r="N1956" i="14"/>
  <c r="N1964" i="14"/>
  <c r="N1973" i="14"/>
  <c r="N1981" i="14"/>
  <c r="N1990" i="14"/>
  <c r="N1998" i="14"/>
  <c r="N2007" i="14"/>
  <c r="N2015" i="14"/>
  <c r="N2024" i="14"/>
  <c r="N2032" i="14"/>
  <c r="N2041" i="14"/>
  <c r="N2049" i="14"/>
  <c r="N2058" i="14"/>
  <c r="N2066" i="14"/>
  <c r="N2075" i="14"/>
  <c r="N2083" i="14"/>
  <c r="N2092" i="14"/>
  <c r="N2100" i="14"/>
  <c r="N755" i="14"/>
  <c r="N1065" i="14"/>
  <c r="N1197" i="14"/>
  <c r="N1271" i="14"/>
  <c r="N1336" i="14"/>
  <c r="N1401" i="14"/>
  <c r="N1468" i="14"/>
  <c r="N1536" i="14"/>
  <c r="N1587" i="14"/>
  <c r="N1621" i="14"/>
  <c r="N1650" i="14"/>
  <c r="N1667" i="14"/>
  <c r="N1682" i="14"/>
  <c r="N1692" i="14"/>
  <c r="N1703" i="14"/>
  <c r="N1713" i="14"/>
  <c r="N1722" i="14"/>
  <c r="N1733" i="14"/>
  <c r="N1743" i="14"/>
  <c r="N1752" i="14"/>
  <c r="N1762" i="14"/>
  <c r="N1770" i="14"/>
  <c r="N1779" i="14"/>
  <c r="N1787" i="14"/>
  <c r="N1796" i="14"/>
  <c r="N1804" i="14"/>
  <c r="N1813" i="14"/>
  <c r="N1821" i="14"/>
  <c r="N1830" i="14"/>
  <c r="N1838" i="14"/>
  <c r="N1847" i="14"/>
  <c r="N1855" i="14"/>
  <c r="N1864" i="14"/>
  <c r="N1872" i="14"/>
  <c r="N1881" i="14"/>
  <c r="N1889" i="14"/>
  <c r="N1897" i="14"/>
  <c r="N1906" i="14"/>
  <c r="N1914" i="14"/>
  <c r="N1923" i="14"/>
  <c r="N1931" i="14"/>
  <c r="N1940" i="14"/>
  <c r="N1948" i="14"/>
  <c r="N1957" i="14"/>
  <c r="N1965" i="14"/>
  <c r="N1974" i="14"/>
  <c r="N1982" i="14"/>
  <c r="N1991" i="14"/>
  <c r="N1999" i="14"/>
  <c r="N2008" i="14"/>
  <c r="N2016" i="14"/>
  <c r="N2025" i="14"/>
  <c r="N2034" i="14"/>
  <c r="N2042" i="14"/>
  <c r="N2050" i="14"/>
  <c r="N2059" i="14"/>
  <c r="N2067" i="14"/>
  <c r="N2076" i="14"/>
  <c r="N2084" i="14"/>
  <c r="N2093" i="14"/>
  <c r="N2101" i="14"/>
  <c r="N2110" i="14"/>
  <c r="N2118" i="14"/>
  <c r="N2127" i="14"/>
  <c r="N2135" i="14"/>
  <c r="N2144" i="14"/>
  <c r="N821" i="14"/>
  <c r="N1087" i="14"/>
  <c r="N1206" i="14"/>
  <c r="N1279" i="14"/>
  <c r="N1345" i="14"/>
  <c r="N1410" i="14"/>
  <c r="N1477" i="14"/>
  <c r="N1544" i="14"/>
  <c r="N1590" i="14"/>
  <c r="N1624" i="14"/>
  <c r="N1652" i="14"/>
  <c r="N1668" i="14"/>
  <c r="N1683" i="14"/>
  <c r="N1694" i="14"/>
  <c r="N1704" i="14"/>
  <c r="N1714" i="14"/>
  <c r="N1724" i="14"/>
  <c r="N1734" i="14"/>
  <c r="N1744" i="14"/>
  <c r="N1753" i="14"/>
  <c r="N1763" i="14"/>
  <c r="N1771" i="14"/>
  <c r="N1780" i="14"/>
  <c r="N1788" i="14"/>
  <c r="N1797" i="14"/>
  <c r="N1805" i="14"/>
  <c r="N1814" i="14"/>
  <c r="N1822" i="14"/>
  <c r="N1831" i="14"/>
  <c r="N1839" i="14"/>
  <c r="N1848" i="14"/>
  <c r="N1856" i="14"/>
  <c r="N1865" i="14"/>
  <c r="N1873" i="14"/>
  <c r="N1882" i="14"/>
  <c r="N1890" i="14"/>
  <c r="N1898" i="14"/>
  <c r="N1907" i="14"/>
  <c r="N1915" i="14"/>
  <c r="N1924" i="14"/>
  <c r="N1932" i="14"/>
  <c r="N1941" i="14"/>
  <c r="N1950" i="14"/>
  <c r="N1958" i="14"/>
  <c r="N1966" i="14"/>
  <c r="N1975" i="14"/>
  <c r="N1983" i="14"/>
  <c r="N1992" i="14"/>
  <c r="N2000" i="14"/>
  <c r="N2009" i="14"/>
  <c r="N2018" i="14"/>
  <c r="N1807" i="14"/>
  <c r="N1875" i="14"/>
  <c r="N1943" i="14"/>
  <c r="N2011" i="14"/>
  <c r="N2051" i="14"/>
  <c r="N2085" i="14"/>
  <c r="N2155" i="14"/>
  <c r="N2167" i="14"/>
  <c r="N2225" i="14"/>
  <c r="N2293" i="14"/>
  <c r="N2330" i="14"/>
  <c r="N2346" i="14"/>
  <c r="N2354" i="14"/>
  <c r="N2371" i="14"/>
  <c r="N2439" i="14"/>
  <c r="N2507" i="14"/>
  <c r="N2541" i="14"/>
  <c r="N2575" i="14"/>
  <c r="N2618" i="14"/>
  <c r="N2634" i="14"/>
  <c r="N2651" i="14"/>
  <c r="N2686" i="14"/>
  <c r="N2711" i="14"/>
  <c r="N2779" i="14"/>
  <c r="N2787" i="14"/>
  <c r="N2822" i="14"/>
  <c r="N2847" i="14"/>
  <c r="N2915" i="14"/>
  <c r="N2932" i="14"/>
  <c r="N2940" i="14"/>
  <c r="N2966" i="14"/>
  <c r="N2991" i="14"/>
  <c r="N3059" i="14"/>
  <c r="N3094" i="14"/>
  <c r="N3119" i="14"/>
  <c r="N3187" i="14"/>
  <c r="N3222" i="14"/>
  <c r="N3247" i="14"/>
  <c r="N3315" i="14"/>
  <c r="N3350" i="14"/>
  <c r="N3375" i="14"/>
  <c r="N3443" i="14"/>
  <c r="N3478" i="14"/>
  <c r="N3503" i="14"/>
  <c r="N3571" i="14"/>
  <c r="N3606" i="14"/>
  <c r="N3631" i="14"/>
  <c r="N3699" i="14"/>
  <c r="N3734" i="14"/>
  <c r="N3759" i="14"/>
  <c r="N3827" i="14"/>
  <c r="N3887" i="14"/>
  <c r="N3955" i="14"/>
  <c r="N3990" i="14"/>
  <c r="N4015" i="14"/>
  <c r="N4083" i="14"/>
  <c r="N4118" i="14"/>
  <c r="N4143" i="14"/>
  <c r="N4211" i="14"/>
  <c r="N4246" i="14"/>
  <c r="N4271" i="14"/>
  <c r="N4467" i="14"/>
  <c r="N4630" i="14"/>
  <c r="N4655" i="14"/>
  <c r="N2054" i="14"/>
  <c r="N2087" i="14"/>
  <c r="N2187" i="14"/>
  <c r="N2207" i="14"/>
  <c r="N2226" i="14"/>
  <c r="N2246" i="14"/>
  <c r="N2255" i="14"/>
  <c r="N2275" i="14"/>
  <c r="N2294" i="14"/>
  <c r="N2314" i="14"/>
  <c r="N2339" i="14"/>
  <c r="N2347" i="14"/>
  <c r="N2355" i="14"/>
  <c r="N2423" i="14"/>
  <c r="N2491" i="14"/>
  <c r="N2526" i="14"/>
  <c r="N2542" i="14"/>
  <c r="N2559" i="14"/>
  <c r="N2602" i="14"/>
  <c r="N2627" i="14"/>
  <c r="N2635" i="14"/>
  <c r="N2670" i="14"/>
  <c r="N2695" i="14"/>
  <c r="N2763" i="14"/>
  <c r="N2780" i="14"/>
  <c r="N2806" i="14"/>
  <c r="N2831" i="14"/>
  <c r="N2899" i="14"/>
  <c r="N2933" i="14"/>
  <c r="N2941" i="14"/>
  <c r="N2975" i="14"/>
  <c r="N3043" i="14"/>
  <c r="N3078" i="14"/>
  <c r="N3103" i="14"/>
  <c r="N3171" i="14"/>
  <c r="N3206" i="14"/>
  <c r="N3231" i="14"/>
  <c r="N3299" i="14"/>
  <c r="N3334" i="14"/>
  <c r="N3359" i="14"/>
  <c r="N3427" i="14"/>
  <c r="N3462" i="14"/>
  <c r="N3487" i="14"/>
  <c r="N3555" i="14"/>
  <c r="N3590" i="14"/>
  <c r="N3615" i="14"/>
  <c r="N3683" i="14"/>
  <c r="N3718" i="14"/>
  <c r="N3743" i="14"/>
  <c r="N3811" i="14"/>
  <c r="N3846" i="14"/>
  <c r="N3939" i="14"/>
  <c r="N3974" i="14"/>
  <c r="N3999" i="14"/>
  <c r="N4067" i="14"/>
  <c r="N4102" i="14"/>
  <c r="N4127" i="14"/>
  <c r="N4195" i="14"/>
  <c r="N4230" i="14"/>
  <c r="N4255" i="14"/>
  <c r="N4323" i="14"/>
  <c r="N4451" i="14"/>
  <c r="N4639" i="14"/>
  <c r="N4707" i="14"/>
  <c r="N4742" i="14"/>
  <c r="N1674" i="14"/>
  <c r="N1755" i="14"/>
  <c r="N1824" i="14"/>
  <c r="N1892" i="14"/>
  <c r="N2189" i="14"/>
  <c r="N2227" i="14"/>
  <c r="N2295" i="14"/>
  <c r="N2323" i="14"/>
  <c r="N2348" i="14"/>
  <c r="N2356" i="14"/>
  <c r="N2407" i="14"/>
  <c r="N2424" i="14"/>
  <c r="N2475" i="14"/>
  <c r="N2510" i="14"/>
  <c r="N2535" i="14"/>
  <c r="N2543" i="14"/>
  <c r="N2560" i="14"/>
  <c r="N2611" i="14"/>
  <c r="N2654" i="14"/>
  <c r="N2679" i="14"/>
  <c r="N2747" i="14"/>
  <c r="N2781" i="14"/>
  <c r="N2790" i="14"/>
  <c r="N2815" i="14"/>
  <c r="N2883" i="14"/>
  <c r="N2918" i="14"/>
  <c r="N2934" i="14"/>
  <c r="N2942" i="14"/>
  <c r="N2959" i="14"/>
  <c r="N3027" i="14"/>
  <c r="N3062" i="14"/>
  <c r="N3087" i="14"/>
  <c r="N3155" i="14"/>
  <c r="N3190" i="14"/>
  <c r="N3215" i="14"/>
  <c r="N3283" i="14"/>
  <c r="N3318" i="14"/>
  <c r="N3343" i="14"/>
  <c r="N3411" i="14"/>
  <c r="N3446" i="14"/>
  <c r="N3471" i="14"/>
  <c r="N3539" i="14"/>
  <c r="N3574" i="14"/>
  <c r="N3599" i="14"/>
  <c r="N3667" i="14"/>
  <c r="N3702" i="14"/>
  <c r="N3727" i="14"/>
  <c r="N3795" i="14"/>
  <c r="N3830" i="14"/>
  <c r="N3855" i="14"/>
  <c r="N3923" i="14"/>
  <c r="N3958" i="14"/>
  <c r="N3983" i="14"/>
  <c r="N4051" i="14"/>
  <c r="N4086" i="14"/>
  <c r="N4111" i="14"/>
  <c r="N4179" i="14"/>
  <c r="N4214" i="14"/>
  <c r="N4239" i="14"/>
  <c r="N4307" i="14"/>
  <c r="N4435" i="14"/>
  <c r="N4470" i="14"/>
  <c r="N4691" i="14"/>
  <c r="N4751" i="14"/>
  <c r="N2147" i="14"/>
  <c r="N2190" i="14"/>
  <c r="N2210" i="14"/>
  <c r="N2219" i="14"/>
  <c r="N2278" i="14"/>
  <c r="N2287" i="14"/>
  <c r="N2349" i="14"/>
  <c r="N2357" i="14"/>
  <c r="N2391" i="14"/>
  <c r="N2425" i="14"/>
  <c r="N2459" i="14"/>
  <c r="N2494" i="14"/>
  <c r="N2519" i="14"/>
  <c r="N2561" i="14"/>
  <c r="N2595" i="14"/>
  <c r="N2638" i="14"/>
  <c r="N2663" i="14"/>
  <c r="N2731" i="14"/>
  <c r="N2766" i="14"/>
  <c r="N2782" i="14"/>
  <c r="N2799" i="14"/>
  <c r="N2867" i="14"/>
  <c r="N2902" i="14"/>
  <c r="N2927" i="14"/>
  <c r="N2935" i="14"/>
  <c r="N2943" i="14"/>
  <c r="N2960" i="14"/>
  <c r="N3011" i="14"/>
  <c r="N3046" i="14"/>
  <c r="N3071" i="14"/>
  <c r="N3139" i="14"/>
  <c r="N3174" i="14"/>
  <c r="N3199" i="14"/>
  <c r="N3267" i="14"/>
  <c r="N3302" i="14"/>
  <c r="N3327" i="14"/>
  <c r="N3395" i="14"/>
  <c r="N3430" i="14"/>
  <c r="N3455" i="14"/>
  <c r="N3523" i="14"/>
  <c r="N3558" i="14"/>
  <c r="N3583" i="14"/>
  <c r="N3651" i="14"/>
  <c r="N3686" i="14"/>
  <c r="N3711" i="14"/>
  <c r="N3779" i="14"/>
  <c r="N3814" i="14"/>
  <c r="N3839" i="14"/>
  <c r="N3907" i="14"/>
  <c r="N3942" i="14"/>
  <c r="N3967" i="14"/>
  <c r="N4035" i="14"/>
  <c r="N4070" i="14"/>
  <c r="N4095" i="14"/>
  <c r="N4163" i="14"/>
  <c r="N4198" i="14"/>
  <c r="N4223" i="14"/>
  <c r="N4291" i="14"/>
  <c r="N4479" i="14"/>
  <c r="N4675" i="14"/>
  <c r="N4710" i="14"/>
  <c r="N4895" i="14"/>
  <c r="N1774" i="14"/>
  <c r="N2191" i="14"/>
  <c r="N2230" i="14"/>
  <c r="N2259" i="14"/>
  <c r="N2298" i="14"/>
  <c r="N2350" i="14"/>
  <c r="N2358" i="14"/>
  <c r="N2375" i="14"/>
  <c r="N2410" i="14"/>
  <c r="N2426" i="14"/>
  <c r="N2443" i="14"/>
  <c r="N2478" i="14"/>
  <c r="N2503" i="14"/>
  <c r="N2546" i="14"/>
  <c r="N2562" i="14"/>
  <c r="N2579" i="14"/>
  <c r="N2596" i="14"/>
  <c r="N2647" i="14"/>
  <c r="N2715" i="14"/>
  <c r="N2750" i="14"/>
  <c r="N2775" i="14"/>
  <c r="N2783" i="14"/>
  <c r="N2851" i="14"/>
  <c r="N2886" i="14"/>
  <c r="N2911" i="14"/>
  <c r="N2936" i="14"/>
  <c r="N2961" i="14"/>
  <c r="N2995" i="14"/>
  <c r="N3030" i="14"/>
  <c r="N3055" i="14"/>
  <c r="N3123" i="14"/>
  <c r="N3158" i="14"/>
  <c r="N3183" i="14"/>
  <c r="N3251" i="14"/>
  <c r="N3286" i="14"/>
  <c r="N3311" i="14"/>
  <c r="N3379" i="14"/>
  <c r="N3414" i="14"/>
  <c r="N3439" i="14"/>
  <c r="N3507" i="14"/>
  <c r="N3542" i="14"/>
  <c r="N3567" i="14"/>
  <c r="N3635" i="14"/>
  <c r="N3670" i="14"/>
  <c r="N3695" i="14"/>
  <c r="N3763" i="14"/>
  <c r="N3798" i="14"/>
  <c r="N3823" i="14"/>
  <c r="N3891" i="14"/>
  <c r="N3926" i="14"/>
  <c r="N3951" i="14"/>
  <c r="N4019" i="14"/>
  <c r="N4054" i="14"/>
  <c r="N4079" i="14"/>
  <c r="N4147" i="14"/>
  <c r="N4182" i="14"/>
  <c r="N4207" i="14"/>
  <c r="N4275" i="14"/>
  <c r="N4659" i="14"/>
  <c r="N4694" i="14"/>
  <c r="N4719" i="14"/>
  <c r="N1707" i="14"/>
  <c r="N1918" i="14"/>
  <c r="N1986" i="14"/>
  <c r="N2099" i="14"/>
  <c r="N2151" i="14"/>
  <c r="N2174" i="14"/>
  <c r="N2183" i="14"/>
  <c r="N2343" i="14"/>
  <c r="N2351" i="14"/>
  <c r="N2359" i="14"/>
  <c r="N2394" i="14"/>
  <c r="N2419" i="14"/>
  <c r="N2427" i="14"/>
  <c r="N2462" i="14"/>
  <c r="N2487" i="14"/>
  <c r="N2555" i="14"/>
  <c r="N2563" i="14"/>
  <c r="N2597" i="14"/>
  <c r="N2631" i="14"/>
  <c r="N2699" i="14"/>
  <c r="N2734" i="14"/>
  <c r="N2759" i="14"/>
  <c r="N2784" i="14"/>
  <c r="N2835" i="14"/>
  <c r="N2870" i="14"/>
  <c r="N2895" i="14"/>
  <c r="N2937" i="14"/>
  <c r="N2946" i="14"/>
  <c r="N2962" i="14"/>
  <c r="N2979" i="14"/>
  <c r="N3014" i="14"/>
  <c r="N3039" i="14"/>
  <c r="N3107" i="14"/>
  <c r="N3142" i="14"/>
  <c r="N3167" i="14"/>
  <c r="N3235" i="14"/>
  <c r="N3270" i="14"/>
  <c r="N3295" i="14"/>
  <c r="N3363" i="14"/>
  <c r="N3398" i="14"/>
  <c r="N3423" i="14"/>
  <c r="N3491" i="14"/>
  <c r="N3526" i="14"/>
  <c r="N3551" i="14"/>
  <c r="N3619" i="14"/>
  <c r="N3654" i="14"/>
  <c r="N3679" i="14"/>
  <c r="N3747" i="14"/>
  <c r="N3782" i="14"/>
  <c r="N3807" i="14"/>
  <c r="N3875" i="14"/>
  <c r="N3910" i="14"/>
  <c r="N3935" i="14"/>
  <c r="N4003" i="14"/>
  <c r="N4038" i="14"/>
  <c r="N4063" i="14"/>
  <c r="N4131" i="14"/>
  <c r="N4166" i="14"/>
  <c r="N4191" i="14"/>
  <c r="N4259" i="14"/>
  <c r="N4294" i="14"/>
  <c r="N4643" i="14"/>
  <c r="N4678" i="14"/>
  <c r="N4703" i="14"/>
  <c r="N1561" i="14"/>
  <c r="N1790" i="14"/>
  <c r="N2043" i="14"/>
  <c r="N2119" i="14"/>
  <c r="N2152" i="14"/>
  <c r="N2194" i="14"/>
  <c r="N2203" i="14"/>
  <c r="N2223" i="14"/>
  <c r="N2262" i="14"/>
  <c r="N2271" i="14"/>
  <c r="N2291" i="14"/>
  <c r="N2327" i="14"/>
  <c r="N2344" i="14"/>
  <c r="N2352" i="14"/>
  <c r="N2378" i="14"/>
  <c r="N2403" i="14"/>
  <c r="N2446" i="14"/>
  <c r="N2471" i="14"/>
  <c r="N2539" i="14"/>
  <c r="N2582" i="14"/>
  <c r="N2598" i="14"/>
  <c r="N2615" i="14"/>
  <c r="N2632" i="14"/>
  <c r="N2683" i="14"/>
  <c r="N2718" i="14"/>
  <c r="N2743" i="14"/>
  <c r="N2785" i="14"/>
  <c r="N2819" i="14"/>
  <c r="N2854" i="14"/>
  <c r="N2879" i="14"/>
  <c r="N2938" i="14"/>
  <c r="N2955" i="14"/>
  <c r="N2963" i="14"/>
  <c r="N2998" i="14"/>
  <c r="N3023" i="14"/>
  <c r="N3091" i="14"/>
  <c r="N3126" i="14"/>
  <c r="N3151" i="14"/>
  <c r="N3219" i="14"/>
  <c r="N3254" i="14"/>
  <c r="N3279" i="14"/>
  <c r="N3347" i="14"/>
  <c r="N3382" i="14"/>
  <c r="N3407" i="14"/>
  <c r="N3475" i="14"/>
  <c r="N3510" i="14"/>
  <c r="N3535" i="14"/>
  <c r="N3603" i="14"/>
  <c r="N3638" i="14"/>
  <c r="N3663" i="14"/>
  <c r="N3731" i="14"/>
  <c r="N3766" i="14"/>
  <c r="N3791" i="14"/>
  <c r="N3894" i="14"/>
  <c r="N3919" i="14"/>
  <c r="N3987" i="14"/>
  <c r="N4022" i="14"/>
  <c r="N4047" i="14"/>
  <c r="N4115" i="14"/>
  <c r="N4150" i="14"/>
  <c r="N4175" i="14"/>
  <c r="N4243" i="14"/>
  <c r="N4278" i="14"/>
  <c r="N4627" i="14"/>
  <c r="N4662" i="14"/>
  <c r="N4687" i="14"/>
  <c r="N2079" i="14"/>
  <c r="N2122" i="14"/>
  <c r="N2153" i="14"/>
  <c r="N2224" i="14"/>
  <c r="N2243" i="14"/>
  <c r="N2292" i="14"/>
  <c r="N2311" i="14"/>
  <c r="N2345" i="14"/>
  <c r="N2353" i="14"/>
  <c r="N2362" i="14"/>
  <c r="N2387" i="14"/>
  <c r="N2430" i="14"/>
  <c r="N2455" i="14"/>
  <c r="N2523" i="14"/>
  <c r="N2540" i="14"/>
  <c r="N2566" i="14"/>
  <c r="N2591" i="14"/>
  <c r="N2599" i="14"/>
  <c r="N2633" i="14"/>
  <c r="N2667" i="14"/>
  <c r="N2702" i="14"/>
  <c r="N2727" i="14"/>
  <c r="N2786" i="14"/>
  <c r="N2803" i="14"/>
  <c r="N2838" i="14"/>
  <c r="N2863" i="14"/>
  <c r="N2931" i="14"/>
  <c r="N2939" i="14"/>
  <c r="N2982" i="14"/>
  <c r="N3007" i="14"/>
  <c r="N3075" i="14"/>
  <c r="N3110" i="14"/>
  <c r="N3135" i="14"/>
  <c r="N3203" i="14"/>
  <c r="N3238" i="14"/>
  <c r="N3263" i="14"/>
  <c r="N3331" i="14"/>
  <c r="N3366" i="14"/>
  <c r="N3391" i="14"/>
  <c r="N3459" i="14"/>
  <c r="N3494" i="14"/>
  <c r="N3519" i="14"/>
  <c r="N3587" i="14"/>
  <c r="N3622" i="14"/>
  <c r="N3647" i="14"/>
  <c r="N3715" i="14"/>
  <c r="N3750" i="14"/>
  <c r="N3775" i="14"/>
  <c r="N3843" i="14"/>
  <c r="N3878" i="14"/>
  <c r="N3903" i="14"/>
  <c r="N3971" i="14"/>
  <c r="N4006" i="14"/>
  <c r="N4031" i="14"/>
  <c r="N4099" i="14"/>
  <c r="N4134" i="14"/>
  <c r="N4159" i="14"/>
  <c r="N4227" i="14"/>
  <c r="N4262" i="14"/>
  <c r="N4287" i="14"/>
  <c r="N4355" i="14"/>
  <c r="N4646" i="14"/>
  <c r="N4671" i="14"/>
  <c r="N4739" i="14"/>
  <c r="N4883" i="14"/>
  <c r="N4886" i="14"/>
  <c r="N442" i="14"/>
  <c r="N739" i="14"/>
  <c r="N805" i="14"/>
  <c r="N869" i="14"/>
  <c r="N901" i="14"/>
  <c r="N935" i="14"/>
  <c r="N967" i="14"/>
  <c r="N999" i="14"/>
  <c r="N1032" i="14"/>
  <c r="N1058" i="14"/>
  <c r="N1081" i="14"/>
  <c r="N1099" i="14"/>
  <c r="N1116" i="14"/>
  <c r="N1132" i="14"/>
  <c r="N1148" i="14"/>
  <c r="N1164" i="14"/>
  <c r="N1181" i="14"/>
  <c r="N1194" i="14"/>
  <c r="N1204" i="14"/>
  <c r="N1213" i="14"/>
  <c r="N1223" i="14"/>
  <c r="N1233" i="14"/>
  <c r="N1242" i="14"/>
  <c r="N1252" i="14"/>
  <c r="N1260" i="14"/>
  <c r="N1269" i="14"/>
  <c r="N1277" i="14"/>
  <c r="N1286" i="14"/>
  <c r="N1294" i="14"/>
  <c r="N1302" i="14"/>
  <c r="N1310" i="14"/>
  <c r="N1318" i="14"/>
  <c r="N1326" i="14"/>
  <c r="N1334" i="14"/>
  <c r="N1343" i="14"/>
  <c r="N1351" i="14"/>
  <c r="N1359" i="14"/>
  <c r="N1367" i="14"/>
  <c r="N1375" i="14"/>
  <c r="N1383" i="14"/>
  <c r="N1391" i="14"/>
  <c r="N1399" i="14"/>
  <c r="N1408" i="14"/>
  <c r="N1416" i="14"/>
  <c r="N1424" i="14"/>
  <c r="N1432" i="14"/>
  <c r="N1441" i="14"/>
  <c r="N1450" i="14"/>
  <c r="N1458" i="14"/>
  <c r="N1466" i="14"/>
  <c r="N1475" i="14"/>
  <c r="N1483" i="14"/>
  <c r="N1492" i="14"/>
  <c r="N1500" i="14"/>
  <c r="N1509" i="14"/>
  <c r="N1517" i="14"/>
  <c r="N1525" i="14"/>
  <c r="N1534" i="14"/>
  <c r="N1542" i="14"/>
  <c r="N1551" i="14"/>
  <c r="N1559" i="14"/>
  <c r="N1568" i="14"/>
  <c r="N1576" i="14"/>
  <c r="N1585" i="14"/>
  <c r="N1593" i="14"/>
  <c r="N1602" i="14"/>
  <c r="N1610" i="14"/>
  <c r="N1619" i="14"/>
  <c r="N1627" i="14"/>
  <c r="N1636" i="14"/>
  <c r="N1644" i="14"/>
  <c r="N1653" i="14"/>
  <c r="N1661" i="14"/>
  <c r="N1669" i="14"/>
  <c r="N506" i="14"/>
  <c r="N681" i="14"/>
  <c r="N747" i="14"/>
  <c r="N813" i="14"/>
  <c r="N870" i="14"/>
  <c r="N902" i="14"/>
  <c r="N936" i="14"/>
  <c r="N968" i="14"/>
  <c r="N1000" i="14"/>
  <c r="N1033" i="14"/>
  <c r="N1063" i="14"/>
  <c r="N1082" i="14"/>
  <c r="N1104" i="14"/>
  <c r="N1120" i="14"/>
  <c r="N1136" i="14"/>
  <c r="N1152" i="14"/>
  <c r="N1169" i="14"/>
  <c r="N1184" i="14"/>
  <c r="N1196" i="14"/>
  <c r="N1205" i="14"/>
  <c r="N1214" i="14"/>
  <c r="N1225" i="14"/>
  <c r="N1234" i="14"/>
  <c r="N1243" i="14"/>
  <c r="N1253" i="14"/>
  <c r="N1261" i="14"/>
  <c r="N1270" i="14"/>
  <c r="N1278" i="14"/>
  <c r="N1287" i="14"/>
  <c r="N1295" i="14"/>
  <c r="N1303" i="14"/>
  <c r="N1311" i="14"/>
  <c r="N1319" i="14"/>
  <c r="N1327" i="14"/>
  <c r="N1335" i="14"/>
  <c r="N1344" i="14"/>
  <c r="N1352" i="14"/>
  <c r="N1360" i="14"/>
  <c r="N1368" i="14"/>
  <c r="N1376" i="14"/>
  <c r="N1384" i="14"/>
  <c r="N1392" i="14"/>
  <c r="N1400" i="14"/>
  <c r="N1409" i="14"/>
  <c r="N1417" i="14"/>
  <c r="N1425" i="14"/>
  <c r="N1434" i="14"/>
  <c r="N1442" i="14"/>
  <c r="N1451" i="14"/>
  <c r="N1459" i="14"/>
  <c r="N1467" i="14"/>
  <c r="N1476" i="14"/>
  <c r="N1484" i="14"/>
  <c r="N1493" i="14"/>
  <c r="N1501" i="14"/>
  <c r="N1510" i="14"/>
  <c r="N1518" i="14"/>
  <c r="N1526" i="14"/>
  <c r="N1535" i="14"/>
  <c r="N1543" i="14"/>
  <c r="N1552" i="14"/>
  <c r="N1560" i="14"/>
  <c r="N1569" i="14"/>
  <c r="N1577" i="14"/>
  <c r="N1586" i="14"/>
  <c r="N1594" i="14"/>
  <c r="N1603" i="14"/>
  <c r="N1611" i="14"/>
  <c r="N1620" i="14"/>
  <c r="N1628" i="14"/>
  <c r="N1637" i="14"/>
  <c r="N1645" i="14"/>
  <c r="N1654" i="14"/>
  <c r="N1662" i="14"/>
  <c r="N1670" i="14"/>
  <c r="N1679" i="14"/>
  <c r="N1687" i="14"/>
  <c r="N1696" i="14"/>
  <c r="N551" i="14"/>
  <c r="N583" i="14"/>
  <c r="N764" i="14"/>
  <c r="N829" i="14"/>
  <c r="N878" i="14"/>
  <c r="N911" i="14"/>
  <c r="N944" i="14"/>
  <c r="N976" i="14"/>
  <c r="N1008" i="14"/>
  <c r="N1041" i="14"/>
  <c r="N1066" i="14"/>
  <c r="N1089" i="14"/>
  <c r="N1107" i="14"/>
  <c r="N1123" i="14"/>
  <c r="N1139" i="14"/>
  <c r="N1155" i="14"/>
  <c r="N1172" i="14"/>
  <c r="N1187" i="14"/>
  <c r="N1198" i="14"/>
  <c r="N1208" i="14"/>
  <c r="N1217" i="14"/>
  <c r="N1227" i="14"/>
  <c r="N1236" i="14"/>
  <c r="N1246" i="14"/>
  <c r="N1255" i="14"/>
  <c r="N1263" i="14"/>
  <c r="N1272" i="14"/>
  <c r="N1280" i="14"/>
  <c r="N1289" i="14"/>
  <c r="N1297" i="14"/>
  <c r="N1305" i="14"/>
  <c r="N1313" i="14"/>
  <c r="N1321" i="14"/>
  <c r="N1329" i="14"/>
  <c r="N1337" i="14"/>
  <c r="N1346" i="14"/>
  <c r="N1354" i="14"/>
  <c r="N1362" i="14"/>
  <c r="N1370" i="14"/>
  <c r="N1378" i="14"/>
  <c r="N1386" i="14"/>
  <c r="N1394" i="14"/>
  <c r="N1402" i="14"/>
  <c r="N1411" i="14"/>
  <c r="N1419" i="14"/>
  <c r="N1427" i="14"/>
  <c r="N1436" i="14"/>
  <c r="N1444" i="14"/>
  <c r="N1453" i="14"/>
  <c r="N1461" i="14"/>
  <c r="N1469" i="14"/>
  <c r="N1478" i="14"/>
  <c r="N1486" i="14"/>
  <c r="N1495" i="14"/>
  <c r="N1503" i="14"/>
  <c r="N1512" i="14"/>
  <c r="N1520" i="14"/>
  <c r="N1528" i="14"/>
  <c r="N1537" i="14"/>
  <c r="N1546" i="14"/>
  <c r="N1554" i="14"/>
  <c r="N1562" i="14"/>
  <c r="N1571" i="14"/>
  <c r="N1579" i="14"/>
  <c r="N1588" i="14"/>
  <c r="N1596" i="14"/>
  <c r="N1605" i="14"/>
  <c r="N1613" i="14"/>
  <c r="N1622" i="14"/>
  <c r="N1630" i="14"/>
  <c r="N1639" i="14"/>
  <c r="N1647" i="14"/>
  <c r="N1656" i="14"/>
  <c r="N1664" i="14"/>
  <c r="N1672" i="14"/>
  <c r="N1681" i="14"/>
  <c r="N1689" i="14"/>
  <c r="N1698" i="14"/>
  <c r="N1706" i="14"/>
  <c r="N1715" i="14"/>
  <c r="N1723" i="14"/>
  <c r="N1732" i="14"/>
  <c r="N1740" i="14"/>
  <c r="N1749" i="14"/>
  <c r="N1758" i="14"/>
  <c r="N612" i="14"/>
  <c r="N772" i="14"/>
  <c r="N837" i="14"/>
  <c r="N885" i="14"/>
  <c r="N918" i="14"/>
  <c r="N951" i="14"/>
  <c r="N983" i="14"/>
  <c r="N1016" i="14"/>
  <c r="N1048" i="14"/>
  <c r="N1071" i="14"/>
  <c r="N1090" i="14"/>
  <c r="N1108" i="14"/>
  <c r="N1124" i="14"/>
  <c r="N1140" i="14"/>
  <c r="N1156" i="14"/>
  <c r="N1173" i="14"/>
  <c r="N1188" i="14"/>
  <c r="N1200" i="14"/>
  <c r="N1209" i="14"/>
  <c r="N1218" i="14"/>
  <c r="N1228" i="14"/>
  <c r="N1237" i="14"/>
  <c r="N1247" i="14"/>
  <c r="N1256" i="14"/>
  <c r="N1264" i="14"/>
  <c r="N1273" i="14"/>
  <c r="N1282" i="14"/>
  <c r="N1290" i="14"/>
  <c r="N1298" i="14"/>
  <c r="N1306" i="14"/>
  <c r="N1314" i="14"/>
  <c r="N1322" i="14"/>
  <c r="N1330" i="14"/>
  <c r="N1338" i="14"/>
  <c r="N1347" i="14"/>
  <c r="N1355" i="14"/>
  <c r="N1363" i="14"/>
  <c r="N1371" i="14"/>
  <c r="N1379" i="14"/>
  <c r="N1387" i="14"/>
  <c r="N1395" i="14"/>
  <c r="N1403" i="14"/>
  <c r="N1412" i="14"/>
  <c r="N1420" i="14"/>
  <c r="N1428" i="14"/>
  <c r="N1437" i="14"/>
  <c r="N1445" i="14"/>
  <c r="N1454" i="14"/>
  <c r="N1462" i="14"/>
  <c r="N1470" i="14"/>
  <c r="N1479" i="14"/>
  <c r="N1487" i="14"/>
  <c r="N1496" i="14"/>
  <c r="N1504" i="14"/>
  <c r="N1513" i="14"/>
  <c r="N1521" i="14"/>
  <c r="N1530" i="14"/>
  <c r="N1538" i="14"/>
  <c r="N1547" i="14"/>
  <c r="N1555" i="14"/>
  <c r="N1563" i="14"/>
  <c r="N1572" i="14"/>
  <c r="N1580" i="14"/>
  <c r="N1589" i="14"/>
  <c r="N1598" i="14"/>
  <c r="N1606" i="14"/>
  <c r="N1614" i="14"/>
  <c r="N1623" i="14"/>
  <c r="N1631" i="14"/>
  <c r="N1640" i="14"/>
  <c r="N1648" i="14"/>
  <c r="N1657" i="14"/>
  <c r="N1665" i="14"/>
  <c r="N1673" i="14"/>
  <c r="N631" i="14"/>
  <c r="N714" i="14"/>
  <c r="N781" i="14"/>
  <c r="N845" i="14"/>
  <c r="N886" i="14"/>
  <c r="N952" i="14"/>
  <c r="N984" i="14"/>
  <c r="N1017" i="14"/>
  <c r="N1049" i="14"/>
  <c r="N1073" i="14"/>
  <c r="N1095" i="14"/>
  <c r="N1112" i="14"/>
  <c r="N1128" i="14"/>
  <c r="N1144" i="14"/>
  <c r="N1160" i="14"/>
  <c r="N1177" i="14"/>
  <c r="N1189" i="14"/>
  <c r="N1201" i="14"/>
  <c r="N1210" i="14"/>
  <c r="N1219" i="14"/>
  <c r="N1229" i="14"/>
  <c r="N1238" i="14"/>
  <c r="N1248" i="14"/>
  <c r="N1257" i="14"/>
  <c r="N1266" i="14"/>
  <c r="N1274" i="14"/>
  <c r="N1283" i="14"/>
  <c r="N1291" i="14"/>
  <c r="N1299" i="14"/>
  <c r="N1307" i="14"/>
  <c r="N1315" i="14"/>
  <c r="N1323" i="14"/>
  <c r="N1331" i="14"/>
  <c r="N1339" i="14"/>
  <c r="N1348" i="14"/>
  <c r="N1356" i="14"/>
  <c r="N1364" i="14"/>
  <c r="N1372" i="14"/>
  <c r="N1380" i="14"/>
  <c r="N1388" i="14"/>
  <c r="N1396" i="14"/>
  <c r="N1404" i="14"/>
  <c r="N1413" i="14"/>
  <c r="N1421" i="14"/>
  <c r="N1429" i="14"/>
  <c r="N1438" i="14"/>
  <c r="N1446" i="14"/>
  <c r="N1455" i="14"/>
  <c r="N1463" i="14"/>
  <c r="N1471" i="14"/>
  <c r="N1480" i="14"/>
  <c r="N1488" i="14"/>
  <c r="N1497" i="14"/>
  <c r="N1506" i="14"/>
  <c r="N1514" i="14"/>
  <c r="N1522" i="14"/>
  <c r="N1531" i="14"/>
  <c r="N1539" i="14"/>
  <c r="N1548" i="14"/>
  <c r="N1556" i="14"/>
  <c r="N1564" i="14"/>
  <c r="N644" i="14"/>
  <c r="N722" i="14"/>
  <c r="N789" i="14"/>
  <c r="N853" i="14"/>
  <c r="N893" i="14"/>
  <c r="N927" i="14"/>
  <c r="N959" i="14"/>
  <c r="N991" i="14"/>
  <c r="N1024" i="14"/>
  <c r="N1054" i="14"/>
  <c r="N1074" i="14"/>
  <c r="N1097" i="14"/>
  <c r="N1114" i="14"/>
  <c r="N1130" i="14"/>
  <c r="N1146" i="14"/>
  <c r="N1162" i="14"/>
  <c r="N1179" i="14"/>
  <c r="N1191" i="14"/>
  <c r="N1202" i="14"/>
  <c r="N1211" i="14"/>
  <c r="N1220" i="14"/>
  <c r="N1230" i="14"/>
  <c r="N1239" i="14"/>
  <c r="N1250" i="14"/>
  <c r="N1258" i="14"/>
  <c r="N1267" i="14"/>
  <c r="N1275" i="14"/>
  <c r="N1284" i="14"/>
  <c r="N1292" i="14"/>
  <c r="N1300" i="14"/>
  <c r="N1308" i="14"/>
  <c r="N1316" i="14"/>
  <c r="N1324" i="14"/>
  <c r="N1332" i="14"/>
  <c r="N1340" i="14"/>
  <c r="N1349" i="14"/>
  <c r="N1357" i="14"/>
  <c r="N1365" i="14"/>
  <c r="N1373" i="14"/>
  <c r="N1381" i="14"/>
  <c r="N1389" i="14"/>
  <c r="N1397" i="14"/>
  <c r="N1406" i="14"/>
  <c r="N1414" i="14"/>
  <c r="N1422" i="14"/>
  <c r="N1430" i="14"/>
  <c r="N1439" i="14"/>
  <c r="N1447" i="14"/>
  <c r="N1456" i="14"/>
  <c r="N1464" i="14"/>
  <c r="N1472" i="14"/>
  <c r="N1481" i="14"/>
  <c r="N1490" i="14"/>
  <c r="N1498" i="14"/>
  <c r="N1507" i="14"/>
  <c r="N1515" i="14"/>
  <c r="N1523" i="14"/>
  <c r="N1532" i="14"/>
  <c r="N1540" i="14"/>
  <c r="N1549" i="14"/>
  <c r="N1557" i="14"/>
  <c r="N1566" i="14"/>
  <c r="N1574" i="14"/>
  <c r="N1583" i="14"/>
  <c r="N1591" i="14"/>
  <c r="N1600" i="14"/>
  <c r="N1608" i="14"/>
  <c r="N1616" i="14"/>
  <c r="N1625" i="14"/>
  <c r="N1634" i="14"/>
  <c r="N1642" i="14"/>
  <c r="N1651" i="14"/>
  <c r="N378" i="14"/>
  <c r="N658" i="14"/>
  <c r="N730" i="14"/>
  <c r="N797" i="14"/>
  <c r="N861" i="14"/>
  <c r="N894" i="14"/>
  <c r="N928" i="14"/>
  <c r="N960" i="14"/>
  <c r="N992" i="14"/>
  <c r="N1025" i="14"/>
  <c r="N1056" i="14"/>
  <c r="N1079" i="14"/>
  <c r="N1098" i="14"/>
  <c r="N1115" i="14"/>
  <c r="N1131" i="14"/>
  <c r="N1147" i="14"/>
  <c r="N1163" i="14"/>
  <c r="N1180" i="14"/>
  <c r="N1192" i="14"/>
  <c r="N1203" i="14"/>
  <c r="N1212" i="14"/>
  <c r="N1222" i="14"/>
  <c r="N1231" i="14"/>
  <c r="N1241" i="14"/>
  <c r="N1251" i="14"/>
  <c r="N1259" i="14"/>
  <c r="N1268" i="14"/>
  <c r="N1276" i="14"/>
  <c r="N1285" i="14"/>
  <c r="N1293" i="14"/>
  <c r="N1301" i="14"/>
  <c r="N1309" i="14"/>
  <c r="N1317" i="14"/>
  <c r="N1325" i="14"/>
  <c r="N1333" i="14"/>
  <c r="N1342" i="14"/>
  <c r="N1350" i="14"/>
  <c r="N1358" i="14"/>
  <c r="N1366" i="14"/>
  <c r="N1374" i="14"/>
  <c r="N1382" i="14"/>
  <c r="N1390" i="14"/>
  <c r="N1398" i="14"/>
  <c r="N1407" i="14"/>
  <c r="N1415" i="14"/>
  <c r="N1423" i="14"/>
  <c r="N1431" i="14"/>
  <c r="N1440" i="14"/>
  <c r="N1448" i="14"/>
  <c r="N1457" i="14"/>
  <c r="N1465" i="14"/>
  <c r="N1474" i="14"/>
  <c r="N1482" i="14"/>
  <c r="N1491" i="14"/>
  <c r="N1499" i="14"/>
  <c r="N1508" i="14"/>
  <c r="N1516" i="14"/>
  <c r="N1524" i="14"/>
  <c r="N1533" i="14"/>
  <c r="N1541" i="14"/>
  <c r="N1550" i="14"/>
  <c r="N1558" i="14"/>
  <c r="N1567" i="14"/>
  <c r="N1575" i="14"/>
  <c r="N1584" i="14"/>
  <c r="N1592" i="14"/>
  <c r="N1601" i="14"/>
  <c r="N1609" i="14"/>
  <c r="N1618" i="14"/>
  <c r="N1626" i="14"/>
  <c r="N1635" i="14"/>
  <c r="N386" i="14"/>
  <c r="N450" i="14"/>
  <c r="N514" i="14"/>
  <c r="N586" i="14"/>
  <c r="N615" i="14"/>
  <c r="N647" i="14"/>
  <c r="N682" i="14"/>
  <c r="N690" i="14"/>
  <c r="N699" i="14"/>
  <c r="N715" i="14"/>
  <c r="N723" i="14"/>
  <c r="N740" i="14"/>
  <c r="N748" i="14"/>
  <c r="N756" i="14"/>
  <c r="N765" i="14"/>
  <c r="N773" i="14"/>
  <c r="N782" i="14"/>
  <c r="N790" i="14"/>
  <c r="N798" i="14"/>
  <c r="N806" i="14"/>
  <c r="N814" i="14"/>
  <c r="N822" i="14"/>
  <c r="N830" i="14"/>
  <c r="N838" i="14"/>
  <c r="N846" i="14"/>
  <c r="N854" i="14"/>
  <c r="N862" i="14"/>
  <c r="N871" i="14"/>
  <c r="N879" i="14"/>
  <c r="N887" i="14"/>
  <c r="N895" i="14"/>
  <c r="N912" i="14"/>
  <c r="N920" i="14"/>
  <c r="N929" i="14"/>
  <c r="N937" i="14"/>
  <c r="N945" i="14"/>
  <c r="N953" i="14"/>
  <c r="N961" i="14"/>
  <c r="N969" i="14"/>
  <c r="N977" i="14"/>
  <c r="N985" i="14"/>
  <c r="N993" i="14"/>
  <c r="N1001" i="14"/>
  <c r="N1009" i="14"/>
  <c r="N1018" i="14"/>
  <c r="N1026" i="14"/>
  <c r="N1034" i="14"/>
  <c r="N1042" i="14"/>
  <c r="N1050" i="14"/>
  <c r="N1059" i="14"/>
  <c r="N1067" i="14"/>
  <c r="N1075" i="14"/>
  <c r="N1083" i="14"/>
  <c r="N1091" i="14"/>
  <c r="N394" i="14"/>
  <c r="N458" i="14"/>
  <c r="N522" i="14"/>
  <c r="N559" i="14"/>
  <c r="N591" i="14"/>
  <c r="N618" i="14"/>
  <c r="N649" i="14"/>
  <c r="N660" i="14"/>
  <c r="N673" i="14"/>
  <c r="N683" i="14"/>
  <c r="N691" i="14"/>
  <c r="N700" i="14"/>
  <c r="N708" i="14"/>
  <c r="N716" i="14"/>
  <c r="N724" i="14"/>
  <c r="N732" i="14"/>
  <c r="N741" i="14"/>
  <c r="N749" i="14"/>
  <c r="N757" i="14"/>
  <c r="N766" i="14"/>
  <c r="N774" i="14"/>
  <c r="N783" i="14"/>
  <c r="N791" i="14"/>
  <c r="N799" i="14"/>
  <c r="N807" i="14"/>
  <c r="N815" i="14"/>
  <c r="N823" i="14"/>
  <c r="N831" i="14"/>
  <c r="N839" i="14"/>
  <c r="N847" i="14"/>
  <c r="N855" i="14"/>
  <c r="N872" i="14"/>
  <c r="N880" i="14"/>
  <c r="N888" i="14"/>
  <c r="N896" i="14"/>
  <c r="N904" i="14"/>
  <c r="N913" i="14"/>
  <c r="N938" i="14"/>
  <c r="N946" i="14"/>
  <c r="N954" i="14"/>
  <c r="N962" i="14"/>
  <c r="N970" i="14"/>
  <c r="N978" i="14"/>
  <c r="N986" i="14"/>
  <c r="N994" i="14"/>
  <c r="N1002" i="14"/>
  <c r="N1010" i="14"/>
  <c r="N1019" i="14"/>
  <c r="N1027" i="14"/>
  <c r="N1035" i="14"/>
  <c r="N1043" i="14"/>
  <c r="N1051" i="14"/>
  <c r="N1060" i="14"/>
  <c r="N1068" i="14"/>
  <c r="N1076" i="14"/>
  <c r="N1084" i="14"/>
  <c r="N1092" i="14"/>
  <c r="N1100" i="14"/>
  <c r="N1109" i="14"/>
  <c r="N1117" i="14"/>
  <c r="N1125" i="14"/>
  <c r="N1133" i="14"/>
  <c r="N1141" i="14"/>
  <c r="N1149" i="14"/>
  <c r="N1157" i="14"/>
  <c r="N1166" i="14"/>
  <c r="N1174" i="14"/>
  <c r="N1182" i="14"/>
  <c r="N1190" i="14"/>
  <c r="N1199" i="14"/>
  <c r="N1207" i="14"/>
  <c r="N1215" i="14"/>
  <c r="N1224" i="14"/>
  <c r="N1232" i="14"/>
  <c r="N1240" i="14"/>
  <c r="N1249" i="14"/>
  <c r="N402" i="14"/>
  <c r="N466" i="14"/>
  <c r="N530" i="14"/>
  <c r="N562" i="14"/>
  <c r="N594" i="14"/>
  <c r="N620" i="14"/>
  <c r="N636" i="14"/>
  <c r="N650" i="14"/>
  <c r="N663" i="14"/>
  <c r="N674" i="14"/>
  <c r="N684" i="14"/>
  <c r="N692" i="14"/>
  <c r="N701" i="14"/>
  <c r="N709" i="14"/>
  <c r="N717" i="14"/>
  <c r="N725" i="14"/>
  <c r="N750" i="14"/>
  <c r="N758" i="14"/>
  <c r="N767" i="14"/>
  <c r="N784" i="14"/>
  <c r="N792" i="14"/>
  <c r="N800" i="14"/>
  <c r="N808" i="14"/>
  <c r="N816" i="14"/>
  <c r="N824" i="14"/>
  <c r="N832" i="14"/>
  <c r="N840" i="14"/>
  <c r="N848" i="14"/>
  <c r="N856" i="14"/>
  <c r="N864" i="14"/>
  <c r="N873" i="14"/>
  <c r="N881" i="14"/>
  <c r="N889" i="14"/>
  <c r="N897" i="14"/>
  <c r="N923" i="14"/>
  <c r="N939" i="14"/>
  <c r="N947" i="14"/>
  <c r="N955" i="14"/>
  <c r="N963" i="14"/>
  <c r="N971" i="14"/>
  <c r="N979" i="14"/>
  <c r="N987" i="14"/>
  <c r="N995" i="14"/>
  <c r="N1003" i="14"/>
  <c r="N1020" i="14"/>
  <c r="N1028" i="14"/>
  <c r="N1036" i="14"/>
  <c r="N1044" i="14"/>
  <c r="N1052" i="14"/>
  <c r="N1061" i="14"/>
  <c r="N1069" i="14"/>
  <c r="N1077" i="14"/>
  <c r="N1085" i="14"/>
  <c r="N1093" i="14"/>
  <c r="N1102" i="14"/>
  <c r="N1110" i="14"/>
  <c r="N1118" i="14"/>
  <c r="N1126" i="14"/>
  <c r="N1134" i="14"/>
  <c r="N1142" i="14"/>
  <c r="N1150" i="14"/>
  <c r="N1158" i="14"/>
  <c r="N1167" i="14"/>
  <c r="N1175" i="14"/>
  <c r="N1183" i="14"/>
  <c r="N410" i="14"/>
  <c r="N474" i="14"/>
  <c r="N535" i="14"/>
  <c r="N567" i="14"/>
  <c r="N599" i="14"/>
  <c r="N639" i="14"/>
  <c r="N651" i="14"/>
  <c r="N665" i="14"/>
  <c r="N675" i="14"/>
  <c r="N685" i="14"/>
  <c r="N693" i="14"/>
  <c r="N702" i="14"/>
  <c r="N710" i="14"/>
  <c r="N718" i="14"/>
  <c r="N726" i="14"/>
  <c r="N735" i="14"/>
  <c r="N751" i="14"/>
  <c r="N768" i="14"/>
  <c r="N776" i="14"/>
  <c r="N785" i="14"/>
  <c r="N793" i="14"/>
  <c r="N801" i="14"/>
  <c r="N809" i="14"/>
  <c r="N817" i="14"/>
  <c r="N825" i="14"/>
  <c r="N833" i="14"/>
  <c r="N841" i="14"/>
  <c r="N849" i="14"/>
  <c r="N857" i="14"/>
  <c r="N882" i="14"/>
  <c r="N890" i="14"/>
  <c r="N898" i="14"/>
  <c r="N907" i="14"/>
  <c r="N924" i="14"/>
  <c r="N932" i="14"/>
  <c r="N940" i="14"/>
  <c r="N948" i="14"/>
  <c r="N956" i="14"/>
  <c r="N964" i="14"/>
  <c r="N972" i="14"/>
  <c r="N980" i="14"/>
  <c r="N988" i="14"/>
  <c r="N996" i="14"/>
  <c r="N1004" i="14"/>
  <c r="N1012" i="14"/>
  <c r="N1021" i="14"/>
  <c r="N1029" i="14"/>
  <c r="N1037" i="14"/>
  <c r="N1045" i="14"/>
  <c r="N1053" i="14"/>
  <c r="N1062" i="14"/>
  <c r="N1070" i="14"/>
  <c r="N1078" i="14"/>
  <c r="N1086" i="14"/>
  <c r="N1094" i="14"/>
  <c r="N1103" i="14"/>
  <c r="N1111" i="14"/>
  <c r="N1119" i="14"/>
  <c r="N1127" i="14"/>
  <c r="N1135" i="14"/>
  <c r="N1143" i="14"/>
  <c r="N1151" i="14"/>
  <c r="N1159" i="14"/>
  <c r="N1168" i="14"/>
  <c r="N1176" i="14"/>
  <c r="N354" i="14"/>
  <c r="N418" i="14"/>
  <c r="N482" i="14"/>
  <c r="N538" i="14"/>
  <c r="N570" i="14"/>
  <c r="N602" i="14"/>
  <c r="N641" i="14"/>
  <c r="N652" i="14"/>
  <c r="N666" i="14"/>
  <c r="N676" i="14"/>
  <c r="N686" i="14"/>
  <c r="N694" i="14"/>
  <c r="N703" i="14"/>
  <c r="N711" i="14"/>
  <c r="N719" i="14"/>
  <c r="N727" i="14"/>
  <c r="N736" i="14"/>
  <c r="N744" i="14"/>
  <c r="N752" i="14"/>
  <c r="N760" i="14"/>
  <c r="N769" i="14"/>
  <c r="N794" i="14"/>
  <c r="N802" i="14"/>
  <c r="N810" i="14"/>
  <c r="N818" i="14"/>
  <c r="N826" i="14"/>
  <c r="N834" i="14"/>
  <c r="N842" i="14"/>
  <c r="N850" i="14"/>
  <c r="N858" i="14"/>
  <c r="N867" i="14"/>
  <c r="N883" i="14"/>
  <c r="N891" i="14"/>
  <c r="N899" i="14"/>
  <c r="N908" i="14"/>
  <c r="N916" i="14"/>
  <c r="N925" i="14"/>
  <c r="N933" i="14"/>
  <c r="N941" i="14"/>
  <c r="N949" i="14"/>
  <c r="N957" i="14"/>
  <c r="N965" i="14"/>
  <c r="N973" i="14"/>
  <c r="N981" i="14"/>
  <c r="N989" i="14"/>
  <c r="N997" i="14"/>
  <c r="N1005" i="14"/>
  <c r="N1030" i="14"/>
  <c r="N1038" i="14"/>
  <c r="N1046" i="14"/>
  <c r="N362" i="14"/>
  <c r="N426" i="14"/>
  <c r="N490" i="14"/>
  <c r="N575" i="14"/>
  <c r="N607" i="14"/>
  <c r="N627" i="14"/>
  <c r="N642" i="14"/>
  <c r="N655" i="14"/>
  <c r="N667" i="14"/>
  <c r="N678" i="14"/>
  <c r="N687" i="14"/>
  <c r="N704" i="14"/>
  <c r="N712" i="14"/>
  <c r="N720" i="14"/>
  <c r="N728" i="14"/>
  <c r="N737" i="14"/>
  <c r="N745" i="14"/>
  <c r="N753" i="14"/>
  <c r="N779" i="14"/>
  <c r="N795" i="14"/>
  <c r="N803" i="14"/>
  <c r="N811" i="14"/>
  <c r="N819" i="14"/>
  <c r="N827" i="14"/>
  <c r="N835" i="14"/>
  <c r="N843" i="14"/>
  <c r="N851" i="14"/>
  <c r="N859" i="14"/>
  <c r="N868" i="14"/>
  <c r="N876" i="14"/>
  <c r="N884" i="14"/>
  <c r="N892" i="14"/>
  <c r="N900" i="14"/>
  <c r="N909" i="14"/>
  <c r="N917" i="14"/>
  <c r="N926" i="14"/>
  <c r="N934" i="14"/>
  <c r="N942" i="14"/>
  <c r="N950" i="14"/>
  <c r="N958" i="14"/>
  <c r="N966" i="14"/>
  <c r="N974" i="14"/>
  <c r="N982" i="14"/>
  <c r="N990" i="14"/>
  <c r="N998" i="14"/>
  <c r="N1006" i="14"/>
  <c r="N1015" i="14"/>
  <c r="N1031" i="14"/>
  <c r="N1039" i="14"/>
  <c r="N1047" i="14"/>
  <c r="N1055" i="14"/>
  <c r="N1064" i="14"/>
  <c r="N1072" i="14"/>
  <c r="N1080" i="14"/>
  <c r="N1088" i="14"/>
  <c r="N1096" i="14"/>
  <c r="N1105" i="14"/>
  <c r="N1113" i="14"/>
  <c r="N1121" i="14"/>
  <c r="N1129" i="14"/>
  <c r="N1137" i="14"/>
  <c r="N1145" i="14"/>
  <c r="N1153" i="14"/>
  <c r="N1161" i="14"/>
  <c r="N1170" i="14"/>
  <c r="N1178" i="14"/>
  <c r="N1186" i="14"/>
  <c r="N1195" i="14"/>
  <c r="N370" i="14"/>
  <c r="N434" i="14"/>
  <c r="N498" i="14"/>
  <c r="N578" i="14"/>
  <c r="N610" i="14"/>
  <c r="N628" i="14"/>
  <c r="N643" i="14"/>
  <c r="N657" i="14"/>
  <c r="N668" i="14"/>
  <c r="N679" i="14"/>
  <c r="N688" i="14"/>
  <c r="N696" i="14"/>
  <c r="N705" i="14"/>
  <c r="N713" i="14"/>
  <c r="N721" i="14"/>
  <c r="N729" i="14"/>
  <c r="N738" i="14"/>
  <c r="N746" i="14"/>
  <c r="N754" i="14"/>
  <c r="N763" i="14"/>
  <c r="N780" i="14"/>
  <c r="N788" i="14"/>
  <c r="N796" i="14"/>
  <c r="N804" i="14"/>
  <c r="N812" i="14"/>
  <c r="N820" i="14"/>
  <c r="N828" i="14"/>
  <c r="N836" i="14"/>
  <c r="N844" i="14"/>
  <c r="N852" i="14"/>
  <c r="N860" i="14"/>
  <c r="N355" i="14"/>
  <c r="N363" i="14"/>
  <c r="N371" i="14"/>
  <c r="N379" i="14"/>
  <c r="N387" i="14"/>
  <c r="N395" i="14"/>
  <c r="N403" i="14"/>
  <c r="N411" i="14"/>
  <c r="N419" i="14"/>
  <c r="N427" i="14"/>
  <c r="N435" i="14"/>
  <c r="N443" i="14"/>
  <c r="N451" i="14"/>
  <c r="N459" i="14"/>
  <c r="N467" i="14"/>
  <c r="N475" i="14"/>
  <c r="N483" i="14"/>
  <c r="N491" i="14"/>
  <c r="N499" i="14"/>
  <c r="N515" i="14"/>
  <c r="N523" i="14"/>
  <c r="N531" i="14"/>
  <c r="N539" i="14"/>
  <c r="N547" i="14"/>
  <c r="N563" i="14"/>
  <c r="N571" i="14"/>
  <c r="N579" i="14"/>
  <c r="N587" i="14"/>
  <c r="N595" i="14"/>
  <c r="N603" i="14"/>
  <c r="N611" i="14"/>
  <c r="N619" i="14"/>
  <c r="N348" i="14"/>
  <c r="N356" i="14"/>
  <c r="N364" i="14"/>
  <c r="N372" i="14"/>
  <c r="N380" i="14"/>
  <c r="N388" i="14"/>
  <c r="N396" i="14"/>
  <c r="N404" i="14"/>
  <c r="N412" i="14"/>
  <c r="N420" i="14"/>
  <c r="N428" i="14"/>
  <c r="N436" i="14"/>
  <c r="N444" i="14"/>
  <c r="N452" i="14"/>
  <c r="N460" i="14"/>
  <c r="N468" i="14"/>
  <c r="N476" i="14"/>
  <c r="N484" i="14"/>
  <c r="N492" i="14"/>
  <c r="N500" i="14"/>
  <c r="N508" i="14"/>
  <c r="N516" i="14"/>
  <c r="N524" i="14"/>
  <c r="N532" i="14"/>
  <c r="N540" i="14"/>
  <c r="N548" i="14"/>
  <c r="N556" i="14"/>
  <c r="N564" i="14"/>
  <c r="N572" i="14"/>
  <c r="N580" i="14"/>
  <c r="N588" i="14"/>
  <c r="N596" i="14"/>
  <c r="N604" i="14"/>
  <c r="N349" i="14"/>
  <c r="N357" i="14"/>
  <c r="N365" i="14"/>
  <c r="N373" i="14"/>
  <c r="N381" i="14"/>
  <c r="N389" i="14"/>
  <c r="N397" i="14"/>
  <c r="N405" i="14"/>
  <c r="N413" i="14"/>
  <c r="N421" i="14"/>
  <c r="N429" i="14"/>
  <c r="N437" i="14"/>
  <c r="N445" i="14"/>
  <c r="N453" i="14"/>
  <c r="N461" i="14"/>
  <c r="N469" i="14"/>
  <c r="N477" i="14"/>
  <c r="N485" i="14"/>
  <c r="N493" i="14"/>
  <c r="N501" i="14"/>
  <c r="N509" i="14"/>
  <c r="N517" i="14"/>
  <c r="N525" i="14"/>
  <c r="N533" i="14"/>
  <c r="N541" i="14"/>
  <c r="N549" i="14"/>
  <c r="N557" i="14"/>
  <c r="N565" i="14"/>
  <c r="N573" i="14"/>
  <c r="N581" i="14"/>
  <c r="N589" i="14"/>
  <c r="N597" i="14"/>
  <c r="N605" i="14"/>
  <c r="N613" i="14"/>
  <c r="N621" i="14"/>
  <c r="N629" i="14"/>
  <c r="N637" i="14"/>
  <c r="N645" i="14"/>
  <c r="N653" i="14"/>
  <c r="N661" i="14"/>
  <c r="N669" i="14"/>
  <c r="N677" i="14"/>
  <c r="N366" i="14"/>
  <c r="N374" i="14"/>
  <c r="N382" i="14"/>
  <c r="N390" i="14"/>
  <c r="N398" i="14"/>
  <c r="N406" i="14"/>
  <c r="N414" i="14"/>
  <c r="N422" i="14"/>
  <c r="N430" i="14"/>
  <c r="N438" i="14"/>
  <c r="N446" i="14"/>
  <c r="N454" i="14"/>
  <c r="N462" i="14"/>
  <c r="N470" i="14"/>
  <c r="N478" i="14"/>
  <c r="N486" i="14"/>
  <c r="N494" i="14"/>
  <c r="N502" i="14"/>
  <c r="N526" i="14"/>
  <c r="N534" i="14"/>
  <c r="N542" i="14"/>
  <c r="N550" i="14"/>
  <c r="N558" i="14"/>
  <c r="N566" i="14"/>
  <c r="N574" i="14"/>
  <c r="N582" i="14"/>
  <c r="N590" i="14"/>
  <c r="N598" i="14"/>
  <c r="N606" i="14"/>
  <c r="N614" i="14"/>
  <c r="N622" i="14"/>
  <c r="N630" i="14"/>
  <c r="N638" i="14"/>
  <c r="N646" i="14"/>
  <c r="N654" i="14"/>
  <c r="N351" i="14"/>
  <c r="N367" i="14"/>
  <c r="N375" i="14"/>
  <c r="N383" i="14"/>
  <c r="N391" i="14"/>
  <c r="N399" i="14"/>
  <c r="N407" i="14"/>
  <c r="N415" i="14"/>
  <c r="N423" i="14"/>
  <c r="N431" i="14"/>
  <c r="N439" i="14"/>
  <c r="N447" i="14"/>
  <c r="N455" i="14"/>
  <c r="N463" i="14"/>
  <c r="N471" i="14"/>
  <c r="N479" i="14"/>
  <c r="N487" i="14"/>
  <c r="N495" i="14"/>
  <c r="N503" i="14"/>
  <c r="N511" i="14"/>
  <c r="N527" i="14"/>
  <c r="N352" i="14"/>
  <c r="N360" i="14"/>
  <c r="N368" i="14"/>
  <c r="N376" i="14"/>
  <c r="N384" i="14"/>
  <c r="N392" i="14"/>
  <c r="N400" i="14"/>
  <c r="N408" i="14"/>
  <c r="N416" i="14"/>
  <c r="N424" i="14"/>
  <c r="N432" i="14"/>
  <c r="N440" i="14"/>
  <c r="N448" i="14"/>
  <c r="N456" i="14"/>
  <c r="N464" i="14"/>
  <c r="N472" i="14"/>
  <c r="N480" i="14"/>
  <c r="N488" i="14"/>
  <c r="N496" i="14"/>
  <c r="N504" i="14"/>
  <c r="N512" i="14"/>
  <c r="N520" i="14"/>
  <c r="N528" i="14"/>
  <c r="N536" i="14"/>
  <c r="N544" i="14"/>
  <c r="N552" i="14"/>
  <c r="N560" i="14"/>
  <c r="N568" i="14"/>
  <c r="N576" i="14"/>
  <c r="N584" i="14"/>
  <c r="N592" i="14"/>
  <c r="N600" i="14"/>
  <c r="N608" i="14"/>
  <c r="N616" i="14"/>
  <c r="N624" i="14"/>
  <c r="N632" i="14"/>
  <c r="N640" i="14"/>
  <c r="N648" i="14"/>
  <c r="N656" i="14"/>
  <c r="N664" i="14"/>
  <c r="N672" i="14"/>
  <c r="N680" i="14"/>
  <c r="N353" i="14"/>
  <c r="N361" i="14"/>
  <c r="N369" i="14"/>
  <c r="N377" i="14"/>
  <c r="N385" i="14"/>
  <c r="N393" i="14"/>
  <c r="N401" i="14"/>
  <c r="N409" i="14"/>
  <c r="N417" i="14"/>
  <c r="N425" i="14"/>
  <c r="N433" i="14"/>
  <c r="N441" i="14"/>
  <c r="N449" i="14"/>
  <c r="N457" i="14"/>
  <c r="N465" i="14"/>
  <c r="N473" i="14"/>
  <c r="N481" i="14"/>
  <c r="N489" i="14"/>
  <c r="N497" i="14"/>
  <c r="N505" i="14"/>
  <c r="N513" i="14"/>
  <c r="N521" i="14"/>
  <c r="N529" i="14"/>
  <c r="N537" i="14"/>
  <c r="N545" i="14"/>
  <c r="N553" i="14"/>
  <c r="N561" i="14"/>
  <c r="N569" i="14"/>
  <c r="N577" i="14"/>
  <c r="N585" i="14"/>
  <c r="N593" i="14"/>
  <c r="N601" i="14"/>
  <c r="N609" i="14"/>
  <c r="N617" i="14"/>
  <c r="N625" i="14"/>
  <c r="N633" i="14"/>
  <c r="K4878" i="14"/>
  <c r="V4878" i="14"/>
  <c r="K4830" i="14"/>
  <c r="V4830" i="14"/>
  <c r="V4814" i="14"/>
  <c r="K4814" i="14"/>
  <c r="L4734" i="14"/>
  <c r="M4734" i="14" s="1"/>
  <c r="K4766" i="14"/>
  <c r="V4766" i="14"/>
  <c r="K4782" i="14"/>
  <c r="V4782" i="14"/>
  <c r="K4677" i="14"/>
  <c r="L4677" i="14" s="1"/>
  <c r="L4675" i="14" s="1"/>
  <c r="K4670" i="14"/>
  <c r="L4670" i="14" s="1"/>
  <c r="V4670" i="14"/>
  <c r="V4661" i="14"/>
  <c r="K4606" i="14"/>
  <c r="L4606" i="14" s="1"/>
  <c r="V4606" i="14"/>
  <c r="K4622" i="14"/>
  <c r="V4622" i="14"/>
  <c r="K4574" i="14"/>
  <c r="V4574" i="14"/>
  <c r="V4558" i="14"/>
  <c r="K4558" i="14"/>
  <c r="K4430" i="14"/>
  <c r="V4430" i="14"/>
  <c r="V4446" i="14"/>
  <c r="K4446" i="14"/>
  <c r="Q2779" i="14"/>
  <c r="Q2631" i="14"/>
  <c r="Q2931" i="14"/>
  <c r="Q2939" i="14"/>
  <c r="Q2959" i="14"/>
  <c r="Q2783" i="14"/>
  <c r="Q2559" i="14"/>
  <c r="Q2935" i="14"/>
  <c r="Q2083" i="14"/>
  <c r="Q1519" i="14"/>
  <c r="Q1391" i="14"/>
  <c r="Q2351" i="14"/>
  <c r="Q2223" i="14"/>
  <c r="Q1787" i="14"/>
  <c r="Q2595" i="14"/>
  <c r="Q1559" i="14"/>
  <c r="Q1387" i="14"/>
  <c r="Q1159" i="14"/>
  <c r="Q1095" i="14"/>
  <c r="Q991" i="14"/>
  <c r="Q1823" i="14"/>
  <c r="Q1375" i="14"/>
  <c r="Q1963" i="14"/>
  <c r="Q2539" i="14"/>
  <c r="Q2347" i="14"/>
  <c r="Q2423" i="14"/>
  <c r="Q1367" i="14"/>
  <c r="Q1335" i="14"/>
  <c r="Q1207" i="14"/>
  <c r="Q1143" i="14"/>
  <c r="Q1039" i="14"/>
  <c r="Q975" i="14"/>
  <c r="Q847" i="14"/>
  <c r="Q1467" i="14"/>
  <c r="Q1383" i="14"/>
  <c r="Q1155" i="14"/>
  <c r="Q1091" i="14"/>
  <c r="Q1051" i="14"/>
  <c r="Q987" i="14"/>
  <c r="Q859" i="14"/>
  <c r="Q795" i="14"/>
  <c r="Q571" i="14"/>
  <c r="Q415" i="14"/>
  <c r="Q343" i="14"/>
  <c r="Q279" i="14"/>
  <c r="Q207" i="14"/>
  <c r="Q1611" i="14"/>
  <c r="Q1359" i="14"/>
  <c r="Q1327" i="14"/>
  <c r="Q1135" i="14"/>
  <c r="Q1031" i="14"/>
  <c r="Q967" i="14"/>
  <c r="Q839" i="14"/>
  <c r="Q679" i="14"/>
  <c r="Q615" i="14"/>
  <c r="Q487" i="14"/>
  <c r="Q1423" i="14"/>
  <c r="Q2343" i="14"/>
  <c r="Q2151" i="14"/>
  <c r="Q1319" i="14"/>
  <c r="Q1127" i="14"/>
  <c r="Q959" i="14"/>
  <c r="Q895" i="14"/>
  <c r="Q831" i="14"/>
  <c r="Q1363" i="14"/>
  <c r="Q1331" i="14"/>
  <c r="Q1139" i="14"/>
  <c r="Q1035" i="14"/>
  <c r="Q971" i="14"/>
  <c r="Q843" i="14"/>
  <c r="Q683" i="14"/>
  <c r="Q619" i="14"/>
  <c r="Q491" i="14"/>
  <c r="Q399" i="14"/>
  <c r="Q327" i="14"/>
  <c r="Q263" i="14"/>
  <c r="Q191" i="14"/>
  <c r="Q1419" i="14"/>
  <c r="Q1311" i="14"/>
  <c r="Q1183" i="14"/>
  <c r="Q1119" i="14"/>
  <c r="Q1079" i="14"/>
  <c r="Q951" i="14"/>
  <c r="Q887" i="14"/>
  <c r="Q823" i="14"/>
  <c r="Q727" i="14"/>
  <c r="Q599" i="14"/>
  <c r="Q535" i="14"/>
  <c r="Q471" i="14"/>
  <c r="Q443" i="14"/>
  <c r="Q379" i="14"/>
  <c r="Q307" i="14"/>
  <c r="Q243" i="14"/>
  <c r="Q171" i="14"/>
  <c r="Q107" i="14"/>
  <c r="Q43" i="14"/>
  <c r="Q2355" i="14"/>
  <c r="Q2291" i="14"/>
  <c r="Q1663" i="14"/>
  <c r="Q2047" i="14"/>
  <c r="Q2187" i="14"/>
  <c r="Q1667" i="14"/>
  <c r="Q1303" i="14"/>
  <c r="Q1239" i="14"/>
  <c r="Q1071" i="14"/>
  <c r="Q1007" i="14"/>
  <c r="Q943" i="14"/>
  <c r="Q879" i="14"/>
  <c r="Q815" i="14"/>
  <c r="Q751" i="14"/>
  <c r="Q1427" i="14"/>
  <c r="Q1315" i="14"/>
  <c r="Q1187" i="14"/>
  <c r="Q1123" i="14"/>
  <c r="Q1083" i="14"/>
  <c r="Q955" i="14"/>
  <c r="Q891" i="14"/>
  <c r="Q827" i="14"/>
  <c r="Q603" i="14"/>
  <c r="Q539" i="14"/>
  <c r="Q475" i="14"/>
  <c r="Q799" i="14"/>
  <c r="Q939" i="14"/>
  <c r="Q523" i="14"/>
  <c r="Q367" i="14"/>
  <c r="Q1379" i="14"/>
  <c r="Q1215" i="14"/>
  <c r="Q1087" i="14"/>
  <c r="Q1047" i="14"/>
  <c r="Q791" i="14"/>
  <c r="Q503" i="14"/>
  <c r="Q363" i="14"/>
  <c r="Q275" i="14"/>
  <c r="Q203" i="14"/>
  <c r="Q123" i="14"/>
  <c r="Q27" i="14"/>
  <c r="Q1671" i="14"/>
  <c r="Q1395" i="14"/>
  <c r="Q643" i="14"/>
  <c r="Q851" i="14"/>
  <c r="Q607" i="14"/>
  <c r="Q479" i="14"/>
  <c r="Q315" i="14"/>
  <c r="Q135" i="14"/>
  <c r="Q51" i="14"/>
  <c r="Q55" i="14"/>
  <c r="Q899" i="14"/>
  <c r="Q499" i="14"/>
  <c r="Q335" i="14"/>
  <c r="Q151" i="14"/>
  <c r="Q67" i="14"/>
  <c r="Q215" i="14"/>
  <c r="Q35" i="14"/>
  <c r="Q883" i="14"/>
  <c r="Q495" i="14"/>
  <c r="Q331" i="14"/>
  <c r="Q147" i="14"/>
  <c r="Q63" i="14"/>
  <c r="Q1299" i="14"/>
  <c r="Q715" i="14"/>
  <c r="Q459" i="14"/>
  <c r="Q311" i="14"/>
  <c r="Q1895" i="14"/>
  <c r="Q1295" i="14"/>
  <c r="Q999" i="14"/>
  <c r="Q711" i="14"/>
  <c r="Q583" i="14"/>
  <c r="Q455" i="14"/>
  <c r="Q427" i="14"/>
  <c r="Q339" i="14"/>
  <c r="Q259" i="14"/>
  <c r="Q187" i="14"/>
  <c r="Q91" i="14"/>
  <c r="Q11" i="14"/>
  <c r="Q1371" i="14"/>
  <c r="Q1211" i="14"/>
  <c r="Q1147" i="14"/>
  <c r="Q611" i="14"/>
  <c r="Q483" i="14"/>
  <c r="Q319" i="14"/>
  <c r="Q1043" i="14"/>
  <c r="Q575" i="14"/>
  <c r="Q447" i="14"/>
  <c r="Q419" i="14"/>
  <c r="Q283" i="14"/>
  <c r="Q211" i="14"/>
  <c r="Q115" i="14"/>
  <c r="Q31" i="14"/>
  <c r="Q183" i="14"/>
  <c r="Q15" i="14"/>
  <c r="Q835" i="14"/>
  <c r="Q723" i="14"/>
  <c r="Q595" i="14"/>
  <c r="Q467" i="14"/>
  <c r="Q439" i="14"/>
  <c r="Q303" i="14"/>
  <c r="Q231" i="14"/>
  <c r="Q131" i="14"/>
  <c r="Q47" i="14"/>
  <c r="Q163" i="14"/>
  <c r="Q1075" i="14"/>
  <c r="Q819" i="14"/>
  <c r="Q719" i="14"/>
  <c r="Q591" i="14"/>
  <c r="Q463" i="14"/>
  <c r="Q435" i="14"/>
  <c r="Q299" i="14"/>
  <c r="Q227" i="14"/>
  <c r="Q127" i="14"/>
  <c r="Q39" i="14"/>
  <c r="Q1235" i="14"/>
  <c r="Q811" i="14"/>
  <c r="Q651" i="14"/>
  <c r="Q431" i="14"/>
  <c r="Q295" i="14"/>
  <c r="Q223" i="14"/>
  <c r="Q1463" i="14"/>
  <c r="Q1151" i="14"/>
  <c r="Q983" i="14"/>
  <c r="Q855" i="14"/>
  <c r="Q567" i="14"/>
  <c r="Q411" i="14"/>
  <c r="Q323" i="14"/>
  <c r="Q155" i="14"/>
  <c r="Q75" i="14"/>
  <c r="Q1523" i="14"/>
  <c r="Q1355" i="14"/>
  <c r="Q1323" i="14"/>
  <c r="Q1259" i="14"/>
  <c r="Q1131" i="14"/>
  <c r="Q803" i="14"/>
  <c r="Q579" i="14"/>
  <c r="Q451" i="14"/>
  <c r="Q423" i="14"/>
  <c r="Q287" i="14"/>
  <c r="Q979" i="14"/>
  <c r="Q387" i="14"/>
  <c r="Q251" i="14"/>
  <c r="Q179" i="14"/>
  <c r="Q95" i="14"/>
  <c r="Q7" i="14"/>
  <c r="Q143" i="14"/>
  <c r="Q1027" i="14"/>
  <c r="Q691" i="14"/>
  <c r="Q563" i="14"/>
  <c r="Q407" i="14"/>
  <c r="Q271" i="14"/>
  <c r="Q199" i="14"/>
  <c r="Q111" i="14"/>
  <c r="Q23" i="14"/>
  <c r="Q119" i="14"/>
  <c r="Q755" i="14"/>
  <c r="Q687" i="14"/>
  <c r="Q559" i="14"/>
  <c r="Q403" i="14"/>
  <c r="Q267" i="14"/>
  <c r="Q195" i="14"/>
  <c r="Q103" i="14"/>
  <c r="Q19" i="14"/>
  <c r="Q1003" i="14"/>
  <c r="Q747" i="14"/>
  <c r="Q587" i="14"/>
  <c r="Q383" i="14"/>
  <c r="Q247" i="14"/>
  <c r="Q1399" i="14"/>
  <c r="Q935" i="14"/>
  <c r="Q807" i="14"/>
  <c r="Q647" i="14"/>
  <c r="Q395" i="14"/>
  <c r="Q291" i="14"/>
  <c r="Q219" i="14"/>
  <c r="Q139" i="14"/>
  <c r="Q59" i="14"/>
  <c r="Q1891" i="14"/>
  <c r="Q1307" i="14"/>
  <c r="Q1179" i="14"/>
  <c r="Q1115" i="14"/>
  <c r="Q995" i="14"/>
  <c r="Q675" i="14"/>
  <c r="Q391" i="14"/>
  <c r="Q255" i="14"/>
  <c r="Q639" i="14"/>
  <c r="Q159" i="14"/>
  <c r="Q71" i="14"/>
  <c r="Q99" i="14"/>
  <c r="Q963" i="14"/>
  <c r="Q531" i="14"/>
  <c r="Q375" i="14"/>
  <c r="Q239" i="14"/>
  <c r="Q175" i="14"/>
  <c r="Q87" i="14"/>
  <c r="Q79" i="14"/>
  <c r="Q947" i="14"/>
  <c r="Q655" i="14"/>
  <c r="Q527" i="14"/>
  <c r="Q371" i="14"/>
  <c r="Q235" i="14"/>
  <c r="Q167" i="14"/>
  <c r="Q83" i="14"/>
  <c r="J1372" i="14"/>
  <c r="V1372" i="14" s="1"/>
  <c r="V780" i="14"/>
  <c r="V764" i="14"/>
  <c r="V1600" i="14"/>
  <c r="J561" i="14"/>
  <c r="V561" i="14" s="1"/>
  <c r="K4398" i="14"/>
  <c r="V4398" i="14"/>
  <c r="V4405" i="14"/>
  <c r="V4389" i="14"/>
  <c r="K4414" i="14"/>
  <c r="K4318" i="14"/>
  <c r="K4334" i="14"/>
  <c r="K4302" i="14"/>
  <c r="K4366" i="14"/>
  <c r="K4350" i="14"/>
  <c r="K4382" i="14"/>
  <c r="V786" i="14"/>
  <c r="K2026" i="14"/>
  <c r="K2098" i="14"/>
  <c r="K884" i="14"/>
  <c r="K2182" i="14"/>
  <c r="K1400" i="14"/>
  <c r="K1137" i="14"/>
  <c r="K1734" i="14"/>
  <c r="K2286" i="14"/>
  <c r="K1333" i="14"/>
  <c r="K212" i="14"/>
  <c r="K2218" i="14"/>
  <c r="K852" i="14"/>
  <c r="K725" i="14"/>
  <c r="K141" i="14"/>
  <c r="K1148" i="14"/>
  <c r="K620" i="14"/>
  <c r="K838" i="14"/>
  <c r="K1260" i="14"/>
  <c r="K85" i="14"/>
  <c r="K309" i="14"/>
  <c r="K25" i="14"/>
  <c r="K153" i="14"/>
  <c r="K281" i="14"/>
  <c r="K424" i="14"/>
  <c r="K614" i="14"/>
  <c r="K941" i="14"/>
  <c r="K1218" i="14"/>
  <c r="K2344" i="14"/>
  <c r="K2454" i="14"/>
  <c r="K3278" i="14"/>
  <c r="K12" i="14"/>
  <c r="K76" i="14"/>
  <c r="K140" i="14"/>
  <c r="K204" i="14"/>
  <c r="K268" i="14"/>
  <c r="K332" i="14"/>
  <c r="K585" i="14"/>
  <c r="K706" i="14"/>
  <c r="K898" i="14"/>
  <c r="K992" i="14"/>
  <c r="K1117" i="14"/>
  <c r="K1242" i="14"/>
  <c r="K1429" i="14"/>
  <c r="K2050" i="14"/>
  <c r="K2470" i="14"/>
  <c r="K3150" i="14"/>
  <c r="K3934" i="14"/>
  <c r="K1142" i="14"/>
  <c r="K1312" i="14"/>
  <c r="K1665" i="14"/>
  <c r="K2130" i="14"/>
  <c r="K2554" i="14"/>
  <c r="K3038" i="14"/>
  <c r="K3822" i="14"/>
  <c r="K26" i="14"/>
  <c r="K90" i="14"/>
  <c r="K154" i="14"/>
  <c r="K218" i="14"/>
  <c r="K282" i="14"/>
  <c r="K346" i="14"/>
  <c r="K425" i="14"/>
  <c r="K489" i="14"/>
  <c r="K677" i="14"/>
  <c r="K817" i="14"/>
  <c r="K896" i="14"/>
  <c r="K990" i="14"/>
  <c r="K1084" i="14"/>
  <c r="K1301" i="14"/>
  <c r="K1380" i="14"/>
  <c r="K1670" i="14"/>
  <c r="K2154" i="14"/>
  <c r="K2710" i="14"/>
  <c r="K4190" i="14"/>
  <c r="K444" i="14"/>
  <c r="K402" i="14"/>
  <c r="K560" i="14"/>
  <c r="K810" i="14"/>
  <c r="K1144" i="14"/>
  <c r="K812" i="14"/>
  <c r="K1318" i="14"/>
  <c r="K406" i="14"/>
  <c r="K564" i="14"/>
  <c r="K814" i="14"/>
  <c r="K1152" i="14"/>
  <c r="K37" i="14"/>
  <c r="K269" i="14"/>
  <c r="K562" i="14"/>
  <c r="K97" i="14"/>
  <c r="K225" i="14"/>
  <c r="K368" i="14"/>
  <c r="K496" i="14"/>
  <c r="K684" i="14"/>
  <c r="K949" i="14"/>
  <c r="K1290" i="14"/>
  <c r="K2518" i="14"/>
  <c r="K2938" i="14"/>
  <c r="K3598" i="14"/>
  <c r="K32" i="14"/>
  <c r="K96" i="14"/>
  <c r="K160" i="14"/>
  <c r="K224" i="14"/>
  <c r="K288" i="14"/>
  <c r="K526" i="14"/>
  <c r="K605" i="14"/>
  <c r="K730" i="14"/>
  <c r="K964" i="14"/>
  <c r="K1090" i="14"/>
  <c r="K1184" i="14"/>
  <c r="K1386" i="14"/>
  <c r="K1702" i="14"/>
  <c r="K2322" i="14"/>
  <c r="K2780" i="14"/>
  <c r="K3486" i="14"/>
  <c r="K1052" i="14"/>
  <c r="K1162" i="14"/>
  <c r="K1332" i="14"/>
  <c r="K1669" i="14"/>
  <c r="K2270" i="14"/>
  <c r="K2694" i="14"/>
  <c r="K3182" i="14"/>
  <c r="K4142" i="14"/>
  <c r="K46" i="14"/>
  <c r="K110" i="14"/>
  <c r="K174" i="14"/>
  <c r="K238" i="14"/>
  <c r="K302" i="14"/>
  <c r="K381" i="14"/>
  <c r="K445" i="14"/>
  <c r="K524" i="14"/>
  <c r="K712" i="14"/>
  <c r="K821" i="14"/>
  <c r="K900" i="14"/>
  <c r="K994" i="14"/>
  <c r="K1088" i="14"/>
  <c r="K1321" i="14"/>
  <c r="K1674" i="14"/>
  <c r="K2188" i="14"/>
  <c r="K2774" i="14"/>
  <c r="K3454" i="14"/>
  <c r="K802" i="14"/>
  <c r="K460" i="14"/>
  <c r="K410" i="14"/>
  <c r="K568" i="14"/>
  <c r="K818" i="14"/>
  <c r="K1160" i="14"/>
  <c r="K253" i="14"/>
  <c r="K969" i="14"/>
  <c r="K1428" i="14"/>
  <c r="K446" i="14"/>
  <c r="K604" i="14"/>
  <c r="K854" i="14"/>
  <c r="K1401" i="14"/>
  <c r="K117" i="14"/>
  <c r="K341" i="14"/>
  <c r="K657" i="14"/>
  <c r="K105" i="14"/>
  <c r="K233" i="14"/>
  <c r="K376" i="14"/>
  <c r="K504" i="14"/>
  <c r="K692" i="14"/>
  <c r="K957" i="14"/>
  <c r="K1310" i="14"/>
  <c r="K2632" i="14"/>
  <c r="K3134" i="14"/>
  <c r="K3918" i="14"/>
  <c r="K52" i="14"/>
  <c r="K116" i="14"/>
  <c r="K180" i="14"/>
  <c r="K244" i="14"/>
  <c r="K308" i="14"/>
  <c r="K640" i="14"/>
  <c r="K890" i="14"/>
  <c r="K984" i="14"/>
  <c r="K1125" i="14"/>
  <c r="K1230" i="14"/>
  <c r="K1421" i="14"/>
  <c r="K1978" i="14"/>
  <c r="K2402" i="14"/>
  <c r="K3022" i="14"/>
  <c r="K3806" i="14"/>
  <c r="K1134" i="14"/>
  <c r="K1254" i="14"/>
  <c r="K1430" i="14"/>
  <c r="K1824" i="14"/>
  <c r="K2354" i="14"/>
  <c r="K2894" i="14"/>
  <c r="K3694" i="14"/>
  <c r="K18" i="14"/>
  <c r="K82" i="14"/>
  <c r="K146" i="14"/>
  <c r="K210" i="14"/>
  <c r="K274" i="14"/>
  <c r="K338" i="14"/>
  <c r="K417" i="14"/>
  <c r="K481" i="14"/>
  <c r="K654" i="14"/>
  <c r="K809" i="14"/>
  <c r="K888" i="14"/>
  <c r="K982" i="14"/>
  <c r="K1076" i="14"/>
  <c r="K1274" i="14"/>
  <c r="K1658" i="14"/>
  <c r="K2086" i="14"/>
  <c r="K2782" i="14"/>
  <c r="K3262" i="14"/>
  <c r="K4270" i="14"/>
  <c r="K428" i="14"/>
  <c r="K796" i="14"/>
  <c r="K458" i="14"/>
  <c r="K616" i="14"/>
  <c r="K77" i="14"/>
  <c r="K570" i="14"/>
  <c r="K386" i="14"/>
  <c r="K529" i="14"/>
  <c r="K794" i="14"/>
  <c r="K1202" i="14"/>
  <c r="K2238" i="14"/>
  <c r="K945" i="14"/>
  <c r="K1241" i="14"/>
  <c r="K422" i="14"/>
  <c r="K580" i="14"/>
  <c r="K798" i="14"/>
  <c r="K1120" i="14"/>
  <c r="K1826" i="14"/>
  <c r="K189" i="14"/>
  <c r="K436" i="14"/>
  <c r="K49" i="14"/>
  <c r="K177" i="14"/>
  <c r="K305" i="14"/>
  <c r="K448" i="14"/>
  <c r="K653" i="14"/>
  <c r="K914" i="14"/>
  <c r="K1420" i="14"/>
  <c r="K2348" i="14"/>
  <c r="K3172" i="14"/>
  <c r="K3982" i="14"/>
  <c r="K56" i="14"/>
  <c r="K120" i="14"/>
  <c r="K184" i="14"/>
  <c r="K248" i="14"/>
  <c r="K312" i="14"/>
  <c r="K565" i="14"/>
  <c r="K644" i="14"/>
  <c r="K894" i="14"/>
  <c r="K988" i="14"/>
  <c r="K1129" i="14"/>
  <c r="K1362" i="14"/>
  <c r="K1482" i="14"/>
  <c r="K2042" i="14"/>
  <c r="K2425" i="14"/>
  <c r="K3086" i="14"/>
  <c r="K3870" i="14"/>
  <c r="M3870" i="14" s="1"/>
  <c r="K1138" i="14"/>
  <c r="K1262" i="14"/>
  <c r="K1464" i="14"/>
  <c r="K1854" i="14"/>
  <c r="K2338" i="14"/>
  <c r="K2932" i="14"/>
  <c r="K3502" i="14"/>
  <c r="K1036" i="14"/>
  <c r="K70" i="14"/>
  <c r="K134" i="14"/>
  <c r="K198" i="14"/>
  <c r="K262" i="14"/>
  <c r="K326" i="14"/>
  <c r="K405" i="14"/>
  <c r="K469" i="14"/>
  <c r="K642" i="14"/>
  <c r="K797" i="14"/>
  <c r="K861" i="14"/>
  <c r="K970" i="14"/>
  <c r="K1049" i="14"/>
  <c r="K1236" i="14"/>
  <c r="K1360" i="14"/>
  <c r="K1560" i="14"/>
  <c r="K2146" i="14"/>
  <c r="K2937" i="14"/>
  <c r="K3582" i="14"/>
  <c r="K1128" i="14"/>
  <c r="K1894" i="14"/>
  <c r="K860" i="14"/>
  <c r="K2049" i="14"/>
  <c r="K462" i="14"/>
  <c r="V627" i="14"/>
  <c r="K881" i="14"/>
  <c r="K1361" i="14"/>
  <c r="K213" i="14"/>
  <c r="K953" i="14"/>
  <c r="K1302" i="14"/>
  <c r="K366" i="14"/>
  <c r="K494" i="14"/>
  <c r="K682" i="14"/>
  <c r="K885" i="14"/>
  <c r="K1369" i="14"/>
  <c r="K149" i="14"/>
  <c r="K388" i="14"/>
  <c r="K57" i="14"/>
  <c r="K185" i="14"/>
  <c r="K313" i="14"/>
  <c r="K456" i="14"/>
  <c r="K676" i="14"/>
  <c r="K973" i="14"/>
  <c r="K1357" i="14"/>
  <c r="K2590" i="14"/>
  <c r="K2934" i="14"/>
  <c r="K3534" i="14"/>
  <c r="K28" i="14"/>
  <c r="K92" i="14"/>
  <c r="K156" i="14"/>
  <c r="K220" i="14"/>
  <c r="K284" i="14"/>
  <c r="K518" i="14"/>
  <c r="K601" i="14"/>
  <c r="K726" i="14"/>
  <c r="K944" i="14"/>
  <c r="K1008" i="14"/>
  <c r="K1133" i="14"/>
  <c r="K1366" i="14"/>
  <c r="K1520" i="14"/>
  <c r="K2742" i="14"/>
  <c r="K3185" i="14"/>
  <c r="K4238" i="14"/>
  <c r="K1158" i="14"/>
  <c r="K1328" i="14"/>
  <c r="K1782" i="14"/>
  <c r="K2225" i="14"/>
  <c r="K2634" i="14"/>
  <c r="K3178" i="14"/>
  <c r="K4078" i="14"/>
  <c r="K42" i="14"/>
  <c r="K106" i="14"/>
  <c r="K170" i="14"/>
  <c r="K234" i="14"/>
  <c r="K298" i="14"/>
  <c r="K377" i="14"/>
  <c r="K441" i="14"/>
  <c r="K505" i="14"/>
  <c r="K693" i="14"/>
  <c r="K833" i="14"/>
  <c r="K942" i="14"/>
  <c r="K1006" i="14"/>
  <c r="K1174" i="14"/>
  <c r="K1317" i="14"/>
  <c r="K1396" i="14"/>
  <c r="K1802" i="14"/>
  <c r="K2846" i="14"/>
  <c r="K3390" i="14"/>
  <c r="K45" i="14"/>
  <c r="K602" i="14"/>
  <c r="K434" i="14"/>
  <c r="K592" i="14"/>
  <c r="K842" i="14"/>
  <c r="K1298" i="14"/>
  <c r="K157" i="14"/>
  <c r="K961" i="14"/>
  <c r="K1397" i="14"/>
  <c r="K438" i="14"/>
  <c r="K596" i="14"/>
  <c r="K846" i="14"/>
  <c r="K1306" i="14"/>
  <c r="K101" i="14"/>
  <c r="K325" i="14"/>
  <c r="K641" i="14"/>
  <c r="K129" i="14"/>
  <c r="K257" i="14"/>
  <c r="K400" i="14"/>
  <c r="K554" i="14"/>
  <c r="K742" i="14"/>
  <c r="K981" i="14"/>
  <c r="K1373" i="14"/>
  <c r="K2598" i="14"/>
  <c r="K3070" i="14"/>
  <c r="K3854" i="14"/>
  <c r="K48" i="14"/>
  <c r="K112" i="14"/>
  <c r="K176" i="14"/>
  <c r="K240" i="14"/>
  <c r="K304" i="14"/>
  <c r="K542" i="14"/>
  <c r="K621" i="14"/>
  <c r="K886" i="14"/>
  <c r="K980" i="14"/>
  <c r="K1121" i="14"/>
  <c r="K1261" i="14"/>
  <c r="K1402" i="14"/>
  <c r="K1838" i="14"/>
  <c r="K2357" i="14"/>
  <c r="K2962" i="14"/>
  <c r="K3742" i="14"/>
  <c r="K1110" i="14"/>
  <c r="K1208" i="14"/>
  <c r="K1426" i="14"/>
  <c r="K1790" i="14"/>
  <c r="K2350" i="14"/>
  <c r="K2830" i="14"/>
  <c r="K3374" i="14"/>
  <c r="K1009" i="14"/>
  <c r="K62" i="14"/>
  <c r="K126" i="14"/>
  <c r="K190" i="14"/>
  <c r="K254" i="14"/>
  <c r="K318" i="14"/>
  <c r="K397" i="14"/>
  <c r="K461" i="14"/>
  <c r="K540" i="14"/>
  <c r="K728" i="14"/>
  <c r="K837" i="14"/>
  <c r="K946" i="14"/>
  <c r="K1010" i="14"/>
  <c r="K1182" i="14"/>
  <c r="K1337" i="14"/>
  <c r="K1442" i="14"/>
  <c r="K1825" i="14"/>
  <c r="K2294" i="14"/>
  <c r="K2910" i="14"/>
  <c r="K3710" i="14"/>
  <c r="K61" i="14"/>
  <c r="K618" i="14"/>
  <c r="K442" i="14"/>
  <c r="K600" i="14"/>
  <c r="K850" i="14"/>
  <c r="K1314" i="14"/>
  <c r="K688" i="14"/>
  <c r="K1116" i="14"/>
  <c r="K1818" i="14"/>
  <c r="K478" i="14"/>
  <c r="K713" i="14"/>
  <c r="K901" i="14"/>
  <c r="K1686" i="14"/>
  <c r="K181" i="14"/>
  <c r="K420" i="14"/>
  <c r="K9" i="14"/>
  <c r="K137" i="14"/>
  <c r="K265" i="14"/>
  <c r="K408" i="14"/>
  <c r="K566" i="14"/>
  <c r="K754" i="14"/>
  <c r="K989" i="14"/>
  <c r="K1389" i="14"/>
  <c r="K2386" i="14"/>
  <c r="K3184" i="14"/>
  <c r="K4222" i="14"/>
  <c r="K68" i="14"/>
  <c r="K132" i="14"/>
  <c r="K196" i="14"/>
  <c r="K260" i="14"/>
  <c r="K324" i="14"/>
  <c r="K577" i="14"/>
  <c r="K656" i="14"/>
  <c r="K936" i="14"/>
  <c r="K1000" i="14"/>
  <c r="K1141" i="14"/>
  <c r="K1358" i="14"/>
  <c r="K1554" i="14"/>
  <c r="K2114" i="14"/>
  <c r="K2542" i="14"/>
  <c r="K3177" i="14"/>
  <c r="K4062" i="14"/>
  <c r="K1150" i="14"/>
  <c r="K1304" i="14"/>
  <c r="K1521" i="14"/>
  <c r="K1926" i="14"/>
  <c r="K2486" i="14"/>
  <c r="K3166" i="14"/>
  <c r="K3950" i="14"/>
  <c r="K34" i="14"/>
  <c r="K98" i="14"/>
  <c r="K162" i="14"/>
  <c r="K226" i="14"/>
  <c r="K290" i="14"/>
  <c r="K369" i="14"/>
  <c r="K433" i="14"/>
  <c r="K497" i="14"/>
  <c r="K685" i="14"/>
  <c r="K825" i="14"/>
  <c r="K930" i="14"/>
  <c r="K998" i="14"/>
  <c r="K1092" i="14"/>
  <c r="K1309" i="14"/>
  <c r="K1388" i="14"/>
  <c r="K2933" i="14"/>
  <c r="K3518" i="14"/>
  <c r="K29" i="14"/>
  <c r="K492" i="14"/>
  <c r="K358" i="14"/>
  <c r="K490" i="14"/>
  <c r="K678" i="14"/>
  <c r="K333" i="14"/>
  <c r="K649" i="14"/>
  <c r="K418" i="14"/>
  <c r="K576" i="14"/>
  <c r="K826" i="14"/>
  <c r="K1330" i="14"/>
  <c r="K197" i="14"/>
  <c r="K977" i="14"/>
  <c r="K1365" i="14"/>
  <c r="K454" i="14"/>
  <c r="K612" i="14"/>
  <c r="K830" i="14"/>
  <c r="K1214" i="14"/>
  <c r="K2306" i="14"/>
  <c r="K245" i="14"/>
  <c r="K500" i="14"/>
  <c r="K81" i="14"/>
  <c r="K209" i="14"/>
  <c r="K337" i="14"/>
  <c r="K480" i="14"/>
  <c r="K792" i="14"/>
  <c r="K965" i="14"/>
  <c r="K1750" i="14"/>
  <c r="K2424" i="14"/>
  <c r="K3214" i="14"/>
  <c r="K8" i="14"/>
  <c r="K72" i="14"/>
  <c r="K136" i="14"/>
  <c r="K200" i="14"/>
  <c r="K264" i="14"/>
  <c r="K328" i="14"/>
  <c r="K581" i="14"/>
  <c r="K722" i="14"/>
  <c r="K940" i="14"/>
  <c r="K1004" i="14"/>
  <c r="K1145" i="14"/>
  <c r="K1378" i="14"/>
  <c r="K1562" i="14"/>
  <c r="K2152" i="14"/>
  <c r="K2561" i="14"/>
  <c r="K3181" i="14"/>
  <c r="K4126" i="14"/>
  <c r="K1154" i="14"/>
  <c r="K1308" i="14"/>
  <c r="K1525" i="14"/>
  <c r="K1964" i="14"/>
  <c r="K2358" i="14"/>
  <c r="K2974" i="14"/>
  <c r="K3758" i="14"/>
  <c r="K22" i="14"/>
  <c r="K86" i="14"/>
  <c r="K150" i="14"/>
  <c r="K214" i="14"/>
  <c r="K278" i="14"/>
  <c r="K342" i="14"/>
  <c r="K421" i="14"/>
  <c r="K485" i="14"/>
  <c r="K658" i="14"/>
  <c r="K813" i="14"/>
  <c r="K892" i="14"/>
  <c r="K986" i="14"/>
  <c r="K1080" i="14"/>
  <c r="K1297" i="14"/>
  <c r="K1376" i="14"/>
  <c r="K1666" i="14"/>
  <c r="K2226" i="14"/>
  <c r="K3054" i="14"/>
  <c r="K3838" i="14"/>
  <c r="K758" i="14"/>
  <c r="J2559" i="14"/>
  <c r="J2423" i="14"/>
  <c r="J2347" i="14"/>
  <c r="V2347" i="14" s="1"/>
  <c r="J1787" i="14"/>
  <c r="V1787" i="14" s="1"/>
  <c r="J1423" i="14"/>
  <c r="J1159" i="14"/>
  <c r="J1143" i="14"/>
  <c r="J1127" i="14"/>
  <c r="J751" i="14"/>
  <c r="J611" i="14"/>
  <c r="V611" i="14" s="1"/>
  <c r="J595" i="14"/>
  <c r="J579" i="14"/>
  <c r="V579" i="14" s="1"/>
  <c r="J563" i="14"/>
  <c r="V563" i="14" s="1"/>
  <c r="J2539" i="14"/>
  <c r="V2539" i="14" s="1"/>
  <c r="J1387" i="14"/>
  <c r="J1371" i="14"/>
  <c r="V1371" i="14" s="1"/>
  <c r="J1355" i="14"/>
  <c r="V1355" i="14" s="1"/>
  <c r="J1091" i="14"/>
  <c r="J1075" i="14"/>
  <c r="J2939" i="14"/>
  <c r="J1895" i="14"/>
  <c r="J1331" i="14"/>
  <c r="V1331" i="14" s="1"/>
  <c r="J1315" i="14"/>
  <c r="V1315" i="14" s="1"/>
  <c r="J1299" i="14"/>
  <c r="J1207" i="14"/>
  <c r="V1207" i="14" s="1"/>
  <c r="J1051" i="14"/>
  <c r="V1051" i="14" s="1"/>
  <c r="J1035" i="14"/>
  <c r="J847" i="14"/>
  <c r="V847" i="14" s="1"/>
  <c r="J831" i="14"/>
  <c r="J815" i="14"/>
  <c r="V815" i="14" s="1"/>
  <c r="J799" i="14"/>
  <c r="J691" i="14"/>
  <c r="V691" i="14" s="1"/>
  <c r="J675" i="14"/>
  <c r="J503" i="14"/>
  <c r="V503" i="14" s="1"/>
  <c r="J487" i="14"/>
  <c r="J471" i="14"/>
  <c r="V471" i="14" s="1"/>
  <c r="J455" i="14"/>
  <c r="J439" i="14"/>
  <c r="J423" i="14"/>
  <c r="J407" i="14"/>
  <c r="J391" i="14"/>
  <c r="V391" i="14" s="1"/>
  <c r="J375" i="14"/>
  <c r="V375" i="14" s="1"/>
  <c r="J2223" i="14"/>
  <c r="V2223" i="14" s="1"/>
  <c r="J1187" i="14"/>
  <c r="J999" i="14"/>
  <c r="J715" i="14"/>
  <c r="V715" i="14" s="1"/>
  <c r="J527" i="14"/>
  <c r="J127" i="14"/>
  <c r="V127" i="14" s="1"/>
  <c r="J95" i="14"/>
  <c r="V95" i="14" s="1"/>
  <c r="J63" i="14"/>
  <c r="V63" i="14" s="1"/>
  <c r="J15" i="14"/>
  <c r="V15" i="14" s="1"/>
  <c r="J971" i="14"/>
  <c r="V971" i="14" s="1"/>
  <c r="J939" i="14"/>
  <c r="J343" i="14"/>
  <c r="V343" i="14" s="1"/>
  <c r="J311" i="14"/>
  <c r="J279" i="14"/>
  <c r="J247" i="14"/>
  <c r="V247" i="14" s="1"/>
  <c r="J215" i="14"/>
  <c r="V215" i="14" s="1"/>
  <c r="J183" i="14"/>
  <c r="V183" i="14" s="1"/>
  <c r="J151" i="14"/>
  <c r="J1519" i="14"/>
  <c r="J727" i="14"/>
  <c r="V727" i="14" s="1"/>
  <c r="J1003" i="14"/>
  <c r="V1003" i="14" s="1"/>
  <c r="J967" i="14"/>
  <c r="J935" i="14"/>
  <c r="V935" i="14" s="1"/>
  <c r="J655" i="14"/>
  <c r="V655" i="14" s="1"/>
  <c r="J339" i="14"/>
  <c r="V339" i="14" s="1"/>
  <c r="J307" i="14"/>
  <c r="V307" i="14" s="1"/>
  <c r="J275" i="14"/>
  <c r="V275" i="14" s="1"/>
  <c r="J243" i="14"/>
  <c r="J211" i="14"/>
  <c r="V211" i="14" s="1"/>
  <c r="J179" i="14"/>
  <c r="V179" i="14" s="1"/>
  <c r="J147" i="14"/>
  <c r="V147" i="14" s="1"/>
  <c r="J115" i="14"/>
  <c r="V115" i="14" s="1"/>
  <c r="J83" i="14"/>
  <c r="J51" i="14"/>
  <c r="V51" i="14" s="1"/>
  <c r="J19" i="14"/>
  <c r="V19" i="14" s="1"/>
  <c r="V7" i="14"/>
  <c r="J315" i="14"/>
  <c r="V315" i="14" s="1"/>
  <c r="J283" i="14"/>
  <c r="V283" i="14" s="1"/>
  <c r="J251" i="14"/>
  <c r="V251" i="14" s="1"/>
  <c r="J2631" i="14"/>
  <c r="J2343" i="14"/>
  <c r="J1419" i="14"/>
  <c r="J1155" i="14"/>
  <c r="J1139" i="14"/>
  <c r="V1139" i="14" s="1"/>
  <c r="J1123" i="14"/>
  <c r="J747" i="14"/>
  <c r="J607" i="14"/>
  <c r="J591" i="14"/>
  <c r="V591" i="14" s="1"/>
  <c r="J575" i="14"/>
  <c r="V575" i="14" s="1"/>
  <c r="J559" i="14"/>
  <c r="V559" i="14" s="1"/>
  <c r="J2959" i="14"/>
  <c r="V2959" i="14" s="1"/>
  <c r="J2187" i="14"/>
  <c r="V2187" i="14" s="1"/>
  <c r="J1399" i="14"/>
  <c r="V1399" i="14" s="1"/>
  <c r="J1383" i="14"/>
  <c r="V1383" i="14" s="1"/>
  <c r="J1367" i="14"/>
  <c r="J1087" i="14"/>
  <c r="J1071" i="14"/>
  <c r="J2935" i="14"/>
  <c r="V2935" i="14" s="1"/>
  <c r="J1891" i="14"/>
  <c r="J1467" i="14"/>
  <c r="J1327" i="14"/>
  <c r="V1327" i="14" s="1"/>
  <c r="J1311" i="14"/>
  <c r="J1295" i="14"/>
  <c r="J1047" i="14"/>
  <c r="J1031" i="14"/>
  <c r="J859" i="14"/>
  <c r="V859" i="14" s="1"/>
  <c r="J843" i="14"/>
  <c r="J827" i="14"/>
  <c r="J811" i="14"/>
  <c r="V811" i="14" s="1"/>
  <c r="J795" i="14"/>
  <c r="J687" i="14"/>
  <c r="V687" i="14" s="1"/>
  <c r="J499" i="14"/>
  <c r="J483" i="14"/>
  <c r="J467" i="14"/>
  <c r="J451" i="14"/>
  <c r="J435" i="14"/>
  <c r="V435" i="14" s="1"/>
  <c r="J419" i="14"/>
  <c r="J403" i="14"/>
  <c r="J387" i="14"/>
  <c r="V387" i="14" s="1"/>
  <c r="J371" i="14"/>
  <c r="V371" i="14" s="1"/>
  <c r="J2783" i="14"/>
  <c r="J1663" i="14"/>
  <c r="J895" i="14"/>
  <c r="V895" i="14" s="1"/>
  <c r="J119" i="14"/>
  <c r="V119" i="14" s="1"/>
  <c r="J87" i="14"/>
  <c r="V87" i="14" s="1"/>
  <c r="J55" i="14"/>
  <c r="V55" i="14" s="1"/>
  <c r="J1183" i="14"/>
  <c r="J995" i="14"/>
  <c r="V995" i="14" s="1"/>
  <c r="J963" i="14"/>
  <c r="J651" i="14"/>
  <c r="V651" i="14" s="1"/>
  <c r="J335" i="14"/>
  <c r="V335" i="14" s="1"/>
  <c r="J303" i="14"/>
  <c r="V303" i="14" s="1"/>
  <c r="J271" i="14"/>
  <c r="V271" i="14" s="1"/>
  <c r="J239" i="14"/>
  <c r="V239" i="14" s="1"/>
  <c r="J207" i="14"/>
  <c r="J175" i="14"/>
  <c r="V175" i="14" s="1"/>
  <c r="J2291" i="14"/>
  <c r="J1007" i="14"/>
  <c r="V1007" i="14" s="1"/>
  <c r="J2151" i="14"/>
  <c r="J1667" i="14"/>
  <c r="J991" i="14"/>
  <c r="V991" i="14" s="1"/>
  <c r="J959" i="14"/>
  <c r="V959" i="14" s="1"/>
  <c r="J647" i="14"/>
  <c r="V647" i="14" s="1"/>
  <c r="J331" i="14"/>
  <c r="V331" i="14" s="1"/>
  <c r="J299" i="14"/>
  <c r="V299" i="14" s="1"/>
  <c r="J267" i="14"/>
  <c r="J235" i="14"/>
  <c r="J203" i="14"/>
  <c r="V203" i="14" s="1"/>
  <c r="J171" i="14"/>
  <c r="V171" i="14" s="1"/>
  <c r="J139" i="14"/>
  <c r="V139" i="14" s="1"/>
  <c r="J107" i="14"/>
  <c r="V107" i="14" s="1"/>
  <c r="J75" i="14"/>
  <c r="V75" i="14" s="1"/>
  <c r="J43" i="14"/>
  <c r="J11" i="14"/>
  <c r="V11" i="14" s="1"/>
  <c r="J899" i="14"/>
  <c r="V899" i="14" s="1"/>
  <c r="J719" i="14"/>
  <c r="V719" i="14" s="1"/>
  <c r="J539" i="14"/>
  <c r="J943" i="14"/>
  <c r="V943" i="14" s="1"/>
  <c r="J2355" i="14"/>
  <c r="V2355" i="14" s="1"/>
  <c r="J1259" i="14"/>
  <c r="V1259" i="14" s="1"/>
  <c r="J1151" i="14"/>
  <c r="J1135" i="14"/>
  <c r="V1135" i="14" s="1"/>
  <c r="J1119" i="14"/>
  <c r="V1119" i="14" s="1"/>
  <c r="J619" i="14"/>
  <c r="J603" i="14"/>
  <c r="J587" i="14"/>
  <c r="J571" i="14"/>
  <c r="J2047" i="14"/>
  <c r="J1395" i="14"/>
  <c r="V1395" i="14" s="1"/>
  <c r="J1379" i="14"/>
  <c r="J1363" i="14"/>
  <c r="J1239" i="14"/>
  <c r="V1239" i="14" s="1"/>
  <c r="J1083" i="14"/>
  <c r="J2931" i="14"/>
  <c r="V2931" i="14" s="1"/>
  <c r="J1963" i="14"/>
  <c r="J1463" i="14"/>
  <c r="V1463" i="14" s="1"/>
  <c r="J1323" i="14"/>
  <c r="V1323" i="14" s="1"/>
  <c r="J1307" i="14"/>
  <c r="J1215" i="14"/>
  <c r="V1215" i="14" s="1"/>
  <c r="J1043" i="14"/>
  <c r="V1043" i="14" s="1"/>
  <c r="J1027" i="14"/>
  <c r="V1027" i="14" s="1"/>
  <c r="J855" i="14"/>
  <c r="J839" i="14"/>
  <c r="V839" i="14" s="1"/>
  <c r="J823" i="14"/>
  <c r="J807" i="14"/>
  <c r="J791" i="14"/>
  <c r="J683" i="14"/>
  <c r="V683" i="14" s="1"/>
  <c r="J495" i="14"/>
  <c r="V495" i="14" s="1"/>
  <c r="J479" i="14"/>
  <c r="J463" i="14"/>
  <c r="J447" i="14"/>
  <c r="V447" i="14" s="1"/>
  <c r="J431" i="14"/>
  <c r="V431" i="14" s="1"/>
  <c r="J415" i="14"/>
  <c r="V415" i="14" s="1"/>
  <c r="J399" i="14"/>
  <c r="V399" i="14" s="1"/>
  <c r="J383" i="14"/>
  <c r="V383" i="14" s="1"/>
  <c r="J367" i="14"/>
  <c r="J2779" i="14"/>
  <c r="V2779" i="14" s="1"/>
  <c r="J887" i="14"/>
  <c r="V887" i="14" s="1"/>
  <c r="J143" i="14"/>
  <c r="V143" i="14" s="1"/>
  <c r="J111" i="14"/>
  <c r="V111" i="14" s="1"/>
  <c r="J79" i="14"/>
  <c r="V79" i="14" s="1"/>
  <c r="J47" i="14"/>
  <c r="V47" i="14" s="1"/>
  <c r="J2083" i="14"/>
  <c r="J987" i="14"/>
  <c r="J955" i="14"/>
  <c r="V955" i="14" s="1"/>
  <c r="J643" i="14"/>
  <c r="V643" i="14" s="1"/>
  <c r="J327" i="14"/>
  <c r="V327" i="14" s="1"/>
  <c r="J295" i="14"/>
  <c r="J263" i="14"/>
  <c r="V263" i="14" s="1"/>
  <c r="J231" i="14"/>
  <c r="V231" i="14" s="1"/>
  <c r="J199" i="14"/>
  <c r="V199" i="14" s="1"/>
  <c r="J167" i="14"/>
  <c r="V167" i="14" s="1"/>
  <c r="J1671" i="14"/>
  <c r="J1179" i="14"/>
  <c r="J891" i="14"/>
  <c r="J983" i="14"/>
  <c r="V983" i="14" s="1"/>
  <c r="J951" i="14"/>
  <c r="J639" i="14"/>
  <c r="V639" i="14" s="1"/>
  <c r="J323" i="14"/>
  <c r="V323" i="14" s="1"/>
  <c r="J291" i="14"/>
  <c r="V291" i="14" s="1"/>
  <c r="J259" i="14"/>
  <c r="V259" i="14" s="1"/>
  <c r="J227" i="14"/>
  <c r="V227" i="14" s="1"/>
  <c r="J195" i="14"/>
  <c r="V195" i="14" s="1"/>
  <c r="J163" i="14"/>
  <c r="J131" i="14"/>
  <c r="V131" i="14" s="1"/>
  <c r="J99" i="14"/>
  <c r="V99" i="14" s="1"/>
  <c r="J67" i="14"/>
  <c r="J35" i="14"/>
  <c r="V35" i="14" s="1"/>
  <c r="J39" i="14"/>
  <c r="V39" i="14" s="1"/>
  <c r="J883" i="14"/>
  <c r="V883" i="14" s="1"/>
  <c r="J711" i="14"/>
  <c r="V711" i="14" s="1"/>
  <c r="J523" i="14"/>
  <c r="J2351" i="14"/>
  <c r="J1427" i="14"/>
  <c r="J1147" i="14"/>
  <c r="J1131" i="14"/>
  <c r="V1131" i="14" s="1"/>
  <c r="J1115" i="14"/>
  <c r="J755" i="14"/>
  <c r="V755" i="14" s="1"/>
  <c r="J615" i="14"/>
  <c r="V615" i="14" s="1"/>
  <c r="J599" i="14"/>
  <c r="V599" i="14" s="1"/>
  <c r="J583" i="14"/>
  <c r="J567" i="14"/>
  <c r="V567" i="14" s="1"/>
  <c r="J1559" i="14"/>
  <c r="J1391" i="14"/>
  <c r="V1391" i="14" s="1"/>
  <c r="J1375" i="14"/>
  <c r="J1359" i="14"/>
  <c r="V1359" i="14" s="1"/>
  <c r="J1235" i="14"/>
  <c r="J1095" i="14"/>
  <c r="J1079" i="14"/>
  <c r="J2595" i="14"/>
  <c r="J1823" i="14"/>
  <c r="J1611" i="14"/>
  <c r="J1335" i="14"/>
  <c r="J1319" i="14"/>
  <c r="J1303" i="14"/>
  <c r="J1211" i="14"/>
  <c r="J1039" i="14"/>
  <c r="J851" i="14"/>
  <c r="J835" i="14"/>
  <c r="V835" i="14" s="1"/>
  <c r="J819" i="14"/>
  <c r="J803" i="14"/>
  <c r="J679" i="14"/>
  <c r="J491" i="14"/>
  <c r="V491" i="14" s="1"/>
  <c r="J475" i="14"/>
  <c r="V475" i="14" s="1"/>
  <c r="J459" i="14"/>
  <c r="J443" i="14"/>
  <c r="V443" i="14" s="1"/>
  <c r="J427" i="14"/>
  <c r="V427" i="14" s="1"/>
  <c r="J411" i="14"/>
  <c r="J395" i="14"/>
  <c r="V395" i="14" s="1"/>
  <c r="J379" i="14"/>
  <c r="V379" i="14" s="1"/>
  <c r="J363" i="14"/>
  <c r="V363" i="14" s="1"/>
  <c r="J879" i="14"/>
  <c r="V879" i="14" s="1"/>
  <c r="J723" i="14"/>
  <c r="V723" i="14" s="1"/>
  <c r="J535" i="14"/>
  <c r="V535" i="14" s="1"/>
  <c r="J135" i="14"/>
  <c r="V135" i="14" s="1"/>
  <c r="J103" i="14"/>
  <c r="V103" i="14" s="1"/>
  <c r="J71" i="14"/>
  <c r="V71" i="14" s="1"/>
  <c r="J31" i="14"/>
  <c r="V31" i="14" s="1"/>
  <c r="J531" i="14"/>
  <c r="V531" i="14" s="1"/>
  <c r="J1523" i="14"/>
  <c r="J979" i="14"/>
  <c r="V979" i="14" s="1"/>
  <c r="J947" i="14"/>
  <c r="J319" i="14"/>
  <c r="V319" i="14" s="1"/>
  <c r="J287" i="14"/>
  <c r="V287" i="14" s="1"/>
  <c r="J255" i="14"/>
  <c r="J223" i="14"/>
  <c r="V223" i="14" s="1"/>
  <c r="J191" i="14"/>
  <c r="V191" i="14" s="1"/>
  <c r="J159" i="14"/>
  <c r="V159" i="14" s="1"/>
  <c r="J975" i="14"/>
  <c r="J219" i="14"/>
  <c r="V219" i="14" s="1"/>
  <c r="J187" i="14"/>
  <c r="V187" i="14" s="1"/>
  <c r="J155" i="14"/>
  <c r="J123" i="14"/>
  <c r="V123" i="14" s="1"/>
  <c r="J91" i="14"/>
  <c r="V91" i="14" s="1"/>
  <c r="J59" i="14"/>
  <c r="V59" i="14" s="1"/>
  <c r="J27" i="14"/>
  <c r="V27" i="14" s="1"/>
  <c r="J23" i="14"/>
  <c r="V23" i="14" s="1"/>
  <c r="V4277" i="14"/>
  <c r="V4165" i="14"/>
  <c r="V4197" i="14"/>
  <c r="V4101" i="14"/>
  <c r="V3845" i="14"/>
  <c r="V3717" i="14"/>
  <c r="V3461" i="14"/>
  <c r="V3333" i="14"/>
  <c r="V3061" i="14"/>
  <c r="V2917" i="14"/>
  <c r="V2789" i="14"/>
  <c r="V2653" i="14"/>
  <c r="V2509" i="14"/>
  <c r="V2229" i="14"/>
  <c r="V2089" i="14"/>
  <c r="V1949" i="14"/>
  <c r="V1809" i="14"/>
  <c r="V1677" i="14"/>
  <c r="V1529" i="14"/>
  <c r="V1281" i="14"/>
  <c r="V1013" i="14"/>
  <c r="V661" i="14"/>
  <c r="V4085" i="14"/>
  <c r="V3573" i="14"/>
  <c r="V3189" i="14"/>
  <c r="V2901" i="14"/>
  <c r="V2637" i="14"/>
  <c r="V2493" i="14"/>
  <c r="V2361" i="14"/>
  <c r="V2069" i="14"/>
  <c r="V1933" i="14"/>
  <c r="V1793" i="14"/>
  <c r="V1265" i="14"/>
  <c r="V921" i="14"/>
  <c r="V625" i="14"/>
  <c r="V3941" i="14"/>
  <c r="V3685" i="14"/>
  <c r="V3429" i="14"/>
  <c r="V3157" i="14"/>
  <c r="V2885" i="14"/>
  <c r="V2749" i="14"/>
  <c r="V2617" i="14"/>
  <c r="V2477" i="14"/>
  <c r="V2329" i="14"/>
  <c r="V2193" i="14"/>
  <c r="V2053" i="14"/>
  <c r="V1917" i="14"/>
  <c r="V1773" i="14"/>
  <c r="V1489" i="14"/>
  <c r="V1245" i="14"/>
  <c r="V905" i="14"/>
  <c r="V545" i="14"/>
  <c r="V3925" i="14"/>
  <c r="V3797" i="14"/>
  <c r="V3669" i="14"/>
  <c r="V3541" i="14"/>
  <c r="V3413" i="14"/>
  <c r="V3141" i="14"/>
  <c r="V3013" i="14"/>
  <c r="V2869" i="14"/>
  <c r="V2733" i="14"/>
  <c r="V2601" i="14"/>
  <c r="V2313" i="14"/>
  <c r="V2173" i="14"/>
  <c r="V2033" i="14"/>
  <c r="V1757" i="14"/>
  <c r="V1617" i="14"/>
  <c r="V1221" i="14"/>
  <c r="V509" i="14"/>
  <c r="V4261" i="14"/>
  <c r="V4037" i="14"/>
  <c r="V3909" i="14"/>
  <c r="V3781" i="14"/>
  <c r="V3653" i="14"/>
  <c r="V3525" i="14"/>
  <c r="V3397" i="14"/>
  <c r="V3125" i="14"/>
  <c r="V2997" i="14"/>
  <c r="V2853" i="14"/>
  <c r="V2717" i="14"/>
  <c r="V2581" i="14"/>
  <c r="V2445" i="14"/>
  <c r="V2297" i="14"/>
  <c r="V2157" i="14"/>
  <c r="V1877" i="14"/>
  <c r="V1741" i="14"/>
  <c r="V1597" i="14"/>
  <c r="V1449" i="14"/>
  <c r="V1193" i="14"/>
  <c r="V777" i="14"/>
  <c r="V4181" i="14"/>
  <c r="V3893" i="14"/>
  <c r="V3509" i="14"/>
  <c r="V3253" i="14"/>
  <c r="V2565" i="14"/>
  <c r="V2429" i="14"/>
  <c r="V2137" i="14"/>
  <c r="V2001" i="14"/>
  <c r="V1861" i="14"/>
  <c r="V1725" i="14"/>
  <c r="V1165" i="14"/>
  <c r="V761" i="14"/>
  <c r="V4245" i="14"/>
  <c r="V4149" i="14"/>
  <c r="V4005" i="14"/>
  <c r="V3877" i="14"/>
  <c r="V3749" i="14"/>
  <c r="V3621" i="14"/>
  <c r="V3365" i="14"/>
  <c r="V3237" i="14"/>
  <c r="V3093" i="14"/>
  <c r="V2821" i="14"/>
  <c r="V2685" i="14"/>
  <c r="V2121" i="14"/>
  <c r="V1985" i="14"/>
  <c r="V1845" i="14"/>
  <c r="V1565" i="14"/>
  <c r="V1405" i="14"/>
  <c r="V1101" i="14"/>
  <c r="V4117" i="14"/>
  <c r="V3989" i="14"/>
  <c r="V3861" i="14"/>
  <c r="V3733" i="14"/>
  <c r="V3605" i="14"/>
  <c r="V3477" i="14"/>
  <c r="V3349" i="14"/>
  <c r="V3221" i="14"/>
  <c r="V2945" i="14"/>
  <c r="V2805" i="14"/>
  <c r="V2669" i="14"/>
  <c r="V2525" i="14"/>
  <c r="V2393" i="14"/>
  <c r="V2245" i="14"/>
  <c r="V2105" i="14"/>
  <c r="V1969" i="14"/>
  <c r="V1545" i="14"/>
  <c r="V1341" i="14"/>
  <c r="V697" i="14"/>
  <c r="K628" i="14"/>
  <c r="K1237" i="14"/>
  <c r="V1491" i="14"/>
  <c r="K1492" i="14"/>
  <c r="K1034" i="14"/>
  <c r="K1470" i="14"/>
  <c r="K293" i="14"/>
  <c r="K985" i="14"/>
  <c r="K1381" i="14"/>
  <c r="K398" i="14"/>
  <c r="K541" i="14"/>
  <c r="K729" i="14"/>
  <c r="K1042" i="14"/>
  <c r="K1958" i="14"/>
  <c r="K205" i="14"/>
  <c r="K452" i="14"/>
  <c r="K89" i="14"/>
  <c r="K217" i="14"/>
  <c r="K345" i="14"/>
  <c r="K488" i="14"/>
  <c r="K800" i="14"/>
  <c r="K1030" i="14"/>
  <c r="K1466" i="14"/>
  <c r="K2726" i="14"/>
  <c r="K3006" i="14"/>
  <c r="K3790" i="14"/>
  <c r="K44" i="14"/>
  <c r="K108" i="14"/>
  <c r="K172" i="14"/>
  <c r="K236" i="14"/>
  <c r="K300" i="14"/>
  <c r="K538" i="14"/>
  <c r="K617" i="14"/>
  <c r="K757" i="14"/>
  <c r="K960" i="14"/>
  <c r="K1066" i="14"/>
  <c r="K1149" i="14"/>
  <c r="K1382" i="14"/>
  <c r="K1672" i="14"/>
  <c r="K2292" i="14"/>
  <c r="K2878" i="14"/>
  <c r="K3422" i="14"/>
  <c r="K1048" i="14"/>
  <c r="K1189" i="14"/>
  <c r="K1422" i="14"/>
  <c r="K1892" i="14"/>
  <c r="K2346" i="14"/>
  <c r="K2785" i="14"/>
  <c r="K3310" i="14"/>
  <c r="K1005" i="14"/>
  <c r="K58" i="14"/>
  <c r="K122" i="14"/>
  <c r="K186" i="14"/>
  <c r="K250" i="14"/>
  <c r="K314" i="14"/>
  <c r="K393" i="14"/>
  <c r="K457" i="14"/>
  <c r="K536" i="14"/>
  <c r="K724" i="14"/>
  <c r="K849" i="14"/>
  <c r="K958" i="14"/>
  <c r="K1037" i="14"/>
  <c r="K1209" i="14"/>
  <c r="K1514" i="14"/>
  <c r="K1897" i="14"/>
  <c r="K2438" i="14"/>
  <c r="K2941" i="14"/>
  <c r="K3646" i="14"/>
  <c r="K109" i="14"/>
  <c r="K804" i="14"/>
  <c r="K466" i="14"/>
  <c r="K686" i="14"/>
  <c r="K889" i="14"/>
  <c r="K1377" i="14"/>
  <c r="K237" i="14"/>
  <c r="K993" i="14"/>
  <c r="K2166" i="14"/>
  <c r="K470" i="14"/>
  <c r="K690" i="14"/>
  <c r="K893" i="14"/>
  <c r="K1385" i="14"/>
  <c r="K165" i="14"/>
  <c r="K404" i="14"/>
  <c r="K33" i="14"/>
  <c r="K161" i="14"/>
  <c r="K289" i="14"/>
  <c r="K432" i="14"/>
  <c r="K590" i="14"/>
  <c r="K808" i="14"/>
  <c r="K1046" i="14"/>
  <c r="K1538" i="14"/>
  <c r="K2356" i="14"/>
  <c r="K3180" i="14"/>
  <c r="K4110" i="14"/>
  <c r="K64" i="14"/>
  <c r="K128" i="14"/>
  <c r="K192" i="14"/>
  <c r="K256" i="14"/>
  <c r="K320" i="14"/>
  <c r="K573" i="14"/>
  <c r="K652" i="14"/>
  <c r="K902" i="14"/>
  <c r="K996" i="14"/>
  <c r="K1350" i="14"/>
  <c r="K1524" i="14"/>
  <c r="K2084" i="14"/>
  <c r="K2534" i="14"/>
  <c r="K3173" i="14"/>
  <c r="K3998" i="14"/>
  <c r="K1130" i="14"/>
  <c r="K1300" i="14"/>
  <c r="K1498" i="14"/>
  <c r="K1896" i="14"/>
  <c r="K2426" i="14"/>
  <c r="K2940" i="14"/>
  <c r="K3630" i="14"/>
  <c r="K14" i="14"/>
  <c r="K78" i="14"/>
  <c r="K142" i="14"/>
  <c r="K206" i="14"/>
  <c r="K270" i="14"/>
  <c r="K334" i="14"/>
  <c r="K413" i="14"/>
  <c r="K477" i="14"/>
  <c r="K650" i="14"/>
  <c r="K770" i="14"/>
  <c r="K853" i="14"/>
  <c r="K962" i="14"/>
  <c r="K1041" i="14"/>
  <c r="K1213" i="14"/>
  <c r="K1368" i="14"/>
  <c r="K1522" i="14"/>
  <c r="K1942" i="14"/>
  <c r="K2502" i="14"/>
  <c r="K2960" i="14"/>
  <c r="K3966" i="14"/>
  <c r="K125" i="14"/>
  <c r="K820" i="14"/>
  <c r="K474" i="14"/>
  <c r="K694" i="14"/>
  <c r="K897" i="14"/>
  <c r="K1393" i="14"/>
  <c r="K828" i="14"/>
  <c r="K1210" i="14"/>
  <c r="K382" i="14"/>
  <c r="K525" i="14"/>
  <c r="K1089" i="14"/>
  <c r="K2189" i="14"/>
  <c r="K229" i="14"/>
  <c r="K484" i="14"/>
  <c r="K41" i="14"/>
  <c r="K169" i="14"/>
  <c r="K297" i="14"/>
  <c r="K440" i="14"/>
  <c r="K598" i="14"/>
  <c r="K816" i="14"/>
  <c r="K1077" i="14"/>
  <c r="K2862" i="14"/>
  <c r="K3406" i="14"/>
  <c r="K20" i="14"/>
  <c r="K84" i="14"/>
  <c r="K148" i="14"/>
  <c r="K276" i="14"/>
  <c r="K340" i="14"/>
  <c r="K593" i="14"/>
  <c r="K718" i="14"/>
  <c r="K952" i="14"/>
  <c r="K1078" i="14"/>
  <c r="K1157" i="14"/>
  <c r="K1374" i="14"/>
  <c r="K1664" i="14"/>
  <c r="K2224" i="14"/>
  <c r="K2633" i="14"/>
  <c r="K3294" i="14"/>
  <c r="K1040" i="14"/>
  <c r="K1181" i="14"/>
  <c r="K1320" i="14"/>
  <c r="K1612" i="14"/>
  <c r="K2062" i="14"/>
  <c r="K2596" i="14"/>
  <c r="K3186" i="14"/>
  <c r="K997" i="14"/>
  <c r="K50" i="14"/>
  <c r="K114" i="14"/>
  <c r="K178" i="14"/>
  <c r="K242" i="14"/>
  <c r="K306" i="14"/>
  <c r="K385" i="14"/>
  <c r="K449" i="14"/>
  <c r="K528" i="14"/>
  <c r="K716" i="14"/>
  <c r="K841" i="14"/>
  <c r="K950" i="14"/>
  <c r="K1029" i="14"/>
  <c r="K1186" i="14"/>
  <c r="K1325" i="14"/>
  <c r="K1465" i="14"/>
  <c r="K1870" i="14"/>
  <c r="K2370" i="14"/>
  <c r="K2990" i="14"/>
  <c r="K3774" i="14"/>
  <c r="K93" i="14"/>
  <c r="K586" i="14"/>
  <c r="K394" i="14"/>
  <c r="K537" i="14"/>
  <c r="K834" i="14"/>
  <c r="K412" i="14"/>
  <c r="K750" i="14"/>
  <c r="K450" i="14"/>
  <c r="K608" i="14"/>
  <c r="K858" i="14"/>
  <c r="K1424" i="14"/>
  <c r="K277" i="14"/>
  <c r="K1038" i="14"/>
  <c r="K1898" i="14"/>
  <c r="K486" i="14"/>
  <c r="K670" i="14"/>
  <c r="K862" i="14"/>
  <c r="K1338" i="14"/>
  <c r="K69" i="14"/>
  <c r="K301" i="14"/>
  <c r="K594" i="14"/>
  <c r="K113" i="14"/>
  <c r="K241" i="14"/>
  <c r="K384" i="14"/>
  <c r="K574" i="14"/>
  <c r="K824" i="14"/>
  <c r="K1093" i="14"/>
  <c r="K2560" i="14"/>
  <c r="K2926" i="14"/>
  <c r="K3470" i="14"/>
  <c r="K24" i="14"/>
  <c r="K88" i="14"/>
  <c r="K152" i="14"/>
  <c r="K216" i="14"/>
  <c r="K280" i="14"/>
  <c r="K344" i="14"/>
  <c r="K597" i="14"/>
  <c r="K753" i="14"/>
  <c r="K956" i="14"/>
  <c r="K1082" i="14"/>
  <c r="K1161" i="14"/>
  <c r="K1394" i="14"/>
  <c r="K1668" i="14"/>
  <c r="K2254" i="14"/>
  <c r="K2678" i="14"/>
  <c r="K3358" i="14"/>
  <c r="K1044" i="14"/>
  <c r="K1185" i="14"/>
  <c r="K1324" i="14"/>
  <c r="K1642" i="14"/>
  <c r="K2085" i="14"/>
  <c r="K2626" i="14"/>
  <c r="K4014" i="14"/>
  <c r="K38" i="14"/>
  <c r="K102" i="14"/>
  <c r="K166" i="14"/>
  <c r="K230" i="14"/>
  <c r="K294" i="14"/>
  <c r="K373" i="14"/>
  <c r="K437" i="14"/>
  <c r="K501" i="14"/>
  <c r="K689" i="14"/>
  <c r="K829" i="14"/>
  <c r="K938" i="14"/>
  <c r="K1002" i="14"/>
  <c r="K1096" i="14"/>
  <c r="K1313" i="14"/>
  <c r="K1392" i="14"/>
  <c r="K1893" i="14"/>
  <c r="K2646" i="14"/>
  <c r="K3179" i="14"/>
  <c r="K4094" i="14"/>
  <c r="K1054" i="14"/>
  <c r="K1606" i="14"/>
  <c r="K430" i="14"/>
  <c r="K588" i="14"/>
  <c r="K806" i="14"/>
  <c r="K1136" i="14"/>
  <c r="K21" i="14"/>
  <c r="K261" i="14"/>
  <c r="K610" i="14"/>
  <c r="K121" i="14"/>
  <c r="K249" i="14"/>
  <c r="K392" i="14"/>
  <c r="K582" i="14"/>
  <c r="K832" i="14"/>
  <c r="K1124" i="14"/>
  <c r="K1886" i="14"/>
  <c r="K2352" i="14"/>
  <c r="K3176" i="14"/>
  <c r="K4046" i="14"/>
  <c r="K60" i="14"/>
  <c r="K124" i="14"/>
  <c r="K188" i="14"/>
  <c r="K252" i="14"/>
  <c r="K316" i="14"/>
  <c r="K569" i="14"/>
  <c r="K648" i="14"/>
  <c r="K882" i="14"/>
  <c r="K976" i="14"/>
  <c r="K1086" i="14"/>
  <c r="K1180" i="14"/>
  <c r="K1398" i="14"/>
  <c r="K1910" i="14"/>
  <c r="K2353" i="14"/>
  <c r="K2954" i="14"/>
  <c r="K3678" i="14"/>
  <c r="K1126" i="14"/>
  <c r="K1296" i="14"/>
  <c r="K1468" i="14"/>
  <c r="K1994" i="14"/>
  <c r="K2418" i="14"/>
  <c r="K2936" i="14"/>
  <c r="K3566" i="14"/>
  <c r="K10" i="14"/>
  <c r="K74" i="14"/>
  <c r="K138" i="14"/>
  <c r="K202" i="14"/>
  <c r="K266" i="14"/>
  <c r="K330" i="14"/>
  <c r="K409" i="14"/>
  <c r="K473" i="14"/>
  <c r="K646" i="14"/>
  <c r="K801" i="14"/>
  <c r="K880" i="14"/>
  <c r="K974" i="14"/>
  <c r="K1053" i="14"/>
  <c r="K1240" i="14"/>
  <c r="K1364" i="14"/>
  <c r="K1590" i="14"/>
  <c r="K2048" i="14"/>
  <c r="K2574" i="14"/>
  <c r="K3118" i="14"/>
  <c r="K3902" i="14"/>
  <c r="K380" i="14"/>
  <c r="K370" i="14"/>
  <c r="K498" i="14"/>
  <c r="K748" i="14"/>
  <c r="K1050" i="14"/>
  <c r="K1561" i="14"/>
  <c r="K317" i="14"/>
  <c r="K1085" i="14"/>
  <c r="K374" i="14"/>
  <c r="K502" i="14"/>
  <c r="K752" i="14"/>
  <c r="K1073" i="14"/>
  <c r="K1614" i="14"/>
  <c r="K221" i="14"/>
  <c r="K468" i="14"/>
  <c r="K65" i="14"/>
  <c r="K193" i="14"/>
  <c r="K321" i="14"/>
  <c r="K464" i="14"/>
  <c r="K622" i="14"/>
  <c r="J840" i="14"/>
  <c r="V840" i="14" s="1"/>
  <c r="K1140" i="14"/>
  <c r="K1966" i="14"/>
  <c r="K2798" i="14"/>
  <c r="K3342" i="14"/>
  <c r="K16" i="14"/>
  <c r="K80" i="14"/>
  <c r="K144" i="14"/>
  <c r="K208" i="14"/>
  <c r="K272" i="14"/>
  <c r="K336" i="14"/>
  <c r="K589" i="14"/>
  <c r="K714" i="14"/>
  <c r="K948" i="14"/>
  <c r="K1074" i="14"/>
  <c r="K1153" i="14"/>
  <c r="K1370" i="14"/>
  <c r="K1626" i="14"/>
  <c r="K2190" i="14"/>
  <c r="K2610" i="14"/>
  <c r="K3230" i="14"/>
  <c r="K1032" i="14"/>
  <c r="K1146" i="14"/>
  <c r="K1316" i="14"/>
  <c r="K1574" i="14"/>
  <c r="K2153" i="14"/>
  <c r="K2562" i="14"/>
  <c r="K3102" i="14"/>
  <c r="K3886" i="14"/>
  <c r="K30" i="14"/>
  <c r="K94" i="14"/>
  <c r="K158" i="14"/>
  <c r="K222" i="14"/>
  <c r="K286" i="14"/>
  <c r="K365" i="14"/>
  <c r="K429" i="14"/>
  <c r="K493" i="14"/>
  <c r="K681" i="14"/>
  <c r="K805" i="14"/>
  <c r="K978" i="14"/>
  <c r="K1072" i="14"/>
  <c r="K1305" i="14"/>
  <c r="K1384" i="14"/>
  <c r="K1613" i="14"/>
  <c r="K2078" i="14"/>
  <c r="K2597" i="14"/>
  <c r="K3198" i="14"/>
  <c r="K4254" i="14"/>
  <c r="K396" i="14"/>
  <c r="K378" i="14"/>
  <c r="K506" i="14"/>
  <c r="K756" i="14"/>
  <c r="K1081" i="14"/>
  <c r="K173" i="14"/>
  <c r="K937" i="14"/>
  <c r="K1334" i="14"/>
  <c r="K414" i="14"/>
  <c r="K572" i="14"/>
  <c r="K822" i="14"/>
  <c r="K1322" i="14"/>
  <c r="K53" i="14"/>
  <c r="K285" i="14"/>
  <c r="K578" i="14"/>
  <c r="K73" i="14"/>
  <c r="K201" i="14"/>
  <c r="K329" i="14"/>
  <c r="K472" i="14"/>
  <c r="K645" i="14"/>
  <c r="K848" i="14"/>
  <c r="K1156" i="14"/>
  <c r="K2541" i="14"/>
  <c r="K2942" i="14"/>
  <c r="K3662" i="14"/>
  <c r="K36" i="14"/>
  <c r="K100" i="14"/>
  <c r="K164" i="14"/>
  <c r="K228" i="14"/>
  <c r="K292" i="14"/>
  <c r="K530" i="14"/>
  <c r="K609" i="14"/>
  <c r="K749" i="14"/>
  <c r="K968" i="14"/>
  <c r="K1094" i="14"/>
  <c r="K1188" i="14"/>
  <c r="K1390" i="14"/>
  <c r="K1766" i="14"/>
  <c r="K2345" i="14"/>
  <c r="K2784" i="14"/>
  <c r="K3550" i="14"/>
  <c r="K1118" i="14"/>
  <c r="K1212" i="14"/>
  <c r="K1336" i="14"/>
  <c r="K1673" i="14"/>
  <c r="K2293" i="14"/>
  <c r="K2758" i="14"/>
  <c r="K3438" i="14"/>
  <c r="K1028" i="14"/>
  <c r="K66" i="14"/>
  <c r="K130" i="14"/>
  <c r="K194" i="14"/>
  <c r="K258" i="14"/>
  <c r="K322" i="14"/>
  <c r="K401" i="14"/>
  <c r="K465" i="14"/>
  <c r="K634" i="14"/>
  <c r="K793" i="14"/>
  <c r="K857" i="14"/>
  <c r="K966" i="14"/>
  <c r="K1045" i="14"/>
  <c r="K1217" i="14"/>
  <c r="K1356" i="14"/>
  <c r="K1526" i="14"/>
  <c r="K1965" i="14"/>
  <c r="K2540" i="14"/>
  <c r="K3175" i="14"/>
  <c r="K4030" i="14"/>
  <c r="K364" i="14"/>
  <c r="K680" i="14"/>
  <c r="K426" i="14"/>
  <c r="K584" i="14"/>
  <c r="K13" i="14"/>
  <c r="K476" i="14"/>
  <c r="K836" i="14"/>
  <c r="K482" i="14"/>
  <c r="K717" i="14"/>
  <c r="K1097" i="14"/>
  <c r="K1788" i="14"/>
  <c r="K844" i="14"/>
  <c r="K1132" i="14"/>
  <c r="K390" i="14"/>
  <c r="K533" i="14"/>
  <c r="K721" i="14"/>
  <c r="K1022" i="14"/>
  <c r="K1458" i="14"/>
  <c r="K133" i="14"/>
  <c r="K372" i="14"/>
  <c r="K17" i="14"/>
  <c r="K145" i="14"/>
  <c r="K273" i="14"/>
  <c r="K416" i="14"/>
  <c r="K606" i="14"/>
  <c r="K856" i="14"/>
  <c r="K1326" i="14"/>
  <c r="K2662" i="14"/>
  <c r="K2961" i="14"/>
  <c r="K3726" i="14"/>
  <c r="K40" i="14"/>
  <c r="K104" i="14"/>
  <c r="K168" i="14"/>
  <c r="K232" i="14"/>
  <c r="K296" i="14"/>
  <c r="K534" i="14"/>
  <c r="K613" i="14"/>
  <c r="K874" i="14"/>
  <c r="K972" i="14"/>
  <c r="K1098" i="14"/>
  <c r="K1238" i="14"/>
  <c r="K1425" i="14"/>
  <c r="K1789" i="14"/>
  <c r="K2349" i="14"/>
  <c r="K2814" i="14"/>
  <c r="K3614" i="14"/>
  <c r="K1122" i="14"/>
  <c r="K1216" i="14"/>
  <c r="K1414" i="14"/>
  <c r="K1718" i="14"/>
  <c r="K2202" i="14"/>
  <c r="K2781" i="14"/>
  <c r="K3246" i="14"/>
  <c r="K1001" i="14"/>
  <c r="K54" i="14"/>
  <c r="K118" i="14"/>
  <c r="K182" i="14"/>
  <c r="K246" i="14"/>
  <c r="K310" i="14"/>
  <c r="K389" i="14"/>
  <c r="K453" i="14"/>
  <c r="K532" i="14"/>
  <c r="K720" i="14"/>
  <c r="K845" i="14"/>
  <c r="K954" i="14"/>
  <c r="K1033" i="14"/>
  <c r="K1190" i="14"/>
  <c r="K1329" i="14"/>
  <c r="K1469" i="14"/>
  <c r="K2010" i="14"/>
  <c r="K2786" i="14"/>
  <c r="K3326" i="14"/>
  <c r="K4286" i="14"/>
  <c r="L5838" i="14" l="1"/>
  <c r="M5838" i="14" s="1"/>
  <c r="U4605" i="14"/>
  <c r="L5726" i="14"/>
  <c r="M5726" i="14" s="1"/>
  <c r="U5726" i="14"/>
  <c r="V5429" i="14"/>
  <c r="L5518" i="14"/>
  <c r="M5518" i="14" s="1"/>
  <c r="U5518" i="14"/>
  <c r="U5534" i="14"/>
  <c r="M5534" i="14"/>
  <c r="K5525" i="14"/>
  <c r="V5509" i="14"/>
  <c r="K5509" i="14"/>
  <c r="K5343" i="14"/>
  <c r="V5343" i="14"/>
  <c r="M5345" i="14"/>
  <c r="M5343" i="14" s="1"/>
  <c r="L5343" i="14"/>
  <c r="K5461" i="14"/>
  <c r="K5459" i="14"/>
  <c r="K5493" i="14"/>
  <c r="K5491" i="14"/>
  <c r="K5429" i="14"/>
  <c r="L5429" i="14" s="1"/>
  <c r="K5427" i="14"/>
  <c r="K5413" i="14"/>
  <c r="K5411" i="14"/>
  <c r="K5445" i="14"/>
  <c r="U5430" i="14" s="1"/>
  <c r="K5443" i="14"/>
  <c r="U5428" i="14" s="1"/>
  <c r="K5381" i="14"/>
  <c r="L5381" i="14" s="1"/>
  <c r="K5379" i="14"/>
  <c r="K5397" i="14"/>
  <c r="M5397" i="14" s="1"/>
  <c r="M5395" i="14" s="1"/>
  <c r="K5395" i="14"/>
  <c r="V5333" i="14"/>
  <c r="K5333" i="14"/>
  <c r="L5333" i="14" s="1"/>
  <c r="V5365" i="14"/>
  <c r="K5365" i="14"/>
  <c r="K5349" i="14"/>
  <c r="U5374" i="14"/>
  <c r="L5374" i="14"/>
  <c r="M5374" i="14" s="1"/>
  <c r="L5342" i="14"/>
  <c r="M5342" i="14" s="1"/>
  <c r="K5317" i="14"/>
  <c r="M5317" i="14" s="1"/>
  <c r="M5315" i="14" s="1"/>
  <c r="K5315" i="14"/>
  <c r="V511" i="14"/>
  <c r="K5299" i="14"/>
  <c r="U5299" i="14" s="1"/>
  <c r="V5299" i="14"/>
  <c r="U5310" i="14"/>
  <c r="L5310" i="14"/>
  <c r="M5310" i="14" s="1"/>
  <c r="K5301" i="14"/>
  <c r="V5301" i="14"/>
  <c r="L5294" i="14"/>
  <c r="M5294" i="14" s="1"/>
  <c r="U5294" i="14"/>
  <c r="L5278" i="14"/>
  <c r="M5278" i="14" s="1"/>
  <c r="U5278" i="14"/>
  <c r="L5182" i="14"/>
  <c r="M5182" i="14" s="1"/>
  <c r="V5269" i="14"/>
  <c r="K5269" i="14"/>
  <c r="K5285" i="14"/>
  <c r="V5285" i="14"/>
  <c r="J5283" i="14"/>
  <c r="K5171" i="14"/>
  <c r="U5171" i="14" s="1"/>
  <c r="K5173" i="14"/>
  <c r="V5205" i="14"/>
  <c r="K5205" i="14"/>
  <c r="K5189" i="14"/>
  <c r="M5150" i="14"/>
  <c r="U5150" i="14"/>
  <c r="V5141" i="14"/>
  <c r="K5141" i="14"/>
  <c r="V5237" i="14"/>
  <c r="K5237" i="14"/>
  <c r="M5230" i="14"/>
  <c r="U5230" i="14"/>
  <c r="V5253" i="14"/>
  <c r="K5253" i="14"/>
  <c r="L5262" i="14"/>
  <c r="M5262" i="14" s="1"/>
  <c r="U5262" i="14"/>
  <c r="L5246" i="14"/>
  <c r="M5246" i="14" s="1"/>
  <c r="U5246" i="14"/>
  <c r="V5221" i="14"/>
  <c r="K5221" i="14"/>
  <c r="K5219" i="14"/>
  <c r="U5219" i="14" s="1"/>
  <c r="M5198" i="14"/>
  <c r="U5198" i="14"/>
  <c r="M5214" i="14"/>
  <c r="U5214" i="14"/>
  <c r="K5157" i="14"/>
  <c r="L5157" i="14" s="1"/>
  <c r="K5155" i="14"/>
  <c r="U5155" i="14" s="1"/>
  <c r="U5118" i="14"/>
  <c r="L5118" i="14"/>
  <c r="M5118" i="14" s="1"/>
  <c r="U5102" i="14"/>
  <c r="V5125" i="14"/>
  <c r="K5125" i="14"/>
  <c r="U5134" i="14"/>
  <c r="L5134" i="14"/>
  <c r="M5134" i="14" s="1"/>
  <c r="V5109" i="14"/>
  <c r="K5109" i="14"/>
  <c r="V5093" i="14"/>
  <c r="K5093" i="14"/>
  <c r="M5093" i="14" s="1"/>
  <c r="M5091" i="14" s="1"/>
  <c r="L5086" i="14"/>
  <c r="M5086" i="14" s="1"/>
  <c r="U5086" i="14"/>
  <c r="V5077" i="14"/>
  <c r="K5077" i="14"/>
  <c r="L5077" i="14" s="1"/>
  <c r="L5075" i="14" s="1"/>
  <c r="K5029" i="14"/>
  <c r="M5029" i="14" s="1"/>
  <c r="M5027" i="14" s="1"/>
  <c r="K5027" i="14"/>
  <c r="K5045" i="14"/>
  <c r="V5059" i="14"/>
  <c r="K5059" i="14"/>
  <c r="U5059" i="14" s="1"/>
  <c r="U5070" i="14"/>
  <c r="L5070" i="14"/>
  <c r="M5070" i="14" s="1"/>
  <c r="U5038" i="14"/>
  <c r="L5038" i="14"/>
  <c r="M5038" i="14" s="1"/>
  <c r="L5054" i="14"/>
  <c r="M5054" i="14" s="1"/>
  <c r="U5054" i="14"/>
  <c r="K5061" i="14"/>
  <c r="V5061" i="14"/>
  <c r="K4933" i="14"/>
  <c r="K4931" i="14"/>
  <c r="M5006" i="14"/>
  <c r="U5006" i="14"/>
  <c r="L5022" i="14"/>
  <c r="M5022" i="14" s="1"/>
  <c r="U5022" i="14"/>
  <c r="V5013" i="14"/>
  <c r="K5013" i="14"/>
  <c r="M5013" i="14" s="1"/>
  <c r="M5011" i="14" s="1"/>
  <c r="K5011" i="14"/>
  <c r="U5011" i="14" s="1"/>
  <c r="K4997" i="14"/>
  <c r="V4997" i="14"/>
  <c r="U4974" i="14"/>
  <c r="L4974" i="14"/>
  <c r="M4974" i="14" s="1"/>
  <c r="K4965" i="14"/>
  <c r="V4965" i="14"/>
  <c r="V4981" i="14"/>
  <c r="K4981" i="14"/>
  <c r="K4901" i="14"/>
  <c r="M4901" i="14" s="1"/>
  <c r="M4899" i="14" s="1"/>
  <c r="K4899" i="14"/>
  <c r="K4917" i="14"/>
  <c r="K4915" i="14"/>
  <c r="K4853" i="14"/>
  <c r="M4853" i="14" s="1"/>
  <c r="M4851" i="14" s="1"/>
  <c r="K4851" i="14"/>
  <c r="L4926" i="14"/>
  <c r="M4926" i="14" s="1"/>
  <c r="U4926" i="14"/>
  <c r="K4949" i="14"/>
  <c r="V4949" i="14"/>
  <c r="K4837" i="14"/>
  <c r="K4835" i="14"/>
  <c r="U4878" i="14"/>
  <c r="L4878" i="14"/>
  <c r="M4878" i="14" s="1"/>
  <c r="K4885" i="14"/>
  <c r="M4885" i="14" s="1"/>
  <c r="M4883" i="14" s="1"/>
  <c r="K4883" i="14"/>
  <c r="K4869" i="14"/>
  <c r="L4869" i="14" s="1"/>
  <c r="K4867" i="14"/>
  <c r="L4830" i="14"/>
  <c r="M4830" i="14" s="1"/>
  <c r="U4830" i="14"/>
  <c r="K4821" i="14"/>
  <c r="L4821" i="14" s="1"/>
  <c r="K4819" i="14"/>
  <c r="K4789" i="14"/>
  <c r="K4787" i="14"/>
  <c r="U4814" i="14"/>
  <c r="M4814" i="14"/>
  <c r="V4805" i="14"/>
  <c r="K4805" i="14"/>
  <c r="M4805" i="14" s="1"/>
  <c r="M4803" i="14" s="1"/>
  <c r="K4725" i="14"/>
  <c r="M4725" i="14" s="1"/>
  <c r="M4723" i="14" s="1"/>
  <c r="K4723" i="14"/>
  <c r="U4782" i="14"/>
  <c r="M4782" i="14"/>
  <c r="U4766" i="14"/>
  <c r="M4766" i="14"/>
  <c r="K4757" i="14"/>
  <c r="M4757" i="14" s="1"/>
  <c r="M4755" i="14" s="1"/>
  <c r="K4773" i="14"/>
  <c r="V4773" i="14"/>
  <c r="K4675" i="14"/>
  <c r="K4741" i="14"/>
  <c r="M4741" i="14" s="1"/>
  <c r="M4739" i="14" s="1"/>
  <c r="K4739" i="14"/>
  <c r="U4670" i="14"/>
  <c r="M4670" i="14"/>
  <c r="K4693" i="14"/>
  <c r="M4693" i="14" s="1"/>
  <c r="M4691" i="14" s="1"/>
  <c r="K4691" i="14"/>
  <c r="K4709" i="14"/>
  <c r="M4709" i="14" s="1"/>
  <c r="M4707" i="14" s="1"/>
  <c r="K4707" i="14"/>
  <c r="K4661" i="14"/>
  <c r="K4659" i="14"/>
  <c r="K4629" i="14"/>
  <c r="M4629" i="14" s="1"/>
  <c r="M4627" i="14" s="1"/>
  <c r="K4627" i="14"/>
  <c r="K4645" i="14"/>
  <c r="M4645" i="14" s="1"/>
  <c r="M4643" i="14" s="1"/>
  <c r="K4643" i="14"/>
  <c r="M4517" i="14"/>
  <c r="M4515" i="14" s="1"/>
  <c r="K4515" i="14"/>
  <c r="K4597" i="14"/>
  <c r="K4595" i="14"/>
  <c r="L4595" i="14" s="1"/>
  <c r="K4581" i="14"/>
  <c r="M4581" i="14" s="1"/>
  <c r="M4579" i="14" s="1"/>
  <c r="K4579" i="14"/>
  <c r="K4611" i="14"/>
  <c r="U4611" i="14" s="1"/>
  <c r="V4611" i="14"/>
  <c r="M4622" i="14"/>
  <c r="U4622" i="14"/>
  <c r="U4606" i="14"/>
  <c r="M4606" i="14"/>
  <c r="K4613" i="14"/>
  <c r="V4613" i="14"/>
  <c r="M4574" i="14"/>
  <c r="U4574" i="14"/>
  <c r="K4565" i="14"/>
  <c r="M4565" i="14" s="1"/>
  <c r="M4563" i="14" s="1"/>
  <c r="K4563" i="14"/>
  <c r="V4547" i="14"/>
  <c r="K4547" i="14"/>
  <c r="U4547" i="14" s="1"/>
  <c r="U4558" i="14"/>
  <c r="L4558" i="14"/>
  <c r="M4558" i="14" s="1"/>
  <c r="K4549" i="14"/>
  <c r="V4549" i="14"/>
  <c r="K4501" i="14"/>
  <c r="M4501" i="14" s="1"/>
  <c r="M4499" i="14" s="1"/>
  <c r="K4499" i="14"/>
  <c r="K4533" i="14"/>
  <c r="M4533" i="14" s="1"/>
  <c r="M4531" i="14" s="1"/>
  <c r="K4531" i="14"/>
  <c r="K4485" i="14"/>
  <c r="M4485" i="14" s="1"/>
  <c r="M4483" i="14" s="1"/>
  <c r="K4483" i="14"/>
  <c r="V762" i="14"/>
  <c r="K4469" i="14"/>
  <c r="M4469" i="14" s="1"/>
  <c r="M4467" i="14" s="1"/>
  <c r="K4467" i="14"/>
  <c r="K764" i="14"/>
  <c r="U764" i="14" s="1"/>
  <c r="K4453" i="14"/>
  <c r="M4453" i="14" s="1"/>
  <c r="M4451" i="14" s="1"/>
  <c r="K4451" i="14"/>
  <c r="U4446" i="14"/>
  <c r="L4446" i="14"/>
  <c r="M4446" i="14" s="1"/>
  <c r="V4421" i="14"/>
  <c r="K4421" i="14"/>
  <c r="K4437" i="14"/>
  <c r="M4437" i="14" s="1"/>
  <c r="M4435" i="14" s="1"/>
  <c r="K4435" i="14"/>
  <c r="U4430" i="14"/>
  <c r="L4430" i="14"/>
  <c r="M4430" i="14" s="1"/>
  <c r="K1600" i="14"/>
  <c r="U1600" i="14" s="1"/>
  <c r="K561" i="14"/>
  <c r="M561" i="14" s="1"/>
  <c r="V778" i="14"/>
  <c r="V1598" i="14"/>
  <c r="K1372" i="14"/>
  <c r="U1372" i="14" s="1"/>
  <c r="K780" i="14"/>
  <c r="M780" i="14" s="1"/>
  <c r="M778" i="14" s="1"/>
  <c r="U4014" i="14"/>
  <c r="U4110" i="14"/>
  <c r="U4062" i="14"/>
  <c r="U4222" i="14"/>
  <c r="U4238" i="14"/>
  <c r="U2937" i="14"/>
  <c r="U4142" i="14"/>
  <c r="U4190" i="14"/>
  <c r="U4366" i="14"/>
  <c r="U4126" i="14"/>
  <c r="U2933" i="14"/>
  <c r="U4078" i="14"/>
  <c r="U5352" i="14"/>
  <c r="U3982" i="14"/>
  <c r="U2782" i="14"/>
  <c r="U4302" i="14"/>
  <c r="U4094" i="14"/>
  <c r="U2560" i="14"/>
  <c r="U3998" i="14"/>
  <c r="L4046" i="14"/>
  <c r="M4046" i="14" s="1"/>
  <c r="M3173" i="14"/>
  <c r="U2726" i="14"/>
  <c r="U5348" i="14"/>
  <c r="U2694" i="14"/>
  <c r="U4382" i="14"/>
  <c r="U4334" i="14"/>
  <c r="U4286" i="14"/>
  <c r="M2961" i="14"/>
  <c r="U4030" i="14"/>
  <c r="U4254" i="14"/>
  <c r="U2941" i="14"/>
  <c r="U2830" i="14"/>
  <c r="U4270" i="14"/>
  <c r="U4350" i="14"/>
  <c r="U4318" i="14"/>
  <c r="M3326" i="14"/>
  <c r="M2786" i="14"/>
  <c r="U3246" i="14"/>
  <c r="U3614" i="14"/>
  <c r="U2814" i="14"/>
  <c r="M3726" i="14"/>
  <c r="U2540" i="14"/>
  <c r="M3438" i="14"/>
  <c r="U2758" i="14"/>
  <c r="M3550" i="14"/>
  <c r="U2784" i="14"/>
  <c r="U3662" i="14"/>
  <c r="U2942" i="14"/>
  <c r="U3198" i="14"/>
  <c r="U3886" i="14"/>
  <c r="U3102" i="14"/>
  <c r="U3230" i="14"/>
  <c r="M3342" i="14"/>
  <c r="U2798" i="14"/>
  <c r="U3902" i="14"/>
  <c r="U3118" i="14"/>
  <c r="U3566" i="14"/>
  <c r="U2936" i="14"/>
  <c r="U3678" i="14"/>
  <c r="U2954" i="14"/>
  <c r="M3176" i="14"/>
  <c r="M3358" i="14"/>
  <c r="U2678" i="14"/>
  <c r="M3470" i="14"/>
  <c r="U2926" i="14"/>
  <c r="M3774" i="14"/>
  <c r="U2990" i="14"/>
  <c r="U5353" i="14"/>
  <c r="U2596" i="14"/>
  <c r="M3294" i="14"/>
  <c r="U3406" i="14"/>
  <c r="U2862" i="14"/>
  <c r="U3966" i="14"/>
  <c r="U2960" i="14"/>
  <c r="U3630" i="14"/>
  <c r="U2940" i="14"/>
  <c r="M3646" i="14"/>
  <c r="M3310" i="14"/>
  <c r="U3422" i="14"/>
  <c r="U2878" i="14"/>
  <c r="U3790" i="14"/>
  <c r="U3006" i="14"/>
  <c r="L3838" i="14"/>
  <c r="M3838" i="14" s="1"/>
  <c r="M3054" i="14"/>
  <c r="M3758" i="14"/>
  <c r="U2974" i="14"/>
  <c r="U3214" i="14"/>
  <c r="U2424" i="14"/>
  <c r="U3518" i="14"/>
  <c r="U3950" i="14"/>
  <c r="M3166" i="14"/>
  <c r="U3710" i="14"/>
  <c r="U2910" i="14"/>
  <c r="U3374" i="14"/>
  <c r="U3742" i="14"/>
  <c r="M2962" i="14"/>
  <c r="U3854" i="14"/>
  <c r="U3070" i="14"/>
  <c r="M3390" i="14"/>
  <c r="U2846" i="14"/>
  <c r="U2742" i="14"/>
  <c r="U3534" i="14"/>
  <c r="U2934" i="14"/>
  <c r="U3582" i="14"/>
  <c r="M3502" i="14"/>
  <c r="U2932" i="14"/>
  <c r="U3870" i="14"/>
  <c r="U3086" i="14"/>
  <c r="M3262" i="14"/>
  <c r="U3694" i="14"/>
  <c r="U2894" i="14"/>
  <c r="U3806" i="14"/>
  <c r="U3022" i="14"/>
  <c r="U3918" i="14"/>
  <c r="U3134" i="14"/>
  <c r="U2632" i="14"/>
  <c r="M3454" i="14"/>
  <c r="U2774" i="14"/>
  <c r="U3182" i="14"/>
  <c r="U3486" i="14"/>
  <c r="U2780" i="14"/>
  <c r="U3598" i="14"/>
  <c r="U2938" i="14"/>
  <c r="U2710" i="14"/>
  <c r="U3822" i="14"/>
  <c r="U3038" i="14"/>
  <c r="U3934" i="14"/>
  <c r="U3150" i="14"/>
  <c r="M3278" i="14"/>
  <c r="U2010" i="14"/>
  <c r="U1469" i="14"/>
  <c r="U1329" i="14"/>
  <c r="U1190" i="14"/>
  <c r="U1033" i="14"/>
  <c r="M954" i="14"/>
  <c r="U845" i="14"/>
  <c r="U720" i="14"/>
  <c r="U532" i="14"/>
  <c r="U453" i="14"/>
  <c r="U389" i="14"/>
  <c r="U310" i="14"/>
  <c r="M246" i="14"/>
  <c r="U182" i="14"/>
  <c r="U118" i="14"/>
  <c r="U54" i="14"/>
  <c r="U1001" i="14"/>
  <c r="U2781" i="14"/>
  <c r="U2202" i="14"/>
  <c r="U1718" i="14"/>
  <c r="U1414" i="14"/>
  <c r="U1216" i="14"/>
  <c r="U1122" i="14"/>
  <c r="U2349" i="14"/>
  <c r="U1789" i="14"/>
  <c r="U1425" i="14"/>
  <c r="U1238" i="14"/>
  <c r="U1098" i="14"/>
  <c r="U972" i="14"/>
  <c r="U874" i="14"/>
  <c r="U613" i="14"/>
  <c r="U534" i="14"/>
  <c r="M296" i="14"/>
  <c r="U232" i="14"/>
  <c r="U168" i="14"/>
  <c r="U104" i="14"/>
  <c r="U40" i="14"/>
  <c r="U2662" i="14"/>
  <c r="U1326" i="14"/>
  <c r="U856" i="14"/>
  <c r="U606" i="14"/>
  <c r="U416" i="14"/>
  <c r="U273" i="14"/>
  <c r="U145" i="14"/>
  <c r="U17" i="14"/>
  <c r="U372" i="14"/>
  <c r="U133" i="14"/>
  <c r="U1458" i="14"/>
  <c r="M1022" i="14"/>
  <c r="U721" i="14"/>
  <c r="U533" i="14"/>
  <c r="U390" i="14"/>
  <c r="U1132" i="14"/>
  <c r="U844" i="14"/>
  <c r="U1788" i="14"/>
  <c r="M1097" i="14"/>
  <c r="U717" i="14"/>
  <c r="U482" i="14"/>
  <c r="U836" i="14"/>
  <c r="U476" i="14"/>
  <c r="U13" i="14"/>
  <c r="U584" i="14"/>
  <c r="U426" i="14"/>
  <c r="M680" i="14"/>
  <c r="U364" i="14"/>
  <c r="U1965" i="14"/>
  <c r="U1526" i="14"/>
  <c r="U1356" i="14"/>
  <c r="U1217" i="14"/>
  <c r="U1045" i="14"/>
  <c r="U966" i="14"/>
  <c r="U857" i="14"/>
  <c r="U793" i="14"/>
  <c r="U634" i="14"/>
  <c r="U465" i="14"/>
  <c r="U401" i="14"/>
  <c r="M322" i="14"/>
  <c r="U258" i="14"/>
  <c r="U194" i="14"/>
  <c r="U130" i="14"/>
  <c r="U66" i="14"/>
  <c r="U1028" i="14"/>
  <c r="U2293" i="14"/>
  <c r="U1673" i="14"/>
  <c r="M1336" i="14"/>
  <c r="U1212" i="14"/>
  <c r="U1118" i="14"/>
  <c r="U2345" i="14"/>
  <c r="U1766" i="14"/>
  <c r="U1390" i="14"/>
  <c r="U1188" i="14"/>
  <c r="U1094" i="14"/>
  <c r="U968" i="14"/>
  <c r="U749" i="14"/>
  <c r="U609" i="14"/>
  <c r="U530" i="14"/>
  <c r="U292" i="14"/>
  <c r="U228" i="14"/>
  <c r="U164" i="14"/>
  <c r="U100" i="14"/>
  <c r="U36" i="14"/>
  <c r="U2541" i="14"/>
  <c r="U1156" i="14"/>
  <c r="U848" i="14"/>
  <c r="U645" i="14"/>
  <c r="U472" i="14"/>
  <c r="U329" i="14"/>
  <c r="U201" i="14"/>
  <c r="U73" i="14"/>
  <c r="U578" i="14"/>
  <c r="U285" i="14"/>
  <c r="U53" i="14"/>
  <c r="M1322" i="14"/>
  <c r="U822" i="14"/>
  <c r="U572" i="14"/>
  <c r="U414" i="14"/>
  <c r="U1334" i="14"/>
  <c r="U937" i="14"/>
  <c r="U173" i="14"/>
  <c r="U1081" i="14"/>
  <c r="U756" i="14"/>
  <c r="M506" i="14"/>
  <c r="U378" i="14"/>
  <c r="U396" i="14"/>
  <c r="U2597" i="14"/>
  <c r="U2078" i="14"/>
  <c r="U1613" i="14"/>
  <c r="U1384" i="14"/>
  <c r="U1305" i="14"/>
  <c r="U1072" i="14"/>
  <c r="U978" i="14"/>
  <c r="U805" i="14"/>
  <c r="M681" i="14"/>
  <c r="U493" i="14"/>
  <c r="U429" i="14"/>
  <c r="U365" i="14"/>
  <c r="U286" i="14"/>
  <c r="U222" i="14"/>
  <c r="U158" i="14"/>
  <c r="U94" i="14"/>
  <c r="U30" i="14"/>
  <c r="U2562" i="14"/>
  <c r="U2153" i="14"/>
  <c r="U1574" i="14"/>
  <c r="U1316" i="14"/>
  <c r="U1146" i="14"/>
  <c r="U1032" i="14"/>
  <c r="U2610" i="14"/>
  <c r="U2190" i="14"/>
  <c r="U1626" i="14"/>
  <c r="M1370" i="14"/>
  <c r="U1153" i="14"/>
  <c r="U1074" i="14"/>
  <c r="U948" i="14"/>
  <c r="U714" i="14"/>
  <c r="U589" i="14"/>
  <c r="U336" i="14"/>
  <c r="U272" i="14"/>
  <c r="M208" i="14"/>
  <c r="U144" i="14"/>
  <c r="U80" i="14"/>
  <c r="U16" i="14"/>
  <c r="U1966" i="14"/>
  <c r="U1140" i="14"/>
  <c r="U622" i="14"/>
  <c r="U464" i="14"/>
  <c r="U321" i="14"/>
  <c r="U193" i="14"/>
  <c r="U65" i="14"/>
  <c r="U468" i="14"/>
  <c r="U221" i="14"/>
  <c r="U1614" i="14"/>
  <c r="U1073" i="14"/>
  <c r="U752" i="14"/>
  <c r="U502" i="14"/>
  <c r="U374" i="14"/>
  <c r="U1085" i="14"/>
  <c r="U317" i="14"/>
  <c r="U1561" i="14"/>
  <c r="U1050" i="14"/>
  <c r="U748" i="14"/>
  <c r="M498" i="14"/>
  <c r="M370" i="14"/>
  <c r="U380" i="14"/>
  <c r="U2574" i="14"/>
  <c r="U2048" i="14"/>
  <c r="U1590" i="14"/>
  <c r="U1364" i="14"/>
  <c r="U1240" i="14"/>
  <c r="U1053" i="14"/>
  <c r="U974" i="14"/>
  <c r="U880" i="14"/>
  <c r="U801" i="14"/>
  <c r="U646" i="14"/>
  <c r="U473" i="14"/>
  <c r="U409" i="14"/>
  <c r="U330" i="14"/>
  <c r="U266" i="14"/>
  <c r="U202" i="14"/>
  <c r="U138" i="14"/>
  <c r="U74" i="14"/>
  <c r="U10" i="14"/>
  <c r="U2418" i="14"/>
  <c r="U1994" i="14"/>
  <c r="M1468" i="14"/>
  <c r="M1296" i="14"/>
  <c r="U1126" i="14"/>
  <c r="U2353" i="14"/>
  <c r="U1910" i="14"/>
  <c r="U1398" i="14"/>
  <c r="U1180" i="14"/>
  <c r="U1086" i="14"/>
  <c r="U976" i="14"/>
  <c r="U882" i="14"/>
  <c r="U648" i="14"/>
  <c r="U569" i="14"/>
  <c r="U316" i="14"/>
  <c r="U252" i="14"/>
  <c r="U188" i="14"/>
  <c r="U124" i="14"/>
  <c r="U60" i="14"/>
  <c r="U2352" i="14"/>
  <c r="U1886" i="14"/>
  <c r="U1124" i="14"/>
  <c r="U832" i="14"/>
  <c r="U582" i="14"/>
  <c r="U392" i="14"/>
  <c r="U249" i="14"/>
  <c r="U121" i="14"/>
  <c r="U610" i="14"/>
  <c r="U261" i="14"/>
  <c r="U21" i="14"/>
  <c r="U1136" i="14"/>
  <c r="U806" i="14"/>
  <c r="U588" i="14"/>
  <c r="U430" i="14"/>
  <c r="U1606" i="14"/>
  <c r="U1054" i="14"/>
  <c r="U2646" i="14"/>
  <c r="M1893" i="14"/>
  <c r="U1392" i="14"/>
  <c r="M1313" i="14"/>
  <c r="U1096" i="14"/>
  <c r="U1002" i="14"/>
  <c r="U938" i="14"/>
  <c r="U829" i="14"/>
  <c r="U689" i="14"/>
  <c r="U501" i="14"/>
  <c r="U437" i="14"/>
  <c r="U373" i="14"/>
  <c r="U294" i="14"/>
  <c r="U230" i="14"/>
  <c r="U166" i="14"/>
  <c r="U102" i="14"/>
  <c r="U38" i="14"/>
  <c r="U2626" i="14"/>
  <c r="U2085" i="14"/>
  <c r="U1642" i="14"/>
  <c r="U1324" i="14"/>
  <c r="U1185" i="14"/>
  <c r="U1044" i="14"/>
  <c r="U2254" i="14"/>
  <c r="U1668" i="14"/>
  <c r="U1394" i="14"/>
  <c r="U1161" i="14"/>
  <c r="U1082" i="14"/>
  <c r="U956" i="14"/>
  <c r="U753" i="14"/>
  <c r="U597" i="14"/>
  <c r="U344" i="14"/>
  <c r="M280" i="14"/>
  <c r="U216" i="14"/>
  <c r="U152" i="14"/>
  <c r="U88" i="14"/>
  <c r="U24" i="14"/>
  <c r="U1093" i="14"/>
  <c r="U824" i="14"/>
  <c r="M574" i="14"/>
  <c r="U384" i="14"/>
  <c r="U241" i="14"/>
  <c r="U113" i="14"/>
  <c r="U594" i="14"/>
  <c r="U301" i="14"/>
  <c r="U69" i="14"/>
  <c r="M1338" i="14"/>
  <c r="M862" i="14"/>
  <c r="U670" i="14"/>
  <c r="M486" i="14"/>
  <c r="U1898" i="14"/>
  <c r="U1038" i="14"/>
  <c r="U277" i="14"/>
  <c r="U1424" i="14"/>
  <c r="U858" i="14"/>
  <c r="U608" i="14"/>
  <c r="U450" i="14"/>
  <c r="M750" i="14"/>
  <c r="U412" i="14"/>
  <c r="M834" i="14"/>
  <c r="U537" i="14"/>
  <c r="M394" i="14"/>
  <c r="U586" i="14"/>
  <c r="U93" i="14"/>
  <c r="U2370" i="14"/>
  <c r="U1870" i="14"/>
  <c r="U1465" i="14"/>
  <c r="U1325" i="14"/>
  <c r="U1186" i="14"/>
  <c r="U1029" i="14"/>
  <c r="U950" i="14"/>
  <c r="U841" i="14"/>
  <c r="U716" i="14"/>
  <c r="M528" i="14"/>
  <c r="M449" i="14"/>
  <c r="U385" i="14"/>
  <c r="U306" i="14"/>
  <c r="U242" i="14"/>
  <c r="U178" i="14"/>
  <c r="U114" i="14"/>
  <c r="U50" i="14"/>
  <c r="U997" i="14"/>
  <c r="U2062" i="14"/>
  <c r="U1612" i="14"/>
  <c r="U1320" i="14"/>
  <c r="U1181" i="14"/>
  <c r="U1040" i="14"/>
  <c r="U2633" i="14"/>
  <c r="U2224" i="14"/>
  <c r="U1664" i="14"/>
  <c r="U1374" i="14"/>
  <c r="U1157" i="14"/>
  <c r="U1078" i="14"/>
  <c r="U952" i="14"/>
  <c r="U718" i="14"/>
  <c r="U593" i="14"/>
  <c r="U340" i="14"/>
  <c r="U276" i="14"/>
  <c r="U148" i="14"/>
  <c r="U84" i="14"/>
  <c r="U20" i="14"/>
  <c r="U1077" i="14"/>
  <c r="M816" i="14"/>
  <c r="U598" i="14"/>
  <c r="U440" i="14"/>
  <c r="U297" i="14"/>
  <c r="U169" i="14"/>
  <c r="U41" i="14"/>
  <c r="U484" i="14"/>
  <c r="U229" i="14"/>
  <c r="U2189" i="14"/>
  <c r="U1089" i="14"/>
  <c r="U525" i="14"/>
  <c r="M382" i="14"/>
  <c r="U1210" i="14"/>
  <c r="U828" i="14"/>
  <c r="U1393" i="14"/>
  <c r="U897" i="14"/>
  <c r="U694" i="14"/>
  <c r="U474" i="14"/>
  <c r="U820" i="14"/>
  <c r="U125" i="14"/>
  <c r="U2502" i="14"/>
  <c r="U1942" i="14"/>
  <c r="U1522" i="14"/>
  <c r="U1368" i="14"/>
  <c r="U1213" i="14"/>
  <c r="U1041" i="14"/>
  <c r="U962" i="14"/>
  <c r="U853" i="14"/>
  <c r="U770" i="14"/>
  <c r="U650" i="14"/>
  <c r="U477" i="14"/>
  <c r="U413" i="14"/>
  <c r="U334" i="14"/>
  <c r="U270" i="14"/>
  <c r="U206" i="14"/>
  <c r="U142" i="14"/>
  <c r="U78" i="14"/>
  <c r="U14" i="14"/>
  <c r="U2426" i="14"/>
  <c r="M1896" i="14"/>
  <c r="U1498" i="14"/>
  <c r="U1300" i="14"/>
  <c r="U1130" i="14"/>
  <c r="M2534" i="14"/>
  <c r="U2084" i="14"/>
  <c r="M1524" i="14"/>
  <c r="U1350" i="14"/>
  <c r="U996" i="14"/>
  <c r="U902" i="14"/>
  <c r="U652" i="14"/>
  <c r="U573" i="14"/>
  <c r="U320" i="14"/>
  <c r="M256" i="14"/>
  <c r="U192" i="14"/>
  <c r="U128" i="14"/>
  <c r="U64" i="14"/>
  <c r="U2356" i="14"/>
  <c r="U1538" i="14"/>
  <c r="U1046" i="14"/>
  <c r="U808" i="14"/>
  <c r="U590" i="14"/>
  <c r="U432" i="14"/>
  <c r="U289" i="14"/>
  <c r="U161" i="14"/>
  <c r="U33" i="14"/>
  <c r="U404" i="14"/>
  <c r="U165" i="14"/>
  <c r="U1385" i="14"/>
  <c r="U893" i="14"/>
  <c r="U690" i="14"/>
  <c r="U470" i="14"/>
  <c r="U2166" i="14"/>
  <c r="U993" i="14"/>
  <c r="U237" i="14"/>
  <c r="U1377" i="14"/>
  <c r="U889" i="14"/>
  <c r="U686" i="14"/>
  <c r="U466" i="14"/>
  <c r="U804" i="14"/>
  <c r="U109" i="14"/>
  <c r="U2438" i="14"/>
  <c r="U1897" i="14"/>
  <c r="U1514" i="14"/>
  <c r="U1209" i="14"/>
  <c r="U1037" i="14"/>
  <c r="U958" i="14"/>
  <c r="U849" i="14"/>
  <c r="U724" i="14"/>
  <c r="U536" i="14"/>
  <c r="U457" i="14"/>
  <c r="U393" i="14"/>
  <c r="U314" i="14"/>
  <c r="U250" i="14"/>
  <c r="U186" i="14"/>
  <c r="U122" i="14"/>
  <c r="U58" i="14"/>
  <c r="U1005" i="14"/>
  <c r="U2785" i="14"/>
  <c r="U2346" i="14"/>
  <c r="M1892" i="14"/>
  <c r="U1422" i="14"/>
  <c r="U1189" i="14"/>
  <c r="U1048" i="14"/>
  <c r="U2292" i="14"/>
  <c r="U1672" i="14"/>
  <c r="U1382" i="14"/>
  <c r="U1149" i="14"/>
  <c r="U1066" i="14"/>
  <c r="U960" i="14"/>
  <c r="U757" i="14"/>
  <c r="U617" i="14"/>
  <c r="U538" i="14"/>
  <c r="U300" i="14"/>
  <c r="U236" i="14"/>
  <c r="U172" i="14"/>
  <c r="U108" i="14"/>
  <c r="U44" i="14"/>
  <c r="U1466" i="14"/>
  <c r="U1030" i="14"/>
  <c r="U800" i="14"/>
  <c r="U488" i="14"/>
  <c r="U345" i="14"/>
  <c r="U217" i="14"/>
  <c r="U89" i="14"/>
  <c r="U452" i="14"/>
  <c r="U205" i="14"/>
  <c r="U1958" i="14"/>
  <c r="U1042" i="14"/>
  <c r="U729" i="14"/>
  <c r="M541" i="14"/>
  <c r="U398" i="14"/>
  <c r="U1381" i="14"/>
  <c r="U985" i="14"/>
  <c r="U293" i="14"/>
  <c r="U1470" i="14"/>
  <c r="U1034" i="14"/>
  <c r="U1492" i="14"/>
  <c r="U1237" i="14"/>
  <c r="U628" i="14"/>
  <c r="M758" i="14"/>
  <c r="U2226" i="14"/>
  <c r="U1666" i="14"/>
  <c r="U1376" i="14"/>
  <c r="U1297" i="14"/>
  <c r="U1080" i="14"/>
  <c r="U986" i="14"/>
  <c r="U892" i="14"/>
  <c r="U813" i="14"/>
  <c r="U658" i="14"/>
  <c r="M485" i="14"/>
  <c r="U421" i="14"/>
  <c r="U342" i="14"/>
  <c r="U278" i="14"/>
  <c r="U214" i="14"/>
  <c r="M150" i="14"/>
  <c r="U86" i="14"/>
  <c r="U22" i="14"/>
  <c r="U2358" i="14"/>
  <c r="U1964" i="14"/>
  <c r="U1525" i="14"/>
  <c r="U1308" i="14"/>
  <c r="U1154" i="14"/>
  <c r="U2561" i="14"/>
  <c r="M2152" i="14"/>
  <c r="U1562" i="14"/>
  <c r="U1378" i="14"/>
  <c r="U1145" i="14"/>
  <c r="U1004" i="14"/>
  <c r="U940" i="14"/>
  <c r="U722" i="14"/>
  <c r="U581" i="14"/>
  <c r="U328" i="14"/>
  <c r="U264" i="14"/>
  <c r="U200" i="14"/>
  <c r="U136" i="14"/>
  <c r="U72" i="14"/>
  <c r="U8" i="14"/>
  <c r="U1750" i="14"/>
  <c r="U965" i="14"/>
  <c r="U792" i="14"/>
  <c r="U480" i="14"/>
  <c r="U337" i="14"/>
  <c r="U209" i="14"/>
  <c r="U81" i="14"/>
  <c r="U500" i="14"/>
  <c r="U245" i="14"/>
  <c r="U2306" i="14"/>
  <c r="M1214" i="14"/>
  <c r="U830" i="14"/>
  <c r="U612" i="14"/>
  <c r="U454" i="14"/>
  <c r="U1365" i="14"/>
  <c r="U977" i="14"/>
  <c r="U197" i="14"/>
  <c r="U1330" i="14"/>
  <c r="M826" i="14"/>
  <c r="U576" i="14"/>
  <c r="U418" i="14"/>
  <c r="U649" i="14"/>
  <c r="U333" i="14"/>
  <c r="U678" i="14"/>
  <c r="U490" i="14"/>
  <c r="M358" i="14"/>
  <c r="U492" i="14"/>
  <c r="U29" i="14"/>
  <c r="U1388" i="14"/>
  <c r="M1309" i="14"/>
  <c r="U1092" i="14"/>
  <c r="U998" i="14"/>
  <c r="U930" i="14"/>
  <c r="U825" i="14"/>
  <c r="U685" i="14"/>
  <c r="U497" i="14"/>
  <c r="U433" i="14"/>
  <c r="U369" i="14"/>
  <c r="U290" i="14"/>
  <c r="U226" i="14"/>
  <c r="U162" i="14"/>
  <c r="U98" i="14"/>
  <c r="U34" i="14"/>
  <c r="U2486" i="14"/>
  <c r="U1926" i="14"/>
  <c r="U1521" i="14"/>
  <c r="U1304" i="14"/>
  <c r="U1150" i="14"/>
  <c r="U2542" i="14"/>
  <c r="U2114" i="14"/>
  <c r="M1554" i="14"/>
  <c r="U1358" i="14"/>
  <c r="U1141" i="14"/>
  <c r="U1000" i="14"/>
  <c r="U936" i="14"/>
  <c r="U656" i="14"/>
  <c r="U577" i="14"/>
  <c r="U324" i="14"/>
  <c r="U260" i="14"/>
  <c r="U196" i="14"/>
  <c r="U132" i="14"/>
  <c r="U68" i="14"/>
  <c r="U2386" i="14"/>
  <c r="U1389" i="14"/>
  <c r="U989" i="14"/>
  <c r="U754" i="14"/>
  <c r="U566" i="14"/>
  <c r="U408" i="14"/>
  <c r="U265" i="14"/>
  <c r="U137" i="14"/>
  <c r="U9" i="14"/>
  <c r="U420" i="14"/>
  <c r="U181" i="14"/>
  <c r="U1686" i="14"/>
  <c r="U901" i="14"/>
  <c r="U713" i="14"/>
  <c r="U478" i="14"/>
  <c r="M1818" i="14"/>
  <c r="U1116" i="14"/>
  <c r="U688" i="14"/>
  <c r="U1314" i="14"/>
  <c r="U850" i="14"/>
  <c r="U600" i="14"/>
  <c r="U442" i="14"/>
  <c r="U618" i="14"/>
  <c r="U61" i="14"/>
  <c r="U2294" i="14"/>
  <c r="U1825" i="14"/>
  <c r="U1442" i="14"/>
  <c r="U1337" i="14"/>
  <c r="U1182" i="14"/>
  <c r="U1010" i="14"/>
  <c r="U946" i="14"/>
  <c r="U837" i="14"/>
  <c r="U728" i="14"/>
  <c r="U540" i="14"/>
  <c r="U461" i="14"/>
  <c r="U397" i="14"/>
  <c r="U318" i="14"/>
  <c r="U254" i="14"/>
  <c r="U190" i="14"/>
  <c r="U126" i="14"/>
  <c r="U62" i="14"/>
  <c r="U1009" i="14"/>
  <c r="U2350" i="14"/>
  <c r="U1790" i="14"/>
  <c r="U1426" i="14"/>
  <c r="U1208" i="14"/>
  <c r="U1110" i="14"/>
  <c r="U2357" i="14"/>
  <c r="U1838" i="14"/>
  <c r="U1402" i="14"/>
  <c r="U1261" i="14"/>
  <c r="U1121" i="14"/>
  <c r="U980" i="14"/>
  <c r="U886" i="14"/>
  <c r="U621" i="14"/>
  <c r="U542" i="14"/>
  <c r="U304" i="14"/>
  <c r="U240" i="14"/>
  <c r="U176" i="14"/>
  <c r="U112" i="14"/>
  <c r="U48" i="14"/>
  <c r="U2598" i="14"/>
  <c r="U1373" i="14"/>
  <c r="U981" i="14"/>
  <c r="U742" i="14"/>
  <c r="U554" i="14"/>
  <c r="U400" i="14"/>
  <c r="U257" i="14"/>
  <c r="U129" i="14"/>
  <c r="U641" i="14"/>
  <c r="U325" i="14"/>
  <c r="U101" i="14"/>
  <c r="M1306" i="14"/>
  <c r="U846" i="14"/>
  <c r="U596" i="14"/>
  <c r="U438" i="14"/>
  <c r="U1397" i="14"/>
  <c r="U961" i="14"/>
  <c r="M157" i="14"/>
  <c r="U1298" i="14"/>
  <c r="U842" i="14"/>
  <c r="U592" i="14"/>
  <c r="U434" i="14"/>
  <c r="U602" i="14"/>
  <c r="U45" i="14"/>
  <c r="U1802" i="14"/>
  <c r="U1396" i="14"/>
  <c r="U1317" i="14"/>
  <c r="U1174" i="14"/>
  <c r="U1006" i="14"/>
  <c r="U942" i="14"/>
  <c r="U833" i="14"/>
  <c r="U693" i="14"/>
  <c r="U505" i="14"/>
  <c r="U441" i="14"/>
  <c r="U377" i="14"/>
  <c r="U298" i="14"/>
  <c r="U234" i="14"/>
  <c r="U170" i="14"/>
  <c r="U106" i="14"/>
  <c r="U42" i="14"/>
  <c r="U2634" i="14"/>
  <c r="U2225" i="14"/>
  <c r="U1782" i="14"/>
  <c r="U1328" i="14"/>
  <c r="U1158" i="14"/>
  <c r="U1520" i="14"/>
  <c r="U1366" i="14"/>
  <c r="U1133" i="14"/>
  <c r="U1008" i="14"/>
  <c r="U944" i="14"/>
  <c r="U726" i="14"/>
  <c r="U601" i="14"/>
  <c r="U518" i="14"/>
  <c r="U284" i="14"/>
  <c r="U220" i="14"/>
  <c r="M156" i="14"/>
  <c r="U92" i="14"/>
  <c r="U28" i="14"/>
  <c r="U2590" i="14"/>
  <c r="U1357" i="14"/>
  <c r="U973" i="14"/>
  <c r="U676" i="14"/>
  <c r="U456" i="14"/>
  <c r="U313" i="14"/>
  <c r="U185" i="14"/>
  <c r="U57" i="14"/>
  <c r="M388" i="14"/>
  <c r="U149" i="14"/>
  <c r="U1369" i="14"/>
  <c r="U885" i="14"/>
  <c r="U682" i="14"/>
  <c r="M494" i="14"/>
  <c r="U366" i="14"/>
  <c r="U1302" i="14"/>
  <c r="U953" i="14"/>
  <c r="U213" i="14"/>
  <c r="U1361" i="14"/>
  <c r="U881" i="14"/>
  <c r="U462" i="14"/>
  <c r="M2049" i="14"/>
  <c r="U860" i="14"/>
  <c r="M1894" i="14"/>
  <c r="U1128" i="14"/>
  <c r="U2146" i="14"/>
  <c r="U1560" i="14"/>
  <c r="U1360" i="14"/>
  <c r="U1236" i="14"/>
  <c r="U1049" i="14"/>
  <c r="M970" i="14"/>
  <c r="U861" i="14"/>
  <c r="U797" i="14"/>
  <c r="U642" i="14"/>
  <c r="U469" i="14"/>
  <c r="U405" i="14"/>
  <c r="U326" i="14"/>
  <c r="U262" i="14"/>
  <c r="U198" i="14"/>
  <c r="U134" i="14"/>
  <c r="U70" i="14"/>
  <c r="U1036" i="14"/>
  <c r="U2338" i="14"/>
  <c r="U1854" i="14"/>
  <c r="U1464" i="14"/>
  <c r="U1262" i="14"/>
  <c r="U1138" i="14"/>
  <c r="U2425" i="14"/>
  <c r="U2042" i="14"/>
  <c r="U1482" i="14"/>
  <c r="U1362" i="14"/>
  <c r="U1129" i="14"/>
  <c r="U988" i="14"/>
  <c r="U894" i="14"/>
  <c r="U644" i="14"/>
  <c r="U565" i="14"/>
  <c r="M312" i="14"/>
  <c r="U248" i="14"/>
  <c r="U184" i="14"/>
  <c r="U120" i="14"/>
  <c r="U56" i="14"/>
  <c r="U2348" i="14"/>
  <c r="U1420" i="14"/>
  <c r="U914" i="14"/>
  <c r="U653" i="14"/>
  <c r="U448" i="14"/>
  <c r="U305" i="14"/>
  <c r="U177" i="14"/>
  <c r="U49" i="14"/>
  <c r="U436" i="14"/>
  <c r="U189" i="14"/>
  <c r="U1826" i="14"/>
  <c r="U1120" i="14"/>
  <c r="U798" i="14"/>
  <c r="U580" i="14"/>
  <c r="U422" i="14"/>
  <c r="U1241" i="14"/>
  <c r="U945" i="14"/>
  <c r="U2238" i="14"/>
  <c r="U1202" i="14"/>
  <c r="U794" i="14"/>
  <c r="M529" i="14"/>
  <c r="U386" i="14"/>
  <c r="U570" i="14"/>
  <c r="U77" i="14"/>
  <c r="U616" i="14"/>
  <c r="U458" i="14"/>
  <c r="U796" i="14"/>
  <c r="U428" i="14"/>
  <c r="U2086" i="14"/>
  <c r="U1658" i="14"/>
  <c r="U1274" i="14"/>
  <c r="U1076" i="14"/>
  <c r="U982" i="14"/>
  <c r="U888" i="14"/>
  <c r="U809" i="14"/>
  <c r="U654" i="14"/>
  <c r="U481" i="14"/>
  <c r="U417" i="14"/>
  <c r="U338" i="14"/>
  <c r="U274" i="14"/>
  <c r="U210" i="14"/>
  <c r="U146" i="14"/>
  <c r="U82" i="14"/>
  <c r="U18" i="14"/>
  <c r="U2354" i="14"/>
  <c r="U1824" i="14"/>
  <c r="U1430" i="14"/>
  <c r="U1254" i="14"/>
  <c r="U1134" i="14"/>
  <c r="U2402" i="14"/>
  <c r="U1978" i="14"/>
  <c r="U1421" i="14"/>
  <c r="U1230" i="14"/>
  <c r="U1125" i="14"/>
  <c r="U984" i="14"/>
  <c r="U890" i="14"/>
  <c r="U640" i="14"/>
  <c r="U308" i="14"/>
  <c r="U244" i="14"/>
  <c r="U180" i="14"/>
  <c r="U116" i="14"/>
  <c r="U52" i="14"/>
  <c r="U1310" i="14"/>
  <c r="U957" i="14"/>
  <c r="U692" i="14"/>
  <c r="U504" i="14"/>
  <c r="U376" i="14"/>
  <c r="U233" i="14"/>
  <c r="U105" i="14"/>
  <c r="U657" i="14"/>
  <c r="U341" i="14"/>
  <c r="U117" i="14"/>
  <c r="U1401" i="14"/>
  <c r="U854" i="14"/>
  <c r="M604" i="14"/>
  <c r="U446" i="14"/>
  <c r="M1428" i="14"/>
  <c r="U969" i="14"/>
  <c r="U253" i="14"/>
  <c r="U1160" i="14"/>
  <c r="U818" i="14"/>
  <c r="U568" i="14"/>
  <c r="U410" i="14"/>
  <c r="U460" i="14"/>
  <c r="U802" i="14"/>
  <c r="U2188" i="14"/>
  <c r="U1674" i="14"/>
  <c r="U1321" i="14"/>
  <c r="M1088" i="14"/>
  <c r="U994" i="14"/>
  <c r="U900" i="14"/>
  <c r="U821" i="14"/>
  <c r="U712" i="14"/>
  <c r="U524" i="14"/>
  <c r="U445" i="14"/>
  <c r="U381" i="14"/>
  <c r="U302" i="14"/>
  <c r="U238" i="14"/>
  <c r="U174" i="14"/>
  <c r="U110" i="14"/>
  <c r="U46" i="14"/>
  <c r="U2270" i="14"/>
  <c r="U1669" i="14"/>
  <c r="U1332" i="14"/>
  <c r="U1162" i="14"/>
  <c r="U1052" i="14"/>
  <c r="U2322" i="14"/>
  <c r="U1702" i="14"/>
  <c r="U1386" i="14"/>
  <c r="U1184" i="14"/>
  <c r="U1090" i="14"/>
  <c r="U964" i="14"/>
  <c r="U730" i="14"/>
  <c r="M605" i="14"/>
  <c r="M526" i="14"/>
  <c r="U288" i="14"/>
  <c r="U224" i="14"/>
  <c r="U160" i="14"/>
  <c r="U96" i="14"/>
  <c r="U32" i="14"/>
  <c r="U2518" i="14"/>
  <c r="U1290" i="14"/>
  <c r="U949" i="14"/>
  <c r="U684" i="14"/>
  <c r="U496" i="14"/>
  <c r="U368" i="14"/>
  <c r="U225" i="14"/>
  <c r="U97" i="14"/>
  <c r="U562" i="14"/>
  <c r="U269" i="14"/>
  <c r="U37" i="14"/>
  <c r="U1152" i="14"/>
  <c r="U814" i="14"/>
  <c r="U564" i="14"/>
  <c r="U406" i="14"/>
  <c r="U1318" i="14"/>
  <c r="U812" i="14"/>
  <c r="U1144" i="14"/>
  <c r="U810" i="14"/>
  <c r="U560" i="14"/>
  <c r="U402" i="14"/>
  <c r="U444" i="14"/>
  <c r="U2154" i="14"/>
  <c r="U1670" i="14"/>
  <c r="U1380" i="14"/>
  <c r="U1301" i="14"/>
  <c r="U1084" i="14"/>
  <c r="U990" i="14"/>
  <c r="U896" i="14"/>
  <c r="U817" i="14"/>
  <c r="U677" i="14"/>
  <c r="U489" i="14"/>
  <c r="U425" i="14"/>
  <c r="U346" i="14"/>
  <c r="U282" i="14"/>
  <c r="U218" i="14"/>
  <c r="M154" i="14"/>
  <c r="U90" i="14"/>
  <c r="U26" i="14"/>
  <c r="U2554" i="14"/>
  <c r="U2130" i="14"/>
  <c r="U1665" i="14"/>
  <c r="U1312" i="14"/>
  <c r="U1142" i="14"/>
  <c r="U2470" i="14"/>
  <c r="U2050" i="14"/>
  <c r="U1429" i="14"/>
  <c r="U1242" i="14"/>
  <c r="U1117" i="14"/>
  <c r="U992" i="14"/>
  <c r="M898" i="14"/>
  <c r="U706" i="14"/>
  <c r="U585" i="14"/>
  <c r="U332" i="14"/>
  <c r="U268" i="14"/>
  <c r="U204" i="14"/>
  <c r="U140" i="14"/>
  <c r="U76" i="14"/>
  <c r="U12" i="14"/>
  <c r="U2454" i="14"/>
  <c r="U2344" i="14"/>
  <c r="U1218" i="14"/>
  <c r="U941" i="14"/>
  <c r="M614" i="14"/>
  <c r="U424" i="14"/>
  <c r="U281" i="14"/>
  <c r="M153" i="14"/>
  <c r="U25" i="14"/>
  <c r="U309" i="14"/>
  <c r="M85" i="14"/>
  <c r="U1260" i="14"/>
  <c r="U838" i="14"/>
  <c r="U620" i="14"/>
  <c r="U1148" i="14"/>
  <c r="U141" i="14"/>
  <c r="U725" i="14"/>
  <c r="U852" i="14"/>
  <c r="U2218" i="14"/>
  <c r="U212" i="14"/>
  <c r="U1333" i="14"/>
  <c r="U2286" i="14"/>
  <c r="U1734" i="14"/>
  <c r="U1137" i="14"/>
  <c r="U1400" i="14"/>
  <c r="M2182" i="14"/>
  <c r="U884" i="14"/>
  <c r="U2098" i="14"/>
  <c r="U2026" i="14"/>
  <c r="V4339" i="14"/>
  <c r="V4341" i="14"/>
  <c r="V4371" i="14"/>
  <c r="V4373" i="14"/>
  <c r="M4414" i="14"/>
  <c r="U4414" i="14"/>
  <c r="V349" i="14"/>
  <c r="V4291" i="14"/>
  <c r="V4293" i="14"/>
  <c r="L4398" i="14"/>
  <c r="M4398" i="14" s="1"/>
  <c r="U4398" i="14"/>
  <c r="M2010" i="14"/>
  <c r="M1033" i="14"/>
  <c r="M532" i="14"/>
  <c r="M1001" i="14"/>
  <c r="M1718" i="14"/>
  <c r="M3614" i="14"/>
  <c r="M1425" i="14"/>
  <c r="M874" i="14"/>
  <c r="M232" i="14"/>
  <c r="M856" i="14"/>
  <c r="M145" i="14"/>
  <c r="M476" i="14"/>
  <c r="M2540" i="14"/>
  <c r="M793" i="14"/>
  <c r="M66" i="14"/>
  <c r="M1118" i="14"/>
  <c r="M968" i="14"/>
  <c r="M36" i="14"/>
  <c r="M329" i="14"/>
  <c r="M572" i="14"/>
  <c r="M378" i="14"/>
  <c r="M30" i="14"/>
  <c r="M1032" i="14"/>
  <c r="M948" i="14"/>
  <c r="M16" i="14"/>
  <c r="M321" i="14"/>
  <c r="M502" i="14"/>
  <c r="M1561" i="14"/>
  <c r="M2574" i="14"/>
  <c r="M801" i="14"/>
  <c r="M74" i="14"/>
  <c r="M1126" i="14"/>
  <c r="M976" i="14"/>
  <c r="M60" i="14"/>
  <c r="M392" i="14"/>
  <c r="M4094" i="14"/>
  <c r="M938" i="14"/>
  <c r="M437" i="14"/>
  <c r="M2626" i="14"/>
  <c r="M2254" i="14"/>
  <c r="M344" i="14"/>
  <c r="M2560" i="14"/>
  <c r="M301" i="14"/>
  <c r="M277" i="14"/>
  <c r="M537" i="14"/>
  <c r="M1465" i="14"/>
  <c r="M1320" i="14"/>
  <c r="M2633" i="14"/>
  <c r="M1157" i="14"/>
  <c r="M593" i="14"/>
  <c r="M84" i="14"/>
  <c r="M1077" i="14"/>
  <c r="M297" i="14"/>
  <c r="M229" i="14"/>
  <c r="M897" i="14"/>
  <c r="M125" i="14"/>
  <c r="M1942" i="14"/>
  <c r="M1041" i="14"/>
  <c r="M650" i="14"/>
  <c r="M270" i="14"/>
  <c r="M14" i="14"/>
  <c r="L3998" i="14"/>
  <c r="M3998" i="14" s="1"/>
  <c r="M652" i="14"/>
  <c r="M192" i="14"/>
  <c r="M193" i="14"/>
  <c r="M1614" i="14"/>
  <c r="M374" i="14"/>
  <c r="M1050" i="14"/>
  <c r="M380" i="14"/>
  <c r="M2048" i="14"/>
  <c r="M1053" i="14"/>
  <c r="M646" i="14"/>
  <c r="M266" i="14"/>
  <c r="M10" i="14"/>
  <c r="M1994" i="14"/>
  <c r="M3678" i="14"/>
  <c r="M1398" i="14"/>
  <c r="M882" i="14"/>
  <c r="M252" i="14"/>
  <c r="M1124" i="14"/>
  <c r="M249" i="14"/>
  <c r="M21" i="14"/>
  <c r="M430" i="14"/>
  <c r="M832" i="14"/>
  <c r="M121" i="14"/>
  <c r="M1136" i="14"/>
  <c r="M1606" i="14"/>
  <c r="L2646" i="14"/>
  <c r="M2646" i="14" s="1"/>
  <c r="M1096" i="14"/>
  <c r="M689" i="14"/>
  <c r="M294" i="14"/>
  <c r="M38" i="14"/>
  <c r="M1642" i="14"/>
  <c r="M1394" i="14"/>
  <c r="M753" i="14"/>
  <c r="M216" i="14"/>
  <c r="M824" i="14"/>
  <c r="M113" i="14"/>
  <c r="M1898" i="14"/>
  <c r="M858" i="14"/>
  <c r="M412" i="14"/>
  <c r="M586" i="14"/>
  <c r="M2370" i="14"/>
  <c r="M1186" i="14"/>
  <c r="M716" i="14"/>
  <c r="M306" i="14"/>
  <c r="M50" i="14"/>
  <c r="M2062" i="14"/>
  <c r="M1040" i="14"/>
  <c r="M1664" i="14"/>
  <c r="M952" i="14"/>
  <c r="M276" i="14"/>
  <c r="M3406" i="14"/>
  <c r="M598" i="14"/>
  <c r="M41" i="14"/>
  <c r="M1089" i="14"/>
  <c r="M828" i="14"/>
  <c r="M474" i="14"/>
  <c r="M2960" i="14"/>
  <c r="M1368" i="14"/>
  <c r="M853" i="14"/>
  <c r="M413" i="14"/>
  <c r="M142" i="14"/>
  <c r="M2940" i="14"/>
  <c r="M1300" i="14"/>
  <c r="M996" i="14"/>
  <c r="M320" i="14"/>
  <c r="M64" i="14"/>
  <c r="M1538" i="14"/>
  <c r="M432" i="14"/>
  <c r="M404" i="14"/>
  <c r="M690" i="14"/>
  <c r="M237" i="14"/>
  <c r="M466" i="14"/>
  <c r="M2941" i="14"/>
  <c r="M1209" i="14"/>
  <c r="M724" i="14"/>
  <c r="M314" i="14"/>
  <c r="M58" i="14"/>
  <c r="M2346" i="14"/>
  <c r="M1048" i="14"/>
  <c r="M1672" i="14"/>
  <c r="M960" i="14"/>
  <c r="M300" i="14"/>
  <c r="M44" i="14"/>
  <c r="M1466" i="14"/>
  <c r="M345" i="14"/>
  <c r="M205" i="14"/>
  <c r="M293" i="14"/>
  <c r="M1190" i="14"/>
  <c r="M720" i="14"/>
  <c r="M310" i="14"/>
  <c r="M54" i="14"/>
  <c r="M2202" i="14"/>
  <c r="M1122" i="14"/>
  <c r="M1789" i="14"/>
  <c r="M972" i="14"/>
  <c r="M40" i="14"/>
  <c r="M1326" i="14"/>
  <c r="M273" i="14"/>
  <c r="M133" i="14"/>
  <c r="M533" i="14"/>
  <c r="M1788" i="14"/>
  <c r="M836" i="14"/>
  <c r="M426" i="14"/>
  <c r="M1356" i="14"/>
  <c r="M857" i="14"/>
  <c r="M401" i="14"/>
  <c r="M130" i="14"/>
  <c r="M2758" i="14"/>
  <c r="M1212" i="14"/>
  <c r="M2345" i="14"/>
  <c r="M1094" i="14"/>
  <c r="M530" i="14"/>
  <c r="M100" i="14"/>
  <c r="M2541" i="14"/>
  <c r="M472" i="14"/>
  <c r="M578" i="14"/>
  <c r="M822" i="14"/>
  <c r="M937" i="14"/>
  <c r="M3198" i="14"/>
  <c r="M1384" i="14"/>
  <c r="M805" i="14"/>
  <c r="M365" i="14"/>
  <c r="M94" i="14"/>
  <c r="M2562" i="14"/>
  <c r="M1146" i="14"/>
  <c r="M2190" i="14"/>
  <c r="M1074" i="14"/>
  <c r="M336" i="14"/>
  <c r="M80" i="14"/>
  <c r="M1966" i="14"/>
  <c r="M464" i="14"/>
  <c r="M468" i="14"/>
  <c r="M752" i="14"/>
  <c r="M317" i="14"/>
  <c r="M3118" i="14"/>
  <c r="M1364" i="14"/>
  <c r="M880" i="14"/>
  <c r="M409" i="14"/>
  <c r="M138" i="14"/>
  <c r="M2936" i="14"/>
  <c r="M2353" i="14"/>
  <c r="M1086" i="14"/>
  <c r="M569" i="14"/>
  <c r="M124" i="14"/>
  <c r="M2352" i="14"/>
  <c r="M582" i="14"/>
  <c r="M610" i="14"/>
  <c r="M806" i="14"/>
  <c r="M1054" i="14"/>
  <c r="M1002" i="14"/>
  <c r="M501" i="14"/>
  <c r="M230" i="14"/>
  <c r="M4014" i="14"/>
  <c r="M1324" i="14"/>
  <c r="M2678" i="14"/>
  <c r="M1161" i="14"/>
  <c r="M597" i="14"/>
  <c r="M152" i="14"/>
  <c r="M2926" i="14"/>
  <c r="M594" i="14"/>
  <c r="M1038" i="14"/>
  <c r="M608" i="14"/>
  <c r="M93" i="14"/>
  <c r="M1870" i="14"/>
  <c r="M1029" i="14"/>
  <c r="M242" i="14"/>
  <c r="M997" i="14"/>
  <c r="M1612" i="14"/>
  <c r="M1374" i="14"/>
  <c r="M718" i="14"/>
  <c r="M148" i="14"/>
  <c r="M2862" i="14"/>
  <c r="M440" i="14"/>
  <c r="M484" i="14"/>
  <c r="M525" i="14"/>
  <c r="M1393" i="14"/>
  <c r="M820" i="14"/>
  <c r="M2502" i="14"/>
  <c r="M1213" i="14"/>
  <c r="M770" i="14"/>
  <c r="M334" i="14"/>
  <c r="M78" i="14"/>
  <c r="M2426" i="14"/>
  <c r="M1130" i="14"/>
  <c r="M2084" i="14"/>
  <c r="M902" i="14"/>
  <c r="M4110" i="14"/>
  <c r="M1046" i="14"/>
  <c r="M289" i="14"/>
  <c r="M165" i="14"/>
  <c r="M470" i="14"/>
  <c r="M1377" i="14"/>
  <c r="M804" i="14"/>
  <c r="M2438" i="14"/>
  <c r="M1037" i="14"/>
  <c r="M536" i="14"/>
  <c r="M250" i="14"/>
  <c r="M1005" i="14"/>
  <c r="M3422" i="14"/>
  <c r="M1382" i="14"/>
  <c r="M757" i="14"/>
  <c r="M236" i="14"/>
  <c r="M3790" i="14"/>
  <c r="M1030" i="14"/>
  <c r="M217" i="14"/>
  <c r="M1958" i="14"/>
  <c r="M398" i="14"/>
  <c r="M1470" i="14"/>
  <c r="M1237" i="14"/>
  <c r="M1297" i="14"/>
  <c r="M813" i="14"/>
  <c r="M342" i="14"/>
  <c r="M86" i="14"/>
  <c r="M2358" i="14"/>
  <c r="M1154" i="14"/>
  <c r="M1004" i="14"/>
  <c r="M328" i="14"/>
  <c r="M72" i="14"/>
  <c r="M1750" i="14"/>
  <c r="M337" i="14"/>
  <c r="M245" i="14"/>
  <c r="M612" i="14"/>
  <c r="M197" i="14"/>
  <c r="M418" i="14"/>
  <c r="M490" i="14"/>
  <c r="M3518" i="14"/>
  <c r="M1092" i="14"/>
  <c r="M685" i="14"/>
  <c r="M290" i="14"/>
  <c r="M34" i="14"/>
  <c r="M1926" i="14"/>
  <c r="M4062" i="14"/>
  <c r="M936" i="14"/>
  <c r="M260" i="14"/>
  <c r="L4222" i="14"/>
  <c r="M4222" i="14" s="1"/>
  <c r="M989" i="14"/>
  <c r="M265" i="14"/>
  <c r="M181" i="14"/>
  <c r="M478" i="14"/>
  <c r="M1314" i="14"/>
  <c r="M618" i="14"/>
  <c r="M2294" i="14"/>
  <c r="M1182" i="14"/>
  <c r="M728" i="14"/>
  <c r="M318" i="14"/>
  <c r="M62" i="14"/>
  <c r="M2350" i="14"/>
  <c r="M1110" i="14"/>
  <c r="M1838" i="14"/>
  <c r="M980" i="14"/>
  <c r="M304" i="14"/>
  <c r="M48" i="14"/>
  <c r="M1373" i="14"/>
  <c r="M400" i="14"/>
  <c r="M325" i="14"/>
  <c r="M596" i="14"/>
  <c r="M434" i="14"/>
  <c r="M2846" i="14"/>
  <c r="M1174" i="14"/>
  <c r="M693" i="14"/>
  <c r="M298" i="14"/>
  <c r="M42" i="14"/>
  <c r="M2225" i="14"/>
  <c r="L4238" i="14"/>
  <c r="M4238" i="14" s="1"/>
  <c r="M1366" i="14"/>
  <c r="M726" i="14"/>
  <c r="M220" i="14"/>
  <c r="M3534" i="14"/>
  <c r="M973" i="14"/>
  <c r="M185" i="14"/>
  <c r="M1369" i="14"/>
  <c r="M366" i="14"/>
  <c r="M1361" i="14"/>
  <c r="M860" i="14"/>
  <c r="M2937" i="14"/>
  <c r="M1236" i="14"/>
  <c r="M797" i="14"/>
  <c r="M326" i="14"/>
  <c r="M70" i="14"/>
  <c r="M2338" i="14"/>
  <c r="M1138" i="14"/>
  <c r="M2042" i="14"/>
  <c r="M988" i="14"/>
  <c r="M56" i="14"/>
  <c r="M1420" i="14"/>
  <c r="M305" i="14"/>
  <c r="M189" i="14"/>
  <c r="M580" i="14"/>
  <c r="M2238" i="14"/>
  <c r="M386" i="14"/>
  <c r="M458" i="14"/>
  <c r="M1274" i="14"/>
  <c r="M809" i="14"/>
  <c r="M338" i="14"/>
  <c r="M82" i="14"/>
  <c r="M2354" i="14"/>
  <c r="M1134" i="14"/>
  <c r="M1978" i="14"/>
  <c r="M984" i="14"/>
  <c r="M244" i="14"/>
  <c r="M3918" i="14"/>
  <c r="M957" i="14"/>
  <c r="M233" i="14"/>
  <c r="M117" i="14"/>
  <c r="M446" i="14"/>
  <c r="M1160" i="14"/>
  <c r="M460" i="14"/>
  <c r="M2188" i="14"/>
  <c r="M994" i="14"/>
  <c r="M524" i="14"/>
  <c r="M238" i="14"/>
  <c r="M1669" i="14"/>
  <c r="M3486" i="14"/>
  <c r="M1386" i="14"/>
  <c r="M730" i="14"/>
  <c r="M224" i="14"/>
  <c r="M3598" i="14"/>
  <c r="M949" i="14"/>
  <c r="M225" i="14"/>
  <c r="M37" i="14"/>
  <c r="M406" i="14"/>
  <c r="M810" i="14"/>
  <c r="L4190" i="14"/>
  <c r="M4190" i="14" s="1"/>
  <c r="M1380" i="14"/>
  <c r="M896" i="14"/>
  <c r="M425" i="14"/>
  <c r="M3038" i="14"/>
  <c r="M1312" i="14"/>
  <c r="M2470" i="14"/>
  <c r="M1117" i="14"/>
  <c r="M585" i="14"/>
  <c r="M140" i="14"/>
  <c r="M2454" i="14"/>
  <c r="M25" i="14"/>
  <c r="M838" i="14"/>
  <c r="M725" i="14"/>
  <c r="M212" i="14"/>
  <c r="M1137" i="14"/>
  <c r="M4366" i="14"/>
  <c r="M2226" i="14"/>
  <c r="M1080" i="14"/>
  <c r="M658" i="14"/>
  <c r="M278" i="14"/>
  <c r="M22" i="14"/>
  <c r="M1964" i="14"/>
  <c r="L4126" i="14"/>
  <c r="M4126" i="14" s="1"/>
  <c r="M1562" i="14"/>
  <c r="M940" i="14"/>
  <c r="M264" i="14"/>
  <c r="M8" i="14"/>
  <c r="M965" i="14"/>
  <c r="M209" i="14"/>
  <c r="M2306" i="14"/>
  <c r="M454" i="14"/>
  <c r="M1330" i="14"/>
  <c r="M649" i="14"/>
  <c r="M2933" i="14"/>
  <c r="M998" i="14"/>
  <c r="M497" i="14"/>
  <c r="M226" i="14"/>
  <c r="M3950" i="14"/>
  <c r="M1521" i="14"/>
  <c r="M1358" i="14"/>
  <c r="M656" i="14"/>
  <c r="M196" i="14"/>
  <c r="M754" i="14"/>
  <c r="M137" i="14"/>
  <c r="L1686" i="14"/>
  <c r="M1686" i="14" s="1"/>
  <c r="M850" i="14"/>
  <c r="M61" i="14"/>
  <c r="M1825" i="14"/>
  <c r="M1010" i="14"/>
  <c r="M540" i="14"/>
  <c r="M254" i="14"/>
  <c r="M1009" i="14"/>
  <c r="M1790" i="14"/>
  <c r="M3742" i="14"/>
  <c r="M1402" i="14"/>
  <c r="M886" i="14"/>
  <c r="M240" i="14"/>
  <c r="L3854" i="14"/>
  <c r="M3854" i="14" s="1"/>
  <c r="M981" i="14"/>
  <c r="M257" i="14"/>
  <c r="M101" i="14"/>
  <c r="M438" i="14"/>
  <c r="M1298" i="14"/>
  <c r="M602" i="14"/>
  <c r="M1802" i="14"/>
  <c r="M1006" i="14"/>
  <c r="M505" i="14"/>
  <c r="M234" i="14"/>
  <c r="L4078" i="14"/>
  <c r="M4078" i="14" s="1"/>
  <c r="M1782" i="14"/>
  <c r="M1133" i="14"/>
  <c r="M601" i="14"/>
  <c r="M2934" i="14"/>
  <c r="M676" i="14"/>
  <c r="M57" i="14"/>
  <c r="M885" i="14"/>
  <c r="M1302" i="14"/>
  <c r="M881" i="14"/>
  <c r="M2146" i="14"/>
  <c r="M1049" i="14"/>
  <c r="M642" i="14"/>
  <c r="M262" i="14"/>
  <c r="M1036" i="14"/>
  <c r="M1854" i="14"/>
  <c r="M1482" i="14"/>
  <c r="M894" i="14"/>
  <c r="M248" i="14"/>
  <c r="L3982" i="14"/>
  <c r="M3982" i="14" s="1"/>
  <c r="M914" i="14"/>
  <c r="M177" i="14"/>
  <c r="M1826" i="14"/>
  <c r="M422" i="14"/>
  <c r="M1202" i="14"/>
  <c r="M570" i="14"/>
  <c r="M796" i="14"/>
  <c r="M2782" i="14"/>
  <c r="M1076" i="14"/>
  <c r="M654" i="14"/>
  <c r="M274" i="14"/>
  <c r="M18" i="14"/>
  <c r="M1824" i="14"/>
  <c r="L3806" i="14"/>
  <c r="M3806" i="14" s="1"/>
  <c r="M1421" i="14"/>
  <c r="M890" i="14"/>
  <c r="M180" i="14"/>
  <c r="M3134" i="14"/>
  <c r="M692" i="14"/>
  <c r="M105" i="14"/>
  <c r="M1401" i="14"/>
  <c r="M818" i="14"/>
  <c r="M802" i="14"/>
  <c r="M1674" i="14"/>
  <c r="M900" i="14"/>
  <c r="M445" i="14"/>
  <c r="M174" i="14"/>
  <c r="M3182" i="14"/>
  <c r="M1332" i="14"/>
  <c r="M2780" i="14"/>
  <c r="M1184" i="14"/>
  <c r="M160" i="14"/>
  <c r="M2938" i="14"/>
  <c r="M684" i="14"/>
  <c r="M97" i="14"/>
  <c r="M1152" i="14"/>
  <c r="M1318" i="14"/>
  <c r="M560" i="14"/>
  <c r="M2710" i="14"/>
  <c r="M1301" i="14"/>
  <c r="M817" i="14"/>
  <c r="M346" i="14"/>
  <c r="M90" i="14"/>
  <c r="M2554" i="14"/>
  <c r="M1142" i="14"/>
  <c r="M2050" i="14"/>
  <c r="M992" i="14"/>
  <c r="M332" i="14"/>
  <c r="M76" i="14"/>
  <c r="M2344" i="14"/>
  <c r="M424" i="14"/>
  <c r="M309" i="14"/>
  <c r="M620" i="14"/>
  <c r="M852" i="14"/>
  <c r="M1333" i="14"/>
  <c r="M1400" i="14"/>
  <c r="M2098" i="14"/>
  <c r="M4302" i="14"/>
  <c r="M1458" i="14"/>
  <c r="M390" i="14"/>
  <c r="M1217" i="14"/>
  <c r="M2293" i="14"/>
  <c r="M1766" i="14"/>
  <c r="M292" i="14"/>
  <c r="M1156" i="14"/>
  <c r="M285" i="14"/>
  <c r="M173" i="14"/>
  <c r="M2597" i="14"/>
  <c r="M1305" i="14"/>
  <c r="M286" i="14"/>
  <c r="M2153" i="14"/>
  <c r="M1626" i="14"/>
  <c r="M272" i="14"/>
  <c r="M1140" i="14"/>
  <c r="M221" i="14"/>
  <c r="M1240" i="14"/>
  <c r="M330" i="14"/>
  <c r="M2418" i="14"/>
  <c r="M1910" i="14"/>
  <c r="M316" i="14"/>
  <c r="L1886" i="14"/>
  <c r="M1886" i="14" s="1"/>
  <c r="M261" i="14"/>
  <c r="M588" i="14"/>
  <c r="M1392" i="14"/>
  <c r="M166" i="14"/>
  <c r="M1185" i="14"/>
  <c r="M1082" i="14"/>
  <c r="M88" i="14"/>
  <c r="M384" i="14"/>
  <c r="M670" i="14"/>
  <c r="M450" i="14"/>
  <c r="M950" i="14"/>
  <c r="M178" i="14"/>
  <c r="M808" i="14"/>
  <c r="M161" i="14"/>
  <c r="M1385" i="14"/>
  <c r="M2166" i="14"/>
  <c r="M889" i="14"/>
  <c r="M109" i="14"/>
  <c r="M1897" i="14"/>
  <c r="M958" i="14"/>
  <c r="M457" i="14"/>
  <c r="M186" i="14"/>
  <c r="M1422" i="14"/>
  <c r="M2878" i="14"/>
  <c r="M1149" i="14"/>
  <c r="M617" i="14"/>
  <c r="M172" i="14"/>
  <c r="M3006" i="14"/>
  <c r="M800" i="14"/>
  <c r="M89" i="14"/>
  <c r="M1042" i="14"/>
  <c r="M1381" i="14"/>
  <c r="M1034" i="14"/>
  <c r="M1666" i="14"/>
  <c r="M986" i="14"/>
  <c r="M214" i="14"/>
  <c r="M1525" i="14"/>
  <c r="M1378" i="14"/>
  <c r="M722" i="14"/>
  <c r="M200" i="14"/>
  <c r="M3214" i="14"/>
  <c r="M792" i="14"/>
  <c r="M81" i="14"/>
  <c r="M1365" i="14"/>
  <c r="M333" i="14"/>
  <c r="M492" i="14"/>
  <c r="M1388" i="14"/>
  <c r="M930" i="14"/>
  <c r="M433" i="14"/>
  <c r="M162" i="14"/>
  <c r="M1304" i="14"/>
  <c r="M2542" i="14"/>
  <c r="M1141" i="14"/>
  <c r="M577" i="14"/>
  <c r="M132" i="14"/>
  <c r="M2386" i="14"/>
  <c r="M566" i="14"/>
  <c r="M9" i="14"/>
  <c r="M901" i="14"/>
  <c r="M1116" i="14"/>
  <c r="M600" i="14"/>
  <c r="M3710" i="14"/>
  <c r="M1442" i="14"/>
  <c r="M946" i="14"/>
  <c r="M461" i="14"/>
  <c r="M190" i="14"/>
  <c r="M3374" i="14"/>
  <c r="M1426" i="14"/>
  <c r="M1261" i="14"/>
  <c r="M621" i="14"/>
  <c r="M176" i="14"/>
  <c r="M3070" i="14"/>
  <c r="M742" i="14"/>
  <c r="M129" i="14"/>
  <c r="M1397" i="14"/>
  <c r="M842" i="14"/>
  <c r="M45" i="14"/>
  <c r="M1396" i="14"/>
  <c r="M942" i="14"/>
  <c r="M441" i="14"/>
  <c r="M170" i="14"/>
  <c r="M1328" i="14"/>
  <c r="M2742" i="14"/>
  <c r="M1008" i="14"/>
  <c r="M518" i="14"/>
  <c r="M92" i="14"/>
  <c r="M2590" i="14"/>
  <c r="M456" i="14"/>
  <c r="M682" i="14"/>
  <c r="M953" i="14"/>
  <c r="M462" i="14"/>
  <c r="M1128" i="14"/>
  <c r="M1560" i="14"/>
  <c r="M469" i="14"/>
  <c r="M198" i="14"/>
  <c r="M1464" i="14"/>
  <c r="M3086" i="14"/>
  <c r="M1362" i="14"/>
  <c r="M644" i="14"/>
  <c r="M184" i="14"/>
  <c r="M653" i="14"/>
  <c r="M49" i="14"/>
  <c r="M1120" i="14"/>
  <c r="M1241" i="14"/>
  <c r="M794" i="14"/>
  <c r="M77" i="14"/>
  <c r="M428" i="14"/>
  <c r="M2086" i="14"/>
  <c r="M982" i="14"/>
  <c r="M481" i="14"/>
  <c r="M210" i="14"/>
  <c r="M3694" i="14"/>
  <c r="M1430" i="14"/>
  <c r="M3022" i="14"/>
  <c r="M1230" i="14"/>
  <c r="M640" i="14"/>
  <c r="M116" i="14"/>
  <c r="M2632" i="14"/>
  <c r="M504" i="14"/>
  <c r="M657" i="14"/>
  <c r="M854" i="14"/>
  <c r="M969" i="14"/>
  <c r="M568" i="14"/>
  <c r="M1321" i="14"/>
  <c r="M821" i="14"/>
  <c r="M381" i="14"/>
  <c r="M110" i="14"/>
  <c r="M2694" i="14"/>
  <c r="M1162" i="14"/>
  <c r="M2322" i="14"/>
  <c r="M1090" i="14"/>
  <c r="M96" i="14"/>
  <c r="M2518" i="14"/>
  <c r="M496" i="14"/>
  <c r="M562" i="14"/>
  <c r="M814" i="14"/>
  <c r="M812" i="14"/>
  <c r="M402" i="14"/>
  <c r="M2154" i="14"/>
  <c r="M1084" i="14"/>
  <c r="M677" i="14"/>
  <c r="M282" i="14"/>
  <c r="M26" i="14"/>
  <c r="M2130" i="14"/>
  <c r="M3934" i="14"/>
  <c r="M1429" i="14"/>
  <c r="M268" i="14"/>
  <c r="M12" i="14"/>
  <c r="M1218" i="14"/>
  <c r="M281" i="14"/>
  <c r="M1148" i="14"/>
  <c r="M2218" i="14"/>
  <c r="M2286" i="14"/>
  <c r="M2026" i="14"/>
  <c r="L4382" i="14"/>
  <c r="M4382" i="14" s="1"/>
  <c r="M4334" i="14"/>
  <c r="L4286" i="14"/>
  <c r="M4286" i="14" s="1"/>
  <c r="M1469" i="14"/>
  <c r="M453" i="14"/>
  <c r="M182" i="14"/>
  <c r="M3246" i="14"/>
  <c r="M1414" i="14"/>
  <c r="M2814" i="14"/>
  <c r="M1238" i="14"/>
  <c r="M613" i="14"/>
  <c r="M168" i="14"/>
  <c r="M606" i="14"/>
  <c r="M17" i="14"/>
  <c r="M1132" i="14"/>
  <c r="M717" i="14"/>
  <c r="M13" i="14"/>
  <c r="M364" i="14"/>
  <c r="M1965" i="14"/>
  <c r="M1045" i="14"/>
  <c r="M634" i="14"/>
  <c r="M258" i="14"/>
  <c r="M1028" i="14"/>
  <c r="M1673" i="14"/>
  <c r="M1390" i="14"/>
  <c r="M749" i="14"/>
  <c r="M228" i="14"/>
  <c r="M3662" i="14"/>
  <c r="M848" i="14"/>
  <c r="M201" i="14"/>
  <c r="M53" i="14"/>
  <c r="M414" i="14"/>
  <c r="M1081" i="14"/>
  <c r="M396" i="14"/>
  <c r="M2078" i="14"/>
  <c r="M1072" i="14"/>
  <c r="M493" i="14"/>
  <c r="M222" i="14"/>
  <c r="M1574" i="14"/>
  <c r="M3230" i="14"/>
  <c r="M714" i="14"/>
  <c r="M829" i="14"/>
  <c r="M373" i="14"/>
  <c r="M102" i="14"/>
  <c r="M2085" i="14"/>
  <c r="M1044" i="14"/>
  <c r="M1668" i="14"/>
  <c r="M956" i="14"/>
  <c r="M24" i="14"/>
  <c r="M1093" i="14"/>
  <c r="M241" i="14"/>
  <c r="M69" i="14"/>
  <c r="M1424" i="14"/>
  <c r="M2990" i="14"/>
  <c r="M1325" i="14"/>
  <c r="M841" i="14"/>
  <c r="M385" i="14"/>
  <c r="M114" i="14"/>
  <c r="M2596" i="14"/>
  <c r="M1181" i="14"/>
  <c r="M2224" i="14"/>
  <c r="M1078" i="14"/>
  <c r="M340" i="14"/>
  <c r="M20" i="14"/>
  <c r="M169" i="14"/>
  <c r="M2189" i="14"/>
  <c r="M1210" i="14"/>
  <c r="M694" i="14"/>
  <c r="M3966" i="14"/>
  <c r="M1522" i="14"/>
  <c r="M962" i="14"/>
  <c r="M477" i="14"/>
  <c r="M206" i="14"/>
  <c r="L3630" i="14"/>
  <c r="M3630" i="14" s="1"/>
  <c r="M1498" i="14"/>
  <c r="M1350" i="14"/>
  <c r="M573" i="14"/>
  <c r="M128" i="14"/>
  <c r="M2356" i="14"/>
  <c r="M590" i="14"/>
  <c r="M33" i="14"/>
  <c r="M893" i="14"/>
  <c r="M993" i="14"/>
  <c r="M686" i="14"/>
  <c r="M1514" i="14"/>
  <c r="M849" i="14"/>
  <c r="M393" i="14"/>
  <c r="M122" i="14"/>
  <c r="M2785" i="14"/>
  <c r="M1189" i="14"/>
  <c r="M2292" i="14"/>
  <c r="M1066" i="14"/>
  <c r="M538" i="14"/>
  <c r="M108" i="14"/>
  <c r="M2726" i="14"/>
  <c r="M488" i="14"/>
  <c r="M452" i="14"/>
  <c r="M729" i="14"/>
  <c r="M985" i="14"/>
  <c r="M1492" i="14"/>
  <c r="M1329" i="14"/>
  <c r="M845" i="14"/>
  <c r="M389" i="14"/>
  <c r="M118" i="14"/>
  <c r="M2781" i="14"/>
  <c r="M1216" i="14"/>
  <c r="M2349" i="14"/>
  <c r="M1098" i="14"/>
  <c r="M534" i="14"/>
  <c r="M104" i="14"/>
  <c r="M2662" i="14"/>
  <c r="M416" i="14"/>
  <c r="M372" i="14"/>
  <c r="M721" i="14"/>
  <c r="M844" i="14"/>
  <c r="M482" i="14"/>
  <c r="M584" i="14"/>
  <c r="M1526" i="14"/>
  <c r="M966" i="14"/>
  <c r="M465" i="14"/>
  <c r="M194" i="14"/>
  <c r="M2784" i="14"/>
  <c r="M1188" i="14"/>
  <c r="M609" i="14"/>
  <c r="M164" i="14"/>
  <c r="M2942" i="14"/>
  <c r="M645" i="14"/>
  <c r="M73" i="14"/>
  <c r="M1334" i="14"/>
  <c r="M756" i="14"/>
  <c r="L4254" i="14"/>
  <c r="M4254" i="14" s="1"/>
  <c r="M1613" i="14"/>
  <c r="M978" i="14"/>
  <c r="M429" i="14"/>
  <c r="M158" i="14"/>
  <c r="M3102" i="14"/>
  <c r="M1316" i="14"/>
  <c r="M2610" i="14"/>
  <c r="M1153" i="14"/>
  <c r="M589" i="14"/>
  <c r="M144" i="14"/>
  <c r="M2798" i="14"/>
  <c r="M622" i="14"/>
  <c r="M65" i="14"/>
  <c r="M1073" i="14"/>
  <c r="M1085" i="14"/>
  <c r="M748" i="14"/>
  <c r="M3902" i="14"/>
  <c r="M1590" i="14"/>
  <c r="M974" i="14"/>
  <c r="M473" i="14"/>
  <c r="M202" i="14"/>
  <c r="L3566" i="14"/>
  <c r="M3566" i="14" s="1"/>
  <c r="M2954" i="14"/>
  <c r="M1180" i="14"/>
  <c r="M648" i="14"/>
  <c r="M188" i="14"/>
  <c r="M1376" i="14"/>
  <c r="M892" i="14"/>
  <c r="M421" i="14"/>
  <c r="M2974" i="14"/>
  <c r="M1308" i="14"/>
  <c r="M2561" i="14"/>
  <c r="M1145" i="14"/>
  <c r="M581" i="14"/>
  <c r="M136" i="14"/>
  <c r="M2424" i="14"/>
  <c r="M480" i="14"/>
  <c r="M500" i="14"/>
  <c r="M830" i="14"/>
  <c r="M977" i="14"/>
  <c r="M576" i="14"/>
  <c r="M678" i="14"/>
  <c r="M29" i="14"/>
  <c r="M825" i="14"/>
  <c r="M369" i="14"/>
  <c r="M98" i="14"/>
  <c r="M2486" i="14"/>
  <c r="M1150" i="14"/>
  <c r="M2114" i="14"/>
  <c r="M1000" i="14"/>
  <c r="M324" i="14"/>
  <c r="M68" i="14"/>
  <c r="M1389" i="14"/>
  <c r="M408" i="14"/>
  <c r="M420" i="14"/>
  <c r="M713" i="14"/>
  <c r="M688" i="14"/>
  <c r="M442" i="14"/>
  <c r="M2910" i="14"/>
  <c r="M1337" i="14"/>
  <c r="M837" i="14"/>
  <c r="M397" i="14"/>
  <c r="M126" i="14"/>
  <c r="L2830" i="14"/>
  <c r="M2830" i="14" s="1"/>
  <c r="M1208" i="14"/>
  <c r="M2357" i="14"/>
  <c r="M1121" i="14"/>
  <c r="M542" i="14"/>
  <c r="M112" i="14"/>
  <c r="M2598" i="14"/>
  <c r="M554" i="14"/>
  <c r="M641" i="14"/>
  <c r="M846" i="14"/>
  <c r="M961" i="14"/>
  <c r="M592" i="14"/>
  <c r="M1317" i="14"/>
  <c r="M833" i="14"/>
  <c r="M377" i="14"/>
  <c r="M106" i="14"/>
  <c r="M2634" i="14"/>
  <c r="M1158" i="14"/>
  <c r="M1520" i="14"/>
  <c r="M944" i="14"/>
  <c r="M284" i="14"/>
  <c r="M28" i="14"/>
  <c r="M1357" i="14"/>
  <c r="M313" i="14"/>
  <c r="M149" i="14"/>
  <c r="M213" i="14"/>
  <c r="M3582" i="14"/>
  <c r="M1360" i="14"/>
  <c r="M861" i="14"/>
  <c r="M405" i="14"/>
  <c r="M134" i="14"/>
  <c r="M2932" i="14"/>
  <c r="M1262" i="14"/>
  <c r="M2425" i="14"/>
  <c r="M1129" i="14"/>
  <c r="M565" i="14"/>
  <c r="M120" i="14"/>
  <c r="M2348" i="14"/>
  <c r="M448" i="14"/>
  <c r="M436" i="14"/>
  <c r="M798" i="14"/>
  <c r="M945" i="14"/>
  <c r="M616" i="14"/>
  <c r="L4270" i="14"/>
  <c r="M4270" i="14" s="1"/>
  <c r="M1658" i="14"/>
  <c r="M888" i="14"/>
  <c r="M417" i="14"/>
  <c r="M146" i="14"/>
  <c r="M2894" i="14"/>
  <c r="M1254" i="14"/>
  <c r="M2402" i="14"/>
  <c r="M1125" i="14"/>
  <c r="M308" i="14"/>
  <c r="M52" i="14"/>
  <c r="M1310" i="14"/>
  <c r="M376" i="14"/>
  <c r="M341" i="14"/>
  <c r="M253" i="14"/>
  <c r="M410" i="14"/>
  <c r="M2774" i="14"/>
  <c r="M712" i="14"/>
  <c r="M302" i="14"/>
  <c r="M46" i="14"/>
  <c r="M2270" i="14"/>
  <c r="M1052" i="14"/>
  <c r="M1702" i="14"/>
  <c r="M964" i="14"/>
  <c r="M288" i="14"/>
  <c r="M32" i="14"/>
  <c r="M1290" i="14"/>
  <c r="M368" i="14"/>
  <c r="M269" i="14"/>
  <c r="M564" i="14"/>
  <c r="M1144" i="14"/>
  <c r="M444" i="14"/>
  <c r="M1670" i="14"/>
  <c r="M990" i="14"/>
  <c r="M489" i="14"/>
  <c r="M218" i="14"/>
  <c r="M3822" i="14"/>
  <c r="M1665" i="14"/>
  <c r="M3150" i="14"/>
  <c r="M1242" i="14"/>
  <c r="M706" i="14"/>
  <c r="M204" i="14"/>
  <c r="M941" i="14"/>
  <c r="M1260" i="14"/>
  <c r="M141" i="14"/>
  <c r="M1734" i="14"/>
  <c r="M884" i="14"/>
  <c r="M4350" i="14"/>
  <c r="M4318" i="14"/>
  <c r="K4405" i="14"/>
  <c r="K4389" i="14"/>
  <c r="K4323" i="14"/>
  <c r="K4307" i="14"/>
  <c r="K4355" i="14"/>
  <c r="K4293" i="14"/>
  <c r="K4357" i="14"/>
  <c r="K4341" i="14"/>
  <c r="K4325" i="14"/>
  <c r="K4309" i="14"/>
  <c r="K4373" i="14"/>
  <c r="U5351" i="14"/>
  <c r="J6096" i="14"/>
  <c r="K786" i="14"/>
  <c r="M3180" i="14"/>
  <c r="M3179" i="14"/>
  <c r="M3186" i="14"/>
  <c r="M628" i="14"/>
  <c r="M3181" i="14"/>
  <c r="M3177" i="14"/>
  <c r="M3178" i="14"/>
  <c r="M3185" i="14"/>
  <c r="K840" i="14"/>
  <c r="K1969" i="14"/>
  <c r="V1967" i="14"/>
  <c r="K3077" i="14"/>
  <c r="K4117" i="14"/>
  <c r="V4115" i="14"/>
  <c r="K1565" i="14"/>
  <c r="V1563" i="14"/>
  <c r="V1490" i="14"/>
  <c r="K1491" i="14"/>
  <c r="M4030" i="14"/>
  <c r="K697" i="14"/>
  <c r="V695" i="14"/>
  <c r="K1693" i="14"/>
  <c r="V1691" i="14"/>
  <c r="K2245" i="14"/>
  <c r="V2243" i="14"/>
  <c r="K2805" i="14"/>
  <c r="V2803" i="14"/>
  <c r="K3349" i="14"/>
  <c r="V3347" i="14"/>
  <c r="K3861" i="14"/>
  <c r="M3861" i="14" s="1"/>
  <c r="M3859" i="14" s="1"/>
  <c r="V3859" i="14"/>
  <c r="K1101" i="14"/>
  <c r="V1099" i="14"/>
  <c r="K1845" i="14"/>
  <c r="V1843" i="14"/>
  <c r="K2409" i="14"/>
  <c r="K2965" i="14"/>
  <c r="K3493" i="14"/>
  <c r="K4005" i="14"/>
  <c r="V4003" i="14"/>
  <c r="K761" i="14"/>
  <c r="V759" i="14"/>
  <c r="K1725" i="14"/>
  <c r="V1723" i="14"/>
  <c r="K2277" i="14"/>
  <c r="K2837" i="14"/>
  <c r="V2835" i="14"/>
  <c r="K3381" i="14"/>
  <c r="K3893" i="14"/>
  <c r="V3891" i="14"/>
  <c r="K777" i="14"/>
  <c r="V775" i="14"/>
  <c r="K1741" i="14"/>
  <c r="V1739" i="14"/>
  <c r="K2297" i="14"/>
  <c r="V2295" i="14"/>
  <c r="K2853" i="14"/>
  <c r="V2851" i="14"/>
  <c r="K3397" i="14"/>
  <c r="V3395" i="14"/>
  <c r="K3909" i="14"/>
  <c r="V3907" i="14"/>
  <c r="K509" i="14"/>
  <c r="V507" i="14"/>
  <c r="K1617" i="14"/>
  <c r="V1615" i="14"/>
  <c r="K2173" i="14"/>
  <c r="V2171" i="14"/>
  <c r="K2733" i="14"/>
  <c r="V2731" i="14"/>
  <c r="K3285" i="14"/>
  <c r="K3797" i="14"/>
  <c r="V3795" i="14"/>
  <c r="K545" i="14"/>
  <c r="V543" i="14"/>
  <c r="K1633" i="14"/>
  <c r="K2193" i="14"/>
  <c r="V2191" i="14"/>
  <c r="K2749" i="14"/>
  <c r="V2747" i="14"/>
  <c r="K3301" i="14"/>
  <c r="K3813" i="14"/>
  <c r="V3811" i="14"/>
  <c r="K921" i="14"/>
  <c r="V919" i="14"/>
  <c r="K1793" i="14"/>
  <c r="V1791" i="14"/>
  <c r="K2361" i="14"/>
  <c r="V2359" i="14"/>
  <c r="K2901" i="14"/>
  <c r="V2899" i="14"/>
  <c r="K3445" i="14"/>
  <c r="V3443" i="14"/>
  <c r="K3957" i="14"/>
  <c r="V3955" i="14"/>
  <c r="K1281" i="14"/>
  <c r="V1279" i="14"/>
  <c r="K1949" i="14"/>
  <c r="V1947" i="14"/>
  <c r="K2509" i="14"/>
  <c r="V2507" i="14"/>
  <c r="K3061" i="14"/>
  <c r="V3059" i="14"/>
  <c r="K3589" i="14"/>
  <c r="K4101" i="14"/>
  <c r="V4099" i="14"/>
  <c r="K23" i="14"/>
  <c r="K123" i="14"/>
  <c r="K975" i="14"/>
  <c r="K255" i="14"/>
  <c r="K979" i="14"/>
  <c r="K71" i="14"/>
  <c r="K723" i="14"/>
  <c r="K395" i="14"/>
  <c r="K459" i="14"/>
  <c r="K803" i="14"/>
  <c r="K1039" i="14"/>
  <c r="K1335" i="14"/>
  <c r="K1079" i="14"/>
  <c r="K1375" i="14"/>
  <c r="K583" i="14"/>
  <c r="K1115" i="14"/>
  <c r="K2351" i="14"/>
  <c r="K39" i="14"/>
  <c r="K131" i="14"/>
  <c r="K259" i="14"/>
  <c r="K951" i="14"/>
  <c r="K1671" i="14"/>
  <c r="K263" i="14"/>
  <c r="K955" i="14"/>
  <c r="K79" i="14"/>
  <c r="K2779" i="14"/>
  <c r="K415" i="14"/>
  <c r="K479" i="14"/>
  <c r="K807" i="14"/>
  <c r="K1027" i="14"/>
  <c r="K1323" i="14"/>
  <c r="K1083" i="14"/>
  <c r="K1395" i="14"/>
  <c r="K603" i="14"/>
  <c r="K1151" i="14"/>
  <c r="K943" i="14"/>
  <c r="K11" i="14"/>
  <c r="K139" i="14"/>
  <c r="K267" i="14"/>
  <c r="K959" i="14"/>
  <c r="K1007" i="14"/>
  <c r="K239" i="14"/>
  <c r="K651" i="14"/>
  <c r="K55" i="14"/>
  <c r="K1663" i="14"/>
  <c r="K403" i="14"/>
  <c r="K467" i="14"/>
  <c r="K795" i="14"/>
  <c r="K859" i="14"/>
  <c r="K1311" i="14"/>
  <c r="K2935" i="14"/>
  <c r="K1383" i="14"/>
  <c r="K559" i="14"/>
  <c r="K747" i="14"/>
  <c r="K1419" i="14"/>
  <c r="K283" i="14"/>
  <c r="K51" i="14"/>
  <c r="K179" i="14"/>
  <c r="K307" i="14"/>
  <c r="K967" i="14"/>
  <c r="K151" i="14"/>
  <c r="K279" i="14"/>
  <c r="K971" i="14"/>
  <c r="K127" i="14"/>
  <c r="K1187" i="14"/>
  <c r="K407" i="14"/>
  <c r="K471" i="14"/>
  <c r="K691" i="14"/>
  <c r="K847" i="14"/>
  <c r="K1299" i="14"/>
  <c r="K2939" i="14"/>
  <c r="K1371" i="14"/>
  <c r="K579" i="14"/>
  <c r="K1127" i="14"/>
  <c r="K1787" i="14"/>
  <c r="M3172" i="14"/>
  <c r="K3171" i="14"/>
  <c r="M4142" i="14"/>
  <c r="M3175" i="14"/>
  <c r="K3174" i="14"/>
  <c r="L3886" i="14"/>
  <c r="M3886" i="14" s="1"/>
  <c r="K1057" i="14"/>
  <c r="V1055" i="14"/>
  <c r="K1829" i="14"/>
  <c r="K2393" i="14"/>
  <c r="V2391" i="14"/>
  <c r="K2945" i="14"/>
  <c r="V2943" i="14"/>
  <c r="K3477" i="14"/>
  <c r="V3475" i="14"/>
  <c r="K3989" i="14"/>
  <c r="V3987" i="14"/>
  <c r="K1405" i="14"/>
  <c r="V1403" i="14"/>
  <c r="K1985" i="14"/>
  <c r="V1983" i="14"/>
  <c r="K2545" i="14"/>
  <c r="K3093" i="14"/>
  <c r="V3091" i="14"/>
  <c r="K3621" i="14"/>
  <c r="V3619" i="14"/>
  <c r="K4133" i="14"/>
  <c r="K1165" i="14"/>
  <c r="V1163" i="14"/>
  <c r="K1861" i="14"/>
  <c r="V1859" i="14"/>
  <c r="K2429" i="14"/>
  <c r="V2427" i="14"/>
  <c r="K2981" i="14"/>
  <c r="K3509" i="14"/>
  <c r="V3507" i="14"/>
  <c r="K4021" i="14"/>
  <c r="K1193" i="14"/>
  <c r="V1191" i="14"/>
  <c r="K1877" i="14"/>
  <c r="V1875" i="14"/>
  <c r="K2445" i="14"/>
  <c r="V2443" i="14"/>
  <c r="K2997" i="14"/>
  <c r="V2995" i="14"/>
  <c r="K3525" i="14"/>
  <c r="V3523" i="14"/>
  <c r="K4037" i="14"/>
  <c r="V4035" i="14"/>
  <c r="K865" i="14"/>
  <c r="V863" i="14"/>
  <c r="K1757" i="14"/>
  <c r="V1755" i="14"/>
  <c r="K2313" i="14"/>
  <c r="V2311" i="14"/>
  <c r="K2869" i="14"/>
  <c r="V2867" i="14"/>
  <c r="K3413" i="14"/>
  <c r="V3411" i="14"/>
  <c r="K3925" i="14"/>
  <c r="V3923" i="14"/>
  <c r="K905" i="14"/>
  <c r="V903" i="14"/>
  <c r="K1773" i="14"/>
  <c r="V1771" i="14"/>
  <c r="K2329" i="14"/>
  <c r="V2327" i="14"/>
  <c r="K2885" i="14"/>
  <c r="V2883" i="14"/>
  <c r="K3429" i="14"/>
  <c r="V3427" i="14"/>
  <c r="K3941" i="14"/>
  <c r="V3939" i="14"/>
  <c r="K1265" i="14"/>
  <c r="V1263" i="14"/>
  <c r="K1933" i="14"/>
  <c r="V1931" i="14"/>
  <c r="K2493" i="14"/>
  <c r="V2491" i="14"/>
  <c r="K3045" i="14"/>
  <c r="K3573" i="14"/>
  <c r="V3571" i="14"/>
  <c r="K4085" i="14"/>
  <c r="V4083" i="14"/>
  <c r="K1529" i="14"/>
  <c r="V1527" i="14"/>
  <c r="K2089" i="14"/>
  <c r="V2087" i="14"/>
  <c r="K2653" i="14"/>
  <c r="V2651" i="14"/>
  <c r="K3205" i="14"/>
  <c r="K3717" i="14"/>
  <c r="V3715" i="14"/>
  <c r="K4197" i="14"/>
  <c r="V4195" i="14"/>
  <c r="K27" i="14"/>
  <c r="K155" i="14"/>
  <c r="K159" i="14"/>
  <c r="K287" i="14"/>
  <c r="K1523" i="14"/>
  <c r="K103" i="14"/>
  <c r="K879" i="14"/>
  <c r="K411" i="14"/>
  <c r="K475" i="14"/>
  <c r="K819" i="14"/>
  <c r="K1211" i="14"/>
  <c r="K1611" i="14"/>
  <c r="K1095" i="14"/>
  <c r="K1391" i="14"/>
  <c r="K599" i="14"/>
  <c r="K1131" i="14"/>
  <c r="K523" i="14"/>
  <c r="K35" i="14"/>
  <c r="K163" i="14"/>
  <c r="K291" i="14"/>
  <c r="K983" i="14"/>
  <c r="K167" i="14"/>
  <c r="K295" i="14"/>
  <c r="K987" i="14"/>
  <c r="K111" i="14"/>
  <c r="K367" i="14"/>
  <c r="K431" i="14"/>
  <c r="K495" i="14"/>
  <c r="K823" i="14"/>
  <c r="K1043" i="14"/>
  <c r="K1463" i="14"/>
  <c r="K1239" i="14"/>
  <c r="K2047" i="14"/>
  <c r="K619" i="14"/>
  <c r="K1259" i="14"/>
  <c r="K539" i="14"/>
  <c r="K43" i="14"/>
  <c r="K171" i="14"/>
  <c r="K299" i="14"/>
  <c r="K991" i="14"/>
  <c r="K2291" i="14"/>
  <c r="K271" i="14"/>
  <c r="K963" i="14"/>
  <c r="K87" i="14"/>
  <c r="K2783" i="14"/>
  <c r="K419" i="14"/>
  <c r="K483" i="14"/>
  <c r="K811" i="14"/>
  <c r="K1031" i="14"/>
  <c r="K1327" i="14"/>
  <c r="K1071" i="14"/>
  <c r="K1399" i="14"/>
  <c r="K575" i="14"/>
  <c r="K1123" i="14"/>
  <c r="K2343" i="14"/>
  <c r="K315" i="14"/>
  <c r="K83" i="14"/>
  <c r="K211" i="14"/>
  <c r="K339" i="14"/>
  <c r="K1003" i="14"/>
  <c r="K183" i="14"/>
  <c r="K311" i="14"/>
  <c r="K15" i="14"/>
  <c r="K527" i="14"/>
  <c r="K2223" i="14"/>
  <c r="K423" i="14"/>
  <c r="K487" i="14"/>
  <c r="K799" i="14"/>
  <c r="K1035" i="14"/>
  <c r="K1315" i="14"/>
  <c r="K1075" i="14"/>
  <c r="K1387" i="14"/>
  <c r="K595" i="14"/>
  <c r="K1143" i="14"/>
  <c r="K2347" i="14"/>
  <c r="M3184" i="14"/>
  <c r="K3183" i="14"/>
  <c r="K2685" i="14"/>
  <c r="V2683" i="14"/>
  <c r="K3237" i="14"/>
  <c r="V3235" i="14"/>
  <c r="K3749" i="14"/>
  <c r="V3747" i="14"/>
  <c r="K4149" i="14"/>
  <c r="V4147" i="14"/>
  <c r="K1433" i="14"/>
  <c r="K2001" i="14"/>
  <c r="V1999" i="14"/>
  <c r="K2565" i="14"/>
  <c r="V2563" i="14"/>
  <c r="K3109" i="14"/>
  <c r="K3637" i="14"/>
  <c r="V3635" i="14"/>
  <c r="K4181" i="14"/>
  <c r="V4179" i="14"/>
  <c r="K1449" i="14"/>
  <c r="V1447" i="14"/>
  <c r="K2017" i="14"/>
  <c r="V2015" i="14"/>
  <c r="K2581" i="14"/>
  <c r="V2579" i="14"/>
  <c r="K3125" i="14"/>
  <c r="V3123" i="14"/>
  <c r="K3653" i="14"/>
  <c r="V3651" i="14"/>
  <c r="K4213" i="14"/>
  <c r="K1221" i="14"/>
  <c r="V1219" i="14"/>
  <c r="K1901" i="14"/>
  <c r="V1899" i="14"/>
  <c r="K2461" i="14"/>
  <c r="K3013" i="14"/>
  <c r="V3011" i="14"/>
  <c r="K3541" i="14"/>
  <c r="V3539" i="14"/>
  <c r="K4053" i="14"/>
  <c r="K1245" i="14"/>
  <c r="V1243" i="14"/>
  <c r="K1917" i="14"/>
  <c r="V1915" i="14"/>
  <c r="K2477" i="14"/>
  <c r="V2475" i="14"/>
  <c r="K3029" i="14"/>
  <c r="K3557" i="14"/>
  <c r="K4069" i="14"/>
  <c r="K1505" i="14"/>
  <c r="K2069" i="14"/>
  <c r="V2067" i="14"/>
  <c r="K2637" i="14"/>
  <c r="V2635" i="14"/>
  <c r="K3189" i="14"/>
  <c r="V3187" i="14"/>
  <c r="K3701" i="14"/>
  <c r="K661" i="14"/>
  <c r="V659" i="14"/>
  <c r="K1677" i="14"/>
  <c r="V1675" i="14"/>
  <c r="K2229" i="14"/>
  <c r="V2227" i="14"/>
  <c r="K2789" i="14"/>
  <c r="V2787" i="14"/>
  <c r="K3333" i="14"/>
  <c r="V3331" i="14"/>
  <c r="K3845" i="14"/>
  <c r="V3843" i="14"/>
  <c r="K4165" i="14"/>
  <c r="U4165" i="14" s="1"/>
  <c r="V4163" i="14"/>
  <c r="K59" i="14"/>
  <c r="K187" i="14"/>
  <c r="K191" i="14"/>
  <c r="K319" i="14"/>
  <c r="K531" i="14"/>
  <c r="K135" i="14"/>
  <c r="K363" i="14"/>
  <c r="K427" i="14"/>
  <c r="K491" i="14"/>
  <c r="K835" i="14"/>
  <c r="K1303" i="14"/>
  <c r="K1823" i="14"/>
  <c r="K1235" i="14"/>
  <c r="K1559" i="14"/>
  <c r="K615" i="14"/>
  <c r="K1147" i="14"/>
  <c r="K711" i="14"/>
  <c r="K67" i="14"/>
  <c r="K195" i="14"/>
  <c r="K323" i="14"/>
  <c r="K891" i="14"/>
  <c r="K199" i="14"/>
  <c r="K327" i="14"/>
  <c r="K2083" i="14"/>
  <c r="K143" i="14"/>
  <c r="K383" i="14"/>
  <c r="K447" i="14"/>
  <c r="K683" i="14"/>
  <c r="K839" i="14"/>
  <c r="K1215" i="14"/>
  <c r="K1963" i="14"/>
  <c r="K1363" i="14"/>
  <c r="K571" i="14"/>
  <c r="K1119" i="14"/>
  <c r="K2355" i="14"/>
  <c r="K719" i="14"/>
  <c r="K75" i="14"/>
  <c r="K203" i="14"/>
  <c r="K331" i="14"/>
  <c r="K1667" i="14"/>
  <c r="K175" i="14"/>
  <c r="K303" i="14"/>
  <c r="K995" i="14"/>
  <c r="K119" i="14"/>
  <c r="K371" i="14"/>
  <c r="K435" i="14"/>
  <c r="K499" i="14"/>
  <c r="K827" i="14"/>
  <c r="K1047" i="14"/>
  <c r="K1467" i="14"/>
  <c r="K1087" i="14"/>
  <c r="K2187" i="14"/>
  <c r="K591" i="14"/>
  <c r="K1139" i="14"/>
  <c r="K2631" i="14"/>
  <c r="K7" i="14"/>
  <c r="K115" i="14"/>
  <c r="K243" i="14"/>
  <c r="K655" i="14"/>
  <c r="K727" i="14"/>
  <c r="K215" i="14"/>
  <c r="K343" i="14"/>
  <c r="K63" i="14"/>
  <c r="K715" i="14"/>
  <c r="K375" i="14"/>
  <c r="K439" i="14"/>
  <c r="K503" i="14"/>
  <c r="K815" i="14"/>
  <c r="K1051" i="14"/>
  <c r="K1331" i="14"/>
  <c r="K1091" i="14"/>
  <c r="K2539" i="14"/>
  <c r="K611" i="14"/>
  <c r="K1159" i="14"/>
  <c r="K2423" i="14"/>
  <c r="K627" i="14"/>
  <c r="V626" i="14"/>
  <c r="K1341" i="14"/>
  <c r="V1339" i="14"/>
  <c r="K2525" i="14"/>
  <c r="V2523" i="14"/>
  <c r="K3605" i="14"/>
  <c r="V3603" i="14"/>
  <c r="K2121" i="14"/>
  <c r="V2119" i="14"/>
  <c r="K1545" i="14"/>
  <c r="V1543" i="14"/>
  <c r="K2105" i="14"/>
  <c r="V2103" i="14"/>
  <c r="K2669" i="14"/>
  <c r="V2667" i="14"/>
  <c r="K3221" i="14"/>
  <c r="V3219" i="14"/>
  <c r="K3733" i="14"/>
  <c r="V3731" i="14"/>
  <c r="K733" i="14"/>
  <c r="V731" i="14"/>
  <c r="K1709" i="14"/>
  <c r="K2261" i="14"/>
  <c r="K2821" i="14"/>
  <c r="V2819" i="14"/>
  <c r="K3365" i="14"/>
  <c r="V3363" i="14"/>
  <c r="K3877" i="14"/>
  <c r="V3875" i="14"/>
  <c r="K4245" i="14"/>
  <c r="V4243" i="14"/>
  <c r="K1581" i="14"/>
  <c r="K2137" i="14"/>
  <c r="V2135" i="14"/>
  <c r="K2701" i="14"/>
  <c r="K3253" i="14"/>
  <c r="V3251" i="14"/>
  <c r="K3765" i="14"/>
  <c r="V3763" i="14"/>
  <c r="K349" i="14"/>
  <c r="V347" i="14"/>
  <c r="K1597" i="14"/>
  <c r="V1595" i="14"/>
  <c r="K2157" i="14"/>
  <c r="V2155" i="14"/>
  <c r="K2717" i="14"/>
  <c r="V2715" i="14"/>
  <c r="K3269" i="14"/>
  <c r="K3781" i="14"/>
  <c r="V3779" i="14"/>
  <c r="K4261" i="14"/>
  <c r="V4259" i="14"/>
  <c r="K1473" i="14"/>
  <c r="V1471" i="14"/>
  <c r="K2033" i="14"/>
  <c r="V2031" i="14"/>
  <c r="K2601" i="14"/>
  <c r="V2599" i="14"/>
  <c r="K3141" i="14"/>
  <c r="V3139" i="14"/>
  <c r="K3669" i="14"/>
  <c r="V3667" i="14"/>
  <c r="K4229" i="14"/>
  <c r="K1489" i="14"/>
  <c r="V1487" i="14"/>
  <c r="K2053" i="14"/>
  <c r="V2051" i="14"/>
  <c r="K2617" i="14"/>
  <c r="V2615" i="14"/>
  <c r="K3157" i="14"/>
  <c r="V3155" i="14"/>
  <c r="K3685" i="14"/>
  <c r="V3683" i="14"/>
  <c r="K625" i="14"/>
  <c r="V623" i="14"/>
  <c r="K1649" i="14"/>
  <c r="K2209" i="14"/>
  <c r="V2207" i="14"/>
  <c r="K2765" i="14"/>
  <c r="K3317" i="14"/>
  <c r="K3829" i="14"/>
  <c r="V3827" i="14"/>
  <c r="K1013" i="14"/>
  <c r="V1011" i="14"/>
  <c r="K1809" i="14"/>
  <c r="V1807" i="14"/>
  <c r="K2377" i="14"/>
  <c r="V2375" i="14"/>
  <c r="K2917" i="14"/>
  <c r="V2915" i="14"/>
  <c r="K3461" i="14"/>
  <c r="V3459" i="14"/>
  <c r="K3973" i="14"/>
  <c r="K4277" i="14"/>
  <c r="V4275" i="14"/>
  <c r="K91" i="14"/>
  <c r="K219" i="14"/>
  <c r="K223" i="14"/>
  <c r="K947" i="14"/>
  <c r="K31" i="14"/>
  <c r="K535" i="14"/>
  <c r="K379" i="14"/>
  <c r="K443" i="14"/>
  <c r="K679" i="14"/>
  <c r="K851" i="14"/>
  <c r="K1319" i="14"/>
  <c r="K2595" i="14"/>
  <c r="K1359" i="14"/>
  <c r="K567" i="14"/>
  <c r="K755" i="14"/>
  <c r="K1427" i="14"/>
  <c r="K883" i="14"/>
  <c r="K99" i="14"/>
  <c r="K227" i="14"/>
  <c r="K639" i="14"/>
  <c r="K1179" i="14"/>
  <c r="K231" i="14"/>
  <c r="K643" i="14"/>
  <c r="K47" i="14"/>
  <c r="K887" i="14"/>
  <c r="K399" i="14"/>
  <c r="K463" i="14"/>
  <c r="K791" i="14"/>
  <c r="K855" i="14"/>
  <c r="K1307" i="14"/>
  <c r="K2931" i="14"/>
  <c r="K1379" i="14"/>
  <c r="K587" i="14"/>
  <c r="K1135" i="14"/>
  <c r="K899" i="14"/>
  <c r="K107" i="14"/>
  <c r="K235" i="14"/>
  <c r="K647" i="14"/>
  <c r="K2151" i="14"/>
  <c r="K207" i="14"/>
  <c r="K335" i="14"/>
  <c r="K1183" i="14"/>
  <c r="K895" i="14"/>
  <c r="K387" i="14"/>
  <c r="K451" i="14"/>
  <c r="K687" i="14"/>
  <c r="K843" i="14"/>
  <c r="K1295" i="14"/>
  <c r="K1891" i="14"/>
  <c r="K1367" i="14"/>
  <c r="K2959" i="14"/>
  <c r="K607" i="14"/>
  <c r="K1155" i="14"/>
  <c r="K251" i="14"/>
  <c r="K19" i="14"/>
  <c r="K147" i="14"/>
  <c r="K275" i="14"/>
  <c r="K935" i="14"/>
  <c r="K1519" i="14"/>
  <c r="K247" i="14"/>
  <c r="K939" i="14"/>
  <c r="K95" i="14"/>
  <c r="K999" i="14"/>
  <c r="K391" i="14"/>
  <c r="K455" i="14"/>
  <c r="K675" i="14"/>
  <c r="K831" i="14"/>
  <c r="K1207" i="14"/>
  <c r="K1895" i="14"/>
  <c r="K1355" i="14"/>
  <c r="K563" i="14"/>
  <c r="K751" i="14"/>
  <c r="K1423" i="14"/>
  <c r="K2559" i="14"/>
  <c r="K511" i="14"/>
  <c r="V510" i="14"/>
  <c r="L4659" i="14" l="1"/>
  <c r="U5509" i="14"/>
  <c r="V5523" i="14"/>
  <c r="K5523" i="14"/>
  <c r="U5523" i="14" s="1"/>
  <c r="U5525" i="14"/>
  <c r="K5507" i="14"/>
  <c r="U5507" i="14" s="1"/>
  <c r="V5507" i="14"/>
  <c r="M5461" i="14"/>
  <c r="M5459" i="14" s="1"/>
  <c r="L5459" i="14"/>
  <c r="M5493" i="14"/>
  <c r="M5491" i="14" s="1"/>
  <c r="L5491" i="14"/>
  <c r="M5429" i="14"/>
  <c r="M5427" i="14" s="1"/>
  <c r="L5427" i="14"/>
  <c r="L5443" i="14"/>
  <c r="L5413" i="14"/>
  <c r="L5411" i="14" s="1"/>
  <c r="M5381" i="14"/>
  <c r="M5379" i="14" s="1"/>
  <c r="L5379" i="14"/>
  <c r="K5347" i="14"/>
  <c r="U5332" i="14" s="1"/>
  <c r="V5347" i="14"/>
  <c r="U5334" i="14"/>
  <c r="K5363" i="14"/>
  <c r="U5363" i="14" s="1"/>
  <c r="V5363" i="14"/>
  <c r="U5365" i="14"/>
  <c r="K5331" i="14"/>
  <c r="V5331" i="14"/>
  <c r="M5333" i="14"/>
  <c r="M5331" i="14" s="1"/>
  <c r="L5331" i="14"/>
  <c r="L5301" i="14"/>
  <c r="L5299" i="14" s="1"/>
  <c r="U5301" i="14"/>
  <c r="V5171" i="14"/>
  <c r="K5283" i="14"/>
  <c r="U5283" i="14" s="1"/>
  <c r="V5283" i="14"/>
  <c r="U5285" i="14"/>
  <c r="K5267" i="14"/>
  <c r="U5267" i="14" s="1"/>
  <c r="V5267" i="14"/>
  <c r="U5269" i="14"/>
  <c r="M5173" i="14"/>
  <c r="M5171" i="14" s="1"/>
  <c r="L5171" i="14"/>
  <c r="U5173" i="14"/>
  <c r="U5221" i="14"/>
  <c r="L5221" i="14"/>
  <c r="K5235" i="14"/>
  <c r="U5235" i="14" s="1"/>
  <c r="V5235" i="14"/>
  <c r="V5187" i="14"/>
  <c r="K5187" i="14"/>
  <c r="U5187" i="14" s="1"/>
  <c r="U5237" i="14"/>
  <c r="U5189" i="14"/>
  <c r="L5189" i="14"/>
  <c r="V5203" i="14"/>
  <c r="K5203" i="14"/>
  <c r="U5203" i="14" s="1"/>
  <c r="K5251" i="14"/>
  <c r="U5251" i="14" s="1"/>
  <c r="V5251" i="14"/>
  <c r="K5139" i="14"/>
  <c r="U5139" i="14" s="1"/>
  <c r="V5139" i="14"/>
  <c r="U5205" i="14"/>
  <c r="L5205" i="14"/>
  <c r="U5253" i="14"/>
  <c r="L5139" i="14"/>
  <c r="U5141" i="14"/>
  <c r="M5157" i="14"/>
  <c r="M5155" i="14" s="1"/>
  <c r="L5155" i="14"/>
  <c r="U5125" i="14"/>
  <c r="K5107" i="14"/>
  <c r="U5107" i="14" s="1"/>
  <c r="V5107" i="14"/>
  <c r="L5107" i="14"/>
  <c r="U5109" i="14"/>
  <c r="K5123" i="14"/>
  <c r="U5123" i="14" s="1"/>
  <c r="V5123" i="14"/>
  <c r="U4659" i="14"/>
  <c r="V4659" i="14"/>
  <c r="K5075" i="14"/>
  <c r="U5075" i="14" s="1"/>
  <c r="V5075" i="14"/>
  <c r="M5077" i="14"/>
  <c r="M5075" i="14" s="1"/>
  <c r="U5077" i="14"/>
  <c r="K5043" i="14"/>
  <c r="U5043" i="14" s="1"/>
  <c r="V5043" i="14"/>
  <c r="M5045" i="14"/>
  <c r="M5043" i="14" s="1"/>
  <c r="U5045" i="14"/>
  <c r="M5061" i="14"/>
  <c r="M5059" i="14" s="1"/>
  <c r="U5061" i="14"/>
  <c r="L4931" i="14"/>
  <c r="K4995" i="14"/>
  <c r="U4995" i="14" s="1"/>
  <c r="V4995" i="14"/>
  <c r="M4997" i="14"/>
  <c r="M4995" i="14" s="1"/>
  <c r="U4997" i="14"/>
  <c r="K4979" i="14"/>
  <c r="U4979" i="14" s="1"/>
  <c r="V4979" i="14"/>
  <c r="U4981" i="14"/>
  <c r="K4963" i="14"/>
  <c r="U4963" i="14" s="1"/>
  <c r="V4963" i="14"/>
  <c r="U4965" i="14"/>
  <c r="K4947" i="14"/>
  <c r="U4947" i="14" s="1"/>
  <c r="V4947" i="14"/>
  <c r="U4949" i="14"/>
  <c r="L4949" i="14"/>
  <c r="L4915" i="14"/>
  <c r="M4837" i="14"/>
  <c r="M4835" i="14" s="1"/>
  <c r="L4835" i="14"/>
  <c r="M4869" i="14"/>
  <c r="M4867" i="14" s="1"/>
  <c r="L4867" i="14"/>
  <c r="L4597" i="14"/>
  <c r="M4597" i="14" s="1"/>
  <c r="M4595" i="14" s="1"/>
  <c r="M4789" i="14"/>
  <c r="M4787" i="14" s="1"/>
  <c r="L4787" i="14"/>
  <c r="M4821" i="14"/>
  <c r="M4819" i="14" s="1"/>
  <c r="L4819" i="14"/>
  <c r="V4803" i="14"/>
  <c r="K4803" i="14"/>
  <c r="U4803" i="14" s="1"/>
  <c r="M4773" i="14"/>
  <c r="M4771" i="14" s="1"/>
  <c r="U4773" i="14"/>
  <c r="V4755" i="14"/>
  <c r="K4755" i="14"/>
  <c r="U4755" i="14" s="1"/>
  <c r="K4771" i="14"/>
  <c r="U4771" i="14" s="1"/>
  <c r="V4771" i="14"/>
  <c r="M4661" i="14"/>
  <c r="M4659" i="14" s="1"/>
  <c r="U4661" i="14"/>
  <c r="M4613" i="14"/>
  <c r="M4611" i="14" s="1"/>
  <c r="U4613" i="14"/>
  <c r="K762" i="14"/>
  <c r="U762" i="14" s="1"/>
  <c r="M764" i="14"/>
  <c r="M762" i="14" s="1"/>
  <c r="M4549" i="14"/>
  <c r="M4547" i="14" s="1"/>
  <c r="U4549" i="14"/>
  <c r="V4419" i="14"/>
  <c r="K4419" i="14"/>
  <c r="U4419" i="14" s="1"/>
  <c r="U4421" i="14"/>
  <c r="M4421" i="14"/>
  <c r="M4419" i="14" s="1"/>
  <c r="K778" i="14"/>
  <c r="U778" i="14" s="1"/>
  <c r="M1600" i="14"/>
  <c r="M1598" i="14" s="1"/>
  <c r="K1598" i="14"/>
  <c r="U1598" i="14" s="1"/>
  <c r="M1372" i="14"/>
  <c r="U561" i="14"/>
  <c r="U780" i="14"/>
  <c r="U3845" i="14"/>
  <c r="M3701" i="14"/>
  <c r="M3699" i="14" s="1"/>
  <c r="U3749" i="14"/>
  <c r="M3589" i="14"/>
  <c r="M3587" i="14" s="1"/>
  <c r="M3445" i="14"/>
  <c r="M3443" i="14" s="1"/>
  <c r="M3493" i="14"/>
  <c r="M3491" i="14" s="1"/>
  <c r="U3541" i="14"/>
  <c r="U3349" i="14"/>
  <c r="M4309" i="14"/>
  <c r="M4307" i="14" s="1"/>
  <c r="U4293" i="14"/>
  <c r="U4277" i="14"/>
  <c r="U3461" i="14"/>
  <c r="U3157" i="14"/>
  <c r="U3141" i="14"/>
  <c r="U4261" i="14"/>
  <c r="U3253" i="14"/>
  <c r="U4245" i="14"/>
  <c r="U3365" i="14"/>
  <c r="U3221" i="14"/>
  <c r="U3717" i="14"/>
  <c r="U3573" i="14"/>
  <c r="U3429" i="14"/>
  <c r="U3413" i="14"/>
  <c r="U3525" i="14"/>
  <c r="U3509" i="14"/>
  <c r="U3621" i="14"/>
  <c r="U3477" i="14"/>
  <c r="M4325" i="14"/>
  <c r="M4323" i="14" s="1"/>
  <c r="U3397" i="14"/>
  <c r="M4165" i="14"/>
  <c r="M4163" i="14" s="1"/>
  <c r="U3333" i="14"/>
  <c r="U3189" i="14"/>
  <c r="M4069" i="14"/>
  <c r="M4067" i="14" s="1"/>
  <c r="L4213" i="14"/>
  <c r="L4211" i="14" s="1"/>
  <c r="U3125" i="14"/>
  <c r="U4149" i="14"/>
  <c r="U4101" i="14"/>
  <c r="U3061" i="14"/>
  <c r="M3957" i="14"/>
  <c r="M3955" i="14" s="1"/>
  <c r="U2901" i="14"/>
  <c r="M3813" i="14"/>
  <c r="M3811" i="14" s="1"/>
  <c r="U4005" i="14"/>
  <c r="U4341" i="14"/>
  <c r="U3653" i="14"/>
  <c r="M3637" i="14"/>
  <c r="M3635" i="14" s="1"/>
  <c r="M4053" i="14"/>
  <c r="M4051" i="14" s="1"/>
  <c r="U3013" i="14"/>
  <c r="U4181" i="14"/>
  <c r="U3237" i="14"/>
  <c r="U3797" i="14"/>
  <c r="U3909" i="14"/>
  <c r="U3893" i="14"/>
  <c r="U3861" i="14"/>
  <c r="M3973" i="14"/>
  <c r="M3971" i="14" s="1"/>
  <c r="U2917" i="14"/>
  <c r="U3685" i="14"/>
  <c r="U3669" i="14"/>
  <c r="U3781" i="14"/>
  <c r="U3877" i="14"/>
  <c r="U3733" i="14"/>
  <c r="U3605" i="14"/>
  <c r="U4197" i="14"/>
  <c r="U4085" i="14"/>
  <c r="U3941" i="14"/>
  <c r="U2885" i="14"/>
  <c r="U3925" i="14"/>
  <c r="U4037" i="14"/>
  <c r="U2997" i="14"/>
  <c r="L4021" i="14"/>
  <c r="L4019" i="14" s="1"/>
  <c r="U3093" i="14"/>
  <c r="U3989" i="14"/>
  <c r="U2945" i="14"/>
  <c r="U4117" i="14"/>
  <c r="U4373" i="14"/>
  <c r="M4357" i="14"/>
  <c r="M4355" i="14" s="1"/>
  <c r="U2959" i="14"/>
  <c r="U2931" i="14"/>
  <c r="U3183" i="14"/>
  <c r="M2783" i="14"/>
  <c r="U3174" i="14"/>
  <c r="M3171" i="14"/>
  <c r="M2939" i="14"/>
  <c r="U2935" i="14"/>
  <c r="U2779" i="14"/>
  <c r="U511" i="14"/>
  <c r="M2559" i="14"/>
  <c r="M1423" i="14"/>
  <c r="M751" i="14"/>
  <c r="U563" i="14"/>
  <c r="U1355" i="14"/>
  <c r="M1895" i="14"/>
  <c r="U1207" i="14"/>
  <c r="M831" i="14"/>
  <c r="M675" i="14"/>
  <c r="M455" i="14"/>
  <c r="U391" i="14"/>
  <c r="M999" i="14"/>
  <c r="U95" i="14"/>
  <c r="M939" i="14"/>
  <c r="U247" i="14"/>
  <c r="M1519" i="14"/>
  <c r="U935" i="14"/>
  <c r="U275" i="14"/>
  <c r="U147" i="14"/>
  <c r="U19" i="14"/>
  <c r="U251" i="14"/>
  <c r="M1155" i="14"/>
  <c r="M607" i="14"/>
  <c r="M1367" i="14"/>
  <c r="M1891" i="14"/>
  <c r="M1295" i="14"/>
  <c r="M843" i="14"/>
  <c r="U687" i="14"/>
  <c r="M451" i="14"/>
  <c r="U387" i="14"/>
  <c r="U895" i="14"/>
  <c r="M1183" i="14"/>
  <c r="U335" i="14"/>
  <c r="M207" i="14"/>
  <c r="M2151" i="14"/>
  <c r="U647" i="14"/>
  <c r="M235" i="14"/>
  <c r="U107" i="14"/>
  <c r="U899" i="14"/>
  <c r="U1135" i="14"/>
  <c r="M587" i="14"/>
  <c r="M1379" i="14"/>
  <c r="M1307" i="14"/>
  <c r="M855" i="14"/>
  <c r="M791" i="14"/>
  <c r="M463" i="14"/>
  <c r="U399" i="14"/>
  <c r="U887" i="14"/>
  <c r="U47" i="14"/>
  <c r="U643" i="14"/>
  <c r="U231" i="14"/>
  <c r="M1179" i="14"/>
  <c r="U639" i="14"/>
  <c r="U227" i="14"/>
  <c r="U99" i="14"/>
  <c r="U883" i="14"/>
  <c r="M1427" i="14"/>
  <c r="U755" i="14"/>
  <c r="U567" i="14"/>
  <c r="U1359" i="14"/>
  <c r="M2595" i="14"/>
  <c r="M1319" i="14"/>
  <c r="M851" i="14"/>
  <c r="M679" i="14"/>
  <c r="U443" i="14"/>
  <c r="U379" i="14"/>
  <c r="U535" i="14"/>
  <c r="U31" i="14"/>
  <c r="M947" i="14"/>
  <c r="U223" i="14"/>
  <c r="U219" i="14"/>
  <c r="U91" i="14"/>
  <c r="U1809" i="14"/>
  <c r="U1013" i="14"/>
  <c r="U625" i="14"/>
  <c r="U2617" i="14"/>
  <c r="U2053" i="14"/>
  <c r="U1489" i="14"/>
  <c r="U2601" i="14"/>
  <c r="U2033" i="14"/>
  <c r="U2717" i="14"/>
  <c r="U2157" i="14"/>
  <c r="U1597" i="14"/>
  <c r="U349" i="14"/>
  <c r="U2137" i="14"/>
  <c r="U2821" i="14"/>
  <c r="U2669" i="14"/>
  <c r="U2105" i="14"/>
  <c r="U1545" i="14"/>
  <c r="U2121" i="14"/>
  <c r="U2525" i="14"/>
  <c r="U1341" i="14"/>
  <c r="U627" i="14"/>
  <c r="M2423" i="14"/>
  <c r="M1159" i="14"/>
  <c r="U611" i="14"/>
  <c r="U2539" i="14"/>
  <c r="M1091" i="14"/>
  <c r="U1331" i="14"/>
  <c r="U1051" i="14"/>
  <c r="U815" i="14"/>
  <c r="U503" i="14"/>
  <c r="M439" i="14"/>
  <c r="U375" i="14"/>
  <c r="U715" i="14"/>
  <c r="U63" i="14"/>
  <c r="U343" i="14"/>
  <c r="U215" i="14"/>
  <c r="U727" i="14"/>
  <c r="U655" i="14"/>
  <c r="M243" i="14"/>
  <c r="U115" i="14"/>
  <c r="U7" i="14"/>
  <c r="M2631" i="14"/>
  <c r="U1139" i="14"/>
  <c r="U591" i="14"/>
  <c r="U2187" i="14"/>
  <c r="M1087" i="14"/>
  <c r="M1467" i="14"/>
  <c r="M1047" i="14"/>
  <c r="M827" i="14"/>
  <c r="M499" i="14"/>
  <c r="U435" i="14"/>
  <c r="U371" i="14"/>
  <c r="U119" i="14"/>
  <c r="U995" i="14"/>
  <c r="U303" i="14"/>
  <c r="U175" i="14"/>
  <c r="M1667" i="14"/>
  <c r="U331" i="14"/>
  <c r="U203" i="14"/>
  <c r="U75" i="14"/>
  <c r="U719" i="14"/>
  <c r="U2355" i="14"/>
  <c r="U1119" i="14"/>
  <c r="M571" i="14"/>
  <c r="M1363" i="14"/>
  <c r="M1963" i="14"/>
  <c r="U1215" i="14"/>
  <c r="U839" i="14"/>
  <c r="U683" i="14"/>
  <c r="U447" i="14"/>
  <c r="U383" i="14"/>
  <c r="U143" i="14"/>
  <c r="M2083" i="14"/>
  <c r="U327" i="14"/>
  <c r="U199" i="14"/>
  <c r="M891" i="14"/>
  <c r="U323" i="14"/>
  <c r="U195" i="14"/>
  <c r="M67" i="14"/>
  <c r="U711" i="14"/>
  <c r="M1147" i="14"/>
  <c r="U615" i="14"/>
  <c r="M1559" i="14"/>
  <c r="M1235" i="14"/>
  <c r="M1823" i="14"/>
  <c r="M1303" i="14"/>
  <c r="U835" i="14"/>
  <c r="U491" i="14"/>
  <c r="U427" i="14"/>
  <c r="U363" i="14"/>
  <c r="U135" i="14"/>
  <c r="U531" i="14"/>
  <c r="U319" i="14"/>
  <c r="U191" i="14"/>
  <c r="U187" i="14"/>
  <c r="U59" i="14"/>
  <c r="U2789" i="14"/>
  <c r="U2229" i="14"/>
  <c r="U1677" i="14"/>
  <c r="U661" i="14"/>
  <c r="U2637" i="14"/>
  <c r="U2069" i="14"/>
  <c r="U2477" i="14"/>
  <c r="U1917" i="14"/>
  <c r="U1245" i="14"/>
  <c r="U1221" i="14"/>
  <c r="U2581" i="14"/>
  <c r="U1449" i="14"/>
  <c r="U2565" i="14"/>
  <c r="U2001" i="14"/>
  <c r="U2685" i="14"/>
  <c r="U2347" i="14"/>
  <c r="M1143" i="14"/>
  <c r="M595" i="14"/>
  <c r="M1387" i="14"/>
  <c r="M1075" i="14"/>
  <c r="U1315" i="14"/>
  <c r="M1035" i="14"/>
  <c r="M799" i="14"/>
  <c r="M487" i="14"/>
  <c r="M423" i="14"/>
  <c r="U2223" i="14"/>
  <c r="M527" i="14"/>
  <c r="U15" i="14"/>
  <c r="M311" i="14"/>
  <c r="U183" i="14"/>
  <c r="U1003" i="14"/>
  <c r="U339" i="14"/>
  <c r="U211" i="14"/>
  <c r="M83" i="14"/>
  <c r="U315" i="14"/>
  <c r="M2343" i="14"/>
  <c r="M1123" i="14"/>
  <c r="U575" i="14"/>
  <c r="U1399" i="14"/>
  <c r="M1071" i="14"/>
  <c r="U1327" i="14"/>
  <c r="M1031" i="14"/>
  <c r="U811" i="14"/>
  <c r="M483" i="14"/>
  <c r="M419" i="14"/>
  <c r="U87" i="14"/>
  <c r="M963" i="14"/>
  <c r="U271" i="14"/>
  <c r="M2291" i="14"/>
  <c r="U991" i="14"/>
  <c r="U299" i="14"/>
  <c r="U171" i="14"/>
  <c r="M43" i="14"/>
  <c r="M539" i="14"/>
  <c r="U1259" i="14"/>
  <c r="M619" i="14"/>
  <c r="M2047" i="14"/>
  <c r="U1239" i="14"/>
  <c r="U1463" i="14"/>
  <c r="U1043" i="14"/>
  <c r="M823" i="14"/>
  <c r="U495" i="14"/>
  <c r="U431" i="14"/>
  <c r="M367" i="14"/>
  <c r="U111" i="14"/>
  <c r="M987" i="14"/>
  <c r="M295" i="14"/>
  <c r="U167" i="14"/>
  <c r="U983" i="14"/>
  <c r="U291" i="14"/>
  <c r="M163" i="14"/>
  <c r="U35" i="14"/>
  <c r="M523" i="14"/>
  <c r="U1131" i="14"/>
  <c r="U599" i="14"/>
  <c r="U1391" i="14"/>
  <c r="M1095" i="14"/>
  <c r="M1611" i="14"/>
  <c r="M1211" i="14"/>
  <c r="M819" i="14"/>
  <c r="U475" i="14"/>
  <c r="M411" i="14"/>
  <c r="U879" i="14"/>
  <c r="U103" i="14"/>
  <c r="M1523" i="14"/>
  <c r="U287" i="14"/>
  <c r="U159" i="14"/>
  <c r="M155" i="14"/>
  <c r="U27" i="14"/>
  <c r="U2653" i="14"/>
  <c r="U2089" i="14"/>
  <c r="U1529" i="14"/>
  <c r="U2493" i="14"/>
  <c r="U1933" i="14"/>
  <c r="U1265" i="14"/>
  <c r="U2329" i="14"/>
  <c r="U1773" i="14"/>
  <c r="U905" i="14"/>
  <c r="U2869" i="14"/>
  <c r="U2313" i="14"/>
  <c r="U1757" i="14"/>
  <c r="U2445" i="14"/>
  <c r="U1877" i="14"/>
  <c r="U1193" i="14"/>
  <c r="U2429" i="14"/>
  <c r="U1861" i="14"/>
  <c r="U1165" i="14"/>
  <c r="U1985" i="14"/>
  <c r="U1405" i="14"/>
  <c r="U2393" i="14"/>
  <c r="U1787" i="14"/>
  <c r="M1127" i="14"/>
  <c r="U579" i="14"/>
  <c r="U1371" i="14"/>
  <c r="M1299" i="14"/>
  <c r="U847" i="14"/>
  <c r="U691" i="14"/>
  <c r="U471" i="14"/>
  <c r="M407" i="14"/>
  <c r="M1187" i="14"/>
  <c r="U127" i="14"/>
  <c r="U971" i="14"/>
  <c r="M279" i="14"/>
  <c r="M151" i="14"/>
  <c r="M967" i="14"/>
  <c r="U307" i="14"/>
  <c r="U179" i="14"/>
  <c r="U51" i="14"/>
  <c r="U283" i="14"/>
  <c r="M1419" i="14"/>
  <c r="M747" i="14"/>
  <c r="U559" i="14"/>
  <c r="U1383" i="14"/>
  <c r="M1311" i="14"/>
  <c r="U859" i="14"/>
  <c r="M795" i="14"/>
  <c r="M467" i="14"/>
  <c r="M403" i="14"/>
  <c r="M1663" i="14"/>
  <c r="U55" i="14"/>
  <c r="U651" i="14"/>
  <c r="U239" i="14"/>
  <c r="U1007" i="14"/>
  <c r="U959" i="14"/>
  <c r="M267" i="14"/>
  <c r="U139" i="14"/>
  <c r="U11" i="14"/>
  <c r="U943" i="14"/>
  <c r="M1151" i="14"/>
  <c r="M603" i="14"/>
  <c r="U1395" i="14"/>
  <c r="M1083" i="14"/>
  <c r="U1323" i="14"/>
  <c r="U1027" i="14"/>
  <c r="M807" i="14"/>
  <c r="M479" i="14"/>
  <c r="U415" i="14"/>
  <c r="U79" i="14"/>
  <c r="U955" i="14"/>
  <c r="U263" i="14"/>
  <c r="M1671" i="14"/>
  <c r="M951" i="14"/>
  <c r="U259" i="14"/>
  <c r="U131" i="14"/>
  <c r="U39" i="14"/>
  <c r="M2351" i="14"/>
  <c r="M1115" i="14"/>
  <c r="M583" i="14"/>
  <c r="M1375" i="14"/>
  <c r="M1079" i="14"/>
  <c r="M1335" i="14"/>
  <c r="M1039" i="14"/>
  <c r="M803" i="14"/>
  <c r="M459" i="14"/>
  <c r="U395" i="14"/>
  <c r="U723" i="14"/>
  <c r="U71" i="14"/>
  <c r="U979" i="14"/>
  <c r="M255" i="14"/>
  <c r="M975" i="14"/>
  <c r="U123" i="14"/>
  <c r="U23" i="14"/>
  <c r="U2509" i="14"/>
  <c r="U1949" i="14"/>
  <c r="U1281" i="14"/>
  <c r="U2361" i="14"/>
  <c r="U1793" i="14"/>
  <c r="U921" i="14"/>
  <c r="U2749" i="14"/>
  <c r="U2193" i="14"/>
  <c r="U545" i="14"/>
  <c r="U2733" i="14"/>
  <c r="U2173" i="14"/>
  <c r="U1617" i="14"/>
  <c r="U509" i="14"/>
  <c r="U2853" i="14"/>
  <c r="U2297" i="14"/>
  <c r="U1741" i="14"/>
  <c r="U777" i="14"/>
  <c r="U1725" i="14"/>
  <c r="U761" i="14"/>
  <c r="U1845" i="14"/>
  <c r="U1101" i="14"/>
  <c r="U2805" i="14"/>
  <c r="U2245" i="14"/>
  <c r="U697" i="14"/>
  <c r="U1491" i="14"/>
  <c r="U1565" i="14"/>
  <c r="U1969" i="14"/>
  <c r="U840" i="14"/>
  <c r="U786" i="14"/>
  <c r="K4291" i="14"/>
  <c r="K4339" i="14"/>
  <c r="K4371" i="14"/>
  <c r="K4387" i="14"/>
  <c r="V4387" i="14"/>
  <c r="L4387" i="14"/>
  <c r="U4389" i="14"/>
  <c r="M4405" i="14"/>
  <c r="M4403" i="14" s="1"/>
  <c r="U4405" i="14"/>
  <c r="K4403" i="14"/>
  <c r="V4403" i="14"/>
  <c r="M2959" i="14"/>
  <c r="M2931" i="14"/>
  <c r="M643" i="14"/>
  <c r="M755" i="14"/>
  <c r="M611" i="14"/>
  <c r="M1051" i="14"/>
  <c r="M375" i="14"/>
  <c r="M215" i="14"/>
  <c r="M115" i="14"/>
  <c r="M371" i="14"/>
  <c r="M175" i="14"/>
  <c r="M75" i="14"/>
  <c r="M839" i="14"/>
  <c r="M143" i="14"/>
  <c r="M711" i="14"/>
  <c r="M491" i="14"/>
  <c r="M531" i="14"/>
  <c r="M59" i="14"/>
  <c r="M3845" i="14"/>
  <c r="M3843" i="14" s="1"/>
  <c r="M3653" i="14"/>
  <c r="M3651" i="14" s="1"/>
  <c r="M3749" i="14"/>
  <c r="M3747" i="14" s="1"/>
  <c r="M211" i="14"/>
  <c r="M1327" i="14"/>
  <c r="M271" i="14"/>
  <c r="M1043" i="14"/>
  <c r="M167" i="14"/>
  <c r="M103" i="14"/>
  <c r="M579" i="14"/>
  <c r="M51" i="14"/>
  <c r="M559" i="14"/>
  <c r="M859" i="14"/>
  <c r="M1007" i="14"/>
  <c r="M11" i="14"/>
  <c r="M1395" i="14"/>
  <c r="M79" i="14"/>
  <c r="M979" i="14"/>
  <c r="M23" i="14"/>
  <c r="M3541" i="14"/>
  <c r="M3539" i="14" s="1"/>
  <c r="M1315" i="14"/>
  <c r="M171" i="14"/>
  <c r="M35" i="14"/>
  <c r="M1391" i="14"/>
  <c r="M847" i="14"/>
  <c r="M1371" i="14"/>
  <c r="M127" i="14"/>
  <c r="M1383" i="14"/>
  <c r="M55" i="14"/>
  <c r="M943" i="14"/>
  <c r="M563" i="14"/>
  <c r="M19" i="14"/>
  <c r="M895" i="14"/>
  <c r="M899" i="14"/>
  <c r="M227" i="14"/>
  <c r="M379" i="14"/>
  <c r="M223" i="14"/>
  <c r="M3461" i="14"/>
  <c r="M3459" i="14" s="1"/>
  <c r="L4259" i="14"/>
  <c r="M591" i="14"/>
  <c r="M4373" i="14"/>
  <c r="M4371" i="14" s="1"/>
  <c r="M1355" i="14"/>
  <c r="M95" i="14"/>
  <c r="M1135" i="14"/>
  <c r="M399" i="14"/>
  <c r="M231" i="14"/>
  <c r="M99" i="14"/>
  <c r="M535" i="14"/>
  <c r="M219" i="14"/>
  <c r="M815" i="14"/>
  <c r="M727" i="14"/>
  <c r="M119" i="14"/>
  <c r="M427" i="14"/>
  <c r="M319" i="14"/>
  <c r="M3183" i="14"/>
  <c r="M2223" i="14"/>
  <c r="M983" i="14"/>
  <c r="M691" i="14"/>
  <c r="M283" i="14"/>
  <c r="M959" i="14"/>
  <c r="M955" i="14"/>
  <c r="M259" i="14"/>
  <c r="M395" i="14"/>
  <c r="M275" i="14"/>
  <c r="M335" i="14"/>
  <c r="M887" i="14"/>
  <c r="M883" i="14"/>
  <c r="M1359" i="14"/>
  <c r="M31" i="14"/>
  <c r="M91" i="14"/>
  <c r="M3685" i="14"/>
  <c r="M3683" i="14" s="1"/>
  <c r="M3669" i="14"/>
  <c r="M3667" i="14" s="1"/>
  <c r="M3781" i="14"/>
  <c r="M3779" i="14" s="1"/>
  <c r="M503" i="14"/>
  <c r="M63" i="14"/>
  <c r="M655" i="14"/>
  <c r="M995" i="14"/>
  <c r="M331" i="14"/>
  <c r="M2355" i="14"/>
  <c r="M447" i="14"/>
  <c r="M327" i="14"/>
  <c r="M195" i="14"/>
  <c r="M615" i="14"/>
  <c r="M363" i="14"/>
  <c r="M191" i="14"/>
  <c r="M4181" i="14"/>
  <c r="M4179" i="14" s="1"/>
  <c r="M4149" i="14"/>
  <c r="M4147" i="14" s="1"/>
  <c r="M1003" i="14"/>
  <c r="M315" i="14"/>
  <c r="M1399" i="14"/>
  <c r="M811" i="14"/>
  <c r="M87" i="14"/>
  <c r="M991" i="14"/>
  <c r="M1239" i="14"/>
  <c r="M495" i="14"/>
  <c r="M291" i="14"/>
  <c r="M1131" i="14"/>
  <c r="M287" i="14"/>
  <c r="M1787" i="14"/>
  <c r="M471" i="14"/>
  <c r="M971" i="14"/>
  <c r="M307" i="14"/>
  <c r="M2935" i="14"/>
  <c r="M651" i="14"/>
  <c r="M1323" i="14"/>
  <c r="M415" i="14"/>
  <c r="M263" i="14"/>
  <c r="M131" i="14"/>
  <c r="M723" i="14"/>
  <c r="M4101" i="14"/>
  <c r="M4099" i="14" s="1"/>
  <c r="M3797" i="14"/>
  <c r="M3795" i="14" s="1"/>
  <c r="M3909" i="14"/>
  <c r="M3907" i="14" s="1"/>
  <c r="M3893" i="14"/>
  <c r="M3891" i="14" s="1"/>
  <c r="M4005" i="14"/>
  <c r="M4003" i="14" s="1"/>
  <c r="M840" i="14"/>
  <c r="M935" i="14"/>
  <c r="M251" i="14"/>
  <c r="M687" i="14"/>
  <c r="M647" i="14"/>
  <c r="M567" i="14"/>
  <c r="L4243" i="14"/>
  <c r="M2539" i="14"/>
  <c r="M715" i="14"/>
  <c r="M7" i="14"/>
  <c r="M2187" i="14"/>
  <c r="M719" i="14"/>
  <c r="M683" i="14"/>
  <c r="M323" i="14"/>
  <c r="M183" i="14"/>
  <c r="M575" i="14"/>
  <c r="M111" i="14"/>
  <c r="M475" i="14"/>
  <c r="M27" i="14"/>
  <c r="M3717" i="14"/>
  <c r="M3715" i="14" s="1"/>
  <c r="M4293" i="14"/>
  <c r="M4291" i="14" s="1"/>
  <c r="M1207" i="14"/>
  <c r="M391" i="14"/>
  <c r="M247" i="14"/>
  <c r="M147" i="14"/>
  <c r="M387" i="14"/>
  <c r="M107" i="14"/>
  <c r="M47" i="14"/>
  <c r="M639" i="14"/>
  <c r="M443" i="14"/>
  <c r="M3877" i="14"/>
  <c r="M3875" i="14" s="1"/>
  <c r="M3733" i="14"/>
  <c r="M3731" i="14" s="1"/>
  <c r="M1545" i="14"/>
  <c r="M1543" i="14" s="1"/>
  <c r="M3605" i="14"/>
  <c r="M3603" i="14" s="1"/>
  <c r="M1331" i="14"/>
  <c r="M343" i="14"/>
  <c r="M1139" i="14"/>
  <c r="M435" i="14"/>
  <c r="M303" i="14"/>
  <c r="M203" i="14"/>
  <c r="M1119" i="14"/>
  <c r="M1215" i="14"/>
  <c r="M383" i="14"/>
  <c r="M199" i="14"/>
  <c r="M835" i="14"/>
  <c r="M135" i="14"/>
  <c r="M187" i="14"/>
  <c r="M2347" i="14"/>
  <c r="M15" i="14"/>
  <c r="M339" i="14"/>
  <c r="M299" i="14"/>
  <c r="M1259" i="14"/>
  <c r="M1463" i="14"/>
  <c r="M431" i="14"/>
  <c r="M599" i="14"/>
  <c r="M879" i="14"/>
  <c r="M159" i="14"/>
  <c r="M4197" i="14"/>
  <c r="M4195" i="14" s="1"/>
  <c r="M3941" i="14"/>
  <c r="M3939" i="14" s="1"/>
  <c r="M3925" i="14"/>
  <c r="M3923" i="14" s="1"/>
  <c r="M4037" i="14"/>
  <c r="M4035" i="14" s="1"/>
  <c r="L3987" i="14"/>
  <c r="M3174" i="14"/>
  <c r="M179" i="14"/>
  <c r="M239" i="14"/>
  <c r="M139" i="14"/>
  <c r="M1027" i="14"/>
  <c r="M2779" i="14"/>
  <c r="M39" i="14"/>
  <c r="M71" i="14"/>
  <c r="M123" i="14"/>
  <c r="M4117" i="14"/>
  <c r="M4115" i="14" s="1"/>
  <c r="M786" i="14"/>
  <c r="M4341" i="14"/>
  <c r="M4339" i="14" s="1"/>
  <c r="K6096" i="14"/>
  <c r="U5350" i="14" s="1"/>
  <c r="M349" i="14"/>
  <c r="M3317" i="14"/>
  <c r="M3315" i="14" s="1"/>
  <c r="K3315" i="14"/>
  <c r="M2053" i="14"/>
  <c r="M2051" i="14" s="1"/>
  <c r="K2051" i="14"/>
  <c r="M3141" i="14"/>
  <c r="M3139" i="14" s="1"/>
  <c r="K3139" i="14"/>
  <c r="K3635" i="14"/>
  <c r="M3045" i="14"/>
  <c r="M3043" i="14" s="1"/>
  <c r="K3043" i="14"/>
  <c r="M2869" i="14"/>
  <c r="M2867" i="14" s="1"/>
  <c r="K2867" i="14"/>
  <c r="M2981" i="14"/>
  <c r="M2979" i="14" s="1"/>
  <c r="K2979" i="14"/>
  <c r="M1985" i="14"/>
  <c r="M1983" i="14" s="1"/>
  <c r="K1983" i="14"/>
  <c r="M2733" i="14"/>
  <c r="M2731" i="14" s="1"/>
  <c r="K2731" i="14"/>
  <c r="M2837" i="14"/>
  <c r="M2835" i="14" s="1"/>
  <c r="K2835" i="14"/>
  <c r="M1845" i="14"/>
  <c r="M1843" i="14" s="1"/>
  <c r="K1843" i="14"/>
  <c r="L4277" i="14"/>
  <c r="L4275" i="14" s="1"/>
  <c r="K3459" i="14"/>
  <c r="M2917" i="14"/>
  <c r="M2915" i="14" s="1"/>
  <c r="K2915" i="14"/>
  <c r="L3829" i="14"/>
  <c r="L3827" i="14" s="1"/>
  <c r="K3827" i="14"/>
  <c r="M1649" i="14"/>
  <c r="M1647" i="14" s="1"/>
  <c r="K1647" i="14"/>
  <c r="M2617" i="14"/>
  <c r="M2615" i="14" s="1"/>
  <c r="K2615" i="14"/>
  <c r="K4227" i="14"/>
  <c r="M1473" i="14"/>
  <c r="M1471" i="14" s="1"/>
  <c r="K1471" i="14"/>
  <c r="M2717" i="14"/>
  <c r="M2715" i="14" s="1"/>
  <c r="K2715" i="14"/>
  <c r="K347" i="14"/>
  <c r="K3763" i="14"/>
  <c r="M3253" i="14"/>
  <c r="M3251" i="14" s="1"/>
  <c r="K3251" i="14"/>
  <c r="M2261" i="14"/>
  <c r="M2259" i="14" s="1"/>
  <c r="K2259" i="14"/>
  <c r="K3731" i="14"/>
  <c r="M3221" i="14"/>
  <c r="M3219" i="14" s="1"/>
  <c r="K3219" i="14"/>
  <c r="K1543" i="14"/>
  <c r="M2121" i="14"/>
  <c r="M2119" i="14" s="1"/>
  <c r="K2119" i="14"/>
  <c r="M627" i="14"/>
  <c r="M626" i="14" s="1"/>
  <c r="K626" i="14"/>
  <c r="M2789" i="14"/>
  <c r="M2787" i="14" s="1"/>
  <c r="K2787" i="14"/>
  <c r="M1505" i="14"/>
  <c r="M1503" i="14" s="1"/>
  <c r="K1503" i="14"/>
  <c r="M2477" i="14"/>
  <c r="M2475" i="14" s="1"/>
  <c r="K2475" i="14"/>
  <c r="K4051" i="14"/>
  <c r="M1221" i="14"/>
  <c r="M1219" i="14" s="1"/>
  <c r="K1219" i="14"/>
  <c r="M2581" i="14"/>
  <c r="M2579" i="14" s="1"/>
  <c r="K2579" i="14"/>
  <c r="K4179" i="14"/>
  <c r="M1433" i="14"/>
  <c r="M1431" i="14" s="1"/>
  <c r="K1431" i="14"/>
  <c r="M2685" i="14"/>
  <c r="M2683" i="14" s="1"/>
  <c r="K2683" i="14"/>
  <c r="M2653" i="14"/>
  <c r="M2651" i="14" s="1"/>
  <c r="K2651" i="14"/>
  <c r="K4083" i="14"/>
  <c r="M3573" i="14"/>
  <c r="M3571" i="14" s="1"/>
  <c r="K3571" i="14"/>
  <c r="M1265" i="14"/>
  <c r="M1263" i="14" s="1"/>
  <c r="K1263" i="14"/>
  <c r="M2329" i="14"/>
  <c r="M2327" i="14" s="1"/>
  <c r="K2327" i="14"/>
  <c r="K3923" i="14"/>
  <c r="M3413" i="14"/>
  <c r="M3411" i="14" s="1"/>
  <c r="K3411" i="14"/>
  <c r="M865" i="14"/>
  <c r="M863" i="14" s="1"/>
  <c r="K863" i="14"/>
  <c r="M2445" i="14"/>
  <c r="M2443" i="14" s="1"/>
  <c r="K2443" i="14"/>
  <c r="K4019" i="14"/>
  <c r="M3509" i="14"/>
  <c r="M3507" i="14" s="1"/>
  <c r="K3507" i="14"/>
  <c r="M1165" i="14"/>
  <c r="M1163" i="14" s="1"/>
  <c r="K1163" i="14"/>
  <c r="M2545" i="14"/>
  <c r="M2543" i="14" s="1"/>
  <c r="K2543" i="14"/>
  <c r="K3987" i="14"/>
  <c r="M3477" i="14"/>
  <c r="M3475" i="14" s="1"/>
  <c r="K3475" i="14"/>
  <c r="M1057" i="14"/>
  <c r="M1055" i="14" s="1"/>
  <c r="K1055" i="14"/>
  <c r="M2509" i="14"/>
  <c r="M2507" i="14" s="1"/>
  <c r="K2507" i="14"/>
  <c r="K3955" i="14"/>
  <c r="M921" i="14"/>
  <c r="M919" i="14" s="1"/>
  <c r="K919" i="14"/>
  <c r="M2193" i="14"/>
  <c r="M2191" i="14" s="1"/>
  <c r="K2191" i="14"/>
  <c r="K3795" i="14"/>
  <c r="M3285" i="14"/>
  <c r="M3283" i="14" s="1"/>
  <c r="K3283" i="14"/>
  <c r="M509" i="14"/>
  <c r="M507" i="14" s="1"/>
  <c r="K507" i="14"/>
  <c r="M2297" i="14"/>
  <c r="M2295" i="14" s="1"/>
  <c r="K2295" i="14"/>
  <c r="K3891" i="14"/>
  <c r="M3381" i="14"/>
  <c r="M3379" i="14" s="1"/>
  <c r="K3379" i="14"/>
  <c r="M761" i="14"/>
  <c r="M759" i="14" s="1"/>
  <c r="K759" i="14"/>
  <c r="M2409" i="14"/>
  <c r="M2407" i="14" s="1"/>
  <c r="K2407" i="14"/>
  <c r="K3859" i="14"/>
  <c r="M3349" i="14"/>
  <c r="M3347" i="14" s="1"/>
  <c r="K3347" i="14"/>
  <c r="M697" i="14"/>
  <c r="M695" i="14" s="1"/>
  <c r="K695" i="14"/>
  <c r="M1491" i="14"/>
  <c r="M1490" i="14" s="1"/>
  <c r="K1490" i="14"/>
  <c r="M1565" i="14"/>
  <c r="M1563" i="14" s="1"/>
  <c r="K1563" i="14"/>
  <c r="M511" i="14"/>
  <c r="K510" i="14"/>
  <c r="M2377" i="14"/>
  <c r="M2375" i="14" s="1"/>
  <c r="K2375" i="14"/>
  <c r="M625" i="14"/>
  <c r="M623" i="14" s="1"/>
  <c r="K623" i="14"/>
  <c r="K3667" i="14"/>
  <c r="M2157" i="14"/>
  <c r="M2155" i="14" s="1"/>
  <c r="K2155" i="14"/>
  <c r="M2701" i="14"/>
  <c r="M2699" i="14" s="1"/>
  <c r="K2699" i="14"/>
  <c r="K4243" i="14"/>
  <c r="M1709" i="14"/>
  <c r="M1707" i="14" s="1"/>
  <c r="K1707" i="14"/>
  <c r="M2669" i="14"/>
  <c r="M2667" i="14" s="1"/>
  <c r="K2667" i="14"/>
  <c r="M2229" i="14"/>
  <c r="M2227" i="14" s="1"/>
  <c r="K2227" i="14"/>
  <c r="K3699" i="14"/>
  <c r="M3189" i="14"/>
  <c r="M3187" i="14" s="1"/>
  <c r="K3187" i="14"/>
  <c r="M1917" i="14"/>
  <c r="M1915" i="14" s="1"/>
  <c r="K1915" i="14"/>
  <c r="K3539" i="14"/>
  <c r="M3013" i="14"/>
  <c r="M3011" i="14" s="1"/>
  <c r="K3011" i="14"/>
  <c r="M2017" i="14"/>
  <c r="M2015" i="14" s="1"/>
  <c r="K2015" i="14"/>
  <c r="M3109" i="14"/>
  <c r="M3107" i="14" s="1"/>
  <c r="K3107" i="14"/>
  <c r="M2089" i="14"/>
  <c r="M2087" i="14" s="1"/>
  <c r="K2087" i="14"/>
  <c r="M1773" i="14"/>
  <c r="M1771" i="14" s="1"/>
  <c r="K1771" i="14"/>
  <c r="M1877" i="14"/>
  <c r="M1875" i="14" s="1"/>
  <c r="K1875" i="14"/>
  <c r="L4133" i="14"/>
  <c r="L4131" i="14" s="1"/>
  <c r="M2945" i="14"/>
  <c r="M2943" i="14" s="1"/>
  <c r="K2943" i="14"/>
  <c r="M1949" i="14"/>
  <c r="M1947" i="14" s="1"/>
  <c r="K1947" i="14"/>
  <c r="K3443" i="14"/>
  <c r="M2901" i="14"/>
  <c r="M2899" i="14" s="1"/>
  <c r="K2899" i="14"/>
  <c r="M1633" i="14"/>
  <c r="M1631" i="14" s="1"/>
  <c r="K1631" i="14"/>
  <c r="M1741" i="14"/>
  <c r="M1739" i="14" s="1"/>
  <c r="K1739" i="14"/>
  <c r="M2805" i="14"/>
  <c r="M2803" i="14" s="1"/>
  <c r="K2803" i="14"/>
  <c r="K3971" i="14"/>
  <c r="M1013" i="14"/>
  <c r="M1011" i="14" s="1"/>
  <c r="K1011" i="14"/>
  <c r="M2209" i="14"/>
  <c r="M2207" i="14" s="1"/>
  <c r="K2207" i="14"/>
  <c r="K3683" i="14"/>
  <c r="M3157" i="14"/>
  <c r="M3155" i="14" s="1"/>
  <c r="K3155" i="14"/>
  <c r="L4229" i="14"/>
  <c r="L4227" i="14" s="1"/>
  <c r="M2033" i="14"/>
  <c r="M2031" i="14" s="1"/>
  <c r="K2031" i="14"/>
  <c r="K3779" i="14"/>
  <c r="M3269" i="14"/>
  <c r="M3267" i="14" s="1"/>
  <c r="K3267" i="14"/>
  <c r="L3765" i="14"/>
  <c r="L3763" i="14" s="1"/>
  <c r="M1581" i="14"/>
  <c r="M1579" i="14" s="1"/>
  <c r="K1579" i="14"/>
  <c r="M2821" i="14"/>
  <c r="M2819" i="14" s="1"/>
  <c r="K2819" i="14"/>
  <c r="M1341" i="14"/>
  <c r="M1339" i="14" s="1"/>
  <c r="K1339" i="14"/>
  <c r="K3843" i="14"/>
  <c r="M3333" i="14"/>
  <c r="M3331" i="14" s="1"/>
  <c r="K3331" i="14"/>
  <c r="K659" i="14"/>
  <c r="M2069" i="14"/>
  <c r="M2067" i="14" s="1"/>
  <c r="K2067" i="14"/>
  <c r="M3029" i="14"/>
  <c r="M3027" i="14" s="1"/>
  <c r="K3027" i="14"/>
  <c r="M1901" i="14"/>
  <c r="M1899" i="14" s="1"/>
  <c r="K1899" i="14"/>
  <c r="K3651" i="14"/>
  <c r="M3125" i="14"/>
  <c r="M3123" i="14" s="1"/>
  <c r="K3123" i="14"/>
  <c r="M2001" i="14"/>
  <c r="M1999" i="14" s="1"/>
  <c r="K1999" i="14"/>
  <c r="K3747" i="14"/>
  <c r="M3237" i="14"/>
  <c r="M3235" i="14" s="1"/>
  <c r="K3235" i="14"/>
  <c r="K3715" i="14"/>
  <c r="M3205" i="14"/>
  <c r="M3203" i="14" s="1"/>
  <c r="K3203" i="14"/>
  <c r="L4085" i="14"/>
  <c r="L4083" i="14" s="1"/>
  <c r="M1933" i="14"/>
  <c r="M1931" i="14" s="1"/>
  <c r="K1931" i="14"/>
  <c r="M2885" i="14"/>
  <c r="M2883" i="14" s="1"/>
  <c r="K2883" i="14"/>
  <c r="M1757" i="14"/>
  <c r="M1755" i="14" s="1"/>
  <c r="K1755" i="14"/>
  <c r="M2997" i="14"/>
  <c r="M2995" i="14" s="1"/>
  <c r="K2995" i="14"/>
  <c r="M1861" i="14"/>
  <c r="M1859" i="14" s="1"/>
  <c r="K1859" i="14"/>
  <c r="M3093" i="14"/>
  <c r="M3091" i="14" s="1"/>
  <c r="K3091" i="14"/>
  <c r="M1829" i="14"/>
  <c r="M1827" i="14" s="1"/>
  <c r="K1827" i="14"/>
  <c r="K3587" i="14"/>
  <c r="M3061" i="14"/>
  <c r="M3059" i="14" s="1"/>
  <c r="K3059" i="14"/>
  <c r="M1793" i="14"/>
  <c r="M1791" i="14" s="1"/>
  <c r="K1791" i="14"/>
  <c r="M2749" i="14"/>
  <c r="M2747" i="14" s="1"/>
  <c r="K2747" i="14"/>
  <c r="M1617" i="14"/>
  <c r="M1615" i="14" s="1"/>
  <c r="K1615" i="14"/>
  <c r="M2853" i="14"/>
  <c r="M2851" i="14" s="1"/>
  <c r="K2851" i="14"/>
  <c r="M1725" i="14"/>
  <c r="M1723" i="14" s="1"/>
  <c r="K1723" i="14"/>
  <c r="K3491" i="14"/>
  <c r="M2965" i="14"/>
  <c r="M2963" i="14" s="1"/>
  <c r="K2963" i="14"/>
  <c r="M1693" i="14"/>
  <c r="M1691" i="14" s="1"/>
  <c r="K1691" i="14"/>
  <c r="M1969" i="14"/>
  <c r="M1967" i="14" s="1"/>
  <c r="K1967" i="14"/>
  <c r="K4275" i="14"/>
  <c r="M1809" i="14"/>
  <c r="M1807" i="14" s="1"/>
  <c r="K1807" i="14"/>
  <c r="M2765" i="14"/>
  <c r="M2763" i="14" s="1"/>
  <c r="K2763" i="14"/>
  <c r="M1489" i="14"/>
  <c r="M1487" i="14" s="1"/>
  <c r="K1487" i="14"/>
  <c r="M2601" i="14"/>
  <c r="M2599" i="14" s="1"/>
  <c r="K2599" i="14"/>
  <c r="K4259" i="14"/>
  <c r="M1597" i="14"/>
  <c r="M1595" i="14" s="1"/>
  <c r="K1595" i="14"/>
  <c r="M2137" i="14"/>
  <c r="M2135" i="14" s="1"/>
  <c r="K2135" i="14"/>
  <c r="K3875" i="14"/>
  <c r="M3365" i="14"/>
  <c r="M3363" i="14" s="1"/>
  <c r="K3363" i="14"/>
  <c r="M733" i="14"/>
  <c r="M731" i="14" s="1"/>
  <c r="K731" i="14"/>
  <c r="M2105" i="14"/>
  <c r="M2103" i="14" s="1"/>
  <c r="K2103" i="14"/>
  <c r="K3603" i="14"/>
  <c r="M2525" i="14"/>
  <c r="M2523" i="14" s="1"/>
  <c r="K2523" i="14"/>
  <c r="K4163" i="14"/>
  <c r="U4163" i="14" s="1"/>
  <c r="M1677" i="14"/>
  <c r="M1675" i="14" s="1"/>
  <c r="K1675" i="14"/>
  <c r="M2637" i="14"/>
  <c r="M2635" i="14" s="1"/>
  <c r="K2635" i="14"/>
  <c r="K4067" i="14"/>
  <c r="L3557" i="14"/>
  <c r="K3555" i="14"/>
  <c r="M1245" i="14"/>
  <c r="M1243" i="14" s="1"/>
  <c r="K1243" i="14"/>
  <c r="M2461" i="14"/>
  <c r="M2459" i="14" s="1"/>
  <c r="K2459" i="14"/>
  <c r="K4211" i="14"/>
  <c r="M1449" i="14"/>
  <c r="M1447" i="14" s="1"/>
  <c r="K1447" i="14"/>
  <c r="M2565" i="14"/>
  <c r="M2563" i="14" s="1"/>
  <c r="K2563" i="14"/>
  <c r="K4147" i="14"/>
  <c r="K4195" i="14"/>
  <c r="M1529" i="14"/>
  <c r="M1527" i="14" s="1"/>
  <c r="K1527" i="14"/>
  <c r="M2493" i="14"/>
  <c r="M2491" i="14" s="1"/>
  <c r="K2491" i="14"/>
  <c r="K3939" i="14"/>
  <c r="M3429" i="14"/>
  <c r="M3427" i="14" s="1"/>
  <c r="K3427" i="14"/>
  <c r="M905" i="14"/>
  <c r="M903" i="14" s="1"/>
  <c r="K903" i="14"/>
  <c r="M2313" i="14"/>
  <c r="M2311" i="14" s="1"/>
  <c r="K2311" i="14"/>
  <c r="K4035" i="14"/>
  <c r="M3525" i="14"/>
  <c r="M3523" i="14" s="1"/>
  <c r="K3523" i="14"/>
  <c r="M1193" i="14"/>
  <c r="M1191" i="14" s="1"/>
  <c r="K1191" i="14"/>
  <c r="M2429" i="14"/>
  <c r="M2427" i="14" s="1"/>
  <c r="K2427" i="14"/>
  <c r="K4131" i="14"/>
  <c r="M3621" i="14"/>
  <c r="M3619" i="14" s="1"/>
  <c r="K3619" i="14"/>
  <c r="M1405" i="14"/>
  <c r="M1403" i="14" s="1"/>
  <c r="K1403" i="14"/>
  <c r="M2393" i="14"/>
  <c r="M2391" i="14" s="1"/>
  <c r="K2391" i="14"/>
  <c r="K4099" i="14"/>
  <c r="M1281" i="14"/>
  <c r="M1279" i="14" s="1"/>
  <c r="K1279" i="14"/>
  <c r="M2361" i="14"/>
  <c r="M2359" i="14" s="1"/>
  <c r="K2359" i="14"/>
  <c r="K3811" i="14"/>
  <c r="M3301" i="14"/>
  <c r="M3299" i="14" s="1"/>
  <c r="K3299" i="14"/>
  <c r="M545" i="14"/>
  <c r="M543" i="14" s="1"/>
  <c r="K543" i="14"/>
  <c r="M2173" i="14"/>
  <c r="M2171" i="14" s="1"/>
  <c r="K2171" i="14"/>
  <c r="K3907" i="14"/>
  <c r="M3397" i="14"/>
  <c r="M3395" i="14" s="1"/>
  <c r="K3395" i="14"/>
  <c r="M777" i="14"/>
  <c r="M775" i="14" s="1"/>
  <c r="K775" i="14"/>
  <c r="M2277" i="14"/>
  <c r="M2275" i="14" s="1"/>
  <c r="K2275" i="14"/>
  <c r="K4003" i="14"/>
  <c r="M1101" i="14"/>
  <c r="M1099" i="14" s="1"/>
  <c r="K1099" i="14"/>
  <c r="M2245" i="14"/>
  <c r="M2243" i="14" s="1"/>
  <c r="K2243" i="14"/>
  <c r="K4115" i="14"/>
  <c r="M3077" i="14"/>
  <c r="M3075" i="14" s="1"/>
  <c r="K3075" i="14"/>
  <c r="M5525" i="14" l="1"/>
  <c r="M5523" i="14" s="1"/>
  <c r="L5523" i="14"/>
  <c r="M5509" i="14"/>
  <c r="M5507" i="14" s="1"/>
  <c r="L5507" i="14"/>
  <c r="M5413" i="14"/>
  <c r="M5411" i="14" s="1"/>
  <c r="M5445" i="14"/>
  <c r="M5443" i="14" s="1"/>
  <c r="M5365" i="14"/>
  <c r="M5363" i="14" s="1"/>
  <c r="L5363" i="14"/>
  <c r="M5349" i="14"/>
  <c r="M5347" i="14" s="1"/>
  <c r="L5347" i="14"/>
  <c r="V5354" i="14"/>
  <c r="M5301" i="14"/>
  <c r="M5299" i="14" s="1"/>
  <c r="M5269" i="14"/>
  <c r="M5267" i="14" s="1"/>
  <c r="L5267" i="14"/>
  <c r="M5285" i="14"/>
  <c r="M5283" i="14" s="1"/>
  <c r="L5283" i="14"/>
  <c r="M5141" i="14"/>
  <c r="M5139" i="14" s="1"/>
  <c r="M5237" i="14"/>
  <c r="M5235" i="14" s="1"/>
  <c r="L5235" i="14"/>
  <c r="M5253" i="14"/>
  <c r="M5251" i="14" s="1"/>
  <c r="L5251" i="14"/>
  <c r="M5205" i="14"/>
  <c r="M5203" i="14" s="1"/>
  <c r="L5203" i="14"/>
  <c r="M5189" i="14"/>
  <c r="M5187" i="14" s="1"/>
  <c r="L5187" i="14"/>
  <c r="M5221" i="14"/>
  <c r="M5219" i="14" s="1"/>
  <c r="L5219" i="14"/>
  <c r="M5109" i="14"/>
  <c r="M5107" i="14" s="1"/>
  <c r="M5125" i="14"/>
  <c r="M5123" i="14" s="1"/>
  <c r="L5123" i="14"/>
  <c r="M4933" i="14"/>
  <c r="M4931" i="14" s="1"/>
  <c r="M4965" i="14"/>
  <c r="M4963" i="14" s="1"/>
  <c r="L4963" i="14"/>
  <c r="M4981" i="14"/>
  <c r="M4979" i="14" s="1"/>
  <c r="L4979" i="14"/>
  <c r="M4917" i="14"/>
  <c r="M4915" i="14" s="1"/>
  <c r="M4949" i="14"/>
  <c r="M4947" i="14" s="1"/>
  <c r="L4947" i="14"/>
  <c r="M4213" i="14"/>
  <c r="M4211" i="14" s="1"/>
  <c r="M4021" i="14"/>
  <c r="M4019" i="14" s="1"/>
  <c r="L3976" i="14"/>
  <c r="M4261" i="14"/>
  <c r="M4259" i="14" s="1"/>
  <c r="L4179" i="14"/>
  <c r="M4245" i="14"/>
  <c r="M4243" i="14" s="1"/>
  <c r="U4115" i="14"/>
  <c r="U4003" i="14"/>
  <c r="U4099" i="14"/>
  <c r="U4035" i="14"/>
  <c r="U4195" i="14"/>
  <c r="U4147" i="14"/>
  <c r="U4259" i="14"/>
  <c r="U4275" i="14"/>
  <c r="U2851" i="14"/>
  <c r="U2747" i="14"/>
  <c r="U4243" i="14"/>
  <c r="U3987" i="14"/>
  <c r="U4083" i="14"/>
  <c r="U4179" i="14"/>
  <c r="U2787" i="14"/>
  <c r="U4403" i="14"/>
  <c r="U4387" i="14"/>
  <c r="U4371" i="14"/>
  <c r="U4339" i="14"/>
  <c r="U4291" i="14"/>
  <c r="U3395" i="14"/>
  <c r="U3907" i="14"/>
  <c r="U3811" i="14"/>
  <c r="U3619" i="14"/>
  <c r="U3523" i="14"/>
  <c r="U3427" i="14"/>
  <c r="U3939" i="14"/>
  <c r="U3603" i="14"/>
  <c r="U3363" i="14"/>
  <c r="U3875" i="14"/>
  <c r="U3059" i="14"/>
  <c r="U3091" i="14"/>
  <c r="U2995" i="14"/>
  <c r="U2883" i="14"/>
  <c r="U3715" i="14"/>
  <c r="U3235" i="14"/>
  <c r="U3747" i="14"/>
  <c r="U3123" i="14"/>
  <c r="U3651" i="14"/>
  <c r="U3331" i="14"/>
  <c r="U3843" i="14"/>
  <c r="U2819" i="14"/>
  <c r="U3779" i="14"/>
  <c r="U3155" i="14"/>
  <c r="U3683" i="14"/>
  <c r="U2803" i="14"/>
  <c r="U2899" i="14"/>
  <c r="U3443" i="14"/>
  <c r="U2943" i="14"/>
  <c r="U3011" i="14"/>
  <c r="U3539" i="14"/>
  <c r="U3187" i="14"/>
  <c r="U3667" i="14"/>
  <c r="U3347" i="14"/>
  <c r="U3859" i="14"/>
  <c r="U3891" i="14"/>
  <c r="U3795" i="14"/>
  <c r="U3955" i="14"/>
  <c r="U3475" i="14"/>
  <c r="U3507" i="14"/>
  <c r="U3411" i="14"/>
  <c r="U3923" i="14"/>
  <c r="U3571" i="14"/>
  <c r="U3219" i="14"/>
  <c r="U3731" i="14"/>
  <c r="U3251" i="14"/>
  <c r="U3763" i="14"/>
  <c r="U3827" i="14"/>
  <c r="U2915" i="14"/>
  <c r="U3459" i="14"/>
  <c r="U2835" i="14"/>
  <c r="U2731" i="14"/>
  <c r="U2867" i="14"/>
  <c r="U3635" i="14"/>
  <c r="U3139" i="14"/>
  <c r="U2243" i="14"/>
  <c r="U1099" i="14"/>
  <c r="U775" i="14"/>
  <c r="U2171" i="14"/>
  <c r="U543" i="14"/>
  <c r="U2359" i="14"/>
  <c r="U1279" i="14"/>
  <c r="U2391" i="14"/>
  <c r="U1403" i="14"/>
  <c r="U2427" i="14"/>
  <c r="U1191" i="14"/>
  <c r="U2311" i="14"/>
  <c r="U903" i="14"/>
  <c r="U2491" i="14"/>
  <c r="U1527" i="14"/>
  <c r="U2563" i="14"/>
  <c r="U1447" i="14"/>
  <c r="U1243" i="14"/>
  <c r="U2635" i="14"/>
  <c r="U1675" i="14"/>
  <c r="U2523" i="14"/>
  <c r="U2103" i="14"/>
  <c r="U731" i="14"/>
  <c r="U2135" i="14"/>
  <c r="U1595" i="14"/>
  <c r="U2599" i="14"/>
  <c r="U1487" i="14"/>
  <c r="U1807" i="14"/>
  <c r="U1967" i="14"/>
  <c r="U1691" i="14"/>
  <c r="U1723" i="14"/>
  <c r="U1615" i="14"/>
  <c r="U1791" i="14"/>
  <c r="U1859" i="14"/>
  <c r="U1755" i="14"/>
  <c r="U1931" i="14"/>
  <c r="U1999" i="14"/>
  <c r="U1899" i="14"/>
  <c r="U2067" i="14"/>
  <c r="U659" i="14"/>
  <c r="U1339" i="14"/>
  <c r="U2031" i="14"/>
  <c r="U2207" i="14"/>
  <c r="U1011" i="14"/>
  <c r="U1739" i="14"/>
  <c r="U1947" i="14"/>
  <c r="U1875" i="14"/>
  <c r="U1771" i="14"/>
  <c r="U2087" i="14"/>
  <c r="U2015" i="14"/>
  <c r="U1915" i="14"/>
  <c r="U2227" i="14"/>
  <c r="U2667" i="14"/>
  <c r="U2155" i="14"/>
  <c r="U623" i="14"/>
  <c r="U2375" i="14"/>
  <c r="U510" i="14"/>
  <c r="U1563" i="14"/>
  <c r="U1490" i="14"/>
  <c r="U695" i="14"/>
  <c r="U759" i="14"/>
  <c r="U2295" i="14"/>
  <c r="U507" i="14"/>
  <c r="U2191" i="14"/>
  <c r="U919" i="14"/>
  <c r="U2507" i="14"/>
  <c r="U1055" i="14"/>
  <c r="U1163" i="14"/>
  <c r="U2443" i="14"/>
  <c r="U863" i="14"/>
  <c r="U2327" i="14"/>
  <c r="U1263" i="14"/>
  <c r="U2651" i="14"/>
  <c r="U2683" i="14"/>
  <c r="U2579" i="14"/>
  <c r="U1219" i="14"/>
  <c r="U2475" i="14"/>
  <c r="U626" i="14"/>
  <c r="U2119" i="14"/>
  <c r="U1543" i="14"/>
  <c r="U347" i="14"/>
  <c r="U2715" i="14"/>
  <c r="U1471" i="14"/>
  <c r="U2615" i="14"/>
  <c r="U1843" i="14"/>
  <c r="U1983" i="14"/>
  <c r="U2051" i="14"/>
  <c r="M4389" i="14"/>
  <c r="M4387" i="14" s="1"/>
  <c r="M3989" i="14"/>
  <c r="M3987" i="14" s="1"/>
  <c r="L4115" i="14"/>
  <c r="M6096" i="14"/>
  <c r="M510" i="14"/>
  <c r="M347" i="14"/>
  <c r="M4277" i="14"/>
  <c r="M4275" i="14" s="1"/>
  <c r="M4085" i="14"/>
  <c r="M4083" i="14" s="1"/>
  <c r="L659" i="14"/>
  <c r="M661" i="14"/>
  <c r="M659" i="14" s="1"/>
  <c r="M4133" i="14"/>
  <c r="M4131" i="14" s="1"/>
  <c r="M3829" i="14"/>
  <c r="M3827" i="14" s="1"/>
  <c r="M3557" i="14"/>
  <c r="M3555" i="14" s="1"/>
  <c r="L3555" i="14"/>
  <c r="M3765" i="14"/>
  <c r="M3763" i="14" s="1"/>
  <c r="M4229" i="14"/>
  <c r="M4227" i="14" s="1"/>
  <c r="L3974" i="14" l="1"/>
  <c r="M3976" i="14"/>
  <c r="M3974"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tc={4793AD24-E4EA-4561-BA67-210D344E4A08}</author>
    <author>tc={D915DDDF-E8EE-428D-B37E-F28E886A1541}</author>
    <author>tc={E176D37D-1655-4FDB-AD06-7619DFB3805F}</author>
    <author>tc={0C34A36F-BB8E-45A6-99AE-E0972A17875F}</author>
    <author>tc={B5E1B07E-41B2-4FE8-99FF-25966F0740FF}</author>
    <author>Ignacio Celentano</author>
    <author>Gabriel Degenhardt</author>
    <author>tc={76E678C1-CC81-43E1-9F72-0150BE8BD59C}</author>
    <author>tc={69C68391-831E-4C06-8EA0-BAC1964F23D4}</author>
    <author>tc={FB450E7C-897D-42AD-A86B-F67DDA4CC63A}</author>
    <author>tc={AA134102-16D7-4A89-99B3-15D5B44F6804}</author>
    <author>tc={AF0B4B95-92B1-4BC1-B9A7-79BD22662761}</author>
    <author>tc={6AB638A0-74D0-4FF7-94C2-E47C8C7243A3}</author>
    <author>tc={A29CFCC7-6671-455E-9B85-43A80634679B}</author>
    <author>tc={ECE47CF5-98EA-4AD6-95E8-EBADD7B7402C}</author>
    <author>tc={AD9500EF-7A14-4B4E-A60A-AB7ED7332F43}</author>
    <author>tc={02DCE3F5-7B17-4C57-B2D9-014ED3727D91}</author>
    <author>tc={ADFDD236-BDE2-46F0-AF99-799AFF4004BE}</author>
    <author>tc={F8CC0962-2BF9-4C7F-ABC0-E52B0FADD772}</author>
    <author>tc={D4E51727-E63B-4F4E-A28E-F2E1C107C0BA}</author>
    <author>tc={8C98D3BF-DECB-4DF2-92F5-BD12518AD701}</author>
    <author>tc={E62B6AC2-C12F-4242-ABA1-75087687BE56}</author>
    <author>tc={78EE0B27-0BE6-40DE-A46C-24305109ED45}</author>
    <author>tc={D0798D90-E818-44D3-A872-FC09D821F2A8}</author>
    <author>tc={45E1B91E-943C-48DA-B40C-D0657D225C3E}</author>
    <author>tc={8F9E5EBA-2CD5-41F7-880E-8A9871C2D29F}</author>
    <author>tc={B77E5928-265E-4EE2-B5CA-1D0AF52BCAF4}</author>
    <author>tc={0A2AC0B3-A10E-4247-9271-16D071EBC14E}</author>
    <author>tc={5E57A945-225C-4B32-879A-13099007B2AF}</author>
    <author>tc={151859A4-5941-498B-BAB2-9E554D225759}</author>
    <author>tc={50FC49B3-BDAA-4EC1-B29F-AE7E8FF5120D}</author>
    <author>tc={B26FFF93-5389-461F-8D8F-2AD98C761BBB}</author>
    <author>tc={4842E6A4-31F0-4A1A-9F45-AD99EA98BE25}</author>
    <author>tc={3ACF50C0-0D5C-4CD1-8FEC-01AC93AFEF32}</author>
    <author>tc={97CCBE87-80F8-4F1C-9A61-E6B329A2FA83}</author>
    <author>tc={60199E86-DC44-41FF-BDAC-3C45D98E7C55}</author>
    <author>tc={E183F1A4-3378-4A07-9F83-08C28E8E075C}</author>
    <author>tc={278BCA38-0AB9-45B2-8166-B2FF9AADA989}</author>
    <author>tc={7989881F-DB85-4291-8854-9014CB6B179A}</author>
    <author>tc={00D70320-8641-4802-8DFB-5558BD0DA20C}</author>
    <author>tc={611AD15F-C6FA-4C2E-A4B1-B1780475C3A5}</author>
    <author>tc={6F6419A5-FBC2-4A53-90F5-F6CB0EEBAE4E}</author>
    <author>tc={B483AF51-ABA7-4B6A-B64F-FC383E63DF35}</author>
    <author>tc={72128544-C20F-4266-A5A7-617DAA32FAA2}</author>
    <author>tc={60BC8518-0E4D-40B9-84E4-F7E9B684DDFD}</author>
    <author>tc={CAC39CEB-6E1C-46BE-A29C-B4F1D33BCF42}</author>
    <author>tc={A64F8736-0EE1-4344-892C-AF2367E0B044}</author>
    <author>tc={7C40F095-F8F7-44E1-B6C6-AA1C3061AD18}</author>
    <author>tc={11C55106-0052-4971-82B7-C67BF94CC237}</author>
    <author>tc={3FD4EE54-23BA-46C7-A007-C10C6B0E0E97}</author>
    <author>tc={501B7635-06A4-45AA-9D0D-7C445A8293E7}</author>
    <author>tc={FDC85E31-3288-492B-B27B-45A1E42D3FD1}</author>
    <author>tc={18030EBB-D53A-4ED4-A6AC-2FF4E3A7DDFE}</author>
    <author>tc={05967B25-50D6-4C5E-B61A-AB116B3FD886}</author>
    <author>tc={92E9B476-98CA-4A32-BD91-F004DC799A5C}</author>
    <author>tc={72EC0E2B-C2A7-4054-98A7-7E8110598663}</author>
    <author>tc={B50C96DB-D4B3-45F2-B215-DAC0DA658060}</author>
    <author>tc={CE6149C0-F3A5-4923-9AB2-25B6D88FEC93}</author>
    <author>tc={A2BC1ACE-8BC9-47DA-976E-E07959B2009D}</author>
    <author>tc={BA3DC927-6742-4E0B-A584-99D90F95C7D5}</author>
    <author>tc={99AD570D-41B7-4A1A-BB24-EB02CB197DFF}</author>
    <author>tc={15D94217-078D-47CC-8DCC-28183AA29BBB}</author>
    <author>tc={993D12F0-F18E-4AA7-8EB3-69693E0D7AD1}</author>
    <author>tc={40E153FA-929B-454F-B3AC-0CDAB197459B}</author>
    <author>tc={75EF1688-E5CF-4085-8489-23A1265F4716}</author>
    <author>tc={B9F1A853-F28E-4B60-82E8-05AFD2E1DF7D}</author>
    <author>tc={16AB1555-BEE6-40FA-9D44-FCCF1BB17048}</author>
    <author>tc={44A45EBE-83CE-4A93-9F1B-FDC6D008EE6B}</author>
    <author>tc={6C9E61F2-E9D1-437F-A495-D9B27E4E8BC7}</author>
    <author>tc={36183E04-7C61-47DB-8A26-F2AF7CB20EFD}</author>
    <author>tc={CBD0F9D9-A40C-4605-BC26-A113EF0359A1}</author>
    <author>tc={2458E3DF-E3E5-4608-951F-58E9B7FA0A87}</author>
    <author>tc={2ABB6426-7FBE-463A-8918-8563A2B0B38C}</author>
    <author>tc={4A1CDBFD-F4BE-4BD1-BB25-248D18B62916}</author>
  </authors>
  <commentList>
    <comment ref="L2" authorId="0" shapeId="0" xr:uid="{4793AD24-E4EA-4561-BA67-210D344E4A08}">
      <text>
        <t>[Threaded comment]
Your version of Excel allows you to read this threaded comment; however, any edits to it will get removed if the file is opened in a newer version of Excel. Learn more: https://go.microsoft.com/fwlink/?linkid=870924
Comment:
    Elegir mes y año que se quiere analizar en particular. Aparecerá en Columna O.</t>
      </text>
    </comment>
    <comment ref="H361" authorId="1" shapeId="0" xr:uid="{D915DDDF-E8EE-428D-B37E-F28E886A1541}">
      <text>
        <t>[Threaded comment]
Your version of Excel allows you to read this threaded comment; however, any edits to it will get removed if the file is opened in a newer version of Excel. Learn more: https://go.microsoft.com/fwlink/?linkid=870924
Comment:
    Hay 34 hs cargadas aunque la PeS no ha comenzado aún. Debemos compensarlas</t>
      </text>
    </comment>
    <comment ref="L761" authorId="2" shapeId="0" xr:uid="{E176D37D-1655-4FDB-AD06-7619DFB3805F}">
      <text>
        <t>[Threaded comment]
Your version of Excel allows you to read this threaded comment; however, any edits to it will get removed if the file is opened in a newer version of Excel. Learn more: https://go.microsoft.com/fwlink/?linkid=870924
Comment:
    Para elaboración de documentos y CAO</t>
      </text>
    </comment>
    <comment ref="L763" authorId="3" shapeId="0" xr:uid="{0C34A36F-BB8E-45A6-99AE-E0972A17875F}">
      <text>
        <t>[Threaded comment]
Your version of Excel allows you to read this threaded comment; however, any edits to it will get removed if the file is opened in a newer version of Excel. Learn more: https://go.microsoft.com/fwlink/?linkid=870924
Comment:
    Para conformar observaciones a protocolos SAT y preparación del SAT</t>
      </text>
    </comment>
    <comment ref="L764" authorId="4" shapeId="0" xr:uid="{B5E1B07E-41B2-4FE8-99FF-25966F0740FF}">
      <text>
        <t>[Threaded comment]
Your version of Excel allows you to read this threaded comment; however, any edits to it will get removed if the file is opened in a newer version of Excel. Learn more: https://go.microsoft.com/fwlink/?linkid=870924
Comment:
    Para conformar observaciones a protocolos SAT y preparación del SAT</t>
      </text>
    </comment>
    <comment ref="H820" authorId="5" shapeId="0" xr:uid="{D7D6F6AC-9B74-4650-941A-C7A01FD8E1A5}">
      <text>
        <r>
          <rPr>
            <b/>
            <sz val="9"/>
            <color indexed="81"/>
            <rFont val="Tahoma"/>
            <family val="2"/>
          </rPr>
          <t>Ignacio Celentano:</t>
        </r>
        <r>
          <rPr>
            <sz val="9"/>
            <color indexed="81"/>
            <rFont val="Tahoma"/>
            <family val="2"/>
          </rPr>
          <t xml:space="preserve">
Incluiye 324 hs agregadas en Handover</t>
        </r>
      </text>
    </comment>
    <comment ref="H920" authorId="6" shapeId="0" xr:uid="{C1605F16-02C1-40A8-9F8C-703FE6E18E46}">
      <text>
        <r>
          <rPr>
            <b/>
            <sz val="9"/>
            <color indexed="81"/>
            <rFont val="Tahoma"/>
            <family val="2"/>
          </rPr>
          <t>Gabriel Degenhardt:</t>
        </r>
        <r>
          <rPr>
            <sz val="9"/>
            <color indexed="81"/>
            <rFont val="Tahoma"/>
            <family val="2"/>
          </rPr>
          <t xml:space="preserve">
Incluye adicionales</t>
        </r>
      </text>
    </comment>
    <comment ref="H921" authorId="6" shapeId="0" xr:uid="{8B6EBE35-7A22-410E-AF02-F9C7EC7DC14C}">
      <text>
        <r>
          <rPr>
            <b/>
            <sz val="9"/>
            <color indexed="81"/>
            <rFont val="Tahoma"/>
            <family val="2"/>
          </rPr>
          <t>Gabriel Degenhardt:</t>
        </r>
        <r>
          <rPr>
            <sz val="9"/>
            <color indexed="81"/>
            <rFont val="Tahoma"/>
            <family val="2"/>
          </rPr>
          <t xml:space="preserve">
Incluye adic</t>
        </r>
      </text>
    </comment>
    <comment ref="H923" authorId="6" shapeId="0" xr:uid="{B53B1B09-E266-4EA6-93C4-777BE05E4754}">
      <text>
        <r>
          <rPr>
            <b/>
            <sz val="9"/>
            <color indexed="81"/>
            <rFont val="Tahoma"/>
            <family val="2"/>
          </rPr>
          <t>Gabriel Degenhardt:</t>
        </r>
        <r>
          <rPr>
            <sz val="9"/>
            <color indexed="81"/>
            <rFont val="Tahoma"/>
            <family val="2"/>
          </rPr>
          <t xml:space="preserve">
incluye adic</t>
        </r>
      </text>
    </comment>
    <comment ref="H932" authorId="6" shapeId="0" xr:uid="{4137202C-26F8-4A79-9C2A-B91F1A27E795}">
      <text>
        <r>
          <rPr>
            <b/>
            <sz val="9"/>
            <color indexed="81"/>
            <rFont val="Tahoma"/>
            <family val="2"/>
          </rPr>
          <t>Gabriel Degenhardt:</t>
        </r>
        <r>
          <rPr>
            <sz val="9"/>
            <color indexed="81"/>
            <rFont val="Tahoma"/>
            <family val="2"/>
          </rPr>
          <t xml:space="preserve">
Incluye adic</t>
        </r>
      </text>
    </comment>
    <comment ref="L1545" authorId="7" shapeId="0" xr:uid="{76E678C1-CC81-43E1-9F72-0150BE8BD59C}">
      <text>
        <t>[Threaded comment]
Your version of Excel allows you to read this threaded comment; however, any edits to it will get removed if the file is opened in a newer version of Excel. Learn more: https://go.microsoft.com/fwlink/?linkid=870924
Comment:
    Para elaboración de documentos CAO</t>
      </text>
    </comment>
    <comment ref="L1547" authorId="8" shapeId="0" xr:uid="{69C68391-831E-4C06-8EA0-BAC1964F23D4}">
      <text>
        <t>[Threaded comment]
Your version of Excel allows you to read this threaded comment; however, any edits to it will get removed if the file is opened in a newer version of Excel. Learn more: https://go.microsoft.com/fwlink/?linkid=870924
Comment:
    Para realizar CAO</t>
      </text>
    </comment>
    <comment ref="I2696" authorId="9" shapeId="0" xr:uid="{FB450E7C-897D-42AD-A86B-F67DDA4CC63A}">
      <text>
        <t>[Threaded comment]
Your version of Excel allows you to read this threaded comment; however, any edits to it will get removed if the file is opened in a newer version of Excel. Learn more: https://go.microsoft.com/fwlink/?linkid=870924
Comment:
    Adicionales obtenidos por tareas en las PeS en diversos momentos (Q180042.9)</t>
      </text>
    </comment>
    <comment ref="H3716" authorId="10" shapeId="0" xr:uid="{AA134102-16D7-4A89-99B3-15D5B44F6804}">
      <text>
        <t>[Threaded comment]
Your version of Excel allows you to read this threaded comment; however, any edits to it will get removed if the file is opened in a newer version of Excel. Learn more: https://go.microsoft.com/fwlink/?linkid=870924
Comment:
    Se agregaron 9 hs por adicional tablero Acoplador (23/06/20)</t>
      </text>
    </comment>
    <comment ref="H3719" authorId="11" shapeId="0" xr:uid="{AF0B4B95-92B1-4BC1-B9A7-79BD22662761}">
      <text>
        <t>[Threaded comment]
Your version of Excel allows you to read this threaded comment; however, any edits to it will get removed if the file is opened in a newer version of Excel. Learn more: https://go.microsoft.com/fwlink/?linkid=870924
Comment:
    Se agregaron 27 hs por adicional tablero Acoplador (23/06/20)</t>
      </text>
    </comment>
    <comment ref="H3720" authorId="12" shapeId="0" xr:uid="{6AB638A0-74D0-4FF7-94C2-E47C8C7243A3}">
      <text>
        <t>[Threaded comment]
Your version of Excel allows you to read this threaded comment; however, any edits to it will get removed if the file is opened in a newer version of Excel. Learn more: https://go.microsoft.com/fwlink/?linkid=870924
Comment:
    Se agregaron 9 hs por adicional tablero Acoplador (23/06/20)</t>
      </text>
    </comment>
    <comment ref="H3722" authorId="13" shapeId="0" xr:uid="{A29CFCC7-6671-455E-9B85-43A80634679B}">
      <text>
        <t>[Threaded comment]
Your version of Excel allows you to read this threaded comment; however, any edits to it will get removed if the file is opened in a newer version of Excel. Learn more: https://go.microsoft.com/fwlink/?linkid=870924
Comment:
    Se agregaron 9 hs por adicional tablero Acoplador (23/06/20)</t>
      </text>
    </comment>
    <comment ref="H3728" authorId="14" shapeId="0" xr:uid="{ECE47CF5-98EA-4AD6-95E8-EBADD7B7402C}">
      <text>
        <t>[Threaded comment]
Your version of Excel allows you to read this threaded comment; however, any edits to it will get removed if the file is opened in a newer version of Excel. Learn more: https://go.microsoft.com/fwlink/?linkid=870924
Comment:
    Se agregaron 9 hs por adicional tablero Acoplador (23/06/20)</t>
      </text>
    </comment>
    <comment ref="G4148" authorId="15" shapeId="0" xr:uid="{AD9500EF-7A14-4B4E-A60A-AB7ED7332F43}">
      <text>
        <t>[Threaded comment]
Your version of Excel allows you to read this threaded comment; however, any edits to it will get removed if the file is opened in a newer version of Excel. Learn more: https://go.microsoft.com/fwlink/?linkid=870924
Comment:
    Incluye 160hs fabricación comunicaciones</t>
      </text>
    </comment>
    <comment ref="G4149" authorId="16" shapeId="0" xr:uid="{02DCE3F5-7B17-4C57-B2D9-014ED3727D91}">
      <text>
        <t>[Threaded comment]
Your version of Excel allows you to read this threaded comment; however, any edits to it will get removed if the file is opened in a newer version of Excel. Learn more: https://go.microsoft.com/fwlink/?linkid=870924
Comment:
    Incluye 42hs de comunicaciones</t>
      </text>
    </comment>
    <comment ref="G4154" authorId="17" shapeId="0" xr:uid="{ADFDD236-BDE2-46F0-AF99-799AFF4004BE}">
      <text>
        <t>[Threaded comment]
Your version of Excel allows you to read this threaded comment; however, any edits to it will get removed if the file is opened in a newer version of Excel. Learn more: https://go.microsoft.com/fwlink/?linkid=870924
Comment:
    Incluye comunicaciones. No se sabe cuantas hs fueron destinadas a comunicaciones</t>
      </text>
    </comment>
    <comment ref="H4164" authorId="18" shapeId="0" xr:uid="{F8CC0962-2BF9-4C7F-ABC0-E52B0FADD772}">
      <text>
        <t>[Threaded comment]
Your version of Excel allows you to read this threaded comment; however, any edits to it will get removed if the file is opened in a newer version of Excel. Learn more: https://go.microsoft.com/fwlink/?linkid=870924
Comment:
    Ver mail de Toledo 30/03/22 (incluye Comunicaciones)</t>
      </text>
    </comment>
    <comment ref="H4165" authorId="19" shapeId="0" xr:uid="{D4E51727-E63B-4F4E-A28E-F2E1C107C0BA}">
      <text>
        <t>[Threaded comment]
Your version of Excel allows you to read this threaded comment; however, any edits to it will get removed if the file is opened in a newer version of Excel. Learn more: https://go.microsoft.com/fwlink/?linkid=870924
Comment:
    Ver mail de Haim (03/05/22)</t>
      </text>
    </comment>
    <comment ref="H4167" authorId="20" shapeId="0" xr:uid="{8C98D3BF-DECB-4DF2-92F5-BD12518AD701}">
      <text>
        <t>[Threaded comment]
Your version of Excel allows you to read this threaded comment; however, any edits to it will get removed if the file is opened in a newer version of Excel. Learn more: https://go.microsoft.com/fwlink/?linkid=870924
Comment:
    Ver mail de Haim 03/05/22</t>
      </text>
    </comment>
    <comment ref="H4168" authorId="21" shapeId="0" xr:uid="{E62B6AC2-C12F-4242-ABA1-75087687BE56}">
      <text>
        <t>[Threaded comment]
Your version of Excel allows you to read this threaded comment; however, any edits to it will get removed if the file is opened in a newer version of Excel. Learn more: https://go.microsoft.com/fwlink/?linkid=870924
Comment:
    Ver mail de Haim 03/05/22</t>
      </text>
    </comment>
    <comment ref="H4171" authorId="22" shapeId="0" xr:uid="{78EE0B27-0BE6-40DE-A46C-24305109ED45}">
      <text>
        <t>[Threaded comment]
Your version of Excel allows you to read this threaded comment; however, any edits to it will get removed if the file is opened in a newer version of Excel. Learn more: https://go.microsoft.com/fwlink/?linkid=870924
Comment:
    Ver mail de Enzo del 31/03/22</t>
      </text>
    </comment>
    <comment ref="H4172" authorId="23" shapeId="0" xr:uid="{D0798D90-E818-44D3-A872-FC09D821F2A8}">
      <text>
        <t>[Threaded comment]
Your version of Excel allows you to read this threaded comment; however, any edits to it will get removed if the file is opened in a newer version of Excel. Learn more: https://go.microsoft.com/fwlink/?linkid=870924
Comment:
    Ver mail de Enzo del 31/03/22</t>
      </text>
    </comment>
    <comment ref="I4197" authorId="24" shapeId="0" xr:uid="{45E1B91E-943C-48DA-B40C-D0657D225C3E}">
      <text>
        <t>[Threaded comment]
Your version of Excel allows you to read this threaded comment; however, any edits to it will get removed if the file is opened in a newer version of Excel. Learn more: https://go.microsoft.com/fwlink/?linkid=870924
Comment:
    Hs por adicional funcionales de tableros</t>
      </text>
    </comment>
    <comment ref="I4199" authorId="25" shapeId="0" xr:uid="{8F9E5EBA-2CD5-41F7-880E-8A9871C2D29F}">
      <text>
        <t>[Threaded comment]
Your version of Excel allows you to read this threaded comment; however, any edits to it will get removed if the file is opened in a newer version of Excel. Learn more: https://go.microsoft.com/fwlink/?linkid=870924
Comment:
    Hs por adicional funcionales de tableros</t>
      </text>
    </comment>
    <comment ref="I4202" authorId="26" shapeId="0" xr:uid="{B77E5928-265E-4EE2-B5CA-1D0AF52BCAF4}">
      <text>
        <t>[Threaded comment]
Your version of Excel allows you to read this threaded comment; however, any edits to it will get removed if the file is opened in a newer version of Excel. Learn more: https://go.microsoft.com/fwlink/?linkid=870924
Comment:
    Hs por adicional funcionales de tableros</t>
      </text>
    </comment>
    <comment ref="I4203" authorId="27" shapeId="0" xr:uid="{0A2AC0B3-A10E-4247-9271-16D071EBC14E}">
      <text>
        <t>[Threaded comment]
Your version of Excel allows you to read this threaded comment; however, any edits to it will get removed if the file is opened in a newer version of Excel. Learn more: https://go.microsoft.com/fwlink/?linkid=870924
Comment:
    Hs por adicional ensayos en LAGO</t>
      </text>
    </comment>
    <comment ref="I4204" authorId="28" shapeId="0" xr:uid="{5E57A945-225C-4B32-879A-13099007B2AF}">
      <text>
        <t>[Threaded comment]
Your version of Excel allows you to read this threaded comment; however, any edits to it will get removed if the file is opened in a newer version of Excel. Learn more: https://go.microsoft.com/fwlink/?linkid=870924
Comment:
    Hs por adicional en LAGO</t>
      </text>
    </comment>
    <comment ref="I4208" authorId="29" shapeId="0" xr:uid="{151859A4-5941-498B-BAB2-9E554D225759}">
      <text>
        <t>[Threaded comment]
Your version of Excel allows you to read this threaded comment; however, any edits to it will get removed if the file is opened in a newer version of Excel. Learn more: https://go.microsoft.com/fwlink/?linkid=870924
Comment:
    Corresponden al adicional cobrado por concurrir a fábrica de LAGO (como servicio)</t>
      </text>
    </comment>
    <comment ref="I4209" authorId="30" shapeId="0" xr:uid="{50FC49B3-BDAA-4EC1-B29F-AE7E8FF5120D}">
      <text>
        <t>[Threaded comment]
Your version of Excel allows you to read this threaded comment; however, any edits to it will get removed if the file is opened in a newer version of Excel. Learn more: https://go.microsoft.com/fwlink/?linkid=870924
Comment:
    Corresponden al adicional cobrado por concurrir a fábrica de LAGO (como servicio)</t>
      </text>
    </comment>
    <comment ref="H4516" authorId="31" shapeId="0" xr:uid="{B26FFF93-5389-461F-8D8F-2AD98C761BBB}">
      <text>
        <t>[Threaded comment]
Your version of Excel allows you to read this threaded comment; however, any edits to it will get removed if the file is opened in a newer version of Excel. Learn more: https://go.microsoft.com/fwlink/?linkid=870924
Comment:
    Se consideró 35hs en fábrica y 30hs en obra para montaje y cableado</t>
      </text>
    </comment>
    <comment ref="I4517" authorId="32" shapeId="0" xr:uid="{4842E6A4-31F0-4A1A-9F45-AD99EA98BE25}">
      <text>
        <t>[Threaded comment]
Your version of Excel allows you to read this threaded comment; however, any edits to it will get removed if the file is opened in a newer version of Excel. Learn more: https://go.microsoft.com/fwlink/?linkid=870924
Comment:
    Agregadas por adicional 1</t>
      </text>
    </comment>
    <comment ref="H4519" authorId="33" shapeId="0" xr:uid="{3ACF50C0-0D5C-4CD1-8FEC-01AC93AFEF32}">
      <text>
        <t>[Threaded comment]
Your version of Excel allows you to read this threaded comment; however, any edits to it will get removed if the file is opened in a newer version of Excel. Learn more: https://go.microsoft.com/fwlink/?linkid=870924
Comment:
    Se considerá 35hs de análisis y 45hs para configuraciones</t>
      </text>
    </comment>
    <comment ref="I4519" authorId="34" shapeId="0" xr:uid="{97CCBE87-80F8-4F1C-9A61-E6B329A2FA83}">
      <text>
        <t>[Threaded comment]
Your version of Excel allows you to read this threaded comment; however, any edits to it will get removed if the file is opened in a newer version of Excel. Learn more: https://go.microsoft.com/fwlink/?linkid=870924
Comment:
    Agregadas por adicional 1</t>
      </text>
    </comment>
    <comment ref="H4528" authorId="35" shapeId="0" xr:uid="{60199E86-DC44-41FF-BDAC-3C45D98E7C55}">
      <text>
        <t>[Threaded comment]
Your version of Excel allows you to read this threaded comment; however, any edits to it will get removed if the file is opened in a newer version of Excel. Learn more: https://go.microsoft.com/fwlink/?linkid=870924
Comment:
    Se consideró 30hs de 1 persona de protecciones que acompaña al de fábrica y 30hs para la PeS de la formación de isla</t>
      </text>
    </comment>
    <comment ref="I4581" authorId="36" shapeId="0" xr:uid="{E183F1A4-3378-4A07-9F83-08C28E8E075C}">
      <text>
        <t>[Threaded comment]
Your version of Excel allows you to read this threaded comment; however, any edits to it will get removed if the file is opened in a newer version of Excel. Learn more: https://go.microsoft.com/fwlink/?linkid=870924
Comment:
    Corresponde a reclasificación por exceso en la carga de horas</t>
      </text>
    </comment>
    <comment ref="L4584" authorId="37" shapeId="0" xr:uid="{278BCA38-0AB9-45B2-8166-B2FF9AADA989}">
      <text>
        <t>[Threaded comment]
Your version of Excel allows you to read this threaded comment; however, any edits to it will get removed if the file is opened in a newer version of Excel. Learn more: https://go.microsoft.com/fwlink/?linkid=870924
Comment:
    Ver mail de JH 13/12 donde informa sobre las acciones que tomará ingeniería de control para compensar el desfasaje que ha producido la capacitación de Baldini</t>
      </text>
    </comment>
    <comment ref="L4598" authorId="38" shapeId="0" xr:uid="{7989881F-DB85-4291-8854-9014CB6B179A}">
      <text>
        <t>[Threaded comment]
Your version of Excel allows you to read this threaded comment; however, any edits to it will get removed if the file is opened in a newer version of Excel. Learn more: https://go.microsoft.com/fwlink/?linkid=870924
Comment:
    Aqui coloco las horas disponibles de soporte telefónico. Cuando se consuman de esas horas, habría que restar este numero para llevar control. Saldo debe ser igual a Saldo estimado.</t>
      </text>
    </comment>
    <comment ref="I4660" authorId="39" shapeId="0" xr:uid="{00D70320-8641-4802-8DFB-5558BD0DA20C}">
      <text>
        <t>[Threaded comment]
Your version of Excel allows you to read this threaded comment; however, any edits to it will get removed if the file is opened in a newer version of Excel. Learn more: https://go.microsoft.com/fwlink/?linkid=870924
Comment:
    Hs Ad TELECOM + Hs Gaby Rodriguez (389) + Adicional M1 (2131)</t>
      </text>
    </comment>
    <comment ref="I4661" authorId="40" shapeId="0" xr:uid="{611AD15F-C6FA-4C2E-A4B1-B1780475C3A5}">
      <text>
        <t>[Threaded comment]
Your version of Excel allows you to read this threaded comment; however, any edits to it will get removed if the file is opened in a newer version of Excel. Learn more: https://go.microsoft.com/fwlink/?linkid=870924
Comment:
    Hs Ad TELECOM+ Adicional M1</t>
      </text>
    </comment>
    <comment ref="I4663" authorId="41" shapeId="0" xr:uid="{6F6419A5-FBC2-4A53-90F5-F6CB0EEBAE4E}">
      <text>
        <t>[Threaded comment]
Your version of Excel allows you to read this threaded comment; however, any edits to it will get removed if the file is opened in a newer version of Excel. Learn more: https://go.microsoft.com/fwlink/?linkid=870924
Comment:
    hs proy SMEC 
Hs INOPC (-402)+ Adicional M1</t>
      </text>
    </comment>
    <comment ref="I4665" authorId="42" shapeId="0" xr:uid="{B483AF51-ABA7-4B6A-B64F-FC383E63DF35}">
      <text>
        <t>[Threaded comment]
Your version of Excel allows you to read this threaded comment; however, any edits to it will get removed if the file is opened in a newer version of Excel. Learn more: https://go.microsoft.com/fwlink/?linkid=870924
Comment:
    Hs Ad TELECOM</t>
      </text>
    </comment>
    <comment ref="I4666" authorId="43" shapeId="0" xr:uid="{72128544-C20F-4266-A5A7-617DAA32FAA2}">
      <text>
        <t>[Threaded comment]
Your version of Excel allows you to read this threaded comment; however, any edits to it will get removed if the file is opened in a newer version of Excel. Learn more: https://go.microsoft.com/fwlink/?linkid=870924
Comment:
    Hs PM + Hs Adicional M1</t>
      </text>
    </comment>
    <comment ref="I4667" authorId="44" shapeId="0" xr:uid="{60BC8518-0E4D-40B9-84E4-F7E9B684DDFD}">
      <text>
        <t>[Threaded comment]
Your version of Excel allows you to read this threaded comment; however, any edits to it will get removed if the file is opened in a newer version of Excel. Learn more: https://go.microsoft.com/fwlink/?linkid=870924
Comment:
    Hs Reclasificación de 
Gaby Rodriguez y Hs FOCO + Adicional M1</t>
      </text>
    </comment>
    <comment ref="I4669" authorId="45" shapeId="0" xr:uid="{CAC39CEB-6E1C-46BE-A29C-B4F1D33BCF42}">
      <text>
        <t>[Threaded comment]
Your version of Excel allows you to read this threaded comment; however, any edits to it will get removed if the file is opened in a newer version of Excel. Learn more: https://go.microsoft.com/fwlink/?linkid=870924
Comment:
    Hs Ad TELECOM</t>
      </text>
    </comment>
    <comment ref="I4672" authorId="46" shapeId="0" xr:uid="{A64F8736-0EE1-4344-892C-AF2367E0B044}">
      <text>
        <t>[Threaded comment]
Your version of Excel allows you to read this threaded comment; however, any edits to it will get removed if the file is opened in a newer version of Excel. Learn more: https://go.microsoft.com/fwlink/?linkid=870924
Comment:
    Hs Adicional M1</t>
      </text>
    </comment>
    <comment ref="G4684" authorId="47" shapeId="0" xr:uid="{7C40F095-F8F7-44E1-B6C6-AA1C3061AD18}">
      <text>
        <t>[Threaded comment]
Your version of Excel allows you to read this threaded comment; however, any edits to it will get removed if the file is opened in a newer version of Excel. Learn more: https://go.microsoft.com/fwlink/?linkid=870924
Comment:
    45 hs FAT
54 hs preparación curso
108 hs curso</t>
      </text>
    </comment>
    <comment ref="H4727" authorId="48" shapeId="0" xr:uid="{11C55106-0052-4971-82B7-C67BF94CC237}">
      <text>
        <t>[Threaded comment]
Your version of Excel allows you to read this threaded comment; however, any edits to it will get removed if the file is opened in a newer version of Excel. Learn more: https://go.microsoft.com/fwlink/?linkid=870924
Comment:
    Se sumaron 6d por adicional modificaciones</t>
      </text>
    </comment>
    <comment ref="L5045" authorId="49" shapeId="0" xr:uid="{3FD4EE54-23BA-46C7-A007-C10C6B0E0E97}">
      <text>
        <t>[Threaded comment]
Your version of Excel allows you to read this threaded comment; however, any edits to it will get removed if the file is opened in a newer version of Excel. Learn more: https://go.microsoft.com/fwlink/?linkid=870924
Comment:
    Hubo un gasto desmedido de horas de F Estrada. El mes 12 cargó 45hs</t>
      </text>
    </comment>
    <comment ref="L5320" authorId="50" shapeId="0" xr:uid="{501B7635-06A4-45AA-9D0D-7C445A8293E7}">
      <text>
        <t>[Threaded comment]
Your version of Excel allows you to read this threaded comment; however, any edits to it will get removed if the file is opened in a newer version of Excel. Learn more: https://go.microsoft.com/fwlink/?linkid=870924
Comment:
    JH va a reclasificar 189hs</t>
      </text>
    </comment>
    <comment ref="H5328" authorId="51" shapeId="0" xr:uid="{FDC85E31-3288-492B-B27B-45A1E42D3FD1}">
      <text>
        <t>[Threaded comment]
Your version of Excel allows you to read this threaded comment; however, any edits to it will get removed if the file is opened in a newer version of Excel. Learn more: https://go.microsoft.com/fwlink/?linkid=870924
Comment:
    Incluye curso</t>
      </text>
    </comment>
    <comment ref="H5329" authorId="52" shapeId="0" xr:uid="{18030EBB-D53A-4ED4-A6AC-2FF4E3A7DDFE}">
      <text>
        <t>[Threaded comment]
Your version of Excel allows you to read this threaded comment; however, any edits to it will get removed if the file is opened in a newer version of Excel. Learn more: https://go.microsoft.com/fwlink/?linkid=870924
Comment:
    Incluye curso</t>
      </text>
    </comment>
    <comment ref="H5335" authorId="53" shapeId="0" xr:uid="{05967B25-50D6-4C5E-B61A-AB116B3FD886}">
      <text>
        <t xml:space="preserve">[Threaded comment]
Your version of Excel allows you to read this threaded comment; however, any edits to it will get removed if the file is opened in a newer version of Excel. Learn more: https://go.microsoft.com/fwlink/?linkid=870924
Comment:
    210 Horas tercerizadas </t>
      </text>
    </comment>
    <comment ref="M5335" authorId="54" shapeId="0" xr:uid="{92E9B476-98CA-4A32-BD91-F004DC799A5C}">
      <text>
        <t>[Threaded comment]
Your version of Excel allows you to read this threaded comment; however, any edits to it will get removed if the file is opened in a newer version of Excel. Learn more: https://go.microsoft.com/fwlink/?linkid=870924
Comment:
    Hasta que no esten las ha definitivas</t>
      </text>
    </comment>
    <comment ref="H5472" authorId="55" shapeId="0" xr:uid="{72EC0E2B-C2A7-4054-98A7-7E8110598663}">
      <text>
        <t>[Threaded comment]
Your version of Excel allows you to read this threaded comment; however, any edits to it will get removed if the file is opened in a newer version of Excel. Learn more: https://go.microsoft.com/fwlink/?linkid=870924
Comment:
    Incluye las horas de capacitación</t>
      </text>
    </comment>
    <comment ref="H5473" authorId="56" shapeId="0" xr:uid="{B50C96DB-D4B3-45F2-B215-DAC0DA658060}">
      <text>
        <t>[Threaded comment]
Your version of Excel allows you to read this threaded comment; however, any edits to it will get removed if the file is opened in a newer version of Excel. Learn more: https://go.microsoft.com/fwlink/?linkid=870924
Comment:
    Incluye las horas de capacitación</t>
      </text>
    </comment>
    <comment ref="H5474" authorId="57" shapeId="0" xr:uid="{CE6149C0-F3A5-4923-9AB2-25B6D88FEC93}">
      <text>
        <t>[Threaded comment]
Your version of Excel allows you to read this threaded comment; however, any edits to it will get removed if the file is opened in a newer version of Excel. Learn more: https://go.microsoft.com/fwlink/?linkid=870924
Comment:
    Incluye las horas de capacitación</t>
      </text>
    </comment>
    <comment ref="H5490" authorId="58" shapeId="0" xr:uid="{A2BC1ACE-8BC9-47DA-976E-E07959B2009D}">
      <text>
        <t>[Threaded comment]
Your version of Excel allows you to read this threaded comment; however, any edits to it will get removed if the file is opened in a newer version of Excel. Learn more: https://go.microsoft.com/fwlink/?linkid=870924
Comment:
    Incluye 70 horas para capacitacion</t>
      </text>
    </comment>
    <comment ref="H5602" authorId="59" shapeId="0" xr:uid="{BA3DC927-6742-4E0B-A584-99D90F95C7D5}">
      <text>
        <t>[Threaded comment]
Your version of Excel allows you to read this threaded comment; however, any edits to it will get removed if the file is opened in a newer version of Excel. Learn more: https://go.microsoft.com/fwlink/?linkid=870924
Comment:
    Incluye 60 horas para capacitacion</t>
      </text>
    </comment>
    <comment ref="H5618" authorId="60" shapeId="0" xr:uid="{99AD570D-41B7-4A1A-BB24-EB02CB197DFF}">
      <text>
        <t>[Threaded comment]
Your version of Excel allows you to read this threaded comment; however, any edits to it will get removed if the file is opened in a newer version of Excel. Learn more: https://go.microsoft.com/fwlink/?linkid=870924
Comment:
    Incluye 60 horas para capacitacion</t>
      </text>
    </comment>
    <comment ref="L5686" authorId="61" shapeId="0" xr:uid="{15D94217-078D-47CC-8DCC-28183AA29BBB}">
      <text>
        <t>[Threaded comment]
Your version of Excel allows you to read this threaded comment; however, any edits to it will get removed if the file is opened in a newer version of Excel. Learn more: https://go.microsoft.com/fwlink/?linkid=870924
Comment:
    Aqui coloco las horas disponibles de soporte telefónico. Cuando se consuman de esas horas, habría que restar este numero para llevar control. Saldo debe ser igual a Saldo estimado.</t>
      </text>
    </comment>
    <comment ref="G5984" authorId="62" shapeId="0" xr:uid="{993D12F0-F18E-4AA7-8EB3-69693E0D7AD1}">
      <text>
        <t>[Threaded comment]
Your version of Excel allows you to read this threaded comment; however, any edits to it will get removed if the file is opened in a newer version of Excel. Learn more: https://go.microsoft.com/fwlink/?linkid=870924
Comment:
    Incluye capacitación</t>
      </text>
    </comment>
    <comment ref="H5984" authorId="63" shapeId="0" xr:uid="{40E153FA-929B-454F-B3AC-0CDAB197459B}">
      <text>
        <t>[Threaded comment]
Your version of Excel allows you to read this threaded comment; however, any edits to it will get removed if the file is opened in a newer version of Excel. Learn more: https://go.microsoft.com/fwlink/?linkid=870924
Comment:
    Incluye capacitación</t>
      </text>
    </comment>
    <comment ref="G5985" authorId="64" shapeId="0" xr:uid="{75EF1688-E5CF-4085-8489-23A1265F4716}">
      <text>
        <t>[Threaded comment]
Your version of Excel allows you to read this threaded comment; however, any edits to it will get removed if the file is opened in a newer version of Excel. Learn more: https://go.microsoft.com/fwlink/?linkid=870924
Comment:
    Incluye capacitación</t>
      </text>
    </comment>
    <comment ref="H5985" authorId="65" shapeId="0" xr:uid="{B9F1A853-F28E-4B60-82E8-05AFD2E1DF7D}">
      <text>
        <t>[Threaded comment]
Your version of Excel allows you to read this threaded comment; however, any edits to it will get removed if the file is opened in a newer version of Excel. Learn more: https://go.microsoft.com/fwlink/?linkid=870924
Comment:
    Incluye capacitación</t>
      </text>
    </comment>
    <comment ref="G5986" authorId="66" shapeId="0" xr:uid="{16AB1555-BEE6-40FA-9D44-FCCF1BB17048}">
      <text>
        <t>[Threaded comment]
Your version of Excel allows you to read this threaded comment; however, any edits to it will get removed if the file is opened in a newer version of Excel. Learn more: https://go.microsoft.com/fwlink/?linkid=870924
Comment:
    Incluye capacitación</t>
      </text>
    </comment>
    <comment ref="H5986" authorId="67" shapeId="0" xr:uid="{44A45EBE-83CE-4A93-9F1B-FDC6D008EE6B}">
      <text>
        <t>[Threaded comment]
Your version of Excel allows you to read this threaded comment; however, any edits to it will get removed if the file is opened in a newer version of Excel. Learn more: https://go.microsoft.com/fwlink/?linkid=870924
Comment:
    Incluye capacitación</t>
      </text>
    </comment>
    <comment ref="G6048" authorId="68" shapeId="0" xr:uid="{6C9E61F2-E9D1-437F-A495-D9B27E4E8BC7}">
      <text>
        <t>[Threaded comment]
Your version of Excel allows you to read this threaded comment; however, any edits to it will get removed if the file is opened in a newer version of Excel. Learn more: https://go.microsoft.com/fwlink/?linkid=870924
Comment:
    Incluye capacitación</t>
      </text>
    </comment>
    <comment ref="H6048" authorId="69" shapeId="0" xr:uid="{36183E04-7C61-47DB-8A26-F2AF7CB20EFD}">
      <text>
        <t>[Threaded comment]
Your version of Excel allows you to read this threaded comment; however, any edits to it will get removed if the file is opened in a newer version of Excel. Learn more: https://go.microsoft.com/fwlink/?linkid=870924
Comment:
    Incluye capacitación</t>
      </text>
    </comment>
    <comment ref="G6049" authorId="70" shapeId="0" xr:uid="{CBD0F9D9-A40C-4605-BC26-A113EF0359A1}">
      <text>
        <t>[Threaded comment]
Your version of Excel allows you to read this threaded comment; however, any edits to it will get removed if the file is opened in a newer version of Excel. Learn more: https://go.microsoft.com/fwlink/?linkid=870924
Comment:
    Incluye capacitación</t>
      </text>
    </comment>
    <comment ref="H6049" authorId="71" shapeId="0" xr:uid="{2458E3DF-E3E5-4608-951F-58E9B7FA0A87}">
      <text>
        <t>[Threaded comment]
Your version of Excel allows you to read this threaded comment; however, any edits to it will get removed if the file is opened in a newer version of Excel. Learn more: https://go.microsoft.com/fwlink/?linkid=870924
Comment:
    Incluye capacitación</t>
      </text>
    </comment>
    <comment ref="G6050" authorId="72" shapeId="0" xr:uid="{2ABB6426-7FBE-463A-8918-8563A2B0B38C}">
      <text>
        <t>[Threaded comment]
Your version of Excel allows you to read this threaded comment; however, any edits to it will get removed if the file is opened in a newer version of Excel. Learn more: https://go.microsoft.com/fwlink/?linkid=870924
Comment:
    Incluye capacitación</t>
      </text>
    </comment>
    <comment ref="H6050" authorId="73" shapeId="0" xr:uid="{4A1CDBFD-F4BE-4BD1-BB25-248D18B62916}">
      <text>
        <t>[Threaded comment]
Your version of Excel allows you to read this threaded comment; however, any edits to it will get removed if the file is opened in a newer version of Excel. Learn more: https://go.microsoft.com/fwlink/?linkid=870924
Comment:
    Incluye capacitación</t>
      </text>
    </comment>
  </commentList>
</comments>
</file>

<file path=xl/sharedStrings.xml><?xml version="1.0" encoding="utf-8"?>
<sst xmlns="http://schemas.openxmlformats.org/spreadsheetml/2006/main" count="22060" uniqueCount="1049">
  <si>
    <t>Project Manager</t>
  </si>
  <si>
    <t>LE</t>
  </si>
  <si>
    <t>Tarifa</t>
  </si>
  <si>
    <t>Horas Precálculo</t>
  </si>
  <si>
    <t>Horas Planificadas</t>
  </si>
  <si>
    <t>Horas ajustadas adicionales</t>
  </si>
  <si>
    <t>Horas utilizadas</t>
  </si>
  <si>
    <t>Saldo</t>
  </si>
  <si>
    <t>Saldo estimado</t>
  </si>
  <si>
    <t>Observaciones/Notas</t>
  </si>
  <si>
    <t>Reporte de Horas</t>
  </si>
  <si>
    <t>HAPG - PGGA</t>
  </si>
  <si>
    <t>Período Particular</t>
  </si>
  <si>
    <t>Mes</t>
  </si>
  <si>
    <t>Año</t>
  </si>
  <si>
    <t>Proyectos Reiwa</t>
  </si>
  <si>
    <t>Proyectos</t>
  </si>
  <si>
    <t>Tipo de Tarea y especialidad</t>
  </si>
  <si>
    <t>Ajuste</t>
  </si>
  <si>
    <t>Horas Desvío</t>
  </si>
  <si>
    <t>Horas utilizadas Período Particular</t>
  </si>
  <si>
    <t>Mes WL</t>
  </si>
  <si>
    <t>Horas Planificadas WL Período Particular</t>
  </si>
  <si>
    <t>% Desvío</t>
  </si>
  <si>
    <t>% Utilización</t>
  </si>
  <si>
    <t>Horas Disponibles Totales</t>
  </si>
  <si>
    <t>Observaciones de COM</t>
  </si>
  <si>
    <t>Q240007</t>
  </si>
  <si>
    <t>Ensayos y/o trabajos en fabrica</t>
  </si>
  <si>
    <t>Q120007</t>
  </si>
  <si>
    <t>Ingenieria</t>
  </si>
  <si>
    <t>Gestion de proyectos</t>
  </si>
  <si>
    <t>Ensayos y/o trabajos en sitio</t>
  </si>
  <si>
    <t>Q120008</t>
  </si>
  <si>
    <t>Q120011</t>
  </si>
  <si>
    <t>Q120020</t>
  </si>
  <si>
    <t>Q120021</t>
  </si>
  <si>
    <t>Q120026</t>
  </si>
  <si>
    <t>Q120027</t>
  </si>
  <si>
    <t>Q120028</t>
  </si>
  <si>
    <t>Q120035</t>
  </si>
  <si>
    <t>Q120042</t>
  </si>
  <si>
    <t>Q120044</t>
  </si>
  <si>
    <t>Q120046</t>
  </si>
  <si>
    <t>Q120047</t>
  </si>
  <si>
    <t>Q120054</t>
  </si>
  <si>
    <t>Q120055</t>
  </si>
  <si>
    <t>Q120077</t>
  </si>
  <si>
    <t>Q120078</t>
  </si>
  <si>
    <t>Q120081</t>
  </si>
  <si>
    <t>Q120082</t>
  </si>
  <si>
    <t>Q120083</t>
  </si>
  <si>
    <t>Q120084</t>
  </si>
  <si>
    <t>Q120085</t>
  </si>
  <si>
    <t>Q120086</t>
  </si>
  <si>
    <t>Q120087</t>
  </si>
  <si>
    <t>Q120088</t>
  </si>
  <si>
    <t>Q120089</t>
  </si>
  <si>
    <t>Q120090</t>
  </si>
  <si>
    <t>Q120091</t>
  </si>
  <si>
    <t>Q130001</t>
  </si>
  <si>
    <t>Q130002</t>
  </si>
  <si>
    <t>Q130003</t>
  </si>
  <si>
    <t>Q130006</t>
  </si>
  <si>
    <t>Q130007</t>
  </si>
  <si>
    <t>Q130009</t>
  </si>
  <si>
    <t>Q130010</t>
  </si>
  <si>
    <t>Q130017</t>
  </si>
  <si>
    <t>Q130018</t>
  </si>
  <si>
    <t>Q130020</t>
  </si>
  <si>
    <t>Q130021</t>
  </si>
  <si>
    <t>Q130023</t>
  </si>
  <si>
    <t>Q130024</t>
  </si>
  <si>
    <t>Q130025</t>
  </si>
  <si>
    <t>Q130026</t>
  </si>
  <si>
    <t>Q130027</t>
  </si>
  <si>
    <t>Q130028</t>
  </si>
  <si>
    <t>Q130029</t>
  </si>
  <si>
    <t>Q130030</t>
  </si>
  <si>
    <t>Q130031</t>
  </si>
  <si>
    <t>Q130032</t>
  </si>
  <si>
    <t>Q130033</t>
  </si>
  <si>
    <t>Q130034</t>
  </si>
  <si>
    <t>Q130035</t>
  </si>
  <si>
    <t>Q130036</t>
  </si>
  <si>
    <t>Q130037</t>
  </si>
  <si>
    <t>Q130038</t>
  </si>
  <si>
    <t>Q130039</t>
  </si>
  <si>
    <t>Q130041</t>
  </si>
  <si>
    <t>Q130043</t>
  </si>
  <si>
    <t>Q130044</t>
  </si>
  <si>
    <t>Q130046</t>
  </si>
  <si>
    <t>Q130048</t>
  </si>
  <si>
    <t>Q130049</t>
  </si>
  <si>
    <t>Q130050</t>
  </si>
  <si>
    <t>Q130052</t>
  </si>
  <si>
    <t>Q130053</t>
  </si>
  <si>
    <t>Q130054</t>
  </si>
  <si>
    <t>Q130055</t>
  </si>
  <si>
    <t>Q130056</t>
  </si>
  <si>
    <t>Q130057</t>
  </si>
  <si>
    <t>Q130058</t>
  </si>
  <si>
    <t>Q130059</t>
  </si>
  <si>
    <t>Q130061</t>
  </si>
  <si>
    <t>Q130062</t>
  </si>
  <si>
    <t>Q130063</t>
  </si>
  <si>
    <t>Q130064</t>
  </si>
  <si>
    <t>Q130065</t>
  </si>
  <si>
    <t>Q130066</t>
  </si>
  <si>
    <t>Q130067</t>
  </si>
  <si>
    <t>Q130068</t>
  </si>
  <si>
    <t>Q130069</t>
  </si>
  <si>
    <t>Q130070</t>
  </si>
  <si>
    <t>Q130071</t>
  </si>
  <si>
    <t>Q140000</t>
  </si>
  <si>
    <t>Q140001</t>
  </si>
  <si>
    <t>Q140002</t>
  </si>
  <si>
    <t>GC</t>
  </si>
  <si>
    <t>FDC</t>
  </si>
  <si>
    <r>
      <rPr>
        <b/>
        <sz val="9"/>
        <rFont val="Arial"/>
        <family val="2"/>
      </rPr>
      <t xml:space="preserve">Revisión 08/11/21
</t>
    </r>
    <r>
      <rPr>
        <sz val="9"/>
        <rFont val="Arial"/>
        <family val="2"/>
      </rPr>
      <t xml:space="preserve">El terminal REC650 en el que falló la placa de comunicación deberá ser enviado a fábrica para su reparación (fuera de garantía)
Se agregan 80hs de ingeniería y 9hs de LE por adicional adecuación de configuraciones de 33/13,2 kV
Las garantías fueron actualizadas y se vendió ampliación de 12 meses luego del despacho de los tableros a obra (ver mail de GC del 15/06/21)
La PeS ha finalizado restando aún un viaje más para terminar de ensayar señales al COTDT y la energización y posible adicional por cambio de funcionalidad en una celda de 13,2 kV
Se realizó el viaje y aún quedan pendientes que estoy viendo con laboratorio porque no se cierran
</t>
    </r>
    <r>
      <rPr>
        <b/>
        <sz val="9"/>
        <rFont val="Arial"/>
        <family val="2"/>
      </rPr>
      <t>Revisión 12/07/22</t>
    </r>
    <r>
      <rPr>
        <sz val="9"/>
        <rFont val="Arial"/>
        <family val="2"/>
      </rPr>
      <t xml:space="preserve">
Se cerró la PeS
Se entregaron los documentos CAO
El proyecto se cierra</t>
    </r>
  </si>
  <si>
    <t>Fábrica</t>
  </si>
  <si>
    <t>Proyectista</t>
  </si>
  <si>
    <t>Ingenieria Protecciones</t>
  </si>
  <si>
    <t>Ingenieria Control</t>
  </si>
  <si>
    <t>Ingenieria Comunicaciones</t>
  </si>
  <si>
    <t>Lead Engineer</t>
  </si>
  <si>
    <t>FAT Protecciones</t>
  </si>
  <si>
    <t>FAT Control</t>
  </si>
  <si>
    <t>FAT Comunicaciones</t>
  </si>
  <si>
    <t>Servicios Protecciones</t>
  </si>
  <si>
    <t>Servicios Control</t>
  </si>
  <si>
    <t>Servicios Comunicaciones</t>
  </si>
  <si>
    <t>Q140003</t>
  </si>
  <si>
    <t>Q140004</t>
  </si>
  <si>
    <t>Q140005</t>
  </si>
  <si>
    <t>Q140006</t>
  </si>
  <si>
    <t>Q140007</t>
  </si>
  <si>
    <t>Q140008</t>
  </si>
  <si>
    <t>Q140009</t>
  </si>
  <si>
    <t>Q140010</t>
  </si>
  <si>
    <t>Q140011</t>
  </si>
  <si>
    <t>Q140012</t>
  </si>
  <si>
    <t>Q140013</t>
  </si>
  <si>
    <t>Q140014</t>
  </si>
  <si>
    <t>Q140015</t>
  </si>
  <si>
    <t>Q140016</t>
  </si>
  <si>
    <t>Q140017</t>
  </si>
  <si>
    <t>Q140018</t>
  </si>
  <si>
    <t>Q140019</t>
  </si>
  <si>
    <t>Q140020</t>
  </si>
  <si>
    <t>Q140023</t>
  </si>
  <si>
    <t>Q140024</t>
  </si>
  <si>
    <t>Q140025</t>
  </si>
  <si>
    <t>Q140026</t>
  </si>
  <si>
    <t>Q140027</t>
  </si>
  <si>
    <t>Q140028</t>
  </si>
  <si>
    <t>Q140029</t>
  </si>
  <si>
    <t>Q140030</t>
  </si>
  <si>
    <t>Q140031</t>
  </si>
  <si>
    <t>Q140032</t>
  </si>
  <si>
    <t>Q140033</t>
  </si>
  <si>
    <t>Q140034</t>
  </si>
  <si>
    <t>Q140035</t>
  </si>
  <si>
    <t>Q140036</t>
  </si>
  <si>
    <t>Q140037</t>
  </si>
  <si>
    <t>Q140038</t>
  </si>
  <si>
    <t>Q140039</t>
  </si>
  <si>
    <t>Q140040</t>
  </si>
  <si>
    <t>JI</t>
  </si>
  <si>
    <t>MGP_C</t>
  </si>
  <si>
    <t>Q140042</t>
  </si>
  <si>
    <r>
      <rPr>
        <b/>
        <i/>
        <sz val="9"/>
        <color rgb="FF0070C0"/>
        <rFont val="Arial"/>
        <family val="2"/>
      </rPr>
      <t>PROYECTO TECNICAMENTE CERRADO</t>
    </r>
    <r>
      <rPr>
        <b/>
        <sz val="9"/>
        <rFont val="Arial"/>
        <family val="2"/>
      </rPr>
      <t xml:space="preserve">
</t>
    </r>
    <r>
      <rPr>
        <sz val="9"/>
        <rFont val="Arial"/>
        <family val="2"/>
      </rPr>
      <t>17/05/2021.</t>
    </r>
    <r>
      <rPr>
        <i/>
        <sz val="9"/>
        <rFont val="Arial"/>
        <family val="2"/>
      </rPr>
      <t xml:space="preserve"> </t>
    </r>
    <r>
      <rPr>
        <b/>
        <i/>
        <sz val="9"/>
        <rFont val="Arial"/>
        <family val="2"/>
      </rPr>
      <t xml:space="preserve">(PROYECTO CERRADO pero faltan CAO) </t>
    </r>
    <r>
      <rPr>
        <sz val="9"/>
        <rFont val="Arial"/>
        <family val="2"/>
      </rPr>
      <t xml:space="preserve"> El proyecto está cerrado pero faltán hacer los CAO que no fueron reclamados por el cliente pero que deberíamos realizar. 
31/10/2019. Queda un curso de control y documentación CAO
22/11/2019. Queda un curso de control y documentación CAO_El curso fue requerido por el Cliente al no ser insistente y con la problemática que tenemos para los cursos no he inisitido. JI está tambien interesado en cerrar el proyecto pero el curso sería el condicionante.
23/12/2019. Programar (sin prioridad urgente) la realización de los CAO con la información que tenemos disponible. Consultar con JI sobre la realización del curso.
13/01/2020. Programar (sin prioridad urgente) la realización de los CAO con la información que tenemos disponible. Consultar con JI sobre la realización del curso.
27/01/2019. Programar dentro del Q1 la realización de los CAO y ver con JI sobre la quita del curso.
28/01/2019. Juan Iavicoli me confirma que el proyecto está cerrado y se dio de baja al curso, sin embargo el tema de los planos CAO sigue en curso para tenerlos dentro del Q1.
04/03/2020. Juan programa la realización de los CAO, no se emitirá al cliente.
06/03/2020. Revisión de horas
15/04/2020. Sin movimiento. Aun no se pudo realizar los CAO que no se emitirán a cliente.
05/05/2020. Revisión de horas. Faltan CAO para el cierre técnico
16/06/2020. Revisión de horas. Faltan CAO para el cierre técnico
14/07/2020. Revisión de horas. Faltan CAO para el cierre técnico
04/08/2020. Revisión de horas. Faltan CAO para el cierre técnico.</t>
    </r>
  </si>
  <si>
    <t>Q140043</t>
  </si>
  <si>
    <t>Q140044</t>
  </si>
  <si>
    <t>Q140045</t>
  </si>
  <si>
    <t>Q140047</t>
  </si>
  <si>
    <t>Q140048</t>
  </si>
  <si>
    <t>JMS</t>
  </si>
  <si>
    <t>JRDV_C</t>
  </si>
  <si>
    <t>Q140049</t>
  </si>
  <si>
    <r>
      <rPr>
        <b/>
        <sz val="9"/>
        <rFont val="Arial"/>
        <family val="2"/>
      </rPr>
      <t>Ultima rev. 13/05/19</t>
    </r>
    <r>
      <rPr>
        <sz val="9"/>
        <rFont val="Arial"/>
        <family val="2"/>
      </rPr>
      <t xml:space="preserve">
17/10/2017. Se espera el acuerdo entre el PM y el cliente. Faltarían 90hs para el curso y 90Hs para solucionar los pendientes. La planilla está mal.
08/11/2017. Se realizaron correcciones remotas de los pendientes. Falta entregar la FO, realizar el curso y solucionar los últimos pendientes.
14/12/2017. Se reclasifican las horas de LE. Antes eran 90Hs de SAT y ahora pasaron a ser de FAT porque se hizo remoto.
08/01/2018. Faltan 3 días de preparación de curso, 1 días de asistencia remota, 1 de de CAO, 5 días de dictado de curso y el diseño de CAO.
08/02/2018. No hubo cambios.
07/03/2018. Se espera dictar el curso para Mayo.
04/04/2018. Se finalizaron los cambios remotos. Falta el dictado del curso y su preparación. Se cargan 45Hs sin identificar de fábrica de AF.
16/05/2018. Se finalizó la conexión remota. Se está dictando el curso para finalizar el proyecto.
27/06/2018. Se da por finalizado el proyecto. Las 4 Hs nuevas de Campo deberían ser de Ingeniería.
06/07/2018. Aún no se cierra formalmente el proyecto ya que quedan materiales pendiente de entrega (FO y SYS600C).
08/08/2018. Sin cambios.
18/09/2018. Se espera realizar una nueva arquitectura ya que debemos entregar la misma de acuerdo a como quedó el proyecto.
11/10/2018. Se realizaron los patchords de fibra óptica en fábrica para entregar al cliente. Por eso se suman hrs de Fábrica.
20/11/2018. Se realizó el CAO de la arquitectura, hay que pasarlo a Juan para realizar el pdf.
14/12/2018. Juan debe ralizar el pdf con el CAO aún.
02/01/2019. Sin cambios.
13/03/2019. Se pasan las horas de la realización de la arquitectura.
17/04/2019. Sin cambios.
13/05/2019. Sin cambios. Se da por cerrado técnicamente.
</t>
    </r>
  </si>
  <si>
    <t>Q140050</t>
  </si>
  <si>
    <t>Q140051</t>
  </si>
  <si>
    <t>Q140052</t>
  </si>
  <si>
    <t>Q140053</t>
  </si>
  <si>
    <t>Q140058</t>
  </si>
  <si>
    <t>Q140059</t>
  </si>
  <si>
    <t>Q140060</t>
  </si>
  <si>
    <t>Q140061</t>
  </si>
  <si>
    <t>Q140062</t>
  </si>
  <si>
    <t>Q140063</t>
  </si>
  <si>
    <t>Q140065</t>
  </si>
  <si>
    <t>Q140066</t>
  </si>
  <si>
    <t>Q140097</t>
  </si>
  <si>
    <t>Q150000</t>
  </si>
  <si>
    <t>Q150001</t>
  </si>
  <si>
    <t>Q150002</t>
  </si>
  <si>
    <t>Q150003</t>
  </si>
  <si>
    <r>
      <rPr>
        <b/>
        <i/>
        <sz val="9"/>
        <color rgb="FF0070C0"/>
        <rFont val="Arial"/>
        <family val="2"/>
      </rPr>
      <t>PROYECTO TECNICAMENTE CERRADO</t>
    </r>
    <r>
      <rPr>
        <b/>
        <sz val="9"/>
        <rFont val="Arial"/>
        <family val="2"/>
      </rPr>
      <t xml:space="preserve">
</t>
    </r>
    <r>
      <rPr>
        <sz val="9"/>
        <rFont val="Arial"/>
        <family val="2"/>
      </rPr>
      <t>03/05/2021. Se realizó el reemplazo de switches del TIOR2. El proyecto quedaría de esta manera</t>
    </r>
    <r>
      <rPr>
        <b/>
        <sz val="9"/>
        <rFont val="Arial"/>
        <family val="2"/>
      </rPr>
      <t xml:space="preserve"> tecnicamente cerrado</t>
    </r>
    <r>
      <rPr>
        <sz val="9"/>
        <rFont val="Arial"/>
        <family val="2"/>
      </rPr>
      <t xml:space="preserve"> y todo lo que involucre a trabjos en la NSE192 será tratado en el contrato de mantenimiento.
13/04/2021. Resta coordinar con YPF el reemplazo de switches del TIOR2
29/03/2021. Se realizó el cambio de switches de 1 TIOR y resta el segundo en fecha a coordinar entre YPF y nosotros
</t>
    </r>
    <r>
      <rPr>
        <b/>
        <sz val="9"/>
        <rFont val="Arial"/>
        <family val="2"/>
      </rPr>
      <t xml:space="preserve">
--------------------------------------------------------------------------------------------------------
</t>
    </r>
    <r>
      <rPr>
        <sz val="9"/>
        <rFont val="Arial"/>
        <family val="2"/>
      </rPr>
      <t xml:space="preserve">31/10/2019. Quedan servicios levantados en la recepción provisoria. Estas tareas están repartidas entre control y protecciones en oficina y sitio. El saldo estimado considera esas tareas que estimamos 1 semana. (1) Protección de barras (2) Scada (3) ventilación de tiors (4) diferencial terna 597
22/11/2019. De los servicios pendientes se ha realizado los ensayos en la protección de barras pero no se habilitó por problemas en las celdas de MT que debe resolver IA y terminar los ensayos en esas dos celdas para poner en servicio, a nosotros nos queda (1) problemas en el Scada, (2) modificación de los TIORs y (3) normalización de la diferencial de la terna 597
23/12/2019. Revisar con damian avance Microscada. reunión para la 2da seman de enero reuníon de rvión tecnica con IA y coordinar con JJI la ventana de trabajo con Damian para los pendientes de Scada.
13/01/2020. Seguimos la realización de los pendientes, haremos una reunión el 14/01/2020 para fijar fechas y estrategias para ir cerrando los temas de Scada. Aún no se ha realizado la reunión con IA pero recibimos un cronograma de tareas de ellos para atender sus pendientes.
27/01/2020. Se programaron tareas de la modificación de TIORs y Scada para febrero.
06/03/2020. Se realizaron las tareas en TIORs pero quedan solucionar los problemas en el Scada y los trabajos en las ternas C596 y C597 que hasta el momento no pudieron hacerse por razones ajenas.
15/04/2020. Revisión de horas. Quedan trabajos pendientes de Scada y AFS. En cuanto a protecciones lo único que queda cómo pendiente es la energización de las ternas pero por razones ajenas a PGGA se trataría cómo un servicio adicional excepto la reparación (cambio) de una LDCM en uno de los RED de SE Dique
05/05/2020. Revisión de Horas. No puede realizarse el cierre por pendientes de SCADA y AFS.
16/06/2020. Revisión de Horas. No puede realizarse el cierre por pendientes de SCADA y AFS. Se tienen esta semana una reunión de proyecto para definir los cierres y pendientes.
14/07/2020. Revisión de Horas. No puede realizarse el cierre por pendientes de SCADA y AFS. Se tienen esta semana una reunión de proyecto para definir los cierres y pendientes.
04/08/2020. Revisión de horas. Proyecto casi cerrrado se está pensando cerrarlo y que el resto de pendientes se maneje por garantía (AFS) y contrato mantenimeinto Q1900001 (SCADA)
18/11/2020. Proyecto tecnicamente cerrado. Solo quedan trabajos relacionados con el cambio de switches para el cierre del proyecto. El resto de tareas estarán bajo el contrato de mantenimiento Q190001 (Scada, Diferencial de línea, etc)
18/01/2021. Proyecto tecnicamente cerrado. Solo quedan trabajos relacionados con el cambio de switches para el cierre del proyecto. El resto de tareas estarán bajo el contrato de mantenimiento Q190001 (Scada, Diferencial de línea, etc)
</t>
    </r>
  </si>
  <si>
    <t>Q150006</t>
  </si>
  <si>
    <t>Q150007</t>
  </si>
  <si>
    <t>Q150008</t>
  </si>
  <si>
    <t>Q150009</t>
  </si>
  <si>
    <t>Q150010</t>
  </si>
  <si>
    <t>RV</t>
  </si>
  <si>
    <t>ERS-cerrado</t>
  </si>
  <si>
    <t>Q150011</t>
  </si>
  <si>
    <t>Ultima rev. 05/04/2022 - PROYECTO CERRADO.
14/05/2019. Sin cambios en hs.  El proyecto sigue detenido.
18/06/2019. Sin cambios en hs.  El proyecto sigue detenido.
07/08/2019. Sin cambios en hs.  El proyecto sigue detenido.
13/09/2019. Sin cambios en hs.  El proyecto sigue detenido.
09/09/2019. Sin cambios en hs. El proyecto sigue detenido.
08/11/2019. El PM será RV a partir de este mes. Intesar indica voluntad de retomar el proyecto. Se realiza análisis del status para responder al cliente.
03/12/2019. Sin cambios en hs. El proyecto sigue detenido
07/01/2020. Sin cambios en hs. El proyecto sigue detenido
07/02/2020. Sin cambios en hs. El proyecto sigue detenido
06/03/2020. Sin cambios en hs. El proyecto sigue detenido
12/04/2020. Sin cambios en hs. El proyecto sigue detenido
12/05/2020. Sin cambios en hs. El proyecto sigue detenido
08/06/2020. Sin cambios en hs. El proyecto sigue detenido
14/07/2020. Proyecto arrancando nuevamente. Reunión con Cammesa para ver estudios.
11/08/2020. Sin avances, se ajustan hs consumidas.
09/09/2020, Se empieza a programar tareas. Se plantea ingreso línea para 30/03/2021.
08/10/2020. Ingeniería SW se está programando para Diciembre 2020.
12/11/2020. Sin cambios en este período. Proyecto sigue detenido. Se manda mail a PM.
11/12/2020. Sin cambios en este período. Proyecto sigue detenido. Se manda mail a PM.
28/1/2021. Se recibió información para generar interconexión. Se analizará programación de estas tareas.
24/02/2021	Sin avances, se ajustan hs consumidas.
11/03/2021. Se está revisando elenco, para iniciar ingeniería.
14/04/2021. Se inició ingeniería SW EM y PLC RS. Se esperan CAOs de Q190023 para conexionados en RI. 
19/05/2021. Se observan desvíos importantes de horas. Se avanzó en ingeniería EM, PLC RS, y conexionado.
Como causa de desvío se observa, conexionado no previsto. Retomar tareas luego de pausa. Trabajar con información incompleta.
10/06/2021. Se ajustan hs de este período. Se recibe información parcial, para avanzar con conexionado RS. Falta información para lógica RCPF. 
02/07/2021. Sin avances importantes. Se espera información de cliente.
12/08/2021. Se avanza en ingeniería interconexion. Falta definición Transener para lógicas.
14/09/2021. Se emitió toda la ingeniería. Se espera calificación para programar FAT.
22/10/2021. Se recibieron observaciones a documentos. Se van a salvar, y programar FAT. 
21/11/2021. Se salvan observaciones. se programa FAT para noviembre.
07/12/2021. Se completó el FAT, que requirió más horas de lo previsto, por un lado por equipamiento obsoleto (T200), como pedidos de Transener, que derivaron en cambios en la EM.
11/01/2022. Se analiza nueva asistencia para completar ensayos pendientes en Resistencia. Se propone asistencia remota. 
25/02/2022. Se está cerrando CAOs, se debería cerrar el proyecto en próximo período.
10/03/2022. CAOs  terminados. En próximo período se cierra el proyecto.
4/5/2022 - Proyecto cerrado.</t>
  </si>
  <si>
    <t>Q150012</t>
  </si>
  <si>
    <t>Q150013</t>
  </si>
  <si>
    <t>Q150014</t>
  </si>
  <si>
    <t>Q150015</t>
  </si>
  <si>
    <t>Q150016</t>
  </si>
  <si>
    <t>Q150017</t>
  </si>
  <si>
    <r>
      <rPr>
        <b/>
        <sz val="9"/>
        <rFont val="Arial"/>
        <family val="2"/>
      </rPr>
      <t>Ultima rev. 13/05/19</t>
    </r>
    <r>
      <rPr>
        <sz val="9"/>
        <rFont val="Arial"/>
        <family val="2"/>
      </rPr>
      <t xml:space="preserve">
13/09/2017. Primer revisión del proyecto. Falta la PES y el curso. Se arranca con un OPQ de Producción de 1524Hs, de Ingeniería de 923Hs y de Servicio de 89Hs.
17/10/2017. Se agrega la tarea de chequeo de ajustes y gráficas que no estaba contemplada (45hs).
08/11/2017. Se espera la realización de la PES para el 20/11. Faltan los ajustes.
04/12/2017. Se está realizando la PES. Se están generando demoras, las cuales serán consideradas como adicional. Cuando se confirme se pasa a la planilla.
08/01/2018. Falta realizar la BD con el CC y la finalización de la PES que va a pasar como adicional.
08/02/2018. Las horas extra de campo se pasaron como adicional.
07/03/2018. Queda pendiente la conexión de los equipos TREETECH, pero se pasará como adicional cuando se defina cómo se hace.
04/04/2018. Quedan pendientes los CAO,  la conexión de los equipos TREETECH y las CMU rotas.
16/05/2018. Se realizaron algunos CAO, por eso se usaron algunas horas de Ing de P. Falta realizar el adicional por cambio de CMU.
27/06/2018. Quedan pendiente conocer la revisión que llevarán los CAO para emitir,  la conexión de los equipos TREETECH y las CMU rotas. Además surgió un evento y se debe actualizar el SCADA.
06/07/2018. No hay cambios. Se actualizó el SCADA y se comprobaron daños en las placas de I/O.
08/08/2018. Se pasan las Hrs adicionales del cambio de CMU a CMR.
18/09/2018. No hay cambios. Falta realizar los documentos CAO y esperar el adicional por las placas I/O quemadas.
11/10/2018. Se espera la confirmación del cliente para la Revisón a emitir de los documentos CAO. Se va a realizar un SAT de unas placas de la RTU que se vendió como adicional.
20/11/2018. Sin cambios.
14/12/2018. Se espera la PES para este mes.
02/01/2019. Se realiza la PES. Falta revisar la comunicación con los medidores que no quedó del todo bien y asisitir para resolver lo de TREETECH.
13/03/2019. Se vende un adicional para agregar los Treetech. Se desarrolla y ensaya en fábrica la solución. Estimado 50Hs de Ing y 30Hs de Sitio más viaje.
17/04/2019. Se pasan las horas del adicional por lo equipos Treetech. Falta pasar las horas de los CAO que ya se hicieron.
13/05/2019. Se da por cerrado técnicamente.
 </t>
    </r>
  </si>
  <si>
    <t>Q150018</t>
  </si>
  <si>
    <t>Q150019</t>
  </si>
  <si>
    <t>Q150020</t>
  </si>
  <si>
    <t>Q150021</t>
  </si>
  <si>
    <t>Q150023</t>
  </si>
  <si>
    <t>GAD</t>
  </si>
  <si>
    <t>Q150024</t>
  </si>
  <si>
    <r>
      <rPr>
        <b/>
        <sz val="9"/>
        <color theme="0"/>
        <rFont val="Arial"/>
        <family val="2"/>
      </rPr>
      <t>Ultima rev. 27/02/23 -FINALIZADO. SE CIERRA, EL SERVICIO SE REALIZA CON EL Q230044. Los servicios pendientes se inclueyeron en el proyecto de capacitores!</t>
    </r>
    <r>
      <rPr>
        <sz val="9"/>
        <color theme="0"/>
        <rFont val="Arial"/>
        <family val="2"/>
      </rPr>
      <t xml:space="preserve">
23/10/2017. Falta la PES de las señales de alarma y campo tableros Acometida y trafo Tx. Pruebas REB500 Sistema Secundario Ezeiza 220kV. Aprox. 200hs.
13/11/2017. El 15/11 se estima energización del T9. Quedará PES de REB500 secundario lado EDESUR exclusivamente.
30/01/2018. Ajuste con hs Diciembre - Se energizó T9 falta PES REB500 lado EDESUR.
09/02/2018. Revisión con hs SAP Enero - falta PES REB500, aprox. 90 hs + CAOs Tx y EDESUR 36hs/20/03/2018. Revisión con hs SAP Marzo - falta PES REB500, aprox. 90 hs + CAOs Edesur 18hs/Hs 1804. Revisión con hs SAP Abril - falta PES REB500, aprox. 90 hs + CAOs Edesur 18hs
Hs 1805. Revisión con hs SAP Mayo - falta PES REB500, aprox. 90 hs + CAOs Edesur 18hs. Hs 1806. Revisión con hs SAP Junio - falta PES REB500, aprox. 90 hs + CAOs Edesur 18hs. Hs 1808. Revisión con hs SAP Agosto - falta PES REB500, aprox. 90 hs + CAOs Edesur 18hs. Hs 1809. Revisión con hs SAP Septiembre - falta PES REB500, aprox. 90 hs + CAOs Edesur 18hs. Hs 1810. Revisión con hs SAP Octubre - falta PES REB500, aprox. 90 hs + CAOs Edesur 18hs.
Hs 1811. Revisión con hs SAP Noviembre - falta PES REB500, aprox. 90 hs + CAOs Edesur 18hs. Hs 1812. Revisión con hs SAP Dic - falta PES REB500, aprox. 90 hs + CAOs Edesur 18hs. Hs 1902. Revisión con hs SAP Feb - falta PES REB500, aprox. 90 hs + CAOs Edesur 18hs. Hs 1903. Revisión con hs SAP Mar - falta PES REB500, aprox. 90 hs + CAOs Edesur 18hs. Hs 1904/05/06/07/08/09. Falta PES REB500, aprox. 90 hs + CAOs Edesur 18hs - Se analiza cierre del proyecto con Transener. Noto que las hs incurridas no son las que tenía en planilla JI. HS 1911 - Sigue en ls mismas condiciones, la intención es certificar una capacitación pendiente y cerrar los ítems de PES.  2005 - Se pasó un valor por 16 días de trabajo de un especialista en sitio ante un pedido de EDESUR. Similar al valor que está pendiente de certificación
10-02-21 - Consultar con GC si hubo una reunión o avance por este cierre o quedó parado desde ese momento que intentó reactivarse
12-04-21 - ENEL comentó que está evaluando presupuesto y plan de ejecucuión para presentar a la comisión de obras. Ni bien lo tengan se lo compartirán a Transener
Hs 0521 - ENEL envia presupuesto NO viable, TX quiere pasar la OC a ENEL y cerrar. Por otro lado se conoce que por bancos de capacitores se debe ampliar el sistema, puede ser una oportunidad para cerrar este Q y ponerlo en servicio en el marco de otro proyecto
Hs 0621 - sin cambios
Hs 0721 - sin cambios
Hs 0821 - sin cambios
Hs 0921 - sin cambios. Verificar si se pudo acordar un cierre de alcance con Transener/Edesur sin SAT de Barras y CAOs
Hs 1021 - sin cambios. 
Hs 1121 - sin cambios.
Hs 0122 - Se cerraría pues el alcance de este proyecto se pondrá en el proyecto nuevo relacionado a la incorporación de Bancos de capacitores 132kV. Se esperar respuesta favorable a nota enviada por GC para cerrarlo!
Hs 0222 - Sin cambios
Hs 0422 - Sin cambios
Hs 0522 - Sin cambios
Hs 0622 - Sin cambios
Hs 0722 - Se propone la quita (Diego Bordatto me pidió info para enviar nota correspondiente)
Hs 0822 - Sin cambios
Hs 0922 - Sin cambios
Hs 1022 - Sin cambios
Hs 1122 - Sin cambios
Hs 1222 - Sin cambios
Hs 0123 - CERRADO</t>
    </r>
  </si>
  <si>
    <t>Q150025</t>
  </si>
  <si>
    <t>Q150026</t>
  </si>
  <si>
    <t>Q150027</t>
  </si>
  <si>
    <t>Q150028</t>
  </si>
  <si>
    <r>
      <rPr>
        <b/>
        <sz val="9"/>
        <rFont val="Arial"/>
        <family val="2"/>
      </rPr>
      <t>Rev. 10/03/21</t>
    </r>
    <r>
      <rPr>
        <sz val="9"/>
        <rFont val="Arial"/>
        <family val="2"/>
      </rPr>
      <t xml:space="preserve">
Recordar el mail del 11/08/20 OS-25M-ABB-0134 - Respuesta a Propuesta de revisión de lógica de enclavamientos para seccionadores de transferencia
Se entregó el tablero de la ET Chivilcoy
</t>
    </r>
    <r>
      <rPr>
        <b/>
        <sz val="9"/>
        <rFont val="Arial"/>
        <family val="2"/>
      </rPr>
      <t>Rev. 10/05/21</t>
    </r>
    <r>
      <rPr>
        <sz val="9"/>
        <rFont val="Arial"/>
        <family val="2"/>
      </rPr>
      <t xml:space="preserve">
Falta dictar los cursos de protecciones y control que seguramente se dictaran luego de la PeS.
</t>
    </r>
    <r>
      <rPr>
        <b/>
        <sz val="9"/>
        <rFont val="Arial"/>
        <family val="2"/>
      </rPr>
      <t xml:space="preserve">Rev. 19/07/21
</t>
    </r>
    <r>
      <rPr>
        <sz val="9"/>
        <rFont val="Arial"/>
        <family val="2"/>
      </rPr>
      <t xml:space="preserve">Se terminaron todos los documentos CAF y son emitidos
</t>
    </r>
    <r>
      <rPr>
        <b/>
        <sz val="9"/>
        <rFont val="Arial"/>
        <family val="2"/>
      </rPr>
      <t xml:space="preserve">Rev. 08/11/21
</t>
    </r>
    <r>
      <rPr>
        <sz val="9"/>
        <rFont val="Arial"/>
        <family val="2"/>
      </rPr>
      <t xml:space="preserve">Se propuso la entrega de los relés destinados a las EETT Henderson y Ezeiza y quedarnos sólo con un relé en planta (el repuesto) para los ensayos eventuales de configuración. Las placas BOM si finalmente son requeridas y confirmadas por la Secretaria, se podrían instalar en una segunda instancia sin mayor inconveniente.
</t>
    </r>
    <r>
      <rPr>
        <b/>
        <sz val="9"/>
        <rFont val="Arial"/>
        <family val="2"/>
      </rPr>
      <t xml:space="preserve">Rev. 06/05/22
</t>
    </r>
    <r>
      <rPr>
        <sz val="9"/>
        <rFont val="Arial"/>
        <family val="2"/>
      </rPr>
      <t xml:space="preserve">Ver mail resumen del 01/06/22
</t>
    </r>
    <r>
      <rPr>
        <b/>
        <sz val="9"/>
        <rFont val="Arial"/>
        <family val="2"/>
      </rPr>
      <t xml:space="preserve">Rev. 12/07/22
</t>
    </r>
    <r>
      <rPr>
        <sz val="9"/>
        <rFont val="Arial"/>
        <family val="2"/>
      </rPr>
      <t xml:space="preserve">Se entregaron los terminales de extremos EZ y HE y repuestos y placas BOM
Posible PeS a fines del 2022
</t>
    </r>
  </si>
  <si>
    <t>Q150029</t>
  </si>
  <si>
    <r>
      <rPr>
        <b/>
        <sz val="9"/>
        <color rgb="FF000000"/>
        <rFont val="Arial"/>
        <family val="2"/>
      </rPr>
      <t xml:space="preserve">Ultima rev. 15/07/2024 - PROYECTO CERRADO
</t>
    </r>
    <r>
      <rPr>
        <sz val="9"/>
        <color rgb="FF000000"/>
        <rFont val="Arial"/>
        <family val="2"/>
      </rPr>
      <t>26/09/2024. Se emiten últimos CAO, luego de actualizar dirección IP en PLC. Se cierra el proyecto. 
15/07/2024. CAO paneles pendientes. 
06/06/2024. Se consulta por CAO, aún pendientes. 
01/05/2024. Aún en elaboración de CAO.
28/02/2024. Pocos CAOs pendientes. Se consulta a PM por tareas previas para poder cerrar CAOs.
23/01/2024. Avanzando con CAO. Quedan aún CAO de panel y programa. Se completará en febrero.
---------------------------------------------------------------------------------------------------------------------------------------
21/03/2019. Se ajustan hs consumidas.
26/04/2019. Se ajustan hs consumidas. 
14/05/2019. Se ajustan hs consumidas. 
18/06/2019. Sin hs consumidas en este período. A la espera de coordinación de FAT con proyecto Q150028 (SAS)
07/08/2019. Sin hs consumidas en este período. A la espera de coordinación de FAT con proyecto Q150028 (SAS)
13/09/2019. Sin hs consumidas en este período. A la espera de coordinación de FAT con proyecto Q150028 (SAS)
09/10/2019. Sin hs consumidas en este período. A la espera de coordinación de FAT con proyecto Q150028 (SAS)
08/11/2019. Sin hs consumidas en este período. A la espera de coordinación de FAT con proyecto Q150028 (SAS)
03/12/2019. Sin hs consumidas en este período. A la espera de coordinación de FAT con proyecto Q150028 (SAS)
08/01/2020. Sin hs consumidas en este período. Se emitieron protocolos para FAT dimensional y pintura. 
07/02/2020. FAT panel programado para Marzo. 
06/03/2020. FAT panel programado para Marzo.
12/04/2020. Se realizó FAT paneles. Queda pendiente FAT programa y modificación EM Comahue.
12/05/2020. Sin cambios en este período.
08/06/2020. Ajustan hs consumidas, y estimación saldo.
14/07/2020. Ajustan hs consumidas, y estimación saldo.
11/08/2020. Ajustan hs consumidas, y estimación saldo.
09/09/2020. Sin avance, se ajustan hs consumidas.
08/10/2020. Sin cambios. A espera FAT SW. 
12/11/2020. Se completó el FAT. Se despachan paneles.
11/12/2020. Pendiente CAF y protocolos SAT.
28/1/2021. Protocolos SAT para revisión. CAF en elaboración.
24/02/2021	Se emiten protocolos SAT. CAF pendiente.
11/03/2021. CAF paneles para revisión. CAF sw pendiente.
14/04/2021. Obs menores a CAF paneles. CAF sw pendiente. 
19/05/2021. Siguen pendientes CAF.
10/06/2021. Siguen pendientes CAF.
02/07/2021. Se completaron CAF. A la espera condiciones PeS. 
12/08/2021. A la espera condiciones PeS. 
14/09/2021. A la espera condiciones PeS. 
22/10/2021. A la espera condiciones PeS. 
21/11/2021. A la espera condiciones PeS. 
07/12/2021.A la espera condiciones PeS.  
11/01/2022. A la espera condiciones PeS.  
25/02/2022. Sin cambios. A la espera condiciones PeS.
10/03/2022. Sin cambios. A la espera condiciones PeS.
05/04/2022. Sin cambios. A la espera condiciones PeS.
26/05/2022. Sin cambios. A la espera condiciones PeS.
07/06/2022. Sin cambios. A la espera condiciones PeS.
14/07/2022. Sin cambios. A la espera condiciones PeS.
03/08/2022. Sin cambios. A la espera condiciones PeS.
09/06/2022. PeS DAG tentativa para diciembre. Se está revisando posibles adicionales tareas HE y EZ.
19/10/2022. PeS DAG tentativa para diciembre. 
07/11/2022. PeS DAG diciembre, a confirmar.  Transener solicitó cambios en EM Comahue.
23/12/2022. PeS DAG fin enero, a confirmar.  Se realizaron cambios pedidos por Transener.
17/01/2023. PeS DAG se movería hacia marzo (a confirmar). Se agrega cambio menor en AB, que se carga a Mantenimiento.
07/02/2023. Sin hs en este período. PeS estimada en Marzo.  
14/03/2023. Se cargaron hs por cambio comunicaciones en Abasto. PeS estimada en Abril.
18/04/2023. Sin hs en este período. PeS estimada en Mayo
15/05/2023. Sin hs en este período. PeS estimada en Mayo / Junio
30/05/2023. Sin hs en este período. PeS estimada en Junio / Julio
29/06/2023. Sin hs en este período. PeS programada semana 17/07.
03/08/2023. Se avanzó en ensayos parciales DAG. Se programa PeS en agosto.
23/08/2023. PeS parcial esta semana.  Pendiente ensayo con DAG=0 según disponbilidad ETP. 
17/10/2023. Se completó PeS DAG. Falta CAO.
01/11/2023. Se acuerda con PM el cierre este proyecto, entendiendo que la elaboración de CAO se cargará al Q150028.
30/11/2023. Se están elaborando CAOs.
04/01/2024. Algunos CAOs pendientes. 
NUEVAS NOTAS ARRIBA.</t>
    </r>
  </si>
  <si>
    <t>Q150030</t>
  </si>
  <si>
    <t>Q150031</t>
  </si>
  <si>
    <t>Q150032</t>
  </si>
  <si>
    <t>Q150033</t>
  </si>
  <si>
    <t>Q150034</t>
  </si>
  <si>
    <t>Q150035</t>
  </si>
  <si>
    <t>Q150036</t>
  </si>
  <si>
    <t>Q150037</t>
  </si>
  <si>
    <t>Q150038</t>
  </si>
  <si>
    <t>Q150039</t>
  </si>
  <si>
    <t>Q150040</t>
  </si>
  <si>
    <t>Q150041</t>
  </si>
  <si>
    <t>Q150042</t>
  </si>
  <si>
    <t>Q150043</t>
  </si>
  <si>
    <t>Q150044</t>
  </si>
  <si>
    <t>Q150045</t>
  </si>
  <si>
    <t>Q150046</t>
  </si>
  <si>
    <t>Q150047</t>
  </si>
  <si>
    <t>Q150052</t>
  </si>
  <si>
    <r>
      <rPr>
        <b/>
        <sz val="9"/>
        <color theme="0"/>
        <rFont val="Arial"/>
        <family val="2"/>
      </rPr>
      <t>Ultima rev. 04/12/19 - FINALIZADO</t>
    </r>
    <r>
      <rPr>
        <sz val="9"/>
        <color theme="0"/>
        <rFont val="Arial"/>
        <family val="2"/>
      </rPr>
      <t xml:space="preserve">
23/10/2017. Falta la PES de la bahía sistema principal (ampliación REB500) con la liberación del T9EZ. Pruebas de señales 500kV &lt;---&gt;220kV.
13/11/2017. El 15/11 se estima energización del T9. Luego quedaría Ing. REB500 Principal CAO. 
Las OPQ en ingeniería y servicio se debió a fallas de Hw en las tarjetas recibidas de CHPAU. Análisis, exportación temporal, 3 intervenciones más en sitio.                                    1911 - Los CAOs están terminados y el Proyecto está finalizado</t>
    </r>
  </si>
  <si>
    <t>Q150053</t>
  </si>
  <si>
    <t>Q150054</t>
  </si>
  <si>
    <t>Q150055</t>
  </si>
  <si>
    <t>Q150056</t>
  </si>
  <si>
    <t>Q150057</t>
  </si>
  <si>
    <t>Q150058</t>
  </si>
  <si>
    <t>Q150059</t>
  </si>
  <si>
    <r>
      <rPr>
        <b/>
        <sz val="9"/>
        <rFont val="Arial"/>
        <family val="2"/>
      </rPr>
      <t>Ultima rev. 11/05/20</t>
    </r>
    <r>
      <rPr>
        <sz val="9"/>
        <rFont val="Arial"/>
        <family val="2"/>
      </rPr>
      <t xml:space="preserve">
30/08/2018. Se ponen las horas KOM como las acordadas en la minuta de reunión del 08/06/2017 más el adicional. Luego de estar más de 6 meses sin novedades, se calcula que para reactivar este proyecto se utilizarán las hrs definidas en la columna Saldo Est.
18/09/2018. Hay que reacomodar las horas de Sitio ya que fueron de Ing para dar el curso. Se deben negociar nuevas horas para reactivar el proyecto y cambios de tarifa.
11/10/2018. Se quiere reactivar el proyecto. No se acordó con el cliente el aumento de tarifa para el 2018. Confirmar que queden disponibles estas horas aún.
20/11/2018. Sin cambios.
14/12/2018. Sin cambios. Se continúa sin reclasificar las horas ni suspender el proyecto por falta de respuesta.
02/01/2019. Sin cambios.
13/03/2019. No se revisará más este proyecto hasta obtener novedades del cliente.
15/04/2020. Se cierra el proyecto.</t>
    </r>
  </si>
  <si>
    <t>Q150060</t>
  </si>
  <si>
    <r>
      <rPr>
        <b/>
        <sz val="9"/>
        <color theme="0"/>
        <rFont val="Arial"/>
        <family val="2"/>
      </rPr>
      <t>Ultima rev. 12/04/21 - Finalizado</t>
    </r>
    <r>
      <rPr>
        <sz val="9"/>
        <color theme="0"/>
        <rFont val="Arial"/>
        <family val="2"/>
      </rPr>
      <t xml:space="preserve">
13/11/2017. Revisión con hs SAP Octubre. Ver ajustes de Hs de Ingenierías por Adicional PFI? Celda I6, I7 e I11.
09/02/2018. Revisión con hs SAP Diciembre y Enero. Hs 1803. Revisión con hs SAP Marzo. Hs 1804. Revisión con hs SAP Abril. Corrijo las hs de estimación de proyectistas por el adicional de PFI y relevamiento en sitio + configuraciones pendientes y CAOs. Hs 1805. Revisión con hs SAP Mayo. Hs 1806. Revisión con hs SAP Junio.
Hs 1808. Revisión con hs SAP Agosto. Hs 1809. Revisión con hs SAP Septiembre. El nuevo ajuste en Ingeniería se debe a una reconfeción de los protocolos de ensayo por rechazo de Transener. Hs 1810. Revisión con hs SAP Octubre. Hs 1811. Revisión con hs SAP Noviembre.
Hs 1812. Revisión con hs SAP Dic. Hs 1902. Revisión con hs SAP Feb. Hs 1903. Revisión con hs SAP Marzo. Hs 1904. Revisión con hs SAP Abril - Se inicio la PES que continuará en Mayo. Luego de realizar el primer corte del 18/05 podemos evaluar mejor lo que nos resta de PES. Hs 1905 - 06 - 07 -08 -09 - Se continúo con las PES. PES demorada por situaciones externas. Analizar pedido de adicionales por mayor permanencia y viajes. Falta PES La Rioja Norte, Playa Maniobra SM con Transnoa - Hs 1911, Se programa LRN para 9/12 y PMSM para Enero 2020 - Hs 2001, se vende adicional por lógica de desconexión de reactor, trabajos en sitio programados para el 14/02. Falta energización y toma de carga de líneas 132kV, evaluar costo y viajes adicionales --------   Hs 2003. Se suspendió trabajos pendientes por el COVID-10 se estiman para fines de Abril, estimado 2 semanas. Hs 2004 se está revisando posible fecha, Agosto, luego del parate por COVID-19 - 2005 - Se revisa la posibilidad de retomar tareas en sitio pero no hay fecha concreta. Se estima en WL Agosto. Hs 2006 se estima SAT pendiente para Agosto . HS 2008 se estima SAT fines de Septiembre. Hs 2010, SAT fines de Noviembre. Hs 2011 SAT fines de Nov. Primera de Dic
Hs 0121 - SAT finalizado, falta completar CAO para cerrarloCAO
Hs 0221 - CAO programado en Marzo</t>
    </r>
  </si>
  <si>
    <t>Q150061</t>
  </si>
  <si>
    <t>Q150062</t>
  </si>
  <si>
    <t>Q150063</t>
  </si>
  <si>
    <t>Q150064</t>
  </si>
  <si>
    <t>Q150065</t>
  </si>
  <si>
    <t>Q150066</t>
  </si>
  <si>
    <t>Q150067</t>
  </si>
  <si>
    <t>Q150068</t>
  </si>
  <si>
    <t>Q150069</t>
  </si>
  <si>
    <t>Q150070</t>
  </si>
  <si>
    <t>Q150071</t>
  </si>
  <si>
    <t>Q150072</t>
  </si>
  <si>
    <t>Q150073</t>
  </si>
  <si>
    <t>Q150074</t>
  </si>
  <si>
    <t>Q150075</t>
  </si>
  <si>
    <t>Q150076</t>
  </si>
  <si>
    <t>Q150077</t>
  </si>
  <si>
    <t>Q150078</t>
  </si>
  <si>
    <t>Q150079</t>
  </si>
  <si>
    <t>Q160000</t>
  </si>
  <si>
    <r>
      <rPr>
        <b/>
        <i/>
        <sz val="9"/>
        <color theme="4"/>
        <rFont val="Arial"/>
        <family val="2"/>
      </rPr>
      <t>PROYECTO TECNICAMENTE CERRADO</t>
    </r>
    <r>
      <rPr>
        <b/>
        <sz val="9"/>
        <rFont val="Arial"/>
        <family val="2"/>
      </rPr>
      <t xml:space="preserve">
Ultima rev. 08/09/2021
</t>
    </r>
    <r>
      <rPr>
        <sz val="9"/>
        <rFont val="Arial"/>
        <family val="2"/>
      </rPr>
      <t>08/09/2021. Evelyn me confirmó que este proyecto está cerrado.</t>
    </r>
    <r>
      <rPr>
        <b/>
        <sz val="9"/>
        <rFont val="Arial"/>
        <family val="2"/>
      </rPr>
      <t xml:space="preserve">
--------------------------------------------------------------------------------------------------------------
</t>
    </r>
    <r>
      <rPr>
        <sz val="9"/>
        <rFont val="Arial"/>
        <family val="2"/>
      </rPr>
      <t>29/03/2021. Se pone el saldo estimado en cero dado que deberán revisarse las horas y tareas pendientes.</t>
    </r>
    <r>
      <rPr>
        <b/>
        <sz val="9"/>
        <rFont val="Arial"/>
        <family val="2"/>
      </rPr>
      <t xml:space="preserve">
</t>
    </r>
    <r>
      <rPr>
        <sz val="9"/>
        <rFont val="Arial"/>
        <family val="2"/>
      </rPr>
      <t>13/01/2020. SUSPENDIDA.</t>
    </r>
  </si>
  <si>
    <t>Q160001</t>
  </si>
  <si>
    <t>Q160002</t>
  </si>
  <si>
    <t>Q160003</t>
  </si>
  <si>
    <t>Q160004</t>
  </si>
  <si>
    <t>Q160005</t>
  </si>
  <si>
    <t>Q160006</t>
  </si>
  <si>
    <t>Q160007</t>
  </si>
  <si>
    <t>SO</t>
  </si>
  <si>
    <t>Q160008</t>
  </si>
  <si>
    <t>Ultima rev. 3/7/24                                                                                                                                                                                                                                                  16/11/2017. Primer revisión de hs.  No se hizo análisis de hs en HO / KOM. El proyecto estuvo detenido. Se reinicia. Se estima el FAT para Enero - Febrero. A la espera de respuesta al documento de especificaciones de la repetidora de F.O.
11/12/2017. Se realizo el PREFAT. El FAT no se realizo porque no vino el cliente. Se reprograma para Febrero.
05/01/2018. Se estima FAT para febrero.
07/02/2018. Se estima FAT para marzo.
06/03/2018. Se está realizando FAT.
10/04/2018. Se realizó FAT. Los armario están listos para envío. Se insumieron más horas de lo presupuestado porque se trabajó para armar un FAT que luego se canceló sobre la fecha lo que llevó a reuniones y horas improductivas. Luego en el FAT tuvimos problema con el firmware de los IPG, con la gestión de los IPG, con el FOXMAN, con placas y cables con falla.
11/05/2018. Se continúo trabajando en la ingeniería.
11/07/2018. Sin novedades.
15/08/2019. Sin novedades.
28/09/2018. Sin novedades.
21/11/2018. Sin novedades.
01/02/2019. Sin novedades.
13/03/2019. Sin novedades.
26/04/2019. Sin novedades.
27/05/2019. Sin novedades.
24/06/2019. Sin novedades.                                                                                                                                                                                                                                                                                          30/8/2019. Se está negociando con la CAF para entregar los armarios                                                                                                                                                                                           13/11/2019. Sin novedades                                                                                                                                                                                                                                                                          31/1/2020. Sin novedades                                                                                                                                                                                                                                                                                         15/4/20. Sin novedades                                                                                                                                                                                                                                                                                               14/5/2020. Sin novedades                                                                                                                                                                                                                                                                                            20/7/2020. Se están preparando los armarios para su entrega                                                                                                                                                                                                                           29/9/2020. Se entregaron los armarios                                                                                                                                                                                                                                   18/12/20. Sin novedades                                                                                                                                                                                                                                                                24/02/21. Sin novedades                                                                                                                                                                                                                                               13/04/21. Sin novedades                                                                                                                                                                                                                                           20/07/21. Sin novedades                                                                                                                                                                                                                                               17/09/21. Sin novedades                                                                                                                                                                                                                                       15/11/21. Sin novedades                                                                                                                                                                                                                                                       17/01/22. Sin novedades                                                                                                                                                                                                                                                                                   7/03/22. Sin novedades                                                                                                                                                                                                                                                           27/05/22. Sin novedades                                                                                                                                                                                                                                                           05/08/22. Sin novedades. Se está planificando la PES del adicional por BB-CL.                                                                                                                                                                   03/10/22. Sin novedades. Se está planificando la PES del adicional por BB-CL y la revisión del equipamiento                                                                                                       07/12/22. Se realizó la revisión del equipamiento                                                                                                                                                                                                  30/01/23. Sin novedades. Se está planificando la PES del adicional por BB-CL                                                                                                                                                     14/04/23. Sin novedades. Se realizó la PES del adicional por BB-CL                                                                                                                                                                                          30/05/23. Esta semana comienza la primera etapa de la PES.                                                                                                                                                                                                                      12/07/23. Se realizó la PES de los FOX, queda pendiente terminar la PES de la CT                                                                                                                                         16/08/23. Se está programando para terminar la PES de la CT, se deben realizar los CAO                                                                                                                                                                    05/10/23. Se realizó el CAO. Se está programando para terminar la PES de la CT cuando cancelen la deuda.                                                                                                                       06/12/23. A la espera de que cancelen la deuda para realizar la PES de la CT                                                                                                                                           30/1/24. A la espera de que cancelen la deuda para realizar la PES de la CT                                                                                                7/3/24. A la espera de que cancelen la deuda para realizar la PES de la CT                                                                                                 2/5/24. A la espera de que cancelen la deuda para realizar la PES de la CT                                                                                            3/7/24. A la espera de que cancelen la deuda para realizar la PES de la CT</t>
  </si>
  <si>
    <t>Q160009</t>
  </si>
  <si>
    <t>Q160010</t>
  </si>
  <si>
    <t>Q160011</t>
  </si>
  <si>
    <t>EV</t>
  </si>
  <si>
    <t>Q160012</t>
  </si>
  <si>
    <r>
      <rPr>
        <b/>
        <i/>
        <sz val="9"/>
        <color rgb="FF0070C0"/>
        <rFont val="Arial"/>
        <family val="2"/>
      </rPr>
      <t>PROYECTO TECNICAMENTE CERRADO</t>
    </r>
    <r>
      <rPr>
        <sz val="9"/>
        <rFont val="Arial"/>
        <family val="2"/>
      </rPr>
      <t xml:space="preserve">
19/03/2021. Los servicios de este proyecto pasaron al Q200045 por la inactividad y cambio de alcance
-------------------------------------------------------------------------------------------------------------------------------------31/10/2019. Este proyecto estuvo demorado y de repente se activo pero con un alcance más ampliado a pedido de Transener dado que el servicio involucra a la ET SES y ensayos GOOSES y trabajos sobre la BD del Scada provisto. Avise al PM del adicional y estamos esperando confirmación. Cuando tengamos nuevamente noticias del cliente deberemos reprogramar con servicios las tareas
22/11/2019. Estuvimos esta semana reunidos con Enzo y Evelyn y debido a la modificación del alcance en los servicios (adicionales en la SES) estuvimos revisando y plantearlo cómo un nuevo servicio integral donde vamos a balancear (PM con B&amp;P) con el proyecto original cuya oferta no era muy clara. Nosotros vamos a alimentar con las horas y condiciones para realización de este servicio.
13/01/2020. EV está de licencia. En cuanto nos informe la necesidad nos reuniremos con ED para establecer la estimación de horas y condiciones para la realización del servicio. Lo que generaremos es una nueva
 oferta por los servicios (ampliados) solicitados a los cuales se compensarán con lo cotizado. este nuevo servicio es complejo porque implica que los especialistas de control y protección deben estudiar el proyecto de SES para realizar los servicios en esa ET.
17/04/2020. Revisión de horas. Debo pasarle la revisión de horas y alcance a EV por el pedido de Transener para realizar en SES
11/02/202. Revisar con Enzo los tiempos y disponibilidad para realizar una propuesta por los servicios. La idea es proponer la fecha para realizar el servicio en función de nuestra disponibilidad ya que consumirá un par de recursos para estudiar y revisar el proyecto, las configuraciones realizadas y lo más complejo que son los ensayos GOOSE solicitados para SES. Esta revisión la deberemos hacer antes del Q1.
05/05/2020. Revisión de horas. Falta enviar a EV la revisión sobre el servicio pendiente en ET Primera Junta y ET SES
04/03/202. Hablaremos con EV para conocer las fechas que está manejando el cliente para la PES.
15/04/2020. Revisión de horas. Deberemos hacer una nueva oferta por el cambio de alcance de este servicio que llevará a una revisión de horas adicionales si se aceptan los trabajos adicionales solicitados por Transener para la ET SES
16/06/2020. Revisión de horas. Deberemos hacer una nueva oferta por el cambio de alcance de este servicio que llevará a una revisión de horas adicionales si se aceptan los trabajos adicionales solicitados por Transener para la ET SES
14/07/2020. Revisión de horas. Deberemos hacer una nueva oferta por el cambio de alcance de este servicio que llevará a una revisión de horas adicionales si se aceptan los trabajos adicionales solicitados por Transener para la ET SES
04/08/2020. Revisión de horas. Deberemos hacer una nueva oferta por el cambio de alcance de este servicio que llevará a una revisión de horas adicionales si se aceptan los trabajos adicionales solicitados por Transener para la ET SES
18/11/2020. Se cotizará un adicional por servicios adicionales que implicará un recalculo de horas
18/12/2020. Se consumieron horas de analisis para el adicional. De aprobarse se adicionaran horas.
18/01/2021. Este proyecto se cerrará proximamente y pasará al Q200045 que lo incluirá entre otros servicios asociados.</t>
    </r>
  </si>
  <si>
    <t>Q160013</t>
  </si>
  <si>
    <t>Q160014</t>
  </si>
  <si>
    <t>Q160015</t>
  </si>
  <si>
    <t>Q160016</t>
  </si>
  <si>
    <r>
      <rPr>
        <b/>
        <sz val="9"/>
        <rFont val="Arial"/>
        <family val="2"/>
      </rPr>
      <t>Ultima rev. 16/05/18</t>
    </r>
    <r>
      <rPr>
        <sz val="9"/>
        <rFont val="Arial"/>
        <family val="2"/>
      </rPr>
      <t xml:space="preserve">
13/09/2017. Primer revisión del proyecto. Falta confirmar los trabajos adicionales de la integración de la RTU en IEC61850.
17/10/2017. El cliente acepta hacer los trabajos de SPA y Carayao. Se termina la ingeniería de SPA y se entrega al cliente esperando la PES. Se posterga la PES ya que el cliente no PAGA. Se espera hacer SPA y CAR todo junto más adelante.
08/11/2017. Falta la ingeniería de Carayao y la PES de SPA y CAR.
14/12/2017. Se está realizando la PES de San Patricio.
08/01/2018. Se finalizó la PES de San Patricio. Hubo inconvenientes y el cliente por ahí quiere que concurramos nuevamente. Se verá con la PES de Carayaó.
08/02/2018. Se esta haciendo la Ing de Carayaó para luego realizar la PES.
07/03/2018. El 12/03 se realizará la PES de Carayaó y con eso finaliza el proyecto.
04/04/2018. Se cierra el proyecto. No se espera gastar más horas.
16/05/2018. Se pasan las horas que no habían entrado en el último período. Falta la confirmación del cierre.</t>
    </r>
  </si>
  <si>
    <t>Q160017</t>
  </si>
  <si>
    <t>Q160018</t>
  </si>
  <si>
    <t>Q160019</t>
  </si>
  <si>
    <t>Q160020</t>
  </si>
  <si>
    <t>Q160021</t>
  </si>
  <si>
    <t>Q160022</t>
  </si>
  <si>
    <t>Q160023</t>
  </si>
  <si>
    <t>Q160024</t>
  </si>
  <si>
    <t>Q160025</t>
  </si>
  <si>
    <t>Q160026</t>
  </si>
  <si>
    <t>Q160027</t>
  </si>
  <si>
    <t>Q160028</t>
  </si>
  <si>
    <t>Q160029</t>
  </si>
  <si>
    <r>
      <rPr>
        <b/>
        <sz val="9"/>
        <rFont val="Arial"/>
        <family val="2"/>
      </rPr>
      <t>Ultima rev. 04/01/18</t>
    </r>
    <r>
      <rPr>
        <sz val="9"/>
        <rFont val="Arial"/>
        <family val="2"/>
      </rPr>
      <t xml:space="preserve">
13/09/2017. Primer revisión del proyecto. Falta la PES cuando lleguen las memorias perdidas. Existe un OPQ de Ingeniería de 189Hs.
17/10/2017. Se coordina la PES para el 6/11 y va Mauricio. Ya tiene el Hardkey y las licencias.
08/11/2017. Se está realizando la PES.
14/12/2017. El proyecto se cerró. Falta confirmar las horas desde el 20/11 a la fecha.
04/01/2018. Se finaliza el proyecto.
</t>
    </r>
  </si>
  <si>
    <t>Q160030</t>
  </si>
  <si>
    <t>Q160031</t>
  </si>
  <si>
    <t>Q160032</t>
  </si>
  <si>
    <t>Q160033</t>
  </si>
  <si>
    <r>
      <rPr>
        <b/>
        <sz val="9"/>
        <rFont val="Arial"/>
        <family val="2"/>
      </rPr>
      <t xml:space="preserve">Ultima rev. 08/02/21
</t>
    </r>
    <r>
      <rPr>
        <sz val="9"/>
        <rFont val="Arial"/>
        <family val="2"/>
      </rPr>
      <t>Se finalizó la PeS
Proyecto cerrado</t>
    </r>
  </si>
  <si>
    <t>Q160036</t>
  </si>
  <si>
    <t>Q160037</t>
  </si>
  <si>
    <t>Q160038</t>
  </si>
  <si>
    <t>Q160039</t>
  </si>
  <si>
    <r>
      <rPr>
        <b/>
        <i/>
        <sz val="9"/>
        <color rgb="FF0070C0"/>
        <rFont val="Arial"/>
        <family val="2"/>
      </rPr>
      <t>PROYECTO TECNICAMENTE CERRADO</t>
    </r>
    <r>
      <rPr>
        <sz val="9"/>
        <rFont val="Arial"/>
        <family val="2"/>
      </rPr>
      <t xml:space="preserve">
31/10/2019. Esta semana se terminaron los cursos por lo que no queda más tareas a realizar pero que recien se verá reflejada en el periodo siguiente.
22/11/2019. No queda más tareas a realizar por lo que las horas del curso se verán reflejadas en el periodo siguiente.
23/12/2019. Cierre</t>
    </r>
  </si>
  <si>
    <t>Q160040</t>
  </si>
  <si>
    <t>Q160041</t>
  </si>
  <si>
    <t>Q160043</t>
  </si>
  <si>
    <r>
      <rPr>
        <b/>
        <sz val="9"/>
        <rFont val="Arial"/>
        <family val="2"/>
      </rPr>
      <t xml:space="preserve">Ultima rev. 30/04/19
</t>
    </r>
    <r>
      <rPr>
        <sz val="9"/>
        <rFont val="Arial"/>
        <family val="2"/>
      </rPr>
      <t>Este proyecto se ha cerrado</t>
    </r>
  </si>
  <si>
    <t>Q160044</t>
  </si>
  <si>
    <t>Q160045</t>
  </si>
  <si>
    <r>
      <rPr>
        <b/>
        <sz val="9"/>
        <rFont val="Arial"/>
        <family val="2"/>
      </rPr>
      <t>Ultima rev. 21/06/19  -  PROYECTO CERRADO</t>
    </r>
    <r>
      <rPr>
        <sz val="9"/>
        <rFont val="Arial"/>
        <family val="2"/>
      </rPr>
      <t xml:space="preserve">
23/05/2018. Entiendo que sigue pendiente la emisión de CAOs. La ingeniería de Comunicaciones que se emitió para cerrar este tema, fue calificada DPC. Se consulta estado de  este tema a PM.
27/06/2018. Se consulta a PM si hay novedad en pendientes y emisión CAOs.
19/07/2018. Se vuelcan hs consumidas en este periodo. Sin novedad respecto a pendientes.
10/08/2018. Se vuelcan hs consumidas en este periodo. Se acordó con Transener solución comunicaciones a implementar.  Se programará tareas pendientes con objetivo de cerrar todo en Q3 o Q4. El PM a partir de ahora es Rogelio Villaverde.
19/09/2018. Se vuelcan hs consumidas en este período. Se consultó al PM por avance en coordinación de tareas pendientes.
17/10/2018. Se vuelcan hs.  Tareas pendientes se están programando para noviembre (tentantivo).
20/11/2018. Se ajustan hs de este período. Se está programando tareas en sitio para segunda quincena de enero.
16/12/2018. Se actualizan hs consumidas.
02/01/2019. Se actualizan hs consumidas.
21/03/2019. Se cargan hs consumidas. No quedan más tareas.  Se envía mail a PM y a Seba, para confirmar cierre.
21/06/2019. Se cargan hs consumidas. No quedan más tareas.  Se envía mail a PM y a Seba, para confirmar cierre.</t>
    </r>
  </si>
  <si>
    <t>Q160046</t>
  </si>
  <si>
    <r>
      <rPr>
        <b/>
        <i/>
        <sz val="9"/>
        <color rgb="FF0070C0"/>
        <rFont val="Arial"/>
        <family val="2"/>
      </rPr>
      <t>PROYECTO TECNICAMENTE CERRADO</t>
    </r>
    <r>
      <rPr>
        <sz val="9"/>
        <rFont val="Arial"/>
        <family val="2"/>
      </rPr>
      <t xml:space="preserve">
31/10/2019. Se va trabajando de a poco. El proyecto está demorado y se espera el SAT para Diciembre. Se balancearon horas de ingeniería en planificadas porque la discriminación de horas no se hacía cpomo se hace actualmente.
22/11/2019. Esta semana tuvimos una reunión en Transener para coordinación entre las partes y quedo que el servicio se realizará en enero 2020. De nuestra parte se emitieron los protocolos y quedaría el servicio y los CAO.
23/12/2019. Se realizó el cronograma de servicios a partir del 06/01/2020.
13/01/2020. Se están realizando el servicio previendo finalizar el 31/01/2020.
11/02/2020. Se realizaron los servicios pero quedaron tareas que no pudieron completarse por razones ajenas a ABB. Esto implicará adicionales de obra y programación de recursos en función del cronograma que deben enviarnos y que hasta la fecha no hemos recibido.
06/03/2020. Revisión de horas. Los trabajos de campo se realizaron según el alcance, quedan pendientes (tratados cómo adicionales y por eso se agregaran en la columna correspondiente) y la realización de los CAO.
15/04/2020. Revisión de horas. Comentarios similares a la revisión 06/03/2020
05/05/2020. Revisión de horas. La situación esta sin cambios, los comentarios de la revisión del 06/03/2020 son validos.
16/06/2020. Revisión de horas. Faltan CAO y algunas tareas pendientes por razones ajenas a PGGA que serán tratados cómo adicionales en base al tarifario en la Q170048. El cierre técnico y comercial está a la espera de los CAO.
17/04/2020. Revisión de horas. Faltan CAO y algunas tareas pendientes por razones ajenas a PGGA que serán tratados cómo adicionales en base al tarifario en la Q170048
24/07/2020, Se realizó el CAO (por lo que las HH se veran reflejadas en la próxima revisión) y puso a disposición para emisión por lo que este proyecto está TECNICAMENTE CERRADO pero quedan pendientes de servicio que serán tratados en la Q170048
04/08/2020. Cierre. </t>
    </r>
  </si>
  <si>
    <t>Q160047</t>
  </si>
  <si>
    <t>Q160048</t>
  </si>
  <si>
    <t>Q160049</t>
  </si>
  <si>
    <t>Q160050</t>
  </si>
  <si>
    <t>Q160051</t>
  </si>
  <si>
    <t>Q160052</t>
  </si>
  <si>
    <t>Q160053</t>
  </si>
  <si>
    <t>Q160054</t>
  </si>
  <si>
    <t>Q160055</t>
  </si>
  <si>
    <t>Q160056</t>
  </si>
  <si>
    <t>Q160057</t>
  </si>
  <si>
    <t>Q160058</t>
  </si>
  <si>
    <r>
      <rPr>
        <b/>
        <sz val="9"/>
        <rFont val="Arial"/>
        <family val="2"/>
      </rPr>
      <t>Ultima rev. 26/04/19 - PROYECTO CERRADO</t>
    </r>
    <r>
      <rPr>
        <sz val="9"/>
        <rFont val="Arial"/>
        <family val="2"/>
      </rPr>
      <t xml:space="preserve">
23/05/2018. No hay cambios en el proyecto. Se espera su cierre administrativo, o novedades respecto a la PeS.
27/06/2018. No hay cambios en el proyecto. Se espera su cierre administrativo, o novedades respecto a la PeS. 
19/07/2018. No hay cambios en el proyecto. Proyecto detenido, se espera adicional por ampliación CT. 
10/08/2018. No hay cambios en el proyecto. Proyecto detenido, se espera adicional por ampliación CT.  El PM a partir de ahora será  Gerardo Cribari.
19/09/2018. Proyecto detenido. Se espera adicional para incorporación de dos nuevas máquinas y nuevo FAT, y PeS.
17/10/2018. Se carga hs del adicional .2.  Sin cambio de hs en el periodo. Finalmente se cargó en un nuevo Q, por lo que se elimina de este proyecto el .2.
20/11/2018. Sin hs en este período.  Hasta PeS, no habrá nueva carga de hs. 
16/12/2018. Sin hs en este período.  Hasta PeS, no habrá nueva carga de hs. 
02/01/2019. Se cargan hs del periodo (PM).
21/03/2019. Sin hs en este período.  Hasta PeS, no habrá nueva carga de hs. 
26/04/2019. Ya se realizó la PeS pero todas las hs se cargarán al proyecto nuevo Q180046.  A efectos de este seguimiento este proyecto lo considero Cerrado. Se avisa al PM, para cierre contratual.</t>
    </r>
  </si>
  <si>
    <t>Q160059</t>
  </si>
  <si>
    <t>Q160060</t>
  </si>
  <si>
    <t>Q160061</t>
  </si>
  <si>
    <t>Q160062</t>
  </si>
  <si>
    <t>Q160063</t>
  </si>
  <si>
    <t>Q160064</t>
  </si>
  <si>
    <t>Q160065</t>
  </si>
  <si>
    <t>Q160066</t>
  </si>
  <si>
    <t>Q160067</t>
  </si>
  <si>
    <t>Q160068</t>
  </si>
  <si>
    <t>Q160069</t>
  </si>
  <si>
    <t>Q160070</t>
  </si>
  <si>
    <t>Q170001</t>
  </si>
  <si>
    <r>
      <rPr>
        <b/>
        <sz val="9"/>
        <rFont val="Arial"/>
        <family val="2"/>
      </rPr>
      <t>Ultima rev. 20/07/21 - Proyecto Cerrado</t>
    </r>
    <r>
      <rPr>
        <sz val="9"/>
        <rFont val="Arial"/>
        <family val="2"/>
      </rPr>
      <t xml:space="preserve">
16/11/2017. Primer revisión de hs. A la espera de aprobación de ingeniería. A la espera de entrada de materiales.
17/12/2017. Se bajan los planos para fabricación.
05/01/2018. Se comenzó la fabricación de tableros.
07/02/2018. FAT programado para febrero.
06/03/2018. FAT programado para marzo.
10/04/2018. FAT programado para abril.
11/05/2018. Se realizó FAT.
11/07/2018. Se corrigieron protocolos.
15/08/2018. Sin Novedades.
28/09/2018. Sin Novedades.
21/11/2018. Sin Novedades.
01/02/2019. Sin Novedades.
13/03/2019. Sin Novedades.
26/04/2019. Sin Novedades.
27/05/2019. Sin Novedades.
24/06/2019. Sin Novedades.                                                                                                                                                                                                                                                     30/08/2019. Sin Novedades.                                                                                                                                                                                                                13/11/2019. Sin Novedades.                                                                                                                                                                                                                        31/01/2020. Sin Novedades.                                                                                                                                                                                                                               15/04/2020. Sin Novedades.                                                                                                                                                                                                           14/05/2020. Sin Novedades                                                                                                                                                                                                                 20/07/2020. Sin Novedades                                                                                                                                                                                                                 29/09/2020. Sin Novedades                                                                                                                                                                                                              18/12/2020. Sin Novedades                                                                                                                                                                                                                 24/02/2021. Sin Novedades                                                                                                                                                                                                                                     13/04/2021. La PES la realizó el cliente. Se está negociando la realización de un curso.                                                                                                                                          20/07/2021. Se cierra el proyecto.</t>
    </r>
  </si>
  <si>
    <t>Q170002</t>
  </si>
  <si>
    <t>Q170003</t>
  </si>
  <si>
    <t>Q170004</t>
  </si>
  <si>
    <t>Q170005</t>
  </si>
  <si>
    <r>
      <rPr>
        <b/>
        <sz val="9"/>
        <rFont val="Arial"/>
        <family val="2"/>
      </rPr>
      <t>Ultima rev. 22/03/18 - PROYECTO CERRADO</t>
    </r>
    <r>
      <rPr>
        <sz val="9"/>
        <rFont val="Arial"/>
        <family val="2"/>
      </rPr>
      <t xml:space="preserve">
27/07/2017. Revisión inicial.  Por ahora sin hs consumidas.
15/08/2017. Sin cambios.
05/10/2017. Se registran hs, por consultas del cliente.
10/11/2017. Sin cambios.
15/12/2017. Sin novedad. Se está programando Auditoría para enero 2018.
12/01/2018. Sin novedad. Se está programando Auditoría para enero 2018.
20/02/2018. Se realizó la auditoría.  El alcance de contrato termina el  9/03.  Se envía mail a PM para pedir cierre, y ver renovación.
22/03/2018. Proyecto cerrado.  Se envía mail a PM.</t>
    </r>
  </si>
  <si>
    <t>Q170006</t>
  </si>
  <si>
    <r>
      <rPr>
        <b/>
        <sz val="9"/>
        <rFont val="Arial"/>
        <family val="2"/>
      </rPr>
      <t>Ultima rev. 19/07/18 - PROYECTO CERRADO</t>
    </r>
    <r>
      <rPr>
        <sz val="9"/>
        <rFont val="Arial"/>
        <family val="2"/>
      </rPr>
      <t xml:space="preserve">
23/05/2018. Se completaron CAOs y emitieron.  Se está programando una capacitación sobre FOX615 que era parte del alcance. Luego se avanzará con el cierre del proyecto. 
27/06/2018. Ya se dictó el curso de FOX.  Terminado sin pendientes.  PM comienza proceso de cierre el próximo mes.
19/07/2018. Se actualizan últimas hs.  Se inicia cierre.</t>
    </r>
  </si>
  <si>
    <t>Q170007</t>
  </si>
  <si>
    <t>Q170008</t>
  </si>
  <si>
    <t>Q170009</t>
  </si>
  <si>
    <r>
      <rPr>
        <b/>
        <sz val="9"/>
        <rFont val="Arial"/>
        <family val="2"/>
      </rPr>
      <t>Ultima rev. 17/1/22 - Proyecto Cerrado</t>
    </r>
    <r>
      <rPr>
        <sz val="9"/>
        <rFont val="Arial"/>
        <family val="2"/>
      </rPr>
      <t xml:space="preserve">
16/11/2017. Primer revisión de hs. Se está comprando todo el equipamiento. A la espera de respuesta de EDVSA por pedido de adicionales. Planos de Ingenieria General para revisión.
11/12/2017. Se está enviando revisión de ingeniería por los cambios pedidos por EDVSA.
05/01/2018. Se emiten planos de tableros de onda portadora. Se están terminando de definir las compras de materiales.
07/02/2018. Se definieron todas las compras. Se continua con la revisión de ingeniería y con los planos faltantes.
06/03/2018. Se emitió toda la ingeniería. Se reciben observaciones, hay que conversar con EDVSA por adicionales y observaciones.
10/04/2018. En conversacion con EDVSA para definir adicionales y observaciones, para presentar una nueva revisión de ingeniería.
11/05/2018. Se presenta nueva revisión de ingeniería.
11/07/2018. Se fabricaron los tableros y se realizó FAT. Se consumieron más horas de ingeniería de lo previsto porque se tuvieron que hacer varias revisiones de los planos, y surgieron diferentes inconvenientes en la puesta en servicio del sistema de videovigilancia.
15/08/2018. Se está programando la puesta en servicio.
28/09/2018. Se realizó la puesta en servicio del sistema de videovigilancia y radio.
21/11/2018. Se realizó la puesta en servicio del sistema de videovigilancia y radio.Queda pendiente la PES del sistema de onda portadora.
01/02/2019. Sin novedades.
13/03/2019. Sin novedades.
26/04/2019. Sin novedades.
27/05/2019. Sin novedades.
24/06/2019. Sin novedades.                                                                                                                                                                                                                                                                                      30/08/2019. Sin novedades.
13/11/2019. Sin novedades.
31/01/2020. A la espera del pago para realizar laPES del sistema de OP.                                                                                                                                                                                                                                 15/04/2020. A la espera del pago para realizar laPES del sistema de OP.                                                                                                                                                                                                               14/05/2020. A la espera del pago para realizar laPES del sistema de OP.                                                                                                                                                                                                                 20/07/2020. A la espera del pago para realizar laPES del sistema de OP.                                                                                                                                                                                                             29/09/2020. A la espera del pago para realizar laPES del sistema de OP.                                                                                                                                     18/12/2020. A la espera del pago para realizar laPES del sistema de OP.                                                                                                                                                                                      24/2/2021. A la espera del pago para realizar laPES del sistema de OP.                                                                                                                                                                      13/04/2021. A la espera del pago para realizar laPES del sistema de OP.                                                                                                                                                              20/07/2021. A la espera del pago para realizar laPES del sistema de OP.                                                                                                                                                                  17/09/2021. Se realizó la PES del sistema de OP.                                                                                                                                                                                             15/11/2021. Se realizó la Ingeniería CAO.                                                                                                                                                                                                                                 17/01/2022. Se cierra el proyecto</t>
    </r>
  </si>
  <si>
    <t>CB</t>
  </si>
  <si>
    <t>Q170010</t>
  </si>
  <si>
    <r>
      <rPr>
        <b/>
        <sz val="9"/>
        <color theme="0"/>
        <rFont val="Arial"/>
        <family val="2"/>
      </rPr>
      <t>Ultima rev. 04/12/19 - FINALIZADO</t>
    </r>
    <r>
      <rPr>
        <sz val="9"/>
        <color theme="0"/>
        <rFont val="Arial"/>
        <family val="2"/>
      </rPr>
      <t xml:space="preserve">
04/09/2017. Revisión con hs SAP Agosto.
24/10/2017. Revisión con hs SAP Septiembre.
13/11/2017. Revisión con hs SAP Octubre.
09/02/2018. Revisión con hs SAP Diciembre y Enero.
Hs 1803. Revisión con hs SAP Marzo - No están incluidos hs de adicionales de servicio por trabajos fuera de alcance.
Hs 1804. Revisión con hs SAP Abril - Corrijo hs estimadas de SP por capacitación. Las hs de comunicación si son menos pueden usarse para el OPQ de PyC. Ver con Andrés Vismara.
Hs 1805. Revisión con hs SAP Mayo. Faltan contemplar adicionales pasados a hs de ingeniería y servicio.
Hs 1806. Revisión con hs SAP Junio.
Hs 1808. Revisión con hs SAP Agosto.
Hs 1809. Revisión con hs SAP Septiembre. Las horas de campo se aumentaron por motivos diversos. Considero en este ajuste 80hs que se cobrarán cómo adicional (30 Protecciones + 50 Control).
Hs 1810. Revisión con hs SAP Octubre. Se realiza un nuevo ajuste en las hs de Campo adicionales por cambiar las condiciones de ensayo. 2 intervenciones adicionales, 6d de Protecciones y 10d de Control. Además de 5d de capacitación PyC.
Hs 1811. Revisión con hs SAP Noviembre. De las 2 intervenciones mencionadas entró una en Noviembre, la otra entrará en Diciembre. Capacitación a definir, 2019.
Hs 1812. Revisión con hs SAP Dic. Nos queda preparación y curso en sitio.
Hs 1902. Revisión con hs SAP Feb. En Marzo entrará hs de Ingeniería y campo Control por pedido de cambio en BD por el cliente. (Ver adicional con PM) y proyectista planos CAO.
Hs 1903. Revisión con hs SAP Marzo. Hubo una falla en el direccionamiento de la IP Gw, se viaja a obra. 1d en obra + 1d Ingeniería + CAOs para el cierre.
Hs 1904. Revisión con hs SAP Abril. En Abril realizamos las últimas tareas del proyecto. No deberíamos esperar más hs. No están las hs de adicionales, en las hs planificadas - Hs1911, se regresó a sitio para cambios de ajustes de protecciones y pruebas de PROT y además cambios en la comunicación al COT EPE. Semana del 18/11, EP y EC.</t>
    </r>
  </si>
  <si>
    <t>Q170011</t>
  </si>
  <si>
    <r>
      <rPr>
        <b/>
        <sz val="9"/>
        <rFont val="Arial"/>
        <family val="2"/>
      </rPr>
      <t>Ultima rev. 21/01/18 - PROYECTO CERRADO</t>
    </r>
    <r>
      <rPr>
        <sz val="9"/>
        <rFont val="Arial"/>
        <family val="2"/>
      </rPr>
      <t xml:space="preserve">
27/07/2017. Está avanzando ingeniería en oficina. Las horas entrarán el próximo mes.
15/08/2017. La ingeniería en oficina está terminada, se programa la PeS para la próxima semana.
06/10/2017. Se terminó la puesta en servicio, que tomó un día más de lo previsto.  El PM analizará el estado del proyecto para evaluar si facturar este día adicional, o no. En horas, se podría compensar con las que quedaron disponibles de Ingeniería, pero debe analizarse desde el Precálculo. No quedan tareas a realizar, por lo que, si no hay novedad, se cerrará el próximo mes.
10/11/2017. Sin cambios.  No quedan tareas, se consulta al PM por cierre de este proyecto.
15/12/2017. Sin cambios.  No quedan tareas. A la espera de cierre formal.
21/01/2018. Proyecto CERRADO,  se quita de la planilla el próximo mes.
</t>
    </r>
  </si>
  <si>
    <t>Q170012</t>
  </si>
  <si>
    <t>Q170013</t>
  </si>
  <si>
    <t>Q170014</t>
  </si>
  <si>
    <r>
      <rPr>
        <b/>
        <sz val="9"/>
        <rFont val="Arial"/>
        <family val="2"/>
      </rPr>
      <t>Ultima rev. 20/08/20</t>
    </r>
    <r>
      <rPr>
        <sz val="9"/>
        <rFont val="Arial"/>
        <family val="2"/>
      </rPr>
      <t xml:space="preserve">
PeS comunicaciones. Se hace en forma remota por tema COVID.
Si la PeS de comunicaciones es remota revisar si corresponde colocar horas de ingeniería y no de campo
Confirmar si faltan horas de ingeniería para algo relacionado a comunicaciones
</t>
    </r>
  </si>
  <si>
    <t>Q170015</t>
  </si>
  <si>
    <r>
      <rPr>
        <b/>
        <sz val="9"/>
        <rFont val="Arial"/>
        <family val="2"/>
      </rPr>
      <t>Revisión 17/06/20</t>
    </r>
    <r>
      <rPr>
        <sz val="9"/>
        <rFont val="Arial"/>
        <family val="2"/>
      </rPr>
      <t xml:space="preserve">
Se estan hicieron los ensayos de recepción de los terminales REF615 sueltos
Se presentaron los documentos vinculados a la ampliación del SCADA existente
</t>
    </r>
    <r>
      <rPr>
        <b/>
        <sz val="9"/>
        <rFont val="Arial"/>
        <family val="2"/>
      </rPr>
      <t>Revisión 10/05/21</t>
    </r>
    <r>
      <rPr>
        <sz val="9"/>
        <rFont val="Arial"/>
        <family val="2"/>
      </rPr>
      <t xml:space="preserve">
Se han emitido los protocolos SAT
Se agregan 20hs de ingeniería y 9hs de LE para adecuación de configuraciones de 33 kV
</t>
    </r>
    <r>
      <rPr>
        <b/>
        <sz val="9"/>
        <rFont val="Arial"/>
        <family val="2"/>
      </rPr>
      <t xml:space="preserve">Revisión 14/06/21
</t>
    </r>
    <r>
      <rPr>
        <sz val="9"/>
        <rFont val="Arial"/>
        <family val="2"/>
      </rPr>
      <t xml:space="preserve">Se adecuaros las configuraciones a las ingenierías CAF de celdas según adicional. Falta IET con AT
Las garantías fueron actualizadas y se vendió ampliación de 12 meses luego del despacho de los tableros a obra (ver mail de GC del 15/06/21)
</t>
    </r>
    <r>
      <rPr>
        <b/>
        <sz val="9"/>
        <rFont val="Arial"/>
        <family val="2"/>
      </rPr>
      <t xml:space="preserve">Rev. 08/11/21
</t>
    </r>
    <r>
      <rPr>
        <sz val="9"/>
        <rFont val="Arial"/>
        <family val="2"/>
      </rPr>
      <t xml:space="preserve">La semana pasada y hasta el 09/11 se extiende la PeS. Se espera energizar y cerrar
</t>
    </r>
    <r>
      <rPr>
        <b/>
        <sz val="9"/>
        <rFont val="Arial"/>
        <family val="2"/>
      </rPr>
      <t xml:space="preserve">Rev. 06/12/21
</t>
    </r>
    <r>
      <rPr>
        <sz val="9"/>
        <rFont val="Arial"/>
        <family val="2"/>
      </rPr>
      <t>Se finalizó la PeS
Se van a entregar los CAO este mes
Proyecto cerrado</t>
    </r>
  </si>
  <si>
    <t>Q170016</t>
  </si>
  <si>
    <t>Q170017</t>
  </si>
  <si>
    <r>
      <rPr>
        <b/>
        <i/>
        <sz val="9"/>
        <color theme="4"/>
        <rFont val="Arial"/>
        <family val="2"/>
      </rPr>
      <t>PROYECTO TECNICAMENTE CERRADO</t>
    </r>
    <r>
      <rPr>
        <b/>
        <sz val="9"/>
        <rFont val="Arial"/>
        <family val="2"/>
      </rPr>
      <t xml:space="preserve">
Ultima rev. 08/09/2021
</t>
    </r>
    <r>
      <rPr>
        <sz val="9"/>
        <rFont val="Arial"/>
        <family val="2"/>
      </rPr>
      <t>08/09/2021. Evelyn me confirmó que este proyecto está cerrado.
--------------------------------------------------------------------------------------------------------------</t>
    </r>
    <r>
      <rPr>
        <b/>
        <sz val="9"/>
        <rFont val="Arial"/>
        <family val="2"/>
      </rPr>
      <t xml:space="preserve">
</t>
    </r>
    <r>
      <rPr>
        <sz val="9"/>
        <rFont val="Arial"/>
        <family val="2"/>
      </rPr>
      <t>29/03/2021. Se pone el saldo estimado en cero dado que deberán revisarse las horas y tareas pendientes.
13/01/2020. SUSPENDIDA.</t>
    </r>
  </si>
  <si>
    <t>Q170018</t>
  </si>
  <si>
    <r>
      <rPr>
        <b/>
        <sz val="9"/>
        <rFont val="Arial"/>
        <family val="2"/>
      </rPr>
      <t>Ultima rev. 22/03/18 - PROYECTO CERRADO</t>
    </r>
    <r>
      <rPr>
        <sz val="9"/>
        <rFont val="Arial"/>
        <family val="2"/>
      </rPr>
      <t xml:space="preserve">
14/06/2017. Primer revisión de horas para KOM.
27/07/2017. Se ajusta hs. consumidas. Se realizó auditoría en Colonia Valentina. Hs entran el próximo mes.
15/08/2017. Se ajusta hs. consumidas. Se realizó auditoría en El Bracho. 
06/10/2017. Se ajusta hs consumidas. Se realizó auditoría en Bs As, y RO, horas entran en el próximo mes.
10/11/2017. Se ajusta hs consumidas. Se realizó auditoría en GMZ.  
15/12/2017. Se ajusta hs consumidas. Se realizaron algunas modificaciones en NEA (todavía en curso).
12/01/2018. Se completaron las auditorías.  Quedan hs para servicios telefónico hasta Marzo.
20/02/2018. El alcance de contrato termina el  1/03.  Se envía mail a PM para pedir cierre, y ver renovación.
22/03/2018. Proyecto cerrado, se espera contrato de próximo período.</t>
    </r>
  </si>
  <si>
    <t>RN</t>
  </si>
  <si>
    <t>Q170019</t>
  </si>
  <si>
    <r>
      <rPr>
        <b/>
        <sz val="9"/>
        <rFont val="Arial"/>
        <family val="2"/>
      </rPr>
      <t>Ultima rev. 12/06/19</t>
    </r>
    <r>
      <rPr>
        <sz val="9"/>
        <rFont val="Arial"/>
        <family val="2"/>
      </rPr>
      <t xml:space="preserve">
23/08/2017. Primer revisión del proyecto. Recordar que como mejora se bajan las horas de PM de 403Hs a 303Hs y se pasan al LE.
13/09/2017. TRANSBA pide 3 MM en el acople, el adicional de controlador de máquina y cambiar los 650 por 670. Retornaron las ingenierías básicas para corregir. Falta entregar el típico del 2do panel de trafo ya que contenía equipos diferentes de Bolivar por el proveedor del Trafo. No se pueden comprar las trampas de onda aún.
13/10/2017. Las horas de proyectistas se están desviando del proyecto de mejora, ya que el segundo panel de trafo es totalmente distinto a la copia y hay que reacomodar el primer panel. Se mandaron a comprar todos los materiales. Se van a proveer los 650 y un solo MM.
24/10/2017. A las horas de Proyectistas del 13/10 estimamos que faltan consumir 225Hs más. TOTAL: 620Hs. A las horas de Ing. Prot. del 13/10 estimamos que nos faltan consumir 225Hs más. TOTAL: 827Hs.
08/11/2017. Se ajustan 100Hs de proyectistas y 225Hs de Ing de protecciones.
14/12/2017. Las horas de LE se pasan a Ing. Control ya que es más práctico para revisar las horas de la planilla. Las horas ajustadas de Proyectistas no fueron suficientes. REVISAR CON JUAN H.
08/01/2018. Proyecto demorado hasta la confirmación de PROA del controlador de máquina y el multimedidor. Faltan unos ajustes a la ingeniería de trafo por modificaciones de ing VASILE.
08/02/2018. PROA confirma que NO va el controlador de máquina pero se debe agregar un MM más en el Acople. Se deben corregir las ingenierías de TRAFO y Acople.
07/03/2018. Se van a realizar las recepciones de los REF615 el 15/03 para poder entregarlos. Falta actualizar las ingenierías y finalizar las configuraciones del Trafo y Alarmero.
04/04/2018. Se hizo la recepción de relés de celdas para proceder al envío. Se rectifican las observaciones a los documentos.
17/05/2018. Se terminó el FAT de comunicaciones y se entregó todo los materiales. Se está realizando el SCADA y se espra la aprobación de la ing. de trafo.
27/06/2018. Se tuvo que migrar las conf. de trafo de 2.8 a 2.6. Se pasan las hs del FAT de comunicaciones. Se finalizó el SCADA y se comienza el FAT de P&amp;C.
06/07/2018. Hay 272Hs de Sitio que deben ser de fábrica.
08/08/2018. Se corrigen las Hr mal cargadas. Se empiezan a contablizar las Hr del FAT.
18/09/2018. Se finaliza el FAT. Quedan pendientes protocolos SAT de protección, CAFs, gráficas y BD al CC. Se gastaron más Hrs de control en corregir el SCADA que no coincidía con las configuraciones.
11/10/2018. Se pasan las horas consumidas en el FAT.
20/11/2018. Se comenzó la PES, el próximo mes se verán reflejadas las horas.
14/12/2018. Continua la PES.
02/01/2019. Finalizó la PES. Faltan pasar algunas horas, hacer los CAO, dar los cursos y levantar algunos pendientes.
13/03/2019. Se pasan las horas que faltaban y se agrega a la estimación el curso de TECO. Faltan los CAO, los 3 cursos y los pendientes.
17/04/2019. Se finalizan los CAO. Faltan los cursos y ver si quieren implementar las modificaciones informadas por TRANSBA.
13/05/2019. Se está acordando finalizar el proyecto sin dar el curso ni levantar pendientes ya que TRANSBA no contesta.
12/06/2019. Se cierra técnicamente el proyecto. No se darán los cursos ni se harán las modificaciones que quería TRANSBA.</t>
    </r>
  </si>
  <si>
    <t>Q170020</t>
  </si>
  <si>
    <t>TG</t>
  </si>
  <si>
    <t>Q170021</t>
  </si>
  <si>
    <r>
      <rPr>
        <b/>
        <sz val="9"/>
        <rFont val="Arial"/>
        <family val="2"/>
      </rPr>
      <t>Ultima rev. 21/11/18</t>
    </r>
    <r>
      <rPr>
        <sz val="9"/>
        <rFont val="Arial"/>
        <family val="2"/>
      </rPr>
      <t xml:space="preserve">
En conversaciones con el PM, debido a que se han realizado ahorros en compra de materiales, incrementar en 90 hs. las necesidades de ingeniería para el tema de analisis de adicionels posibles. (30/7/18).
En función de SAT realizado, según Acta del 5/10/18, el trabajo ha concluido.</t>
    </r>
  </si>
  <si>
    <t>Q170022</t>
  </si>
  <si>
    <t>Ultima rev. 03/12/2019 - PROYECTO CERRADO TÉCNICAMENTE
10/08/2018. Sin novedad.
19/09/2018. Sin novedad. Cambia PM a José Morales Salazar.
17/10/2018. Sin novedad.
20/11/2018. Sin novedad.
16/12/2018. Sin novedad.
02/01/2019. Sin novedad.
21/03/2019. Sin novedad.
26/04/2019. Sin novedad.
14/05/2019. Sin novedad.  Se consulta a J.I. por desvinculación de JMS. Por ahora lo sigue JI con la idea de cerrarlo.
18/06/2019. JI está viendo de cerrar el proyecto con EDENOR.
06/08/2019. Sin novedad.
13/09/2019. Sin novedad.
09/10/2019. Sin novedad.
08/11/2019. Cambia PM a Ariel Constanzo. Se envía nota a cliente para cierre del proyecto.
03/12/2019. Se considerará proyecto cerrado técnicamente. No hay nada por hacer.
25/10/2021. Finalmente se logra cierre administrativo con acuerdo de edenor.</t>
  </si>
  <si>
    <t>Q170023</t>
  </si>
  <si>
    <r>
      <rPr>
        <b/>
        <sz val="9"/>
        <rFont val="Arial"/>
        <family val="2"/>
      </rPr>
      <t>Ultima rev. 28/09/18</t>
    </r>
    <r>
      <rPr>
        <sz val="9"/>
        <rFont val="Arial"/>
        <family val="2"/>
      </rPr>
      <t xml:space="preserve">
17/11/2017. Se espera el acuerdo entre el PM y el cliente en la metodología de la ejecución, para revaluar la cantidad de hs y gastos.
23/08/2018. Se termina la ejecución con la firma del Acyta SAT. Saldos entre Ing/Service, se compensan prácticamente.</t>
    </r>
  </si>
  <si>
    <t>Q170024</t>
  </si>
  <si>
    <t>Q170025</t>
  </si>
  <si>
    <t>Q170026</t>
  </si>
  <si>
    <t>Q170027</t>
  </si>
  <si>
    <r>
      <rPr>
        <b/>
        <sz val="9"/>
        <rFont val="Arial"/>
        <family val="2"/>
      </rPr>
      <t>Ultima rev. 14/07/2020 - PROYECTO CERRADO</t>
    </r>
    <r>
      <rPr>
        <sz val="9"/>
        <rFont val="Arial"/>
        <family val="2"/>
      </rPr>
      <t xml:space="preserve">
02/01/2019. Sin hs en este período.
21/03/2019. Sin hs en este período.
26/04/2019. Sin hs en este período. Sin novedad respecto a PeS pendiente.
14/05/2019. Sin hs en este período. Sin novedad respecto a PeS pendiente.
18/06/2019. Sin hs en este período. Sin novedad respecto a PeS pendiente.
06/08/2019. Se realizó SAT. Queda pendiente curso.  Se ajusta de acuerdo a información detallada en Reporte Horas PGGA. Se observan 36 hs de AV cargadas como Lead Engineer. Corresponderían a Servicios Telecom.
13/09/2019. Se cargan hs consumidas. Se realizó CAO. Sigue pendiente curso.
09/10/2019. Se carga hs correspondientes a CAO. Sigue pendiente el curso. 
08/11/2019. Solo quedan hs para curso. Se consulta si hay fecha.
03/12/2019. Sin cambios. Queda pendiente curso.
08/01/2020. Sin cambios. Queda pendiente curso.
07/02/2020. Sin cambios. Queda pendiente curso.
06/03/2020. Sin cambios. Queda pendiente curso.
12/04/2020. Sin cambios. Queda pendiente curso.Se sugiere ver si puede dictarse en forma remota. 
12/05/2020. Sin cambios. Queda pendiente curso.
08/06/2020. Se dictó el curso en forma remota. Se informa al PM, y en próximo período se cierra el proyecto.
14/07/2020. Revisión final. Se informa  al PM que se cierra el seguimiento. </t>
    </r>
  </si>
  <si>
    <t>Q170028</t>
  </si>
  <si>
    <r>
      <rPr>
        <b/>
        <sz val="9"/>
        <rFont val="Arial"/>
        <family val="2"/>
      </rPr>
      <t>Ultima rev. 17/01/22 - Proyecto Cerrado</t>
    </r>
    <r>
      <rPr>
        <sz val="9"/>
        <rFont val="Arial"/>
        <family val="2"/>
      </rPr>
      <t xml:space="preserve">
16/11/2017. Primer revisión de hs. Se agregaron horas de fábrica para armado de cables de FOX615. Se agregaron 180 hs de ingeniería para capacitación y programación del FOX605. Hay que analizar si se carga a otro proyecto. Se agregaron horas a campo por ser insuficientes. A la espera de la confirmación de Transnea de que servicios requieren canalizar.
11/12/2017. Se reciben servicios a canalizar. Se está investigando funcionamiento y configuración del FOX605.
05/01/2018. Se reciben los equipos para realizar prefat. Se está investigando funcionamiento y configuración del FOX605.
07/02/2018. Se configuraron los equipos según la especificación del proyecto. Se realizó prefat. FAT programado para febrero.
06/03/2018. El FAT está programado para Marzo.
10/04/2018. Se realizó el FAT con el cliente.
11/05/2018. Sin novedades.
11/07/2018. Sin novedades.
15/08/2018. Sin novedades.
28/09/2018. Sin novedades.
21/11/2018. Sin novedades.
01/02/2019. Sin novedades.
13/03/2019. Sin novedades.
26/04/2019. Sin novedades.
27/05/2019. Sin novedades.
26/04/2019. Sin novedades.                                                                                                                                                                                                                                                                      30/08/2019. Sin novedades.
13/11/2019. Sin novedades.
31/01/2020. Sin novedades.                                                                                                                                                                                                                                                                                       15/04/2020. Sin novedades.                                                                                                                                                                                                                                                                                           14/05/2020. Sin novedades.                                                                                                                                                                                                                                                                                           20/07/2020. Sin novedades.                                                                                                                                                                                                                                                                                   29/09/2020. Sin novedades.                                                                                                                                                                                                                18/12/2020. Sin novedades.                                                                                                                                                                                                                 24/02/2021. Sin novedades                                                                                                                                                                                                                                       13/04/2021. Sin novedades                                                                                                                                                                                                                                         20/07/2021. Sin novedades                                                                                                                                                                                                                                     17/09/2021. El cliente realizó la PES. Quedan algunas horas de reserva para una asistencia telefónica.                                                                                                     15/11/2021. Sin novedades                                                                                                                                                                                                                                             17/01/2022. Se cierra el proyecto</t>
    </r>
  </si>
  <si>
    <t>Q170029</t>
  </si>
  <si>
    <r>
      <rPr>
        <b/>
        <sz val="9"/>
        <rFont val="Arial"/>
        <family val="2"/>
      </rPr>
      <t>Ultima rev. 15/05/18</t>
    </r>
    <r>
      <rPr>
        <sz val="9"/>
        <rFont val="Arial"/>
        <family val="2"/>
      </rPr>
      <t xml:space="preserve">
17/11/2017. Se agregaron 50 hs de Ing. para preparación del trabajo en planta, como hs. estimadas de LE.
Al 15/04/18 se encuentra terminado el proyecto. Hubo mayores horas consumidas en Ing/service, que se reajustarosn previamente.</t>
    </r>
  </si>
  <si>
    <t>Q170030</t>
  </si>
  <si>
    <r>
      <rPr>
        <b/>
        <i/>
        <sz val="9"/>
        <color rgb="FF0070C0"/>
        <rFont val="Arial"/>
        <family val="2"/>
      </rPr>
      <t>PROYECTO TECNICAMENTE CERRADO</t>
    </r>
    <r>
      <rPr>
        <b/>
        <sz val="9"/>
        <rFont val="Arial"/>
        <family val="2"/>
      </rPr>
      <t xml:space="preserve">
</t>
    </r>
    <r>
      <rPr>
        <sz val="9"/>
        <rFont val="Arial"/>
        <family val="2"/>
      </rPr>
      <t>Generales. Las horas de fábrica se iban a balancear con el costo que se había considerado para la realización de los manuales de instalación ya que se llegó a un acuerdo con NASA que en lugar de darle los equipos sueltos y realizar los manuales se los ibamos a dar precableados mas una inspección de nuestro lado que ejecutó Sergio Ponce.
31/10/2019. Falta la realización del curso de 5d.
22/11/2019. Falta la realización del curso de 5d que está previsto para la semana que viene.
25/11/2019. Una vez cerrado el curso prepararemos una nota para el cierre de manera que hagan el seguimiento por soporte protecciones
23/12/2019. Cierre</t>
    </r>
  </si>
  <si>
    <t>Q170031</t>
  </si>
  <si>
    <r>
      <rPr>
        <b/>
        <sz val="9"/>
        <rFont val="Arial"/>
        <family val="2"/>
      </rPr>
      <t>Ultima rev. 04/02/20. Se espera la PeS solamente.</t>
    </r>
    <r>
      <rPr>
        <sz val="9"/>
        <rFont val="Arial"/>
        <family val="2"/>
      </rPr>
      <t xml:space="preserve">
17/11/2017. Primer revisión del proyecto. Con el cliente estamos esperando información adicional.</t>
    </r>
  </si>
  <si>
    <t>Q170032</t>
  </si>
  <si>
    <r>
      <rPr>
        <b/>
        <sz val="9"/>
        <rFont val="Arial"/>
        <family val="2"/>
      </rPr>
      <t>Ultima rev. 16/10/18</t>
    </r>
    <r>
      <rPr>
        <sz val="9"/>
        <rFont val="Arial"/>
        <family val="2"/>
      </rPr>
      <t xml:space="preserve">
17/11/2017. Primer revisión del proyecto. Aún se esta esperando info del cliente, para proseguir con la ingeniería.
16/10/2018 Trabajo terminado con fecha 17/8/2018.</t>
    </r>
  </si>
  <si>
    <t>Q170033</t>
  </si>
  <si>
    <r>
      <rPr>
        <b/>
        <sz val="9"/>
        <rFont val="Arial"/>
        <family val="2"/>
      </rPr>
      <t>Ultima rev. 17/10/18 - PROYECTO CERRADO</t>
    </r>
    <r>
      <rPr>
        <sz val="9"/>
        <rFont val="Arial"/>
        <family val="2"/>
      </rPr>
      <t xml:space="preserve">
28/05/2018. Sin novedad en este período. Siguen pendientes los CAO.
27/06/2018. Sin novedad en este período. Siguen pendientes los CAO.
19/07/2018. Sin novedad en este período. Siguen pendientes los CAO.
10/08/2018. Se completó elaboración CAO.  Se informó al PM para emisión y cierre del proyecto.
19/09/2018. Se actualizan hs (por últimos CAO). Se consulta a PM para cierre.
17/10/2018. Se emitió CAO.  Se cierra proyecto.</t>
    </r>
  </si>
  <si>
    <t>Q170034</t>
  </si>
  <si>
    <t>Q170035</t>
  </si>
  <si>
    <r>
      <rPr>
        <b/>
        <sz val="9"/>
        <color theme="0"/>
        <rFont val="Arial"/>
        <family val="2"/>
      </rPr>
      <t>Ultima rev. 04/02/20 - FINALIIZADO</t>
    </r>
    <r>
      <rPr>
        <sz val="9"/>
        <color theme="0"/>
        <rFont val="Arial"/>
        <family val="2"/>
      </rPr>
      <t xml:space="preserve">
25/10/2017. Revisión con hs SAP Septiembre.
13/11/2017. Revisión con hs SAP Octubre.
09/02/2018. Revisión con hs SAP Diciembre y Enero.
Hs 1803. Revisión con hs SAP Marzo.
Hs 1804. Revisión con hs SAP Abril.
Hs 1805. Revisión con hs SAP Mayo.
Hs 1806. Revisión con hs SAP Junio.
Hs 1807. Revisión con hs SAP Julio.
Hs 1808. Revisión con hs SAP Agosto.
Hs 1809. Revisión con hs SAP Septiembre. Tomo del ajuste anterior 100hs como respaldo por pedidos de cambio sistema de Control. Hs de campo debemos revisar especialmente COM.
Hs 1810. Revisión con hs SAP Octubre. Hs de campo debemos revisar especialmente COM. Sumé 45 hs sin asignar de SP a Ingeniería Control, por eso cambié el ajuste del mes anterior.
Hs 1811. Revisión con hs SAP Noviembre. P&amp;C en diciembre entrará la última intervención de Ctrol aprox. 50 hs y faltan pruebas/curso de DAG(parte adicional por automatismo regional) estimado Feb 2019. Dejo 150 hs. COMM saldo estimado a verificar.
Hs 1812. Revisión con hs SAP Diciembre. Faltan pruebas FAT DAG / Curso de DAG /Pruebas SAT estimado Feb 2019.  Dejo hs para Ingeniería y SAT en P&amp;C. COMM saldo estimado a verificar. Falta agregar hs automatismo regional.
Hs 1902. Revisión con hs SAP Feb. La planilla de Diciembre tenía un error y no trajo las hs de Diciembre. Por eso al actualizar ahora cargó las hs de 3 meses. (Dic, Ene y Feb) Además las hs de Campo de Dic. No aparecen cómo campo, revisar. Hay 70 hs que puede que se hayan cargado cómo Ingeniería en lugar de campo. Por eso distorsionó el saldo estimado.
Hs 1903. Revisión con hs SAP Marzo.
Hs 1904. Revisión con hs SAP Abril.  Falta FAT y SAT tablero de DAG + capacitación DAG. Se cargan 51 hs adicionales de fábrica por recabledo de tablero no previsto.
Hs 1905 al 1908. Revisión con hs SAP Mayo  Falta SAT tablero de DAG + capacitación DAG y CAOs. 1909 - fines de Septiembre finalización SAT DAG y curso. Sólo quedan CAOs para Noviembre. 1910 - Se completa SAT, falta hs de proeyctistas y LE para el cierre - 1911 - Se realizan los CAOs y se emiten a fines de NOviembre. Hs que pueden ingresar en Diciembre - Hs 2001, No tenemos mas previsiones de tareas para este Q.</t>
    </r>
  </si>
  <si>
    <r>
      <rPr>
        <b/>
        <sz val="9"/>
        <rFont val="Arial"/>
        <family val="2"/>
      </rPr>
      <t>Ultima rev. 19/06/19</t>
    </r>
    <r>
      <rPr>
        <sz val="9"/>
        <rFont val="Arial"/>
        <family val="2"/>
      </rPr>
      <t xml:space="preserve">
17/11/2017. Primer revisión del proyecto. Se adecúan hs. Sobre una base mas real del LE. </t>
    </r>
  </si>
  <si>
    <t>Q170036</t>
  </si>
  <si>
    <t>Q170037</t>
  </si>
  <si>
    <r>
      <rPr>
        <b/>
        <sz val="9"/>
        <rFont val="Arial"/>
        <family val="2"/>
      </rPr>
      <t>Ultima rev. 08/08/18</t>
    </r>
    <r>
      <rPr>
        <sz val="9"/>
        <rFont val="Arial"/>
        <family val="2"/>
      </rPr>
      <t xml:space="preserve">
04/04/2018. Se realiza la primer versión. El contrato finaliza el 31/07/2018. Se prevee asistencia para el 15/05.
17/05/2018. Se realiza la auditoría. Se envía un informe con recomendaciones, ya que se encontraron varios puntos a mejorar.
27/06/2018. Se actualizan las horas de la auditoría. Quedan horas para hacer soporte telefónico.
06/07/2018. Hay 5 Hr de protecciones que deberían reasignarse a soporte ventas ya que son para una venta futura de la ET.
08/08/2018. Se finaliza el proyecto ya que finalizó el contrato.</t>
    </r>
  </si>
  <si>
    <t>Q170038</t>
  </si>
  <si>
    <r>
      <rPr>
        <b/>
        <i/>
        <sz val="9"/>
        <color rgb="FF0070C0"/>
        <rFont val="Arial"/>
        <family val="2"/>
      </rPr>
      <t>PROYECTO TECNICAMENTE CERRADO</t>
    </r>
    <r>
      <rPr>
        <sz val="9"/>
        <rFont val="Arial"/>
        <family val="2"/>
      </rPr>
      <t xml:space="preserve">
31/10/2019. SUSPENDIDA. El cliente comunicó que no seguirán los trabajos SAT de DAG que es lo que faltan al igual que la documentación CAO. Se reacomodaron en horas planificadas las horas de ingeniería.. Parte de la ingeniería la hizo INOPC y por eso el saldo de horas de ingeniería ya que el trabajo con INOPC se traduce en costo.
22/11/2019. No hubo cambios de los indicado en la revisión anterior.
25/11/2019. Preguntar al PM que averigue cómo seguimos con los cursos de este proyecto.Vamos a pasar a Transener la nota que estamos preparando con Rogelio para alertar la no puesta en servicio de DAG de SODWIC
23/12/2019. Preguntar al PM que averigue cómo seguimos con los cursos de este proyecto. la nota de DAG activo alarmas en Transener. Quedamos a la espera de información al respecto.
13/01/2020. Preguntar al PM que averigue cómo seguimos con los cursos de este proyecto. la nota de DAG activo alarmas en Transener. Quedamos a la espera de información al respecto.
28/01/2020. Juan Iavicoli me comenta que esta necgociando el cierre y que los cursos se darían de baja compensando parte de lo que queda por certificar dado que se ha facturado parte. Queda pendiente la entrega de los CAO que ya solicite a Juan haim su programación.
06/03/2020. Revisión de horas.
15/04/2020. El proyecto está TECNICAMENTE CERRADO porque ya se realizaron los CAO que se reflejarán en el próximo periodo.</t>
    </r>
  </si>
  <si>
    <t>Q170039</t>
  </si>
  <si>
    <r>
      <rPr>
        <b/>
        <sz val="9"/>
        <rFont val="Arial"/>
        <family val="2"/>
      </rPr>
      <t>Ultima rev. 13/03/19</t>
    </r>
    <r>
      <rPr>
        <sz val="9"/>
        <rFont val="Arial"/>
        <family val="2"/>
      </rPr>
      <t xml:space="preserve">
17/10/2017. Se realiza la primer versión. Falta la KOM pero ya se empezó a trabajar.
14/12/2017. La KOM quedó con las horas del PRECA. Se espera realizar una mejora en las horas.
08/01/2018. Se unen las horas de P&amp;C con las de comunicaciones. Se está esperando info del cliente para continuar con 132kV.
08/02/2018. Se recibe la info de 132kV del cliente. Se realizaron las configuraciones de 33kV y las recepciones de los equipos sueltos.
07/03/2018. Se deben realizar las configuraciones de 132kV. Faltan materiales para los tableros de comunicaciones.
04/04/2018. Se están haciendo las configuraciones de 132kV con INDIA.
17/05/2018. Se espera hacer el ensayo de celdas a fin del mes de Mayo.
27/06/2018. Se realizaron los ensayos en fábrica de celdas y se finalizaron las configuracion del Parque. Falta la de la CE132B.
06/07/2018. Se realizó el Pre-FAT de Comunicaciones y se cargaron las horas del ensayo de las celdas.
08/08/2018. Sin movimientos.
18/09/2018. Se finalizaron los FAT. Resta la configuración de la CE132B que aún no hay información del cliente.
11/10/2018. Sin cambios. Se espera el SAT para el 3/12.
20/11/2018. Se acuerda no realizar el montaje del RED650 a cambio de hacer el SAT del REX521.
14/12/2018. Se está finalizando la PES.
02/01/2019. Finalizó la PES. Queda un curso de comunicaciones y unos pendientes de escalado de mediciones.
13/03/2019. Se cerró técnicamente le proyecto. Se levantaron los pendientes de las mediciones y se dictó el curso de TECO.</t>
    </r>
  </si>
  <si>
    <t>ERS-Cerrado</t>
  </si>
  <si>
    <t>Q170040</t>
  </si>
  <si>
    <t>Ultima rev. 25/02/2022 - . PROYECTO CERRADO.
28/05/2018. Se realizó FAT con éxito. Se elaboró CAF. Se entregó panel y transductores.
27/06/2018. Panel entregado. CAF y protocolo SAT listo.  Queda pendiente CAF del programa de PLC. Se está analizando si ejecutar PeS local ahora, o dejar para futuro.
19/07/2018. Queda pendiente PeS y CAF programa.
10/08/2018. Proyecto detenido.  El PM a partir de ahora es Gerardo Cribari.
19/09/2018. Proyecto detenido. Se consulta a PM emisión protocolo SAT, y acciones.
17/10/2018. Se emitió protocolo SAT. El cliente plantea que no se hará PeS parcial. Se consulta al PM si mantener detenido o intentar dar cierre.
20/11/2018. Sin hs en este período. / 16/12/2018. Sin hs en este período. / 02/01/2019. Sin hs en este período. / 21/03/2019. Sin hs en este período. / 26/04/2019. Sin hs en este período. / 14/05/2019. Sin hs en este período. / 18/06/2019. Sin hs en este período.
07/08/2019. Se cargaron 12 hs asociadas a carga de base de datos a futuro NC. Se ajusta de acuerdo a información detallada en Reporte Horas PGGA.
16/09/2019. Sin hs en este período.
08/11/2019. Sin hs en este período. Sin novedad del cliente.
03/12/2019. Sin hs en este período. Sin novedad del cliente.
08/01/2020. Sin hs en este período. Sin novedad del cliente.
07/02/2020. Sin hs en este período. Sin novedad del cliente.
06/03/2020. Sin hs en este período. Sin novedad del cliente.
12/04/2020. Sin hs en este período. Sin novedad del cliente.
12/05/2020. Sin hs en este período. Sin novedad del cliente.
08/06/2020. Sin hs en este período. Sin novedad del cliente.
14/07/2020. Sin hs en este período. Sin novedad del cliente.
11/08/2020. Sin hs en este período. Sin novedad del cliente.
09/09/2020. Sin hs en este período. Sin novedad del cliente.
08/10/2020. Sin hs en este período. Sin novedad del cliente.
12/11/2020. Sin hs en este período. Sin novedad del cliente.
11/12/2020. Sin hs en este período. Sin novedad del cliente.
28/1/2021.  Sin hs en este período. Sin novedad del cliente.
24/2/2021.  Sin hs en este período. Sin novedad del cliente.
11/03/2021.  Sin hs en este período. Sin novedad del cliente.
14/04/2021.  Sin hs en este período. Sin novedad del cliente.
19/05/2021.  Sin hs en este período. Sin novedad del cliente.
10/06/2021.  Se ajusta hs PM. Sin novedad del cliente.
02/07/2021.  Sin hs en este período. Sin novedad del cliente.
12/08/2021. Sin hs en este período. Sin novedad del cliente.
14/09/2021. Sin hs en este período. Sin novedad del cliente.
22/10/2021. Sin hs en este período. Sin novedad del cliente.
21/11/2021. Sin hs en este período. Sin novedad del cliente.
07/12/2021. Sin hs en este período. Sin novedad del cliente.
11/01/2022. Sin hs en este período. Sin novedad del cliente.
25/02/2022. Se firma acuerdo de cierre del proyecto con el cliente. PROYECTO CERRADO.</t>
  </si>
  <si>
    <t>Q170041</t>
  </si>
  <si>
    <t>Q170042</t>
  </si>
  <si>
    <t>Q170043</t>
  </si>
  <si>
    <r>
      <rPr>
        <b/>
        <sz val="9"/>
        <rFont val="Arial"/>
        <family val="2"/>
      </rPr>
      <t>Ultima rev. 01/02/19 - Proyecto Cerrado</t>
    </r>
    <r>
      <rPr>
        <sz val="9"/>
        <rFont val="Arial"/>
        <family val="2"/>
      </rPr>
      <t xml:space="preserve">
16/11/2017. Primer revisión de hs. A a espera de rótulos para emitir ingeniería.
11/12/2017. Se emitió toda la ingeniería.
05/01/2018. Se bajó ingeniería para fabricación.
07/02/2018. Esperando fabricación.
06/03/2018. Esperando fabricación.
10/04/2018. Se realizó ensayo FAT con el cliente, y dictado del curso de FOX615.
11/05/2018. Sin novedades.
11/07/2018. Sin novedades.
15/08/2018. Sin novedades.
28/09/2018. Se está preparando la puesta en servicio.
21/11/2018. Se realizó la PES.
01/02/2019. El proyecto esta finalizado.</t>
    </r>
  </si>
  <si>
    <t>AC</t>
  </si>
  <si>
    <t>Q170044</t>
  </si>
  <si>
    <r>
      <rPr>
        <b/>
        <sz val="9"/>
        <rFont val="Arial"/>
        <family val="2"/>
      </rPr>
      <t>Ultima rev. 07/03/22 - Proyecto Cerrado</t>
    </r>
    <r>
      <rPr>
        <sz val="9"/>
        <rFont val="Arial"/>
        <family val="2"/>
      </rPr>
      <t xml:space="preserve">
16/11/2017. Primer revisión de hs. A la espera de reunión con INGESA para definir alcance del proyecto y cortes en servicios de Transnoa.
11/12/2017. Enviado a Transnoa adicional para conservar el sistema actual en funcionamiento. Recibido Mail de  Transnoa con detalle de lo que ellos necesitan para el correcto funcionamiento del sistema. Se deberá decidir como se continúa con este proyecto, debido a la diferencia entre lo comprado y lo que necesita Transnoa.
05/01/2018. Se deberá decidir como se continúa con este proyecto, debido a la diferencia entre lo comprado y lo que necesita Transnoa.
07/02/2018. Esperando aprobación de adicional.
06/03/2018. En conversación para definir alcance del proyecto.
10/04/2018. Se envió nueva oferta de adicional, y fue rechazada por el cliente. Se envía nueva oferta adicional. A la espera de confirmación.
11/05/2018. Se envía última oferta de adicional. A la espera de contestación. Se compran los materiales.
11/07/2018. Se analizó plan de frecuencias. A la espera de contestación de adicional.
15/08/2018. A la espera de confirmación de adicional para comenzar ingeniería.
28/09/2018. Se empezó a trabajar en la ingeniería.
21/11/2018. Se interrumpieron los trabajos a la espera de la confirmación del adicional.
01/02/2019. Sin confirmación del adicional.
13/03/2019. Sin confirmación del adicional.
26/04/2019. Sin confirmación del adicional.
27/05/2019. Sin confirmación del adicional.
24/06/2019. Sin confirmación del adicional.                                                                                                                                                                                                                                                          30/08/2019. Sin confirmación del adicional.
13/11/2019. Sin confirmación del adicional.
31/01/2020. Se presentó nuevamente el adicional para aprobación.                                                                                                                                                                                                                       15/04/2020. Según requerimiento de Transnoa, se presenta un nuevo adicional con otra topología                                                                                                                                                        14/05/2020. Se confirmó el pago del alcance original. Se aguarda confirmación del adicoinal                                                                                                                                                                                 20/07/20. Se realizó la ingeniería por el alcance original. Se aprobó el adicional. Se realizaron las compras por el adicional.                                                                                                                                                                    29/09/20. Se realizó y se envío la totalidad de la ingeniería por el adicional                                                                                                                                          18/12/20. Se realizó un FAT parcial                                                                                                                                                                                                         24/02/21. Se terminó el FAT y se enviaron los armarios.                                                                                                                                                                                                                                                             13/04/21. Se está realizando la PES.                                                                                                                                                                                                                           20/07/21. Se realizó parte de la PES. Se suspendió la apertura de línea, con lo  que deberá recotizarse y realizar un nuevo  viaje.                                                                                                                                                17/09/21. A la espera de la apertura de la línea para la segunda parte de la PES.                                                                                                                                                    15/11/21. Se realizó la segunda parte de la PES.                                                                                                                                                                                                                                                   17/01/22. Se terminó la PES. A la espera del cierre del proyecto.                                                                                                             07/03/22. Se cierra el proyecto.</t>
    </r>
  </si>
  <si>
    <t>Q170045</t>
  </si>
  <si>
    <r>
      <t xml:space="preserve">Ultima rev. 12/04/2020 - PROYECTO CERRADO
</t>
    </r>
    <r>
      <rPr>
        <sz val="9"/>
        <rFont val="Arial"/>
        <family val="2"/>
      </rPr>
      <t>..
Historial anterior perdido. Ver planilla antigua.
..
07/02/2020. Pendiente últimos CAOs y entrega cartelería y RXTTE de reemplazo
06/03/2020. Sin hs en este período. Se completó emisión CAO.</t>
    </r>
    <r>
      <rPr>
        <b/>
        <sz val="9"/>
        <rFont val="Arial"/>
        <family val="2"/>
      </rPr>
      <t xml:space="preserve">
</t>
    </r>
    <r>
      <rPr>
        <sz val="9"/>
        <rFont val="Arial"/>
        <family val="2"/>
      </rPr>
      <t>12/04/2020. Se cierra el proyecto desde el punto de vista de seguimiento de hs. Se informa al PM.</t>
    </r>
  </si>
  <si>
    <t>Q170046</t>
  </si>
  <si>
    <r>
      <rPr>
        <b/>
        <i/>
        <sz val="9"/>
        <color rgb="FF0070C0"/>
        <rFont val="Arial"/>
        <family val="2"/>
      </rPr>
      <t>PROYECTO TECNICAMENTE CERRADO</t>
    </r>
    <r>
      <rPr>
        <sz val="9"/>
        <rFont val="Arial"/>
        <family val="2"/>
      </rPr>
      <t xml:space="preserve">
31/10/2019. Trabajos SAT terminados. Quedan 2 cursos a dictar en UY con temarioy fecha a definir. Se estan elaborando los CAO (saldo de proyectista e ingeniería) y algunas horas de de soporte (FAT) por una falla aparecida en un RET que debería tratarse en garantía y preparación del curso. Hice un balance de horas pasando horas de Ingeniería (1492) a LE y FAT para balancear. En campo se consideraron las horas de los cursos en sitio
22/11/2019. Hay una adicional y estamos temrinando los CAO. En cuanto a los cursos no hubo novedades del cliente
25/11/2019. Revisar la propuesta de ingeniería por el tema de la garantía.
23/12/2019. Falta la realización de los cursos (2 en UY) con el temario propuesto, están coordinado con Enzo para Febrero/ Marzo.
13/01/2020. Falta la realización de 2 cursos iguales en UY con el temario propuesto. La salida de Felix nos complicó la programación, tengo que avisarle al PM pero estamos previendo la realización para Marzo en fecha a confirmar.
27/01/2020. Se propuso fecha de realización de los cursos para Marzo la semana pasada y stamos esperando confirmación. Seguirlo con el PM para confirmar la fecha antes de la primer quincena de febrero o reprogramamos.
11/02/2020. Se confirmo la fecha de realización de los cursos. 13-17/04 y 20-24/04
06/03/2020. Revisión de horas
15/04/2020. Revisión de horas. Faltan los cursos expresado en saldo estimado
05/05/2020. Revisión de horas. Se ajusto el saldo en función de lo informado por GC en mail del 04/05/2020 sobre el restante de horas.
16/06/2020. Revisión de horas. Sin modificaciones o sea que se mantuvo el ajuste mencionado en la revisión del 05/05/2020
14/07/2020. Revisión de horas. Sin modificaciones o sea que se mantuvo el ajuste mencionado en la revisión del 05/05/2020
04/08/2020. Revisión de horas. Sin modificaciones o sea que se mantuvo el ajuste mencionado en la revisión del 05/05/2020
21/11/2020. Cierre</t>
    </r>
  </si>
  <si>
    <t>Q170047</t>
  </si>
  <si>
    <t>Q170048</t>
  </si>
  <si>
    <r>
      <rPr>
        <b/>
        <i/>
        <sz val="9"/>
        <color rgb="FF0070C0"/>
        <rFont val="Arial"/>
        <family val="2"/>
      </rPr>
      <t>PROYECTO TECNICAMENTE CERRADO</t>
    </r>
    <r>
      <rPr>
        <b/>
        <sz val="9"/>
        <rFont val="Arial"/>
        <family val="2"/>
      </rPr>
      <t xml:space="preserve">
Ultima rev. 09/08/2021
</t>
    </r>
    <r>
      <rPr>
        <sz val="9"/>
        <rFont val="Arial"/>
        <family val="2"/>
      </rPr>
      <t>09/08/2021. Se pasa al Status de CERRADO dado que los servicios pendientes serán tratados cómo un proyecto nuevo. Comunicado por el PM
17/05/2021. Se pone el saldo en cero dado que los trabajos pendientes serán adicionales al proyecto o se manejaran cómo un proyecto de servicios nuevo</t>
    </r>
    <r>
      <rPr>
        <b/>
        <sz val="9"/>
        <rFont val="Arial"/>
        <family val="2"/>
      </rPr>
      <t xml:space="preserve">
</t>
    </r>
    <r>
      <rPr>
        <sz val="9"/>
        <rFont val="Arial"/>
        <family val="2"/>
      </rPr>
      <t xml:space="preserve">29/03/2021. El proyecto no se cerró porque restan servicios de protecciones de MT. Estos servicios serán adicionales y se han estimado las horas en el saldo en función de lo que nos resta realizar pero se definirán en función del alcance de los servicios que nos transmita el cliente dado que puede realizarse en dos partes.
18/01/2021. Restan realizar servicios pero serán adicionales de proyecto por eso el saldo restante. Se realizó un trabajo de proyectista para ajustar unos planos CAO de la Q160046 debido a modficaciones en obra
18/12/2020. Se estimo la prepración para el SAT y horas SAT pendientes por las cedas MT.
18/11/2020. En esta semana se realizará servicios que serán adicionales que se facturaran en base al tarifario de la Oferta
04/08/2020. Revisión de horas. Se mantuvo el ajuste de la revisión del 26/05/2020 (54h Ing. Prot / 80h Campo Prot)
14/07/2020. Revisión de horas. Se mantuvo el ajuste de la revisión del 26/05/2020 (54h Ing. Prot / 80h Campo Prot)
16/06/2020. Revisión de horas. Se mantuvo el ajuste de la revisión del 26/05/2020 (54h Ing. Prot / 80h Campo Prot)
26/05/2020. Se ajustaron las horas de Ingeniería Protecciones y Campo por trabajos que quedan pendientes revisado con GC.
05/05/2020. Revisión de horas. Idem a las observaciones realizadas en el Q160046
15/04/2020. Revisión de horas. Idem a las observaciones realizadas en el Q160046
06/03/2020. Idem a las observaciones realizadas en el Q160046
11/02/2020. Idem a las observaciones realizadas en el Q160046
13/01/2020. Idem a las observaciones que para Q160046
23/12/2019. Idem que para Q160046.
22/11/2019. Faltan los servicios que van en conjunto con la Q160046. Se prevee realizar los ensayos DAG en diciembre 2019.
31/10/2019. Revise e hice un balance de horas de ingeniería porque las configuraciones fueron realizadas por LE y servicios. Hubo una gran difertencia en la ingeniería de Control que hay que revisar. La ingeniería de control y proyectista fue el mismo recurso. Revisar las horas de FAT de protecciones, en cuanto a horas LE realice las configuraciones y listado de alarmas
</t>
    </r>
    <r>
      <rPr>
        <b/>
        <sz val="9"/>
        <rFont val="Arial"/>
        <family val="2"/>
      </rPr>
      <t>-----------------------------------------------------------------------------------------------------</t>
    </r>
    <r>
      <rPr>
        <sz val="9"/>
        <rFont val="Arial"/>
        <family val="2"/>
      </rPr>
      <t xml:space="preserve">
</t>
    </r>
  </si>
  <si>
    <t>Q170049</t>
  </si>
  <si>
    <r>
      <rPr>
        <b/>
        <sz val="9"/>
        <rFont val="Arial"/>
        <family val="2"/>
      </rPr>
      <t xml:space="preserve">Ultima rev. 08/02/21
</t>
    </r>
    <r>
      <rPr>
        <sz val="9"/>
        <rFont val="Arial"/>
        <family val="2"/>
      </rPr>
      <t xml:space="preserve">El proyecto está cerrado provisoriamente
</t>
    </r>
  </si>
  <si>
    <t>Q170050</t>
  </si>
  <si>
    <r>
      <rPr>
        <b/>
        <sz val="9"/>
        <rFont val="Arial"/>
        <family val="2"/>
      </rPr>
      <t>Ultima rev. 20/11/18 - PROYECTO CERRADO</t>
    </r>
    <r>
      <rPr>
        <sz val="9"/>
        <rFont val="Arial"/>
        <family val="2"/>
      </rPr>
      <t xml:space="preserve">
20/05/2018. Se completó CAF, se está coordinando entrega de panel.  Queda pendiente una revisión CAF del programa de Barker con un cambio menor (ver mail a GDS).
27/06/2018. Queda pendiente una revisión CAF del programa de Barker con un cambio menor (ver mail a GDS).
19/07/2018. Proyecto detenido, se espera adicional por ampliación CT. 
10/08/2018. Proyecto detenido, se espera adicional por ampliación CT. 
19/09/2018. Proyecto detenido, se espera adicional por ampliación CT. 
17/10/2018. Proyecto en proceso de Cierre.  Arranca nuevo proyecto por ampliación de DAG Barker, pero con otro Q.
20/11/2018. Proyecto cerrado.  No debería haber carga de hs adicionales.</t>
    </r>
  </si>
  <si>
    <t>Q170051</t>
  </si>
  <si>
    <r>
      <rPr>
        <b/>
        <sz val="9"/>
        <rFont val="Arial"/>
        <family val="2"/>
      </rPr>
      <t>Ultima rev. 13/04/21 - Proyecto Cerrado</t>
    </r>
    <r>
      <rPr>
        <sz val="9"/>
        <rFont val="Arial"/>
        <family val="2"/>
      </rPr>
      <t xml:space="preserve">
07/02/2018. Primer revisión de hs. A la espera de entrada de materiales. Se utilizaron horas en aprender a utilizar el FOX605.
06/03/2018. Se realizó la configuración de los equipos. Se recibieron los materiales.
10/04/2018. Se está realizando el preFAT.
11/05/2018. Se realizó ensayo FAT.
11/07/2018. Se envió el material.
15/08/2018. Sin Novedades.
28/09/2018. Sin Novedades.
21/11/2018. Sin Novedades.
01/02/2019. Sin Novedades.
13/03/2019. Sin Novedades.
26/04/2019. Sin Novedades.
27/05/2019. Sin Novedades.
24/06/2019. Sin Novedades.                                                                                                                                                                                                                                                30/08/2019. Sin Novedades.
13/11/2019. Sin Novedades.
31/01/2020. Sin Novedades.                                                                                                                                                                                                                                                                                                            15/04/2020. Sin Novedades.                                                                                                                                                                                                                  14/05/2020. Sin Novedades                                                                                                                                                                                                             20/07/2020. Sin Novedades                                                                                                                                                                                                            29/09/2020. Sin Novedades                                                                                                                                                                                                                                                                         18/12/2020. Sin Novedades                                                                                                                                                                                                                     24/02/2021. Sin Novedades                                                                                                                                                                                                                                                                                          13/04/2021. El cliente dió de baja la PES. Se cierra el proyecto.</t>
    </r>
  </si>
  <si>
    <t>Q170052</t>
  </si>
  <si>
    <r>
      <rPr>
        <b/>
        <sz val="9"/>
        <rFont val="Arial"/>
        <family val="2"/>
      </rPr>
      <t>Ultima rev. 20/11/18 - PROYECTO CERRADO</t>
    </r>
    <r>
      <rPr>
        <sz val="9"/>
        <rFont val="Arial"/>
        <family val="2"/>
      </rPr>
      <t xml:space="preserve">
20/05/2018. Se completó fabricación, y FAT del panel, se está coordinando entrega, y cierre del proyecto, con quita de servicios de programación y PeS. Estas hs entrarán en el próximo período.
27/06/2018. Se vuelcan hs de este período. 
19/07/2018. Se vuelcan hs de este período. Proyecto detenido, se espera adicional por ampliación CT. 
10/08/2018. Se vuelcan hs de este período. Proyecto detenido, se espera adicional por ampliación CT. 
19/09/2018. Se vuelcan hs de este período. Proyecto detenido, se espera adicional por ampliación CT. 
17/10/2018. Proyecto en proceso de Cierre.  Arranca nuevo proyecto por ampliación de DAG Villa María, pero con otro Q.
20/11/2018. Proyecto cerrado. No debería haber más carga de hs en el futuro.</t>
    </r>
  </si>
  <si>
    <t>Q170053</t>
  </si>
  <si>
    <t>Q170054</t>
  </si>
  <si>
    <r>
      <rPr>
        <b/>
        <sz val="9"/>
        <rFont val="Arial"/>
        <family val="2"/>
      </rPr>
      <t>Ultima rev. 08/07/20</t>
    </r>
    <r>
      <rPr>
        <sz val="9"/>
        <rFont val="Arial"/>
        <family val="2"/>
      </rPr>
      <t xml:space="preserve">
08/01/2018. Se realiza la primer versión. Falta confirmar las horas KOM.
08/02/2018. Las ingenierías de protecciones las está realizando Abel, por lo que se consumen Hrs de Proyectista y de LE en vez de Ing.
07/03/2018. Se está gestionando el plan de aceleración para poder entregar los equipos a principio de Mayo, está muy ajustado el plazo por los materiales.
04/04/2018. Se están finalizando las ingenierías y se están construyendo los tableros.
17/05/2018. Se están terminando los tableros de protecciones y se hicieron los protocolos FAT. Hay que realizar unas modificaciones en los tableros.
27/06/2018. Se están finalizando las ingenierías y se están construyendo los tableros.
06/07/2018. Se espera la aprobaciones de tableros de protecciones para continuar el proyecto.
08/08/2018. Por los cambios pedidos en los tableros, se van a gastar 162Hs Proy, 45Hs Ing y 135Hs de Fab. Se pasan como adicional 180, 70 y 150Hs respectivamente.
18/09/2018. Se está esperando la confirmación de los cambios del adicional en los paneles. El proyecto se encuentra suspendido por falta de pago. El cliente espera la PES a fin de año.
11/10/2018. Se finaliza la modificación de la ingeniería. Se espera la aprobación para bajar a fábrica.
20/11/2018. Se aprueban las modificaciones. Esta semana que bajan las ingenierías a fábrica.
14/12/2018. Se comienzan los FAT de P&amp;C para terminarlos antes de fin de año.
02/01/2019. Se realizó el FAT de los tableros y se entregaron al cliente. Faltan las conf. De celdas, el curso de Prot. y los CAF.
13/03/2019. Se finalizó la PES. Las celdas eran alcance nuestro y lo hizo el cliente por falta de recursos. Faltan los cursos de Pr y TECO y los CAO.
17/04/2019. Se terminan de pasar las hr de Campo y se finalizaron los CAO. Falta dictar los cursos de PR y TECO.
13/05/2019. Hay 27Hs de Ing que son del PM. Se va a intentar acordar una finalización del contrato con quita por los cursos no dictados.
12/06/2019. Se dictarán los cursos en el 2020, cuando el cliente termine de pagar la deuda.
29/07/2019. Se utilizan unas horas para analizar algunos eventos en el sistema.
15/04/2020. Sólo restan dictar los cursos de Prot. y Teco. Se intentarán realizar remotos.
08/07/2020. Se finaliza el proyecto.</t>
    </r>
  </si>
  <si>
    <t>Q170055</t>
  </si>
  <si>
    <r>
      <rPr>
        <b/>
        <sz val="9"/>
        <rFont val="Arial"/>
        <family val="2"/>
      </rPr>
      <t>Ultima rev. 20/11/18 - PROYECTO CERRADO</t>
    </r>
    <r>
      <rPr>
        <sz val="9"/>
        <rFont val="Arial"/>
        <family val="2"/>
      </rPr>
      <t xml:space="preserve">
20/05/2018. Se realizó FAT con éxito, se entrega panel y transductores. Se realiza CAF.
27/06/2018. Se está realizando PeS local del PLC.
19/07/2018. PeS completada (hs entran en próximo período). Queda pendiente hacer CAO, y cuando existe NC BB, completar PeS Comahue, y curso. 
10/08/2018. Se elaboró CAO.  Queda pendiente PeS Comahue y curso.  El cliente consulta por curso.  Se analizará si conviene darlo y cerrar el proyecto o dejarlo para cuando se pueda realizar la PeS de Comahue.
19/09/2018. Queda pendiente curso de capacitación en sitio.  Se consulta al PM si se dictará ahora, para poder cerrar el proyecto, o si se dejará para cuando se haga la PeS de DAG Comahue.
17/10/2018. El cliente confirma que no quiere que se dé el curso pendiente.  Se plantea cierre del proyecot al PM. 
20/11/2018. Proyecto cerrado. No debería haber más carga de hs, en el futuro.</t>
    </r>
  </si>
  <si>
    <t>Q170056</t>
  </si>
  <si>
    <t>Q170057</t>
  </si>
  <si>
    <r>
      <rPr>
        <b/>
        <sz val="9"/>
        <rFont val="Arial"/>
        <family val="2"/>
      </rPr>
      <t>Ultima rev. 12/05/2020 - PROYECTO CERRADO</t>
    </r>
    <r>
      <rPr>
        <sz val="9"/>
        <rFont val="Arial"/>
        <family val="2"/>
      </rPr>
      <t xml:space="preserve">
30/05/2018. Se avanzó en ing de PBI. Se pide soporte a MGP para revisión.  Ing. DAG se programa para ejecución en junio. Compromiso entrega toda la ing constructiva para 10/07.
27/06/2018. Se está emitiendo ingeniería.  Se baja a fábrica los primeros dos paneles.
19/07/2018. Se emitió casi toda la ingeniería (faltan solo repeticiones). Se comenzó a fabricar. EM y PLCs para Agosto.
10/08/2018. Fabricación paneles PLC muy avanzada.  Se inicia fabricación de paneles de Barras.  Llegó calificación de paneles de PLC  como DPC.  Se solicitará reunión con cliente y Transener para evaluar cambios.
19/09/2018. Fabricación completada. Se está generando revisión de ingeniería PLCs, para emitir nuevamente, luego de acuerdo con Transener. Se programó FAT de paneles de Barras, pero el cliente no confirmó, y debió suspenderse. Se reprogramará.
17/10/2018. Se emitió documentación revisada. Se está completando ingeniería PLC Maestro y EM, incoporando algunos cambios por otros proyectos.
20/11/2018. Se cargan hs del período. Se está haciendo FAT paneles barras. Se deben reprogamar ensayos FAT paneles PLC.
16/12/2018. Se cargan hs del período.  Se entregaron paneles de Barras. Se está programando FAT de DAG para primer semana de enero.
02/01/2019. Se carga hs del período.  Se observa un desvío importante de hs en  este período.  Se analizará si hay hs que correspondan al Q180040, ya que ambos proyectos modifican la misma EM. 
21/03/2019. Se cargan hs del período.  Se realizó FAT de paneles de 500kV. Se está elaborando CAF.
26/04/2019. Se cargan hs del período.  Se realizó FAT de paneles de 132kV. 
14/05/2019. Se cargan hs del período.
18/06/2019. Se cargan hs del período.
06/08/2019. Se cargan hs del período.   Se está programando PeS en Agosto.
16/09/2019. Se realizó PeS control y protecciones (hs protecciones en próximo período). 
09/10/2019. Se actualizan hs. Se completo PES. Se están haciendo CAOs. Se mantiene estimación hs obra. 
08/11/2019. Se revisan hs. Se están haciendo CAO. Cursos programados para diciembre.
03/12/2019. CAOs emitidos. Cursos programados para diciembre.
08/01/2020. Pendiente cursos. Se analiza si hay disponibilidad en febrero.
07/02/2020. Pendiente cursos. Se propone fechas en Marzo y Abril.
06/03/2020. Cursos programados para abril.
12/04/2020. Se dictó curso de DAG, y el de protecciones se dicta en Abril, a través de Skype. 
12/05/2020. Se completaron los cursos en modalidad On-Line. El proyecto se cierra.</t>
    </r>
  </si>
  <si>
    <t>Q170058</t>
  </si>
  <si>
    <r>
      <rPr>
        <b/>
        <sz val="9"/>
        <rFont val="Arial"/>
        <family val="2"/>
      </rPr>
      <t>Rev. 08/02/21</t>
    </r>
    <r>
      <rPr>
        <sz val="9"/>
        <rFont val="Arial"/>
        <family val="2"/>
      </rPr>
      <t xml:space="preserve">
El proyecto está cerrado provisoriamente
Pedir a Rogelio status y revisión de pólizas etc. Ver mail de RV del 10/02/21
</t>
    </r>
    <r>
      <rPr>
        <b/>
        <sz val="9"/>
        <rFont val="Arial"/>
        <family val="2"/>
      </rPr>
      <t>Rev. 16/12/21</t>
    </r>
    <r>
      <rPr>
        <sz val="9"/>
        <rFont val="Arial"/>
        <family val="2"/>
      </rPr>
      <t xml:space="preserve">
Proyecto cerrado (ver mail de RV 16/12/21)</t>
    </r>
  </si>
  <si>
    <t>ERS</t>
  </si>
  <si>
    <t>Q170059</t>
  </si>
  <si>
    <r>
      <rPr>
        <b/>
        <sz val="9"/>
        <color rgb="FF000000"/>
        <rFont val="Arial"/>
      </rPr>
      <t xml:space="preserve">Ultima rev. 30/10/2024
</t>
    </r>
    <r>
      <rPr>
        <sz val="9"/>
        <color rgb="FF000000"/>
        <rFont val="Arial"/>
      </rPr>
      <t>30/10/2024. Sin hs en este período. Confirmado se movieron hs viejas a planilla histórica. Mail del cliente pidiendo devolución de anticipo. PM sigue este tema.
27/09/2024. Sin hs en este período. No se ven hs correctas en planilla, se consulta a JH. 
15/07/2024. Aún sin respuesta del cliente a últimos pedidos.  No están bien las hs consumidas históricas. Se consulta a JH. 
06/06/2024. Se realizó evaluación cambios para cumplir con Convenio Conexión EPE, y se informó a CP / Albanesi. Aún sin respuesta.
01/05/2024. Sin hs en este período. Recibimos Convenio Conexión de EPESF.  Coordinamos reunión para ver acciones.
28/02/2024. Sin hs en este período. El cliente planea PeS parcial, se pide estado de instalación para evaluar pedido.
23/01/2024. Sin hs en este período. Sin novedad del cliente.  
----------------------------------------------------------------------------------------------
30/05/2018. Se emitió descripción funcional y arquitectura.  En fin de mayo se está comenzando a trabajar con la ingeniería de los paneles.
27/06/2018. Se está completando la revisión de los paneles, y se emiten esta semana.  Ya se emitió ingeniería de comunicaciones.
19/07/2018. Se está avanzando con la programación de los PLCs. Falta ingeniería NEA.
10/08/2018. Avance en programación de PLCs.   Se recibió DPC la ingeniería del panel de RC 132kV. Se toma contacto con Transener para avanzar. Se carga en forma manual horas de MM  36 proyectista, 81 ingeniería.
19/09/2018. Se emitió ingeniería paneles, programas de ET CN1 y CT RED (falta ET Renova II). Transener solicitó PLC independiente para DAGNEA en la CT Renova. Albanesi se reunirá con Transener ver como seguir. Se programa FAT para Octubre.
17/10/2018. Se emitió la totalidad de ingeniería de PLCs (SW), y protocolos. Se invitó a FAT.  Transener objetó solución de comunicaciones, y PLCs asociados a integración a DAG NEA. Albanesi presentará nota a CAMMESA por tema PLC de CT Renova II, y se están analizando alternativa técnica para propuesta de comunicaciones con Transener. Se observa desvío en hs de ingeniería asociadas a programación PLCs, debida a mayor complejidad de este sistema, y necesidad de capacitación. 
20/11/2018. Se cargan hs. Se está haciendo el FAT sin presencia del cliente. 
17/12/2018. Se cargan hs del período.  Se completó FAT (sin presencia del cliente).
02/01/2019. Se cargan hs del período.
21/03/2019. Se cargan hs del período.
26/04/2019. Se cargan hs del período.
14/05/2019. Se cargan hs del período.
18/06/2019. Se cargan hs del período. El cliente informa que está programando PeS en los próximos meses.
06/08/2019. Se cargan hs del período. Se estima PeS Septiembre. Se evalua adicional para adecuación en SAS ET Renova.
16/09/2019. Se cargan hs del período. Sin confirmación fecha PeS. 
09/10/2019. Se cargan hs del período. Sin confirmación fecha PeS. 
08/11/2019. Sin cambios. Sin confirmación fecha PeS. 
03/12/2019. Sin cambios. Sin confirmación fecha PeS. 
08/01/2020. Sin cambios. Sin confirmación fecha PeS. 
07/02/2020. Comienzan movimientos para retomar PeS. 
06/03/2020. PeS programada para Junio. Ingresan adicionales para PeS.
12/04/2020. Se agregaron hs planificadas correspondientes a adicionales .3 y .4. 
12/05/2020. Se emitió ingeniería Panel Protecciones y SAS. Se invitó a repetición FAT con Transener.
08/06/2020. Se realizaron FATs modificaciones, y repetición con Transener.
14/07/2020. Queda pendiente todavía ensayo interno comunicación SAS - PLC ET Renova II, y revisión protocolos SAT.
11/08/2020. Sin avances. Se revisan hs. 
09/09/2020. Sin avances. Se revisan hs. 
09/10/2020. Se emitió actualización protocolos SAT. Se entregaron materiales de adicionales.
12/11/2020. A la espera de PeS. Sin novedad.
11/12/2020. A la espera de PeS. Sin novedad.
28/1/2021. A la espera de PeS. Se cotizó adicional por cambio comunicaciones pedido por Transener.
24/02/2021. A la espera de PeS. Sin novedad.
11/03/2021. Se agregan hs de adicional .5. 
14/04/2021. Se emite ingeniería comm correspondiente a .5
19/05/2021. A la espera de PeS. Sin novedad.
10/06/2021. Se presentó ingeniería cambios com. EPE solicitará PeS del Q200005 directamente. 
02/07/2021. Sin hs en el período. Se esperan cables para entregar adicional por pedido Tx. 
12/08/2021. Sin hs en este período. PeS se estima coordinada con Q200005.
14/09/2021. Sin hs en este período. PeS se estima coordinada con Q200005.
22/10/2021. Se está comenzando a programar PeS (febrero 22)
21/11/2021. Sin cambios.
07/12/2021. Sin cambios.
11/01/2022. Sin cambios.
25/02/2022. Sin cambios. Se pide reunión al PM para ver estado y pasos a seguir.
10/03/2022. Sin cambios. Se esperan condiciones para PeS.
05/04/2022. Sin cambios. Se esperan condiciones para PeS.
26/05/2022. Sin cambios. Se esperan condiciones para PeS.
07/06/2022. Sin cambios. Se esperan condiciones para PeS. Se elaboró protocolo SAT cambios SAS Renova II.
14/07/2022. Sin cambios. Se esperan condiciones para PeS. Se elaboró protocolo SAT cambios SAS Renova II.
03/08/2022. Se está coordinando reunión para planificar PeS 11/08.
06/09/2022. Varias reuniones para destrabar. Sin panorama concreto por el momento.
19/10/2022. Sin novedad concreta. 
07/11/2022. Sin novedad concreta. 
23/12/2022. Sin novedad concreta. PM sigue contacto con cliente.
17/12/2023. Sin novedad concreta. PM sigue contacto con cliente.
07/02/2023. Sin hs en este período. PM consulta a cliente por novedades. 
13/03/2023. Sin hs en este período. Consulta a AS por continuidad PM.
18/04/2023. Sin hs en este período. Sin novedad del cliente.
15/05/2023. Sin hs en este período. Sin novedad del cliente.
30/05/2023. Sin hs en este período. Sin novedad del cliente.
29/06/2023. Sin hs en este período. Sin novedad del cliente.
03/08/2023. Sin hs en este período. Sin novedad del cliente.
23/08/2023. Sin hs en este período. Sin novedad del cliente.
17/10/2023. Sin hs en este período. Sin novedad del cliente.
01/11/2023. Sin hs en este período. Sin novedad del cliente. ERS hará resumen estado proyecto. 
30/11/2023. Sin hs en este período. Sin novedad del cliente. Dejo resumen temas abiertos en carpeta proyecto.
04/01/2024. Sin hs en este período. Sin novedad del cliente.</t>
    </r>
  </si>
  <si>
    <t>Q170060</t>
  </si>
  <si>
    <r>
      <rPr>
        <b/>
        <sz val="9"/>
        <rFont val="Arial"/>
        <family val="2"/>
      </rPr>
      <t>Ultima rev. 08/07/20</t>
    </r>
    <r>
      <rPr>
        <sz val="9"/>
        <rFont val="Arial"/>
        <family val="2"/>
      </rPr>
      <t xml:space="preserve">
08/02/2018. Las horas SAT para las celdas se preveen sólo para protocolización (100Hs).
17/05/2018. Se están realizando los tableros del lado La Rioja Sur y se están haciendo las configuraciones de ET Arauco en INOPC.
27/06/2018. No hay cambios.
06/07/2018. Las horas de sitio deben ser de fábrica. Ya se armaron los 4 tableros de este proyecto y se comenzaron las configuraciones.
08/08/2018. Se pasaron las Hrs de Comunicaciones. De esta parte se está haciendo cargo M.R.
18/09/2018. No hay cambios. Se espera realizar el FAT de los tableros en Octubre.
11/10/2018. Se realizará el FAT la semana del 16/10. No hay cambios. Falta recibir funcionales para configuraciones del Parque Arauco.
20/11/2018. Se finalizó el FAT de los tableros. Falta realizar los CAF, las configuraciones sueltas del lado del parque y el curso de TECO.
14/12/2018. Se pasa las horas que faltaban del FAT. Se sigue a la espera de los funcionales del parque.
02/01/2019. Se recibe la información para configurar los IED.
13/03/2019. Se finalizan las configuraciones del PE. Se espera aprobación y se deben hacer los protocolos FAT y SAT.
17/04/2019. Se hicieron los protocolos FAT.
13/05/2019. Sin cambios. Si hay relés en stock se programará el FAT en fábrica.
12/06/2019. Llegaron comentarios a las configuraciones. Se respondieron los mismos y se espera para el FAT.
29/07/2019. Se realizó el FAT. Se reflejarán las horas insumidas el mes que viene.
15/04/2020. Se cancela e curso de TECO. Se cierra el proyecto.
08/07/2020. Se cierra el proyecto.</t>
    </r>
  </si>
  <si>
    <t>Q180000</t>
  </si>
  <si>
    <t>Q180001</t>
  </si>
  <si>
    <r>
      <rPr>
        <b/>
        <sz val="9"/>
        <rFont val="Arial"/>
        <family val="2"/>
      </rPr>
      <t>Ultima rev. 04/02/20. El preFAT está realizado. Solo falta FAT definitivo y rearmado de un tablero, vendido como adicional.</t>
    </r>
    <r>
      <rPr>
        <sz val="9"/>
        <rFont val="Arial"/>
        <family val="2"/>
      </rPr>
      <t xml:space="preserve">
Al 30/07/18 se estima que tomará mas horas la fabricación. Se agregan 100 hs</t>
    </r>
  </si>
  <si>
    <t>Q180002</t>
  </si>
  <si>
    <r>
      <rPr>
        <b/>
        <i/>
        <sz val="9"/>
        <color rgb="FF0070C0"/>
        <rFont val="Arial"/>
        <family val="2"/>
      </rPr>
      <t>PROYECTO TECNICAMENTE CERRADO</t>
    </r>
    <r>
      <rPr>
        <sz val="9"/>
        <rFont val="Arial"/>
        <family val="2"/>
      </rPr>
      <t xml:space="preserve">
31/10/2019. Cierre. Revise e hice un balance de horas de ingeniería para que quede completa la planillla. Ingeniería y proyectista fueron el mismo recurso asi que es posible que haya mezcla de horas.</t>
    </r>
  </si>
  <si>
    <t>Q180003</t>
  </si>
  <si>
    <t>Q180004</t>
  </si>
  <si>
    <r>
      <t xml:space="preserve">Rev. 14/06/21
</t>
    </r>
    <r>
      <rPr>
        <sz val="9"/>
        <rFont val="Arial"/>
        <family val="2"/>
      </rPr>
      <t xml:space="preserve">Se finalizó la PeS
Se elaboraron y emitieron los CAO
Repasar si estan comprados los repuestos. Los repuestos ya fueron comprados y entregados IEDs fichas y reles auxiliares
</t>
    </r>
    <r>
      <rPr>
        <b/>
        <sz val="9"/>
        <rFont val="Arial"/>
        <family val="2"/>
      </rPr>
      <t xml:space="preserve">Rev. 19/07/21
</t>
    </r>
    <r>
      <rPr>
        <sz val="9"/>
        <rFont val="Arial"/>
        <family val="2"/>
      </rPr>
      <t xml:space="preserve">El cliente no ha comprado los cursos de protecciones y control (sí el de comunicaciones). El cliente ha adquirido el curso de protecciones (2d). Se dictará el 21 y 22/07
</t>
    </r>
    <r>
      <rPr>
        <b/>
        <sz val="9"/>
        <rFont val="Arial"/>
        <family val="2"/>
      </rPr>
      <t xml:space="preserve">Rev. 13/09/21
</t>
    </r>
    <r>
      <rPr>
        <sz val="9"/>
        <rFont val="Arial"/>
        <family val="2"/>
      </rPr>
      <t>El curso ha sido dictado. Proyecto cerrado</t>
    </r>
  </si>
  <si>
    <t>Q180005</t>
  </si>
  <si>
    <r>
      <rPr>
        <b/>
        <sz val="9"/>
        <rFont val="Arial"/>
        <family val="2"/>
      </rPr>
      <t>Ultima rev. 02/01/19 - PROYECTO CERRADO</t>
    </r>
    <r>
      <rPr>
        <sz val="9"/>
        <rFont val="Arial"/>
        <family val="2"/>
      </rPr>
      <t xml:space="preserve">
30/05/2018. Se completó la PeS de la Etapa Intermedia, se está avanzando con documentación CAO de esta etapa.
27/06/2018. Se está avanzando con la ingeniería de la Etapa Final.
19/07/2018. Se agrega necesidad de 40hs de fábrica para ensayo FAT de equipos de comunicaciones sueltos. No fue previsto en precálculo ni KOM. Se observa mayor necesidad de hs de programación de EM, y seguimiento programas e ingenierías de PLCs.
10/08/2018. Se ajustan hs.  Se observan varios desvíos en hs.  En el rubro de Servicios Control, se atribuye a cambio de Fuente de Alimentación SYS600C. En rubro Ingeniería Control la diferencia se debería a dos razones, por un lado mayor complejidad al ser EM desde cero, y por otro lado, sistema no estándar. 
19/09/2018. Se realizó parte del FAT en Rosario. Este mes se completa este servicio. Queda pendiente PeS. 
17/10/2018. Se está programando PeS  para fin de Octubre / ppio Noviembre.
20/11/2018. Se completó la PeS final. Se está elaborando CAO. Estas hs entran en el próximo período.
17/12/2018. Se emitieron los CAO.  No quedan tareas en este proyecto. Se cerrará en el próximo período.
02/01/2019. Se cargan hs.  Ya no quedan tareas. Se cierra para seguimiento.</t>
    </r>
  </si>
  <si>
    <t>Q180006</t>
  </si>
  <si>
    <t>Q180007</t>
  </si>
  <si>
    <r>
      <rPr>
        <b/>
        <sz val="9"/>
        <rFont val="Arial"/>
        <family val="2"/>
      </rPr>
      <t>Ultima rev. 20/7/21 - Proyecto Cerrado</t>
    </r>
    <r>
      <rPr>
        <sz val="9"/>
        <rFont val="Arial"/>
        <family val="2"/>
      </rPr>
      <t xml:space="preserve">
1/07/2018. Primer revisión de hs. Se realizó la ingeniería general y particular.
15/08/2018. Se construyó el tablero. A la espera del FAT.
28/09/2018. Se realizó el FAT.
21/11/2018. A la espera del SAT.
01/02/2019. Se realizó una PES provisoria, por no estar todavía terminada la E.T. Bauchazeta. Más adelante deberá normalizarse el sistema. Esto se pasa como adicional. Debido a este motivo se requirieron más horas de ingeniería.
13/03/2019. Sin novedades.
26/04/2019. Sin novedades.
27/05/2019. Sin novedades.
24/06/2019. Sin novedades.                                                                                                                                                                                                                                                30/08/2019. Sin novedades.
13/11/2019. Sin novedades.
31/01/2020. Sin novedades.                                                                                                                                                                                                                                                         15/04/2020. Sin novedades.                                                                                                                                                                                                             14/05/2020. Sin novedades                                                                                                                                                                                                                                                     20/07/2020. Se está analizando la posibilidad de realizar un SAT remoto.                                                                                                                                                                                                        29/09/2020. Esperando el contacto del cliente para realizar la SAT remota.                                                                                                                                                                 18/12/2020. Se está programando la SAT remota.                                                                                                                                                                                                                               24/02/2021. Se está realizando la SAT remota.                                                                                                                                                                                                                              13/04/2021. Se terminó la SAT remota.                                                                                                                                                                                                                          20/07/2021. Se cierra el proyecto</t>
    </r>
  </si>
  <si>
    <t>Q180008</t>
  </si>
  <si>
    <r>
      <rPr>
        <b/>
        <sz val="9"/>
        <color theme="0"/>
        <rFont val="Arial"/>
        <family val="2"/>
      </rPr>
      <t>Ultima rev. 4/12/19 - FINALIZADO</t>
    </r>
    <r>
      <rPr>
        <sz val="9"/>
        <color theme="0"/>
        <rFont val="Arial"/>
        <family val="2"/>
      </rPr>
      <t xml:space="preserve">
Hs 1804. Revisión con hs SAP Abril.
Hs 1805. Revisión con hs SAP Mayo.
Hs 1806. Revisión con hs SAP Junio.
Hs 1808. Revisión con hs SAP Agosto.
Hs 1809. Revisión con hs SAP Septiembre.
Hs 1810. Revisión con hs SAP Octubre.
Hs 1811. Revisión con hs SAP Noviembre. Ajuste de producción e ingeniería de acuerdo a avance real. SAT ajustado por la reducción en tareas lado EDENOR, protocolización de protecciones a cargo de EDENOR.
Hs 1812. Revisión con hs SAP Diciembre.
Hs 1902. Revisión con hs SAP Feb. Falta FAT REU615, capacitación REU 615 + PES.
Hs 1903. Revisión con hs SAP Marzo. Falta FAT REU615 + capacitación REU 615 semana del 6 de Mayo + PES a fines de Mayo.
Hs 1904. Revisión con hs SAP Abril.
Hs 1905. Revisión con hs SAP Mayo. Hs 1908-1909 faltan sólo los CAOs, programados en Octubre - 1910 - Se emiten los CAOs, dejo hs para Noviembre solo para el cierre - 1911 - No quedan tareas para este Q</t>
    </r>
  </si>
  <si>
    <t>MLB</t>
  </si>
  <si>
    <t>Q180009</t>
  </si>
  <si>
    <t>Ultima rev. 18/06/2019 - PROYECTO CERRADO
27/06/2018. Sin hs en este período.
19/07/2018. Sin hs en este período.
10/08/2018. Sin hs en este período.
19/09/2018. Se cargan hs consumidas.  Se cambia el PM, será ahora Mauro Hernandez.
17/10/2018. Sin hs en este período.
20/11/2018. Se cargan hs consumidas.
17/12/2018. Sin hs en este período. Se está programando visita auditoría.
02/01/2019. Se cargan hs consumidas.  Ya se realizó la visita de auditoría.
21/03/2019. Sin hs en este período. Se completó el último período, se consulta al PM por renovación.
26/04/2019. Sin hs en este período. A la espera de nuevo contrato para cerrar este.
14/05/2019. Sin hs en este período.
18/06/2019. Se cierra proyecto. Ya arrancó el de este año. (LE es RMR)</t>
  </si>
  <si>
    <t>MH</t>
  </si>
  <si>
    <t>Q180010</t>
  </si>
  <si>
    <r>
      <rPr>
        <b/>
        <sz val="9"/>
        <rFont val="Arial"/>
        <family val="2"/>
      </rPr>
      <t>Ultima rev. 29/07/19</t>
    </r>
    <r>
      <rPr>
        <sz val="9"/>
        <rFont val="Arial"/>
        <family val="2"/>
      </rPr>
      <t xml:space="preserve">
21/03/2018. Se preapara la HOM. Se venden IED sueltos y se vende configuración de 1 REB670, 4 RED670 y 4 REF615 SIN FAT y su puesta en servicio.
27/06/2018. Se comienza el proyecto. Faltan algunas definiciones del cliente. Las configuraciones las hace INOPC.
06/07/2018. El proyecto sigue sin cambios.
08/08/2018. Se finalizan las configuraciones en INOPC. Falta la aprobación.
18/09/2018. Se aprobaron las configuraciones y no se hace FAT de las mismas ya que no estan los equipos. Sólo se revisan internamente.
11/10/2018. Se realizará la PES de la barra y una línea a partir del 27/10. La otra línea quedará para otra instancia de PES cobrando adicional por el viaje.
20/11/2018. Se postergó la PES hasta nuevo aviso.
14/12/2018. Sin cambios. Esperando el nuevo aviso de PES.
02/01/2019. Se pasaron las horas de revisión de ajustes. Se espera la definición de la PES.
13/03/2019. No hay cambios. El cliente pide asistencia para el 15/4 pero no hay recursos locales. Se evalúa si contratar a BRABB.
17/04/2019. No hay cambios. Se pasa el SAT para Agosto.
13/05/2019. Se revisaron algunos ajustes. SAT en Agosto.
12/06/2019. A la espera de los últimos ajustes. SAT en Agosto.
</t>
    </r>
  </si>
  <si>
    <t>Q180011</t>
  </si>
  <si>
    <t>Q180012</t>
  </si>
  <si>
    <r>
      <rPr>
        <b/>
        <sz val="9"/>
        <rFont val="Arial"/>
        <family val="2"/>
      </rPr>
      <t>Ultima rev. 04/02/20. Solo falta PeS</t>
    </r>
    <r>
      <rPr>
        <sz val="9"/>
        <rFont val="Arial"/>
        <family val="2"/>
      </rPr>
      <t xml:space="preserve">
</t>
    </r>
  </si>
  <si>
    <t>Q180013</t>
  </si>
  <si>
    <r>
      <rPr>
        <b/>
        <sz val="9"/>
        <rFont val="Arial"/>
        <family val="2"/>
      </rPr>
      <t>Ultima rev. 04/02/20. PeS realizada hasta un 80 %, aunque no se refleja todavía en las hs.</t>
    </r>
    <r>
      <rPr>
        <sz val="9"/>
        <rFont val="Arial"/>
        <family val="2"/>
      </rPr>
      <t xml:space="preserve">
</t>
    </r>
  </si>
  <si>
    <t>Q180014</t>
  </si>
  <si>
    <r>
      <rPr>
        <b/>
        <sz val="9"/>
        <rFont val="Arial"/>
        <family val="2"/>
      </rPr>
      <t>Ultima rev. 24/06/19 - Proyecto Cerrado</t>
    </r>
    <r>
      <rPr>
        <sz val="9"/>
        <rFont val="Arial"/>
        <family val="2"/>
      </rPr>
      <t xml:space="preserve">
11/07/2018. Primer revisión de hs. Se está realizando la ingeniería.
15/08/2018. Se terminó y se envió toda la ingeniería.
28/09/2018. Se empiezan a fabricar los equipos.
21/11/2018. Se realizó el FAT.
01/02/2019. A la espera del SAT.
13/03/2019. Se realizó una reingeniería de las frecuencias de los enlaces de onda portadora. Se realizó la PES y cambio de frecuencia de los enlaces Rioja Norte - Parque Arauco - Aimogasta.
26/04/2019. El proyecto está finalizado.</t>
    </r>
  </si>
  <si>
    <t>Q180015</t>
  </si>
  <si>
    <t>Q180016</t>
  </si>
  <si>
    <t>Q180017</t>
  </si>
  <si>
    <t>Q180018</t>
  </si>
  <si>
    <t>Q180019</t>
  </si>
  <si>
    <r>
      <rPr>
        <b/>
        <sz val="9"/>
        <rFont val="Arial"/>
        <family val="2"/>
      </rPr>
      <t>Ultima rev. 08/02/21</t>
    </r>
    <r>
      <rPr>
        <sz val="9"/>
        <rFont val="Arial"/>
        <family val="2"/>
      </rPr>
      <t xml:space="preserve">
Proyecto cerrado</t>
    </r>
  </si>
  <si>
    <t>Q180020</t>
  </si>
  <si>
    <r>
      <rPr>
        <b/>
        <sz val="9"/>
        <rFont val="Arial"/>
        <family val="2"/>
      </rPr>
      <t>Ultima rev. 13/04/21 - Proyecto Cerrado</t>
    </r>
    <r>
      <rPr>
        <sz val="9"/>
        <rFont val="Arial"/>
        <family val="2"/>
      </rPr>
      <t xml:space="preserve">
21/11/2018. Primer revisión de hs. Se realizó la ingeniería general y particular.
01/02/2019. Se realizó la fabricación y el FAT.
13/03/2019. Se enviaron los equipos, a la espera del SAT.
26/04/2019. Sin novedades.
27/05/2019. Sin novedades.
24/06/2019. Sin novedades.                                                                                                                                                                                                                                               30/08/2019. Sin novedades.
13/11/2019. Sin novedades.
31/01/2020. Sin novedades.                                                                                                                                                                                                                                                15/04/2020. Sin novedades.                                                                                                                                                                                                                                               14/05/2020. Sin novedades                                                                                                                                                                                                                                                         20/07/2020. Sin novedades                                                                                                                                                                                                                                                                               29/09/2020. Sin novedades                                                                                                                                                                                                                                                24/02/2021. Sin novedades                                                                                                                                                                                                                                                   13/04/2021. El cliente dió de baja la PES. Se cierra el proyecto.</t>
    </r>
  </si>
  <si>
    <t>Q180021</t>
  </si>
  <si>
    <r>
      <rPr>
        <b/>
        <sz val="9"/>
        <rFont val="Arial"/>
        <family val="2"/>
      </rPr>
      <t>Ultima rev. 13/03/19</t>
    </r>
    <r>
      <rPr>
        <sz val="9"/>
        <rFont val="Arial"/>
        <family val="2"/>
      </rPr>
      <t xml:space="preserve">
24/07/2018. Margen N: 22.7%     Monto: U$S 10.850.
18/09/2018. Se cargan las primeras horas. Todavía no comenzó técnicamente el proyecto.
11/10/2018. Se programa la PES para el 30/10.
20/11/2018. Se realiza la PES y se finaliza el proyecto. El próximo mes se verán reflejadas las horas.
14/12/2018. Se cierra el proyecto técnicamente. Faltan pasar algunas horas de seguimiento nada más.
02/01/2019. Se espera cerrar el mes que viene.
13/03/2019. Se cargaron por duplicado las horas de LE. Hay 27Hs demás. Se debe corregir el sistema. Facundo ya fue avisado.
17/04/2019. El proyecto se cerró con las horas correctas (103Hs Ing). La planilla quedó mal.</t>
    </r>
  </si>
  <si>
    <t>Q180022</t>
  </si>
  <si>
    <r>
      <rPr>
        <b/>
        <sz val="9"/>
        <rFont val="Arial"/>
        <family val="2"/>
      </rPr>
      <t>Ultima rev. 29/07/19</t>
    </r>
    <r>
      <rPr>
        <sz val="9"/>
        <rFont val="Arial"/>
        <family val="2"/>
      </rPr>
      <t xml:space="preserve">
24/07/2018. Margen N: 31.9%     Monto: U$S 155.159       Margen N: 34.3%     Monto: U$S 89.827
18/09/2018. Se cargan las primeras horas del proyecto.
11/10/2018. No hay cambios. Aún no se reciben los documentos básicos el proyecto.
20/11/2018. No hay cambios. Aún no se reciben los documentos básicos el proyecto.
14/12/2018. No hay cambios. Aún no se reciben los documentos básicos el proyecto.
02/01/2019. No hay cambios. Aún no se reciben los documentos básicos el proyecto.
13/03/2019. Se pasaron 18Hs de Ing de control en enero de más por una falla en SAP. Se reducen las horas de SAT y se aumentan algunas de Ing.
17/04/2019. Se pasan algunas horas de los FAT.
13/05/2019. Se realizan los protocolos SAT.
12/06/2019. Se comienza el SAT hoy.
29/07/2019. Se finaliza el proyecto. Aún restan pasar algunas horas insumidas.
</t>
    </r>
  </si>
  <si>
    <t>Q180023</t>
  </si>
  <si>
    <t>Q180024</t>
  </si>
  <si>
    <r>
      <rPr>
        <b/>
        <sz val="9"/>
        <color rgb="FF000000"/>
        <rFont val="Arial"/>
      </rPr>
      <t xml:space="preserve">Ultima rev. 30/10/2024
</t>
    </r>
    <r>
      <rPr>
        <sz val="9"/>
        <color rgb="FF000000"/>
        <rFont val="Arial"/>
      </rPr>
      <t>30/10/2024. PeS programada Noviembre. Se espera confirmación esta semana.
27/09/2024. Se realizó visita relevamiento. Se está programando PES, posiblemente para Fin Octubre / Noviembre.
15/07/2024. Se está programando visita a obra. Aún sin confirmación. No se ven horas históricas, se consulta a JH
06/06/2024. Se programa visita a obra para fin de Junio, y con eso, poder programar PeS.
01/05/2024. Programando PeS para junio - julio. 
28/02/2024. Recibimos ing adecuación para revisar. 
23/01/2024. Se actualiza cronograma. Fecha tentativa PeS  Julio/Agosto 2024. 
----------------------------------------------------------------------------------------------------------------------------------
12/07/2018. Se carga información inicial. Todavía sin carga de hs.
19/07/2018. Sin carga de hs. Pendiente KOM.
10/08/2018. Sin hs en este período.  Se espera respuesta del cliente luego de KOM, para definir alcance.
19/09/2018. Se carga hs del período.  Se confirmó alcance. Se está avanzando con listado de materiales.
17/10/2018. Se cargan hs.  Se inicia ingeniería panel PLC.
20/11/2018. Se cargan hs.
17/12/2018. Se cargan hs. Se observa desvío en hs proyectista.  Primer panel de PLC con HMI.
02/01/2019. Se cargan hs.
21/03/2019. Se cargan hs. Se observa desvío en ingeniería, atribuible a primer proyecto con HMI.
21/04/2019. Se carga hs correspondientes a ensayos internos / capacitación interna HMI.  El proyecto está detenido.
14/05/2019. Se cargan hs.
18/06/2019. Se cargan hs. Proyecto sigue detenido.
06/08/2019. Se cargan hs. Proyecto sigue detenido.
19/09/2019. Se cargan hs. Se realizó FAT sin cliente, para entrega materiales.
09/10/2019. Se cargan hs. Se emitió CAF y Protocolo SAT.
08/11/2019. Sin cambios. Sin novedad respecto a coordinación PeS. 
03/12/2019. Sin cambios. Sin novedad respecto a coordinación PeS. 
08/01/2020. Sin cambios. Sin novedad respecto a coordinación PeS. 
07/02/2020. Sin cambios. Sin novedad respecto a coordinación PeS. 
06/03/2020. Sin cambios. Sin novedad respecto a coordinación PeS. 
12/04/2020. Sin cambios. Sin novedad respecto a coordinación PeS. 
12/05/2020. Sin cambios en este proyecto. Se recibió nueva OC por NC Cobos. 
08/06/2020. Sin cambios. Se va a requerir revisión del programa previo a la PeS, por el diseño planteado para el NC. 
14/06/2020.  Sin cambios. Se va a requerir revisión del programa previo a la PeS, por el diseño planteado para el NC. 
11/08/2020. Sin cambios.
09/09/2020. Sin cambios.
09/10/2020. Sin cambios.
12/11/2020. Sin cambios. 
11/12/2020. Sin cambios. 
28/1/2021. Se lanza proyecto NC. Se activa también este proyecto.
24/02/2021. Sin cambios. 
11/03/2021. Sin cambios.  
14/04/2021. Se realizan cambios en SW, asociados a DAG 132kV (hs en Q200040)
20/05/2021. Sin cambios.
10/06/2021. Sin cambios.
02/07/2021. Se realizó FAT programa considerando DAG132kV, y se programa PeS para Agosto. 
12/08/2021. A la espera de condiciones para PeS. 
14/09/2021. A la espera de condiciones para PeS etapa intermedia.
25/10/2021. Se está programando PeS Local en noviembre.
21/11/2021. PeS local suspendida. Se esperan condiciones.
07/12/2021. A espera condiciones para PeS Etapa Intermedia.
11/01/2022. A espera condiciones para PeS Etapa Intermedia.
25/02/2022. A espera condiciones para PeS Etapa Intermedia.
10/03/2022. A espera condiciones para PeS Etapa Intermedia.
05/04/2022. A espera condiciones para PeS Etapa Intermedia.
26/05/2022. A espera condiciones para PeS Etapa Intermedia.
07/06/2022. Se está programando PeS Etapa Intermedia para fin Junio (a confirmar).
14/07/2022. PeS Etapa Intermedia demorada. Se estima Octubre (a confirmar)
03/08/2022. PeS Etapa Intermedia demorada. Se estima Octubre (a confirmar)
06/09/2022. PeS Etapa Intermedia demorada. Se estima Octubre/Noviembre (a confirmar)
19/10/2022. PeS Etapa Intermedia demorada. Sin fecha.
07/11/2022. PeS Etapa Intermedia demorada. Sin fecha.
23/12/2022. PeS Etapa Intermedia demorada. Sin fecha.
17/01/2023. PeS Etapa Intermedia demorada. Sin fecha.
07/02/2023. PeS Etapa Intermedia demorada. Sin fecha.
13/03/2023. Se realizó FAT NCCB. Entendemos se avanza con Etapa Final.
21/04/2023. FAT NCCB finalizado. Se empieza a pedir condiciones para PeS a cliente. Se pide reclasificación de hs del Q200040 al Q230001 por repetición PREFAT.
15/05/2023. FAT NCCB finalizado. Elaboración CAF y protocolos SAT en curso.
30/05/2023. Elaboración CAF y protocolos SAT pendientes.
29/06/2023. Se está programando PeS definitiva en Octubre-Noviembre.
03/08/2023. Sin hs en este período.  PeS programada Enero/Febrero.
23/08/2023. Sin hs en este período.  PeS programada Enero/Febrero.
17/10/2023. Sin hs en este período.  PeS programada Enero/Febrero.
01/11/2023. Sin hs en este período.  PeS programada Enero/Febrero. Se consulta al PM por actualización crono obra.
30/11/2023. Sin hs en este período.  PeS programada Enero/Febrero. Se coordina reunión con PM y SO, para ver estado.
04/01/2024.Sin hs en este período.  PeS programada Marzo-Abril.</t>
    </r>
  </si>
  <si>
    <t>Q180025</t>
  </si>
  <si>
    <r>
      <rPr>
        <b/>
        <sz val="9"/>
        <rFont val="Arial"/>
        <family val="2"/>
      </rPr>
      <t xml:space="preserve">Rev. 10/08/21
</t>
    </r>
    <r>
      <rPr>
        <sz val="9"/>
        <rFont val="Arial"/>
        <family val="2"/>
      </rPr>
      <t xml:space="preserve">Los protocolos SAT fueron emitidos sin respuesta
Pedir a Rogelio status y revisión de pólizas etc
La PeS podría está demorada y en vez de Julio/21 se prevé para Septiembre/21 (ver mail de RV del 24/06). En caso si se re edita la PeS gestionar garantías tarifas de PeS etc.
Se planteo al cliente un adicional por actualización y se espera respuesta  (ver mail de RV del 24/06)
</t>
    </r>
    <r>
      <rPr>
        <b/>
        <sz val="9"/>
        <rFont val="Arial"/>
        <family val="2"/>
      </rPr>
      <t>Rev. 10/06/22</t>
    </r>
    <r>
      <rPr>
        <sz val="9"/>
        <rFont val="Arial"/>
        <family val="2"/>
      </rPr>
      <t xml:space="preserve"> 
Se definió que hasta tanto no se pague el adicional no movilizaremos recursos
Cabe la posibilidad de realizar la PeS en Julio/22
</t>
    </r>
    <r>
      <rPr>
        <b/>
        <sz val="9"/>
        <rFont val="Arial"/>
        <family val="2"/>
      </rPr>
      <t>Rev. 13/07/22</t>
    </r>
    <r>
      <rPr>
        <sz val="9"/>
        <rFont val="Arial"/>
        <family val="2"/>
      </rPr>
      <t xml:space="preserve">
No se cumplió la previsión en cuanto a la PeS
Proyecto cerrado</t>
    </r>
  </si>
  <si>
    <t>Q180026</t>
  </si>
  <si>
    <r>
      <rPr>
        <b/>
        <sz val="9"/>
        <rFont val="Arial"/>
        <family val="2"/>
      </rPr>
      <t>Ultima rev. 29/07/19</t>
    </r>
    <r>
      <rPr>
        <sz val="9"/>
        <rFont val="Arial"/>
        <family val="2"/>
      </rPr>
      <t xml:space="preserve">
13/03/2019. Arrancamos el proyecto, es una copia del Q180022 sin la celda de acople.
17/04/2019. Se espera recibir la confirmación de que las celdas son iguales a la etapa anterior.
13/05/2019. Sin cambios.
12/06/2019. Se espera finalizar la Etapa II para copiar las configuraciones CAO a este preoyecto.
29/07/2019. Se comenzaron los FAT. Se reacomodan horas de Ing y horas de Campo.</t>
    </r>
  </si>
  <si>
    <t>Q180027</t>
  </si>
  <si>
    <r>
      <rPr>
        <b/>
        <i/>
        <sz val="9"/>
        <color rgb="FF0070C0"/>
        <rFont val="Arial"/>
        <family val="2"/>
      </rPr>
      <t>PROYECTO EN PROCESO DE SER TECNICAMENTE CERRADO</t>
    </r>
    <r>
      <rPr>
        <b/>
        <sz val="9"/>
        <rFont val="Arial"/>
        <family val="2"/>
      </rPr>
      <t xml:space="preserve">
Ultima rev. 09/08/2021
</t>
    </r>
    <r>
      <rPr>
        <sz val="9"/>
        <rFont val="Arial"/>
        <family val="2"/>
      </rPr>
      <t>09/08/2021. Se pasa al Status de EN PROCESO DE SER CERRADO dado que los servicios pendientes serán tratados cómo un proyecto nuevo. Comunicado por el PM.</t>
    </r>
    <r>
      <rPr>
        <b/>
        <sz val="9"/>
        <rFont val="Arial"/>
        <family val="2"/>
      </rPr>
      <t xml:space="preserve">
</t>
    </r>
    <r>
      <rPr>
        <sz val="9"/>
        <rFont val="Arial"/>
        <family val="2"/>
      </rPr>
      <t>18/01/2021. Revisón de horas. Se coloca el saldo estimado en cero para volver porque el reinicio implica la revisión de horas prevista
18/12/2020. Sin movimientos a la espera de la reanudación
18/11/2020. Se realizó la entrega de toda la documenación CAF y los protocolos SAT que podrían reflejar cómo horas en FAT Protecciones que
04/08/2020. Se entregaron los tableros y CAF. No queda más actividad hasta reiniciar el proyecto que implicará una revisión de oficina en cuanto a horas restantes (SAT + CAO)
14/07/2020. Revisión de horas. Se terminaron los CAF pero se verá reflejado en el próximo periodo.
16/06/2020. Revisión de horas. Se consideró un saldo estimado de fábrica por las modificaciones surgidas en el FAT observadas por Edesur y tabajos de proyectista para la realización de los CAF. Se realizó una corrección de las horas planificadas dado que en vista de las horas utilizadas para el proyecto se detectó que se han estimado un exceso de horas posiblemente a un error de apreciación original de mi parte o un arrastre que no fue revisado aportunamente.
05/05/2020. Revisión de horas. Se están realizando ensayos FAT que podrán llevar unas horas adicionales por la modalidad. Tambien tuvimos que sumar hora de fábrica e ingeniería por observaciones que hizo Edesur durante los ensayos.
15/04/2020. Revisión de horas.
06/03/2020. Revisión de horas.
04/03/2020. PGGI quiere entregar los paneles y está pidiendo la realización de los ensayos FAT. Hablamos con AC para hacer una telco con PGGI y conocer la realidad del proyecto e intenciones de PGGI y ver algún plan alternativo dado que no están las condiciones técnica para realizar ningún FAT al día de hoy.
11/02/2020. Falta emitir las replicas (estan en proceso) y se están realizando los protocolos FAT. PGGI le pidió a AC un listado de materiales que realizaremos cuando tengamos toda la ingeniería realizada.
27/01/2020. La semana pasada se cambio el PM a Ariel Cisneros (AC). Se emitieron las configuraciones y esperamos aprobaciones para coordinar protocolos y ensayos FAT
13/01/2020. Reunión de revisión técnica interna antes de pedir Arteche. Preparar una reunión con AS y GC para coordinar la reunión de revisión interna para la primera semana de febrero.
23/12/2019. Reunión de revisión técnica interna antes de pedir Arteche, mandar a AS y GC un mail para coordinar la reunión de revisión interna para la primera semana de enero.
22/11/2019. El nuevo PM es GC y todavia no pudimos juntarnos a revisar el estado. Este proyecto no tuvo cambios desde la última revisión
31/10/2019. Amplio los comentarios del 02/10/19 ya que no hubo cambios.Parece que la ingeniería tendría observaciones pero que no realizaremos. En este periodo figuran 56 horas FAT a revisar que no deberían figurar.
02/10/2019. Este proyecto esta al momento detenido con los paneles cableados y a la espera de la ingeniería. llevo un retrabajo por aprobaciones y cambio de ingeniería. Faltan las configuraciones que epasamos informalmente a Edesur para despues hacer los protocolos FAT una vez aprobada la ingeniería y recibir la instrucción de reinicio. En este periodo figuran 56 horas FAT a revisar que no deberían figurar.</t>
    </r>
  </si>
  <si>
    <t>Q180028</t>
  </si>
  <si>
    <r>
      <rPr>
        <b/>
        <i/>
        <sz val="9"/>
        <color rgb="FF0070C0"/>
        <rFont val="Arial"/>
        <family val="2"/>
      </rPr>
      <t>PROYECTO TECNICAMENTE CERRADO</t>
    </r>
    <r>
      <rPr>
        <sz val="9"/>
        <rFont val="Arial"/>
        <family val="2"/>
      </rPr>
      <t xml:space="preserve">
31/10/2019. Proyecto reactivado despues de meses, sin embargo los valores volcados no condicen con la realidad. Debo revisar en profundidad.
22/11/2019. Se está coordinando los servicios, tuve que involucrarme en el seguimiento técnico por cambios solicitados por el cliente (a pedido de TRANSPA) que fueron y vienieron loq ue está haciendo que este proyecto tenga un exceso de horas LE.
23/12/2019. Se terminó el servicio firmado el acta. No se enrergizó el transformador, estarían faltando el CAO del panel.
13/01/2020. Aun no se reflejo las horas SAT espero que el próximo periodo se vea reflejado. falta el CAO del panel que voy a esperar el servicio de la línea por si hay algún cambio ya que TRANSPA realizo modificaciones que deberán volcarse en el CAO.
27/01/2020. Solicitamos el markup a PWC de las modificaciones de las mediciones para coordinar la realización de los CAO. Al cliente le comunicamos que en la primera quincena de febrero se los enviaríamos.
06/03/2020. Revisión de horas. Verifique con el cuadro de control que 134 horas FAT de Ariel están cargadas cómo horas FAT y deberían ser SAT.
15/04/2020. El proyecto esta TECNICAMENTE CERRADO hubo una diferencia de horas del servicio SAT que fueron aclaradas con EV porque no se pudieron cargar en tiempo y forma</t>
    </r>
  </si>
  <si>
    <t>Q180029</t>
  </si>
  <si>
    <r>
      <rPr>
        <b/>
        <sz val="9"/>
        <rFont val="Arial"/>
        <family val="2"/>
      </rPr>
      <t>Ultima rev. 01/07/21</t>
    </r>
    <r>
      <rPr>
        <sz val="9"/>
        <rFont val="Arial"/>
        <family val="2"/>
      </rPr>
      <t xml:space="preserve">
20/11/2018. Se realiza la primer planilla. Aún no se reciben los documentos básicos pero ya se hicieron las compras.
14/12/2018. Las ingenierías de comunicaciones las hacen los proyectistas y no había horas. Se ajusta el estimado del LE.
02/01/2019. No hay cambios.
13/03/2019. Se terminan las configuraciones y se ensayan las mismas. Se van a entregar los equipos la próxima semana.
17/04/2019. Se excedieron las horas de TECO. Se revisará con el LE de TECO.
13/05/2019. Sin cambios.
12/06/2019. Se emite el protocolo SAT. Quedamos a la espera de la PES.
29/07/2019. Sin cambios. Se espera PES para Noviembre.
13/04/2021. Se reactiva el proyecto con 230Hs de Campo y 99hs de Ing. la PES se comenzó hoy.
19/05/2021. Se finaliza la PES de protecciones. Falta la de comunicaciones.
10/06/2021. Se cierra el proyecto. Sólo restan pasar unas horas.
01/07/2021. PROYECTO CERRADO.</t>
    </r>
  </si>
  <si>
    <r>
      <rPr>
        <b/>
        <sz val="9"/>
        <rFont val="Arial"/>
        <family val="2"/>
      </rPr>
      <t>Ultima rev. 11/05/20. Solo falta PeS.</t>
    </r>
    <r>
      <rPr>
        <sz val="9"/>
        <rFont val="Arial"/>
        <family val="2"/>
      </rPr>
      <t xml:space="preserve">
 </t>
    </r>
  </si>
  <si>
    <t>Q180030</t>
  </si>
  <si>
    <t>Q180031</t>
  </si>
  <si>
    <r>
      <rPr>
        <b/>
        <sz val="9"/>
        <rFont val="Arial"/>
        <family val="2"/>
      </rPr>
      <t>Ultima rev. 18/06/19 - PROYECTO CERRADO</t>
    </r>
    <r>
      <rPr>
        <sz val="9"/>
        <rFont val="Arial"/>
        <family val="2"/>
      </rPr>
      <t xml:space="preserve">
01/09/2018. Primer revisión de horas para KOM.
19/08/2018. Sin hs todavía.
17/10/2018. Sin hs todavía.
20/11/2018. Se cargan hs.
17/12/2018. Se cargan hs.
02/01/2019. Se cargan hs.
21/03/2019. Se cargan hs. Último período, se realizará seguimiento para renovación.
26/04/2019. Se ajustan hs consumidas. A la espera de nuevo contrato para cerrar este.
14/05/2019. Se cargan hs.  Se consulta a J.I. por desvinculación de JMS. Lo sigue J.I. hasta su cierre.
18/06/2019. Sin cambios, se consulta a B&amp;P por renovación.</t>
    </r>
  </si>
  <si>
    <t>Q180032</t>
  </si>
  <si>
    <t>Q180033</t>
  </si>
  <si>
    <r>
      <rPr>
        <b/>
        <sz val="9"/>
        <rFont val="Arial"/>
        <family val="2"/>
      </rPr>
      <t>Ultima rev. 04/02/20. Trabajo terminado</t>
    </r>
    <r>
      <rPr>
        <sz val="9"/>
        <rFont val="Arial"/>
        <family val="2"/>
      </rPr>
      <t xml:space="preserve">
</t>
    </r>
  </si>
  <si>
    <t>Q180034</t>
  </si>
  <si>
    <r>
      <rPr>
        <b/>
        <sz val="9"/>
        <rFont val="Arial"/>
        <family val="2"/>
      </rPr>
      <t>Ultima rev. 30/05/22 - ETAPA DE SAT, RESTA COMM - Proyecto Cerrado</t>
    </r>
    <r>
      <rPr>
        <sz val="9"/>
        <rFont val="Arial"/>
        <family val="2"/>
      </rPr>
      <t xml:space="preserve">
Hs 1809. Revisión con hs SAP Septiembre. Hs 1810. Revisión con hs SAP Octubre.
Hs 1811. Revisión con hs SAP Noviembre. Hs 1812. Revisión con hs SAP Diciembre.
Hs 1902. Revisión con hs SAP Feb. Hs 1903. Revisión con hs SAP Mar. Hs 1904. Revisión con hs SAP Abril. Noto que hubo más hs en fábrica de lo previsto. Consultar con fábrica. Hs 1905. Revisión con hs SAP Mayo. Hs 1908. Hs 1909 - Programado el FAT de tablero DAG en Sep. Luego CAF. SAT y PES con incio estimado a partir de Noviembre - 1910 - Se finaliza FAT y se suspende el SAT para año 2020 - 1911 - idem 1910 - Hs 2001, se planifica tareas de SAT para ventana del 02/03 al 17/03 en protecciones y comunicaciones. DAG no está confirmado. Actualizo el saldo de la PES/SAT de protecciones, pasar hs de campo para trabajos de Ingeniería y producción ------ Hs 2003. Finalizada la PES de Protecciones, resta el SAT de DAG Y COMM para Mayo-Junio a coordinar. Hs 2004 parate por COVID-19 se estima Julio/Agosto la PES de DAG y COMM - Hs 2005 se evalúa posibilidad de SAT Remoto . Hs 2006 - Se hace SAT de DAG resta COM Hs 2008 - Resta SAT COM y CAO. Hs 2010 - Resta SAT COM y CAO . 
Hs 2011 - Resta SAT COM
Hs 0121 - Resta SAT COM
Hs 0221 - Resta SAT COM, estimado Abril-Mayo
Hs 0321 - Resta SAT COM, estimado Junio-Julio
Hs 0421 - Resta SAT COM, estimado Junio-Julio aún sin fecha tentativa. 
Hs 0521 - Resta SAT COM, estimado Junio-Julio aún sin fecha tentativa. Gestionar tema DAG, para que no nos lleve asistencia en sitio.
Hs 0621 - Resta SAT COM, estimado Agosto aún sin fecha tentativa. Gestionar tema DAG, para que no nos lleve asistencia en sitio.
Hs 0721 - Sin cambios
Hs 0821 - SAT COM/CRL programado Septiembre/Octubre
Hs 0921 - SAT COM/CRL programado Octubre y Noviembre. Se agregan hs de Control según lo convenido para el cierre del proyecto
Hs 1021 - SAT COM/CRL - Se cotizará un adicional por problemas en obra de tablero de COM - Se dejan hs estimadas en WL
Hs 1121 - Se deberán confirmar las Hs con el adicional
Hs 0122 - Verificar con Seba/Andrés estatus y con el PM las Hs del adicional
Hs 0222 - Sin cambios</t>
    </r>
  </si>
  <si>
    <t>Q180035</t>
  </si>
  <si>
    <t>Q180036</t>
  </si>
  <si>
    <r>
      <rPr>
        <b/>
        <sz val="9"/>
        <rFont val="Arial"/>
        <family val="2"/>
      </rPr>
      <t>Ultima rev. 07/12/22 - PROYECTO CERRADO</t>
    </r>
    <r>
      <rPr>
        <sz val="9"/>
        <rFont val="Arial"/>
        <family val="2"/>
      </rPr>
      <t xml:space="preserve">
21/11/2018. Primer revisión de hs. Se realizó la ingeniería general y particular.
01/02/2019. Se realizó la fabricación y el PREFAT.
13/03/2019. A la espera del FAT.
26/04/2019. A la espera del FAT.
27/05/2019. Se realizó el FAT.
24/06/2019. Se enviaron los equipos a obra.                                                                                                                                                                                                                  30/08/2019. A la espera de la confirmación del SAT                                                                                                                                                                                                                                  13/11/2019. A la espera de la confirmación del SAT                                                                                                                                                                                                              31/01/2020. A la espera de la confirmación del SAT                                                                                                                                                                                                                    15/04/2020. A la espera de la confirmación del SAT                                                                                                                                                                                                    14/05/2020. Sin novedades                                                                                                                                                                                                                                                 20/07/2020. Sin novedades                                                                                                                                                                                                                                                   29/09/2020. Sin novedades                                                                                                                                                                                                                                               18/12/2020. Sin novedades                                                                                                                                                                                                                                                               24/02/2021. Sin novedades                                                                                                                                                                                                                                                                  13/04/2021. Sin novedades                                                                                                                                                                                                                                          20/07/2021. Sin novedades                                                                                                                                                                                                                                        17/09/2021. Se está coordinando la PES.                                                                                                                                                                                                                            15/11/2021. Se está coordinando la PES.                                                                                                                                                                                                                             17/01/2022. La PES está coordinada para febrero.                                                                                                                                                                                                      07/03/2022. Se pasa la PES para abril.                                                                                                                                                                                                                   27/05/2022. Se pasa la PES para Junio.                                                                                                                                                                                                                                                  05/08/2022. A la espera de la confirmación de la PES                                                                                                                                                                                                               03/10/2022. A la espera de la confirmación de la PES                                                                                                                                                                     07/12/2022. Se realizó la PES. Se cierra el proyecto</t>
    </r>
  </si>
  <si>
    <t>Q180037</t>
  </si>
  <si>
    <r>
      <rPr>
        <b/>
        <sz val="9"/>
        <rFont val="Arial"/>
        <family val="2"/>
      </rPr>
      <t>Ultima rev. 10/06/21</t>
    </r>
    <r>
      <rPr>
        <sz val="9"/>
        <rFont val="Arial"/>
        <family val="2"/>
      </rPr>
      <t xml:space="preserve">
20/11/2018. Se realiza la primer planilla. Se comienza la ingeniería en diciembre.
14/12/2018. Se comienza la ingeniería básica.
02/01/2019. Se realiza la arquitectura.
13/03/2019. Se está por finalizar la migración de Distribución. Se seguirá con Generación y luego el DMS.
17/04/2019. Se finalizó SCADA Distribución. Se sigue con SCADA Generación.
13/05/2019. Se finaliza la migración del SCADA de Generación. Falta pasar las horas de esto. Se sigue con el DMS.
12/06/2019. Se realizará el curso del DMS en FIABB mientras se desarrolla la migración del mismo.
29/07/2019. Se finaliza el curso DMS. Falta recibir información Geográfica para realizar la migración del DMS.
15/04/2020. Se está preparando el curso DMS/SCADA para dictarlo remoto a PAE (90hs). Luego están las horas del mantenimiento.
08/07/2020. Se finaliza todo el proyecto. Sólo restan las horas de mantenimiento hasta 02/2021 que hasta ahora se usaron 14Hs.
03/08/2020. Horas de mantenimiento hasta ahora, se usaron 32Hs.
01/09/2020. Se usaron hasta el momento 41Hrs de mantenimiento. Se pasan 9Hr como LE de COMM.
01/10/2020. Sin cambios
03/11/2020. Sin cambios
13/04/2021. Se finaliza el proyecto. Faltan pasar las horas de la auditoría.
19/05/2021. Restan las horas del informe.
10/06/2021. Se cierra el proyecto.</t>
    </r>
  </si>
  <si>
    <t>Q180038</t>
  </si>
  <si>
    <t>Q180039</t>
  </si>
  <si>
    <t>Ultima rev. 20/05/2021 - PROYECTO CERRADO
14/05/2019. Se cargan hs consumidas. Se está por entregar el Panel. Pendiente protocolos SAT, y emisión CAF.
18/06/2019. Se cargan hs consumidas. Se está intentando coordinar PeS, y confirmar solución de comunicaciones (provisión de terceros). Se cargan 160 hs de fábrica, y 1,5 hs de ingeniería. Se ajusta hs de fábrica y proyectistas. Solo resta elaborar CAO. Se observa mejora en hs, asociado a fabricación paneles típicos.
07/08/2019. Se cargan hs consumidas.
19/09/2019. Se cargan hs consumidas. A la espera montaje y coordinación PeS.
09/10/2019. Se cargan hs consumidas. A la espera montaje y coordinación PeS.
08/11/2019. Sin cambios. Sin novedad coordinación PES.
03/12/2019. Sin cambios. Sin novedad coordinación PES.
08/01/2020. Sin cambios. Sin novedad coordinación PES.
07/02/2020. Sin cambios. Sin novedad coordinación PES. Transener manifiesta interés en avanzar con la PeS.
06/03/2020. Sin cambios. Sin novedad coordinación PES. Transener manifiesta interés en avanzar con la PeS.
12/04/2020. Sin cambios. Sin novedad coordinación PES. Transener manifiesta interés en avanzar con la PeS.
12/05/2020. Sin cambios. Sin novedad coordinación PES. Transener manifiesta interés en avanzar con la PeS.
08/06/2020. Sin cambios. Contactos para programar PES. 
14/07/2020. Sin cambios. Contactos para programar PES. 
11/08/2020. Sin cambios.
09/09/2020. Se está programando PeS. Dificultades en comunicaciones.
09/10/2020. Coordinación PES tentativa noviembre.
12/11/2020. A la espera condiciones PeS.
11/12/2020. Se agrega adicional comunicaciones (.3). Sin hs este período, a la espera de condiciones PeS.
28/1/2021. Se está tratando de coordinar PeS. 
24/2/2021. Se está tratando de coordinar PeS. 
11/03/2021. PeS programada semana 22 de marzo. 
14/04/2021. Se realizó PeS. Se emitió CAO. Se espera próximo período para cierre.
20/05/2021. Se cierra proyecto.</t>
  </si>
  <si>
    <t>Q180040</t>
  </si>
  <si>
    <t>Ultima rev. 14/09/2021 - PROYECTO CERRADO
21/03/2019. Se cargan hs consumidas.
26/04/2019. Ya se entregaron los materiales. Se comienza a coordinar PeS.
14/05/2019. Se cargan hs consumidas.
18/06/2019. Se cargan hs consumidas.
07/08/2019. Se cargan hs consumidas.
19/09/2019. Se cargan hs consumidas. A la espera condiciones PeS.
09/10/2019. Se cargan hs consumidas. A la espera condiciones PeS.
08/11/2019. Cambia PM. Ahora es Ariel Constanzo.  Sin cambios. Sin novedad respecto a coordinación PES.
03/12/2019. Sin cambio en horas, a la espera de condiciones PeS. 
08/01/2020. Sin cambio en horas, a la espera de condiciones PeS. 
07/02/2020. Sin cambios. Sin novedad coordinación PES. Transener manifiesta interés en avanzar con la PeS.
06/03/2020. Sin cambios. Sin novedad coordinación PES. Transener manifiesta interés en avanzar con la PeS.
12/04/2020. Sin cambios. Sin novedad coordinación PES. Transener manifiesta interés en avanzar con la PeS.
12/05/2020. Sin cambios. Sin novedad coordinación PES. Transener manifiesta interés en avanzar con la PeS.
08/06/2020. Sin cambios. Sin novedad coordinación PES. Transener manifiesta interés en avanzar con la PeS.
14/07/2020. Sin cambios. Sin novedad coordinación PES. Transener manifiesta interés en avanzar con la PeS.
11/08/2020. Sin cambios.
09/09/2020. Sin cambios.
09/10/2020. Sin cambios. 
12/11/2020. Sin cambios.  A la espera condiciones PeS.
11/12/2020. Sin cambios.  A la espera condiciones PeS.
28/1/2021. Sin cambios. A la espera condiciones PeS.
24/02/2021. Sin cambios. A la espera condiciones PeS.
11/03/2021. Se programa PeS parcial de comunicaciones. Se nos pide programar PeS DAG. 
14/04/2021. Se realizó PeS parcial comunicaciones. Pendiente coordinación PeS restante.
20/05/2021. Se está programando PeS para primer semana Junio. 
10/06/2021. Puesta en Servicio en curso.
02/07/2021. Se completó PeS. Esperando confirmación para hacer CAO.
12/08/2021. Se emitieron CAO. Se cerrará en próximo período. 
14/09/2021. Se cierra proyecto.</t>
  </si>
  <si>
    <t>Q180041</t>
  </si>
  <si>
    <r>
      <rPr>
        <b/>
        <sz val="9"/>
        <color theme="0"/>
        <rFont val="Arial"/>
        <family val="2"/>
      </rPr>
      <t>Ultima rev. 11/11/22 - Se entregan CAOs, curso control</t>
    </r>
    <r>
      <rPr>
        <sz val="9"/>
        <color theme="0"/>
        <rFont val="Arial"/>
        <family val="2"/>
      </rPr>
      <t xml:space="preserve">
Hs 1810. Revisión con hs SAP Octubre. Las hs KOM y hs LE no se han actualizado. Faltar evisión de coordinadores y reunión KOM
Hs 1811. Revisión con hs SAP Noviembre.
Hs 1812. Revisión con hs SAP Diciembre.
Hs 1902. Revisión con hs SAP Feb. 
Hs 1903. Revisión con hs SAP Mar.
Hs 1904. Revisión con hs SAP Abril.
Hs 1905. Revisión con hs SAP Mayo. Entrarán hs en Junio, luego se dejará sin actividad hasta la reactivación, estimada para Octubre. - Hs 1911 - Se estima reactivación en Enero 2020. 
Hs 2004 - Se agregan hs adicionales informadas por el PM y se ajustan las hs de fábrica por la reactivación. 
Hs 2005 - Se colocan las Hs estimadas por cada tarea y especialidad. Se empezarán a incurrir Hs a partir del relanzamiento de junio. 
Hs 2006 se programan tareas a partir de Julio. Hs 2008 Se retomó el proyecto en Julio. 
Hs 2010 resta fabricación, ing. de Control EDEA, protocolos, FAT y SAT
hS 2011 - fabricación tableros de Control EDEA, protocolos en Dic, FAT inicio en Enero 2021
Hs 0121 - FAT iniciado - FAT cableado completo y conf lado EDEA, FAT SAS EDEA desde el 17/02. FAT Transba estimado en Marzo
Hs 0221 -  FAT en curso EDEA y TRANSBA. EDEA finalización estimada 12-03. Transba FAT del SAS estimado fin de Marzo o principios de Abril con cliente
Hs 0321 - FAT EDEA Finalizado, FAT Transba iniciado finaliza 16-04 - Podemos utilizar, optimizando lo previsto para el SAT, Hs de Campo para cubrir hs en Ingeniería, ver ajuste.
Hs 0421 -  FAT finalizado - Faltan protocolos y PES
Hs 0521 - Falta CAF Transba y SAT
Hs 0621 - CAF terminados, falta SAT y Capacitaciones en Sitio (Analizar la parte de Transba en conjunto con Tandil Industrial)
Hs 0721 - Posibilidad de adicional por agregado BIM en  alarmero REC670 SSAA. Falta SAT y capacitaciones en sitio
Hs 0821 - SAT se está preprando para iniciar fines de Septiembre lado EDEA
Hs 0921 - Inicio de SAT con Protecciones desde el 27/09 y Control desde el 4/10. Se comenzó lado EDEA y la intención es tener continuidad con lado Transba. Se estima Octubre y Noviembre PyC y COMM hacia fines de Octubre y principio de Noviembre. Falta Curso en sitio, ver de darlo antes del SAT Transba.
Hs 1021 - SAT EDEA finalizado, continúa SAT lado Transba desde el 8/11 por apóx 3 semanas. Además hs para la capacitación en sitio de P y C
Hs 1121 -  En Dic entrarán las hs que restan de PES de PyC. COM una primer parte en Dic pues luego en 2022 se regresará por tareas respecto a OP y centrales telefónicas.
Hs 0122 - Se actualizan los saldos estimando carga de algunas hs en sitio para levantar pendientes de control y por el SAT remoto
Hs 0222 - PyC falta emisión CAO. COM falta OP y centrales programado en semana del 14/03
Hs0322 - Se finaliza COM. Falta emisión CAOs
Hs 0422 - CAOs en proceso, se estima emisión y cierre en Mayo 22
Hs 0522 - CAOs en revisión. Pendientes se siguen sin cargar hs al Q.
Hs 0622 - CAOs en revisión. Pendientes se siguen sin cargar hs al Q.
Hs 0722 - EDEA confirma que se han resuelto todos los pendientes técnicos. se revisará  tema de adicionales y como terminamos de acordar la asistencia post venta. Los CAOs ya están pero los debemos ocnvertir a CAD y emitir
Hs 0822 - EDEA acpetó propuesta de post venta y el curso de Control pidió reducirlo a 3 d de 5hs en lugar de 5d. Falta emitir CAOs
Hs 0922 - Falta curso de control pero es adicional
</t>
    </r>
  </si>
  <si>
    <t>Q180042</t>
  </si>
  <si>
    <r>
      <rPr>
        <b/>
        <sz val="9"/>
        <rFont val="Arial"/>
        <family val="2"/>
      </rPr>
      <t>Rev. 08/02/21</t>
    </r>
    <r>
      <rPr>
        <sz val="9"/>
        <rFont val="Arial"/>
        <family val="2"/>
      </rPr>
      <t xml:space="preserve">
Se finalizó una primera etapa de la PeS y por falta de condiciones nos retiramos de la obra
En el mes de Feb retornaremos para finalizar la PeS ( celdas de MT, señales de campo y etremo ET Escalante)
Recordar a Evelyn adicional por 2° etapa
</t>
    </r>
    <r>
      <rPr>
        <b/>
        <sz val="9"/>
        <rFont val="Arial"/>
        <family val="2"/>
      </rPr>
      <t xml:space="preserve">Rev. 10/05/21
</t>
    </r>
    <r>
      <rPr>
        <sz val="9"/>
        <rFont val="Arial"/>
        <family val="2"/>
      </rPr>
      <t xml:space="preserve">Se ha finalizado la PeS (sin pendientes en las actas correspondientes) con una cantidad importante de días adicionales que se cobraran en un adicional ya aprobado por el cliente
Se entregaron todos los repuestos
</t>
    </r>
    <r>
      <rPr>
        <b/>
        <sz val="9"/>
        <rFont val="Arial"/>
        <family val="2"/>
      </rPr>
      <t>Rev. 14/06/21</t>
    </r>
    <r>
      <rPr>
        <sz val="9"/>
        <rFont val="Arial"/>
        <family val="2"/>
      </rPr>
      <t xml:space="preserve">
Se emitieron los CAO. No restan tareas. En Julio cerrar el proyecto
</t>
    </r>
    <r>
      <rPr>
        <b/>
        <sz val="9"/>
        <rFont val="Arial"/>
        <family val="2"/>
      </rPr>
      <t xml:space="preserve">Rev. 10/08/21
</t>
    </r>
    <r>
      <rPr>
        <sz val="9"/>
        <rFont val="Arial"/>
        <family val="2"/>
      </rPr>
      <t>Proyecto cerrado</t>
    </r>
  </si>
  <si>
    <t>Q180043</t>
  </si>
  <si>
    <r>
      <rPr>
        <b/>
        <sz val="9"/>
        <rFont val="Arial"/>
        <family val="2"/>
      </rPr>
      <t>Ultima rev. 29/07/19</t>
    </r>
    <r>
      <rPr>
        <sz val="9"/>
        <rFont val="Arial"/>
        <family val="2"/>
      </rPr>
      <t xml:space="preserve">
20/11/2018. Se realiza la primer versión. Son 34Hs costeadas más 12Hs sobrantes del último contrato.
14/12/2018. Se hizo una asistencia telefónica de Control y Protección.
02/01/2019. No hay cambios.
13/03/2019. Erick cargo 9Hs de soporte. Confirmar la tarea ya que no estuve al tanto.
17/04/2019. No hay cambios.
13/05/2019. Se intenta coordinar la auditoría para fin el 28/05.
12/06/2019. Se realizó la auditoría pero aún no se pasaron las horas. B&amp;P debe enviar una proupuesta por la integración del RAT.
29/07/2019. Se pasan las horas que faltaban. El contrato vence el 27/09/19.</t>
    </r>
  </si>
  <si>
    <t>Q180044</t>
  </si>
  <si>
    <r>
      <rPr>
        <b/>
        <sz val="9"/>
        <rFont val="Arial"/>
        <family val="2"/>
      </rPr>
      <t>Ultima rev. 19/09/2019 - PROYECTO CERRADO</t>
    </r>
    <r>
      <rPr>
        <sz val="9"/>
        <rFont val="Arial"/>
        <family val="2"/>
      </rPr>
      <t xml:space="preserve">
25/10/2018. Se carga proyecto, de acuerdo a hs informadas para KOM (todavía no se realizó).
20/11/2018. Se cargan hs de .2.  Todavía no hay carga de hs, y no aparece correctamente en planilla de hs, se consulta a JI.
17/12/2018. Se cargan hs consumidas en este período.
02/01/2019. Se cargan hs consumidas en este período.
21/03/2019. Se cargan hs consumidas en este período.
26/04/2019. Se cargan hs consumidas en este período.
14/05/2019. Se cargan hs consumidas en este período. Se hizo FAT. Se programa SAT para 22 de mayo.
18/06/2019. Se completó PeS. Queda elaborar CAO, y cierre.
07/08/2019. Proyecto finalizado.  Se observa desvío en hs de campo, por capacitación de O.P. 
19/09/2019. Proyecto terminado.  Última verificación de hs. </t>
    </r>
  </si>
  <si>
    <t>Q180045</t>
  </si>
  <si>
    <r>
      <rPr>
        <b/>
        <sz val="9"/>
        <rFont val="Arial"/>
        <family val="2"/>
      </rPr>
      <t>Ultima rev. 18/06/19 - PROYECTO CERRADO</t>
    </r>
    <r>
      <rPr>
        <sz val="9"/>
        <rFont val="Arial"/>
        <family val="2"/>
      </rPr>
      <t xml:space="preserve">
25/10/2018. Se carga proyecto, de acuerdo a hs informadas para KOM (todavía no se realizó).
20/11/2018. Se cargan hs de .2.  Todavía no hay carga de hs, y no aparece correctamente en planilla de hs, se consulta a JI.
17/12/2018. Se cargan hs consumidas.
02/01/2019. Se cargan hs consumidas.
21/03/2019. Se cargan hs consumidas.
26/04/2019. Se cargan hs consumidas. Se completó PeS, hs se cargarán próximo período.
14/05/2019. Se cargan hs.  Se completó PeS. Se están elaborando CAOs, para luego cerrar el proyecto.
18/06/2019. Se realizaron los CAO. No quedan tareas. Se espera próximo período para verificar que no queden hs, y se cierra.</t>
    </r>
  </si>
  <si>
    <t>Q180046</t>
  </si>
  <si>
    <r>
      <rPr>
        <b/>
        <sz val="9"/>
        <rFont val="Arial"/>
        <family val="2"/>
      </rPr>
      <t>Ultima rev. 18/06/19 - PROYECTO CERRADO</t>
    </r>
    <r>
      <rPr>
        <sz val="9"/>
        <rFont val="Arial"/>
        <family val="2"/>
      </rPr>
      <t xml:space="preserve">
21/03/2019. Se cargan hs del período.
26/04/2019. Se cargan hs del período.
14/05/2019. Se cargan hs del período. Se completó PeS, hs entrarán en próximo período.
18/06/2019. Se realizaron los CAO. No quedan tareas. Se espera próximo período para verificar que no queden hs, y se cierra.</t>
    </r>
  </si>
  <si>
    <t>Q180047</t>
  </si>
  <si>
    <r>
      <rPr>
        <b/>
        <i/>
        <sz val="10"/>
        <color rgb="FF4472C4"/>
        <rFont val="Arial"/>
        <family val="2"/>
      </rPr>
      <t xml:space="preserve">PROYECTO CERRADO POR INACTIVIDAD
</t>
    </r>
    <r>
      <rPr>
        <b/>
        <sz val="10"/>
        <color rgb="FF000000"/>
        <rFont val="Arial"/>
        <family val="2"/>
      </rPr>
      <t xml:space="preserve">Ultima rev. 11/04/2023
</t>
    </r>
    <r>
      <rPr>
        <sz val="10"/>
        <color rgb="FF000000"/>
        <rFont val="Arial"/>
        <family val="2"/>
      </rPr>
      <t>Consultado el PM se cierra en la planilla por inactividad
-------------------------------------------------------------------------------------------------------------
09/08/2021. El PM comunicó que por razones financieras analizaron con JI y se deja el proyecto abierto aunque el cliente haya comunicado que el servicio se relaizará en 2022 y aviso al cliente el sobrecosto. Tambien se se le informó al PM el saldo de horas y cuando se comunicque la necesidad se realizará una cotización y revisión adicional que incluirá las horas adicionales que se utilizaron por la razones expuestas en las observaciones iniciales.
18/01/2021. Se deja el saldo en cero dado que el servicio implicará una revisión con Servicios de los nuevos tiempos involucrados.
18/12/2020. Se paso a cero el saldo estimado dado que el servicio implicará una revisión con Servicios de los nuevos tiempos involucrados.
18/11/2020. No hay movimiento sobre este proyecto solo queda el servicio en campo pero por el tiempo que paso habrá horas adicionales para preparación del ensayo.
18/11/2020. No hay movimiento sobre este proyecto solo queda el servicio en campo pero por el tiempo que paso habrá horas adicionales para preparación del ensayo.
04/08/2020. MLB me comentó que contacto al cliente que tiene pensado realizar el servicio pero le dije que antes de comprometer alguna acción que teníamos que verlo para revisar las HH y alcance.
14/07/2020. MLB me comentó que contacto al cliente que tiene pensado realizar el servicio pero le dije que antes de comprometer alguna acción que teníamos que verlo para revisar las HH y alcance.
16/06/2020. Revisión de horas. Sin cambios pero los servicios deberán ser revisionados por el tiempo de demora. Hablar con MLB al respecto.
05/05/2020. Revisión de horas. Sin cambios pero los servicios deberán ser revisionados por el tiempo de demora. Hablar con MLB al respecto.
27/01/2020. Hablamos con MLB sobre la formalización pero aún no se ha realizado. Seguir el tema.
13/01/2020. Aun no me comunique con MLB para realizar la formalización con el cliente el aviso con tiempo para el servicio de este proyecto.
23/12/2019. El PM informó que no había actividad por parte del cliente hasta 2020.Le voy a pedir a Mati que formalice con el cliente que debe pedirnos con tiempo la realización del servicio.
25/11/2019.Se ajustaron horas de LE e ingeniería para revisar el proyecto despues de un tiempo de no tener noticias del cliente. El próximo paso es consultar al PM para que contacte al cliente a fin de tener un panorama de las tareas a futuro. Reclamar a Matias sobre el adicional para el SAT y conocer el estado del proyecto.
31/10/2019. Despues de un arranque furioso el proyecto quedo demorado a la espera de noticias del cliente para coordinar los servicios. He repartido las horas de ingeniería entre LE y FAT (153) en la columna Horas Planificadas ya que fueron los que desarrollaron el proyecto. El ajuste son las horas adicionales necesarias para corregir las configuraciones dado que el alcance se conoció una vez recibida la informaciín del cliente ya aceptada la OC.</t>
    </r>
  </si>
  <si>
    <t>Q180048</t>
  </si>
  <si>
    <t>Q180049</t>
  </si>
  <si>
    <t>Q180050</t>
  </si>
  <si>
    <r>
      <rPr>
        <b/>
        <sz val="9"/>
        <rFont val="Arial"/>
        <family val="2"/>
      </rPr>
      <t>Ultima rev. 13/04/21</t>
    </r>
    <r>
      <rPr>
        <sz val="9"/>
        <rFont val="Arial"/>
        <family val="2"/>
      </rPr>
      <t xml:space="preserve">
15/03/2019. Se inicia el proyecto y se está realizando la arquitectura. Se deberá revisar el cronograma ya que aún no se comenzó la ingeniería.
17/04/2019. Se realiza la arquitectura. Se espera recibir la información de los IED para integrar a fin de Abril. La FAT en Julio, 1er SAT en Agosto y 2do SAT en septiembre.
13/05/2019. Se comienza con la migración. El cliente debe entregar los .CID de los VAMP a integrar a fin de esta semana.
12/06/2019. Aún no se recibieron los archivos .CID. Las fechas que manejamos son Agosto, Septiembre y Octubre, para FAT, 1er SAT y 2do SAT respectivamente.
29/07/2019. Recibimos los .cid pero falta la lista de señales. Mantenemos por ahora un primer FAT de integración de IED en Agosto.
15/04/2020. Resta realizar el curso de SCADA. Se propone hacerlo remoto en Abril.
08/07/2020. Resta asistir al cliente con el análisis de la comunicación lenta con 150kV.
03/08/2020. El cliente no responde para nuestra asistencia.
01/09/2020. Se prevee una conexión remota para el 9/9 para solucionar comunicación 150kV y algunas alarmas.
03/11/2020. Se espera confirmación del cliente para cerrar.
13/04/2021. Se finaliza el proyecto.</t>
    </r>
  </si>
  <si>
    <t>Q180051</t>
  </si>
  <si>
    <r>
      <rPr>
        <b/>
        <sz val="9"/>
        <rFont val="Arial"/>
        <family val="2"/>
      </rPr>
      <t>Ultima rev. 13/04/21</t>
    </r>
    <r>
      <rPr>
        <sz val="9"/>
        <rFont val="Arial"/>
        <family val="2"/>
      </rPr>
      <t xml:space="preserve">
15/03/2019. Se realizó la arquitectura y se empieza la ingeniería de tableros. Confirmar las horas KOM ya que no están en la planilla.
17/04/2019. Se están finalizando los armarios. Hay que revisar la necesidad de incorporar el TR13 den Ezeiza 132kV.
13/05/2019. Las horas de Germán Pérez se pasan como Fábrica y Proyectista pero quedan sin clasificar.
12/06/2019. Se pasaron muchas horas de Proyectista. Se evaluará con el coordinor para ver el desvío. Se finalizaron las ingenierías de los paneles. Se está haciendo la configuración.
29/07/2019. Por la forma de cargar horas de la persona de ingeniería, se pasan horas de proyectista para la documentación en vez de horas de Ing.
15/04/2020. Restan 2 días de la PES original y 2 días de curso. Luego resta ingeniería, FAT y PES del TR13.
08/07/2020. Resta el FAT del TR13, la PES y el curso.
03/08/2020. Se finaliza la PES. Resta pasar esas hrs, dar el curso de 1 día y los CAO.
01/09/2020. Sólo resta entregar 2 CAO (Ing.) y asistir a modificar la configuración de los switchs.
03/11/2020. Resta configurar la PC y asistir a modificar la configuración de los switchs.
13/04/2021. Se finaliza el proyecto.</t>
    </r>
  </si>
  <si>
    <t>Q180052</t>
  </si>
  <si>
    <r>
      <rPr>
        <b/>
        <sz val="9"/>
        <rFont val="Arial"/>
        <family val="2"/>
      </rPr>
      <t>Ultima rev. 08/06/2020 - PROYECTO CERRADO</t>
    </r>
    <r>
      <rPr>
        <sz val="9"/>
        <rFont val="Arial"/>
        <family val="2"/>
      </rPr>
      <t xml:space="preserve">
16/12/2018. Se carga proyecto, de acuerdo a hs informadas para KOM (todavía no se realizó).
02/01/2019. Se cargan hs consumidas.
21/03/2019. Se cargan hs consumidas.
26/04/2019. Se cargan hs consumidas. Recibimos aprobación ing. Panel.  Se está elaborando programas.
14/05/2019. Se cargan hs consumidas.
18/06/2019. Se cargan hs consumidas. Se programa FAT panel PE. Se comienza ing. BB a partir de información recibida.
07/08/2019. Se cargan hs consumidas. FAT panel completo. Se está avanzando con ingeniería BB.
19/09/2019. Se cargan hs consumidas. Se emitió panel y prg BB. Pendiente EM Comahue.
09/10/2019. Se cargan hs consumidas. Pendiente EM Comahue.
08/11/2019. Cambia PM. Ahora es Ariel Constanzo.  Sin cambios. Sin novedad respecto a coordinación PES.
03/12/2019. Sin cambio en hs. Se programa FAT programa BB para 9/12.
08/01/2020. Se revisan hs. Se completó FAT BB, y CAF. Pendiente PeS. 
07/02/2020. PeS en febrero. Se nos pide no ejecutar PES en BB y EM.
06/03/2020. Se realizó PeS. CAOs pendientes.
12/04/2020. Se está elaborando CAO para cierre del proyecto.
12/05/2020. Se emitieron CAOs. Se cierra en próximo periodo para confirmar hs. 
08/06/2020. PROYECTO CERRADO</t>
    </r>
  </si>
  <si>
    <t>Q180053</t>
  </si>
  <si>
    <r>
      <rPr>
        <b/>
        <sz val="9"/>
        <rFont val="Arial"/>
        <family val="2"/>
      </rPr>
      <t>Ultima rev. 04/02/20. Sin novedades, se epera PeS.</t>
    </r>
    <r>
      <rPr>
        <sz val="9"/>
        <rFont val="Arial"/>
        <family val="2"/>
      </rPr>
      <t xml:space="preserve">
</t>
    </r>
  </si>
  <si>
    <t>Q180054</t>
  </si>
  <si>
    <r>
      <rPr>
        <b/>
        <sz val="9"/>
        <rFont val="Arial"/>
        <family val="2"/>
      </rPr>
      <t>Ultima rev. 04/02/20. Trabajo terminado.</t>
    </r>
    <r>
      <rPr>
        <sz val="9"/>
        <rFont val="Arial"/>
        <family val="2"/>
      </rPr>
      <t xml:space="preserve">
</t>
    </r>
  </si>
  <si>
    <t>Q180055</t>
  </si>
  <si>
    <r>
      <rPr>
        <b/>
        <sz val="9"/>
        <color theme="0"/>
        <rFont val="Arial"/>
        <family val="2"/>
      </rPr>
      <t>Ultima rev. 10/02/21 - FINALIZADO</t>
    </r>
    <r>
      <rPr>
        <sz val="9"/>
        <color theme="0"/>
        <rFont val="Arial"/>
        <family val="2"/>
      </rPr>
      <t xml:space="preserve">
Hs 1810. Revisión con hs SAP Octubre. Las hs KOM y hs LE no se han actualizado. Faltar evisión de coordinadores y reunión KOM
Hs 1811. Revisión con hs SAP Noviembre.
Hs 1812. Revisión con hs SAP Diciembre.
Hs 1902. Revisión con hs SAP Feb. 
Hs 1903. Revisión con hs SAP Mar.
Hs 1904. Revisión con hs SAP Abril.
Hs 1905. Revisión con hs SAP Mayo. FAT programado para Julio. Hs 1908, falta CAF y SAT. Hs 1909, programado el CAF y protocolo SAT. SAT para fines de Noviembre - 1910 Falta SAT estimado Diciembre - 1911 - falta SAT para Enero 2020 - Hs 0120 - Falta SAT estimado Marzo 2020 - Hs 2003. Falta SAT, estimado Mayo de este año a coordinar. Hs 2004 - Suspendido por COVID-19 se estima Septiembre la PES. HS 2005 / Hs 2006 sigue igual. Hs 2008 sigue igual. 
Hs 2010 se inició SAT sigue en Noviembre con los úlitmos campos
Hs 2011 SAT, luego en Dic. CAO
Hs 0121 FINALIZADO</t>
    </r>
  </si>
  <si>
    <t>Q180056</t>
  </si>
  <si>
    <r>
      <rPr>
        <b/>
        <sz val="9"/>
        <rFont val="Arial"/>
        <family val="2"/>
      </rPr>
      <t>Ultima rev. 29/09/20 - Proyecto Cerrado</t>
    </r>
    <r>
      <rPr>
        <sz val="9"/>
        <rFont val="Arial"/>
        <family val="2"/>
      </rPr>
      <t xml:space="preserve">
13/03/2019. Primer revisión de hs. Se realizó la ingeniería general y particular de comunicaciones. Se está realizando la ingeniería de control.
26/04/2019.Se enviaron diferentes revisiones de ingeniería general y particular de comunicaciones. Se comienza la fabricación de armarios de comunicaciones.
27/05/2019. Se terminó la fabricación de armarios y se realizó el FAT de Comunicaciones.
24/06/2019. Se realizó el FAT de control. Se enviaron los equipos a obra. Se comenzó con la primera etapa de la puesta en servicio de comunicaciones.                                                                                                                                                                                                            30/8/2019. Se realizó la PES del sistema de onda portadora y central telefónica. Falta la PES de los multiplexores, cuando esté lista la fibra óptica. Se aprobó un adicional porque se tuvo que dividir la PES en diferentes viajes                                                                                                                                                                                       13/11/2019. A la espera de la PES de los multiplexores                                                                                                                                                                                       31/1/2020. A la espera de la PES de los multiplexores                                                                                                                                                                                        15/4/2020. A la espera de la PES de los multiplexores                                                                                                                                                                            14/05/2020. A la espera de la  PES de los mulitplexores                                                                                                                                                                    20/07/2020. Se realizó la PES de los multiplexores y de la central telefónica. Se finalizó con el SAT.                                                                                           29/09/2020. Se realizó el CAO. Se cierra el proyecto.</t>
    </r>
  </si>
  <si>
    <t>Q180057</t>
  </si>
  <si>
    <r>
      <rPr>
        <b/>
        <sz val="9"/>
        <rFont val="Arial"/>
        <family val="2"/>
      </rPr>
      <t>Ultima rev. 11/05/20</t>
    </r>
    <r>
      <rPr>
        <sz val="9"/>
        <rFont val="Arial"/>
        <family val="2"/>
      </rPr>
      <t xml:space="preserve">
15/03/2019. Se emite toda la documentación básica.
17/04/2019. Se utilizaron más horas de proyectista ya que se realizó la arquitectura del proyecto y se tuvieron que crear componentes en E3.
13/05/2019. Sin cambios.
12/06/2019. Se comienza a fabricar el tablero. Se espera la lista de señales para configurar la RTU.
29/07/2019. Se finaliza la ingeniería y el FAT. Restan los CAF y el protocolo SAT.</t>
    </r>
  </si>
  <si>
    <t>Q180058</t>
  </si>
  <si>
    <t>Q180059</t>
  </si>
  <si>
    <t>Q180060</t>
  </si>
  <si>
    <t>Q180061</t>
  </si>
  <si>
    <t>Q180062</t>
  </si>
  <si>
    <r>
      <rPr>
        <b/>
        <sz val="9"/>
        <color theme="0"/>
        <rFont val="Arial"/>
        <family val="2"/>
      </rPr>
      <t>Ultima rev.11/11/22 - EN ETAPA DE CIERRE</t>
    </r>
    <r>
      <rPr>
        <sz val="9"/>
        <color theme="0"/>
        <rFont val="Arial"/>
        <family val="2"/>
      </rPr>
      <t xml:space="preserve">
1909 - En fabricación. Falta protocolo FAT, configuración y FAT. FAT estimado 28/10 - 1910 Inicio de FAT fines de Octubre, finaliza el 8/11. SAT sin fecha - 1911 - Falta protocolo SAT y SAT - Hs 0120, Falta SAT - Hs 2003. Falta SAT sin fecha estimada.  Hs 2004 - Suspendido por COVID-19 se estima Septiembre la PES - Hs 2005 / Hs 2006 /Hs 2008 - sigue igual - 
Hs 2010/2011se pospone SAT para Abril 2021
HS 0121 - SAT estimado para Abril 2021
Hs 0221 - Sin confirmación del cliente estimado Abril
Hs 0321 - PM envía correo para obtener una definición pronta y avisando temas de finalizacióon de garnatía de productos para 15/05/21. El Cliente informa inicio para fines de Mayo, principios de Junio 2021
Hs 0421 -  Fecha aún no confirmada, estimada según lo informado en MArzo para Junio 2021
Hs 0521 -  Fecha aún no confirmada, estimada según lo informado po Salvó para último trimestre de este año. Se le confirmó a EDENOR que no hay garantía y se gestionará adicional por retrasos de PES (se envío por correo un aviso)
Hs 0621 - sin cambios
Hs 0721 - se envío base de datos del REB500 a EDENOR y programa de aplicación. No hay fecha aún confirmada de PES
Hs 0821 - Sin confirmación, movemos SAT en WL para Dic
Hs 0921 - EDENOR informa fecha de SAT principios de Diciembre
Hs 1021 - EDENOR informa fecha de SAT principios de Diciembre
Hs 1121 - EDENOR informa fecha de SAT para Marzo 2022
Hs 0122 - Sin cambios. 
Hs 0222 - Me reuní con AT, informará a EDENOR los requisitos. Recibimos los ajustes, fecha estimada Principios de Mayo
Hs 0322 - Reunión 12/04 para coordinar SAT
Hs 0422 - Nueva fecha SAT Junio 22, independiente de licencia de bahías. Se coordinará al final cuando todas las bahías estén listas. Se realizará upgrade y SAT c/protocolización.
Hs 0522 - EDENOR menciona una posibildiad a fines de Junio sino pasará a Septiembre. COnfirmamos disponibilidad para este mes
Hs 0622 - EDENOR menciona que se pasa para Septiembre la PES
Hs 0722 - Sin cambios
Hs 0822 - Se acuerda el SAT para la semana del 26. Se envía propuesta de actualización de fw y ensayos secundarios
Hs 0922 -  Se completa el SAT, las hs ingresarán en Octubre
Hs 1022 -  Finalizado</t>
    </r>
  </si>
  <si>
    <t>Q189998</t>
  </si>
  <si>
    <t>Q190000</t>
  </si>
  <si>
    <t>Q190001</t>
  </si>
  <si>
    <r>
      <rPr>
        <b/>
        <i/>
        <sz val="10"/>
        <color rgb="FF4F81BD"/>
        <rFont val="Arial"/>
        <family val="2"/>
      </rPr>
      <t xml:space="preserve">PROYECTO CERRADO POR INACTIVIDAD
</t>
    </r>
    <r>
      <rPr>
        <b/>
        <sz val="10"/>
        <color rgb="FF000000"/>
        <rFont val="Arial"/>
        <family val="2"/>
      </rPr>
      <t xml:space="preserve">Ultima rev. 11/04/2023
</t>
    </r>
    <r>
      <rPr>
        <sz val="10"/>
        <color rgb="FF000000"/>
        <rFont val="Arial"/>
        <family val="2"/>
      </rPr>
      <t xml:space="preserve">Consultado el PM se cierra en la planilla por inactividad
---------------------------------------------------------------------------------------------------------------
</t>
    </r>
    <r>
      <rPr>
        <b/>
        <sz val="10"/>
        <color rgb="FF000000"/>
        <rFont val="Arial"/>
        <family val="2"/>
      </rPr>
      <t xml:space="preserve">Ultima rev. 14/06/2021
</t>
    </r>
    <r>
      <rPr>
        <sz val="10"/>
        <color rgb="FF000000"/>
        <rFont val="Arial"/>
        <family val="2"/>
      </rPr>
      <t>14/06/2021. Se dejan los saldos en cero a espera de un futuro relanzamiento o cierre definitivo
18/01/2021. Es un contrato de SLA que espera cerrarse. Hay tareas de Scada y de la protección de línea que serán cargadas en este proyecto. Los saldos estimados son de las horas estimadas para realizar los trabajos asociados a la Q150003 que faltaron realizar y serán tareas de mantenimiento.
13/01/2020. Sin comentarios.
25/11/2019. No hubo comentarios respecto a lo mencionado en la revisión anterior
31/10/2019. Sin comentarios. No hubo movimiento de este proyecto</t>
    </r>
  </si>
  <si>
    <t>JRDV</t>
  </si>
  <si>
    <t>Q190002</t>
  </si>
  <si>
    <r>
      <rPr>
        <b/>
        <sz val="9"/>
        <rFont val="Arial"/>
        <family val="2"/>
      </rPr>
      <t>Ultima rev. 11/05/20</t>
    </r>
    <r>
      <rPr>
        <sz val="9"/>
        <rFont val="Arial"/>
        <family val="2"/>
      </rPr>
      <t xml:space="preserve">
15/03/2019. Recién se comienza el proyecto. Es una RTU similar a la del proyecto Q180057.
17/04/2019. Se finalizan los documentos básicos y el funcional de la RTU.
13/05/2019. Se utilizaron más horas de proyectistas ya que se hizo la arquitectura del sistema.
12/06/2019. Se espera recibir la información del ciente.
29/07/2019. Sin cambios. Se suspende el proyecto hasta nuevo aviso y se revisará el impacto cuando se reanude.
11/05/2020. El tablero ya está desmantelado. Tener en cuenta para su reactivación.</t>
    </r>
  </si>
  <si>
    <t>Q190003</t>
  </si>
  <si>
    <t xml:space="preserve">Ultima rev. 04/02/20. En proceso de preFAT.
Rev 12/08/20 FAT realizado. Tableros/repuestos entregados.
</t>
  </si>
  <si>
    <t>Q190004</t>
  </si>
  <si>
    <t>Q190005</t>
  </si>
  <si>
    <r>
      <rPr>
        <b/>
        <sz val="9"/>
        <rFont val="Arial"/>
        <family val="2"/>
      </rPr>
      <t>Ultima rev. 29/07/19</t>
    </r>
    <r>
      <rPr>
        <sz val="9"/>
        <rFont val="Arial"/>
        <family val="2"/>
      </rPr>
      <t xml:space="preserve">
15/03/2019. Confirmar que es sólo un curso y no una asistencia a PES.
12/06/2019. Se realizó el curso. Faltan pasar las horas.
29/07/2019. Se pasaron 9 horas de proyectista cuando deberían ser de campo.</t>
    </r>
  </si>
  <si>
    <t>Q190006</t>
  </si>
  <si>
    <r>
      <rPr>
        <b/>
        <sz val="9"/>
        <rFont val="Arial"/>
        <family val="2"/>
      </rPr>
      <t xml:space="preserve">Ultima rev. 17/9/21 - Proyecto Cerrado                                                                                                                                                                                                                                                            </t>
    </r>
    <r>
      <rPr>
        <sz val="9"/>
        <rFont val="Arial"/>
        <family val="2"/>
      </rPr>
      <t>26/04/2019. Primer revisión de hs. Se realizó la ingeniería general de comunicaciones. Se está realizando la ingeniería particular.
27/05/2019. Se envió la totalidad de la ingeniería.
24/06/2019. Se baja la ingeniería para comenzar con la fabricación.                                                                                                                                                                       30/8/2019. Se realizó la fabricación de los armarios. Se está terminando de realizar el FAT.                                                                                                                                                                          13/11/2019. Se terminó de realizar el FAT y se enviaron los armarios                                                                                                                                                                      31/1/2020. A la espera del SAT                                                                                                                                                                                                                                          15/4/2020. A la espera del SAT                                                                                                                                                                                                                                        14/05/2020. A la espera del SAT                                                                                                                                                                                                                                        20/07/2020. A la espera del SAT                                                                                                                                                                                                                                       29/09/2020. A la espera del SAT                                                                                                                                                                                                                                        18/12/2020. A la espera del SAT                                                                                                                                                                                                                                        24/02/2021. A la espera del SAT                                                                                                                                                                                                                           13/04/2021. A la espera del SAT                                                                                                                                                                                                                                           20/07/2021. A la espera del SAT                                                                                                                                                                                                                                  17/09/2021. Se dió de baja la PES, se cierra el proyecto.</t>
    </r>
  </si>
  <si>
    <t>Q190007</t>
  </si>
  <si>
    <t>Q190008</t>
  </si>
  <si>
    <r>
      <rPr>
        <b/>
        <sz val="9"/>
        <rFont val="Arial"/>
        <family val="2"/>
      </rPr>
      <t>Ultima rev. 29/07/19</t>
    </r>
    <r>
      <rPr>
        <sz val="9"/>
        <rFont val="Arial"/>
        <family val="2"/>
      </rPr>
      <t xml:space="preserve">
15/03/2019. Ver los estudios de Etapa II. Este proyecto por ahí lo sigue Esteban luego.
17/04/2019. Se finalizan los documentos básicos. Se espera terminar el funcional del PLC a fin de mes.
13/05/2019. Se emite funcional. Se espera realizar la configuración a fin de mes.
12/06/2019. Se comienza el FAT la semana que viene.
29/07/2019. Las horas de FAT se duplicaron ya que se capacitó una persona con este FAT (54Hs de Orlando Perdomo). Ya se finalizó la PES. Sólo resta emitir los CAO.</t>
    </r>
  </si>
  <si>
    <t>Q190009</t>
  </si>
  <si>
    <r>
      <rPr>
        <b/>
        <sz val="9"/>
        <rFont val="Arial"/>
        <family val="2"/>
      </rPr>
      <t>Ultima rev. 29/07/19</t>
    </r>
    <r>
      <rPr>
        <sz val="9"/>
        <rFont val="Arial"/>
        <family val="2"/>
      </rPr>
      <t xml:space="preserve">
15/03/2019. Curso de RTU (HMI y PLC). Se debe entregar licencia Multiprog (wt o 5).
29/07/2019. Se realizó el curso. Faltan pasar las horas restantes.</t>
    </r>
  </si>
  <si>
    <t>Q190010</t>
  </si>
  <si>
    <t xml:space="preserve">Ultima rev. 04/02/20. Se prevee mayores hs. de ing y FAT debido al cliente final.
Rev 18/08/20. Se realizó FAT restante. Se despachan tableros.
</t>
  </si>
  <si>
    <t>RMR</t>
  </si>
  <si>
    <t>Q190011</t>
  </si>
  <si>
    <r>
      <rPr>
        <b/>
        <sz val="9"/>
        <rFont val="Arial"/>
        <family val="2"/>
      </rPr>
      <t>Ultima rev. 20/07/19</t>
    </r>
    <r>
      <rPr>
        <sz val="9"/>
        <rFont val="Arial"/>
        <family val="2"/>
      </rPr>
      <t xml:space="preserve">
08/04/2019. Sin cambios en hs. El PM  es Rodrigo Nunes.
04/07/2019.  nos queda prog &amp; Fat interna PLC 72+ 92</t>
    </r>
  </si>
  <si>
    <t xml:space="preserve">Ultima rev. 04/02/20. Se prevvee mayores hs. en campo de acuerdo a la naturaleza del cliente y la obra.
Rev 18/08/20. Se entrega repuesto adicional con FAT.
</t>
  </si>
  <si>
    <t>Q190012</t>
  </si>
  <si>
    <t>Q190013</t>
  </si>
  <si>
    <r>
      <t xml:space="preserve">Revisión: 14/06/21
</t>
    </r>
    <r>
      <rPr>
        <sz val="9"/>
        <rFont val="Arial"/>
        <family val="2"/>
      </rPr>
      <t>Falta la PeS y no hay indicios del cliente. Se ha insistido en realizarla sin suerte</t>
    </r>
    <r>
      <rPr>
        <b/>
        <sz val="9"/>
        <rFont val="Arial"/>
        <family val="2"/>
      </rPr>
      <t xml:space="preserve">
</t>
    </r>
    <r>
      <rPr>
        <sz val="9"/>
        <rFont val="Arial"/>
        <family val="2"/>
      </rPr>
      <t>Retomar pedido para realizar PeS local de los PLCs DAG, mail a EV y ERS</t>
    </r>
    <r>
      <rPr>
        <b/>
        <sz val="9"/>
        <rFont val="Arial"/>
        <family val="2"/>
      </rPr>
      <t xml:space="preserve">
</t>
    </r>
    <r>
      <rPr>
        <sz val="9"/>
        <rFont val="Arial"/>
        <family val="2"/>
      </rPr>
      <t>Se entregaron los armarios y repuestos y la documentación CAF</t>
    </r>
    <r>
      <rPr>
        <b/>
        <sz val="9"/>
        <rFont val="Arial"/>
        <family val="2"/>
      </rPr>
      <t xml:space="preserve">
</t>
    </r>
    <r>
      <rPr>
        <sz val="9"/>
        <rFont val="Arial"/>
        <family val="2"/>
      </rPr>
      <t>Se emitirá una nota informando al cliente que debemos fijar una fecha límite para la PeS y sino se deberá cerrar. Pero</t>
    </r>
    <r>
      <rPr>
        <b/>
        <sz val="9"/>
        <rFont val="Arial"/>
        <family val="2"/>
      </rPr>
      <t xml:space="preserve"> conviene mantener el contrato</t>
    </r>
    <r>
      <rPr>
        <sz val="9"/>
        <rFont val="Arial"/>
        <family val="2"/>
      </rPr>
      <t xml:space="preserve"> pues vemos más cerca el NC de Bahía Blanca
Las garantías estan vencidas desde Enero/21</t>
    </r>
    <r>
      <rPr>
        <b/>
        <sz val="9"/>
        <rFont val="Arial"/>
        <family val="2"/>
      </rPr>
      <t xml:space="preserve">
Revisión: 20/04/22
</t>
    </r>
    <r>
      <rPr>
        <sz val="9"/>
        <rFont val="Arial"/>
        <family val="2"/>
      </rPr>
      <t>La aparición del Q220035 PEPE IV trae que en su PeS tambien incluye la que corresponde al Q190013 por los 3 alimentadores originales a los que se suman los 8 nuevos alimentadores y el tablero de I/O remoto en ET BH para el automatismo local</t>
    </r>
    <r>
      <rPr>
        <b/>
        <sz val="9"/>
        <rFont val="Arial"/>
        <family val="2"/>
      </rPr>
      <t xml:space="preserve">
Proyecto cerrado</t>
    </r>
  </si>
  <si>
    <t>Q190014</t>
  </si>
  <si>
    <r>
      <rPr>
        <b/>
        <i/>
        <sz val="9"/>
        <color rgb="FF0070C0"/>
        <rFont val="Arial"/>
        <family val="2"/>
      </rPr>
      <t>PROYECTO TECNICAMENTE CERRADO</t>
    </r>
    <r>
      <rPr>
        <sz val="9"/>
        <rFont val="Arial"/>
        <family val="2"/>
      </rPr>
      <t xml:space="preserve">
03/09/2019. Tuve que tomar como LE una participación activa en la ingeniería, revisión y configuración por disponibilidad de recursos, este proyecto fue mal vendido ya que no se consultó al cliente ni se analizó el proyecto. Esto llevó a horas adicionales LE y una interface activa con el cliente que no quiere entender el alcance de nuetro servicio (ajustes, ingeniería, etc) Es importante que en este tipo de servicios se analice muy bien el alcance (responsabilidad de Ventas y B&amp;P) porque una desviación de horas implica una disminución importante de margen además del trabajo adicional que ello implica. Se esta generando un adicional por cambio de alcance.
02/10/2019. Este proyecto esta llevando horas adicionales de ingeniería por indefiniciones del cliente. B&amp;P ha enviado un adicional que estamos esperando se apruebe que podrá compensar las horas adicionales que está llevando este proyecto ya que estamos modificando configuraciones, revisando ajustes e ingenierías del cliente. las horas LE adicionales es porque estoy tomando la tarea de configuraciones por disponibilidad de recursos de servicios que estan en PES y las de FAT son corrección de protocolos y preparación de SAT
31/10/2019. Se han cumplido los servicios SAT esperando el cierre del proyecto. Para estos proyectos debemos previamente hacer una tarea desde B&amp;P dy Ventas del entorno del proyecto (info disponible, actores involucrados) porque se lo cotiza y resulta que se utilizan más horas de la fijadas que nos enteramos una vez recibida la información del cliente y ya aceptada la OC. Desde aruí se aclaro que había trabajos adicionales pero no encontré el precálculo de algún adicional. Los ajustes son las horas adicionales que demandó la revisión y corrección de las configuraciones por la deficiente documentación recibida.
25/11/2019. Cierre</t>
    </r>
  </si>
  <si>
    <t>Q190015</t>
  </si>
  <si>
    <r>
      <rPr>
        <b/>
        <i/>
        <sz val="10"/>
        <color rgb="FFFF0000"/>
        <rFont val="Arial"/>
        <family val="2"/>
      </rPr>
      <t>PROYECTO TECNICAMENTE CERRADO</t>
    </r>
    <r>
      <rPr>
        <b/>
        <sz val="10"/>
        <color rgb="FFFF0000"/>
        <rFont val="Arial"/>
        <family val="2"/>
      </rPr>
      <t xml:space="preserve">
Ultima rev. 29/11/2023
</t>
    </r>
    <r>
      <rPr>
        <sz val="10"/>
        <rFont val="Arial"/>
        <family val="2"/>
      </rPr>
      <t xml:space="preserve">Se hace el cierre técnico del proyecto. Las horas de control de este período se debió a un pedido del cliente de tener la base de datos cómo documento que realizamos para poder factuirar el cierre. 
------------------------------------------------------------------------------------------------------------------------------
08/11/2023. Se hace el cierre técnico del proyecto. Posiblemente ingresen algunas horas de Ingenría de comunicación por la realizacin de los CAO 
------------------------------------------------------------------------------------------------------------------------------
</t>
    </r>
    <r>
      <rPr>
        <sz val="10"/>
        <color rgb="FF000000"/>
        <rFont val="Arial"/>
        <family val="2"/>
      </rPr>
      <t>25/09/2023. El proyecto estaría técnicamente cerrado. Se están dictando los cursos de protecciones y control para la segunda semana de octubre por lo que para el P11 el proyecto estará cerrado. El tiempo estimado es el los cursos aunque el de protecciones los dictamos con Brasil.
-------------------------------------------------------------------------------------------------------------------------------
07/08/2023. El proyecto estaría técnicamente cerrado. Aún no tenemos las Actas firmadas y nos quedan realizar los CAO.
-------------------------------------------------------------------------------------------------------------------------------
31/05/2023. Se continua con el SAT con dificultades y discontinuo. Se programó la finalización de los trabajos en la primera semana de Junio. Comunicaciones tiene ahora el trabajo más complicado. Nos quedarán realizar los CAO.
-------------------------------------------------------------------------------------------------------------------------------
24/04/2023. Se continua con el SAT con dificultades y discontinuo. Esperamos terminar el SAT a fines de mayo, se va corriendo la apertura de línea por problemas encontrados en la ET tanto desde la estación cómo algunos nuestros que están siendo solucionados en forma remota y presencial. Se actualiza nuevamente el saldo SAT con 2 semanas para protecciones (apertura de líneas), 2 para control y el saldo resultante para comuncicación
-------------------------------------------------------------------------------------------------------------------------------
12/04/2023. Se continua con el SAT con dificultades y discontinuo. Esperamos terminar el SAT a fines de mayo, se va corriendo la apertura de línea por problemas encontrados en la ET tanto desde la estación cómo algunos nuestros que están siendo solucionados en forma remota y presencial. Se actualiza nbuevamente el saldo SAT con 2 semanas para protecciones, 3 para control y el saldo resultante para comuncicación
-------------------------------------------------------------------------------------------------------------------------------
08/03/2023. Se continua con el SAT con dificultades y discontinuo. Esperamos terminar el SAT a fines de marzo. Se actualiza el saldo SAT con 2 semanas para protecciones, 3 para control y el saldo resultante para comuncicación
-------------------------------------------------------------------------------------------------------------------------------
26/01/2023. Se continua con el SAT con dificultades y discontinuo. esperamos terminar el SAT a fines de febrero.
-------------------------------------------------------------------------------------------------------------------------------
07/11/2022. El SAT se está desarrollando con dificultades y muy cortado pero por el trabajo pendiente haría presumir que las horas no sufrirían un desvio importante.
-------------------------------------------------------------------------------------------------------------------------------
19/10/2022. Se está realizando las tareas SAT con bastante dificultad y demoras por indisponibilidad de la instalación, indefiniciones y la gestión de GI. Vamos avanzando, el tiempo estimado es hasta fin de octubre que es cunado tenemos planidficiado el regreso pero es complicado poder estimar conuna razonable precisión el saldo real.
--------------------------------------------------------------------------------------------------------------------------------
09/09/2022. Esperamos empezar las tareas SAT en el P08.
--------------------------------------------------------------------------------------------------------------------------------
03/08/2022. Se espera SAT que puede estar algo demoradfo. Las horas cargadas corresponden a revisiones de documentación. Seguimos esperando si van a aceptar el adicional cotizado de trabajos en las celdas de MT. El estudio de ajustes no está completo y siegiuimos creyendo que va a complicar el SAT. Estamos pensando soluciones alternativas para cerrar nuestra participación y no seguir perdiendo plata.
--------------------------------------------------------------------------------------------------------------------------------
08/07/2022. Se espera SAT. Se están consumiendo horas de coordinación por la falta de organización del cliente. Esperamos un adicional que todavía no fue aceptado. El estudio de ajustes no está completo y creemos que eso traerá demoras en el SAT. Estamos tratando de anticiparnos pero no contamos con la colaboración activa del cliente.
---------------------------------------------------------------------------------------------------------------------------------
08/06/2022. Se programó el SAT. Se colocan las horas de saldo en base a la programación. Hay trabajos adicionales a realizar por ingeniería de servicios que no se ha ingresado porque no se recibió la Nota de Cambio
---------------------------------------------------------------------------------------------------------------------------------
03/03/2022. Se ajustaron los saldos estimados de ingeniería considerando
                          Ing Protecciones y Control =&gt; horas de apoyo a laboratorio
                           LE =&gt; horas estimadas de proyecto a 9h x mes durante 6m + el analisis de ingeniería por el adicional
                           FAT protecciones/ control/ comunicaciones =&gt; horas de estudio y preparación para el SAT
Las horas SAT fueron revisadas en el inicio y queda la reunión de planificación con los coordinadores/responsables de Servicio para confirmas los saldos estimados.
---------------------------------------------------------------------------------------------------------------------------------
22/10/2021. Ajuste de horas. Falta hacer la reunión de los coordinadores para confirmar los saldos estimados.
---------------------------------------------------------------------------------------------------------------------------------
08/09/2021. Se mantuvo el saldo del periodo anterior. Falta hacer la reunión de los coordinadores para confirmar los saldos estimados.
---------------------------------------------------------------------------------------------------------------------------------
12/08/2021. Se mantuvo el saldo del periodo anterior. Falta hacer la reunión de los coordinadores para confirmar los saldos estimados.
15/07/2021. Actualización de horas. El saldo estimado es mi apreciación que debo confirmar y/o actualizar con los responsables. Tareas pendientes estimado:
                         Fábrica=&gt; Preparado de algún material que necesitemos durante el SAT
                         Proyectista =&gt; CAO (tableros)
                         Ingenieria Protecciones =&gt; Soporte SAT + CAO (configuraciones)
                         Ingeniería Control =&gt; Soporte SAT + CAO (IET, Scada, BD, Pantallas)
                         LE =&gt; Gestión técnica y seguimiento
                         FAT Protecciones =&gt; Preparación SAT
                         FAT Control =&gt; Preparación SAT
                         FAT Comunicaciones =&gt; Preparación SAT
14/06/2021. Actualización de horas. En este periodo se siguieron adelantando los protocolos SAT y realizaron los ensayos FAT de las TUC NORTE que se reflejarán en el próximo periodo al igual que el de fábrica. El saldo de proyectista es para documentación CAO y para la realización CAF de TUCU NORTE.
17/05/2021. Actualización de horas. en este periodo y en el que viene se realizaron protocolos SAT adicionales . Se corrigió la cantida de horas FAT protecciones para considerar los ensayos FAT de las placas de TUC NORTE. Una vez terminado tenemos que revisar las horas SAT con los coordinadores.
13/04/2021. Actualización de horas. se consumió en proyectista e ingeniería por la revisión de Tucuman Norte. Restan trabajos de fábrica para montaje de REF615 y ensayos FAT.
29/03/2021. En proyectista se estimo el saldo para los documentos CAO.
18/01/2021. Analisis del P12 (hasta 20/12/2020) se consumieron horas de proyectista e ingeniería por el retrofit y la realización del documento de re de datos. Es de esperar que haya algún consumo de horas si llegar comentarios sobre las ingenierías. Las horas de saldo de proyectistas corresponden a elaboración de CAO de todos los documentos.
18/12/2020. Analisis del P11 (hasta 20/111/2020) se consumieron 121 horas Fabrica/Proyectista que responden a una necesidad de oficina y no al proyecto. Si se consumieron horas de proyectista de protecciones por la elaboración del retrofit al igual que la configuración de los IEDs. Las horas de ingeniería utilizadas están correctas y corregidas. En el P12 se veran reflejadas las horas utilizadas para la realización del documento de red que nos faltaba.
18/11/2020. El analisis corresponde al periodo reportado hasta el 20/10/2020, en esta etapa se terminaron los ensayos FAT y embalaje y entrega de los paneles excepto el tablero de Gateway que por un problema técnico del SNMP no se ha entregado, tambien faltan  /trabajos de fábrica, ingeniería y laboratorio relacionada con el retrofit de TUC NORTE y la documentación CAF para cerrar la etapa de FAT y esperar la etapa SAT. El saldo etimado lo revisamos con GC el 27/10/2020
20/10/2020. Se termino el ensayo FAT quedando algunos trabajos de actualización del Scada que deben reflejarse en el periodo 10 (21/09/2020 al 20/10/2020) y por eso se ajustan las horas de ingeniería debido al soporte dado durante el FAT para atender problemas funcionales y documentación complementaria de control CAF.
04/08/2020. Se ajustaron las horas en función del restante de tareas FAT de Protección y Control programadas y la participación de Ingeniería en la resolución de inconvenientes aparecidos durante los ensayos que permitirán optimizar tiempos de FAT en la Q190033
14/07/2020. Revisión de horas. Se realizó una revisión conjunta con la Q190033 y se consensuo al día de hoy que 100hrs FAT Control y 100hrs Ingeniería Protecciones de la Q190033 se ahorrarían por la Q190015, esto se reflejará contablemente
16/06/2020. Revisión de horas. Se adiciona un saldo de proyectista por modificaciones en la ingeniería de retrofit al igual que fabricación ya que no se había considerado en la revisión anterior esas horas
05/05/2020. Revisión de horas. Se adiciona un saldo de ingeniería protecciones por ajustes en las configuraciones que van apareciendo a medida que se desarrolla el Scada.
15/04/2020. Revisión de horas. Se cambia el criterio colocando el saldo del mes anterior corrigiendo las horas planificadas a fin de reflejar el verdadero consumo de horas y hacer un ajuste real Esto se hace en los casos que el Saldo da negativo porque se consumieron más hora que las planificadas que hay que analizar. En este proyecto las horas de ingeniería de protecciones se superaron por motivo de las configuraciones que fueron más complejas de lo previsto.
06/03/2020. Revisión de horas
11/02/2020. Se ajustaron las hotras en base al ajuste realizado la revisión anterior
13/01/2020. Revisión interna con JJH y vemos que habrá un mayor consumo de horas estimado por la realización de las configuraciones. Se ajustó el saldo estimado en función del trabajo de configuración de protecciones que resta realizar, vale destacar que en las configuraciones se están realizando los datasets para la posterior inclusión en el IET. Además incluimos en ingeniería el tiempo que llevará la preparación y posterior dictado de la segunda visita de personal de EDET/TRASNOA a fábrica.
23/12/2019. Revisión interna y de cronograma de proyectos por las demoras en la respuesta de parte del cliente.
25/11/2019. El proyecto esta lento debido a una demora en la respuesta de TRANSNOA que es quien revisa la ingeniería que se le envia a EDET (esto de una conversación la semana pasada de GC con EDET) Esta semana tenemos que revisar el cronograma con GC y JJH
31/10/2019. Modificación de horas planificadas LE según análisis del 02/10/19
02/10/2019.No hay comentarios relevantes al respecto. Estamos esperando comentarios de ing. emitida. los paneles del sistema de control se están realizando en INOPC. Ajustamos horas LE respecto a las que consideré inicialmente, cuando esté ajustada reemplazar en Horas Planificadas (285)
03/09/2019. He previsto un saldo adicional hasta que se aprueben la ingeniería, subestime las horas que llevaría la definición de la primera emisión y correcciones de los primeros documentos emitidos</t>
    </r>
  </si>
  <si>
    <t>Q190016</t>
  </si>
  <si>
    <r>
      <rPr>
        <b/>
        <sz val="9"/>
        <rFont val="Arial"/>
        <family val="2"/>
      </rPr>
      <t>Ultima rev. 20/07/19</t>
    </r>
    <r>
      <rPr>
        <sz val="9"/>
        <rFont val="Arial"/>
        <family val="2"/>
      </rPr>
      <t xml:space="preserve">
08/04/2019. Sin cambios en hs. El PM  es Jose Morales.
27/05/2019. Confirmar el Nuevo PM.
04/07/2019. Los Meandros pasa la programacion y FAT a octubre noviembre  110+117.</t>
    </r>
  </si>
  <si>
    <r>
      <rPr>
        <b/>
        <sz val="9"/>
        <rFont val="Arial"/>
        <family val="2"/>
      </rPr>
      <t>Ultima rev. 13/11/19 - Proyecto Cancelado</t>
    </r>
    <r>
      <rPr>
        <sz val="9"/>
        <rFont val="Arial"/>
        <family val="2"/>
      </rPr>
      <t xml:space="preserve">
27/05/2019. Primer revisión de hs. A la espera de contestación de consultas para realizar la ingeniería.
24/06/2019. Se envió la totalidad de la ingeniería de comunicaciones, a la espera de la confirmación de la frecuencia de los equipos de onda portadora.                                                                                                                                                                                                                    30/8/2019. El proyecto se encuentra suspendido                                                                                                                                                       13/11/19. El proyecto se encuentra cancelado</t>
    </r>
  </si>
  <si>
    <t>Q190017</t>
  </si>
  <si>
    <t>Q190018</t>
  </si>
  <si>
    <t>Q190019</t>
  </si>
  <si>
    <t>Q190020</t>
  </si>
  <si>
    <t>Q190021</t>
  </si>
  <si>
    <r>
      <rPr>
        <b/>
        <sz val="9"/>
        <color theme="0" tint="-4.9989318521683403E-2"/>
        <rFont val="Arial"/>
        <family val="2"/>
      </rPr>
      <t>Ulttima rev. 02/11/2020</t>
    </r>
    <r>
      <rPr>
        <sz val="9"/>
        <color theme="0" tint="-4.9989318521683403E-2"/>
        <rFont val="Arial"/>
        <family val="2"/>
      </rPr>
      <t xml:space="preserve">  FINALIZADO-</t>
    </r>
    <r>
      <rPr>
        <b/>
        <sz val="9"/>
        <color theme="0" tint="-4.9989318521683403E-2"/>
        <rFont val="Arial"/>
        <family val="2"/>
      </rPr>
      <t xml:space="preserve"> Revisar hs planificadas con la actuaización por adicional, el alcance cambió por no poder "copiar" según oferta original </t>
    </r>
    <r>
      <rPr>
        <sz val="9"/>
        <color theme="0" tint="-4.9989318521683403E-2"/>
        <rFont val="Arial"/>
        <family val="2"/>
      </rPr>
      <t>- Hs 1910 - Se inicia FAT en fines de Octubre y se finaliza 6/11 - SAT estimado en Diciembre - 1911 - Falta SAT en Diciembre y CAO - Hs 1912: SAT iniciado, se actualizan hs de adicionales por cambios de ingeniería y servicios en terminal RED lado LB. Notar que el OPQ de ingeniería puede equilibrarse por hs de más en campo. - Hs 0120, se finalizó el SAT, falta CAO - Hs 2003, falta CAO. Hs 2004, falta CAO. Hs 2005 - Falta CAO programado en Junio. Hs 2006 - Falta CAO programado en Julio - Hs2008  ingresará hs de proyectista y se cierra el Q. Hs 2010 FINALIZADO con emisión de CAO</t>
    </r>
  </si>
  <si>
    <t>Q190022</t>
  </si>
  <si>
    <r>
      <rPr>
        <b/>
        <sz val="9"/>
        <rFont val="Arial"/>
        <family val="2"/>
      </rPr>
      <t>Ultima rev. 17/01/22 - Proyecto Cerrado</t>
    </r>
    <r>
      <rPr>
        <sz val="9"/>
        <rFont val="Arial"/>
        <family val="2"/>
      </rPr>
      <t xml:space="preserve">
27/05/2019. Primer revisión de hs. Se generó la Ingeniería General.
24/06/2019. Se envió la totalidad de la ingeniería.                                                                                                                                                                                                         30/8/2019. Sin novedades                                                                                                                                                                                                                                                   13/11/2019. Se comenzó la fabricación de los armarios. Se estima FAT para principios de diciembre                                                                                                               31/1/2020. Se realizó el FAT y se despacharon los tableros                                                                                                                                                                                                             15/04/2020. A la espera de la realización del SAT                                                                                                                                                                                                                                                             14/05/2020. A la espera de la realización del SAT                                                                                                                                                                                                                                 20/07/2020. A la espera de la realización del SAT                                                                                                                                                                                                           29/09/2020. A la espera de la realización del SAT                                                                                                                                                                                                        18/12/2020. Se está coordinando el SAT remoto                                                                                                                                                                                                      24/02/21. Se dictó la capacitacion. Se está coordinando el SAT remoto                                                                                                                                                                   13/04/21. A la espera del SAT remoto                                                                                                                                                                                                                     20/07/21. A la espera del SAT remoto                                                                                                                                                                                                                                                                17/09/21. A la espera del SAT remoto                                                                                                                                                                                                                     15/11/21. A la espera del SAT remoto                                                                                                                                                                                                                         17/01/22. Se cierra el proyecto</t>
    </r>
  </si>
  <si>
    <t>Q190023</t>
  </si>
  <si>
    <t>Ultima rev. 07/12/2021 - PROYECTO CERRADO
18/06/2019. Se carga proyecto, de acuerdo a hs informadas para KOM (todavía no se realizó). 
07/08/2019. Se cargan hs consumidas. Demora en definición de características de montaje para los paneles.
19/09/2019. Se cargan hs consumidas. Ya se emitieron documentos generales y paneles PLCs.
09/10/2019. Se cargan hs consumidas.
08/11/2019. Se revisan hs. Se avanza ingeniería.
03/12/2019. Se revisan hs. Se avanzó con ingenería software EM NEA y GWY NCCN. 
08/01/2020. Se revisan hs. Se completó FAT TSE-PLC. Se emitió ingenería paneles. Se indica al cliente que no se puede avanzar mucho más sin confirmación de Transener.  Se recibe información para avanzar con ingeniería paneles comunicaciones. 
07/02/2020. Se emitió ingeniería Comunicaicones. Transener da indicios para poder retomar el proyecto. 
06/03/2020. Se ajustan hs. Poco avance, Transener requiere emitir nuevamente toda la ingeniería con otro nombre para el sistema.
12/04/2020. Se ajustan hs. Poco avance, Se pide confirmación a Trasnener respecto a ingeniería. 
13/05/2020. Se revisan hs. Sin avances importantes. Sin respuesta de Trasnener. 
08/06/2020. Se recibe calificación de Transener. Se programa revisión de documentos e ingeniería interconexión.
14/07/2020. Se está generando documentación para invitar a FAT en Agosto.
11/08/2020. Se avanzó con emisión parcial. Pendientes protocolos FAT EM y MACN. Se estima FAT inicio Septiembre.
09/09/2020. Se emitió ingeniería programas. Se coordinará FAT para Octubre. Se está elaborando ingeniería interconexión.
09/10/2020. FAT en octubre. Se espera visita a obra, y documentación, para completar y emitir interconexión.
12/11/2020. Se realizó FAT paneles, y programas PLC. Parcial SW. 
11/12/2020. Se completó FAT, se despachan paneles. Se está elaborando interconexión, CAF, y protocolos SAT.
28/1/2021. Se emitió toda la documentación del proyecto. Se está comenzando a coordinar la PeS.
24/02/2021.	En proceso de coordinación PeS. 
11/03/2021. Secuencia PeS incia fin marzo. 
14/04/2021. Se iniciaron tareas en obra. Suspendidas por temas ajenos a HAPG.
20/05/2021. PeS en curso.
10/06/2021. PeS suspendida por razones ajenas a HAPG. Se propone 22/06.
13/07/2021. Se completó PeS. CAO en elaboración. 
12/08/2021. Se emiten CAOs.  Capacitación comunicaciones en Agosto, luego cierre.
14/09/2021. Se cerrará en próximo período. Sin tareas pendientes.
25/10/2021. Se ajustan hs consumidas.
21/11/2021. Se cargan hs de ensayos FAT del Q200005. Se cerrará próximo período.
07/12/2021. Se ajustan hs consumidas. PROYECTO CERRADO.</t>
  </si>
  <si>
    <t>Q190024</t>
  </si>
  <si>
    <t>Q190025</t>
  </si>
  <si>
    <r>
      <t>PROYECTO CERRADO POR INACTIVIDAD</t>
    </r>
    <r>
      <rPr>
        <b/>
        <sz val="10"/>
        <rFont val="Arial"/>
        <family val="2"/>
      </rPr>
      <t xml:space="preserve">
Ultima rev. 11/04/2023</t>
    </r>
    <r>
      <rPr>
        <sz val="10"/>
        <rFont val="Arial"/>
        <family val="2"/>
      </rPr>
      <t xml:space="preserve">
Consultado el PM se cierra en la planilla por inactividad
---------------------------------------------------------------------------------------------------------------
Ultima rev. 11/02/2021
11/02/22. Se da por cerrada técnicamente la parte de protecciones con la entrega de los CAO. Quedan pendientes trabajos adicionales de la DAG que se están negociando y por lo tanto horas de proyectista para los CAO de control e ingeniería FAT y SAT.
-----------------------------------------------------------------------------------------------------------------------------------
14/01/2021. Los servicios de protecciones se realizaron por lo que no quedan tareas pendientes salvo el CAO. El saldo estimado de proyectista es para realizar los CAO de protecciones y control. Hay pendientes trabajos de DAG que deberán ser tratados cómo adicionales porque hay tareas adicionales solicitadas por el cliente. De control quedan hacer los CAO.
-----------------------------------------------------------------------------------------------------------------------------------
06/12/2021. Durante el P12 se realizarán los servicios de SAT. De Ingeniería de protecciones fatarían los CAO de las ingenierías de Barra y en lo que estamos excedidos es en las horas de ingeneiría de control que se compensan en parte con las horas consideradas para Protecciones. Dado que parte del SAT de control se realizará con soporte remoto es esperable que horas de campo conpensen la falta de horas de ingeniería (desde el punto de vista del resultado)
--------------------------------------------------------------------------------------------------------------------------------
10/11/2021. Actualización de horas. Se prevee realizar el SAT de protecciones pra el P11 quedando el servicio DAG a definir por cuestiones del proyecto de parte del cliente ya que no están listas las instalaciones. RV esta negociando la actualización del servicio por actualización de tarifas.
--------------------------------------------------------------------------------------------------------------------------------
12/08/2021. Se está esperando la confirmación de fecha del cliente. Está la oportunidad de oportunidad para cobrar adicional por actualización de tarifas que está manejando el PM.
15/07/2021. Actualización de horas. El ensayo SAT paso a Septiembre.
14/06/2021. Actualización de horas. Se espera en Julio realizar los ensayos SAT
17/05/2021. Actualización de horas. A la espera de la confirmación de los ensayos SAT para la primera quincena de junio
13/04/2021. Actualización de horas. Se esta preparando el servicio SAT de protecciones para mayo. Se dejan horas de proyectista para realización de documentación CAO.
29/03/2021. Se esta preparando el servicio SAT de protecciones para mayo.
18/01/2021. Revisión de horas. Restan los servicios a la espera de la confirmación de fechas del cliente.
18/12/2020. Revisión de horas. Restan los servicios. Se ajustó el saldo LE
18/11/2020. Revisión de horas. Restan los protocolos SAT que se consideraron en FAT Protecciones y FAT Control y servicios.
04/08/2020. Revisión de horas. Restan los protocolos SAT que se consideraron en FAT Protecciones y FAT Control y servicios.
14/07/2020. Revisión de horas. Restan los protocolos SAT que se consideraron en FAT Protecciones y FAT Control
16/06/2020. Revisión de horas. A la espera de los trabajos en sitio. Faltan los protocolos que se cargaron en las horas de FAT de Control (dada la modalidad remota nos llevo horas adicionales a lo previsto en forma presencial) y protecciones cómo saldo estimado. y despues la elaboración de los protocolos SAT y los CAO.
05/05/2020. Revisión de horas. Se terminaron los ensayos FAT. Hay un ajuste de fábrica porque tuvieron que prepararse un par de materiales (caja combiflex con piloto que es de armado local y modificación de RTXP24) dado que es una ampliación y hubo que ajustarse a las ingenirías existentes de ZN y que se tienen que ver refñejadas en el próximo período. En cuanto al FAT de control dejé el saldo estimado em cero presumiendo que en este período debería haber entrado las horas del saldo del FAT de la DAG
15/04/2020. Revisión de horas
06/03/2020. Revisión de horas
11/02/2020. No hubo cambios significativos respecto al mes anterior.
27/01/2020. Espero la confirmación de la llegada de las UB para pedir la programación de los ensayos de recepción.
13/01/2020. Se sigue trabajando en el proyecto. Se emitieron las ingenierías de adecuación de DAG. Se espera resolución de los proyectos encadenados a esta modificación. Se realizó un ajuste menor en LE, es de esperar que no haya mucha más actividad de esta función.
23/12/2019. Se está trabajando en la ingeniería DAG. Se espera resolución de los proyectos encadenados a esta modificación.
25/11/2019. Sin comentarios. El trabajo importante de DAG se comenzará a desarrollar en Diciembre según programado con JJH.
31/10/2019. Sin comentarios. Se comenzaron las tareas de DAG asi que es de esperar que el próximo análisis se reflejen más horas
02/10/2019. Sin comentarios. Aún no pudimos realizar la KOM
03/09/2019. Se agregaron horas LE que no estaban contempladas. No se realizó la KOM aún</t>
    </r>
  </si>
  <si>
    <t>DB</t>
  </si>
  <si>
    <t>Q190026</t>
  </si>
  <si>
    <t>Ultima rev. 05/08/22
Se inicio la Fat de cableado de PROTECCIONES. El 7/02 se finaliza FAT de Configuraciones. El 17/02 se inicia FAT de SAS (El valor de FAT de ingenieria se compensa con servicios de FAT)
01/07/2021. JRdV toma el proyecto. Queda realizar PES de Tablero Dif Necochea, Sistema FOX, PES Central Tel, y dar todos los cursos.
02/08/2021. Se realizó el preparado de los cursos de Control. Aún no hay acuerdo de pago con el cliente por lo que no se avanza.
06/09/2021. Se pide realizar la PES el 13/9. La PES de COMM se debe hacer en 2 partes ya que no es PIMDQ finalizado. Se pasará adicional. La PES de PROT se hará con 1 especialista y se pasará adicional por el E-T-E.
19/10/2021. Se finaliza la PES del FOX y protecciones. Queda entregar una transición de FO que estaba rota y la CT no se instaló. Queda pedir adicional para el próximo viaje de la CT y realizar todos los cursos.
02/12/2021. Se aguarda PES de CT, entrega de CAOs de TECO y acuerdo por los cursos pendientes.
07/03/22. Se propone fecha de curso de COMM y PROT. Resta el de control y la PES de la CT.
08/04/2022. Se proponen fechas de cursos para Mayo COMM y Junio PROT y CONTROL.
15/06/2022. Se dictan los cursos satisfactoriamente. Restan pasarse las horas. Revisar Garantías, PES de la CT y SLA.
07/07/2022. Se pasaron las hrs y se logra una reducción por dictar los cursos remotos y darse debaja la PeS de la CT. Restan pasar las últimas horas y cerrar el mismo.
05/08/2022. Se cierra el proyecto.</t>
  </si>
  <si>
    <t>Q190030</t>
  </si>
  <si>
    <r>
      <rPr>
        <b/>
        <sz val="9"/>
        <rFont val="Arial"/>
        <family val="2"/>
      </rPr>
      <t>Ultima rev. 6/12/23 - Proyecto Cerrado</t>
    </r>
    <r>
      <rPr>
        <sz val="9"/>
        <rFont val="Arial"/>
        <family val="2"/>
      </rPr>
      <t xml:space="preserve">
24/06/2019. Primer revisión de hs. Se compraron los materiales.                                                                                                                                                                                    30/8/2019. Se envió la ingeniería de control, y parte de la ingeniería de comunicaciones                                                                                                                                 13/11/2019. Se envió la totalidad de la ingeniería de comunicaciones                                                                                                                                                                   31/1/2020. El proyecto se encuentra suspendido                                                                                                                                                                                                          15/04/2020. Se están fabricando los tableros, se espera reanudar el proyecto                                                                                                                                                          14/05/2020. Se terminaron de fabricar los tableros. Se volvió a suspender el proyecto por falta de pago.                                                                                                                            20/07/2020. Se está reactivando el proyecto. A la espera del FAT.                                                                                                                                                                          29/09/2020. A la espera del FAT.                                                                                                                                                                                                                                      18/12/2020. El proyecto se encuentra suspendido                                                                                                                                                                                                        24/2/2021. El proyecto se encuentra suspendido                                                                                                                                                                                                                             13/4/2021. El proyecto se encuentra suspendido                                                                                                                                                                                                                   20/7/2021. Se presentó un adicional, a la espera de su aprobación                                                                                                                                                                     17/9/2021. Se presentó un adicional, a la espera de su aprobación                                                                                                                                                                                                                             15/11/2021. Se presentó un adicional, a la espera de su aprobación                                                                                                                                                                        17/01/2022. Se está conversando con Transnoa por el adicional.                                                                                                                                                                                    07/03/2022. Continuan las conversaciones por el adicional                                                                                                                                                                                                                                            27/05/2022. Continuan las conversaciones por el adicional                                                                                                                                                                                                       05/08/2022. Continuan las conversaciones por el adicional                                                                                                                                                                                                     03/10/2022. Continuan las conversaciones por el adicional                                                                                                                                                                      07/12/2022. Continuan las conversaciones por el adicional                                                                                                                                                                                    30/01/2023. Se generó un nuevo esquema para el adicional con doble sistema de comunicación                                                                                                                                 14/04/2023. Continuan las conversaciones por el adicional                                                                                                                                                                                                        30/05/2023. Continuan las conversaciones por el adicional                                                                                                                                                                                  12/07/2023. Se va a presentar una oferta por el adicional                                                                                                                                                                      16/08/2023. Se presentó una oferta por el adicional                                                                                                                                                                                                            05/10/2023. Se aprobó el adicional. Debe cerrarse este proyecto y abrir uno nuevo.                                                                                                                                06/12/2023. Se cierra el proyecto.                                                                                                                                                                                                                                                                                                                                                                                                                                                                                                                                                                                      </t>
    </r>
  </si>
  <si>
    <t>Q190031</t>
  </si>
  <si>
    <r>
      <rPr>
        <b/>
        <sz val="9"/>
        <rFont val="Arial"/>
        <family val="2"/>
      </rPr>
      <t>Ultima rev.12/7/2023 - Proyecto Cerrado</t>
    </r>
    <r>
      <rPr>
        <sz val="9"/>
        <rFont val="Arial"/>
        <family val="2"/>
      </rPr>
      <t xml:space="preserve">
30/08/2019. Primera revisión de hs. Se compraron los materiales. Se envió la totalidad de la ingeniería.                                                                                                                                       13/11/2019. Se entregaron los planos para fabricación.                                                                                                                                                                                       31/1/2020. Se están fabricando los tableros                                                                                                                                                                                               15/04/2020. Se terminó la fabricación y se realizó el prefat de los tableros. No se pudo realizar el fat y curso por la  cuarentena, lo estamos reprogramando.                                                                                                                                                                                                                                        14/05/2020. Sin novedades                                                                                                                                                                                                                         20/07/2020. Sin novedades                                                                                                                                                                                                                                                                                                                                     29/09/2020. Sin novedades                                                                                                                                                                                                                                  18/12/2020. Sin novedades                                                                                                                                                                                                                                                         24/2/2021. Se está realizando el FAT y el curso                                                                                                                                                                                                      13/4/2021. Se gastaron más horas porque hubo que volver a preparar el FAT. Se enviaron los tableros y quedamos a la espera del SAT.                                                                                                                    20/7/2021. A la espera del SAT                                                                                                                                                                                                                             17/9/2021. A la espera del SAT                                                                                                                                                                                                                                                                   15/11/2021. A la espera del SAT. Se detecta un armario en sitio golpeado.                                                                                                                                                                   17/01/2022. A la espera del SAT y de la resolución sobre el armario en sitio golpeado.                                                                                                                                        07/03/2022. A la espera del SAT y de la resolución sobre el armario en sitio golpeado.                                                                                                                     27/05/2022. Se está coordinando el SAT, se analizará si es posible poner el servicio el armario golpeado.                                                                                                                      05/08/2022. Se realizó el SAT de Pomona - Solito, falta el SAT del FOX de Conesa.                                                                                                                                                        03/10/2022. A la espera del SAT de Conesa                                                                                                                                                                                       07/12/2022. A la espera del SAT de Conesa                                                                                                                                                                                                                   30/01/2023. A la espera del SAT de Conesa                                                                                                                                                                                           14/04/2023. A la espera del SAT de Conesa                                                                                                                                                                                                                               30/05/2023. Se realizó el SAT de Solito - Conesa                                                                                                                                                                         12/07/2023. Se cierra el proyecto</t>
    </r>
  </si>
  <si>
    <t>Q190033</t>
  </si>
  <si>
    <r>
      <rPr>
        <b/>
        <sz val="9"/>
        <color theme="0"/>
        <rFont val="Arial"/>
        <family val="2"/>
      </rPr>
      <t xml:space="preserve">Ultima rev. 13/11/23 - En etapa de cierre, faltan CAOs Comunicaciones
</t>
    </r>
    <r>
      <rPr>
        <sz val="9"/>
        <color theme="0"/>
        <rFont val="Arial"/>
        <family val="2"/>
      </rPr>
      <t xml:space="preserve">1911 - Se sigue avanzando con la ingenieria de detalle, Control, tablero de líneas y acople. Hs 0120, avance de ing. de detalle hw emitida, se avanza con Ing de Sw en forma limitada por falta de calificaciones. Hs 2003. Inicio de Fabricación, continuación de configuración PyC y Protocolos FAT en Abril. FAT estimado en Junio. Hs 2004 - Ing de Hw Finalizada. Se culminan las configuraciones durante mayo. Fabrica continúa Mayo y Junio. Julio inicio de FAT. Ver posible adicional de GOOSE MT con GI - Hs 2005 - Falta Ing. de Control, Fabricación, FAT y SAT
Hs 2006 - Balance acordado ente el proyecto Q190015 y Q190033 =&gt; 100hrs de FAT Control y 100hrs de Ingeniería Protecciones hacia el proyecto Q190015. Revisar Hs Fábrica según tareas faltantes. En Julio/Agosto INg. de Control. FAT protecciones iniciados 15/07. Hs 2008 FAT de protecciones terminado. Falta FAT GOOSE y Ctrol, inicio fines de Septiembre. Ing. Control en proceso y adicional GOOSE de celdas. Estimamos para finalizar los FAT 3 semanas de prot y 3 semanas de Ctrl. 
Hs 2010 en FAT, Prot terminado, Control finaliza el 2/11 con algunos pendientes a reprogramar.
Hs 2011 FAT finalizado, tareas pendientes en Dic y liberación de tableros. SAT 2021
Hs 0121 - Se liberaron todos los tableros y repuestos. Falta CAF, protocolos SAT y SAT tentativo Junio 2021
Hs 0221 - Falta CAF, protocolos SAT y SAT tentativo Octubre 2021
HS 0321 - Falta CAF, protocolos SAT y SAT tentativo Diciembre 2021
Hs 0421 - Falta CAF programado en Mayo y SAT según GI para fin de año
HS 0521 - Falta SAT estimado hacia fin de año según informado por GI, Diciembre 2021
Hs 0621 - Emisión de CAF
Hs 0721 - Sin cambios
Hs 0821 - Sin cambios
Hs 0921 - Al no tener confirmación de GI, movimos fecha tentativa Enero 2022 en WL
Hs 1021 - GI envía estimación de SAT para Marzo/Abril 2022
Hs 1121 - GI envía estimación de SAT para Marzo/Abril 2022
Hs 0122 - GI envía estimación de inicio SAT finales de Mayo 2022
Hs 0222 - Reunión con RV para revisar inicio de obra y hs SAT. Fecha estimada sigue sin cambios
Hs 0322 - Fecha de SAT Junio 2022. Se emiten condiciones y crono. Rev de adicional ensayos celdas con GI
Hs 0422 - Fecha de SAT Julio 2022.
Hs 0522 - GI compró el adicional por SAT de celdas. Por otra parte ABB MT tb tiene la protocolización, se revisará DOW PGGA/ABB MT. Si queda un saldo se deberá devolver a GI o ajustar al cierre del proyecto
Hs 0622 - Se inició PES el 7/07 con reunión en sitio con Transnoa. Se decide avanzar con ajustes NO definitivos y Transnoa adecuará si es necesario con un nuevo informe de ajustes. Semana del 11/'7 se suma control. 
Hs 0722 - Se realiza PES de protecciones y control. Quedan algunos pendientes para una segunda intervención:
 Inyección primaria y polaridad
 Ensayo de tensión reducida
 End to End
 Señales al CCR (Falta agrupamiento y señales al CCR)
 Revisión conexión TAPCON
0822 - Sin cambios en cunato a los pendientes. Se estiman para Septiembre, HS de Octubre
0922 - Se avanzó con inyección primaria y tensión reducida. Falta End to End y pruebas de señales al CCR
1022 - Se levantan pendientes se estima energización 9/11
1122 -  Faltan generar los CAOs
1222 - Faltan generar los CAOs. Se evalúa un adicional por pedido de EDET para incluir alivio de carga por frecuencia en MT
0123 - Sin cambios
0223 - Wilmer envía correo con cambios del esquema de datos. Envío recordatorio para la generación de los CAOs y poder cerrar el Q
0523 - Emitimos los CAOs. Queda pendiente la capacitación que se evaluará en conjunto con el Q190015, entiendo podemos cerrarlo, revisar con PM
0723 - Falta capacitación y CAOs Telecom
0823 - Falta capacitación Fecha: 25 al 28 de septiembre desde Brasil Remoto y CAOs Telecom
0923 - CAOs Telecom
1023 - Emisión de CAOs
</t>
    </r>
  </si>
  <si>
    <t>Q190034</t>
  </si>
  <si>
    <r>
      <rPr>
        <b/>
        <sz val="9"/>
        <rFont val="Arial"/>
        <family val="2"/>
      </rPr>
      <t>Ultima rev. 19/05/21</t>
    </r>
    <r>
      <rPr>
        <sz val="9"/>
        <rFont val="Arial"/>
        <family val="2"/>
      </rPr>
      <t xml:space="preserve">
08/07/2020. Sólo resta la PES y un pre-FAT.
03/08/2020. Sin cambios.
02/09/2020. Sin cambios.
03/11/2020. Se coordina PES para el 11 y 12 de Noviembre.
13/04/2021. Se finaliza el proyecto. No se dictará la capacitación. Faltan pasar las últimas horas.
19/05/2021. Se finaliza el proyecto.</t>
    </r>
  </si>
  <si>
    <t>Q190036</t>
  </si>
  <si>
    <r>
      <rPr>
        <b/>
        <sz val="9"/>
        <rFont val="Arial"/>
        <family val="2"/>
      </rPr>
      <t>Ultima rev. 13/11/2019 - Proyecto Cerrado</t>
    </r>
    <r>
      <rPr>
        <sz val="9"/>
        <rFont val="Arial"/>
        <family val="2"/>
      </rPr>
      <t xml:space="preserve">
13/11/2019. Primera revisión de hs. Se envió la ingeniería, se realizó la PES. El proyecto se encuetra terminado. </t>
    </r>
  </si>
  <si>
    <t>Q190039</t>
  </si>
  <si>
    <r>
      <t xml:space="preserve">Rev. 05/02/21
</t>
    </r>
    <r>
      <rPr>
        <sz val="9"/>
        <rFont val="Arial"/>
        <family val="2"/>
      </rPr>
      <t>En Enero de 2020 se hizo el ensayo FAT.
El proyecto está cerrado habiendo quitado el alcance de la supervisión de montaje en obra</t>
    </r>
    <r>
      <rPr>
        <b/>
        <sz val="9"/>
        <rFont val="Arial"/>
        <family val="2"/>
      </rPr>
      <t xml:space="preserve">
</t>
    </r>
    <r>
      <rPr>
        <sz val="9"/>
        <rFont val="Arial"/>
        <family val="2"/>
      </rPr>
      <t xml:space="preserve">El mes próximo cerrar este proyecto
</t>
    </r>
    <r>
      <rPr>
        <b/>
        <sz val="9"/>
        <rFont val="Arial"/>
        <family val="2"/>
      </rPr>
      <t xml:space="preserve">Ultima revisión 19/07/21
</t>
    </r>
    <r>
      <rPr>
        <sz val="9"/>
        <rFont val="Arial"/>
        <family val="2"/>
      </rPr>
      <t>Proyecto cerrado (ver mail de Diego Bordatto 05/04/21)</t>
    </r>
  </si>
  <si>
    <t>Q190040</t>
  </si>
  <si>
    <r>
      <rPr>
        <b/>
        <sz val="9"/>
        <rFont val="Arial"/>
        <family val="2"/>
      </rPr>
      <t xml:space="preserve">Ultima rev. 12/11/2020 - PROYECTO CERRADO
</t>
    </r>
    <r>
      <rPr>
        <sz val="9"/>
        <rFont val="Arial"/>
        <family val="2"/>
      </rPr>
      <t>19/09/2019. Primera versión. Sin hs cargadas.
11/10/2019. Se cargan hs. Se emitió ingeniería básica, se detecta necesidad de cambio alcance. Se informa a cliente, y se generará una Nota de Cambio. Con la aceptación, se agregarán las hs correspondientes. 
08/11/2019. Se recibió confirmación adicional, se espera OC. Se avanza con ingeniería.
03/12/2019. Se revisan hs. Se avanza en ingeniería. Demora en aprobaciones de ingeniería.
08/01/2020. Se revisan hs. FAT programado para Enero.
07/02/2020. FAT programado en febrero. Se observa desvío en hs ingeniería, adjudicable a presencia de automatismo local.
06/03/2020. Se realizó FAT. Se emitión CAF y Protocolo SAT. A la espera condiciones PeS.
12/04/2020. A la espera condiciones PeS.
13/05/2020. A la espera condiciones PeS. Se recibió pedido de cambio de TRANSBA. 
08/06/2020. A la espera condiciones PES. Sin confirmar pedido de cambio.
14/07/2020. Se está coordinando fecha para PeS (cliente pide Julio/Agosto). 
11/08/2020. PeS programada fin de agosto.
09/09/2020. Se realizó PES. Se están elaborando CAOs.
09/10/2020. Se emitieron CAOs. Se espera al próximo período para cierre del proyecto. 
12/11/2020. Proyecto Cerrado.</t>
    </r>
  </si>
  <si>
    <t>Q190041</t>
  </si>
  <si>
    <r>
      <rPr>
        <b/>
        <sz val="9"/>
        <color theme="0"/>
        <rFont val="Arial"/>
        <family val="2"/>
      </rPr>
      <t xml:space="preserve">Ultima rev. 15/11/21 - Finalizado
</t>
    </r>
    <r>
      <rPr>
        <sz val="9"/>
        <color theme="0"/>
        <rFont val="Arial"/>
        <family val="2"/>
      </rPr>
      <t>1911 - Ing. realizada y emitida. En Diciembre sieguiremos comn las configuraciones. Luego en función del aribo de los IEDs programaremos FAT - Hs 0120 se emitió ing, configuraciones y protocolos FAT, FAT semana del 10/02. HS 2003 - SAT sin programar, deuda del cliente aún no se entregaron los IEDs. Hs 2004 - SAT estimado Septiembre, ver de pasar Hs de Producción a Ingeniería. HS 2005 - Sigue igual. Hs 2006 - Sigue igual. Hs 2008 SAT programado parte RET650 el 28/09, el resto queda para 2021. 
Hs 2010/2011 SAT primera parte terminado, queda segunda parte RED650 para Marzo o Sep 2021. Se puede compensar menor tiempo de PES a hs de ingeniería
Hs 0121 - Falta SAT de 2 RED650, podría ser en Marzo o Septiembre según parada del CP
Hs 0221 - Falta SAT de 2 RED650, Central puerto informa Octubre/Noviembre
Hs 0321 - Falta SAT de 2 RED650, Central puerto informa Octubre/Noviembre
Hs 0421 - Falta SAT de 2 RED650, Central puerto informa Octubre/Noviembre
Hs 0521 - Falta SAT de 2 RED650, Central puerto informa Octubre/Noviembre
Hs 0621 - Sin cambios - Consultar por retrofit RXDHL411
Hs 0721 - Sin cambios
Hs 0821 - SAT segunda parte desde el 14/09, una semana
Hs 0921 - SAT Finalizado según lo previsto. Falta generar los 3 doc. CAOs</t>
    </r>
  </si>
  <si>
    <t>Q190043</t>
  </si>
  <si>
    <r>
      <rPr>
        <b/>
        <sz val="9"/>
        <rFont val="Arial"/>
        <family val="2"/>
      </rPr>
      <t>Ultima rev. 08/06/2020 - PROYECTO CERRADO</t>
    </r>
    <r>
      <rPr>
        <sz val="9"/>
        <rFont val="Arial"/>
        <family val="2"/>
      </rPr>
      <t xml:space="preserve">
16/08/2019. Se carga proyecto, de acuerdo a hs informadas para KOM (todavía no se realizó).
19/09/2019. Se cargan hs consumidas.
11/10/2019. Se cargan hs consumidas.
08/11/2019. Se revisan hs.
03/12/2019. Se revisan hs.
08/01/2020. Se revisan hs. SE consulta al PM por licencia McAfee.
07/02/2020. Se revisan hs.
06/03/2020. Se completó el contrato. Se está coordinando renovación. Se mantienen abierto hasta que arranque el próximo contrato de mantenimiento.
12/04/2020. Se completó el contrato. Se está coordinando renovación. Se mantienen abierto hasta que arranque el próximo contrato de mantenimiento.
13/05/2020. Se completó el contrato. Se está coordinando renovación. Se mantienen abierto hasta que arranque el próximo contrato de mantenimiento.
08/06/2020. PROYECTO CERRADO (contrato nuevo Q200015)</t>
    </r>
  </si>
  <si>
    <t>Q190044</t>
  </si>
  <si>
    <r>
      <t xml:space="preserve">Rev. 10/06/21
</t>
    </r>
    <r>
      <rPr>
        <sz val="9"/>
        <rFont val="Arial"/>
        <family val="2"/>
      </rPr>
      <t>Los tableros estan fabricados y acopiados en nuestra fábrica
Ver mail de RV del 11/02/21</t>
    </r>
    <r>
      <rPr>
        <b/>
        <sz val="9"/>
        <rFont val="Arial"/>
        <family val="2"/>
      </rPr>
      <t xml:space="preserve">
</t>
    </r>
    <r>
      <rPr>
        <sz val="9"/>
        <rFont val="Arial"/>
        <family val="2"/>
      </rPr>
      <t>Cabe la posibilidad de hacer el FAT pendiente en Julio/22</t>
    </r>
    <r>
      <rPr>
        <b/>
        <sz val="9"/>
        <rFont val="Arial"/>
        <family val="2"/>
      </rPr>
      <t xml:space="preserve">
Rev. 13/07/22
</t>
    </r>
    <r>
      <rPr>
        <sz val="9"/>
        <rFont val="Arial"/>
        <family val="2"/>
      </rPr>
      <t>Se terminó el FAT de los 2 tableros. Revisar horas el mes próximo</t>
    </r>
    <r>
      <rPr>
        <b/>
        <sz val="9"/>
        <rFont val="Arial"/>
        <family val="2"/>
      </rPr>
      <t xml:space="preserve">
Proyecto cerrado</t>
    </r>
  </si>
  <si>
    <t>Q190045</t>
  </si>
  <si>
    <r>
      <rPr>
        <b/>
        <sz val="9"/>
        <rFont val="Arial"/>
        <family val="2"/>
      </rPr>
      <t>Ultima rev. xx/xx/xx</t>
    </r>
    <r>
      <rPr>
        <sz val="9"/>
        <rFont val="Arial"/>
        <family val="2"/>
      </rPr>
      <t xml:space="preserve">
xx/xx/20xx. </t>
    </r>
  </si>
  <si>
    <t>RR</t>
  </si>
  <si>
    <t>Q190046</t>
  </si>
  <si>
    <r>
      <rPr>
        <b/>
        <sz val="9"/>
        <rFont val="Arial"/>
        <family val="2"/>
      </rPr>
      <t>Ultima rev. 07/02/2020</t>
    </r>
    <r>
      <rPr>
        <sz val="9"/>
        <rFont val="Arial"/>
        <family val="2"/>
      </rPr>
      <t xml:space="preserve">
07/02/2020 Se pidieron tableros para la compra. Se esta evaluando materiales para los mimicos. Se estan cotejando los display con el cliente. 20/12/2019 Chequear con Juan Cronograma y recurso: terminar ingenieria de mimico fines de enero, tableros fines de febrero.Resolver 1ro internamente el tema medidores.</t>
    </r>
  </si>
  <si>
    <t>Q190047</t>
  </si>
  <si>
    <r>
      <rPr>
        <b/>
        <sz val="9"/>
        <color rgb="FF000000"/>
        <rFont val="Arial"/>
        <family val="2"/>
      </rPr>
      <t xml:space="preserve">Ultima rev. 17/01/2023 - PROYECTO CERRADO
</t>
    </r>
    <r>
      <rPr>
        <sz val="9"/>
        <color rgb="FF000000"/>
        <rFont val="Arial"/>
        <family val="2"/>
      </rPr>
      <t>19/09/2019. Primera versión. Sin hs cargadas.
11/10/2019. Se verifican hs. Se ajusta columna de hs planificadas de acuerdo a KOM.
08/11/2019. Se revisan hs. Se observa desvío hs en fábrica. Se consulta a JT. Está ok, son hs reclasificadas desde Q189998.
03/12/2019. Se revisan hs. Ingeniería lista para emisión, a espera de normalización comercial proyecto. 
08/01/2020. Se recibe calificación ingeniería. Se invita a FAT fin enero.
07/02/2020. Se realizó FAT.  Falta armar lote repuestos por falta CPUs.
06/03/2020. Se realizaron CAOs y protocolos SAT. A la espera condiciones PeS. 
12/04/2020. Se completó FAT, y emisión CAFs. A la espera condiciones PeS. Se consulta a ED por desvío en hs FAT. 
13/05/2020. A la espera condiciones PeS.Desvío hs FAT por  participación de dos personas en el ensayo, para capacitación. 
08/06/2020. A la espera condiciones PeS.
14/07/2020. A la espera condiciones PeS.
11/08/2020. Sin cambios
09/09/2020. Sin cambios
09/10/2020. Sin cambios
12/11/2020. Sin cambios.
11/12/2020. Sin cambios.
28/1/2021. Sin cambios.
24/02/2021. Sin cambios.
11/03/2021. Sin cambios
14/04/2021. Sin cambios.
20/05/2021. Sin cambios.
10/06/2021. Cliente pide dar de baja contrato. Se está analizando.
13/07/2021. Sin cambios.
16/08/2021. Sin cambios.
14/09/2021. Sin cambio. A espera PeS local, o ampliación EM Madryn, e integración.
25/10/2021. Sin cambio. A espera PeS local, o ampliación EM Madryn, e integración.
21/11/2021. Sin cambio. A espera PeS local, o ampliación EM Madryn, e integración.
07/12/2021. Sin cambio. A espera PeS local, o ampliación EM Madryn, e integración.
11/01/2022. Sin cambio. A espera PeS local, o ampliación EM Madryn, e integración.
25/02/2022. Sin cambio. A espera PeS local, o ampliación EM Madryn, e integración.
10/03/2022. Sin cambio. A espera PeS local, o ampliación EM Madryn, e integración.
05/04/2022. Sin cambio. A espera PeS local, o ampliación EM Madryn, e integración.
26/05/2022. Sin cambio. A espera PeS local, o ampliación EM Madryn, e integración.
07/06/2022. Sin cambio. A espera PeS local, o ampliación EM Madryn, e integración. Mail interno para ver estado.
14/07/2022. Sin cambio. A espera PeS local, o ampliación EM Madryn, e integración. 
03/08/2022. Sin cambio. A espera PeS local, o ampliación EM Madryn, e integración. 
06/09/2022. Sin cambio. A espera PeS local, o ampliación EM Madryn, e integración. 
19/10/2022. Sin cambio. A espera PeS local, o ampliación EM Madryn, e integración. 
07/11/2022. Sin cambio. A espera PeS local, o ampliación EM Madryn, e integración. 
23/12/2022. Se analiza posible cierre del proyecto. Se consulta al PM (ahora DB)
17/01/2023. PROYECTO CERRADO</t>
    </r>
  </si>
  <si>
    <t>Q190049</t>
  </si>
  <si>
    <r>
      <rPr>
        <b/>
        <sz val="9"/>
        <rFont val="Arial"/>
        <family val="2"/>
      </rPr>
      <t>Ultima rev. 13/04/2021 - Proyecto Cerrado</t>
    </r>
    <r>
      <rPr>
        <sz val="9"/>
        <rFont val="Arial"/>
        <family val="2"/>
      </rPr>
      <t xml:space="preserve">
13/11/2019. Primera revisión de hs. Se generó la ingeniería y se envió para montaje en armario de prueba. A la espera de la realización del FAT.                                                                                                                                                                                                                                                 31/1/2020. Se realizó el FAT. Se consumieron más horas porque tuvimos que reemplazar un módulo fallado.                                                                                            15/04/2020. Se va a resintonizar el equipo por pedido de Transba para utilizarlo en el enlace Miramar-Necochea                                                                                      14/05/2020. Sin novedades                                                                                                                                                                                                                                                                                                                              20/07/2020. Se resintonizó el equipo. Sin novedades de la PES                                                                                                                                                                               29/09/2020. Se realizó la PES de este enlace en el vínculo Necochea - P.E. Miramar, pero se imputa al proyecto Q200013                                                                                                                                       18/12/2020. A la espera de la PES                                                                                                                                                                                                                                    24/2/2021. A la espera de la PES                                                                                                                                                                                                                   13/4/2021. A la espera de la PES                                                                                                                                                                                                                                         20/7/2021. Se realizó la PES. Se cierra el proyecto</t>
    </r>
  </si>
  <si>
    <t>Q190050</t>
  </si>
  <si>
    <r>
      <rPr>
        <b/>
        <i/>
        <sz val="9"/>
        <color rgb="FF0070C0"/>
        <rFont val="Arial"/>
        <family val="2"/>
      </rPr>
      <t>PROYECTO TECNICAMENTE CERRADO</t>
    </r>
    <r>
      <rPr>
        <b/>
        <sz val="9"/>
        <rFont val="Arial"/>
        <family val="2"/>
      </rPr>
      <t xml:space="preserve">
</t>
    </r>
    <r>
      <rPr>
        <sz val="9"/>
        <rFont val="Arial"/>
        <family val="2"/>
      </rPr>
      <t>29/03/2021. Se cierra técnicamente el proyecto. Se realizaron los CAO y puso a disposición dl PM. Se ponen los saldos en cero.</t>
    </r>
    <r>
      <rPr>
        <b/>
        <sz val="9"/>
        <rFont val="Arial"/>
        <family val="2"/>
      </rPr>
      <t xml:space="preserve">
</t>
    </r>
    <r>
      <rPr>
        <sz val="9"/>
        <rFont val="Arial"/>
        <family val="2"/>
      </rPr>
      <t xml:space="preserve">18/01/2021. Se demoró el CAO por lo que seguramente el próximo período se verá reflejado el saldo final de horas del proyecto.
18/12/2020. Solo resta el CAO. El saldo en horas no es favorable y lo atribuyo a que este proyecto tuvo un cambio de alcance diferente de proyectista por no estar claras las condiciones de oferta y mucha participación de LE en el inicio para definir la construcción del tablero que era de 600 de ancho. Posiblemente en lo economico fue bueno porque debido al trabajo del LE pudimos utilizar Cx de LU y algunos pocos que tuvimos que comprar.
18/11/2020. Al dia de la fecha se realizó el SAT y solo nos falta el CAO. Las horas y cierre se veran reflejadas en el P11
02/09/2020. Terminación de FAT. El saldo restante es de elaboración de CAF/ CAO/ Protocolo y preparación SAT/ SAT. Se nota un desvio en las horas de ingeniería dada mayormente por la dedicación del LE en la definición del alcance que fue cambiado por el cliente y horas no consideradas de LE en el precalculo. Vale destacar que en los servicios SAT no se considero la energización (que no estaba contemplada) ni ensayos adicionales solicitados por TRANSPA por el Covis y la no presencia n el FAT que originaría una oportunidad de adicionales
04/08/2020. Revisión de horas. FAT en realización.
14/07/2020. Revisión de horas. Se empezarán los ensayos FAT en la próxima revisión.
16/06/2020. Revisión de horas. Ajuste en las horas de LE e ingeniería de protecciones, tambien se ajustaron las horas de proyectista por las revisiones de ingeniería que se realizaron ya que no se contó con información técnica de base. Las condiciones de la oferta fueron muy diferentes y el cliente las cambio una vez adjudicado el proyecto.
05/05/2020. Revisión de horas. Se está realizando una segunda revisión de ingeniería.
15/04/2020. Revisión de horas. Se cumplirá la estimación inicial que las horas estimadas para ingeniería protecciones y proyectista se superaran dado que son paneles que responden a una lógica completamente diferente a lo expresado por B&amp;P. Este mes se deja el saldo sin ajuste pero preveo que para el mes que viene deberemos hacer un ajuste. Lo mismo pasa para las horas del LE dado que la participación es más activa que en otro proyecto.
06/03/2020. Revisión de horas
11/02/2020. Se arrancará con la ingeniería en febrero ya definido el teama tableros y relés auxiliares.
27/01/2020. Recibimos información (fines de la semana pasada) que nos permitieron salir a comprar los tableros. Tenenmos info para comenzar la ingenieria que está programada para comenzar en febrero. Nos solicitaron un cronograma que realizaremos cuando tenga confirmación de los tableros.
13/01/2020. El cliente es complicado porque no ayuda en las definiciones y deslinda las responsabilidades en nosotros. La unica actividad actualmente es la de LE con la realización del documento de Hw&amp;Sw y el seguimiento para conseguir la info necesaria para arranque.
23/12/2019. Solicitar a Matias que formalice con el cliente la demora en la ejecución hasta no recibir la información básica del proyecto y las respuesta a las consultas realizadas.
25/11/2019. Solo hubo actividad de LE para confeción de elenco y listado de información. Se cambio PM. Estamos esperando respuesta del cliente para comprar paneles ya que la especificación técnica solicita dimensiones (ancho 600) y color que no fue aclarado en la Oferta.
31/10/2019. Se pasaron las HH al PM para coordinar la KOM y se ingresaron las horas en la planilla.
02/10/2019. Aun no se realizó la KOM. Se agregaron horas de LE por tareas de coordinación de ingenierí y revisión de documentación recibida. Durante la marcha del proyecto analizaré si se puede balancear con ingeniería
</t>
    </r>
  </si>
  <si>
    <t>Q190051</t>
  </si>
  <si>
    <r>
      <rPr>
        <b/>
        <sz val="9"/>
        <rFont val="Arial"/>
        <family val="2"/>
      </rPr>
      <t>Ultima rev. 15/11/2021 - Proyecto Cerrado</t>
    </r>
    <r>
      <rPr>
        <sz val="9"/>
        <rFont val="Arial"/>
        <family val="2"/>
      </rPr>
      <t xml:space="preserve">
31/01/2020. Primera revisión de hs. Se generó la ingeniería y se envió para fabricación.                                                                                                                                     15/04/2020. Se está realizando la fabricación                                                                                                                                                                                                               14/05/2020. Se terrminó la fabricación. Se programó el FAT para junio.                                                                                                                                                                20/07/2020. Se realizó el FAT.                                                                                                                                                                                                                                         29/09/2020. A la espera del SAT.                                                                                                                                                                                                                                            18/12/2020. A la espera del SAT.                                                                                                                                                                                                                                     24/2/2021. A la espera del SAT.                                                                                                                                                                                                                            13/4/2021. A la espera del SAT.                                                                                                                                                                                                                                     20/7/2021. A la espera del SAT.                                                                                                                                                                                                                       17/9/2021. Se realizó el SAT.                                                                                                                                                                                                                                                                                                                                                                                                                                                       15/11/2021. Se cierra el proyecto.</t>
    </r>
  </si>
  <si>
    <t>Q190052</t>
  </si>
  <si>
    <r>
      <rPr>
        <b/>
        <i/>
        <sz val="9"/>
        <color rgb="FF0070C0"/>
        <rFont val="Arial"/>
        <family val="2"/>
      </rPr>
      <t>PROYECTO TECNICAMENTE CERRADO</t>
    </r>
    <r>
      <rPr>
        <b/>
        <sz val="9"/>
        <rFont val="Arial"/>
        <family val="2"/>
      </rPr>
      <t xml:space="preserve">
</t>
    </r>
    <r>
      <rPr>
        <sz val="9"/>
        <rFont val="Arial"/>
        <family val="2"/>
      </rPr>
      <t>13/04/2021. Se cierra técnicamente el proyecto. Se colocan los saldos en cero.</t>
    </r>
    <r>
      <rPr>
        <b/>
        <sz val="9"/>
        <rFont val="Arial"/>
        <family val="2"/>
      </rPr>
      <t xml:space="preserve">
</t>
    </r>
    <r>
      <rPr>
        <sz val="9"/>
        <rFont val="Arial"/>
        <family val="2"/>
      </rPr>
      <t>29/03/2021. En el P2 se realizaron los servicios y CAO. Se espera el P3 para cerrarlo
18/01/2021. A la espera de los servicios SAT y CAO
18/12/2020. Resta SAT y CAO
18/11/2020. Se está programando el SAT coordinandolo con el SAT de Hercules por las condiciones sanitarias.
04/08/2020. Revisión de horas.  Falta el CAF, protocolo SAT (servicios) y SAT. Se aviso que posiblemente haya adicionales de obra porque Transpa pidió repetir el funcional y configuración durante el SAT.
14/07/2020. Revisión de horas. Falta el CAF, protocolo SAT (servicios) y SAT. Se aviso que posiblemente haya adicionales de obra porque Transpa pidió repetir el funcional y configuración durante el SAT.
16/06/2020. Revisión de horas.
05/05/2020. Revisión de horas.
15/04/2020. Revisión de horas. Es de preveer que usaremos menos horas de proyectista dado que si bien faltan la de este periodo la ingeniería ya esta aprobada y estamos en la fase de configuraciones.
06/03/2020. Revisión de horas
11/02/2020. Sin comentarios se emitió y esperamos calificación.
27/01/2020. Sin comentarios se está trabajando en la ingeniería.
13/01/2020. En curso sin comentarios. Esta semana se envia un cronograma y la revisión del documento de Hw y Sw realizado por el LE.
23/12/2019. Esta en curso y no hay comentarios.
25/11/2019. Esta semana esta planificada la presentación del proyecto y revisión de horas. Según mi revisión preliminar las horas están bien (excepto LE) pero que podrían balancearse con las de ingeniería/proyectista a medida que se desarrolle el proyecto.
31/10/2019. Ingreso de proyecto. Aún no se realizo la KOM.</t>
    </r>
  </si>
  <si>
    <t>Q190053</t>
  </si>
  <si>
    <r>
      <rPr>
        <b/>
        <sz val="9"/>
        <rFont val="Arial"/>
        <family val="2"/>
      </rPr>
      <t>Ultima rev. 13/04/2021</t>
    </r>
    <r>
      <rPr>
        <sz val="9"/>
        <rFont val="Arial"/>
        <family val="2"/>
      </rPr>
      <t xml:space="preserve">
08/07/2020. El contrato finaliza el 31/07. Se propone dejar la auditoría sin hacer y hacerla en el próximo contrato.
03/08/2020. Sin cambios.
02/09/2020. Se acuerda asistencia para revisar REF541 para el 4/9.
03/11/2020. Sin cambios.
13/04/2021. Se finaliza el proyecto.</t>
    </r>
  </si>
  <si>
    <t>Q190055</t>
  </si>
  <si>
    <r>
      <rPr>
        <b/>
        <sz val="9"/>
        <rFont val="Arial"/>
        <family val="2"/>
      </rPr>
      <t>Rev. 23/06/20</t>
    </r>
    <r>
      <rPr>
        <sz val="9"/>
        <rFont val="Arial"/>
        <family val="2"/>
      </rPr>
      <t xml:space="preserve">
Se realizaron los ensayos FATcon la modalidad remoto con Sacde, Pampa Energía y Transba. Terminados
Obtuvimos adicional por tablero Acoplador:
Horas ingeniería protección y control         27 hs
Horas LE                                                     9 hs
Horas fábrica                                               9 hs
Horas protocolo SAT                                   9 hs
Horas SAT                                                   9 hs</t>
    </r>
    <r>
      <rPr>
        <sz val="9"/>
        <color rgb="FFFF0000"/>
        <rFont val="Arial"/>
        <family val="2"/>
      </rPr>
      <t xml:space="preserve">
</t>
    </r>
    <r>
      <rPr>
        <b/>
        <sz val="9"/>
        <rFont val="Arial"/>
        <family val="2"/>
      </rPr>
      <t xml:space="preserve">Ultima revisión 10/05/21
</t>
    </r>
    <r>
      <rPr>
        <sz val="9"/>
        <rFont val="Arial"/>
        <family val="2"/>
      </rPr>
      <t>En el mes de Feb se dictó el curso de Control
En el mes de Feb se dictó el curso de Protecciones (falta firmar el acta)
En la reunión con la PM de la semana se decidirá sí se cierra el proyecto
El proyecto se cierra</t>
    </r>
    <r>
      <rPr>
        <sz val="9"/>
        <color rgb="FFFF0000"/>
        <rFont val="Arial"/>
        <family val="2"/>
      </rPr>
      <t xml:space="preserve">
</t>
    </r>
  </si>
  <si>
    <t>Q190056</t>
  </si>
  <si>
    <r>
      <t xml:space="preserve">Ultima rev.18/12/2020 - Proyecto Cerrado
</t>
    </r>
    <r>
      <rPr>
        <sz val="10"/>
        <rFont val="Arial"/>
        <family val="2"/>
      </rPr>
      <t>31/01/2020. Primera revisión de hs. Se generó la ingeniería y se envió para fabricación.                                                                                                  15/04/20. Se terminó la fabricación y se está por realizar el FAT. Se van a consumir más horas porque se encontró una  placa fallada durante el prefat.   14/05/2020. Se realizó el FAT.</t>
    </r>
    <r>
      <rPr>
        <b/>
        <sz val="10"/>
        <rFont val="Arial"/>
        <family val="2"/>
      </rPr>
      <t xml:space="preserve">                                                                                                                                                                                                                  </t>
    </r>
    <r>
      <rPr>
        <sz val="10"/>
        <rFont val="Arial"/>
        <family val="2"/>
      </rPr>
      <t>20/07/2020. Sin novedades</t>
    </r>
    <r>
      <rPr>
        <b/>
        <sz val="10"/>
        <rFont val="Arial"/>
        <family val="2"/>
      </rPr>
      <t xml:space="preserve">                                                                                                                                                                                                                </t>
    </r>
    <r>
      <rPr>
        <sz val="10"/>
        <rFont val="Arial"/>
        <family val="2"/>
      </rPr>
      <t>29/09/2020. Sin novedades</t>
    </r>
    <r>
      <rPr>
        <b/>
        <sz val="10"/>
        <rFont val="Arial"/>
        <family val="2"/>
      </rPr>
      <t xml:space="preserve">                                                                                                                                                                                                                  </t>
    </r>
    <r>
      <rPr>
        <sz val="10"/>
        <rFont val="Arial"/>
        <family val="2"/>
      </rPr>
      <t>18/12/2020. Se realizó el SAT remoto. Se cierra el proyecto.</t>
    </r>
  </si>
  <si>
    <t>Q190061</t>
  </si>
  <si>
    <r>
      <rPr>
        <b/>
        <sz val="10"/>
        <color theme="0"/>
        <rFont val="Arial"/>
        <family val="2"/>
      </rPr>
      <t xml:space="preserve">Ultima rev. 9-01-23 - FINALIZADO
</t>
    </r>
    <r>
      <rPr>
        <sz val="10"/>
        <color theme="0"/>
        <rFont val="Arial"/>
        <family val="2"/>
      </rPr>
      <t>2003  - Ing. de HW en proceso, Faltan Configuraciones a continuación, Fábrica y FAT. Hs 2004 - Estamos con la última Ing. del RAT y revisionando Trafo y Línea para poder iniciar fabricación. Retrasos en la revisión de Transba produce retraso en la fabricación, además cambiaron la ingeniería de referencia lo que nos provocó grandes revisiones de ingeniería. HS 2005 - Falta Fabricación, inicia en Junio, falta Configuraciones, protocolos y FAT. Hs 2006 - En Ing nos queda DPC el tablero de RAT y continuamos con las configuraciones. , Iniciamos la fabricación . Confección de protocolos FAT. En Julio ingresaremos el adicional de Control. Hs 2008 se avanza con configuraciones y fabricación, se anota hs adicional Control. 
Hs 2010 iniciamos FAT de la primer parte, termina en Noviembre. Segunda parte .3 recien iniciamos con ingeniería
Hs2011 Continuación Ing segunda parte, FAbrica Control en Dic / Enero 2021. 
Hs 0121 - Tableros de Control fabricados. Revisión con Transba tema inversor y PC Advantech, revisión Ing SW en Febrero, FAT Tentativo Marzo 21. Ver faltante de Hs en fábrica, tomar de saldo + de Hs Ingeniería
Hs 0221 - Falta FAT SAS estimado para Abril condicionado a la aprobación deTransba a la utilización de PC Advantech ALL IN ONE
Hs 0321 - Falta FAT SAS estimado para Mayo, Transba aprobó sólo para este Q el uso de las All in one.
Hs 0421 - FAT programado para el 17/05. Posible adicional por la ampliación del REC de SSAA y por la PES de los IEDs de celdas
Hs 0521 - Inicio FAT que continua en primeras 2 semanas de Junio. Se confeccionan protocolos SAT y adecuación de ingeniería por adicional, tarjeta BIM REC670. Por la situación de cambio de responsable en el ensayo de control noto mayor cant de hs para el FAT. Además de la situación de la mudanza que nos demoró en el armado.
Hs 0621 - Sumado a lo mencionado, problemas de integración de los GE L90 ocasionaron un desvío adiccional de 2 semana aprox de Prot y Ctrol
Hs 0721 - Se entregó todo el sistema y los repuestos. Falta ing. CAF, SAT y capacitaciones a Transba
HS 0821 - CAF emitidos. No tenemos aún fecha confirmada para el SAT, se estima luego de MPI por orden de PES Transba. Se espera además la definición a la oferta por adicional ensayos de celdas
Hs 0921 - Seguimos igual sin confirmación....estimamos Noviembre para el inicio SAT con continuidad en Dic
Hs 1021 - Se estima Dic inicio SAT - Se confirma adicional protocolización de celdas, agregamos hs para el adicional
Hs 1121 - En Noviembre sólo hs de preparación FAT. Se inicia PES, PROT, el 13/12. Entrará aprox una semana en Dic luego entre fiestas no se trabaja y se retoma con la PES de PyC desde el 3/01/22
Hs 0122 - Falta una segunda intervención de la PES de protecciones y control. Se anota un adicional de 5d de ing y 3 de campo por pedidos de cambios de Transba y error de conf en la celda de acom de trafo. La estimación de cierre es fin de Marzo.
Hs 0222 - Terminaremos pruebas BD Local aporx 18/03. Restará prubas de señales al COTDT, a programar con el ok de comunicación al CC y agrupamientos de Transba
Hs 0322 - Faltan hs de control última etapa y hs proyectistas CAO
Hs 0422 - Falta energización y emisión de CAOs. Se suspende energización un par de veces. esperaremos una nueva confirmación para coordinar asistencia. Revisar posible adicional por viaje adicional
Hs 0522 - Problemas con los editables del servidor, CAOs en confección. Energización suspendida
Hs 0622 - sin cambios
Hs 0822 - Se pudo resolver el problema con los CAOs, falta revisión de algunos doc y emisión
Hs 0922 - S/C
Hs 1022 - S/C
Hs 1122 - Se emiten los CAOs. Fecha estimada de enerigzación 18/12
hS 1222 - Se energiza la ET. Se peude cerrar el proyecto</t>
    </r>
  </si>
  <si>
    <t>Q190062</t>
  </si>
  <si>
    <r>
      <rPr>
        <b/>
        <sz val="10"/>
        <color theme="0"/>
        <rFont val="Arial"/>
        <family val="2"/>
      </rPr>
      <t>Ultima rev. 10/02/21 - FINALIZADO</t>
    </r>
    <r>
      <rPr>
        <sz val="10"/>
        <color theme="0"/>
        <rFont val="Arial"/>
        <family val="2"/>
      </rPr>
      <t xml:space="preserve">
Hs 2003 - Materiales definidos y compras en curso - Configuraciones y protocolos iniciados. Hs 2004, se confeccionaron los protocolos para los ensayos y se inició la confección de configuraciones. Esto úlitmo entrará con hs de Mayo.La recepción se ajustará según el arribo de los IEDs. HS 2005 - Inicio de FAT 8/6, Continuidad Transba---&gt;GRN---&gt;GRM parcial y por último GRS. Faltan tarjetas X21. Hs 2006 -  Se programa la recepción  de Transba y GRN durante este mes, también recepción parcial de GRM. Quedarán los ensayos de configuraciones y capacitación para Julio/Agosto. Se está analizando la posibilidad de Curso Remoto. Las hs de ingeniería las utilizo para Hs LE pues la conf la realiza servicio. Hs 2008. Reclasificar HS y gastos de viaje a Hs de ingeniería. 
Hs 2010, FAT terminado con pendientes. Falta reparar los IEDs y ensayo de Hw de 5 RED completos y 3 parcialmente. Estimo 4 d.
Hs 2011, idem anterior. Programado FAT pendientes finales de Nov 
HS 0121  - Finalizado</t>
    </r>
  </si>
  <si>
    <t>Q190063</t>
  </si>
  <si>
    <r>
      <rPr>
        <b/>
        <sz val="10"/>
        <rFont val="Arial"/>
        <family val="2"/>
      </rPr>
      <t>Ultima rev. 19/05/21</t>
    </r>
    <r>
      <rPr>
        <sz val="10"/>
        <rFont val="Arial"/>
        <family val="2"/>
      </rPr>
      <t xml:space="preserve">
08/07/2020. Se finaliza la ingeniería y FAT. Resta emitir protocolos y realizar la PES (remota).
03/08/2020. Resta coordinar la PES (remota).
02/09/2020. Resta coordinar la PES remota. Se estima principio de octubre.
03/11/2020. Resta coordinar la PES remota.
13/04/2021. Se finaliza el proyecto. Faltan pasar las últimas horas.
19/05/2021. Se finaliza el proyecto.</t>
    </r>
  </si>
  <si>
    <t>Q190065</t>
  </si>
  <si>
    <r>
      <rPr>
        <b/>
        <sz val="10"/>
        <color rgb="FF000000"/>
        <rFont val="Arial"/>
      </rPr>
      <t xml:space="preserve">Ultima rev. 30/10/2024
</t>
    </r>
    <r>
      <rPr>
        <sz val="10"/>
        <color rgb="FF000000"/>
        <rFont val="Arial"/>
      </rPr>
      <t>30/10/2024. Pedido de AES para coordinar PES.  Se debe presentar adicionales por extensión plazo, y contacto de Distrocuyo.
27/09/2024. Esperando condiciones para PeS. Sin respuesta cliente.
15/07/2024. Esperando condiciones para PeS. Sin respuesta cliente.
06/06/2024. Esperando condiciones para PeS. Sin respuesta cliente.
01/05/2024. Esperando condiciones para PeS. Sin respuesta cliente.
28/02/2024. Esperando condiciones para PeS. Sin respuesta cliente.
23/01/2024. Esperando condiciones para PeS. Sin respuesta cliente.
-------------------------------------------------------------------------------------------------
07/02/2020. Inicio proyecto.  Se usa panel de otro proyecto, se transfieren 140 hs. Quedaría reservar 10 hs más de fábrica, para cambio carteles, y embalaje.
06/03/2020. Se emitió ingeniería panel y documentación general. Sin aprobación hasta el momento.
12/04/2020. Se realizó ingeniería sw programa PLC. Resta ingeniería modificación EM Comahue.
13/05/2020. Se emitió ingeniería modificación EM Comahue. Se pide aprobación para programar ensayos FAT.
08/06/2020. A la espera de calificación para programar FAT. 
14/07/2020. Se programa FAT para septiembre. A la espera aprobación.
11/08/2020. Se realizó el FAT. Se deben hacer protocolos SAT, y CAO.
09/09/2020. Se están elaborando protocolos SAT. 
09/10/2020. Se emitió CAF y Protocolo SAT. A la espera condiciones PeS.
12/11/2020. A la espera de condicones PeS.
11/12/2020. A la espera de condicones PeS.
28/1/2021. A la espera de condicones PeS.
24/02/2021. A la espera de condicones PeS.
11/03/2021. A la espera de condicones PeS.
14/04/2021. A la espera de condicones PeS.
20/05/2021. A la espera de condicones PeS.
10/06/2021. A la espera de condicones PeS.
13/07/2021. A la espera de condicones PeS.
16/08/2021. A la espera de condicones PeS.
14/09/2021. A la espera de condicones PeS.
25/10/2021. A la espera de condicones PeS.
21/11/2021. Nos piden PeS local y cierre proyecto. Se analiza disponibilidad.
07/12/2021. Ahora piden PeS completa en febrero. Se piden detalles.
11/01/2022. Fecha PeS tentativa junio-julio.
25/02/2022. A espera condiciones PeS (tentativa Junio-Julio)
10/03/2022. A espera condiciones PeS (tentativa Junio-Julio)
05/04/2022. A espera condiciones PeS (tentativa Junio-Julio) se cotiza servicios COM.
26/05/2022. Se consulta por ingreso OC adicional servicios COM. 
07/06/2022. Se agregan hs de adicional COM. Se consulta al PM si hay fecha tentativa PeS. 
14/07/2022. Fecha tentativa PeS para octubre. Se informó a ED para previsión. 
03/08/2022. Fecha tentativa PeS para octubre. Se informó a ED para previsión. 
06/09/2022. Fecha tentativa PeS para octubre. Se informó a ED para previsión.  Se pide confirmación al PM (sin respuesta aún).
19/10/2022. Sin fecha concreta. No sería viable en este año.
07/11/2022. Sin fecha concreta. No sería viable en este año. Se consulta al PM.
23/12/2022. Cliente indica no antes de Enero. Se pide al PM gestión con tiempo por limitaciones de recursos.
17/01/2023. Se informó al cliente que no hay recursos hasta marzo. Sin novedad.
07/02/2023. Cliente informa fecha tentativa PeS Abril 2023.
14/03/2023. Se informará al cliente no disponibilidad para 10/04. Se consulta nueva fecha.
18/04/2023. PeS programada para semana 15/05. Se pide confirmación a PM. 
15/05/2023. Esperando condiciones para PeS. El cliente aún no confirma fecha.
30/05/2023. Esperando condiciones para PeS. El cliente aún no confirma fecha.
29/06/2023. Esperando condiciones para PeS. El cliente aún no confirma fecha.
03/08/2023. Esperando condiciones para PeS. El cliente aún no confirma fecha.
23/08/2023. Esperando condiciones para PeS. El cliente aún no confirma fecha.
17/10/2023. Esperando condiciones para PeS. El cliente aún no confirma fecha. Hubo una reunión, pero sin ningún avance.
01/11/2023. Esperando condiciones para PeS. El cliente aún no confirma fecha. Consulto al PM.
30/11/2023. Esperando condiciones para PeS. Sin respuesta cliente.
04/01/2024. Esperando condiciones para PeS. Sin respuesta cliente.</t>
    </r>
  </si>
  <si>
    <t>Q190066</t>
  </si>
  <si>
    <r>
      <rPr>
        <b/>
        <sz val="10"/>
        <rFont val="Arial"/>
        <family val="2"/>
      </rPr>
      <t>Ultima rev. 03/10/2022 - Proyecto Cerrado</t>
    </r>
    <r>
      <rPr>
        <sz val="10"/>
        <rFont val="Arial"/>
        <family val="2"/>
      </rPr>
      <t xml:space="preserve">
15/04/2020. Primera revisión de horas. Se está realizando la ingeniería.                                                                                                                                                   20/07/2020. Se envío la totalidad de la ingeniería y se montaron los chasis en tableros.                                                                                                                     29/09/2020. Se realizó el PREFAT, a la espera del FAT                                                                                                                                                                18/12/2020. Se realizó el FAT. Se gastaron más horas porque Transba requirió cambios en las frecuencias                                                                                                                                                                   24/2/2021. Se enviaron los equipos. A la espera del SAT                                                                                                                                                                                 13/4/2021. A la espera del SAT                                                                                                                                                                                                                            20/7/2021. Se realizó el SAT de dos enlaces, queda pendiente el SAT de un enlace                                                                                                                                17/9/2021. a la espera del SAT del tercer enlace.                                                                                                                                                                                                                                                     15/11/2021. a la espera del SAT del tercer enlace.                                                                                                                                                                                            17/01/2022. a la espera del SAT del tercer enlace.                                                                                                                                                                                                     07/03/2022. a la espera del SAT del tercer enlace.                                                                                                                                                                                                                                                                           27/05/2022. a la espera del SAT del tercer enlace.                                                                                                                                                                                                                  05/08/2022. Se programó el SAT del tercer enlace para agosto                                                                                                                                              03/10/2022. Se realizó el SAT. Se cierra el proyecto.</t>
    </r>
  </si>
  <si>
    <t>Q199997</t>
  </si>
  <si>
    <r>
      <t xml:space="preserve">Ultima rev. 06/03/2020 - PROYECTO CERRADO
</t>
    </r>
    <r>
      <rPr>
        <sz val="10"/>
        <rFont val="Arial"/>
        <family val="2"/>
      </rPr>
      <t>19/09/2019. Se agrega previsión hs para fabricación de 6 paneles típicos (5 x típico 1 + 1 x típico 2).
11/10/2019. No se pueden ver hs consumidas. Se consulta a JJH.</t>
    </r>
    <r>
      <rPr>
        <b/>
        <sz val="10"/>
        <rFont val="Arial"/>
        <family val="2"/>
      </rPr>
      <t xml:space="preserve">
</t>
    </r>
    <r>
      <rPr>
        <sz val="10"/>
        <rFont val="Arial"/>
        <family val="2"/>
      </rPr>
      <t>08/11/2019. Se revisan hs. 
03/12/2019. Se revisan hs. Paneles terminados.
08/01/2020. Se revisan hs. Paneles terminados.
07/02/2020. Se revisan hs. Paneles terminados.</t>
    </r>
    <r>
      <rPr>
        <b/>
        <sz val="10"/>
        <rFont val="Arial"/>
        <family val="2"/>
      </rPr>
      <t xml:space="preserve">
</t>
    </r>
    <r>
      <rPr>
        <sz val="10"/>
        <rFont val="Arial"/>
        <family val="2"/>
      </rPr>
      <t>06/03/2020. Proyecto cerrado.</t>
    </r>
  </si>
  <si>
    <t>Q200000</t>
  </si>
  <si>
    <r>
      <rPr>
        <b/>
        <sz val="10"/>
        <rFont val="Arial"/>
        <family val="2"/>
      </rPr>
      <t>Ultima rev. 11/08/2020 - PROYECTO CERRADO</t>
    </r>
    <r>
      <rPr>
        <sz val="10"/>
        <rFont val="Arial"/>
        <family val="2"/>
      </rPr>
      <t xml:space="preserve">
07/02/2020. Inicio proyecto. Se emitió ingeniería Básica y panel.
06/03/2020. Se emitió ingeniería panel y general.
12/04/2020. Se emitió ingeniería programas y protocolos. Se espera hacer FAT semana 20 de Abril.
13/05/2020. Se realizó FAT. Se está coordinando PES.
08/06/2020. PES en curso.
14/07/2020. Se completó PeS y CAOs. En próximo período se cierra el proyecto.
11/08/2020. Última revisión de hs. PROYECTO CERRADO</t>
    </r>
  </si>
  <si>
    <t>SG</t>
  </si>
  <si>
    <t>MGP</t>
  </si>
  <si>
    <t>Q200004</t>
  </si>
  <si>
    <r>
      <t>Ultima rev. 23/09/2024</t>
    </r>
    <r>
      <rPr>
        <sz val="10"/>
        <rFont val="Arial"/>
        <family val="2"/>
      </rPr>
      <t xml:space="preserve">
23/09/2024. Se reiniciaron las tareas de proyectista con la revA de los tableros y se recibieron los comentarios para conformarlos y comenzar la fabricación.
===========================================================
04/09/2024. Se reiniciaron las tareas de proyectista con la revA de los tableros.
===========================================================
26/07/2024. Se reiniciaron las tareas de proyectista/ ingenierìa
===========================================================
29/05/2024. Reprogramamos el inicio de ingeniería para forzae la reacción del cliente y tener argumentos para para certificaciones. Todavía no enviamos los tableros que tenemos de la SE0 y el GW  para poder facturar.
===========================================================
24/04/2024. Reprogramamos el inicio de ingeniería para forzae la reacción del cliente y tener argumentos para para certificaciones. Todavía no enviamos los tableros que tenemos de la SE0 y el GW  para poder facturar.
===========================================================
05/04/2024. Estamos esperando respuestas del cliente y alguna reacción para reprogramar las tareas que teniamos reprogramadas. Se le está enviando avisos y no tenemos respuesta. Respecto a los tableros que tenemos de la SE0 y el GW los tenemos que enviar para poder facturar.
---------------------------------------------------------------------------------------------------------
23/02/2024. Reprogramamos las tareas para el 2024 manteniendo el saldo de horas revisado oportunamente y que está fijado cómo objetivo. De acuerdo a disponibilidad de ingeniería revisamos con Juan para reinciar las tareas en abril.
----------------------------------------------------------------------------------------------------------
07/02/2024. Reprogramamos las tareas para el 2024 manteniendo el saldo de horas revisado oportunamente y que está fijado cómo objetivo. De acuerdo a disponibilida de ingeniería revisamos con Juan para reinciar las tareas en abril.
-----------------------------------------------------------------------------------------------------------
27/12/2023. Reprogramamos las tareas para el 2024 manteniendo el saldo de horas revisado oportunamente y que está fijado cómo objetivo.
--------------------------------------------------------------------------------------------------------------------------------
29/11/2023. Tenemos que reprogramar las tareas para el 2024 manteniendo el saldo de horas revisado oportunamente y que está fijado cómo objetivo.
--------------------------------------------------------------------------------------------------------------------------------
08/11/2023. El mes pasado tuvimos una reunión con el cliente para reiniciar las tareas. Tenemos que reprogramar las tareas para el 2024.
--------------------------------------------------------------------------------------------------------------------------------
25/09/2023. No tenemos respuesta del cliente por lo que no se consumieron horas. Cuando se reciban revisaremos el crono y replantearemos el proyecto.
--------------------------------------------------------------------------------------------------------------------------------
07/08/2023. No tenemos respuesta del cliente por lo que no se consumieron horas. Cuando se reciban revisaremos el crono y replantearemos el proyecto.
--------------------------------------------------------------------------------------------------------------------------------
31/05/2023. Las tareas actuales son de LE y PM ya que parte del trabajo de ingeniería ya fue realizado. Se esperan en el próximo período consumir a medida que lleguen los comentarios de Tenaris
--------------------------------------------------------------------------------------------------------------------------------
24/04/2023. Se reinician los trabajos de SE1 sin carga adicional de ingeniería, las tareas actuales son de LE y PM ya que parter del trabajo de ingeniería ya fue realizado. Se emitiran ingenierías y se volverá a consumir a medida que lleguen los comentarios de Tenaris
--------------------------------------------------------------------------------------------------------------------------------
12/04/2023. Se reinician los trabajos de SE1
--------------------------------------------------------------------------------------------------------------------------------
08/03/2023. Se ajustaron las horas de acuerdo a lo estimado para terminar el proyecto y seguimiento. Es còmo comenzarun proyecto nuevo
--------------------------------------------------------------------------------------------------------------------------------
26/01/2023, Las horas cargadas a ingeneiería de protecciones son de LE relacionadas con la programación del reinicio de tareas. Falta ajustar el saldo estimado de las horas de acuerdo a lo consensuado entre todos.
--------------------------------------------------------------------------------------------------------------------------------
07/11/2022. Hoy que armar el cronograma de trabajos considerando el saldo estimado que servirá de base para los trabajos pendientes. Ajuste de las HH estimadas de LE porue las caracteristicas del poryecto y las tareas restantes lo requerían, estimo que no serán suficientes y habrá un posterior ajuste. La coordinación del SAT tendrá un trabajo importante de planificación.
--------------------------------------------------------------------------------------------------------------------------------
09/09/2022. Estamos esperando respuesta de Tenaris para armar el cronograma. Aceptaron el adicional de hora que se incluyeron en la planilla de acuerdo a nuestra previsión. El cronograma se armará en función de nuestra disponibilidad tratando de acercarnos a las necesidades que plantearía Tenaris.
-----------------------------------------------------------------------------------------------------------
03/08/2022. Estamos esperando respuesta de Tenaris para armar el cronograma. Aceptaron el adicional de hora que se incluyeron en la planilla de acuerdo a nuestra previsión. El cronograma se armará en función de nuestra disponibilidad tratando de acercarnos a las necesidades que plantearía Tenaris.
-----------------------------------------------------------------------------------------------------------
08/06/2022. Proyecto detenido a la espera de una resolución comercial e información de Tenaris para reprogramar las tareas pendientes. De miomento Ventas, FES, no informaron avance alguno.
----------------------------------------------------------------------------------------------------------
11/02/2022. El consumo de LE se debió a la tarea desarrollada para cerrar el acta acuerdo técnico para continuidad de SE1. Tendremos que revisar estas horas porque el saldo estimado no es correo ya que preveo un ajuste dada la complejidad del cliente. De todos modos falta considerar un adicional de horas cuando se logre el acuerdo comercial para continuidad de la SE1. Las horas de fábrica se deben a la terminación de los tableros de control de trafo al recibicirse durante el periodo el material faltante de Tenaris para que queden terminados. Se prevee un consumo de 400h de fabrica y alguna de proyectista para los paneles de trafo que se reflejaran en el próximo período (P02)
----------------------------------------------------------------------------------------------------------
14/01/2022. No hubo consumo de horas porque el proyecto detuvo la actividad. Se esta trabajando en un cuerdo comercial para la SE1 que implicará una catidad de horas adicionales de proyectista e ingeniería que se sumarán a las estimadas para la finalización del proyecto.
Se iniciaron actividades porque se llego a un acuerdo técnico trabajando parte con INOPC.
------------------------------------------------------------------------------------------------------------
06/12/2021. Actualización de horas. Desde el 24/11/21 se detuvo el proyecto hasta resolver temas comerciales/técnicos por diferencias contractuales (fundamentalmente diferencias entre la SE0 y SE1). Nos quedan dos tableros de la SE0 por terminar por falta de entrega de material de Tenaris.
_____________________________________________________________________________
10/11/2021. Actualización de horas.</t>
    </r>
    <r>
      <rPr>
        <b/>
        <sz val="10"/>
        <color rgb="FFFF0000"/>
        <rFont val="Arial"/>
        <family val="2"/>
      </rPr>
      <t xml:space="preserve"> Importante tener en cuenta que este saldo esta estimado con las consideraciones de la Oferta respecto a la ingeniería de la SE1 cómo identica de la SE0 que no es así por lo que esperamos hacer un ajuste de horas que debería trasladarse al cliente.</t>
    </r>
    <r>
      <rPr>
        <sz val="10"/>
        <color rgb="FFFF0000"/>
        <rFont val="Arial"/>
        <family val="2"/>
      </rPr>
      <t xml:space="preserve">
Fábrica =&gt; Consultar con Javi sobre la cantidad de horas
Proyectista =&gt; </t>
    </r>
    <r>
      <rPr>
        <sz val="10"/>
        <rFont val="Arial"/>
        <family val="2"/>
      </rPr>
      <t>Ok. Falta el CAF de la SE0 y se trabajo en la ingeniería de otros paneles tomando cómo réplica de la SE0</t>
    </r>
    <r>
      <rPr>
        <sz val="10"/>
        <color rgb="FFFF0000"/>
        <rFont val="Arial"/>
        <family val="2"/>
      </rPr>
      <t xml:space="preserve">
Ingeniería Protecciones =&gt;</t>
    </r>
    <r>
      <rPr>
        <sz val="10"/>
        <rFont val="Arial"/>
        <family val="2"/>
      </rPr>
      <t xml:space="preserve"> Ok. Se trabajo en configuraciones de la SE1 tomando cómo réplica de la SE0</t>
    </r>
    <r>
      <rPr>
        <sz val="10"/>
        <color rgb="FFFF0000"/>
        <rFont val="Arial"/>
        <family val="2"/>
      </rPr>
      <t xml:space="preserve">
Ingeniería Control =&gt;</t>
    </r>
    <r>
      <rPr>
        <sz val="10"/>
        <rFont val="Arial"/>
        <family val="2"/>
      </rPr>
      <t xml:space="preserve"> Ok.</t>
    </r>
    <r>
      <rPr>
        <sz val="10"/>
        <color rgb="FFFF0000"/>
        <rFont val="Arial"/>
        <family val="2"/>
      </rPr>
      <t xml:space="preserve">
FAT Protecciones =&gt; </t>
    </r>
    <r>
      <rPr>
        <sz val="10"/>
        <rFont val="Arial"/>
        <family val="2"/>
      </rPr>
      <t>se termino la SE0 pero faltan los tableros de control de trafo que no se terminaron por falta de material de Tenaris que prometieron entregarlo para noviembre esperando terminal el ensayo para el P11</t>
    </r>
    <r>
      <rPr>
        <sz val="10"/>
        <color rgb="FFFF0000"/>
        <rFont val="Arial"/>
        <family val="2"/>
      </rPr>
      <t xml:space="preserve">
FAT Control =&gt;</t>
    </r>
    <r>
      <rPr>
        <sz val="10"/>
        <rFont val="Arial"/>
        <family val="2"/>
      </rPr>
      <t xml:space="preserve"> Idem concepto que para FAT protecciones a diferencia que en este caso no hay tareas hasta empezar con la SE1
-------------------------------------------------------------------------------------------------------------------------------------
22/10/2021. Revisión de horas del P09 conclusiones</t>
    </r>
    <r>
      <rPr>
        <sz val="10"/>
        <color rgb="FFFF0000"/>
        <rFont val="Arial"/>
        <family val="2"/>
      </rPr>
      <t xml:space="preserve">
Fábrica =&gt;</t>
    </r>
    <r>
      <rPr>
        <sz val="10"/>
        <rFont val="Arial"/>
        <family val="2"/>
      </rPr>
      <t xml:space="preserve"> Se ajusto en base a lo estimado por Javier para la SE1 basado en el tiempo que llevó la SE0 y lo que falta de los tableros de control de trafo. Es importante que el cableado de los paneles de la SE1 sean sobre la ingeniería aprobada. Hemos tenido mucho desvio con retrabajos en los paneles de la SE0 que tenemos que evitar para la SE1, este trabajo en conjunto con el equipo. Tenemos que optimizarlo</t>
    </r>
    <r>
      <rPr>
        <sz val="10"/>
        <color rgb="FFFF0000"/>
        <rFont val="Arial"/>
        <family val="2"/>
      </rPr>
      <t xml:space="preserve">
Proyectista =&gt;</t>
    </r>
    <r>
      <rPr>
        <sz val="10"/>
        <rFont val="Arial"/>
        <family val="2"/>
      </rPr>
      <t xml:space="preserve"> Estamos dentro de lo estimado, habrá un ajuste de algunos campos de la SE1, pero se llecgó a un acuerdo de no modificar los tableros de trafo. Tuvimos un trabajo extra surgido de los ensayos FAT donde hubo que modificar ingeniería funcional.</t>
    </r>
    <r>
      <rPr>
        <sz val="10"/>
        <color rgb="FFFF0000"/>
        <rFont val="Arial"/>
        <family val="2"/>
      </rPr>
      <t xml:space="preserve">
Ingeniería Protecciones =&gt; </t>
    </r>
    <r>
      <rPr>
        <sz val="10"/>
        <rFont val="Arial"/>
        <family val="2"/>
      </rPr>
      <t>El saldo estimado se considera lo desarrollado basado en la SE0 y cambios que pudieran surgir de la SE1 que sabemos hay tableros que no serán replicas de la SE0.</t>
    </r>
    <r>
      <rPr>
        <sz val="10"/>
        <color rgb="FFFF0000"/>
        <rFont val="Arial"/>
        <family val="2"/>
      </rPr>
      <t xml:space="preserve">
Ingeniería Control =&gt;</t>
    </r>
    <r>
      <rPr>
        <sz val="10"/>
        <rFont val="Arial"/>
        <family val="2"/>
      </rPr>
      <t xml:space="preserve"> Se ajusto el slado de horas para el desarrollo de la SE1</t>
    </r>
    <r>
      <rPr>
        <sz val="10"/>
        <color rgb="FFFF0000"/>
        <rFont val="Arial"/>
        <family val="2"/>
      </rPr>
      <t xml:space="preserve">
FAT Protecciones =&gt; </t>
    </r>
    <r>
      <rPr>
        <sz val="10"/>
        <rFont val="Arial"/>
        <family val="2"/>
      </rPr>
      <t>hasta ahora viene realizandose de acuerdo a lo planificado el saldo estimado está de acuerdo a lo planificado con Enzo para el resto de SE0 (que se corrobará con el P10) y el programa de ensayo para SE1</t>
    </r>
    <r>
      <rPr>
        <sz val="10"/>
        <color rgb="FFFF0000"/>
        <rFont val="Arial"/>
        <family val="2"/>
      </rPr>
      <t xml:space="preserve">
FAT Control =&gt; </t>
    </r>
    <r>
      <rPr>
        <sz val="10"/>
        <rFont val="Arial"/>
        <family val="2"/>
      </rPr>
      <t xml:space="preserve">Idem concepto que para FAT protecciones
-------------------------------------------------------------------------------------------------------------------------------------
08/09/2021. Revisión de horas del P08 conclusiones
           </t>
    </r>
    <r>
      <rPr>
        <b/>
        <sz val="10"/>
        <color rgb="FFFF0000"/>
        <rFont val="Arial"/>
        <family val="2"/>
      </rPr>
      <t xml:space="preserve"> Fábrica =&gt; </t>
    </r>
    <r>
      <rPr>
        <sz val="10"/>
        <rFont val="Arial"/>
        <family val="2"/>
      </rPr>
      <t xml:space="preserve">No estimo un desvio importante con el saldo estimado por lo que falta y el avance en el montaje de la SE0. Es importante que el cableado de los paneles de la SE1 sean sobre la ingeniería aprobada. Hemos tenido mucho desvio con retrabajos en los paneles de la SE0 que tenemos que evitar para la SE1, este trabajo en conjunto con el equipo. De tdos modos tengo que confirmarlo con Javier
            </t>
    </r>
    <r>
      <rPr>
        <b/>
        <sz val="10"/>
        <color rgb="FFFF0000"/>
        <rFont val="Arial"/>
        <family val="2"/>
      </rPr>
      <t>Proyectista =&gt;</t>
    </r>
    <r>
      <rPr>
        <sz val="10"/>
        <rFont val="Arial"/>
        <family val="2"/>
      </rPr>
      <t xml:space="preserve"> En este periodo no estimo un desvio, tenemos que esperar los comentarios de la ingenieria de la SE1 para tener una mayos precisión. Tuvimos un trabajo extra surgido de los ensayos FAT donde hubo que modificar ingeniería funcional.
            </t>
    </r>
    <r>
      <rPr>
        <b/>
        <sz val="10"/>
        <color rgb="FFFF0000"/>
        <rFont val="Arial"/>
        <family val="2"/>
      </rPr>
      <t>Ingeniería Protecciones =&gt;</t>
    </r>
    <r>
      <rPr>
        <sz val="10"/>
        <rFont val="Arial"/>
        <family val="2"/>
      </rPr>
      <t xml:space="preserve"> El saldo estimado no registra un gran desvio futuro por lo que falta elaborar. recordemos que es un saldo estimado en el periodo anterior más pesimista considerando que la SE1 no es tán típica respecto de la SE0
            </t>
    </r>
    <r>
      <rPr>
        <b/>
        <sz val="10"/>
        <color rgb="FFFF0000"/>
        <rFont val="Arial"/>
        <family val="2"/>
      </rPr>
      <t>Ingeniería Control =&gt;</t>
    </r>
    <r>
      <rPr>
        <sz val="10"/>
        <rFont val="Arial"/>
        <family val="2"/>
      </rPr>
      <t xml:space="preserve"> El saldo estimado podría ajustarse un poco, partimos de un estimado realizado por mi que tengo que confirmar con Juan. Pero sería el desarrollo para SE1
            </t>
    </r>
    <r>
      <rPr>
        <b/>
        <sz val="10"/>
        <color rgb="FFFF0000"/>
        <rFont val="Arial"/>
        <family val="2"/>
      </rPr>
      <t>FAT Protecciones =&gt;</t>
    </r>
    <r>
      <rPr>
        <sz val="10"/>
        <rFont val="Arial"/>
        <family val="2"/>
      </rPr>
      <t xml:space="preserve"> hasta ahora viene realizandose de acuerdo a lo planificado la mayoria del trabajo se realizó en este periodo pero quedará un resto para el P10 y la SE1. El saldo estimado está de acuerdo al cronograma que armamos con Enzo.
           </t>
    </r>
    <r>
      <rPr>
        <b/>
        <sz val="10"/>
        <color rgb="FFFF0000"/>
        <rFont val="Arial"/>
        <family val="2"/>
      </rPr>
      <t xml:space="preserve"> FAT Control =&gt;</t>
    </r>
    <r>
      <rPr>
        <sz val="10"/>
        <rFont val="Arial"/>
        <family val="2"/>
      </rPr>
      <t xml:space="preserve"> Aun no se terminaron los ensayos pero estamos dentro de lo previsto, tendremos que hacer un ajuste para la SE1 que ya revisamos con Enzo
------------------------------------------------------------------------------------------------------------------------------------
12/08/2021. Se actualizó el saldo estimado en una reunión con JJH y GC. Las horas de proyectista e ingeniería se ajustaron en base al analisis del equipo de ingeniería de las tareas restantes y la de fábrica del estimado y ensayos FAT de acuerdo al programa armado.
15/07/2021. Actualización de horas. El saldo estimado es mi apreciación que debo confirmar y/o actualizar con los responsables. Tareas pendientes estimado:
                         Fábrica=&gt; Fabricación pendiente SE0 + Fabricación SE1 + Ensayos Rigidez SE0 + Ensayos Rigidez SE1
                         Proyectista =&gt; Ingeniería SE0 + CAF de SE0 + Ingeniería SE1 + CAF SE1  + CAO (tableros)
                         Ingenieria Protecciones =&gt; Soporte FAT SE0 + Configuraciones SE1 + Soporte FAT SE1 + Soporte SAT + CAO (configuraciones)
                         Ingeniería Control =&gt; Ingeniería SE0 + Soporte FAT SE0 + Ingeniería SE1 + Soporte FAT SE1 + Soporte SAT + CAO (IET, Scada, BD, Pantallas) + Protocolos FAT SE1 + Protocolos SAT SE
                         LE =&gt; Gestión técnica y seguimiento
                         FAT Protecciones =&gt; Ensayos FAT SE0 + Protocolos FAT SE1 + Ensayos FAT SE1 + Protocolos SAT SE0 + Preparación SAT SE0 + Protocolos SAT SE1 + Preparación SAT SE1
                         FAT Control =&gt;  Ensayos FAT SE0 + Ensayos FAT SE1 + Preparación SAT SE0 + Protocolos SAT SE1 + Preparación SAT SE1               
27/05/2021. Se corrigió un error en la consideración de las Horas Planificadas porque se sumo el saldo de 1271h que es el total estimado sin restarle 215h que era el saldo según precálculo. Esto se hizo en la revisión del 13/04/2021. Ahora las horas planificadas correctas son 2542h con las que estimamos terminar el proyecto.
17/05/2021. Actualización de horas. Se continuan con los trabajos y se empezó a adelantar protocolos FAT
13/04/2021. Se sumó en horas planificadas el saldo estimado del periodo 02 (revisión 11/03/2021)
11/03/2021. Revisión. Estamos comprometidos con las horas de proyectista, el saldo esimtado está ralizado con los tiempos que estimamos para el preca. Las horas uilizadas incluyen 189h antes de la suspensión por lo que para este nuevo periodo se consumieron 1082h que igual son muchas para lo que tenia planificado.
18/01/2021. Revisión, aun es prematuro para estimar desviaciones de horas, hemos tenido temas de ingeniería arrastrados desde la oferta que nos moivó a una reingeniería y analisis. Aun quedo pendiente la revisión de horas FAT/SAT con Enzo
18/12/2020. Revisión, aun es prematura para estimar desviaciones de saldos. Se estan utilizando horas de ingeniería y LE con una gran pendiente al inicio que esperamos se vaya aplanando a medida que avanzemos en el proyecto.
18/11/2020. Se reiniciaron las tareas y se completo en Horas planificadas lo visto con los coordinadores pero me falta terminar de revisar el FAT/SAT con Enzo
---------------------------------------------------------------------------------------------------------------------
05/05/2020. Revisión de horas. PROYECTO SUSPENDIDO por el cliente en 6 meses. Estas horas fueron las consumidas hasta la comunicación oficial de la fecha (08/04/2020) por lo que se congelan hasta el reinicio.
15/04/2020. El proyecto fue suspendido por el cliente previendo el reinicio para setiembre. Se consumieron horas de proyectista/ingeniería/LE que se verán reflejadas en el próximo periodo.
06/03/2020. Revisión de horas. Se completaron las horas precálculo derivadas del analisis del mismo y se copiaron en las planificas a las que se agregaron las horas LE.
11/02/2020. Creación de proyecto, se completaron las horas desde el preca (hoja PRECALCULO)</t>
    </r>
  </si>
  <si>
    <t>Q200005</t>
  </si>
  <si>
    <r>
      <rPr>
        <b/>
        <sz val="10"/>
        <color rgb="FF000000"/>
        <rFont val="Arial"/>
        <family val="2"/>
      </rPr>
      <t xml:space="preserve">Ultima rev. 27/09/2024
</t>
    </r>
    <r>
      <rPr>
        <sz val="10"/>
        <color rgb="FF000000"/>
        <rFont val="Arial"/>
        <family val="2"/>
      </rPr>
      <t xml:space="preserve">27/09/2024. Aún sin respuesta del cliente. 
15/07/2024. Aún sin respuesta del cliente.
06/06/2024. Se realizó evaluación cambios para cumplir con Convenio Conexión EPE, y se informó a CP / Albanesi. Aún sin respuesta.
01/05/2024. Sin hs en este período. Sin novedad del cliente. 
28/02/2024. Sin hs en este período. Sin novedad del cliente. 
23/01/2024. Sin hs en este período. Sin novedad del cliente. 
-----------------------------------------------------------------------------------------------------
06/03/2020. Inicio proyecto. 
12/04/2020. Se cargan hs. No se recibió información del cliente. Se realizó KOM en Rosario.
13/05/2020. Se revisan hs. Se recibió alguna información de cliente. Se avanza con solped subcontratista.
08/06/2020. Se revisan hs. Ingeniería paneles DAG en curso. Contratación subcontratista en curso.
14/07/2020. Se emitió ingeniería básica y paneles. Se avanza con programas.
11/08/2020. Poco avance, falta información, y no se puede concretar visita a obra.
09/09/2020. Poca respuesta del cliente. Ingeniería de SW con retrasos. 
09/10/2020. Se está programando visita relevamiento a obra fin octubre.
12/11/2020. Se realizó relevamiento en sitio. Ingeniería software muy demorada.
11/12/2020. Sin avances significativos en este período.
28/1/2021. Se está completando primera emisión SW. Se emitió toda la ingenería de interconexión.
28/1/2021. Se está completando primera emisión SW. Se emitió toda la ingenería de interconexión.
Se observa desvío importante en hs de ingenieria, que refleja complejidad del proyecto.
24/02/2021.	Se está completando ingeniería y protocolos FAT.
11/03/2021. Se completó la emisión de documentos y protocolos necesarios para FAT. Se espera aprobación, para programar FAT en abril.
14/04/2021. Se reciben observaciones de EPE. Se pide confirmación y se reclama definición comunicación Radio. 
20/05/2021. Sin respuesta del cliente. Se reclama para generar revisión, y posterior FAT.
10/06/2021. Sin avance. Se piden definiciones para avanzar. 
13/07/2021. A la espera cierre adicionales, para avanzar con cambios, y FAT. 
16/08/2021. Adicional confirmado. Se avanza con ingeniería. Se apunta FAT para Septiembre.
14/09/2021. Se inicia PreFAT. A la espera de aprobación de documentos.
25/10/2021. Se completó FAT con cliente, y capacitación. 
21/11/2021. Se emiten protocolos SAT, y se elaboran CAF. Se está programando PeS.
07/12/2021. Se está programando despacho paneles y PeS.
11/01/2022. Aún no se despacha. Sin avances PeS. 
25/02/2022. Se consolidaron repuestos. Se mandó mail a PM para revisar estado del proyecto.
10/03/2022. Sin cambios. A espera de condiciones PES. 
05/04/2022. Sin cambios. A espera de condiciones PES. 
26/05/2022. PM está coordinando entrega. Luego se esperan condiciones para PeS.
07/06/2022. PM está coordinando entrega. Luego se esperan condiciones para PeS.
14/07/2022. Se entregaron materiales. Se empieza a analizar PeS en etapas.
03/08/2022. Se está coordinando reunión para planificar PeS 11/08.
06/09/2022. Varias reuniones. Aún sin fecha tentativa. 
19/10/2022. Se avanza en propuesta de montaje sin participación HE. 
07/11/2022. Se avanza en propuesta de montaje sin participación HE. 
23/12/2022. Sin respuesta del cliente, respecto a propuesta de montaje. PM insiste con cliente.
17/01/2023. Sin respuesta del cliente, respecto a propuesta de montaje. PM insiste con cliente.
07/02/2023. Sin respuesta del cliente, respecto a propuesta de montaje. PM insiste con cliente.
13/03/2023. Sin hs en este período. Consulta a AS por continuidad PM.
18/04/2023. Sin hs en este período. Cliente pide cotización para incorporación TV en DAG 500kV. 
15/05/2023. Sin hs en este período. Se envió cotización por incorporación TV en DAG 500kV. Sin respuesta del cliente.
30/05/2023. Sin hs en este período. Sin respuesta del cliente.
29/06/2023. Sin hs en este período. Sin respuesta del cliente.
03/08/2023. Sin hs en este período. Sin respuesta del cliente.
23/08/2023. Sin hs en este período. Se hizo reunión con EPE SF. Sin más avance.
17/10/2023. Sin hs en este período. Avancees mínimos en coordinación PeS.
01/11/2023. Sin hs en este período. Avancees mínimos en coordinación PeS.
30/11/2023. Sin hs en este período. Avancees mínimos en coordinación PeS.
04/01/2024. Sin hs en este período. Avancees mínimos en coordinación PeS.
</t>
    </r>
  </si>
  <si>
    <t>Q200006</t>
  </si>
  <si>
    <r>
      <rPr>
        <b/>
        <sz val="10"/>
        <rFont val="Arial"/>
        <family val="2"/>
      </rPr>
      <t>Ultima rev. 17/09/2021 - Proyecto Cerrado</t>
    </r>
    <r>
      <rPr>
        <sz val="10"/>
        <rFont val="Arial"/>
        <family val="2"/>
      </rPr>
      <t xml:space="preserve">
15/04/2020. Primera revisión de horas. Se está realizando la ingeniería.                                                                                                                                         14/05/2020. Se envió la ingeniería general. Se está realizando la ingeniería particular.                                                                                                                         20/07/2020. Se envió la totalidad de la ingeniería.                                                                                                                                                                                     29/09/2020. Se realizó el FAT y se envió el armario a obra.                                                                                                                                                                                                                                                     18/12/2020. A la espera del SAT                                                                                                                                                                                                                                      24/2/2021. A la espera del SAT                                                                                                                                                                                                                                             13/4/2021. Se realizó la primera etapa del SAT. Se presentará un adicional para la segunda etapa.                                                                                                              20/7/2021. Se aceptó el adicional. A la espera de la realización del SAT.                                                                                                                                                      17/9/2021. Se realizó el SAT. Se cierra el proyecto.</t>
    </r>
  </si>
  <si>
    <t>Q200008</t>
  </si>
  <si>
    <r>
      <rPr>
        <b/>
        <sz val="10"/>
        <rFont val="Arial"/>
        <family val="2"/>
      </rPr>
      <t>Ultima rev. 03/08/2020</t>
    </r>
    <r>
      <rPr>
        <sz val="10"/>
        <rFont val="Arial"/>
        <family val="2"/>
      </rPr>
      <t xml:space="preserve">
15/04/2020. Se finaliza la ingeniería y el FAT interno. Se intenta coordinar la PES remota.
08/07/2020. Se finaliza el proyecto. Restan pasar unas horas para cerrarlo.
08/07/2020. Se finaliza el proyecto.</t>
    </r>
  </si>
  <si>
    <t>Q200009</t>
  </si>
  <si>
    <r>
      <rPr>
        <b/>
        <sz val="10"/>
        <rFont val="Arial"/>
        <family val="2"/>
      </rPr>
      <t xml:space="preserve">Ultima rev. 28/1/2021 - PROYECTO CERRADO
</t>
    </r>
    <r>
      <rPr>
        <sz val="10"/>
        <rFont val="Arial"/>
        <family val="2"/>
      </rPr>
      <t>12/04/2020. Carga inicial proyecto. Se revisan hs consumidas.
13/05/2020. Se obtuvo adicional, por montaje de NSD dentro de los paneles DAG. Cuando se reciba la OC, se agregarán las hs correspondientes en estas planillas.
08/06/2020. Con adicional confirmado y en curso, se agregan hs. A la espera confirmación pedidos TRANSBA para hacer revisión de ingeniería, y coordinar FAT.
14/07/2020. Se observa desvío en hs de servicio, asociado a ensayo interno de medición de tiempos, y soporte dado a problema en obra (finalmente por temas externos al PLC). 
11/08/2020. Se realizó FAT. Se espera PeS en Septiembre.
09/09/2020. Se está programando PeS en septiembre.
09/10/2020. Se realizó PeS.  Se están elaborando CAO. 
12/11/2020. CAO pendiente para cierre de proyecto.
11/12/2020. Se realizaron los CAO. Se cerrará el próximo período. 
28/1/2021. Última revisión de hs. PROYECTO CERRADO</t>
    </r>
  </si>
  <si>
    <t>Q200010</t>
  </si>
  <si>
    <t>Ultima rev. 24/02/2021 - PROYECTO CERRADO
12/04/2020. Carga inicial proyecto. Se revisan hs consumidas. 
13/05/2020. Se ajustan hs. Se espera confiramción validez información inicial. 
08/06/2020. Se ajustan hs. Se emitieron programas. Se están cerrando protocolos FAT/SAT para emitir.
14/07/2020. Se espera aprobación para coordinar FAT programas.
11/08/2020. Se programa hacer FAT y SAT remoto en Agosto. 
09/09/2020. Se completó PeS remota. Se están haciendo CAOs.
09/10/2020. CAO pendiente aún.
12/11/2020. CAO pendiente para cierre de proyecto.
11/12/2020. Resta emitir CAO. Se cierra próximo período. 
28/1/2021. CAO emitido. Se cierre próximo período. 
24/02/2021.	Última revisión de hs. PROYECTO CERRADO</t>
  </si>
  <si>
    <t>Q200013</t>
  </si>
  <si>
    <r>
      <rPr>
        <b/>
        <sz val="10"/>
        <rFont val="Arial"/>
        <family val="2"/>
      </rPr>
      <t>Ultima rev. 18/12/2020 - Proyecto Cerrado</t>
    </r>
    <r>
      <rPr>
        <sz val="10"/>
        <rFont val="Arial"/>
        <family val="2"/>
      </rPr>
      <t xml:space="preserve">
20/07/2020. Primera revisión de horas. Se generó la ingeniería.                                                                                                                                                                   
29/09/2020. Entraron los equipos, se está poor comenzar el armado.                                                                                                                                  18/12/2020. Se realizó el FAT y el SAT (sobre el enlace Miramar - Necochea). Se cierra el proyecto.</t>
    </r>
  </si>
  <si>
    <t>Q200015</t>
  </si>
  <si>
    <t>Ultima rev. 21/11/2021 - PROYECTO CERRADO.
08/06/2020. Carga inicial proyecto. Se revisan hs consumidas. 
14/07/2020. Revisión hs ok.
11/08/2020. Revisión hs ok.
09/09/2020. Revisión hs ok.
09/10/2020. Revisión hs ok.
12/11/2020. Revisión hs ok.
11/12/2020. Revisión hs ok.
28/1/2021. Revisión hs ok.
24/02/2021.	Revisión hs ok.
11/03/2021. Revisión hs ok. Se realizó auditoría en Sede Central.
14/04/2021. Se realizó auditoría en Rosario. Se espera renvación contratos.
20/05/2021. Se realizó auditoría en Rincón. Se espera renvación contratos.
10/06/2021. Se realizó auditoría en PY. Se está cerrando nuevo contrato.
13/07/2021. Ya ingresó nuevo contrato de mantenimiento. Se cerrará este en próximo período.
16/08/2021. En cierre. Se verifica un período más, para ver últimas anotaciones de hs.
14/09/2021. Se cerrará en próximo período. 
21/11/2021. Proyecto cerrado.</t>
  </si>
  <si>
    <t>Q200016</t>
  </si>
  <si>
    <r>
      <rPr>
        <b/>
        <sz val="10"/>
        <color rgb="FF000000"/>
        <rFont val="Arial"/>
      </rPr>
      <t xml:space="preserve">Ultima rev. 30/10/2024
</t>
    </r>
    <r>
      <rPr>
        <sz val="10"/>
        <color rgb="FF000000"/>
        <rFont val="Arial"/>
      </rPr>
      <t xml:space="preserve">30/10/2024. PeS programada Noviembre. Se espera confirmación esta semana.
27/09/2024. Se realizó visita relevamiento. Se está programando PES, posiblemente para Fin Octubre / Noviembre.
15/07/2204. Se está programando visita a obra. Aún sin confirmación. 
06/06/2024. Se programa visita a obra para fin de Junio, y con eso, poder programar PeS.
01/05/2024. Programando PeS para junio - julio. 
28/02/2024. Recibimos ing adecuación para revisar. Ingresan algunas hs COM.
23/01/2024. Se actualiza cronograma. Fecha tentativa PeS  Julio/Agosto 2024. 
-----------------------------------------------------------------------------------------------------------------
08/06/2020. Carga inicial proyecto. Se revisan hs consumidas. 
14/07/2020. Se emitió ingeniería básica. Se lanzaron compras.
11/08/2020. Se emitió ingeniería paneles.
09/09/2020. Se emitió ingeniería Comunicaciones.
09/10/2020. Se inició fabricación paneles. 
12/11/2020. Se inició fabricación paneles control. Luego se inicia comunicaciones.
11/12/2020. Fabricación. Pendiente ingeniería.
28/1/2021. Se sincronizará este proyecto con Q20004 (redundancia NC y PLCs La Puna/Altiplano
24/02/2021.	Se realizaron reuniones con Transener y Transnoa. Se espera confirmación compra 132kV.
11/03/2021. Sin mucho avance. Esperando confirmaciones de Transener.
15/04/2021. Se realizó revisión DF. Se reciben observaciones Transener. Se está evaluando adicional.
20/05/2021. Se observa un desvío en Ingeniería comunicaciones. Se va a revisar con COM el origen de este desvío. 
10/06/2021. Se avanza con etapa intermedia. Sin definición observaciones Transener.
13/07/2021. Ingresó adicional por pedidos en pliego Transener, como .2. Se está evaluando cambios por DAD indicada en EE2.
16/08/2021. Avanzando con ingeniería, se comenzará a emitir en agosto.
14/09/2021. Ing. Básica emitida. Avances Gateway NCCB.
25/10/2021. Ingeniería detalle paneles emitida. Ensayos internos en curso.
21/11/2021. Se hacen ensayos internos NCCB. Se emite ingeniería com. 
07/12/2021. Se completaron ensayos internos nuevas funciones. Se avanza con ingeniería detalle.
11/01/2022. Se está avanzando con ingeniería y protocolos con idea de hacer FAT en febrero. Se cargan hs .3 y .4, y consumidas.
25/02/2022. Se completó emisión documentos ingeniería, solo quedan dos protocolos FAT para GWY y EM NOA. 
10/03/2022. Se completó emisión de documentos. Se deben reclasificar 144 hs de ingeniería a l Q200040.  Se hace pedido a AS / RV.
05/04/2022. Se firmó contrato COM con TRANSENER. Se inicia emisión ingeniería a Transener.  A la espera de calificaciones.
26/05/2022. A la espera calificaciones de ingeniería. 
08/06/2022. A la espera calificaciones de ingeniería de Transner. Se avanzó en ensayos internos firewalls (COM).
14/07/2022. Se respondieron observaciones. No tenemos aún respuesta. Se avanzó con ensayos internos firewalls.
03/08/2022. Recibimos calificaciones varias. Transener objeta ETP SA4-NCCB con 1 sistema. Se pide reunión con Transener y Transnoa para avanzar.
06/09/2022. 18 hs de desvio FAT Comunicaciones.SO indica que se debe a dificultades en instalación FOXMAN.
19/10/2022. Se acuerdan últimos cambios. Se genera revisión de DF, y se programará FAT en febrero.
07/11/2022. Se emitieron documentos. Se programa FAT en Febrero.
23/12/2022. Se está programando FAT para febrero.  Se coordina reunión con SO para planificar FAT y ver hs necesarias.
17/01/2023. Después de reunión con SO, se agrega estimación de hs para completar FAT comunicaciones:  Ing: 90hs FAT: 266. Se informa al PM.
07/02/2023. Se avanza con PreFAT. Aun sin confirmación presencia cliente.
14/03/2023. Se inició FAT NCCB. Se espera poder despachar los paneles en Marzo. DESVÍO FÁBRICA 19hs.
21/04/2023. FAT NCCB finalizado. Se empieza a pedir condiciones para PeS a cliente. Se pide reclasificación de hs del Q200040 al Q230001 por repetición PREFAT.
15/05/2023. FAT NCCB finalizado. Elaboración CAF y protocolos SAT en curso.
30/05/2023. Elaboración CAF y protocolos SAT PENDIENTE.
29/06/2023. Se está programando PeS definitiva en Octubre-Noviembre. Elaboración CAF y protocolos SAT PENDIENTE.
03/08/2023. Sin hs en este período. PES programada Enero - Febrero. Pendiente protocolos SAT.
23/08/2023. PES programada Enero - Febrero. Pendiente protocolos SAT.
17/10/2023. PES programada Enero - Febrero. Protocolos SAT elaborados para revisión. 
01/11/2023. PES programada Enero - Febrero. Se elaboran y emiten protocolos SAT.
30/11/2023. Sin hs en este período.  PeS programada Enero/Febrero. Se coordina reunión con PM y SO, para ver estado.
04/01/2024. Sin hs en este período.  PeS programada Marzo-Abril. </t>
    </r>
  </si>
  <si>
    <t>Q200017</t>
  </si>
  <si>
    <r>
      <rPr>
        <b/>
        <sz val="10"/>
        <rFont val="Arial"/>
        <family val="2"/>
      </rPr>
      <t>Ultima rev. 5/9/2024</t>
    </r>
    <r>
      <rPr>
        <sz val="10"/>
        <rFont val="Arial"/>
        <family val="2"/>
      </rPr>
      <t xml:space="preserve">
20/07/2020. Primera revisión de horas. Se enviaron consultas al cliente.                                                                                                                                                                           29/09/2020. Se generó la ingeniería general, se está generando la ingeniería particular.                                                                                                            18/12/2020. Se generó la ingeniería particular. Se está aguardando la aprobación                                                                                                                                                                           24/2/2021. Se realizó el FAT                                                                                                                                                                                                                            13/4/2021. A la espera del SAT.                                                                                                                                                                                                                             20/7/2021. Se realizó el SAT de dos enlaces, queda pendiente el SAT de un enlace.                                                                                                                             17/9/2021. A la espera del SAT del tercer enlace.                                                                                                                                                                                                                                                                              15/11/2021. A la espera del SAT del tercer enlace.                                                                                                                                                                                            17/01/2022. A la espera del SAT del tercer enlace.                                                                                                                                                                                                                                                          07/03/2022. A la espera del SAT del tercer enlace.                                                                                                                                                                                                    27/05/2022. A la espera del SAT del tercer enlace                                                                                                                                                                                                        05/08/2022. A la espera del SAT del tercer enlace                                                                                                                                                              03/10/2022. A la espera del SAT del tercer enlace                                                                                                                                                               07/12/2022. A la espera del SAT del tercer enlace                                                                                                                                                                  30/01/2023. A la espera del SAT del tercer enlace                                                                                                                                                                                14/04/2023. A la espera del SAT del tercer enlace                                                                                                                                                                                                                                                              30/05/2023. A la espera del SAT del tercer enlace                                                                                                                                                                  12/07/2023. A la espera del SAT del tercer enlace                                                                                                                                                                                   16/08/2023. A la espera del SAT del tercer enlace                                                                                                                                                     5/10/2023. A la espera del SAT del tercer enlace                                                                                                                                                                           6/12/2023. A la espera del SAT del tercer enlace                                                                                                                                                                                            30/01/2024. A la espera del SAT del tercer enlace                                                                                                                                        7/03/2024. A la espera del SAT del tercer enlace                                                                                                                          2/05/2024. A la espera del SAT del tercer enlace                                                                                                                                                 3/07/2024. A la espera del SAT del tercer enlace                                                                                                                                                5/09/2024. A la espera del SAT del tercer enlace. Se estima para octubre</t>
    </r>
  </si>
  <si>
    <t>Q200019</t>
  </si>
  <si>
    <r>
      <rPr>
        <b/>
        <sz val="10"/>
        <rFont val="Arial"/>
        <family val="2"/>
      </rPr>
      <t>Ultima rev. 13/04/2021</t>
    </r>
    <r>
      <rPr>
        <sz val="10"/>
        <rFont val="Arial"/>
        <family val="2"/>
      </rPr>
      <t xml:space="preserve">
12/04/2020. Carga inicial proyecto. Se revisan hs consumidas. 
13/05/2020. Se ajustan hs. Se espera confiramción validez información inicial. 
08/06/2020. Se ajustan hs. Se emitieron programas. Se están cerrando protocolos FAT/SAT para emitir.
14/07/2020. Se espera aprobación para coordinar FAT programas.
11/08/2020. Se programa hacer FAT y SAT remoto en Agosto. 
09/09/2020. Se completó PeS remota. Se están haciendo CAOs.
09/10/2020. CAO pendiente aún.
12/11/2020. CAO pendiente para cierre de proyecto.
13/04/2021. Se finaliza el proyecto.</t>
    </r>
  </si>
  <si>
    <t>Q200023</t>
  </si>
  <si>
    <r>
      <rPr>
        <b/>
        <i/>
        <sz val="9"/>
        <color rgb="FF0070C0"/>
        <rFont val="Arial"/>
        <family val="2"/>
      </rPr>
      <t>PROYECTO TECNICAMENTE CERRADO</t>
    </r>
    <r>
      <rPr>
        <b/>
        <sz val="9"/>
        <rFont val="Arial"/>
        <family val="2"/>
      </rPr>
      <t xml:space="preserve">
</t>
    </r>
    <r>
      <rPr>
        <sz val="9"/>
        <rFont val="Arial"/>
        <family val="2"/>
      </rPr>
      <t>17/05/2021. El proyecto esta cerrado técnicamente. Se tuvo que hacer modificaciones de RTXP24 que fueron adicionales porque se habían entregado los modelos que presentamos en Hw&amp;Sw</t>
    </r>
    <r>
      <rPr>
        <b/>
        <sz val="9"/>
        <rFont val="Arial"/>
        <family val="2"/>
      </rPr>
      <t xml:space="preserve">
</t>
    </r>
    <r>
      <rPr>
        <sz val="9"/>
        <rFont val="Arial"/>
        <family val="2"/>
      </rPr>
      <t>13/04/2021. Se tuvo que hacer una nueva adecuación de RTXP24 (trabajo de fábrica) y se reflejará en el próximo periodo (P04). AC está solicitando una nota de cambio dado que la modificación está fuera de termino. Lo cerraremos técnicamente el próximo período.
19/03/2021. Se tuvo que hacer una adecuación de RTXP24 (trabajo de fábrica) y se reflejará en el próximo periodo (P04)
18/01/2021. Falta el curso. En el próximo periodo (012021) debería reflejarse el saldo total y cierre. Las horas de fabrica fueron por modificación de RTXP4
18/12/2020. Se están realizando los ensayos esperamos que en el P12 se vea reflejado completamente.
18/11/2020. Se estan programando los ensayos FAT. Se colocaron horas de producción (restandole a proyectita) por modificación de RTXP24
03/08/2020. Alta del proyecto.</t>
    </r>
  </si>
  <si>
    <t>Q200026</t>
  </si>
  <si>
    <r>
      <rPr>
        <b/>
        <sz val="10"/>
        <rFont val="Arial"/>
        <family val="2"/>
      </rPr>
      <t>Ultima rev. 06/09/2021</t>
    </r>
    <r>
      <rPr>
        <sz val="10"/>
        <rFont val="Arial"/>
        <family val="2"/>
      </rPr>
      <t xml:space="preserve">
03/11/2020. Comienzo del proyecto.
13/04/2021. El cliente solicita una auditoría de protecciones a cotizar aparte.
19/05/2021. Se envía cotización para asistencia de protecciones a coordinar.
10/06/2021. Se confirma una asistencia de un día de protecciones y se pide otra más adelante.
01/07/2021. Se realiza auditoría de Control. Restan pasar esas horas y a fin de mes se cierra el proyecto. Seguir el tema SLA nuevo y Protección frecuencia.
02/08/2021. Hubo una reasignación de hrs de Ing a Campo. Se finaliza el proyecto.
06/09/2021. Restan pasar las últimas horas para cerrar.</t>
    </r>
  </si>
  <si>
    <t>Q200027</t>
  </si>
  <si>
    <r>
      <rPr>
        <b/>
        <sz val="10"/>
        <rFont val="Arial"/>
        <family val="2"/>
      </rPr>
      <t>Ultima rev. 12/11/2020 - PROYECTO CERRADO</t>
    </r>
    <r>
      <rPr>
        <sz val="10"/>
        <rFont val="Arial"/>
        <family val="2"/>
      </rPr>
      <t xml:space="preserve">
09/10/2020. Se dictó curso remoto. Se espera al ingreso de horas para cierre.
12/11/2020. Proyecto CERRADO</t>
    </r>
  </si>
  <si>
    <t>Q200028</t>
  </si>
  <si>
    <t xml:space="preserve">Ultima rev. 24/02/2021 - PROYECTO CERRADO
09/10/2020. Inicio del proyecto.
12/11/2020. FAT ejecutado. Coordinando PeS remota. 
11/12/2020. Se realizó SAT remoto.  CAO en elaboración. 
28/1/2021. CAO emitido. Se espera próximo período para cierre.
24/02/2021.	Última revisión de hs. PROYECTO CERRADO
</t>
  </si>
  <si>
    <t>Q200029</t>
  </si>
  <si>
    <r>
      <rPr>
        <b/>
        <sz val="10"/>
        <rFont val="Arial"/>
        <family val="2"/>
      </rPr>
      <t>Ultima rev. 13/04/2021</t>
    </r>
    <r>
      <rPr>
        <sz val="10"/>
        <rFont val="Arial"/>
        <family val="2"/>
      </rPr>
      <t xml:space="preserve">
03/11/2020. Comienzo del proyecto.
13/04/2021. Se finaliza el proyecto.</t>
    </r>
  </si>
  <si>
    <t>Q200032</t>
  </si>
  <si>
    <r>
      <rPr>
        <b/>
        <sz val="10"/>
        <color rgb="FF000000"/>
        <rFont val="Arial"/>
        <family val="2"/>
      </rPr>
      <t xml:space="preserve">Ultima rev. 18/04/2023 - PROYECTO CERRADO
</t>
    </r>
    <r>
      <rPr>
        <sz val="10"/>
        <color rgb="FF000000"/>
        <rFont val="Arial"/>
        <family val="2"/>
      </rPr>
      <t>11/12/2020. Carga proyecto
28/1/2021. Se lanzó elaboración ingeniería, y compra materiales.
24/02/2021.	Ingeniería paneles lista, se emitirá al recibir constructivo panel.
11/03/2021. Sin cambios (licencia GP)
15/04/2021. Modificación programa algo demorada, por falta recursos. Panel en fabrica.
20/05/2021. FAT en curso. 
10/06/2021. Se completó FAT. El cliente pide cambio en mapa modbus. Se pide confirmación.
13/07/2021. CAF y protocolos SAT  en elaboración. A espera de condiciones PES.
16/08/2021. A espera de condiciones PES. Transba pide cambio alarmas. Se espera definición.
14/09/2021. A espera de condiciones PES. Transba pide cambio alarmas. Se espera definición.
25/10/2021. A espera de condiciones PES. Transba pide cambio alarmas. Se espera definición.
21/11/2021. A espera de condiciones PES. Transba pide cambio alarmas. Se espera definición.
07/12/2021. A espera de condiciones PES. Transba pide cambio alarmas. Se espera definición.
11/01/2022. A espera de condiciones PES. Transba pide cambio alarmas. Fecha tentativa abril-mayo.
25/02/2022. A espera de condiciones PES. Fecha tentativa inicios Abril.
10/03/2022. A espera de condiciones PES. Fecha tentativa inicios Abril.
05/04/2022. PeS programada Fin de Abril. Se está cotizando adicional por cambios y consola.
26/05/2022. Se está cerrando adicional, por cambios y HMI. 
08/06/2022. A la espera de OC adicional cambios y HMI.
14/07/2022. Ingresó adicional .2. Se cargan hs, se da inicio a estos servicios.
03/08/2022. Se emitió documentación básica, se espera calificación. Se avanza en Software Consola Operación.
06/09/2022. Se está programando FAT fin septiembre.
19/10/2022. Se realizó FAT. Se programa SAT en Noviembre.
07/11/2022. Ingresan hs FAT.  SAT suspendido por cliente. Se pide nueva fecha.
23/12/2022. Se ejecutó PES en diciembre. Se deben seguir pendientes y CAO. 
17/01/2023. Se está programando visita para cerrar pendientes 23/01. A confirmar con cliente.
07/02/2023. SAT completado. Se está elaborando documentación CAO.
13/03/2023. Se emitieron CAOs. Se espera próximo período para dar cierre al proyecto.
18/04/2023. Se cierra proyecto.</t>
    </r>
  </si>
  <si>
    <t>Q200033</t>
  </si>
  <si>
    <t>Ultima rev. 11/01/2022 - PROYECTO CERRADO.
11/12/2020. Carga proyecto. Se realizó auditoría CT Rojo, y cambio solicitado. 
28/1/2021. Revisión períodica de horas ok.
24/02/2021. Revisión períodica de horas ok.
11/03/2021. Revisión períodica de horas ok.
15/04/2021. Revisión períodica de horas ok. Se responden consultas en ROJ y VMA.
20/05/2021. Se observa algún desvío de hs. Se respondieron pedidos de cambio en CT Rojo. Se observa hs COM, pero no vi consultas. Se revisará.
10/06/2021. Se observan más hs de Telecom. Mando consulta a JH.
13/07/2021. Sin cambios en este período. No se pudo obtener información respecto a hs de los últimos meses.
16/08/2021. Sin hs en este período.
14/09/2021. Sin hs en este período.
25/10/2021. Se consumen más horas de las previstas en el contrato. Se planteará continuar servicio, y compensar con auditorias no realizadas.
21/11/2021. Proyecto en cierre.  Casos actuales ya cerrados. 
07/12/2021. En Cierre. Se cierra próximo período. Se consulta por renovación al PM / Ventas.
11/01/2022. PROYECTO CERRADO.</t>
  </si>
  <si>
    <t>AT</t>
  </si>
  <si>
    <t>Q200034</t>
  </si>
  <si>
    <r>
      <t>Rev. 28/12/23</t>
    </r>
    <r>
      <rPr>
        <sz val="9"/>
        <rFont val="Arial"/>
        <family val="2"/>
      </rPr>
      <t xml:space="preserve">
Queda por hacer el end -to-end y señales al COT</t>
    </r>
    <r>
      <rPr>
        <b/>
        <sz val="9"/>
        <rFont val="Arial"/>
        <family val="2"/>
      </rPr>
      <t xml:space="preserve">
</t>
    </r>
    <r>
      <rPr>
        <sz val="9"/>
        <rFont val="Arial"/>
        <family val="2"/>
      </rPr>
      <t>Prueba de BD a COT de Transba</t>
    </r>
  </si>
  <si>
    <t>DAM</t>
  </si>
  <si>
    <t>Q200035</t>
  </si>
  <si>
    <r>
      <t xml:space="preserve">Rev. 20/04/22
</t>
    </r>
    <r>
      <rPr>
        <sz val="9"/>
        <rFont val="Arial"/>
        <family val="2"/>
      </rPr>
      <t>Se reanudó el proyecto el 14/03/22. Se presentará un adicional que corresponde sólo a las Horas de Mano de Obra, para mantener el margen de ventas, que es de 30.000USD. El piso es de 20.000USD mínimo a negociar, para mantener el margen. Se comenzó con la ingeniería básica</t>
    </r>
    <r>
      <rPr>
        <b/>
        <sz val="9"/>
        <rFont val="Arial"/>
        <family val="2"/>
      </rPr>
      <t>.</t>
    </r>
    <r>
      <rPr>
        <sz val="9"/>
        <rFont val="Arial"/>
        <family val="2"/>
      </rPr>
      <t xml:space="preserve"> El cronograma por ahora se mantendrá según el original de oferta</t>
    </r>
    <r>
      <rPr>
        <b/>
        <sz val="9"/>
        <rFont val="Arial"/>
        <family val="2"/>
      </rPr>
      <t xml:space="preserve">
Rev. 06/06/22
</t>
    </r>
    <r>
      <rPr>
        <sz val="9"/>
        <rFont val="Arial"/>
        <family val="2"/>
      </rPr>
      <t xml:space="preserve">Se inicia ingeniería de protecciones con M. Barreto. Se repasan los materiales comprados y por comprar. 
</t>
    </r>
    <r>
      <rPr>
        <b/>
        <sz val="9"/>
        <rFont val="Arial"/>
        <family val="2"/>
      </rPr>
      <t xml:space="preserve">Rev. 12/08/22
</t>
    </r>
    <r>
      <rPr>
        <sz val="9"/>
        <rFont val="Arial"/>
        <family val="2"/>
      </rPr>
      <t xml:space="preserve">El proyecto se ejecutaría de corrido. Peralta revisará el número propuesto adicional y entendemos que nos aprobará un número menor (no sabemos cuanto)
Se emitieron los funcionales de todos los típicos. Se estan elaborando el HW&amp;SW y la Arquitectura No está definido el recurso de control.
Se utilizaron varios IEDs670 y 615 para PEPE IV (debemos ser muy prolijos en el orden para ejecutar ahora este proyecto)
</t>
    </r>
  </si>
  <si>
    <t>Q200040</t>
  </si>
  <si>
    <r>
      <rPr>
        <b/>
        <sz val="10"/>
        <color rgb="FF000000"/>
        <rFont val="Arial"/>
      </rPr>
      <t xml:space="preserve">Ultima rev. 30/10/2024
</t>
    </r>
    <r>
      <rPr>
        <sz val="10"/>
        <color rgb="FF000000"/>
        <rFont val="Arial"/>
      </rPr>
      <t xml:space="preserve">30/10/2024. PeS programada Noviembre. Se espera confirmación esta semana.
27/09/2024. Se realizó visita relevamiento. Se está programando PES, posiblemente para Fin Octubre / Noviembre.
15/07/2024. Se está programando visita a obra. Aún sin confirmación. 
06/06/2024. Se programa visita a obra para fin de Junio, y con eso, poder programar PeS.
01/05/2024. Programando PeS para junio - julio. 
28/02/2024. Recibimos ing adecuación para revisar.
23/01/2024. Se actualiza cronograma. Fecha tentativa PeS  Julio/Agosto 2024. 
-----------------------------------------------------------------------------------------------------------------------------------
28/1/2021. Carga proyecto. 
24/02/2021.	Revisión hs ok.
11/03/2021. Revisión hs ok. Ingeniería paneles PLC para revisar. 
15/04/2021. Se carga adicional DAG 132kV (Q210005), que se tratará cómo adicional. Se prepara primera emisión ingeniería. 
20/05/2021. Se prepara FAT paneles Etapa Intermedia. En gestión por cambios pedidos por Transener.
10/06/2021. Se completó FAT etapa intermedia. Se hacen CAF y protocolo SAT.
13/07/2021. A la espera condiciones PeS Etapa Intermedia.
16/08/2021. Se hizo FAT del PLC ET La Puna. A la espera condiciones PES Etapa Intermedia.
14/09/2021. A la espera condiciones PES Etapa Intermedia.
25/10/2021. A la espera condiciones PES Etapa Intermedia.
21/11/2021. A la espera condiciones PES Etapa Intermedia.
07/12/2021. A la espera condiciones PES Etapa Intermedia.
11/01/2022. A la espera condiciones PeS Etapa Intermedia. Se avanza ajustes etapa final.
25/02/2022. A la espera condiciones PeS Etapa Intermedia. 
10/03/2022. A la espera condiciones PeS Etapa Intermedia. 
05/04/2022. A la espera condiciones PeS Etapa Intermedia. 
26/05/2022. A la espera condiciones PeS Etapa Intermedia. 
08/06/2022. Se está programando PeS Etapa Intermedia para fin Junio (a confirmar).
14/07/2022. PeS Etapa Intermedia demorada. Se estima Octubre (a confirmar)
03/08/2022. PeS Etapa Intermedia demorada. Se estima Octubre (a confirmar)
06/09/2022. PeS Etapa Intermedia demorada. Se estima Octubre / Noviembre (a confirmar)
19/10/2022. PeS Etapa Intermedia demorada.
07/11/2022. PeS Etapa Intermedia demorada.
23/12/2022. PeS Etapa Intermedia demorada.
17/01/2023. PeS Etapa Intermedia demorada. Sin novedad.
07/02/2023. PeS Etapa Intermedia demorada. Sin novedad.
13/03/2023. Se realizó FAT NCCB. Entendemos se avanza con Etapa Final.
21/04/2023. FAT NCCB finalizado. Se empieza a pedir condiciones para PeS a cliente. Se pide reclasificación de hs del Q200040 al Q230001 por repetición PREFAT.
15/05/2023. FAT NCCB finalizado. Elaboración CAF y protocolos SAT en curso.
30/05/2023. Elaboración CAF y protocolos SAT PENDIENTE.
29/06/2023. Se está programando PeS definitiva en Octubre-Noviembre.
03/08/2023. Sin hs en este período. PES programada Enero - Febrero. 
23/08/2023. PES programada Enero - Febrero. 
17/10/2023. PES programada Enero - Febrero. 
01/11/2023. Sin hs en este período. PES programada Enero - Febrero. 
30/11/2023. Sin hs en este período.  PeS programada Enero/Febrero. Se coordina reunión con PM y SO, para ver estado.
04/01/2024. Sin hs en este período.  PeS programada Marzo-Abril. </t>
    </r>
  </si>
  <si>
    <t>Q200042</t>
  </si>
  <si>
    <r>
      <t>Se ha comprado el SYS600, la licencia del SCADA y los 4 tableros del SA (los TIOR de MT estan en poder del cliente)</t>
    </r>
    <r>
      <rPr>
        <b/>
        <sz val="9"/>
        <rFont val="Arial"/>
        <family val="2"/>
      </rPr>
      <t xml:space="preserve">
</t>
    </r>
    <r>
      <rPr>
        <sz val="9"/>
        <rFont val="Arial"/>
        <family val="2"/>
      </rPr>
      <t>El cliente no ha comprado los repuestos. Se está intentando que los compren
El cliente aceptó el adicional por las ingenierías funcionales de los tableros de protección y comando y el REC670 del tablero Gateway (U$D 9.500)
Se cambio el GPS Meinberg por la marca Reason que estaba en LU por sobrar en otro proyecto
Nos han comprado el adicional por los servicios y un reducido por las garantías (ver VO-Q200042-03 REV. C) 
1. Servicios Adicionales USD 29.922,00
2. Garantía Equipamiento USD 7.799,00
3. Presencia en LAGO para configuraciones U$D 8.500</t>
    </r>
    <r>
      <rPr>
        <b/>
        <sz val="9"/>
        <rFont val="Arial"/>
        <family val="2"/>
      </rPr>
      <t xml:space="preserve">
</t>
    </r>
    <r>
      <rPr>
        <sz val="9"/>
        <rFont val="Arial"/>
        <family val="2"/>
      </rPr>
      <t xml:space="preserve">El SAT comenzo el 18/07/22. Va una persona de protecciones una de control y ED acompaña unos días para dar soporte.Se estima que el Viernes 20/08 finalice la PeS
</t>
    </r>
    <r>
      <rPr>
        <b/>
        <sz val="9"/>
        <rFont val="Arial"/>
        <family val="2"/>
      </rPr>
      <t xml:space="preserve">Rev. 09/09/22
</t>
    </r>
    <r>
      <rPr>
        <sz val="9"/>
        <rFont val="Arial"/>
        <family val="2"/>
      </rPr>
      <t>Los ensayos SAT terminaron pero han quedado pendientes, tanto de protecciones como de control (ver Actas en server). Debo ver con laboratorio cuando se ejecutaran. Hay temas de comunicaciones que estan retrasando. El PM revisó horas disponibles y estamos bien
Pasó a otro LE</t>
    </r>
  </si>
  <si>
    <t>Q200044</t>
  </si>
  <si>
    <r>
      <rPr>
        <b/>
        <i/>
        <sz val="9"/>
        <color theme="4"/>
        <rFont val="Arial"/>
        <family val="2"/>
      </rPr>
      <t>PROYECTO TECNICAMENTE CERRADO</t>
    </r>
    <r>
      <rPr>
        <b/>
        <sz val="9"/>
        <rFont val="Arial"/>
        <family val="2"/>
      </rPr>
      <t xml:space="preserve">
</t>
    </r>
    <r>
      <rPr>
        <sz val="9"/>
        <rFont val="Arial"/>
        <family val="2"/>
      </rPr>
      <t>08/09/2021. El proyecto está cerrado y se dejan los saldos estimados en cero.
-------------------------------------------------------------------------------------------------------------------------------------
09/08/2021. Se confirmó 18hs de ingeniería cargadas por error y se descontaron en este periodo. Si bien se realizó el curso y taller. el proyecto está en vias de cierre administrativo pero técnicamente está cerrado. En la próxima revisión realizaremos el cierre técnico.</t>
    </r>
    <r>
      <rPr>
        <b/>
        <sz val="9"/>
        <rFont val="Arial"/>
        <family val="2"/>
      </rPr>
      <t xml:space="preserve">
</t>
    </r>
    <r>
      <rPr>
        <sz val="9"/>
        <rFont val="Arial"/>
        <family val="2"/>
      </rPr>
      <t>15/07/2021. Actualización de horas. Se están realizando los cursos pendientes pero hay 18 horas cargadas al proyecto de dario que debo corroborar con Enzo.</t>
    </r>
    <r>
      <rPr>
        <b/>
        <sz val="9"/>
        <rFont val="Arial"/>
        <family val="2"/>
      </rPr>
      <t xml:space="preserve">
</t>
    </r>
    <r>
      <rPr>
        <sz val="9"/>
        <rFont val="Arial"/>
        <family val="2"/>
      </rPr>
      <t xml:space="preserve">31/05/2021. Se actualizó el saldo estimado con la asistencia de laboratorio para el ensayo FAT en UY a pedido de la fábrica.
17/05/2021. Actualización de horas. Se agrega el tiempo de curso y preparado.
13/04/2021. Consumimos más horas de las previstas dado que se preparó un curso orientado a SV dado que nos enteramos e el programa de ensayos FAT que se daría una orientación a la utilización de Merging Unit. Eso nos demandó una mayor preparación pero cumplimos con la satisfacción del cliente. Desde LE utilizaré la minima cantidad de horas y daremos el segundo curso ide 2 días con un temario parecido al primer curso pa no sumar horas adicionales de preparación. 
19/03/2021. Se agregan las horas planificadas según precalculo
18/01/2021. Carga proyecto. </t>
    </r>
  </si>
  <si>
    <t>Q200045</t>
  </si>
  <si>
    <r>
      <rPr>
        <b/>
        <i/>
        <sz val="9"/>
        <color rgb="FF0070C0"/>
        <rFont val="Arial"/>
        <family val="2"/>
      </rPr>
      <t>PROYECTO TECNICAMENTE CERRADO</t>
    </r>
    <r>
      <rPr>
        <b/>
        <sz val="9"/>
        <rFont val="Arial"/>
        <family val="2"/>
      </rPr>
      <t xml:space="preserve">
</t>
    </r>
    <r>
      <rPr>
        <sz val="9"/>
        <rFont val="Arial"/>
        <family val="2"/>
      </rPr>
      <t>14/01/2022. Se cierra el proyecto técnicamente colocandose el saldo estimado en 0
------------------------------------------------------------------------------------------------------------------------------------
07/12/2021. Se termino el SAT y queda la energización cuyas horas debería entrar en el P12 y una elaboración de documentos CAO de control para el cierre del proyecto
------------------------------------------------------------------------------------------------------------------------------------
11/10/2021. Se está realizando el SAT por lo que se espera que en P11 se terminen los servicios de este proyecto.
------------------------------------------------------------------------------------------------------------------------------------
22/10/2021. Actualización de horas por la preparación de los ensayos SAT que implicaron la realización y corrección de los protocolos y reuniones varias con los clientes.
------------------------------------------------------------------------------------------------------------------------------------
08/09/2021. El PM asigando es DB por la salida de EV de la empresa. Preveemos el servicio para Octubre. Las horas previstas están dentro de lo previsto, de todos modos controlaremos el SAT para realizar las tareas contratadas y atentos a cualquier adicional que pudiera surgir</t>
    </r>
    <r>
      <rPr>
        <b/>
        <sz val="9"/>
        <rFont val="Arial"/>
        <family val="2"/>
      </rPr>
      <t xml:space="preserve">
--------------------------------------------------------------------------------------------------------------
</t>
    </r>
    <r>
      <rPr>
        <sz val="9"/>
        <rFont val="Arial"/>
        <family val="2"/>
      </rPr>
      <t xml:space="preserve">09/08/2021. Se continuan con los trabajos de analisis y coordinación de los trabajos pendientes en SES y el End to End de ambas líneas asi cómo la elaboración de los protocolos correspondientes en formato Transener. De momento no hace falta ajuste porque por la marcha del proyecto las horas sobreconsumidas de LE se van a compensar con otras horas de ingeniería dando un saldo positivo.
15/07/2021. Actualización de horas. se comienzan los trabajos SAT en PJ. En el próximo periodo tendremos volcadas las horas de SAT pero no se aprecian desvios de los estimado para las tareas que restan
09/06/2021. Seguimiento.
17/05/2021. Actualización de horas.
13/04/2021. Actualización de horas.
19/03/2021. Revisión de horas. No hay ajustes
22/02/2021, Se agregan las horas planificadas de acuerdo a los precálculos de la Q200045,1 y Q200045,2. Se detectó un error por mala interpretación entre el PM y LE y se consideró para el SAT en PJ (Q200045,1) la cantidad de 276h que era el saldo respecto al proyecto original en lugar de 411h
18/01/2021. Carga proyecto. </t>
    </r>
  </si>
  <si>
    <t>Q200031</t>
  </si>
  <si>
    <r>
      <rPr>
        <b/>
        <sz val="10"/>
        <rFont val="Arial"/>
        <family val="2"/>
      </rPr>
      <t>Ultima rev. 13/02/2022  - Falta SAT Comunicaciones</t>
    </r>
    <r>
      <rPr>
        <sz val="10"/>
        <rFont val="Arial"/>
        <family val="2"/>
      </rPr>
      <t xml:space="preserve">
Hs 0121 Carga de Hs según preca. Hs por revisión de materiales para compras, preparación crono y elenco. NO son necesarias las Hs de campo de protecciones tomar para Ingeniería de protecciones.
</t>
    </r>
    <r>
      <rPr>
        <sz val="10"/>
        <color rgb="FFFF0000"/>
        <rFont val="Arial"/>
        <family val="2"/>
      </rPr>
      <t>Hs 0221 - Programación de confguraciones y protocolos mediados de Marzo, luego FAT. Ver con Seba la planificación de HS para comunicaciones
Hs 0321 - Avanzamos con la preparación de configuraciones y upgrade de RED 2.2.3 en Ezeiza. Falla de herramienta FST. Falta FAT estimado en Abril</t>
    </r>
    <r>
      <rPr>
        <sz val="10"/>
        <rFont val="Arial"/>
        <family val="2"/>
      </rPr>
      <t xml:space="preserve">
Hs 0421 - Reunión con GRS para programar FAT a fines de Mayo. Se arregla FAT separado GRM y GRS y Capacitación conjunta. Tx entrega info para realizar las configuraciones para poder emitir semana del 10/05.
HS 0521 - Se completó Ing y protocolos. Se envía invitación para 14/06 GRM y 21/06 GRS. Se conviene según la experiencia previa pactar 2 semanas de ensayo una con GRS y otra con GRM a pesar de que no es lo ofrecido. Esto llevará un ajuste Hs por ensayo de protecciones, luego se deberá sumar otra semana por capacitación. (Estaba previsto en sitio 40 hs)
Hs 0621 - FAT Protecciones finalizado. Material protecciones listo para entrega. Revisar Hs de comunicaciones con SO
Hs 0721 - Falta FAT y PES Comunicaciones
Hs 0821 - Falta curso proteccione, upgrade 2.2.4 de los RED670 del Q190062, FAT y PES Comunicaciones
Hs 0921 - Curso protecciones 15/11. COMM en FAT
Hs 1021 - Curso en Dic 1/12
Hs 1121 - Se dictó el curso e ingresará en Dic. Parte Protecciones Finaliza con este curso!
Hs 0122 - No habrá más imputación de protecciones. Lo seguiría LE Comunicaciones
Hs 0222 - Cambio de LE</t>
    </r>
  </si>
  <si>
    <t>Q200039</t>
  </si>
  <si>
    <r>
      <rPr>
        <b/>
        <sz val="10"/>
        <color theme="0"/>
        <rFont val="Arial"/>
        <family val="2"/>
      </rPr>
      <t xml:space="preserve">Ultima rev. 11/3/24  - CERRADO
</t>
    </r>
    <r>
      <rPr>
        <sz val="10"/>
        <color theme="0"/>
        <rFont val="Arial"/>
        <family val="2"/>
      </rPr>
      <t>Hs 0121 Carga de Hs según preca. Hs por revisión de materiales para compras. En Feb preparación crono y elenco e Ing básica
Hs 0221 Ajuste HH en función a Ing. Ver cambio de alcance por paso a doble barra en lugar de simple barra, un tablero menos de acople. Y cambio de 615 por 650
Hs 0321 - Finalización de Ing básica y certificación del 10% - Definición de compras de IEDs MT
Hs 0421 - Se posterga el inicio de ingeniería de detalle para mediados de Junio para tener continuidad con llegada info de la GIS 1/07. Se define compras de equipamiento control. 
Hs 0521 - Se inicia con los tableros de Control a la espera de definiciones por la GIS. Se realiza reunión con ítems por comentarios de filosofía EPEC.
Hs 0621 -  La ing de la GIS estará para incios de Agosto, dar aviso a ITEM por corrimiento del crono
Hs 0721 - Avanzamos con la ing de detalle de tableros y adicional de RAT
Hs 0821 - Entregamos los IEDs sueltos. Emitimos todos los típicos PyC e iniciamos las configuraciones. Semana del 13/09 iniciaremos fabricación
Hs 0921 - Fabricación iniciada, finaliza en Noviembre. Octubre estimamos finalizar configuraciones y empezar ing Control. FAT tableros principios de Noviembre.
Hs 1021 - Fabricación finalizada, inicio de FAT protecciones e ing de Ctrol. Primera participación de EPEC cumplida!
Hs 1121 - Continuidad FAT conf desde el 20/12. Culminación Ing Ctrl Enero. SAT Integral estimado para Feb 2022.
Hs 0122 - FAT confirmado en Marzo. Las hs de ing control en Dic y Enero fueron mucho más de las previstas, entiendo por el apoyo de Andrés a Dario, revisar la carga en estos casos para que no carguen al 100%
Hs 0222 - Rev de Hs con Enzo y Juan. FAT integral semana del 14 y 21/03 con cliente
Hs 0322 - FAT finalizado, algunas hs ingresarán en Abril
Hs 0422 - Tableros entregados, se estima SAT en Agosto
Hs 0522 - Falta configuraciones de los extremos por falta info del cliente. CAF emitidos. Falta preparación y PES
Hs 0622 - Se emitien todos los protocolos SAT. El cliente informa necesidad de energización mediados de Octubre, por ende el SAT de protecciones debería iniciar en Septiembre.
Hs 0722 - Se recibe ing de los extremos y se pide adecuación a INOPC, se deja en WL para principipos de Septiembre
Hs 0822 - Se programa la PES para iniciar 26/09 Protecciones y 3/10 Control. Revisar con Enzo participación de Prot por sobre lo previsto, aprox 1 semana (SP=490hs y SC=250hs) 
Hs 0922 - Se inicia PES semana del 26 con Prot y se retoma semana del 11/10 con Prot x2 + Ctrl
Hs 1022 - Se finalizamayormente la PES del SAS. Queda pendiente un problema con falla de 5 REF615, pruebas de terminales remotos para una línea y energización para fin de mes. Hs de campo de control a revisar excedente usar para Hs de Ing
Hs 1122 - Soporte remoto por problemas de perdida de comunciación con la RTU
HS 1222 - Se concurre al sitio para cierre de pendientes, problemas de comunicación con el CCR y problemas de supervisión por SNMP. Se energiza la ET el 8/01. Entrarán hs de campo en Enero de esta úlitma intervención. Faltan CAOs
Revisar solución interna para comunicación con el COT de EPEC
Hs 0123 - Se emite esquema do comunicación actualizado, versión CAO. Evaluar situación y pedidos de EPEC para Bell Ville que pueden ser traslados a este Q.
Hs 0223 - Por cortes en la comunicación al SYS HE programa una asistencia a sitio para el día miércoles 22/3 en la cual implementaríamos esta solución conjunta. Se pide revisión a service para generar los CAOs
Hs 0523 - Falta completar generación de CAOs. Se debe responder y ver si es necesario una asistencia por la OS enviada por EPEC. Correo GD del 12/05/23
Hs 0623 - CAOs finalizados, emitir y verificar cierre con OS enviada por EPEC por problemas detectados en la configuración
Hs 0723 - CAOs emitidos. Ver cierre de OS correo GD 18/07
Hs 0823 - CAOs emitidos. Ver cierre de OS correo GD 18/07
Hs 0923 - Se programó  "A continuación de la energización de Bell Ville, la idea es coordinar una asistencia de Fernando a AGN para superar las observaciones en la última OS" y debimo suspender por superposiciones de PES. Debemos reprogramar
Rev Feb 24 - Queda pendiente la OS86 de EPEC a realizar en un próximo viaje de PES de otra SSEE EPEC. 
Rev Marzo 2024 - CIERRE - Se cargará al Q de garantía la OS pendiente, correo de Ariel 16/02/24</t>
    </r>
  </si>
  <si>
    <t>Q200041</t>
  </si>
  <si>
    <r>
      <rPr>
        <b/>
        <sz val="10"/>
        <rFont val="Arial"/>
        <family val="2"/>
      </rPr>
      <t xml:space="preserve">Ultima rev.18/08/2022
</t>
    </r>
    <r>
      <rPr>
        <sz val="10"/>
        <rFont val="Arial"/>
        <family val="2"/>
      </rPr>
      <t>GAD: Hs 0121 Carga de Hs según preca. Hs por revisión de materiales para compras. Se estima inicio en Abril 2021 con la igeniería básica. Hs 0221 - Se adelantaron las compras de tableros, IEDs y Gw. Inicio estimado de Ing. básica en Abril, falta revisión de HH. Hs 0321 - Se estima incio de INg básica fines de Mayo según reunión con cliente. Se avanzará con crono tentativo para poder dar una cierta continuidad al proyecto. Hs 0421 - Según crono el inicio será a partir de Junio con ingeniería básica y podemos dar continuidad con toda la ingeniería. Proa destaca que recién podría liberarnos el hito de compras a partir de Octubre. Los hitos de ing son 7 cuotas desde Mayo. Hs 0521 - Se recibe ingeniería de estación, se avanza con elenco y crono. En Junio se emiitirá ing. básica, Hw y Sw. En Julio se comenzará con esquema de datos e ing de detalle según WL. Hs 0621 - Debemos “congelarlo” un aprox de 2 meses, creo que podemos usarlo a nuestra conveniencia para completar el WL pero intentando no adelantarlo tanto……pues no tenemos ok del cliente para avanzar. Hs 0721 -. El cliente informa que podemos retomar el proyecto y comenzar con Ing. básica, nos envía elenco actualizado. Hs 0821 - En Agosto emitimos Hw y Sw. En Septiembre continuaremos con emisión de Ing. Básica para certificar hitos mensuales. Hs 0921 - Iniciaremos la ing de detalle en Noviembre. Hs 1021 - Ing. básica emitida en Octubre. Se comienza en Nov la ing de detalle.
Hs 1121 - Traspaso a DAM, Realización de Ing. de detalle. Se emitira una parte en dic y otra en ene. Es posible que en ene se pare el proyecto.
0222 - No se paró el proyecto. Se analiza adelantar fabricación a marzo/abril para evitar el pico de mayo por fabricación para Salto Grande
0322-Se comenzó con la fabricación de tableros
0522-El proyecto se demorará por 5 meses según cronograma. Se espera tener listas en mayo ing funcionales y configuraciones de IEDs.
0722-Se espera que el hito de habilitación de compras comience en septiembre. Implica un retraso aproximado de 5 meses.
0822-El hito de habilitacio de c. se adelantó al 27/7 lo que implica hacer FAT entre enero y mitad de marzo. AT propondrá el FAT para marzo/abril. Se avanza con SW Control y protocolos FAT esperando terminar a ppios de octubre</t>
    </r>
  </si>
  <si>
    <t>Q200037</t>
  </si>
  <si>
    <t>Ultima rev. 15/06/2022
13/04/2021. Se finaliza el FAT y PES remota de PIAS ES3. Resta realizar FAT y PES de LP2.
19/05/2021. Se aguarda fecha de inicio de LP2.
10/06/2021. Se aguarda fecha de inicio de LP2.
01/07/2021. Sin cambios.
02/08/2021. Sin cambios.
06/09/2021. Se avisa al PM que informe el cambio de tarifa para el 2022. No hay novedades de la fecha de LP2.
19/10/2021. Se pide realizar la PES los días 8/11 al 10/11. Se revisa quién puede asistir para realizar este proyecto en conjunto con el Q220008. Se piden algunos cambios menores en la BD previo la FAT.
02/12/2021. Se finaliza la PES y se pasan las horas. Sólo falta acordar si haremos el DMS que nunca nos pasaron el plano en AutoCAD. Pedir info a GDS para hacer CAO de la arquitectura.
07/03/2022. Resta emitir el backup (pedirselo a Mario) y confirmar que no se hará el DMS ya que no pasaron los planos.
08/04/2022. Se cierra el proyecto y las horas se dejan disponibles en el Q220008 para el DMS.
15/06/2022. Se pasaron hrs de PM con el proyecto ya cerrado. a nivel técnico está cerrado.</t>
  </si>
  <si>
    <t>QA20025</t>
  </si>
  <si>
    <r>
      <rPr>
        <b/>
        <sz val="10"/>
        <rFont val="Arial"/>
        <family val="2"/>
      </rPr>
      <t>Ultima rev. 13/04/2021</t>
    </r>
    <r>
      <rPr>
        <sz val="10"/>
        <rFont val="Arial"/>
        <family val="2"/>
      </rPr>
      <t xml:space="preserve">
13/04/2021. Se finaliza el proyecto.</t>
    </r>
  </si>
  <si>
    <t>Q210000</t>
  </si>
  <si>
    <r>
      <rPr>
        <b/>
        <sz val="10"/>
        <rFont val="Arial"/>
        <family val="2"/>
      </rPr>
      <t>Ultima rev. 10/06/2021</t>
    </r>
    <r>
      <rPr>
        <sz val="10"/>
        <rFont val="Arial"/>
        <family val="2"/>
      </rPr>
      <t xml:space="preserve">
13/04/2021. Se realiza la configuración y se acuerda la PES para el 26/4.
19/05/2021. Se finaliza la PES. Falta pasar las horas asociadas.
10/06/2021. Se cierra el proyecto.</t>
    </r>
  </si>
  <si>
    <t>Q210001</t>
  </si>
  <si>
    <r>
      <rPr>
        <b/>
        <sz val="10"/>
        <rFont val="Arial"/>
        <family val="2"/>
      </rPr>
      <t>Ultima rev. 01/07/2021</t>
    </r>
    <r>
      <rPr>
        <sz val="10"/>
        <rFont val="Arial"/>
        <family val="2"/>
      </rPr>
      <t xml:space="preserve">
13/04/2021. Se realiza el FAT y se acuerda la PES para el 19/4 junto que gente de fábrica. La ingeniería la realizó Service.
19/05/2021. Se finaliza la PES. Se pasó un adicional por una asistencia urgente extra. Restan pasar las horas.
10/06/2021. Sólo restan pasar unas horas y el CAO del programa.
01/07/2021. Falta realizar el CAO del programa interno y dejar en el server.</t>
    </r>
  </si>
  <si>
    <t>Q210002</t>
  </si>
  <si>
    <t>Q210004</t>
  </si>
  <si>
    <t>Ultima rev. 02/03/2022
13/04/2021. Se comienza el proyecto.
19/05/2021. Ya están los materiales para comenzar el tablero. Se aguardan las configuraciones de los IED.
10/06/2021. El 14/6 se comienza con la configuración de la RTU y la construcción del tablero.
01/07/2021. Se finaliza la configuración y Pre-FAT. Se espera el FAT en ABB para fin de mes.
02/08/2021. Falta realizar el FAT en ABB y la PES.
06/09/2021. Se finaliza el FAT en ABB. Resta sólo la PES prevista para el 13/9.
19/10/2021. Se acuerda la lista definitiva de señales DNP para evitar problemas en la PES. Aún no se sabe la fecha de PES.
02/12/2021. Se finaliza con éxito la PES. Sólo resta pedir info a EL para emitir el CAO del tablero.
02/03/2022. Se cierra el proyecto. Hablar con el vendedor para proponer un curso a EPEC.</t>
  </si>
  <si>
    <t>Q210005</t>
  </si>
  <si>
    <t xml:space="preserve">Ultima rev. 16/08/2021
15/04/2021.  EN ESTE PROYECTO NO SE CARGARÍAN HORAS. 
ES UN ADICIONAL DEL Q200040 / Q200016 / Q180024,  Y  LAS HORAS SE CARGARÁN EN CADA PROYECTO. 
13/07/2021. A la espera condiciones PeS Etapa Intermedia.
16/08/2021. Se hizo FAT del PLC ET La Puna. A la espera condiciones PES Etapa Intermedia.
</t>
  </si>
  <si>
    <t>Q210007</t>
  </si>
  <si>
    <r>
      <rPr>
        <b/>
        <sz val="10"/>
        <color rgb="FF000000"/>
        <rFont val="Arial"/>
        <family val="2"/>
      </rPr>
      <t xml:space="preserve">Ultima rev. 23/09/2024
</t>
    </r>
    <r>
      <rPr>
        <sz val="10"/>
        <color rgb="FF000000"/>
        <rFont val="Arial"/>
        <family val="2"/>
      </rPr>
      <t>13/04/2021. Se comienza el proyecto.
19/05/2021. Ya se emitió la documentación básica. Esperando aprobación para comprar de materiales.
10/06/2021. Se debe actualizar el cronograma con el hito del funcional de la GIS. Se espera confirmación de Ing. Básica para los compras de IED.
01/07/2021. Se avanza con la ing. de línea. Aún no se tiene datos para la de trafo pero hay tiempo hasta septiembre.
02/08/2021. Se recibe la información completa de trafo. Se acuerda con el cliente cómo armar el panel. Sólo resta confirmar con el cliente que el interruptor de línea es sólo tripolar (no va a haber recierre uni).
06/09/2021. Se emiten las ingenierías típicas de ambos tableros. Se trabaja para vender el sistema de control de la ET. (ver Q200039). Revisar las hrs de ING, parece que son 306hrs.
19/10/2021. Se aprueban las ingenierías y se pasarán a fábrica para comenzar los tableros. Se sigue el tema del Sistema de Control.
07/03/2022. Se finaliza el FAT del proyecto. Los tableros quedan disponibles para enviar y se espera la PES como mínimo para dentro de 6 meses. Avisar actualización de hrs y garantía al cliente.
08/04/2022. Se realizaron los CAF y se prepararán los protocolos SAT a partir del 11/4. El cliente puso una NC por la documentación en inglés.
15/06/2022. Se espera PES. Revisar repuestos, nota de cambio y propuesta SCADA.
07/07/2022. Se reenvía mail para ver el estado. La PES se prevee para principio del año que viene. Sin Cambios de hrs.
05/08/2022. Sin cambios.
05/09/2022. Sin cambios.
17/10/2022. Sin cambios.
01/11/2022. Se manda un PM para actualizar la fecha de PES y ver costos extras.
04/01/2023. Se debe revisar horas estimadas con ED e informar costos extras al cliente por el retraso de la PES.
29/01/2024. Sin novedades de PES.
23/09/2024. Se aguarda adicional de Ventas por Control y modificaciones antes de la PES.</t>
    </r>
  </si>
  <si>
    <t>Q220001</t>
  </si>
  <si>
    <t>Ultima rev. 05/08/2022
01/07/2021. Se ingresa el SLA como todos los años.
02/08/2021. Sin cambios.
06/09/2021. Sin cambios.
02/12/2021. Sin cambios.
07/03/2022. Se vendió por una QA la RTU para cambiar los SACO. Por ahora no hay consultas técnicas.
08/04/2022. Se coordina auditoría para la semana del 25/4.
15/06/2022. Se está enviando la renovación. Se pasan las hrs de la auditoría.
07/07/2022. Se finaliza el contrato. No se usaron horas de soporte por lo que se usan para LE. Se optimizaron las horas de viaje de la auditoría.
05/08/2022. Se cierra el proyecto.</t>
  </si>
  <si>
    <t>Q220003</t>
  </si>
  <si>
    <t>Ultima rev. 08/06/2022
13/07/2021. Carga inicial del proyecto.Sin hs consumidas.
16/08/2021. Sin hs en este período.
14/09/2021. Sin hs en este período. Se realizó auditoría en Colonia Valentina y ET Ezeiza.
25/10/2021. Se realizó auditoría en Bracho.  Se comenzará a preparar informe auditoria.
21/11/2021. Informe CS en preparación.
07/12/2021. Se entregó informe de auditoría Ciber Security. 
11/01/2022. Sin novedad. Seguimiento de casos.
25/02/2022. Se consulta por renovación contrato a PM.
10/03/2022. A espera de renovación contratos. Sin novedad.
05/04/2022. Se envió Oferta renovación. 
26/05/2022. Ingresó nuevo contrato. Se cierra en próximo período.
08/06/2022. PROYECTO CERRADO.</t>
  </si>
  <si>
    <t>Q200043</t>
  </si>
  <si>
    <r>
      <rPr>
        <b/>
        <sz val="10"/>
        <rFont val="Arial"/>
        <family val="2"/>
      </rPr>
      <t>Ultima rev. 5/9/2024</t>
    </r>
    <r>
      <rPr>
        <sz val="10"/>
        <rFont val="Arial"/>
        <family val="2"/>
      </rPr>
      <t xml:space="preserve">
20/07/2021. Primera revisión de horas. Esta realizada la ingenieria general. El proyecto se detuvo. Se empezará con la ingeniería particular.                                                                                                                                                                                                   17/09/2021. Se reactivó le proyecto. Se realizó la ingeniería de armarios.                                                                                                                                                               15/11/2021. Se envió la totalidad de la ingeniería. Se comenzó la fabricación.                                                                                                                                                    17/01/2022. Se terminó la fabricación. A la espera del FAT.                                                                                                                                                                                     07/03/2022. Se está por realizar el FAT                                                                                                                                                                                                                            27/05/2022. Se realizó el FAT y se enviaron los armarios.                                                                                                                                                                                            05/08/2022. A la espera del SAT.                                                                                                                                                                                                          03/10/2022. A la espera del SAT.                                                                                                                                                                                                  07/12/2022. A la espera del SAT.                                                                                                                                                                                  30/01/2023. A la espera del SAT.                                                                                                                                                                                                                      14/04/2023. A la espera del SAT.                                                                                                                                                                                30/05/2023. A la espera del SAT.                                                                                                                                                                            12/07/2023. A la espera del SAT                                                                                                                                                                                                               16/08/2023. A la espera del SAT                                                                                                                                                                          5/10/2023. A la espera del SAT                                                                                                                                                                                                        6/12/2023. A la espera del SAT                                                                                                                                                                                                          30/1/2024. A la espera del SAT                                                                                                                                                                             7/3/2024. A la espera del SAT                                                                                                                                                           2/5/2024. A la espera del SAT                                                                                                                                                                                                                                                        3/7/2024. A la espera del SAT                                                                                                                                                                                     5/9/2024. A la espera del SAT</t>
    </r>
  </si>
  <si>
    <t>Q220004</t>
  </si>
  <si>
    <r>
      <rPr>
        <b/>
        <sz val="10"/>
        <rFont val="Arial"/>
        <family val="2"/>
      </rPr>
      <t>Ultima rev. 6/12/2023 - Proyecto Cerrado</t>
    </r>
    <r>
      <rPr>
        <sz val="10"/>
        <rFont val="Arial"/>
        <family val="2"/>
      </rPr>
      <t xml:space="preserve">
20/07/2021. Primera revisión de horas. Se enviaron consultas al cliente.                                                                                                                                                            17/09/2021. Se realizó la totalidad de la ingeniería. La ingeniería general está aprobada.                                                                                                                                    15/11/2021. Se envió la totalidad de la ingeniería. Se realizó el armado de los cables. Se está por comenzar con el prefat.                                                                                                                               17/01/2022. Se realizó el Prefat, se está por realizar el FAT.                                                                                                                                                                                       07/03/2022. Se realizó el FAT y se enviaron los equipos.                                                                                                                                                                                           27/05/2022. A la espera del SAT.                                                                                                                                                                                                                                        05/08/2022. A la espera del SAT.                                                                                                                                                                                             07/12/2022. A la espera del SAT.                                                                                                                                                                                 30/01/2023. A la espera del SAT.                                                                                                                                                                                                                                  14/04/2023. Se está coordinando el SAT.                                                                                                                                                                      30/05/2023. Se está coordinando el SAT.                                                                                                                                                                        12/07/2023. Se está coordinando el SAT.                                                                                                                                                                                                    16/08/2023. Se está coordinando el SAT.                                                                                                                                                                  5/10/2023. Se realizó el SAT.                                                                                                                                                                                                         6/12/2023. Se cierra el proyecto.</t>
    </r>
  </si>
  <si>
    <t>Q220005</t>
  </si>
  <si>
    <r>
      <rPr>
        <b/>
        <sz val="10"/>
        <color rgb="FF000000"/>
        <rFont val="Arial"/>
        <family val="2"/>
      </rPr>
      <t xml:space="preserve">Ultima rev. 29/01/2024
</t>
    </r>
    <r>
      <rPr>
        <sz val="10"/>
        <color rgb="FF000000"/>
        <rFont val="Arial"/>
        <family val="2"/>
      </rPr>
      <t>02/08/2021. Se carga el proyecto pero aún no hay HOM ni se conoce el preca.
06/09/2021. Se realiza la KOM con el cliente y se cargan las horas correspondientes.
19/10/2021. Se acuerda comenzar con el documento comparativo a fin de mes.
02/12/2021. Aún no se termina el documento comparativo. Cerrar lo antes posible y pensar en Febrero la ing de ET Este. Falta que nos pasen las configuraciones, SCD e IPs.
07/03/2022. Se aceptó el documento PRP y se emitieron las ET. Aún no contamos con las info para comenzar la ingeniería de ET Este. Retraso en cronograma. Ver conveniencia de facturar sin avanzar.
08/04/2022. Se pide al cliente revisar el documento emitido para ver si hacemos la PDTG. Aún no está la info básica y se espera para Mayo. Actualizar Crono de cliente.
15/06/2022. Se espera la info para comenzar los tranajos para Julio. Se informa al PM revisar extra costos por PES en 2023.
07/07/2022. Sin cambios.
05/08/2022. Sin cambios.
05/09/2022. MLB le pide al cliente actualizar el estado. Sio no se hace en Octubre hay que ver cuándo y con qué costos se hace.
17/10/2022. Se espera comenzar la ingeniería a mediados de Noviembre.
01/11/2022. Se espera comenzar a mediados de Noviembre. No hay respuesta del cliente y ya se reclamó por mail 2 veces 23/9 y 17/10.
04/01/2023. Se enviará nota al cliente para informar ajuste del contrato por EoT.
28/11/2023. Se finaliza la PES y se cierra el proyecto. La arquitectura CAO va por el Q230040.
29/01/2024. No se espera más carga de horas. Se cerrará con el Q230040.</t>
    </r>
  </si>
  <si>
    <t>Q220006</t>
  </si>
  <si>
    <t>Ultima rev. 05/08/2022
31/08/2021. Se carga el proyecto de Servicios de ingeniería de PAE. Comenzó el 17/6 y dura un año. Aún no se puede acceder remoto al sistema.
06/09/2021. Se realiza la primer carga. Se está trabajando en lograr el acceso remoto pero Sistemas de PAE no da soporte.
19/10/2021. Se desarrolló el primer caso. El cliente pide llevar un registro de los casos y las horas insumidas.
02/12/2021. Hablar con Mario por Cybersecurity.
07/03/2022. Se realizan varios desarrollos en simultáneo. Se pide una nueva propuesta para el nuevo contrato con tiempos máximos de entrega y tiempo de atención en emergencias. Se verá el 9/3.
08/04/2022. Se pasa el reporte de Abril. No se insumen hrs en el período.
15/06/2022. Se termina el contrato. Se usaron la mitad de las horas y se está renovando. Piden que HE tenga libertad para copiar archivos en el sistema.
07/07/2022. Se finaliza el contrato. Se usaron 42hrs de las 468hrs ofrecidas, aunque se reportaron 171hrs. El resto se pasaron como hrs LE.
05/08/2022. Se cierra el proyecto.</t>
  </si>
  <si>
    <t>Q220007</t>
  </si>
  <si>
    <r>
      <rPr>
        <sz val="9"/>
        <rFont val="Arial"/>
        <family val="2"/>
      </rPr>
      <t>Debido a faltantes de obra y documentacion, no se pudieron completar las tareas de PeS
-Los cableados de señales desde playa que estan pendientes, serian alcance de Transpa o YPF, agrego comentario de Eduardo Areco presente en un correo : “….ya que en paralelo estamos ejecutando el trabajo ente lunes 13 y martes 14; y sería necesario tener esta ingeniería lo antes posible”
-El trabajo restante se estima en un dia en sitio mas 8 hs de preparación previa, a cotizar, Ariel Cisneros.
Hemos solicitado al cliente que si no es imprescindible el 2° paquete lo desestimen y solo adquieran el 2° viaje (no han comprado el adicional por el 2° viaje a obra)
No se ha dictado el curso de 4d (ver oferta). Lugar del curso: Fábrica de Hitachi (ver oferta). 
La PES depende que Transpa apruebe el funcional de campo 05 que enviamos la semana pasada y que se completen los cableados. Se estima como fecha probable  alrededor del 13/12
Se ha cotizado un 2° adicional que no ha sido comprado que incluye volver a obra. No ha sido comprado aún</t>
    </r>
    <r>
      <rPr>
        <b/>
        <sz val="9"/>
        <rFont val="Arial"/>
        <family val="2"/>
      </rPr>
      <t xml:space="preserve">
08/06/22
</t>
    </r>
    <r>
      <rPr>
        <sz val="9"/>
        <rFont val="Arial"/>
        <family val="2"/>
      </rPr>
      <t>No hay novedades sobre adquisición del adicional y 2° viaje a obra. Se está intentando cerrar el proyecto y no realizar el 2° viaje ni el curso</t>
    </r>
    <r>
      <rPr>
        <b/>
        <sz val="9"/>
        <rFont val="Arial"/>
        <family val="2"/>
      </rPr>
      <t xml:space="preserve">
Proyecto cerrado</t>
    </r>
  </si>
  <si>
    <t>Q220008</t>
  </si>
  <si>
    <t>Ultima rev. 04/01/2023
02/08/2021. Se carga el proyecto de Integración de la ET CG3 al SCADA de Distribución. Es similar a OR3. Se realizó KOM con el cliente y se espera PES para fin de Septiembre.
06/09/2021. Se emite toda la documentación del proyecto. Se espera realizar el FAT en 2 semanas y la PES a fin de mes. Se actualiza la arquitectura que no estaba previsto.
19/10/2021. Se pide realizar el SAT a continuación del Q200037. Piden que dispongamos de una semana más por las dudas (será cotizada como adicional)
02/12/2021. Se finaliza con éxito la PES. Sólo resta acordar si se implementarán lso cambios en el DMS si pasan el plano.
02/03/2022. Se cierra el proyecto. Si hay alguna hora por el DMS, se pasa al Q200037 ya que este se vio afectado por las redeterminaciones.
08/04/2022. Se deja abierto este proyecto por garantía y se dejan disponibles las horas del Q200037 que se cierra para terminar el DMS.
15/06/2022. Sin cambios.
07/07/2022. Sin cambios.
05/08/2022. Hablar con MG para ver de conseguir los mapas del DMS de alguna manera.
05/09/2022. Hablar con MG después de que se renueve el SLA.
17/10/2022. Se pasan las últimas horas para cerrar el proyecto. El DMS se actualizará por el contrato de Ingeniería con ayuda de Mario (al no tener los mapas).
01/11/2022. Se pasan las últimas horas para cerrar el proyecto. El DMS se actualizará por el contrato de Ingeniería con ayuda de Mario (al no tener los mapas).
04/01/2023. Se cierra el proyecto.</t>
  </si>
  <si>
    <t>Q220002</t>
  </si>
  <si>
    <r>
      <rPr>
        <b/>
        <sz val="10"/>
        <color rgb="FFFF0000"/>
        <rFont val="Arial"/>
        <family val="2"/>
      </rPr>
      <t>Ultima rev. 24/04/2024</t>
    </r>
    <r>
      <rPr>
        <sz val="10"/>
        <rFont val="Arial"/>
        <family val="2"/>
      </rPr>
      <t xml:space="preserve">
24/04/2024. El proyecto está cerrado técnicamente, nos faltan los CAO. El alcance del SAT se ha reducido por un cambio de alcance del cliente que deberá (seguramente) negociarse  con el PM de Ingener.
======================================================================
05/04/2024. El proyecto está casi cerrado técnicamente, nos faltan los CAO. El alcance del SAT se ha reducido por un cambio de alcance del cliente que deberá (seguramente) negociarse  con el PM de Ingener.
-------------------------------------------------------------------------------------------------------------------------------
23/02/2024. El proyecto está casi cerrado técnicamente, nos faltan los CAO. El alcance del SAT se ha reducido por un cambio de alcance del cliente que deberá (seguramente) negociarse  con el PM de Ingener. Se ha realizado un adicional de asistencia a la PES solicitado por Ingener que quedaron asignados en este período.
-------------------------------------------------------------------------------------------------------------------------------
07/02/2024. El proyecto está casi cerrado técnicamente, nos faltan los CAO. El alcance del SAT se ha reducido por un cambio de alcance del cliente que deberá (seguramente) negociarse  con el PM de Ingener. Se ha realizado un adicional de asistencia a la PES solicitado por Ingener que posiblemnte se agreguen cómo horas de servicios en el próximo período.
------------------------------------------------------------------------------------------------------------
27/12/2023. El proyecto está casi cerrado técnicamente, nos faltan los CAO. El alcance del SAT se ha reducido por un cambio de alcance del cliente que deberá (seguramente) negociarse  con el PM de Ingener. 
---------------------------------------------------------------------------------------------------------------------------------
29/11/2023. El proyecto está casi cerrado técnicamente, nos falta ingresar las tareas del End2End y energización que se ingresarán en el próximo período. El alcance del SAT se ha reducido por un cambio de alcance del cliente que deberá (seguramente) negociarse  con el PM de Ingener. 
---------------------------------------------------------------------------------------------------------------------------------
08/11/2023. Se demoraron las tareas SAT por problemas con el enlace de FO. Nos quedas tareas de End2End y el curso de capacitación en UY que tenemos que programar. El alcance del SAT se ha reducido por un cambio de alcance del cliente que deberá (seguramente) negociarse
 con el PM de Ingener. 
---------------------------------------------------------------------------------------------------------------------------------
25/09/2023. Comienzan las tareas de programación de SAT para 01/09 (según comunicó el cliente). Se consideró un saldo de proyectista por la realización de los CAO
---------------------------------------------------------------------------------------------------------------------------------
07/08/2023. Comienzan las tareas de programación de SAT para 01/09 (según comunicó el cliente). Se consideró un saldo de proyectista por la realización de los CAO
---------------------------------------------------------------------------------------------------------------------------------
31/05/2023. Comienzan las tareas de programación de SAT para 01/09 (según comunicó el cliente). Se consideró un saldo de proyectista por la realización de los CAO
---------------------------------------------------------------------------------------------------------------------------------
07/11/2022. Tenemos 102 h de fábrica que no estaban estimadas debidas a adecuación de pendientes post FAT y preparación de embalaje que no fueron consideradas en el período anterior cómo saldo estimado.
---------------------------------------------------------------------------------------------------------------------------------
20/10/2022. Se terminaron los ensayos FAT y se deja estima las horas de ingeniería para la preparación del SAT y los CAO.
---------------------------------------------------------------------------------------------------------------------------------
09/09/2022. Se terminaron los ensayos FAT en septiembre por lo qque se espera una pequeña cantidad de horas en el P09 quedando el saldo para la realización de los protocolos y preparación para SAT. Las horas de proyectista consumidas se debeieron a 
---------------------------------------------------------------------------------------------------------------------------------
03/08/2022. Hay un nuevio ajuste en la hora de fabricación por reprogramación de trabajos debido a la demora de los bornes para terminar un panel y los ensayos de rigidez. Tambien huvbo desvios por modificaciones debido a temas de ingeniería (reubicación de borneras, identificaciones de fibra óptica) y un recableado pedido por UTE durante el FAT que decidi absorver porque no implicaba mucho tiempo y era en algunos paneles. Seguimos con el plan de realizar los CAF y CAO con INOPC para lo que tendremos alguna hora de proyectista para adecuación de la documentación.
--------------------------------------------------------------------------------------------------------------------------------
08/07/2022. Revisión de horas. Se ajustaron las horas de fabricación porque tendremos un desvio debido a la demora de entrega de bornes para terminar un panel. Tambien tendremos unas horas de desvio por ajustes en nuestra ingeniería debido a nuestro desarrollo. Esto provocaraá horas de desvio en proyectista y en fabricación. Estamos previendo que las horas de ingeniería cvompensarán desde los resultados la cantidad de horas de fabricación. Con el objeto de no sumar horas de proyectista locales se va a realizar los CAF y CAO con INOPC. El FAT se terminará en el próximo periodo en donde se reflejará el total de desvio en fabricación.
---------------------------------------------------------------------------------------------------------------------------------
08/06/2022. Revisión de horas. Proyectista está complicado y ajustado a tareas básicas que trataremos de compensar con horas de ingeniería que en el análisis preliminar estaríamos bien.
---------------------------------------------------------------------------------------------------------------------------------
10/05/2022. Hay dos periodos que no se actualizaron. En el P03 teníamos horas de proyectista que estaban al límite y que en el P04 se sobrepasaron por eso el saldo negativo de 144hs que veremos de compensar y tomar acciones para reducir el impacto. las tareas que restan por hacer son los CAF y posteriormente los CAO porque en el periodo se termino la ingeniería con el complemento de INOPC. El saldo de proyectista lo tengo que revisar con JJH y lo incorporaré para la próxima revisión, (para este período hay un estimado) En adicionales se cargaron 30hs por el adicional de SPER.
----------------------------------------------------------------------------------------------------------------------------------
08/02/2022. Las horas incurridas están dentro de lo previsto. En este periodo se empieza a cargar horas de fábrica dado que tenemos ingeniería aprobada. Se deberá cargar un adicional de horas de fábrica debido al adicional de supervisión de disparo de los interruptores en los paneles de trafo de 30hs (2x15hs) a acordar con GC.
----------------------------------------------------------------------------------------------------------------------------------
14/01/22. Se sigue trabajando en la ingeniería (proyectista) y en adelantar trabajo de fábrica. Debemos prestar atención que esos trabajos sean parte del estimado y no desvios de ingeniería dado que aún no he autorizado a bajar la documentación a fábrica.
Se realizó el ajuste en las horas planificadas informado por GC en mail del 23/12/21 despues de una revisión prepost y la 90h adicional por comentarios recibidos de la revA del Lote1
-----------------------------------------------------------------------------------------------------------------------------------
13/12/2021. Se actualizaron las horas utilizadas. No se ha volcado la revisión de horas de los coordinadores porque aún no se ha consensuado. En este período se registro 157h de fábrica, consultado Javier para registrar que tareas se asignaron ya que todavía no tenemos ingenierías aprobadas para comenzar la fabricación ni tenemos los tableros ya que es una cantidad de horas importante, me confirmo que se utilizaron para el armado de racks combiflex pero que iba a revisar las horas.
Aún no se consensuó si se van a corregir las horas planificadas por las horas revisadas con los coordinadores.
-------------------------------------------------------------------------------------------------------------------------------------------------------------------
10/11/2021. Actualización de horas. Aún es muy temprano para sacar conclusiones aunque vamos a seguir las horas utilizadas con detalle
--------------------------------------------------------------------------------------------------------------------------------------------------------------------
22/10/2021. Se actualizaron las horas utilizadas que empezaron a cargarse en el P09. Esta faltando volcar la revisión de horas con los coordinadores que vamos a consensuar en una reunión KOM a realizar
--------------------------------------------------------------------------------------------------------------------------------------------------------------------
31/08/2021. Carga inicial del proyecto. Se anotaron las horas del precálculo "OPP-18-2813784_P9_Sistema de protecciones SE Cardal 500kV - LOI Rev 8.xlsm"</t>
    </r>
  </si>
  <si>
    <t>Q220010</t>
  </si>
  <si>
    <t>Ultima rev. 05/08/2022
06/09/2021. Se realiza la primer carga.
19/10/2021. Sin cambios, revisar si de ventas pueden ir a tomar contacto con el cliente y hacer un relevamiento de toda la ET para ver que se puede ofrecer.
02/12/2021. Sin cambios.
07/03/2022. Coordinar auditoría para Abril/Mayo.
08/04/2022. Coordinar auditoría para Mayo.
15/06/2022. Se está trabajando en la renovación. Se pasan las hrs de auditoría.
07/07/2022. Se pasan las horas del reporte y se espera el cierre a fin de mes.
05/08/2022. Se cierra el proyecto.</t>
  </si>
  <si>
    <t>Q220014</t>
  </si>
  <si>
    <r>
      <rPr>
        <b/>
        <sz val="9"/>
        <color rgb="FF000000"/>
        <rFont val="Arial"/>
        <family val="2"/>
      </rPr>
      <t>Rev. 07/06/24</t>
    </r>
    <r>
      <rPr>
        <sz val="9"/>
        <color rgb="FF000000"/>
        <rFont val="Arial"/>
        <family val="2"/>
      </rPr>
      <t xml:space="preserve">
Se cerraron todas las tareas de servicio. Ya se hicieron los CAOs. 
Falta dictar el curso de protecciones en Córdona y en ese momento se levantarían los siguientes pendientes:
- Colocar una placa de comunicación en PC
- Mediciones Celdas D1-1: Se encuentra mal asignada la potencia activa y reactiva de dicho IED.
- Errores UCB en TD1: Se encuentran Leds mal asignados en dicho IED
- Alarmas SSAA REC670: Alarmas espurias en frente de IED de SSAA. (¿2 ¿ TB SSAA¿)
</t>
    </r>
    <r>
      <rPr>
        <b/>
        <sz val="9"/>
        <color rgb="FF000000"/>
        <rFont val="Arial"/>
        <family val="2"/>
      </rPr>
      <t>SE CERRO EL PROYECTO SIN HABER CONSULTADO AL LE</t>
    </r>
    <r>
      <rPr>
        <sz val="9"/>
        <color rgb="FF000000"/>
        <rFont val="Arial"/>
        <family val="2"/>
      </rPr>
      <t xml:space="preserve">
</t>
    </r>
  </si>
  <si>
    <t>EK</t>
  </si>
  <si>
    <t>Q220016</t>
  </si>
  <si>
    <r>
      <rPr>
        <b/>
        <sz val="10"/>
        <color rgb="FF000000"/>
        <rFont val="Arial"/>
        <family val="2"/>
      </rPr>
      <t xml:space="preserve">Ultima rev. 01/11/2023     YPF SL192 Contrato de Mantenimiento
</t>
    </r>
    <r>
      <rPr>
        <sz val="10"/>
        <color rgb="FF000000"/>
        <rFont val="Arial"/>
        <family val="2"/>
      </rPr>
      <t>19/10/2021. Se realiza la primer carga.
02/12/2021 Toma el proyecto DAM
06/01/2022 En diciembre se hizo una asistencia que sumó 5 hs en planta y 11 en sitio 
07/03/2022 Se realizó una asistenciael 17/02 que suma 9 hs en planta y 11 en sitio.. Más de la mitad de las personas tienen los cursos de ingreso. Se programan cursos.
08/02/2022 Hay tareas para realizar, pero desde YPF tienen problemas por COVID y vacaciones y las postponen hasta marzo.
31/03/2022 se agregan 40 hs oficina + 88 sitio + 16 PM por capacitaciones que se dictan hasta 5/4 de prot y control. Las horas de capacitaciones de ingreso algunos no las cargaron como trabajo en sitio y se reclasificaron.
01/05/2022  Se realizaron capacitaciones y se realizó una asistencia 28/04 (Agregar hs luego)
11/07/2022  Se hicieron diversas asistencias e informes. Hubo un problema de contrato resuelto de forma desfaborable para HITACHI.
18/08/2022  Se realizó una asistencia. Se consideran 10 horas en oficina por esa asistencia todavía no informadas.  
27/04/2023  Toma el Proyecto EK
05/04/2023  Falla Bifásica, Actuacion Prot Dif de Barra (Informe 14)
11/04/2023  Asistencia (5 hs pre + 3 viaje + 8 hs Planta)  Inspección Falla , toma de datos.
05/05/2023  Asistencia (5 hs pre + 3 viaje + 10 hs Planta) Se sacan Clones de los equipos
22/06/2023  Auditoría Fernando Gallardo Giozza  (3 viaje + 8 hs Planta + 8 hs confeccion informe)
07/07/2023  Auditoria Alejandro Fusco 
                    Por una falla de comunicacion entre las aplicaciones SCADA Gateway A y B y los tapcons 1 y 2 de 13,2kV.
                     Se resolvió para el gateway A dejando el tapcon 1 parcialmente comunicado y el 2 completamente comunicado
                     Hay que regresar semana del 17/07
17/07/2023   Ver alcances contrato para ampliación a otras Subestaciones.  REUNION.
26/07/2023   Intervencion Falla Barras:  1era semana de Octubre
25/08/2023   Alcance de Garantia SE 193 Microscada. Q220024. Si se visita entonces se cobra. "Garantia en Planta 
                     HE"  salvo que sea un problema nuestro.
11/09/2023  Se realizarán las modificaciones (Dejar el Sist de Prot en Zona Unica - Solucion Enzo Diaz la primera 
                    semana de Octubre. 
10/10/23 y 11/10/23 Visita a Sitio para bajar el nuevo programa para el PLC en Isla.
10/10/2023 y 11/10/2023 Visita a Sitio para descargar los nuevos ajustes para que la Protección Diferencial de Barras 
                     no dependa de los Gooses (Fernando Gallardo)
01/11/2023  C</t>
    </r>
    <r>
      <rPr>
        <b/>
        <sz val="10"/>
        <color rgb="FF000000"/>
        <rFont val="Arial"/>
        <family val="2"/>
      </rPr>
      <t>ONTRATO FINALIZADO</t>
    </r>
    <r>
      <rPr>
        <sz val="10"/>
        <color rgb="FF000000"/>
        <rFont val="Arial"/>
        <family val="2"/>
      </rPr>
      <t xml:space="preserve">,   a  la espera de nuevo contrato
28/02/2024  Consultar con Enzo por su asistencia. Horas, etc :
                              Detalle de horas consumidas para esta asistencia :
                                          Hs FAT :  90
                                          Hs SAT :  20
                     (No se incluyen en este proyecto todavia, sino que se asigna momentáneamente a código de garantía) 
11/03/2024  Consultar Diego Bordatto por renovacion contrato :
                      Todavia no se ha renovado
08/05/2024  Todavia no se ha renovado el contrato de mantenimiento.
13/05/2024  Ventas confirma que la OC vendrá en breve y será una continuación del SLA anterior y desde
                     fecha de su vencimiento.  Diego y Eduardo tienen que seguir registrando estas asistencias para
                     luego formalizarlas y cobrarlas:
			- Asistencia 28/02 
				□ Hs SAT             20
				□ Hs FAT              90
			- Asistencia 10/04 (Ale Fusco en remoto) 
				□ Hs telefónicas   05
05/06/2024   Nos están solicitando asistencia para la SE192. Se supone que ya se está destrabando el tema del nuevo 
                     contrato, pero deberíamos ir viendo que disponibilidad vamos teniendo para esta intervención.
                     Es para realizar la auditoria mensual al sistema SCADA y ver unos errores de goose recurrentes. 
                     Estos temas  en general los venían viendo con Fernando Gallardo.
06/06/2024  Desde Servicios : Podemos asistir el 11/06 con @Fernando Gallardo Giozza
</t>
    </r>
    <r>
      <rPr>
        <b/>
        <sz val="10"/>
        <color rgb="FF000000"/>
        <rFont val="Arial"/>
        <family val="2"/>
      </rPr>
      <t xml:space="preserve">07/06/2024  Nuevo Contrato :
		○ Periodo :   2 años , de 2023 a 2025
		○ Alcance : Planta Quimica YPF,  SE 192 de 132kV
			§ Sist Protecciones para 132kV (Relés Relion 650 y 670)
			§ Sist. De Control para 132kV ubicados en SE del CILP, YPF (MicroSCADA / RTUs)
			§ Equipos de Comunicación HE asociados
		○ Soporte Tecnico Telefónico a demanda :  120 hs anuales (L-V, 9 a 17hs)
		○ Visita inicial de Diagnóstico de un dia (L-V , 8 hs)
		○ Soporte en Sitio on demand : bajo Tarifario (SE 192, EDELAP y PETROQUEN)
			§ 1 dia habil (L-V de 9 a 18) - 1 Ingeniero
			§ 5 hs mínimas de preparacion 
			§ Viaje por día : 3 hs + 160km + 8 hs en CILP + Viático
			§ Informe : de requerirlo, +4hs mínimo en HE.
		○ Capacitaciones : Operacion y Mantenimiento equipos del alcance (en CILP-YPF y en oficinas HE)
			§ Una Jornada igual que dia habil completo especialista +
			§  Hs de viaje + Km de viaje + 1 viático
			§  8hs capacitacion 
</t>
    </r>
  </si>
  <si>
    <t>Q220019</t>
  </si>
  <si>
    <t>Ultima rev. 01/11/2022
19/10/2021. Se realiza la primer carga.
02/12/2021. El cliente pide adelantar la fecha de entrega. Se aprueba la ing básica y se acuerda emitir los constructivos el 10/12 y continuar con la configuración. Se intenta fabricar en Diciembre.
02/03/2022. Se cierra el FAT. Hubo cambio de recursos a último momento lo que llevó a un gasto mayor de horas de preparado y ensayo.
07/03/2022. Ver si se entregó el tablero y FO. Realizar el protocolo SAT y conversar fechas de PES.
08/04/2022. Se entregó el tablero y la FO. Se hicieron los SAT y se mandaron emitir al PM. Hay una deuda del cliente que frena la emisión pero ya quieren revisar fecha de PES.
15/06/2022. Se intenta coordinar PES para el 21/6 y 22/6 con WE, GDS, Fabrica y Fiberquill.
07/07/2022. Se realiza la PES pero no se llega a finalizar y no se puede continuar por el cliente. Se espera acuerdo por una nueva fecha e intervención cobrando adicional.
05/08/2022. No se ven las horas de fábrica de la PES. Falta coordinar un día de asistencia de 2 especialistas para finalizar.
05/09/2022. Falta hacer los CAO. Mail a Wilmer enviado. Enviar a hacer el CAO del funcional.
17/10/2022. Se mandan a emitir los CAO. El PM no emite porque hay pagos pendientes. El proyecto está cerrado técnicamente.
01/11/2022. Proyecto cerrado.</t>
  </si>
  <si>
    <t>Q220013</t>
  </si>
  <si>
    <r>
      <rPr>
        <b/>
        <sz val="10"/>
        <rFont val="Arial"/>
        <family val="2"/>
      </rPr>
      <t>Ultima rev. 05/08/2022 - Proyecto Cerrado</t>
    </r>
    <r>
      <rPr>
        <sz val="10"/>
        <rFont val="Arial"/>
        <family val="2"/>
      </rPr>
      <t xml:space="preserve">
15/11/2021. Primera revisión de horas. Se enviaron consultas al cliente. Se definieron las frecuencias  para la OP. Se compró el material                                                                                                                                  17/01/2022. Se entregó la totalidad de la ingeniería. Se bajaron las planos para construcción.                                                                                                                      07/03/2022. Se realizó el FAT. Se está coordinando el SAT.                                                                                                                                                                                       27/05/2022. Se realizó el SAT.                                                                                                                                                                                                                                               05/08/2022. Se cierra el proyecto.                                                     </t>
    </r>
  </si>
  <si>
    <t>Q220020</t>
  </si>
  <si>
    <r>
      <rPr>
        <b/>
        <sz val="10"/>
        <rFont val="Arial"/>
        <family val="2"/>
      </rPr>
      <t>Ultima rev. 5/9/2024</t>
    </r>
    <r>
      <rPr>
        <sz val="10"/>
        <rFont val="Arial"/>
        <family val="2"/>
      </rPr>
      <t xml:space="preserve">
15/11/2021. Primera revisión de horas. Se compró el material                                                                                                                                                                                        17/01/2022. Se envió la ingeniería general. Se compra el material de videovigilancia.                                                                                                                                        07/03/2022. Se está realizando la ingeniería particular.                                                                                                                                                                                            27/05/2022. Se envió toda la ingeniería. Se realizó el FAT.                                                                                                                                                                                       05/08/2022. Se enviaron los tableros, a la espera del SAT.                                                                                                                                                                03/10/2022. Se enviaron los tableros, a la espera del SAT.                                                                                                                                                        07/12/2022. Se enviaron los tableros, a la espera del SAT.                                                                                                                                             30/01/2023. A la espera del SAT.                                                                                                                                                                                                               14/04/2023. A la espera del SAT.                                                                                                                                                                                30/05/2023. A la espera del SAT.                                                                                                                                                                                          12/07/2023. A la espera del SAT.                                                                                                                                                                                                                16/08/2023. A la espera del SAT.                                                                                                                                                                         5/10/2023. A la espera del SAT.                                                                                                                                                                                                         6/12/2023. A la espera del SAT.                                                                                                                                                                                                                                      30/01/2024. A la espera del SAT.                                                                                                                                                                           7/03/2024. A la espera del SAT.                                                                                                                                                       2/05/2024. A la espera del SAT.                                                                                                                                                 5/09/2024. Se finalizó el SAT. Se cierra el proyecto</t>
    </r>
  </si>
  <si>
    <t>Q220022</t>
  </si>
  <si>
    <r>
      <rPr>
        <b/>
        <sz val="10"/>
        <color rgb="FFFF0000"/>
        <rFont val="Arial"/>
        <family val="2"/>
      </rPr>
      <t xml:space="preserve">Ultima rev. 19/9/24 - Ing de detalle PyC por adicionales,  Ing de integración SGU, Fabricación TBFs y Adicionales
</t>
    </r>
    <r>
      <rPr>
        <sz val="10"/>
        <color rgb="FF000000"/>
        <rFont val="Arial"/>
        <family val="2"/>
      </rPr>
      <t>Hs 1121 - Se inició la carga de Hs del Proyecto
Hs 0122 - Se actualizan las hs planificadas e informadas al PM
Hs 0222 - Se inicia Ing de detalle
Hs 0322 - Comentarios a ing básica, revisión y continuidad ing de detalle
Hs 0422 - Comentarios a ing de detalle, revisión y continuidad de tableros típicos
Hs 0522 - Continuidad tableros típicos. Ingeniería de integración. Ver carga hs Luis, parece estar duplicadas
HS 0622 - Las hs incurridas de fábrica son inferiores a las previstas en WL pues hubo demoras en las calificaciones. El desvío de hs en proyectistas/Ing se debe a 2 revisiones adicionales en lugar de una sóla prevista en la oferta/precalculo. El inicio de fábrica se vió retrasado por falta de aprobaciones</t>
    </r>
    <r>
      <rPr>
        <b/>
        <sz val="10"/>
        <color rgb="FF000000"/>
        <rFont val="Arial"/>
        <family val="2"/>
      </rPr>
      <t>. Fabrica cuenta con 48 paneles para fabrica y 7 más a partir del 12/07. En agosto deberemos enviar tableros adicionales los cuales aíun no contamos con las aprobaciones.
Hs 0722 - Se continúa con la fabricación con tableros no aprobados de barras. En Agosto se incorporan más personas para avanzar con el plan de aceleración de ingenierías típicas.
Hs 0822 - Se continúa avance según lo estimado. Se asumen riesgos al fabricar tableros de Control sin calificaciones por necesidad en fábrica
Hs 0922 - Se comienza Ing de software (Configuraciones) y se continua con la emisión de ing típicas y emisiones de revisiones DPC. Se inicia FAT de tableros aprobados: 25
HS 1022 - Se siguen con los ensayos de tableros, se realiza WS de configuraciones, se inicia ingeniería IEC61850. HS de PM se pasan para LE.
HS 1122 - Se continúa con FAT de típicos y réplicas. Se programa FAT integral GOOSE semana del 19/12
HS 1222 - En enero se prevé reinicio de FAT integral a partir del 16/01. En paralelo se continúa con ensayos de réplicas desde el 9/01. Se continuán con configruaciones típicas, ing de tableros ( 4 típicos faltantes) e ing de estación
Hs 0123 - Se hace una estimación de Hs para el cierre y se informa a PC y PM. Se finalizan los ensayos de Instancia 1 según lo programado el 17/02. Se revisan pedidos con Autotrol, minuta de pantallas y próximos pasos para FAT integral.
Hs 0223 - El 13/03 se inician la instancia 2 de ensayos integrales.
Hs 0523 - Se actualizan hs según lo incurrido en el mes en curso
Hs 0623 -Se actualizan hs según lo incurrido en el mes en curso y previsión nueva para Fábrica y Proyectistas
Hs 0923 - Se agregan hs de adicional de la M1
Hs 0723 - Se actualizan hs según lo incurrido en el mes en curso y previsión nueva para Fábrica y Proyectistas
Hs 0823 -  Se actualizan hs según lo incurrido en el mes en curso y previsión nueva según planilla de Hs Rev 12
Hs 1023 - Se actualizan hs según lo incurrido en el mes en curso y previsión nueva según planilla de Hs Rev 12
Hs 1223 - Se actualizan hs según lo incurrido en el mes en curso y previsión nueva según planilla de Hs Rev 12
Hs 0124 - Se actualizan hs según lo incurrido en el mes en curso y previsión nueva según planilla de Hs Rev 12
Hs 0224 - Se actualizan hs según lo incurrido en el mes en curso y previsión nueva según planilla de Hs Rev 12
Hs 0324 - Se actualizan hs según lo incurrido en el mes en curso y nueva previsión Marzo 2024
Hs 0424 - Se actualizan hs según lo incurrido en el mes en curso y nueva previsión Abril 2024
Hs 0524 - Se actualizan hs según lo incurrido en el mes en curso y nueva previsión Mayo 2024
Hs 0624 - Se actualizan hs según lo incurrido en el mes en curso y nueva previsión Junio 2024
Hs 0724 - Se actualizan hs según lo incurrido en el mes en curso y nueva previsión Julio 2024
Hs 0824 - Se actualizan hs según lo incurrido en el mes en curso y nueva previsión Agosto 2024</t>
    </r>
  </si>
  <si>
    <t xml:space="preserve"> -Debido a error en la oferta, faltan slot libres (30%) Nos obliga a proveer 4 Fox615 adicionales SDH. Realizamos varias propuestas previas a proveer</t>
  </si>
  <si>
    <t>los 4 Fox adicionales pero no fueron aceptadas. Se consumieron 300hs adicionales por este motivo</t>
  </si>
  <si>
    <t xml:space="preserve"> -Por problemas en la atenuación de la FO se realizan calculos opticos que obligan a cambios en la provision de los amplificadores MPB. Se realizan</t>
  </si>
  <si>
    <t>propuestas opticas que implican adicionales para SG, no son aceptadas y luego de varios meses SG decide volver a la oferta original, aceptando</t>
  </si>
  <si>
    <t>magenes de operación minimos y en salto SGU-SJ sin margen de operación. Se consumen 200hs adicionales por este motivo</t>
  </si>
  <si>
    <t xml:space="preserve"> -El sistema EUROCARD no es compatible con el sistema de amplificacion, se busca solucion alternativa con cables pre-armados y reforzados</t>
  </si>
  <si>
    <t>se debate con SG hasta lograr aceptacion y definir cantidad a proveer. La cantidad de repuestos de amplificacion MPB es rechazada por SG y se</t>
  </si>
  <si>
    <t>realizan varias presentaciones para justificar la oferta. Se consumen 100hs adicionales por este motivo</t>
  </si>
  <si>
    <t xml:space="preserve"> - PreFAT: La instalación del servidor Foxman con Encriptacion es una nueva implementacion, muy compleja de realizar. Se necesito soporte de Suiza</t>
  </si>
  <si>
    <t>y demando mucho mas tiempo de los estimado. Se consumieron 150 hs adicionales por este motivo</t>
  </si>
  <si>
    <t>Q220024</t>
  </si>
  <si>
    <r>
      <rPr>
        <b/>
        <sz val="10"/>
        <color rgb="FF000000"/>
        <rFont val="Arial"/>
        <family val="2"/>
      </rPr>
      <t xml:space="preserve">Ultima rev. 21/09/23     SE 193 YPF - EDELAP MicroSCADA
</t>
    </r>
    <r>
      <rPr>
        <sz val="10"/>
        <color rgb="FF000000"/>
        <rFont val="Arial"/>
        <family val="2"/>
      </rPr>
      <t xml:space="preserve">0222 - Se realizó la auditoría el 03/01/22. Riesgo: retraso del proyecto debido a demora de entrega de placa ABB SROUT. Se propuso adelantar cursos a Abril.
0322 - Existen problemas de demoras con computadoras Advantech. Se avanza con ing funcional.
0422 - Se emite ing funcional. Se programan cursos para abril. El PM informa que los equipos llegarán en fecha.
0522 - Se realizan cursos. Se negocia hacer cursos más cortos y, en cambio, agregar un día de curso en sitio.
0722 - Hubo muchos problemas durante el FAT con MicroSCADA y con el hardware. Mucha gente tuvo que participar. Cumplimos con fecha de contrato. No hay penalización ya que el retraso fue debido a EDELAP. Actualmente el SAT se interrumpió en su último día por rotura de interruptor.
18-08-22 Se programa continuar SAT el día 31/8. 
</t>
    </r>
    <r>
      <rPr>
        <b/>
        <sz val="10"/>
        <color rgb="FF000000"/>
        <rFont val="Arial"/>
        <family val="2"/>
      </rPr>
      <t xml:space="preserve">
24/08/23  </t>
    </r>
    <r>
      <rPr>
        <sz val="10"/>
        <color rgb="FF000000"/>
        <rFont val="Arial"/>
        <family val="2"/>
      </rPr>
      <t xml:space="preserve">Reunion por falla en el arranque Microscada cuando BS2 arranca primero como HOT. No aparecen Señales digitales en OASIS de Edelap. Aparentemente falla la comunicación entre MicroScada y Oasis  de Edelap.
</t>
    </r>
    <r>
      <rPr>
        <b/>
        <sz val="10"/>
        <color rgb="FF000000"/>
        <rFont val="Arial"/>
        <family val="2"/>
      </rPr>
      <t xml:space="preserve">Alcance de Garantia SE 193 Microscada. Si se visita entonces se cobra. "Garantia sólo en Planta HE"  salvo que sea un problema nuestro.
Acciones : </t>
    </r>
    <r>
      <rPr>
        <sz val="10"/>
        <color rgb="FF000000"/>
        <rFont val="Arial"/>
        <family val="2"/>
      </rPr>
      <t xml:space="preserve">1 - Cuando ocurra nuevamente el evento (1 vez al mes aprox) nos avisaran y nos darán escritorio remoto para ver la falla.
</t>
    </r>
    <r>
      <rPr>
        <b/>
        <sz val="10"/>
        <color rgb="FF000000"/>
        <rFont val="Arial"/>
        <family val="2"/>
      </rPr>
      <t xml:space="preserve">                  </t>
    </r>
    <r>
      <rPr>
        <sz val="10"/>
        <color rgb="FF000000"/>
        <rFont val="Arial"/>
        <family val="2"/>
      </rPr>
      <t xml:space="preserve">2 - Visita a Sitio para recrear el procedimiento de Failovers, etc.
</t>
    </r>
    <r>
      <rPr>
        <b/>
        <sz val="10"/>
        <color rgb="FF000000"/>
        <rFont val="Arial"/>
        <family val="2"/>
      </rPr>
      <t xml:space="preserve">21/09/23   </t>
    </r>
    <r>
      <rPr>
        <sz val="10"/>
        <color rgb="FF000000"/>
        <rFont val="Arial"/>
        <family val="2"/>
      </rPr>
      <t xml:space="preserve">A pesar de las acciones a tomar (1 y 2) Mariano España de YPF solicita a HE que envíe personal para ver la falla de cpmunicación entre MicroScada y Oasis. Se le recuerdan las acciones a tomar.
</t>
    </r>
    <r>
      <rPr>
        <b/>
        <sz val="10"/>
        <color rgb="FF000000"/>
        <rFont val="Arial"/>
        <family val="2"/>
      </rPr>
      <t xml:space="preserve">
</t>
    </r>
  </si>
  <si>
    <t>Q220012</t>
  </si>
  <si>
    <r>
      <rPr>
        <b/>
        <sz val="10"/>
        <rFont val="Arial"/>
        <family val="2"/>
      </rPr>
      <t>Ultima rev. 05/08/2022 - Proyecto Cerrado</t>
    </r>
    <r>
      <rPr>
        <sz val="10"/>
        <rFont val="Arial"/>
        <family val="2"/>
      </rPr>
      <t xml:space="preserve">
17/01/2022. Primera revisión de horas. Se realizó la fabricación de los chasis, se realizó el FAT y se envían los equipos a obra                                                                                                                  07/03/2022. A la espera del SAT                                                                                                                                                                                                                                         27/05/2022. Se realizó el SAT.                                                                                                                                                                                                                            05/08/2022. Se cierra el proyecto.</t>
    </r>
  </si>
  <si>
    <t>Q220025</t>
  </si>
  <si>
    <r>
      <rPr>
        <b/>
        <sz val="10"/>
        <rFont val="Arial"/>
        <family val="2"/>
      </rPr>
      <t>Ultima rev.05/08/2022 - Proyecto Cerrado</t>
    </r>
    <r>
      <rPr>
        <sz val="10"/>
        <rFont val="Arial"/>
        <family val="2"/>
      </rPr>
      <t xml:space="preserve">
17/01/2022. Primera revisión de horas. Se ensayaron las placas que quedaron pendientes de entrega en el proyecto original. Se realizaron las modificaciones a la ingeniería.                                                                                                                                                                                                                                                                               07/03/2022. Se está realizando la PES..                                                                                                                                                                                                                             27/05/2022. Se finalizó la PES.                                                                                                                                                                                                                                05/08/2022. Se cierra el proyecto.</t>
    </r>
  </si>
  <si>
    <t>Q220027</t>
  </si>
  <si>
    <r>
      <t xml:space="preserve">Ensayos de recepción 07/05/22
Los IEDs llegaran a fábrica en Mayo. Situación extraña en relación a la ingeniería de configuraciones. El cliente nos pide que no emitamos (por nota hemos dejado claro que esta situación es ajena a HITACHI y que los plazos de entragas deberan modificarse).
Se realizaron los ensayos de recepción de 18 terminales. Finalizaron el 05/05
Martin Pozatti estima que en la segunda quincena de Mayo nos enviaran la documentación de estación para que verifiquemos nuestras configuraciones. </t>
    </r>
    <r>
      <rPr>
        <b/>
        <sz val="9"/>
        <rFont val="Arial"/>
        <family val="2"/>
      </rPr>
      <t>Esto no ocurrió</t>
    </r>
    <r>
      <rPr>
        <sz val="9"/>
        <rFont val="Arial"/>
        <family val="2"/>
      </rPr>
      <t xml:space="preserve">. Cronograma muy demorado. Tenemos registrado por notas estas demoras
Hace un mes llegaron los funcionales con cambios muy importantes. Erick insumió 11d en actualizar este </t>
    </r>
    <r>
      <rPr>
        <b/>
        <sz val="9"/>
        <rFont val="Arial"/>
        <family val="2"/>
      </rPr>
      <t>cambio de alcance.</t>
    </r>
    <r>
      <rPr>
        <sz val="9"/>
        <rFont val="Arial"/>
        <family val="2"/>
      </rPr>
      <t xml:space="preserve"> Estamos viendo si el cliente acepta reconocer 6d.Emitimos las nuevas configuraciones y listados de señales DNP3.0 junto con el .pcmp para que Transnoa los revise
Hemos conseguido cobrar adicional (6d de ingeniería). A fin de este mes Erick atenderá estas modificaciones
</t>
    </r>
    <r>
      <rPr>
        <b/>
        <sz val="9"/>
        <rFont val="Arial"/>
        <family val="2"/>
      </rPr>
      <t>Rev. 12/01/23</t>
    </r>
    <r>
      <rPr>
        <sz val="9"/>
        <rFont val="Arial"/>
        <family val="2"/>
      </rPr>
      <t xml:space="preserve">
El FAT finalizó el 03/01, no han firmado los protocolos todavía. El SAT se piensa para Marzo condicionado a varios asuntos que hacen improbable esta fecha. El 16/01 haremos con ED la reunión de lanzamiento de este SAT. Recordar que se estipulen claramente las horas disponibles para el SAT (ED revisará con las personas designadas). Si durante la ejecución se detectan desvios debe levantarse la mano con tiempo suficiente</t>
    </r>
  </si>
  <si>
    <t>AV</t>
  </si>
  <si>
    <t>Q220029</t>
  </si>
  <si>
    <t>FUTALEUFU: Ultima Rev. 2/5/2024</t>
  </si>
  <si>
    <t xml:space="preserve">4/3/22 Realizacion de las compras a ENICS. </t>
  </si>
  <si>
    <t>Solicito informacion sobre la linea, los acoplamientos y trampas, equipos</t>
  </si>
  <si>
    <t>Ingeniaría aprobada - Tableros Fabricados</t>
  </si>
  <si>
    <t>FAT realizado - Tableros entregados</t>
  </si>
  <si>
    <t>SAT realizado</t>
  </si>
  <si>
    <t>Capacitación: Pendiente, programada para Abril</t>
  </si>
  <si>
    <t>Cerrado</t>
  </si>
  <si>
    <t>Q220018</t>
  </si>
  <si>
    <r>
      <rPr>
        <b/>
        <sz val="10"/>
        <color rgb="FF000000"/>
        <rFont val="Arial"/>
        <family val="2"/>
      </rPr>
      <t xml:space="preserve">Ultima rev. 23/09/2024
</t>
    </r>
    <r>
      <rPr>
        <sz val="10"/>
        <color rgb="FF000000"/>
        <rFont val="Arial"/>
        <family val="2"/>
      </rPr>
      <t>07/03/2022. Aún no se puede avanzar con el proyecto ya que no está dado de alta en EDESUR por papeles. Se deben coordinar las auditorías y proveedor 3 TDX.
08/04/2022. Se destraban los papeles pero ahora hay que validar el tema de estudios médicos para avanzar. Por ahora está frenado.
15/06/2022. Se comienzan a programar las auditorías. Se hicieron sobre las EM y un PLC hasta el momento.
07/07/2022. Se hizo una auditoría de ambas EM y dos visitas a PLC de Ezeiza. Hay que programa el resto de las visitas antes de Octubre.
05/08/2022. Sin cambios. Debemos realizar las auditorías faltantes en Agosto/Septiembre.
05/09/2022. Hablar con Javier para definir bien el alcance del SLA. Ver con GDS por la actualización del sistema.
17/10/2022. El 24/8 se realizó la auditoría en ET Bosques. Se prevee el 17/10 hacer la de ET Hudson.
01/11/2022. Hay problemas con los papeles de ingreso en cada lugar. No se pudo ir a CT Dock Sud ni HE ni Acertis. ML y DB están trabajando para poner el día los ingresos.
04/01/2023. Se acuerda ir en Enero a Ezeiza para revisar TDX. Se debe hacer estimación por cambio de SO en las EM.
28/11/2023. Se asiste a pedido de ENEL a las auditorías. Aún no se pudo coordinar el tema de radioenlace.
29/01/2024. Por ahora sin movimiento. Se puede utilizar este contrato por algún pedido del SAT del Q230020.
23/09/2024. Se realizan auditoría en ambas EM ,Bosques y Hudson. 1/10 termina el contrato y se va a negociar renovación.</t>
    </r>
  </si>
  <si>
    <t>Q220028</t>
  </si>
  <si>
    <r>
      <rPr>
        <b/>
        <sz val="10"/>
        <color rgb="FF000000"/>
        <rFont val="Arial"/>
        <family val="2"/>
      </rPr>
      <t xml:space="preserve">Ultima rev. 23/09/2024
</t>
    </r>
    <r>
      <rPr>
        <sz val="10"/>
        <color rgb="FF000000"/>
        <rFont val="Arial"/>
        <family val="2"/>
      </rPr>
      <t>07/03/2022. Se realiza la primer carga. Se espera el WS para varias definiciones aunque ya se comenzó con la ingeniería de detalle de protecciones.
08/04/2022. Se deben revisar la carga de horas en naranja. Se comienza la red de datos para definir los materiales a comprar. Se avanza con los más importantes (tableros, IED, relés y registradores). Faltan revisar las Horas.
15/06/2022. Se actualiza las horas KOM. Se avanza con la ing de 500kV. Falta definir compras que pueden atrasar entregas.
07/07/2022. Se emite todo del LOTE 1 salvo RAT. Aún no hay nada aprobado.
05/08/2022. Se emite todo del LOTE 1 y típicos LOTE 2 salvo RAT. Aún no hay nada aprobado. Se decide frenar el proyecto y liberar recursos.
17/10/2022. Se intenta reactivar el proyecto de P&amp;C. Se acuerda cómo hacer el RAT y se espera definión de SW.
01/11/2022. Se avanza con el FAT de COMM. Hay materiales aún en aduana. Sumar a Ale por tema de COPQ.
04/01/2023. Se espera terminar el FAT de COMM con la llegada de ETL que liberaron de Aduana. Se extendieron las horas de FAT por que no andaba sincronismo. El proyecto de P&amp;C está frenado por aprobación de adicional.
28/11/2023. Se deben reclasificar 180hrs de ing como capacitación. Se debe pasar un adicional al CSJ por los últimos cambios.
29/01/2024. Se finaliza FAT de 220kV. Hacer CAFs. Continuar con FAT de 66kV.
23/09/2024. Se comienza el SAT. Aún falta hacer el control de Extremos. Seguir en detalle las horas.</t>
    </r>
  </si>
  <si>
    <t>Q220030</t>
  </si>
  <si>
    <r>
      <rPr>
        <b/>
        <sz val="10"/>
        <color rgb="FF000000"/>
        <rFont val="Arial"/>
      </rPr>
      <t xml:space="preserve">Ultima rev. 31/10/2024
</t>
    </r>
    <r>
      <rPr>
        <sz val="10"/>
        <color rgb="FF000000"/>
        <rFont val="Arial"/>
      </rPr>
      <t xml:space="preserve">31/10/2024. Se completó la PeS, si bien llevó tres días más, se contemplan en contrato de mantenimiento (124656) como auditoria.
27/09/2024. Se acordó que los equipos se montarán fuera del panel de nuestra provisión. Se envía CAF en formato dwg, según se acordó con Transener. Aun sin fecha confirmada para PeS.
15/07/2024. PeS suspendida por parte de Transener. Consulta por tema de montaje del panel. 
06/06/2024. PeS pedida para mediados Julio. Se revisa con Servicios.
01/05/2024. Esperando condiciones para PeS. Sin novedad.
28/02/2024. Esperando condiciones para PeS. Sin novedad.
23/01/2024. Esperando condiciones para PeS. Se consulta al PM.
------------------------------------------------------------------------------------------------------
10/03/2022. Carga inicial del proyecto.Sin hs consumidas.
05/04/2022. Elenco listo para emitir. Listado materiales y Hw y Sw. 
26/05/2022. Se coordina visita de relevamiento, solicitada por Transener para evaluar montaje.
08/06/2022. Se pide confirmación a Transener para avanzar con ingeniería. Se observa mayores tareas relacionada a configuración firewalls.
14/07/2022. Se emitió ingeniería básica, y de panel TIOR. 
03/08/2022. Se registra desvío (3+7) por mayor trabajo de ingeniería panel TIOR. Se ven demoras en compras. Se pide gestión al PM.  
06/09/2022. Se está programando FAT en Septiembre. 
19/10/2022. Se hizo FAT. Se están programando entrega equipamiento. PeS 2023.
07/11/2022. Se deben reclasificar a capacitación 45 hs de Hector Alvarado para hacer ajuste post FAT permisos usuarios en Windows.
23/12/2022. No se observa reclasificación hs solicitada. Se consulta a YM. 
17/01/2023. Queda pendiente emisión CAF, y solicitar condiciones PeS. Se consulta nuevamente por reclasificación, ya que no se ve en esta planilla.
07/02/2023. Se emitió CAF.  Se reciben observaciones a configuración Firewalls. Se amplicó reclasificación.
13/03/2023. Se solicita reunión para analizar observaciones. Cliente informa PeS para Mayo.
18/04/2023. Se realiza reunión con cliente. Cambios se implementan en PeS. Se programan ensayos internos. PeS aún sin fecha. 
15/05/2023. Esperando condiciones para PeS. Se debe programar ensayo interno.
30/05/2023. Esperando condiciones para PeS. Se debe programar ensayo interno.
29/06/2023. Esperando condiciones para PeS. Se realizó ensayo interno. 
03/08/2023. Esperando condiciones para PeS. Transener pide nueva emisión de documentos previo a la PeS.
23/08/2023. Esperando condiciones para PeS. Se trabaja en nueva emisión Configuración Firewalls.
17/10/2023. Esperando condiciones para PeS. Se emitió documento Configuración Firewalls.
01/11/2023. Esperando condiciones para PeS. 
30/11/2023. Esperando condiciones para PeS. 
04/01/2024. Esperando condiciones para PeS. 
</t>
    </r>
  </si>
  <si>
    <t>Q220032</t>
  </si>
  <si>
    <t>Ultima rev. 28/11/2023
07/03/2022. Se realiza la primer carga.
08/04/2022. Se propone reunión el Lunes 11/4 para ver de arrancar este proyecto.
15/06/2022. Se comienza con la ingeniería.
07/07/2022. Se emite toda la ingeniería. Resta pasar las hrs.
05/08/2022. Resta el DMS. Se espera aprobación para el FAT. Proponer FAT el 25/8 con Fusco.
05/09/2022. Se reciben los doc "Vistos". Falta el protocolo FAT para proponer una fecha al cliente.
17/10/2022. Se reciben "visto" todos los Doc. Se hace el FAT el 13/10 y 14/10. Pedir estimación de SAT.
01/11/2022. El cliente estima la PES para la semana del 5/12. Se vendieron 3 días de PES. Falta que se apruebe el protocolo SAT.
04/01/2023. Se espera llamado para PES.
28/11/2023. Se cierra el proyecto.</t>
  </si>
  <si>
    <t>Q220034</t>
  </si>
  <si>
    <r>
      <rPr>
        <b/>
        <sz val="10"/>
        <color rgb="FF000000"/>
        <rFont val="Arial"/>
        <family val="2"/>
      </rPr>
      <t xml:space="preserve">Ultima rev. 18/04/2023 - PROYECTO CERRADO
</t>
    </r>
    <r>
      <rPr>
        <sz val="10"/>
        <color rgb="FF000000"/>
        <rFont val="Arial"/>
        <family val="2"/>
      </rPr>
      <t>10/03/2022. Carga inicial del proyecto.Sin hs consumidas.
05/04/2022. Evento en BKD. Se dio soporte. Se piden cambios que se cotizarán como adicional del Q200032.
26/05/2022. Se recibió consulta, se da respuesta.
08/06/2022. Se ajustan horas. Sin novedad.
14/07/2022. Se ajustan horas. Sin novedad.
03/08/2022. Sin novedad. Mail a ED para coordinar auditoría en V.María y Rojo. 
06/09/2022. Se realizaron auditorías en Rojo y V.Maria. (solo entran hs de Rojo en este período.)
19/10/2022. Hs de auditoria V.María. 
07/11/2022. Sin novedad. 
23/12/2022. Se dio respuesta a eventos ocurridos. A espera de renovación.
17/01/2023. Renovación en proceso de negociación. 
07/02/2023. Renovación en proceso de negociación. Se manda mail consultando este tema.
13/03/2023. Renovación en proceso de anotación. 
18/04/2023. Se cierra proyecto.</t>
    </r>
  </si>
  <si>
    <t>Q220035</t>
  </si>
  <si>
    <r>
      <t xml:space="preserve">Deberíamos comenzar fabricación en la semana del 21/06 para llegar al 12/08 con todo fabricado e iniciar ensayos FAT anticipadamente. Tableros DAG no vemos  problemas en cuanto a equipos
</t>
    </r>
    <r>
      <rPr>
        <b/>
        <sz val="9"/>
        <rFont val="Arial"/>
        <family val="2"/>
      </rPr>
      <t>Usaremos REx670 de Ayacucho</t>
    </r>
    <r>
      <rPr>
        <sz val="9"/>
        <rFont val="Arial"/>
        <family val="2"/>
      </rPr>
      <t xml:space="preserve">
Recibiremos 16 x REF615 fines de Agosto. Switches AFS el 15/11 (imposible). Por esto </t>
    </r>
    <r>
      <rPr>
        <b/>
        <sz val="9"/>
        <rFont val="Arial"/>
        <family val="2"/>
      </rPr>
      <t xml:space="preserve">se usarán Switches de ET Ayacucho
</t>
    </r>
    <r>
      <rPr>
        <sz val="9"/>
        <rFont val="Arial"/>
        <family val="2"/>
      </rPr>
      <t xml:space="preserve">El 16/08 se hicieron los ensayos de rigidez. El 18/08 comienzan los ensayos FAT de protecciones, SCADAs y DAG. Finalizan el 09/09. Adelantamos el comienzo 2 semanas para evitar multas. Algún atraso con el programa PLC DAG y su correspondiente ensayo. No es buena la performance en el incurrimiento de horas de Control. Se terminó a tiempo el FAT
Se enviaron los tableros a obra. El 31/10 comenzó el SAT de protecciones y Ctrl. En desarrollo
Se finalizó el SAT con pendientes campo 05, dicotomia posiciones de equipos al COT, algunas pruebas con la DAG, no hubo conexión al PPC de Vestas. Se consumiran más horas de lo previsto para el SAT
</t>
    </r>
    <r>
      <rPr>
        <b/>
        <sz val="9"/>
        <rFont val="Arial"/>
        <family val="2"/>
      </rPr>
      <t xml:space="preserve">Rev 12/01/23
</t>
    </r>
    <r>
      <rPr>
        <sz val="9"/>
        <rFont val="Arial"/>
        <family val="2"/>
      </rPr>
      <t>El 16/01 vuelve protecciones y control para cerrar el SAT. Estamos por recibir OC por 29.000 U$D en concepto adicionales varios
Proyecto cerrado</t>
    </r>
  </si>
  <si>
    <t>Q220036</t>
  </si>
  <si>
    <r>
      <rPr>
        <b/>
        <sz val="10"/>
        <rFont val="Arial"/>
        <family val="2"/>
      </rPr>
      <t>Ultima rev. 6/12/2023 - Proyecto Cerrado</t>
    </r>
    <r>
      <rPr>
        <sz val="10"/>
        <rFont val="Arial"/>
        <family val="2"/>
      </rPr>
      <t xml:space="preserve">
25/05/2022. Primera revisión de horas. Se envió la ingeniería general.                                                                                                                                                                      05/08/2022. Se envió la ingeniería particular.                                                                                                                                                                        03/10/2022. Se comenzó la fabricación.                                                                                                                                                                                                   07/12/2022. Se realizó el FAT                                                                                                                                                                                               30/01/2023. A la espera del SAT                                                                                                                                                                                                                  14/04/2023. A la espera del SAT                                                                                                                                                                                       30/05/2023. A la espera del SAT                                                                                                                                                                                                12/07/2023. A la espera del SAT                                                                                                                                                                                                           16/08/2023. A la espera del SAT                                                                                                                                                                                                      05/10/2023. Se dío de baja el contrato con Siemens y se generó un nuevo contrato con PAE. Se está programando la PES.                                                 06/12/2023. Se realizo la PES, se da de baja el proyecto.</t>
    </r>
  </si>
  <si>
    <t>ARX-00008</t>
  </si>
  <si>
    <t>Q229997</t>
  </si>
  <si>
    <r>
      <rPr>
        <b/>
        <sz val="10"/>
        <color rgb="FF000000"/>
        <rFont val="Arial"/>
        <family val="2"/>
      </rPr>
      <t xml:space="preserve">Ultima rev. 27/09/2024
</t>
    </r>
    <r>
      <rPr>
        <sz val="10"/>
        <color rgb="FF000000"/>
        <rFont val="Arial"/>
        <family val="2"/>
      </rPr>
      <t xml:space="preserve">27/09/2024. Se están preparando SSD para PAE e YPF. Se piden licencias Obermeier, sin éxito. 
15/07/2024. Se prepararon SSD para Villalonga. Se pidieron licencias Obermieier (aún sin respuesta).
06/06/2024. Sin novedades en este período.
01/05/2024. Se avanza programación próximos reemplazos.
28/02/2024. Sin avances en este período.
23/01/2024. Se realiza registro de cambio en DAG Ezeiza (se tenía registro de un repuesto que no existe).
----------------------------------------------------------------------------------------------------------------------------------------------
10/03/22. Carga inicial del proyecto.Sin hs consumidas.
01/05/22 Se espera poder avanzar en Junio
11/07/22 Los discos y OS no llegaron aún. La actualización para Brandsen quedó pospuesta.
18/08/22 Llegaron los discos y OS, todavía desde servicio no pudieron revisar contenido. Brandsen sigue pospuesto.
09/10/2022. Cambia LE -&gt; ERS
19/10/2022. Revisión hs. Se está programando trabajos PEPE3. 
07/11/2022. PEPE3 / Bajo Hondo en proceso. Se deben cargar hs correspondientes a este Q. (Mail a AF).
23/12/2022. ET Bajo Hondo completo en diciembre. PEPE3, se recibieron licencias para avanzar.
17/01/2023. Se trabaja en obra actualización PEPE3. 
07/02/2023. Se trabaja en obra actualización PEPE3. 
13/03/2023. Sin avances en este período.
18/04/2023. Sin avances en este período.
15/05/2023. Reemplazo de discos en Brandsen y PEPE IV en curso. 
30/05/2023. Se completó reemplazo PEPE 3, y se obtuvieron licencias Obermeier para completar Brandsen.
29/06/2023. Sin novedad. Se analiza seguir con proyectos con SLA activo. PAE, DAG Ez, e YPF 192.
23/08/2023. Sin novedad. Se analiza seguir con proyectos con SLA activo. PAE, DAG Ez, e YPF 192.
17/10/2023. Se preprararon SSD para Valle Hermoso, Corti, y DAG GBA sur. 
01/11/2023. Sin hs en este período. Próxima instalación DAG Ez.
30/11/2023. Sin hs en este período. Próxima instalación DAG Ez.
04/01/2024. Se instalaro SSD DAG Ez. Se pide carga de hs. </t>
    </r>
  </si>
  <si>
    <t>Q220017</t>
  </si>
  <si>
    <t>LORETO-OJO DE AGUA Ultima Rev. 3/4/2024</t>
  </si>
  <si>
    <t xml:space="preserve">Se presento la Ing Gral y la memoria - Aprobo con obs - Agregar repuestos. Compras realizadas y en el Stock.                                                                                                                                                                                                 31/3/22 Se genero la ing particular de armarios y ensayos FAT de equipos de playa - a la espera de presentacion para aprobacion                                                                                                                                                         </t>
  </si>
  <si>
    <t>Ingeniaria aprobada - Fabricacion armarios</t>
  </si>
  <si>
    <t>Ensayo FAT realizado -entrega armarios</t>
  </si>
  <si>
    <t>Ensayo FAT de Protecciones realizado</t>
  </si>
  <si>
    <t>SAT COM realizado</t>
  </si>
  <si>
    <t>SAT Protecciones pendiente - Previsto Marzo 2024 - Realizado</t>
  </si>
  <si>
    <t>Q230003</t>
  </si>
  <si>
    <t>ET LAS CAÑAS:</t>
  </si>
  <si>
    <t>Ingeniaria Aprobada - Armarios Fabricados</t>
  </si>
  <si>
    <t>Ensayo FAT realizado</t>
  </si>
  <si>
    <t>Armarios entregados</t>
  </si>
  <si>
    <t>No se vendio el SAT. Se cotizara en otro momento</t>
  </si>
  <si>
    <t>Q230001</t>
  </si>
  <si>
    <r>
      <rPr>
        <b/>
        <sz val="10"/>
        <color rgb="FF000000"/>
        <rFont val="Arial"/>
        <family val="2"/>
      </rPr>
      <t xml:space="preserve">Ultima rev. 17/10/2023 - PROYECTO CERRADO
</t>
    </r>
    <r>
      <rPr>
        <sz val="10"/>
        <color rgb="FF000000"/>
        <rFont val="Arial"/>
        <family val="2"/>
      </rPr>
      <t>08/06/2022. Carga inicial del proyecto.
14/07/2022. Se ajustan hs consumidas. Se realizó visita a COT. 
03/08/2022. Se ajustan hs utilizadas.
06/09/2022. Sin novedades.
19/10/2022. Sin novedades.
07/11/2022. Sin novedades.
23/12/2022. Sin novedades.
17/01/2023. Sin novedades.
07/02/2023. Sin novedades.
14/03/2023. Se consulta a PM y Ventas por renovación SLA.
19/04/2023. Ya ingresó nuevo Q. Se consulta a PM para evaluar reasignar hs desde Q200016
30/05/2023. Se pidió reclasificar hs desde el Q200040 a este proyecto (mail 21/04). Se consulta porque aún no se ve.
29/06/2023. Se pidió reclasificar243 hs desde el Q200040 a este proyecto (mail 21/04). Se consulta porque aún no se ve.
03/08/2023. Se pidió reclasificar243 hs desde el Q200040 a este proyecto (mail 21/04). Se consulta porque aún no se ve.
23/08/2023. Se pidió reclasificar243 hs desde el Q200040 a este proyecto (mail 21/04). Se consulta porque aún no se ve.
17/10/2023. Se reclasificó según mail de Romina Krienty del 31/08/2023. Se cierra este proyecto.</t>
    </r>
  </si>
  <si>
    <t>Q230005</t>
  </si>
  <si>
    <r>
      <rPr>
        <b/>
        <sz val="10"/>
        <color rgb="FF000000"/>
        <rFont val="Arial"/>
        <family val="2"/>
      </rPr>
      <t xml:space="preserve">Ultima rev. 27/09/24
</t>
    </r>
    <r>
      <rPr>
        <sz val="10"/>
        <color rgb="FF000000"/>
        <rFont val="Arial"/>
        <family val="2"/>
      </rPr>
      <t xml:space="preserve">27/09/2024. CAF pendientes. PeS estimada Noviembre - Diciembre.  Se debe evaluar adicional por cambios automatismo ABB. Se coordina reunión con JH. 
15/07/2024. CAF pendientes. PeS estimada Noviembre - Diciembre. 
06/06/2024. Se completo FAT de la totalidad de la provisión. Hs desvío: sin cambios.
01/05/2024. Primer etapa FAT completa. Paneles Shelter entregados. TP3 en fábricación. Protocolos SAT en proceso.  Hs desvío: Fabrica: 52 - Proy: 648, IngProt: 27
28/02/2024. Se esta completando emisión configuraciones, y protocolos FAT. Se está iniciando FAT. Hs Desvío proyectista: 648. Desvío Fábrica: 28.
23/01/2024. Se emitieron todos las ingenierías según cambios pedidos. Cuatro paneles en fabrica. Se analizan alternativas para mejorar fechas.
-----------------------------------------------------------------------------------------------------------------------
10/03/22. Carga inicial del proyecto.Sin hs consumidas.
01/05/22 Se espera poder avanzar en Junio
11/07/22 Los discos y OS no llegaron aún. La actualización para Brandsen quedó pospuesta.
18/08/22 Llegaron los discos y OS, todavía desde servicio no pudieron revisar contenido. Brandsen sigue pospuesto.
09/10/2022. Cambia PM -&gt; RV y  LE -&gt; ERS
19/10/2022. Se gestiona cambio de tensión auxiliar. Se evalua adicional. 
08/11/2022. Protecciones detenido por falta información. Se avanza panel Gateway. 
23/12/2022. Se está avanzando con información parcial. Retrasos en emisión de ingeniería, por demoras INOPC.  Se consulta 45 hs desvío proyectista. 
17/01/2023. Avanzando con la información disponible. Se pasó cronograma actualizado a GI. 
07/02/2023. Se emite tipico línea. Se recibe OC prot. Barras. 
14/03/2023. Se agregan hs Prot Barras. Resta emitir último típico protecciones. 
19/04/2023. Se está haciendo revisión ingeniería básica por prot. Barras. 
15/05/2023. Se avanza con ingenería de Panel de Barras.
30/05/2023. Panel barras listo para emitir. Se recibe ing. PASS preliminar.
29/06/2023. Se emitió ing. Barras. Se recibió nuevo unifilar, lo que implicó mayor desvío. 
03/08/2023. Se emitió revision Panel Líneas. Falta información. Se envíará nuevo pedido información.
30/08/2023. Se acordó emisión APF con PGGI. Se recibió información cliente parcial. Aún por analizar.
17/10/2023. Se inició fabricación (2xlínea + 1xgw)
03/11/2023. Se está trabajando en TR3. PGGI pide fecha entrega paneles 15/04. Se revisará con Ing / Serv para evaluar condiciones.
21/11/2023. Se agregan hs correspondientes a adicional .3.
30/11/2023. Se carga Adicional .3, tablero TP3. Raizen pide cambios en paneles de Trafo, y Barras. Se está evaluando. Desvío HsFabrica: 11 / Desvío Proy.:  648. Se hizo cambio placas BIM.
04/01/2024. Se hizo revisión cronograma, con desvío por cambios pedidos.  Se informa a PGGI. </t>
    </r>
  </si>
  <si>
    <t>Q230007</t>
  </si>
  <si>
    <r>
      <rPr>
        <b/>
        <sz val="10"/>
        <color rgb="FF000000"/>
        <rFont val="Arial"/>
      </rPr>
      <t xml:space="preserve">Ultima rev. 31/10/2024
</t>
    </r>
    <r>
      <rPr>
        <sz val="10"/>
        <color rgb="FF000000"/>
        <rFont val="Arial"/>
      </rPr>
      <t>31/10/2024. Sin novedad por parte del cliente.  Se mantienen error en carga de 48 hs proyectista desde período 5.
27/09/2024. Sin novedad por parte del cliente. 
15/07/2024. Sin novedad por parte del cliente. 
06/06/2024. Sin novedad por parte del cliente. Se observa error en carga de 48 hs. Se consulta con J.Haim.
01/05/2024. Sin novedad por parte del cliente.
28/02/2024. Sin novedad por parte del cliente.
23/01/2024. Sin novedad por parte del cliente.
---------------------------------------------------------------------------------------------------------------------
08/06/2022. Carga inicial del proyecto.
14/07/2022. Se recibe información del cliente. Se inicia ing. Básica. Se ven hs de fábrica anticipadas. Se consulta JT. Preparación panel.
03/08/2022. Se avanza con documentación básica, y borrador ingeniería.
06/09/2022. Se hizo ensayo interno transductores, y se entregaron. Se programa ingeniería para septiembre.
19/10/2022. Se recibe documentación rechazada, por los números de cliente. Se piden nuevos números, y no hay respuesta. Mail al PM.
08/11/2022. Si respuesta por nros documento. Se recibe nuevas observaciones a los mismos documentos.
23/12/2022. Se emitió programa y protocolo FAT. Se coordina FAT para inicio enero, con faltante de algunos materiales.
17/01/2023. TRANSBA informó NO participación en FAT por falta de aprobación a EE2. Se informa a cliente proyecto detenido. Se debe forzar ensayo FAT y entrega de panel. 
08/02/2023. Sin novedad por parte del cliente.
14/03/2023. Proyecto detenido, a espera calificación de TRANSBA a EE2. 
19/04/2023. Proyecto detenido. Se envia mail a AC y AS para ver cómo seguir.
16/05/2023. Proyecto detenido, sin novedad del cliente.
30/05/2023. Proyecto detenido, sin novedad del cliente.
29/06/2023. Proyecto detenido, sin novedad del cliente.
03/08/2023. Proyecto detenido, sin novedad del cliente.
30/08/2023. Proyecto detenido, sin novedad del cliente.
17/10/2023. Se reciben observaciones a EE2. Se requiere automatismo local. Se busca reunión con cliente para analizar.
03/11/2023. Se pide reunión con cliente para clarificar pedido Automatismo Local.
30/11/2023. El cliente pide adicional para Automatismo Local. Se pasó a B&amp;P, y se dá seguimiento. 
04/01/2024. Se envió NC al cliente. Aún sin respuesta.</t>
    </r>
  </si>
  <si>
    <t>Q220038</t>
  </si>
  <si>
    <r>
      <rPr>
        <b/>
        <sz val="10"/>
        <color rgb="FFFF0000"/>
        <rFont val="Arial"/>
        <family val="2"/>
      </rPr>
      <t>Ultima rev. 23/09/2024</t>
    </r>
    <r>
      <rPr>
        <b/>
        <sz val="10"/>
        <rFont val="Arial"/>
        <family val="2"/>
      </rPr>
      <t xml:space="preserve">
</t>
    </r>
    <r>
      <rPr>
        <sz val="10"/>
        <rFont val="Arial"/>
        <family val="2"/>
      </rPr>
      <t>23/09/2024. Los ajustes debemos gestionarlos con Transner. Estamos programando el inicio del SAT para el 07/10 y finalizaciòn el 03/11. Tenemos que ver con Rogelio el reclasificar las horas que sobrarásn de ingeniería para compenzar las horas de proyectista que hemos excedido. 
==========================================================================================
04/09/2024. Los ajustes tenemos que solicitarlos a Transener cuando tengamos confirmación de la fecha SAT estimada para segundo sementre del año pero sin confirmación cierta 
==========================================================================================
26/07/2024. Los ajustes tenemos que solicitarlos a Transener cuando tengamos confirmación de la fecha SAT estimada para segundo sementre del año pero sin confirmación cierta 
==========================================================================================</t>
    </r>
    <r>
      <rPr>
        <b/>
        <sz val="10"/>
        <rFont val="Arial"/>
        <family val="2"/>
      </rPr>
      <t xml:space="preserve">
</t>
    </r>
    <r>
      <rPr>
        <sz val="10"/>
        <rFont val="Arial"/>
        <family val="2"/>
      </rPr>
      <t>29/05/2024. Los ajustes tenemos que solicitarlos a Transener cuando tengamos confirmación de la fecha SAT estimada para segundo sementre del año pero sin confirmación cierta (creemos para agosto-setiembre pero es una presunción al día de hoy). En el período 06 se ingresarán horas por modificación de protocolos SAT
==========================================================================================
24/04/2024. Los ajustes tenemos que solicitarlos a Transener cuando tengamos confirmación de la fecha SAT estimada para segundo sementre del año pero sin confirmación cierta (creemos para agosto-setiembre pero es una presunción al día de hoy)
==========================================================================================
05/04/2024. No tenemos facha de SAT pero tenemos los protocolo para emitir. Se solicitaron los documentos Conforme A FAT . Los ajustes tenemos que solicitarlos a Transener cuando tengamos confirmación de la fecha SAT.
--------------------------------------------------------------------------------------------------------------------------------------
23/02/2024. Los trabajos SAT se preveen para el primer trimestre 2024. Vamos a solicitar los protocolos SAT de protecciones. Los ajustes los solicitaremos a Transener previo a la confirmación del SAT.
---------------------------------------------------------------------------------------------------------------------------------------
07/02/2024. Los trabajos SAT se preveen para el primer trimestre 2024. Vamos a solicitar los protocolos SAT de protecciones. Los ajustes los solicitaremos a Transener previo a la confirmación del SAT.
---------------------------------------------------------------------------------------------------------------------------------------
27/12/2023. Los trabajos SAT se preveen para el primer trimestre 2024. Vamos a solicitar los protocolos SAT de protecciones. Los ajustes los solicitaremos a Transener previo a la confirmación del SAT 
------------------------------------------------------------------------------------------------------------------------------------------------------------------
29/11/2023. Los trabajos SAT se preveen para el primer trimestre 2024. Vamos a solicitar los protocolos SAT de protecciones. Los ajustes los solicitaremos a Transener previo a la confirmación del SAT .(Nota: consultar a Juan a que se deben las 10h de Leandro)
------------------------------------------------------------------------------------------------------------------------------------------------------------------
08/11/2023. Los trabajos SAT se preveen para el primer trimestre 2024. Vamos a solicitar los protocolos SAT de protecciones y nos queda coordinar con Transener el estudio de ajustes. En este proyecto tuvimos retrabajos por ajustes de ingeniería detectada durante la fabricación, retrabajos porque los equipos llegaron demorados (eso se carga cómo desviod) y posteriormente en el FAT un cambio menor de cableado en los tableros de trafo. 
------------------------------------------------------------------------------------------------------------------------------------------------------------------
25/09/2023. FAT finalizada resta la realización de los Conforme a FAt de protecciones de trafo.
------------------------------------------------------------------------------------------------------------------------------------------------------------------
07/08/2023. Se comenzará con los ensayos FAT de los 4 paneles que quedan durante el P08/P09. El ajuste de LE se compensará con ingeniería por la gestión que habrá que hacer con los ajustes de las protecciones que realizará Transener, ademas tuve que realizar protocolos para cumplir con el crono comprometido porque teníamos a nuestra gente de laboratorio en campo. Conversar con RV al terminar el ensayo FAT y recibir los ajustes de Transner para ajustar el saldo estimado de ingeniería de protecciones lo que permitirá compensar las horas de desvio que tuvimos en proyectista. Nos quedan los de trafo por demoras en la entrega de los IEDs. Esperamos realizar los ensayos en el periodo siguiente.
------------------------------------------------------------------------------------------------------------------------------------------------------------------
02/06/2023. La tarea de proyectista esta terminada ya tenemos todos los documentos en producción. Se realizaron las configuraciones. Conversar con RV para ajustar el saldo estimado de ingeniería de protecciones lo que permitirá compensar las horas de desvio que tuvimos en proyectista. Nos quedan los de trafo por demoras en la entrega de los IEDs. Esperamos realizar los ensayos en el periodo siguiente.
------------------------------------------------------------------------------------------------------------------------------------------------------------------
24/04/2023. La tarea de proyectista esta terminada ya tenemos todos los documentos en producción. Se realizaron las configuraciones. Conversar con RV para ajustar el saldo estimado de ingeniería de protecciones lo que permitirá compensar las horas de desvio que tuvimos en proyectista. Nos quedan los de trafo que estamos terminando. Esperamos realizar los ensayos en el periodo siguiente.
------------------------------------------------------------------------------------------------------------------------------------------------------------------
12/04/2023. La tarea de proyectista esta terminada ya tenemos todos los documentos en producción. Se realizaron las configuraciones por lo que se verán reflejadas en el próximo periodo donde voy a ajustar el saldo estimado de ingeniería de protecciones lo que permitirá compensar las horas de desvio que tuvimos en proyectista. Se realizaron los ensayos FAT de DAG y Barras y nos quedan los de trafo por demoras en la entrega de los IEDs. Esperamos realizar los ensayos en el periodo siguiente.
------------------------------------------------------------------------------------------------------------------------------------------------------------------
08/03/2023. En este perìodo tuvimos desvios en proyectistas por diferentes interpretaciones de los comentarios recibidos. Ya tenemos la última revisión y el saldo considerado es réplica, fabrica y conformes. Vamos a optimizar ingeniería por las configuraciones de protecciones donde voy a dar soporte a ingeniería.
------------------------------------------------------------------------------------------------------------------------------------------------------------------
26/01/2023. Tuvimos desvios en proyectistas por diferentes interpretaciones de los comentarios recibidos. Veremos la forma de acotar las horas de proyectista para optimizar, de momento está considrado clo que resta de una replica y los Conforme.
------------------------------------------------------------------------------------------------------------------------------------------------------------------
07/11/2022. Las horas de proyectistas están sobrepasadas. Debo revisar con Juan el saldo estimado y analizar acciones de corrección y revisar los desvios. El saldo estimado de 75HH de proyectista es para CAF, CAO y preparación a fábrica.
----------------------------------------------------------------------------------------------------------------------------------------------------------------
19/10/2022. Desarrollo de ingeniería. Prestar atención a proyectista de protecciones ya que hubo algunas idas y vueltas por la utilización del E3 y criterios de desarrollo de ingeniería que significaron alguna horas adicionales (que podrían clasificarse de desvios)
---------------------------------------------------------------------------------------------
09/09/2022. En este periodo tendremos horas de proyectista por los comentarios recibidos para las ingenierías de trafo.
------------------------------------------------------------------------------------------------------------------------------------------------------------------
03/08/2022. Hemos avanzado bien en proyectista porque tenemos bastante documentación aprobada y quedarían replicas y los comentarios que recibamos de los paneles de trafo.
-------------------------------------------------------------------------------------------------------------------------------------------------------------------
08/07/2022. De momento no detecto posibles desviaciones de horas, el proyecto está en la etapa de inicio.
-------------------------------------------------------------------------------------------------------------------------------------------------------------------
08/06/2022. Carga inicial del proyecto. Se anotaron las horas del precálculo "OPP-21-6637990-_P2_Ampliacion ET Madryn 500KV - PDB + DAG + PROT (Ingener) CB.xlsm"
Se arrancó con un trabajo intenso de LE y PM porque estaban mal los RFQ y definiciones de equipo. Un punto condicionante del contrato es que se fijó 3 semana el ensayo FAT (mail de AS a Pablo Avolio)
------------------------------------------------------------------------------------------------------------------------------------------------</t>
    </r>
  </si>
  <si>
    <t xml:space="preserve">En el contrato </t>
  </si>
  <si>
    <t>Q230010</t>
  </si>
  <si>
    <r>
      <rPr>
        <b/>
        <i/>
        <sz val="10"/>
        <color rgb="FFFF0000"/>
        <rFont val="Arial"/>
        <family val="2"/>
      </rPr>
      <t>TECNICAMENTE CERRADO</t>
    </r>
    <r>
      <rPr>
        <b/>
        <sz val="10"/>
        <color rgb="FFFF0000"/>
        <rFont val="Arial"/>
        <family val="2"/>
      </rPr>
      <t xml:space="preserve">
Ultima rev. 24/04/2024</t>
    </r>
    <r>
      <rPr>
        <sz val="10"/>
        <color rgb="FF000000"/>
        <rFont val="Arial"/>
        <family val="2"/>
      </rPr>
      <t xml:space="preserve">
24/04/2024. El proyecto se cerró por la migración a REIWA Tenemos los documentos CAO para emitir. 
==========================================================================================
05/04/2024. El proyecto se cerró por la migración a REIWA pero faltan los documentos CAO para cerrar técnicamente el proyecto. 
---------------------------------------------------------------------------------------------------------------------------------------
23/02/2024. Faltan los documentos CAO para cerrar técnicamente el proyecto. Quedamos con SG no cargar horas de otras tareas que no sea proyectistas para el CAO.
---------------------------------------------------------------------------------------------------------------------------------------
07/02/2024. Faltan los documentos CAO para cerrar técnicamente el proyecto y la entrega de los protocolos completados de sitio reclamados por el cliente. Se asiganron horas de FAT Protecciones y LE las que pueden intercambiarse entre si porque falta la preparación de los protocolos firmados para emitir al cliente.
---------------------------------------------------------------------------------------------------------------------------------------
27/12/2023. Faltan los documentos CAO para cerrar técnicamente el proyecto y la entrega de los protocolos completados de sitio reclamados por el cliente. Se asiganron horas de FAT Protecciones y LE las que pueden intercambiarse entre si porque falta la preparación de los protocolos firmados para emitir al cliente.
------------------------------------------------------------------------------------------------------------------------------------------------------------------
29/11/2023. Faltan los documentos CAO para cerrar técnicamente el proyecto y la entrega de los protocolos completados de sitio reclamados por el cliente. Se cambiaron la horas de LE asignandolas a FAT Protecciones.
------------------------------------------------------------------------------------------------------------------------------------------------------------------
08/11/2023. Se ha finalizado el SAT y entregado el material ION demorado de Schneider. Faltan los documentos CAO para cerrar técnicamente el proyecto
------------------------------------------------------------------------------------------------------------------------------------------------------------------
25/09/2023. Se ha finalizado el SAT donde el ingreso de horas se realizará para el P10. Queda pendientes de materiales y posible requerimiento de algún servicio adicional. Estimo que el P10 cerramos técnicamente el proyecto.
------------------------------------------------------------------------------------------------------------------------------------------------------------------
07/08/2023. Se comenzaran los ensayos SAT que se verán en el próximo periodo. Espero un desvio de horas por material faltante y pruebas que no pudieron realizarse pero según nuestras estimaciones estaríamos dentro del tiempo previstos en el preca.
------------------------------------------------------------------------------------------------------------------------------------------------------------------
02/06/2023. Comenzamos los ensayos FAT con los paneles incompletos porque Schneider no entrego los ION y el TIOR no se pudo ensayar porque no llegaron los switches lo que nos origina un riesgo de mayores tiempos en la puesta en servicio. Tenemos que evaluar llegado el momento cuanto se compensará el tiempo no utilizado en el FAT con el utilizado en el SAT si se diera esa condición de trabajo.
------------------------------------------------------------------------------------------------------------------------------------------------------------------
24/04/2023. Los paneles están en producción. Hemos planificado los ensayos FAT pero estamos demorados en producción por la demora de los IED. Tambien estaremos con demoras en la entrega de los equipamientos por demora de los proveedores (ION, Belden)
Estuve dando soporte a Ingeniería con las configuraciones y a servicios con los protocolos.
------------------------------------------------------------------------------------------------------------------------------------------------------------------
12/04/2023. Los paneles están en producción. Estoy dando soporte a Ingeniería haciendop las configuraciones y a servicios con los protocolos. Hemos planificado los ensayos FAT pero estamos demorados en producción por la demora de los IED. Tambien estaremos con demoras en la entrega de los equipamientos por demora de los proveedores (ION, Belden)
------------------------------------------------------------------------------------------------------------------------------------------------------------------
08/03/2023. SEn fabricaciòn. Se incorporaron las HH por los adicionales. Esta previsto con Juan que daré el soporte a las configuraciones.
------------------------------------------------------------------------------------------------------------------------------------------------------------------
26/01/2023. Se enviaron los planos a fábrica. Hubo adicionales que influyeron en las horas que aún no se reflejaron en esta planilla y debo ver con Seba para que el Prepost sea coherente.
------------------------------------------------------------------------------------------------------------------------------------------------------------------
07/11/2022. Se sigue avanzando con INOPC y horas locales de PROY y LE para seguimiento. Hubo una carga importante de LE que disminuirá hasta la coordinación del FAT.
-------------------------------------------------------------------------------------------------------------------------------------------------------------------
19/10/2022. Se avanza con las tareas de proyectista por INOPC y locales para seguimiento. No se percibe desvio
-------------------------------------------------------------------------------------------------------------------------------------------------------------------
09/09/2022. Se avanzo con tareas de proyectista por INOPC y locales por la prepración y seguimiento
-------------------------------------------------------------------------------------------------------------------------------------------------------------------
03/08/2022. Hasta el momento solo hubo tareas de LE para establecer el alcance con el Cliente y la Utility. Se desarrollará una memoria descriptiva con esa finalidad. Este periodo se comenzará con la tarea de proyectista que realizará INOPC coordinada con nuestra ingeniería.
-------------------------------------------------------------------------------------------------------------------------------------------------------------------
08/07/2022. El proyecto se está iniciando, estoy esperando la devolución de los coordinadores para corregir las horas pero a priori hay una tarea de LE importante por la falta de definición técnica del alcance ya que al recibir la info del cliente notamos que hay muchos grises que no fueron definidos durante la etapa de cotización. Eso podría traer algún trabajo adicional de proyectista.
-------------------------------------------------------------------------------------------------------------------------------------------------------------------
08/06//222. Carga inicial del proyecto. Se anotaron las horas del precálculo "OPP-22-6738401_P2_ Tableros Protección y Control ET San Luis Norte.xlsm"
--------------------------------------------------------------------------------------------------------------------------------------------------------------------</t>
    </r>
  </si>
  <si>
    <t>Q230008</t>
  </si>
  <si>
    <t>Ultima rev. 04/01/2023
07/07/2022. Se realiza la primer carga.
05/08/2022. Se finaliza la ingeniería y el protocolo FAT y se emite. A la espera de la aprobación.
05/09/2022. Falta aprobación del protocolo FAT y que llegue la RTU. Preveer fabricar el 12/9 y FAT el Martes 27/9.
17/10/2022. Se realiza el FAT del tablero con una configuración de prueba. Restan pasar las horas y hacer el CAF.
01/11/2022. Se realiza el FAT del tablero con una configuración de prueba. Restan pasar las horas y hacer el CAF.
04/01/2023. Se cierra el proyecto.</t>
  </si>
  <si>
    <t>Q230014</t>
  </si>
  <si>
    <t>Ultima rev. 17/10/2022
07/07/2022. Se realiza la primer carga.
05/08/2022. Se realiza la asistencia online. Las horas se pasan el mes que viene.
05/09/2022. Faltan pasar 9hrs para cerrar.
17/10/2022. Se cierra el proyecto.</t>
  </si>
  <si>
    <t>Q230013</t>
  </si>
  <si>
    <t>MUDANZA PASEO COLON:
07/07/2022. Se realiza la primer carga.
05/08/2022. Se realiza la asistencia online. Las horas se pasan el mes que viene.</t>
  </si>
  <si>
    <t>Se realizo la mudanza, SAT realizado</t>
  </si>
  <si>
    <t>Q230016</t>
  </si>
  <si>
    <r>
      <t xml:space="preserve">Muy baja performance de F. Estrada recargó las horas de proyectistas (igual que en ET Bell Ville)
</t>
    </r>
    <r>
      <rPr>
        <b/>
        <sz val="9"/>
        <rFont val="Arial"/>
        <family val="2"/>
      </rPr>
      <t>Rev. 04/03/24</t>
    </r>
    <r>
      <rPr>
        <sz val="9"/>
        <rFont val="Arial"/>
        <family val="2"/>
      </rPr>
      <t xml:space="preserve">
No hay desvios significativos, excepto en ingeniería de control que ya fue tratado oportunamente. Las hs desvío de proyectista son ampliamente compensadas por la ingeniería de protecciones
</t>
    </r>
  </si>
  <si>
    <t>Q230022</t>
  </si>
  <si>
    <t>MOCOREA: Ultima rev. 08/09/2024
07/07/2022. Se realiza la primer carga.
05/08/2022. Se realiza la asistencia online. Las horas se pasan el mes que viene.</t>
  </si>
  <si>
    <t>Compras realizadas (ETL600, DTLC, CC y MCD80)</t>
  </si>
  <si>
    <t>Ingeniaria basica presentada</t>
  </si>
  <si>
    <t>Cambio en la ingeiaria - Se solicita reubicar los equipos y realizar ingeniaria de ET Pucheta</t>
  </si>
  <si>
    <t>Adicional de ingeniaria presentado y aprobado</t>
  </si>
  <si>
    <t>Generacion nueva ingeniaria - Aprobaion adiciona y de la ingeniaria - Fabricacion armarios</t>
  </si>
  <si>
    <t>FAT realizado de los equipos</t>
  </si>
  <si>
    <t>A la espera del SAT</t>
  </si>
  <si>
    <t>8/8/24 Solicitan SAT para Agosto 2024. Previo es necesario abonar el servicio y la redeterminacion. Facturado por le PM</t>
  </si>
  <si>
    <t>Q230023</t>
  </si>
  <si>
    <r>
      <t xml:space="preserve">Ultima rev. 23/09/2024
</t>
    </r>
    <r>
      <rPr>
        <sz val="10"/>
        <rFont val="Arial"/>
        <family val="2"/>
      </rPr>
      <t>23/09/2024. Todavía no se reprogramaron las tareas de los tableros de control por falta de inormación. Tenemos que reprogramar y reordenar las tareas pendientes una vez que tengamos la luz verde para seguir.
Tareas realizadas:
- ensayos FAT de protección y comunicación . Se encontraron inconvenientes con las configuraciones que se están resolviendo durante los ensayos y en las ingenierías de protección por interpretación nuestra que originaron horas de desvio para ajustarlo (se eliminaron conexiones de ingeniería aprobada).
Tareas por programar:
- fabricación de tableros de comando (con tareas de ingeniería y proyectista según comentarios)
- ensayos FAT de tableros de comando y configuraciones de MT
==========================================================================
04/09/2024. Todavía no se reprogramaron las tareas de los tableros de control por falta de inormación. Tenemos que reprogramar y reordenar las tareas pendientes una vez que tengamos la luz verde para seguir. Por el momento se avamnzará hasta terminar los ensayos FAT de los tableros de protecciones y comunicación.
- ensayos FAT de protección y comunicación en ejecución esperando terminar en esta semana. Se encontraron inconvenientes con las configuraciones que se están resolviendo durante los ensayos. 
- fabricación de tableros de comando (con tareas de ingeniería y proyectista según comentarios)
- ensayos FAT de tableros de comando y configuraciones de MT
==========================================================================
26/07/2024. Proyecto demorado por el cliente. Se continúa con el seguimiento de materiales  y fabricación de tableros de comunicación. Cuando se de luz verde tendremos que rehacer el cronograma quedando cómo tareas para los entregables:
- ensayos FAT de protección y comunicación
- fabricación de tableros de comando (con tareas de ingeniería y proyectista según comentarios)
- ensayos FAT de tableros de comando y configuraciones de MT
==========================================================================
24/04/2024. Proyecto demorado por el cliente. Se continúa con el seguimiento de materiales  y fabricación de tableros de comunicación. Cuando se de luz verde tendremos que rehacer el cronograma quedando cómo tareas para los entregables:
- ensayos FAT de protección y comunicación
- fabricación de tableros de comando (con tareas de ingeniería y proyectista según comentarios)
- ensayos FAT de tableros de comando y configuraciones de MT
==========================================================================
24/04/2024.</t>
    </r>
    <r>
      <rPr>
        <sz val="10"/>
        <color rgb="FF000000"/>
        <rFont val="Arial"/>
        <family val="2"/>
      </rPr>
      <t xml:space="preserve"> Proyecto demorado por el cliente. Se continúa con el seguimiento de materiales  y fabricación de tableros de comunicación. Cuando se de luz verde tendremos que rehacer el cronograma quedando cómo tareas para los entregables:
- ensayos FAT de protección y comunicación
- fabricación de tableros de comando (con tareas de ingeniería y proyectista según comentarios)
- ensayos FAT de tableros de comando y configuraciones de MT
==========================================================================
05/04/2024. Proyecto demorado por el cliente. Se continúa con el seguimiento de materiales  y fabricación de tableros de comunicación. Cuando se de luz verde tendremos que rehacer el cronograma quedando cómo tareas para los entregables:
- ensayos FAT de protección y comunicación
- fabricación de tableros de comando (con tareas de ingeniería y proyectista según comentarios)
- ensayos FAT de tableros de comando y configuraciones de MT
-------------------------------------------------------------------------------------------------------------------------------------
23/02/2024. Proyecto demorado por el cliente. Se continúa con el seguimiento de materiales  y fabricación de tableros de comunicación. Cuando se de luz verde tendremos que rehacer el cronograma quedando cómo tareas para los entregables:
- ensayos FAT de protección y comunicación
- fabricación de tableros de comando (con tareas de ingeniería y proyectista según comentarios)
- ensayos FAT de tableros de comando y configuraciones de MT
--------------------------------------------------------------------------------------------------------------------------------------
07/02/2024. Proyecto demorado por el cliente. Se continúa con el seguimiento de materiales  y fabricación de tableros de comunicación. Cuando se de luz verde tendremos que rehacer el cronograma quedando cómo tareas para los entregables:
- ensayos FAT de protección y comunicación
- fabricación de tableros de comando (con tareas de ingeniería y proyectista según comentarios)
- ensayos FAT de tableros de comando y configuraciones de MT
-----------------------------------------------------------------------------------------------------------------------------------------
27/12/2023. Proyecto demorado por el cliente. Se continúa con el seguimiento de materiales  y fabricación de tableros de comunicación. Cuando se de luz verde tendremos que rehacer el cronograma quedando cómo tareas para los entregables:
- ensayos FAT de protección y comunicación
- fabricación de tableros de comando (con tareas de ingeniería y proyectista según comentarios)
- ensayos FAT de tableros de comando y configuraciones de MT
-------------------------------------------------------------------------------------------------------------------------------------------------------------------
29/11/2023. Proyecto demorado por el cliente. Se continúa con el seguimiento de materiales  y fabricación de tableros de comunicación. Cuando se de luz verde tendremos que rehacer el cronograma quedando cómo tareas para los entregables:
- ensayos FAT de protección y comunicación
- fabricación de tableros de comando (con tareas de ingeniería y proyectista según comentarios)
- ensayos FAT de tableros de comando y configuraciones de MT
-------------------------------------------------------------------------------------------------------------------------------------------------------------------
08/11/2023. Proyecto demorado por el cliente. Se continúa con el seguimiento de materiales  y fabricaci{on de tableros de comunicación. Cuando se de luz verde tendremos que rehacer el cronograma quedando cómo tareas para los entregables:
- ensayos FAT de protección y comunicación
- fabricación de tableros de comando (con tareas de ingeniería y proyectista según comentarios)
- ensayos FAT de tableros de comando y configuraciones de MT
-------------------------------------------------------------------------------------------------------------------------------------------------------------------
25/09/2023. El proyecto tiene una demora transmitida por el cliente. Teenemos lo tableros de protección listos para FAT (documentación emitida) y nos está faltando los REF615 y otro material por demoras del proveedor. Tambien tnemos demoras en la aprobación de los tableros de control. 
-------------------------------------------------------------------------------------------------------------------------------------------------------------------
07/08/2023. Estamos programando los ensayos FAT de los paneles de protecciones que están aprobados en su ingeniería casi terminados (faltan los REF615 del tablero de protección de trafo)
Seguimos teniendo demoras con los tableros de comando que nos puede originar desvios que trataremos de evaluar el impacto en el cronograma.
Las configuraciones de MT (tal cómo lo dije) estimo que nos traeran tambien desvios ya que la ingeniería de celda no depende de nosotros. Deberemos estar atento a cualquier trabajo adicional que ello implique.
-------------------------------------------------------------------------------------------------------------------------------------------------------------------
02/06/2023. Los tableros de protecciones están en producción, se emitieron las configuraciones. Tendremos desvios por la demora en la entrega de los IEDs
Estamos teniendo problemas con las aprobaciones de los tableros de comando que estamos tratatndo de destrabar ya que el Transpa quiere tener tambien la ingeniería de campo que corresponde a RC esto nos puede originar desvios que trataremos de evaluar el impacto en el cronograma.
Las configuraciones de MT (tal cómo lo dije) estimo que nos traeran tambien desvios ya que la ingeniería de celda no depende de nosotros. Deberemos estar atento a cualquier trabajo adicional que ello implique.
-------------------------------------------------------------------------------------------------------------------------------------------------------------------
24/04/2023. Los tableros de protecciones están en producción, se está trabajando con las configuraciones pero estamos teniendo problemas con las aprobaciones de los tableros de comando que estamos tratatndo de destrabar ya que el Transpa quiere tener tambien la ingeniería de campo que corresponde a RC.
Las configuraciones de MT (tal cómo lo dije) estimo que nos traeran tambien desvios ya que la ingeniería de celda no depende de nosotros. Deberemos estar atento a cualquier trabajo adicional que ello implique.
-------------------------------------------------------------------------------------------------------------------------------------------------------------------
08/03/2023. El desarrollo de ingeniería de protecciones está bien pero nos está costando elos tableros de comando por la posición de Transpa. Es posible que tengamos algún desvio en proyectista por esto pero tofdavía no tengo suficiente info cómo para evaluarlo. Las configuraciones de MT (tal cómo lo dije) estimo que nos traeran tambien desvios ya que la ingeniería de celda no depende de nosotros. Deberemos estar atento a cualquier trabajo adicional que ello implique.
-------------------------------------------------------------------------------------------------------------------------------------------------------------------
26/01/2023. Recien comenzamos y por la marcha del desarrollo de ingeniería se está avanzando bien y por el momento no preveo desvios.
-------------------------------------------------------------------------------------------------------------------------------------------------------------------
07/11/2022. Para el P11 se comenzaron los trabajos de proyectista. Hasta el momento fueron trabajos de gestión de PM y las mías.
--------------------------------------------------------------------------------------------------------------------------------------------------------------------
19/10/2022. Aún no se comenzaron los trabajos de diseño solo fue gestión y definiciones mías y de PM.
--------------------------------------------------------------------------------------------------------------------------------------------------------------------
02/09//222. Carga inicial del proyecto. Se anotaron las horas del precálculo "OPP-18-2505657_6   TRANSPA  LOS ANTIGUOS P MORENO  OP_v2.16b USD - OC.xlsm"
--------------------------------------------------------------------------------------------------------------------------------------------------------------------</t>
    </r>
  </si>
  <si>
    <t>Q230025</t>
  </si>
  <si>
    <t>INTESAR GB-BB: Ultima rev. 05/08/2022
07/07/2022. Se realiza la primer carga.
05/08/2022. Se realiza la asistencia online. Las horas se pasan el mes que viene.</t>
  </si>
  <si>
    <t>Ingenieria presentada</t>
  </si>
  <si>
    <t>Aprobada la ingeniaria</t>
  </si>
  <si>
    <t>SAT realizada 1er ETAPA</t>
  </si>
  <si>
    <t>SAT realizada 2da ETAPA</t>
  </si>
  <si>
    <t>CAO presentado</t>
  </si>
  <si>
    <t>CERRADO</t>
  </si>
  <si>
    <t>Q230030</t>
  </si>
  <si>
    <r>
      <rPr>
        <b/>
        <sz val="10"/>
        <color rgb="FF000000"/>
        <rFont val="Arial"/>
        <family val="2"/>
      </rPr>
      <t xml:space="preserve">Ultima rev. 26/09/2024
</t>
    </r>
    <r>
      <rPr>
        <sz val="10"/>
        <color rgb="FF000000"/>
        <rFont val="Arial"/>
        <family val="2"/>
      </rPr>
      <t xml:space="preserve">26/09/2024. FAT finalizado. Desvío PP: 160hs, Desvío Proy: 108.  Se analizan hs restantes para finalizar el proyecto, para informar al PM. 
15/07/2024. Se inicia FAT. Aún faltan respuestas para elaborar configuraciones extremos. Desvío fábrica: 77
06/06/2024. Todos los paneles en fabricación. Se reclaman califiaciones y coordinación FAT. Desvío hs sin cambio.
01/05/2024. Se avanzó mucho en configuraciones. Se inicia SCADA y capacitación Etapa 2. Desvío Fábrica: 49, Proy: 81
28/02/2024. Se avanza con conifguraciones y fabricación. Primera etapa capacitación on-job. Desvío proyectista: 81
23/01/2024. Se reclaman calificaciones. Se está elaborando ing paneles control.
------------------------------------------------------------------------------------------------------
19/10/2022. Carga inicial del proyecto.Sin hs consumidas.
08/11/2022. Se definieron IEDs. Se busca coordinar reunión cliente y EPEC.
23/12/2022. Se recibe respuesta de EPEC respecto a Switchs. Permite avanzar con Ing. Básica.
17/01/2023. Se emitió documentación básica. Se avanza con compra materiales.
08/02/2023. Se emiten típicos de línea. Se recibió información de proveedores. Pendiente información Transformadores.
14/03/2023. Se emitieron todos los típicos. Se emite revisión Hw y Sw, y se pide reunión con EPEC.
19/04/2023. Se realizó reunión con EPEC. Se sigue pidiendo calificación y respuesta.
16/05/2023. Se confirma TAPCON. Proyecto detenido por falta de calificación. Se coordina reunión con PM para evaluar acciones.
30/05/2023. Se reciben calificaciones ingeneiría básica y tableros TIOR. Se avanza con revisión de estos documentos.
29/06/2023. Se emite nueva revisión Hw y Sw. Se emite cronograma actualizado, con demora por parte del cliente.
03/08/2023. Se elabora revisión tableros TIOR. Sin calificación de cliente.
30/08/2023. Se reciben calificaciones (RECH). Se hace reunión con cliente, donde se piden más cambios. Se evaluarán estos cambios e informará impacto. 
17/10/2023. Se programa emisión documento Octubre con ayuda de BR. 
03/11/2023. Pendiente emisión ingeniería. Se reclama a Brasil. 
30/11/2023. Se emitió ingeniería paneles protecciones. Se reciben primeras aprobaciones. Pendiente revisión paneles Control y Red de datos, por falta de recursos.
04/01/2024. Se bajan a fábrica paneles de Línea (x3) ya aprobados. Se actualiza cronograma, y se informará a Cliente.
</t>
    </r>
  </si>
  <si>
    <t>Q230034</t>
  </si>
  <si>
    <r>
      <rPr>
        <b/>
        <sz val="10"/>
        <color rgb="FF000000"/>
        <rFont val="Arial"/>
        <family val="2"/>
      </rPr>
      <t xml:space="preserve">Ultima rev. 03/08/2023  -  PROYECTO CERRADO
</t>
    </r>
    <r>
      <rPr>
        <sz val="10"/>
        <color rgb="FF000000"/>
        <rFont val="Arial"/>
        <family val="2"/>
      </rPr>
      <t xml:space="preserve">19/10/2022. Carga inicial del proyecto.Sin hs consumidas.
08/11/2022. Se requieren dos etapas de trabajo, se programa PeS 1ra etapa diciembre.
23/12/2022. Se hizo FAT etapa 1, PeS enero.  Se avanza ing. Etapa 2
17/01/2023. PeS Etapa 1 programada.  FAT Etapa 2 programado. Se trabaja en PeS Etapa 2.
08/02/2023. Se completó FAT etapa 2. Esperando condiciones PeS. 
14/03/2023. Se realizó PeS Etapa 1.  Etapa 2 se programa para Abril.
19/03/2023. Se realizó PeS Etapa 2. Se está elaborando CAO.
16/05/2023. Se está elaborando CAO.
30/05/2023. Elaboración CAO pendiente.
29/06/2023. Se emitió CAO. Se cerrará en próximo período. </t>
    </r>
  </si>
  <si>
    <t>Q230020</t>
  </si>
  <si>
    <r>
      <rPr>
        <b/>
        <sz val="10"/>
        <color rgb="FF000000"/>
        <rFont val="Arial"/>
        <family val="2"/>
      </rPr>
      <t xml:space="preserve">Ultima rev. 23/09/2024
</t>
    </r>
    <r>
      <rPr>
        <sz val="10"/>
        <color rgb="FF000000"/>
        <rFont val="Arial"/>
        <family val="2"/>
      </rPr>
      <t>19/10/2022. Carga inicial del proyecto.Sin hs consumidas.
04/01/2023. Se reciben los nuevos EE y al parecer no modifican nada de los ya esperado. Se lanzará reunión con cliente para seguir el proyecto.
28/11/2023. Se comienza la PES pero no hay FO entre Torres y Ezeiza. Se espera que se solucione para terminar.
29/01/2024. Se finaliza la PES. Faltan los CAO y que terminen de conectar los afuera para que habiliten el sistema DAG.
23/09/2024. Se cierra el proyecto.</t>
    </r>
  </si>
  <si>
    <t>Q230041</t>
  </si>
  <si>
    <r>
      <rPr>
        <b/>
        <sz val="10"/>
        <color rgb="FF000000"/>
        <rFont val="Arial"/>
        <family val="2"/>
      </rPr>
      <t xml:space="preserve">Ultima rev. 04/01/2024 - PROYECTO CERRADO TÉCNICAMENTE
</t>
    </r>
    <r>
      <rPr>
        <sz val="10"/>
        <color rgb="FF000000"/>
        <rFont val="Arial"/>
        <family val="2"/>
      </rPr>
      <t>17/01/2023. Primer revisión.  Se realizó relevamiento. Se iniciará informe.
08/02/2023. Se recibe nueva inforamción, se avanza con informe. 
14/03/2023. Se emitió Rev Preliminar del informe. En un par de semanas se emitie versión final. 
19/04/2023. Se está cerrando informe final para emitir este mes. 
16/05/2023. Se presentó informe final. Cliente pide algunos cambios/agregados. 
30/05/2023. Anexos informe en elaboración para entrega al cliente.
29/06/2023. Se realizó presentación y entrega de Informe Final. Se cierra en próximo período.
03/08/2023. El cliente no acepta informe. Se busca contacto con cliente.
30/08/2023. Se invitó a reunión al cliente. No se presentó. Se avanza con cierre.
17/10/2023. Se consultó avance al PM. Sin novedad.
03/11/2023. Se pasa a legales. Sin respuesta cliente.
01/12/2023. Se envían y reciben notas formales. Sin resolución.
04/01/2024. Proyecto cerrado técnicamente.  Pendiente cierre proyecto por temas legales.</t>
    </r>
  </si>
  <si>
    <t>Q230043</t>
  </si>
  <si>
    <r>
      <rPr>
        <b/>
        <sz val="10"/>
        <color rgb="FF000000"/>
        <rFont val="Arial"/>
        <family val="2"/>
      </rPr>
      <t xml:space="preserve">Ultima rev. 27/09/2024
</t>
    </r>
    <r>
      <rPr>
        <sz val="10"/>
        <color rgb="FF000000"/>
        <rFont val="Arial"/>
        <family val="2"/>
      </rPr>
      <t xml:space="preserve">27/09/2024. Pendiente PeS COM y Capacitaciones. CAO control casi completos (falta nro serie repuesto switch)
15/07/2024. Pendiente PeS COM y Capacitaciones. CAO control casi completos (falta nro serie repuesto switch)
06/06/2024. Pendiente PeS COM y Capacitaciones.
01/05/2024. PeS Control completa. CAO en proceso. Pendiente PES COM y Capacitaciones.
28/02/2024. PeS Control en curso.  Pendiente PeS COM, y capacitaciones.
23/01/2024. Se está programando PES Control 28/02. COM falta confirmar disponibilidad.
------------------------------------------------------------------------------------------------------------------------
08/02/2023. Se cargan datos iniciales.
14/03/2023. Se emitió ingeniería básica de comunicaciones. 
19/04/2023. Sin novedad en este período.
16/05/2023. Cliente envía aprobación ingeneiría Básica. Se avanzará con ing. Detalle.
30/05/2023. Sin novedad en este período.
29/06/2023. Se emite ing. Panel PLC.  Se avanza con programa PLC y HMI.
03/08/2023. Documentos aprobados. Se avanza con fabricación y coordinación FAT para Septiembre.
30/08/2023. Se ejecutó FAT PLC sin presencia cliente. Se avanza con CAF y protocolo SAT. Se consulta por COM.
17/10/2023. Se emitió ing. COM revisada. Se entregó PLC. 
03/11/2023. FAT comunicación programado fin noviembre.
01/12/2023. Se completó FAT comunicaciones. Se consulta por entrega, y ver de pedir condiciones para PeS al cliente.
04/01/2024. CAF comunicaciones en elaboración. Se envía condiciones para PES al cliente.
</t>
    </r>
  </si>
  <si>
    <t>Q230024</t>
  </si>
  <si>
    <r>
      <rPr>
        <b/>
        <sz val="10"/>
        <color rgb="FF000000"/>
        <rFont val="Arial"/>
        <family val="2"/>
      </rPr>
      <t xml:space="preserve">Ultima rev. 28/11/2023
</t>
    </r>
    <r>
      <rPr>
        <sz val="10"/>
        <color rgb="FF000000"/>
        <rFont val="Arial"/>
        <family val="2"/>
      </rPr>
      <t>04/01/2023. Carga inicial del proyecto. Ya se hizo la auditoría y se reemplazo el BS1 fallado.
28/11/2023. Se finaliza contrato y se abre uno nuevo con nuevo Q.</t>
    </r>
  </si>
  <si>
    <t>Q230028</t>
  </si>
  <si>
    <r>
      <rPr>
        <b/>
        <sz val="10"/>
        <color rgb="FF000000"/>
        <rFont val="Arial"/>
        <family val="2"/>
      </rPr>
      <t xml:space="preserve">Ultima rev. 28/11/2023
</t>
    </r>
    <r>
      <rPr>
        <sz val="10"/>
        <color rgb="FF000000"/>
        <rFont val="Arial"/>
        <family val="2"/>
      </rPr>
      <t>04/01/2023. Carga inicial del proyecto.
28/11/2023. Se cierra el SLA y se abre uno nuevo con nuevo Q.</t>
    </r>
  </si>
  <si>
    <t>Q230029</t>
  </si>
  <si>
    <t xml:space="preserve"> EK</t>
  </si>
  <si>
    <t>Q230035</t>
  </si>
  <si>
    <t xml:space="preserve">Ultima rev. 24/07/2024  - Ampliación Valle Hermoso II
04/01/2023. Carga inicial del proyecto. PAE solicita no hacer la PES de la línea SCPL-VH2 ya que va a quedar como está.
28/11/2023. Se finalizó el FAT. Falta realizar el CAF con el cambio de campos, el tablero de Trafo y la PES.
01/12/2023  Toma el proyecto EK
19/12/2023   PAE-GI solicitan ensayos SAT para Febrero, incluidos los de Comunicacion para el  FOX615.  AV indica que necesita   
                     información de patchcords (Long y tipo conector) y medicion de FO instalada para iniciar ensayos fines de Febrero.
22/12/2023   SAT Comunicaciones : Ultima semana de Febrero
                     PES : 05/03/2024  (Duración precisa a establecer 28/12/23  con JRDV)
28/12/2023   Para poder definir las Hs SAT Control, se debe establecer el orden de energización de las lineas a CD2 y Resero II.          
                     Con esto sabremos si el SCADA será el definitivo (CD2 - REII) o habrá una instancia intermedia (REII - CD2) .
                     Se convocará a Reunion con GA, GI y PAE para 1era semana ENERO para definirlo.
28/12/2023   Se emite Ingenieria tablero Trafo Cerro Dragón II (CD2)
02/01/2024    PGGI acepto la oferta por la actualización de TAGS que tenemos que incorporar en la ingenieria CAF.
10/01/2024    Reunion entre GI , INGENER y HE(GA) para coordina tareas de PES.
                      INGENER quiere terminar el 4/3. Segun nuestro cronograma :
                      SAT COMM  : Ultima semana de Feb
                      SAT PyC       : Primera Quincena Marzo 
24/01/2024    Reunion INGENER-GI-GA-PAE - Coordinación SA :
		      CONCLUSIONES : debido a las 3/4 semanas de ventana de tiempo,  inesperada por PAE, se resuelve rehacer un 
                      nuevo cronograma, donde se contemplen todos los trabajos, de manera de achicar la ventana :
		           1 - ED propone hacer ensayos SCADA conjuntos para Nivel II y Nivel III 
		           2 - Asegurar que todos los trabajos previos esten realizados sin fallas:  Patchcords, Certificacion FO, permisos 
                                para desenergizar,  patcheras terminadas.
                           3 - PAE propone, de ser posible, adelantar los trabajos antes del 19/2
25/01/2024     WORK LOAD :
			1) PES Ampliacion VHII
				□ SAT Protecciones Marzo (45 hs)
				□ SAT Control Marzo (135 hs)
                         2)  Tablero Trafo CDII .
				□ Fabricacion  Marzo - (120 hs)
				□ Configuracion  Febrero - 1 semana (45 hs)
				□ FAT Abril - (45 hs)
26/01/2024     Reunion interna PGGA - Estrategia SAT
31/01/2024     GA define estas fechas para PES :
			Puesta en Servicio de Comunicaciones (Se aclara que Hitachi no requiere la salida de servicio de la linea VHII-CDII 
                        para hacer la PES del multiplexor, depende de PAE la elección de esta salida de línea)
				□ Lunes 19/02: PAE / Ingener realizarán cambio de FOX615 
				□ Martes 20/02 al Viernes 23/02 inclusive: Hitachi realizara la PES de Comunicaciones de los 2 enlaces 
			Puesta en servicio de Protecciones
				□ Martes 5/03 al Sábado 9/03 inclusive (Acople, Sincronismo y Señales)
			Puesta en servicio de Control
				□ La puesta en servicio se realizará sobre una notebook (no sobre el sistema real) y al finalizar se vuelca sobre al 
                                    sistema real
				□ Martes 5/03 al Sábado 9/03 inclusive (prueba de señales de campos de Líneas y Acople)
				□ Lunes 11/03 al Miércoles 13/03: Se probaran las señales de los IED Siemens y la RTU
				□ Jueves 14/03 y Sábado 16/03: se conforman el cambio sobre los Gateway real
				□ Estas fechas se pueden cumplir considerando que las pruebas de señales se realizan sobre Nivel 2 y Nivel 3 al 
                                    mismo tiempo
				□ Se requiere presencia de Siemens
07/02/2024     PAE contrata empresa para FO, certificacion FO, etc
                       INGENER pide procedimiento paso a paso para PES Comunicaciones (Tipo Lecciones Aprendidas por 
                       causa de lo ocurrido en Resero II (no levantaba el SCADA por un tildecito en la configuracion)
08/02/2024     Fabricación Tablero Trafo CDII - Lista de materiales :
	                        • Fichas de prueba y reles auxiliares se tomaron de stock
	                        • esto ya esta listo, entregado :
	                                   Ampliacion 1 REC670 - 4500141872??????	140 days	Mon 07-08-23	Mon 26-02-24
	                        • esto esta en aduana :
               Comprar 1 RET 670 - solped 10579259 - 01/08/23 - 4500142641 - 10/08/23	140 days	Mon 07-08-23	Mon 26-02-24
14/02/2004 Reunion con GI, PAE, INGENER para repasar la "secuencia" de tareas y despejar dudas.
	•   Acoplador :  dos funciones de maxima corrientes  PFI.  1600 amp en 900 mseg
	•   Sincronismo comando a interruptor. 
	•   Interruptor de CD2 a VHII   nuevo ???  Queda del lado de PAE
	•   FO RE2-VHII - Ya fusionada  falta informe de  mediciones de INGENER
	•   Cambio de FOX  desenergizada la linea por 5 dias  De 19 al 23 de Febrero
	•   Daniel Gonzalez tiene los contactos de la gente en Obra
	•   PES Protecciones con energia Del 5 al 11.  Con corte de Energia desde el 11 al 16 corte de Energia
       Para PAE lo indispensable para PES es :
         El REC670 debe estar configurado para.
	    · Controlar el interruptos con sus seccionadores asociados, estos están expresados en el diagrama unifilar.
	    · Bloques de Protecciones de sobre-corriente de fase y tierra (Instantáneos y temporizados).
	    · Bloque de PFI.
	    · Función de sincronismo.
        Los parámetros de ajuste serán definidos antes de la instancia de comisionado.
Tareas :  EK  mandar nota a Daniel Gonzalez. Pidiendo respuesta sobre FO, mediciones. a mas tardar  15/02 . Esto nos pernmite     
               asegurar el viaje del lunes 19/02
                Checklist de PyC
19/02/2024  Comienza SAT de Comunicaciones
21/02/2024  Problemas en el SAT … Cambio FOX 615 provoca caida SCADA Nivel III (1:30 hr)
                        Tambien se cayó la Proteccion Diferencial.
                      Algun problema en la configuracion del FOX615  -----&gt; SPANING TREE
                     MAIL de Ingener ---&gt; Mala predisposicion de HE
                     Mucha presion de PAE/Ingener . 
                     Cuando se encuentra el problema eran las 23:00 ---&gt; se volvio a atras colocando el  FOX 515 (viejo)
22/02/2024  CAPACITACION Fechas:
			§ 8/3
			§ 11/3
		A continuación, alcance:
			§ Operación desde HMI de CB en nivel 1
			§ Operación desde MicroScada en nivel 2
			§ Presentación de Pantallas MicroScada
 27/02/2024    Reunion PAE-INGENER-HE(PGGI)-HE(PGGA)  - "Intervención ETR_VHII - FOX 615 - HITACHI"
                                "Continuacion SAT Comunicaciones"      
                           Se ve punto a punto el plan de trabajo de Andres Vismara.
02/03/2024    Se realizan las pruebas de Comunicaciones con éxito, salvo un detalle que, como hay un vinculo nuevo ahora RE II-VH II, en los enlaces Ethernet,
                         aparece una nueva vinculación entre los SW. Bueno, al habilitar este enlace, necesita un tiempo el STP para volver a armar la red. Como PAE  
                         monitoreaba el SCADA y se les cayo, no quisieron esperar
                          Se decidio que no se habilite este nuevo camino para el Ethernet
                         REII y VHII quedan vinculadas. Las TP, las PD sin problemas, solo que la red no tiene este camino habilitado. Habilitar este camino, genera un nuevo 
                          anillo, o sea genera otra redundancia, que no se habilito
05/03/2024    Esta semana Fusco (equipo de Servicios) trabaja en el shelter, y tiene que vincular el SW con el Fox, y esto vincula a la red del SCADA.
                        Fusco se vincula al Fox, en el SW que él tiene en el Shelter, que tiene un monton de equipos conectados. Todos esos equipos se agregan a esa 
                        Red en L2, que no conocemos y creo que PAE no conoce muy bien. Ahi pude aparecer un problema rapidamente al momento de vincular el SW 
                        con el Fox, porque en ese momento el SW de Fusco se integra a toda la red de PAE
                        Dia 1 - Reporte de Ale Fusco (está con Javier Loyola de INGENER) :
			1) SW no quedó bien fijado al panel (inclinado) , se mueve hasta 20 grados. Hay que fijarlo mejor
			2) Problemas en cableado con RTU. JL separó los positivos de los cables que vienen del campo para  
                             que no se pongan en corto.
			3) Hay cables de incendio y de Golpe de puño que no tienen indicacion de adonde van
			4) Los cables RS485 tampoco estan indicados hacia donde van
		  Ya se están por conectar con el SW para tener acceso a las protecciones
		TRAFO CDII - Materiales
			1) Reles auxiliares   (estan comprados??)
			2) Fichas de prueba? (1 o 2?) RTX24 RK926315-AC(una sola en stock) 4 en stock de RTX24926315-BB 
06/03/2024  Se completó la proteccion CPO 8 (REII) y CPO 9 (CDII)  ambas de Siemens . El supervisor de
                    TECNOLATINA es Luis Casanova provisto por PAE se queda hasta el sabado. 
08/03/2024  Se trabaja hasta mediodia por tormenta de viento y sabado no se trabaja por tormentas electricas.
                     Reunion con Rogelio y Enzo, sobre avances del SAT :
			§ Se retrasan 3 dias la pruebas de Protecciones por demoras en el conexionado de INGENER (estaban 
                            conexionando el acoplador)
			§ el sr.Nestor Martinez Binelli de la empresa TecnoLatina nos informa que hay unos ajustes nuevos para 
                           las protecciones de Hitachienergy, Leonel Pide que lo hagan oficialmente a HE o al que corresponda.
			§ El SCADA de GENERACION Nivel III quedara afuera por 3 dias.
			§ Fusco trabaja aislado para evitar problemas de comunicaciones con el SCADA. 
			§ FUSCO Jueves y Viernes (Vuelco en Gateway) y medio dia para capacitación de Operación SCADA. 
			§ Saber si PAE quiere  Integrar CDII al SCADA.
	                § Las capacitaciones se corren una semana.
12/03/2024
			§ Hasta el momentohay un adicional de 3 días de nuestro especialista de Proteccionespor:
				® Para el inicio de la PES el día 5/03,  no estaban listos los cableados en Shelter (solo estaba  
                                    cableado un panel de línea), ni en campo (de hecho, el mismo Viernes 8/3 seguían conectando
                                    en campo). Esto no se había mencionado con antelación al viaje de nuestros especialistas, a 
                                    pesar de que se ha insistido con el pedido de respuestas (check list y confirmaciones del estado 
                                    de obra). Además esta situación, obligo a priorizar el trabajo de cableado faltante en el shelter
                                    (poco lugar en shelter para trabajo simultaneo de Ingener, Siemens e Hitachi) y el trabajo 
                                     conjunto con Siemens ya que el especialista de Siemens debía finalizar la semana pasada.
                                     Esto impidió el trabajo de PES de Protecciones durante los días 5, 6 y 7 de Marzo, lo cual se ha
                                     reflejado en planillas de horas pasadas para firma a Gonzalo Traba, pero aún no  firmadas.
				® Hay un interruptor que requiere reparación que está prevista para el 18/03, por tanto tendrán que
                                     definirse en obra como realizar la prueba de señales y operativa de este equipo.  
				® Por lo tanto, el curso operativa de Protecciones del Viernes 8/3 se pasa una semana a coordinar
			§ El sábado 9/3 no se trabajó por cuestiones climáticas. 
			§ Con Siemens se terminó el trabajo, debido a la priorización antes mencionada.
			§ Se estima que el trabajo de PES de Protecciones / Microscada se extenderá toda esta semana. 
18/03/2024   §Hasta el momento hay un adicional de 6 días de nuestro especialista de Controlpor demoras :   
19/03/2024Tablero Trafo CDIIIngeniería de Detalle de SW     5 days       Mon 18-03-24        Fri 22-03-24
                             Protocolos FAT                          4 days        Tue 19-03-24        Fri 22-03-24
                             Fabricación Panel                    20 days         Fri 15-03-24       Thu 11-04-24
                             Ensayos FAT                             5 days          Fri 19-04-24       Tue 25-04-24
28/03/2024   18:00 hs : Se deja energizado el campo 11 (Línea VHII - CDII) , pero con las siguientes irregularidades :
	1) La señal que enviaban de un extremo a otro de los Secc de PAT de CDII no eran informados a VHII, por lo cual se tuvo que forzar la señal en CDII para que llegue a VHII y se pueda energizar.
	2) Una vez que se tensionó la línea, el TV de la ET VHII medía solo 2 fases y una no, entonces se descableó esa térmica y la volvieron a habilitar para que dé la señal de Térmica OK, pero con tensión cero.
	3) Conclusión : se sincronizó con tensión, pero nuestro equipo habilitóporque tenía cero contra cero, situación que PAE  lo tiene bien en claro. La protección de Siemens (otro extremo) está sin impedancia porque le falta la tensión y sin direccionalidades para las funciones de Respaldo.
Se decidió validar las actas con el alcance del dia 27/04, y despues por Nota , con el PM se sumarán estos detalles de los items anteriores
25/03/2024  Q230035 – Ampliacion VH2 – Tablero Trafo CDII
Verificar con ENZO:
   Protocolos FAT	4 days	Tue 19-03-24	Fri 22-03-24
   Preparación y Pre-FAT	5 days	Fri 12-04-24	Thu 18-04-24
   Ensayo FAT	5 days	Fri 22-04-24	Thu 25-04-24
RET670 : Se debe hacer un "Downgrade" del IED de 2.2.6 a 2.2.5 para que las versión sea compatible con el resto de los IEDs de la ET.
18/04/2024 Nuevas Fechas FAT Tablero Trafo CDII :
		○ Rigidez y Aislación (sin presencia del cliente): 15/05. Al finalizar enviamos protocolos
		○ FAT con presencia del cliente: 20/05 al 22/05 inclusive
06/05/2024  Reunión de Puntos OBSERVADOS PES :
                    Leonel, Ale Fusco, Gabriel Diaz Sylvester (HE)
                    Gonzalo Traba (INGENER)
                    Gustavo Poblete, Christian Olmedo, Nestor Binelli (PAE)
07/05/2024 Reunion Interna sobre Observaciones PAE (EK, RV, ED, Leonel, Gabriel Sylvester) 
                   Se hicieron las siguientes aclaraciones de lo puntos reclamados por PAE/INGENER:
		○ Recierre para que se pueda seleccionar en el Pop Up como Habilitar/Tripolar y como Unipolar/Tripolar.PAE solicito por primera vez el Lunes 22/04 la adecuación del Scada para incluir el modo de recierre, HE lo implemento ese mismo día y después de ello, PAE solicito a HE que deshiciera los cambios realizados. Esto ocurrió antes de iniciar el proceso de Energización de ese día, que finalmente se abortó por problemas de la protección diferencial Siemens. Finalmente, al momento de firma del acta durante el dia Viernes 26/04, PAE decidió volverlo a incluir este pedido que se considero como un nuevo pedido y se lo registro como observación en el acta. Por lo tanto, se trata de un nuevo pedido y no de un pendiente.○ Potencias , falla en la medicion por mala configuracion en los datos de entrada del REC670 (Campos 8 y 11)Respecto del problema de medición, el mismo fue detectado por PAE el Jueves 24 en instancias en que el especialista de HE estaba dictando la capacitación pedida (y no incluida en alcance) por PAE operaciones. El Viernes 25, HE propuso a PAE hacer la adecuación de los REC670 de campos 8 y 11 en servicio, lo cual no presentaba riesgos (aun sabiendo que el REC se iba a reinicializar) porque estos IEDs son solo elementos de control. A pesar de esta aclaración, PAE decidió no autorizar la tarea y en virtud de ello se indicó en el acta como observación con posible fecha de ejecución remota que debía coordinarse a partir del 13/5.  Por tanto, frente a la decisión de PAE de no hacerlo y de implementarlo más tarde, esta tarea no resulta un pendiente○ Syncronismo, verificar perfecto funcionamientoEl pedido de PAE de adecuación del estado de sincronismo fue nuevo (es decir no surgió de lo acordado en reuniones de la semana del 8/4) y PAE lo solicita en instancias de la energización de la ET, por lo que no era posible de implementar ese día. En definitiva no es un pendiente, sino un pedido nuevo de ultimo momento, que se asentó en el acta como observación.
		○ Implementar Señal de estado de sincronismo (Sync OK y Sync en progreso)HE propuso hacer esta nueva implementación en el momento y debido a que se debía rescribir la configuración de los REC (con reinicio de esos IEDs), PAE no lo autorizo. Por tanto, frente a la decisión de PAE de no hacerlo, esta tarea no resulta un pendiente.10/05/2024 Reunión tecnica con PAE/INGENER para delinear trabajos a realizar la semana del 13/05.
                   En primera instancia se dejó claro que la lista de tareas constituyen "Observaciones"  y no "Pendientes" de 
                    acuerdo al acta de puesta en servicio firmada por Ingener el 25/04.1
                   La Asistencia a sitio de HE serian los dias  Jueves 17 y Viernes 18. donde se harian los trabajos detallados 
                    en los 3 puntos anteriores.
                   Quedamos a la espera de la Minuta de la reunion,
15/05/2024 Inicio FAT Tablero Trafo CDII :  Rigidez y Aislación (sin presencia del cliente): 15/05. Al finalizar enviamos protocolos?
20/05/2024 Inicio FAT Tablero Trafo CDII :  FAT con presencia del cliente: 20/05 al 22/05 inclusive (No se incluye en el controlador Tapcon (No lo tiene PAE todavia)
21/05/2024  Q230035 - 2do dia de FAT Tablero TRAFO CDII
		    Se presenta el Inspector de PAE para pruebas de cableado (20%) y Configuracion
22/05/2024  Q230035 -  3er dia FAT 
                    Se concluye el Fat satisfactoriamente. Se firma Acta, sin Pendientes y con la siguiente Observacion : 
                         "Se actualizan los cambios de las Ingenierias posterior al ensayo, Version CAF"
27/05/2024  Q2300035 - Trafo CDII
	             - El armario de Prot. CDII no se entrega hasta la solución de los adicionales
                     - La ing CAO ya se pidió a Ingenieria
06/06/2024  Se retira de LAB hacia Logistica,  el tablero de Trafo de CDII  Q230035-ETCD2-TPCX; pero no se 
                    entregan hasta regularizacion situacion pagos INGENER
24/07/2024  Se preparan los CAO, pero no se entregan hasta regularizacion situacion pagos INGENER
26/07/2024  Se emite nuevo reclamo a GI por los adicionales de la PES :
26/08/2024  De las planillas de horas:
	· Hs Fabrica: sobraron 32 hs.  de las 1355 previstas
	· Hs Ingenieria: hay 196 hs de más, de las 1624 hs previstas. Esto significa U$D 7.389
	· Hs proyectista: hay 144 hs de más, de las 195 hs previstas. Esto significa U$D 9.652
	· Hs Campo: se utilizaron 640 hs, de las 640 hs previstas Se aclara que las hs de campo previstas fueron reducidas de 1020 a 640 por 2 razones, la primera el ajuste debido al cambio de protecciones Siemens y además debido a los mayores consumos de horas antes informados. Tomar en cuenta que a pesar de haber disminuido las hs de campo, siguen existiendo las horas adicionales antes indicadas, por lo que fue necesario reclamar los adicionales. 
La suma de las hs adicionales da U$D 17.000. Esto no incluye el costo de gastos de viaje, ya que no hay nada imputado en prepost y hasta el mes pasado Reiwa no estaba reportando correctamente estos gastos
A modo de referencia rápida, solo los U$D 17.000 es solo un valor de costo, significa que traducido a venta seria de U$D 28.500. Esto muestra que si le agregamos más gastos de viaje que lo previsto, deberíamos alcanzar los adicionales reclamados a PGGI, detallados a continuación :  
	· Adicional #1: Es por alargamiento del SAT original y equivale a U$D 21.800 (12 dias x 2 especialistas)
	· Adicional #2: Es por la segunda intervención de SAT y equivale a U$D 21.823 
	· Adicional #3: Es por la tercera intervención y son U$D 5.224. Este adicional se puede eliminar en la negociación
</t>
  </si>
  <si>
    <t>Q230040</t>
  </si>
  <si>
    <r>
      <rPr>
        <b/>
        <sz val="10"/>
        <color rgb="FF000000"/>
        <rFont val="Arial"/>
        <family val="2"/>
      </rPr>
      <t xml:space="preserve">Ultima rev. 23/09/2024
</t>
    </r>
    <r>
      <rPr>
        <sz val="10"/>
        <color rgb="FF000000"/>
        <rFont val="Arial"/>
        <family val="2"/>
      </rPr>
      <t>04/01/2023. Carga inicial del proyecto.
28/11/2023. Falta hacer y emitir arquitectura CAO.
29/01/2024. Falta la arquitectura CAO.
23/09/2024. Falta realizar la arquitectura con lo que trajo Gaby de la auditoría.</t>
    </r>
  </si>
  <si>
    <t>Q230042</t>
  </si>
  <si>
    <r>
      <t xml:space="preserve">Ultima rev. 23/09/2024
</t>
    </r>
    <r>
      <rPr>
        <sz val="10"/>
        <color rgb="FF000000"/>
        <rFont val="Arial"/>
        <family val="2"/>
      </rPr>
      <t>23/09/2024. Quedaron varios temas pendientes a revisar en ingeniería y servicios para evitar llevarlos a SAT. Las horas de ingeniería totales se balancearon con las horas de ensayo FAT que el adicional nos permió realizar
===================================================================
26/07/2024. Se completó el FAT pero quedaron muchos temas pendientes a revisar en ingeniería y servicios para evitar llevarlos a SAT. Las horas de ingeniería totales se balancearon.
===================================================================
29/05/2024. Esta semana terminamos el FAT pero quedaron temas pendientes de ingeniería. Tenemos muchas lecciones que aprender porque hemos llegado muy justos al ensayo y a pesar de haber controlado el alcance creo que en algunos puntos entramos en la incertidumbre del alcance definido originalmente. enemos que ser más precisos y detallistas en el alcance que implique un adicional.
Seguimos controlando las horas de proyectista y estamos buscando soluciones para compensar y mitigar el impacto. Por las dudas corregí las horas de proyectistas. las horas de LE tambien se excedieron porque en este tipo de proyectos sin definiciones, llegar a una definición de alcance básico , lleva a discusiones con el cliente final (GI se desentiende de esta tarea) consume muchas horas de LE.
=====================================================================
24/04/2024. Seguimos controlando las horas de proyectista y estamos buscando soluciones para compensar y mitigar el impacto. Por las dudas corregí las horas de proyectistas. las horas de LE tambien se excedieron porque en este tipo de proyectos sin definiciones, llegar a una definición de alcance básico , lleva a discusiones con el cliente final (GI se desentiende de esta tarea) consume muchas horas de LE.
=====================================================================
05/042/2024. Seguimos controlando las horas de proyectista y estamos buscando soluciones para compensar y mitigar el impacto. Por las dudas corregí las horas de proyectistas. las horas de LE tambien se excedieron porque en este tipo de proyectos sin definiciones, llegar a una definición de alcance básico , lleva a discusiones con el cliente final (GI se desentiende de esta tarea) consume muchas horas de LE.
-----------------------------------------------------------------------------------------------------------------------------------------
23/02/2024. Seguimos controlando las horas de proyectista y estamos buscando soluciones para compensar y mitigar el impacto. Por las dudas corregí las horas de proyectistas. las horas de LE tambien se excedieron porque en este tipo de proyectos sin definiciones, llegar a una definición de alcance básico , lleva a discusiones con el cliente final (GI se desentiende de esta tarea) consume muchas horas de LE.
-----------------------------------------------------------------------------------------------------------------------------
07/02/2024. Seguimos controlando las horas de proyectista y estamos buscando soluciones para compensar y mitigar el impacto. Por las dudas corregí las horas de proyectistas. las horas de LE tambien se excedieron porque en este tipo de proyectos sin definiciones, llegar a una definición de alcance básico , lleva a discusiones con el cliente final (GI se desentiende de esta tarea) consume muchas horas de LE.
------------------------------------------------------------------------------------------------------------------------------
27/12/2023. Seguimos controlando las horas de proyectista y estamos buscando soluciones para compensar y mitigar el impacto. Por las dudas corregí las horas de proyectistas. las horas de LE tambien se excedieron porque en este tipo de proyectos sin definiciones, llegar a una definición de alcance básico , lleva a discusiones con el cliente final (GI se desentiende de esta tarea) consume muchas horas de LE.
-------------------------------------------------------------------------------------------------------------------------------------------------------
29/11/2023. Las horas de proyectista las tenemos que revisar con Juan porque estamos consumiendo más de lo previsto, eso lo detectamos y trataremos de mitigar el impacto. Por las dudas corregí las horas de proyectistas. las horas de</t>
    </r>
    <r>
      <rPr>
        <b/>
        <sz val="10"/>
        <color rgb="FFFF0000"/>
        <rFont val="Arial"/>
        <family val="2"/>
      </rPr>
      <t xml:space="preserve"> LE tambien se excedieron porque en este tipo de proyectos sin definiciones, llegar a una definición de alcance básico , lleva a discusiones con el cliente final (GI se desentiende de esta tarea) consume muchas horas de LE.
</t>
    </r>
    <r>
      <rPr>
        <sz val="10"/>
        <rFont val="Arial"/>
        <family val="2"/>
      </rPr>
      <t>Se cargaron las horas de adicional tomadas del preca pero debemos consensuar cy consolidar con SG</t>
    </r>
    <r>
      <rPr>
        <sz val="10"/>
        <color rgb="FF000000"/>
        <rFont val="Arial"/>
        <family val="2"/>
      </rPr>
      <t xml:space="preserve">
-------------------------------------------------------------------------------------------------------------------------------------------------------
08/11/2023. Revisar las horas de proyectista porque son muchas para un tablero de transformador (167hh) y uno de RTU (122hh)  consumidas.
-------------------------------------------------------------------------------------------------------------------------------------------------------
25/09/2023. Algunos problemas de proyectista de protecciones que está consumiendo más horas de las que estimo para un tablero de trafo, espero compensar con ingnería de protecciones pero no es lo ideal. Las horas LE están excedidas porque tuve mucho trabajo de definición de ingeniería por lo que estoy compensando esas hora y consideré el saldo estimado solo de tareas de gestión pero restando a ingeniería de protecciones.
-------------------------------------------------------------------------------------------------------------------------------------------------------
07/08/2023. Comenzamos con la ingenieria (externa) según nuestro alcance original. Todo el trabajo de LE en esta etapa. Despues se consumiran horas de proyectista aunque haya sido externa porque el costo se traduce en horas.
-------------------------------------------------------------------------------------------------------------------------------------------------------
02/06/2023. Problemas para definir el alcance de control. Definimos un deadline para que GI coloque el adicional de HMI y la integración de los P5.Propondremos avanzar con protecciones porque tenemos problemas para la definición de alcance.
-------------------------------------------------------------------------------------------------------------------------------------------------------
24/04/2023. Aún n o validamos las horas, estamos a la espera de alguna confirmacióin de GI sobre el alcance. Trabajamos en el documento de Hw&amp;Sw y memoria psegún oferta pero no lo pudimos emitir por la indefinición del alcance.
-------------------------------------------------------------------------------------------------------------------------------------------------------
08/03/2023. Todavìa no hay una carga importante estamos empezando a trabajar en la memoria, Hw&amp;Sw y compra de materiales. Tenemos un ajuste de horas que veremos con SG. En las horas planificadas ajuste de acuerdo a lo revisado por juan  que debo validar con SG.
-------------------------------------------------------------------------------------------------------------------------------------------------------
26/01/2023. Carga inicial del proyecto con valores del preclaculo OPP-18-2253659_P7_Sistema P&amp;C E.T Transclor.xlsm</t>
    </r>
  </si>
  <si>
    <t>Q230045</t>
  </si>
  <si>
    <r>
      <t xml:space="preserve">Ultima rev. 23/09/2024
</t>
    </r>
    <r>
      <rPr>
        <sz val="10"/>
        <rFont val="Arial"/>
        <family val="2"/>
      </rPr>
      <t xml:space="preserve">23/09/2024. FAT terminado pero quedaron muchos temas pendientes a revisar en ingeniería y servicios para evitar llevarlos a SAT. Tuvimos muchos problemas con la ingeniería y la fabricación que llevaremos a mejorar porque no lo seguimos y manejamos, tenemos que mejorar la comunicación y manejo de devios cuando tenemos que realizar modificaciones para adelantarnos y evitar realizar la autopsia para explicar que es lo que pasó
===================================================================
04/09/2024. FAT terminado pero quedaron muchos temas pendientes a revisar en ingeniería y servicios para evitar llevarlos a SAT. 
===================================================================
26/07/2024. Se está termianando el FAT pero quedaron muchos temas pendientes a revisar en ingeniería y servicios para evitar llevarlos a SAT. Se balancearon las horas de ingeniería totales
===================================================================
29/05/2024. Seguimos trabajando con tercerizado y estamos haciendo varias revisiones, tenemos muy baja respuesta del cliente. Consultar a Juan sobre el traslado de proyectista externo.Hemos forzado aprobaciones y comenzamos la fabricación. El saldo estimado de LE voy a ajustarlo a medida que avancemos en la elaboración de las configuraciones porque estimo que podremos compensarla.
====================================================================
24/04/2024. Seguimos trabajando con tercerizado y estamos haciendo varias revisiones, tenemos muy baja respuesta del cliente. Consultar a Juan sobre el traslado de proyectista externo.Hemos forzado aprobaciones y comenzamos la fabricación. El saldo estimado de LE voy a ajustarlo a medida que avancemos en la elaboración de las configuraciones porque estimo que podremos compensarla.
====================================================================
05/04/2024. Seguimos trabajando con tercerizado y estamos haciendo varias revisiones, tenemos muy baja respuesta del cliente. Consultar a Juan sobre el traslado de proyectista externo.Hemos forzado aprobaciones y comenzamos la fabricación. El saldo estimado de LE voy a ajustarlo a medida que avancemos en la elaboración de las configuraciones porque estimo que podremos compensarla.
-----------------------------------------------------------------------------------------------------------------------------------------
23/02/2024. Seguimos trabajando con tercerizado y estamos haciendo varias revisiones, tenemos muy baja respuesta del cliente. Consultar a Juan sobre el traslado de proyectista externo.Hemos forzado aprobaciones y comenzamos la fabricación. El saldo estimado de LE voy a ajustarlo a medida que avancemos en la elaboración de las configuraciones porque estimo que podremos compensarla.
-------------------------------------------------------------------------------------------------------------------------
07/02/2024. Seguimos trabajando con tercerizado y estamos haciendo varias revisiones, tenemos muy baja respuesta del cliente. Consultar a Juan sobre el traslado de proyectista externo.Hemos forzado aprobaciones y comenzamos la fabricación. El saldo estimado de LE voy a ajustarlo a medida que avancemos en la elaboración de las configuraciones porque estimo que podremos compensarla.
------------------------------------------------------------------------------------------------------------------------------
27/12/2023. Seguimos trabajando con tercerizado y estamos haciendo varias revisiones, tenemos muy baja respuesta del cliente. Consultar a Juan sobre el traslado de proyectista externo. 
-------------------------------------------------------------------------------------------------------------------------------------------------------
29/11/2023. Consultar a Juan sobre el traslado de proyectista externo. 
-------------------------------------------------------------------------------------------------------------------------------------------------------
08/11/2023. No hay horas de proyectista porque es una ingeniería externa y todavía no se traslado a horas equivalentes. 
-------------------------------------------------------------------------------------------------------------------------------------------------------
25/09/2023. Primer devolución de ingeniería externa de un tablero de protección no fue buena. Nos falta un seguimiento más cercano desde ingeniería. Veremos cuantas horas equivalentes serán consumidas. La única alerta temprana que sigo es el de proyectista. 
-------------------------------------------------------------------------------------------------------------------------------------------------------
07/08/2023. Comenzamos con la ingenieria (externa) según nuestro alcance original. Todo el trabajo de LE en esta etapa. Despues se consumiran horas de proyectista aunque haya sido externa porque el costo se traduce en horas.
-------------------------------------------------------------------------------------------------------------------------------------------------------
</t>
    </r>
    <r>
      <rPr>
        <sz val="10"/>
        <color rgb="FF000000"/>
        <rFont val="Arial"/>
        <family val="2"/>
      </rPr>
      <t>02/06/2023. Emitimos documentación pero no tenemos respuesta del cliente. Hicimos el reclamo y vamos a programar el comienzo de la ingenier´`ia en base a nuestra propuesta.
Aún no validé las horas con RV para sincronizar el prepost con esta planilla.
-----------------------------------------------------------------------------------------------------------------------------------------------------------
24/04/2023. Trabajamos en las memorias y Hw&amp;Sw.
Aún no validé las horas con RV para sincronizar el prepost con esta planilla.
-----------------------------------------------------------------------------------------------------------------------------------------------------------
08/03/2023. Tareas iniciales de elenco, compra y pedido de información. Se actualizó las horas planificadas con el ajuste que tendremos que revisar con RV y validar con Javi porque proyectista e ingeniería ya está
------------------------------------------------------------------------------------------------------------------------------------------------------------
26/01/2023. Carga inicial del proyecto con valores del preclaculo OPP-22-6853991_P0_EDELAP - Ceramica Fanelli 132kV.xlsm</t>
    </r>
  </si>
  <si>
    <t>Q230039</t>
  </si>
  <si>
    <r>
      <t>Ultima rev.</t>
    </r>
    <r>
      <rPr>
        <b/>
        <sz val="10"/>
        <color rgb="FF000000"/>
        <rFont val="Arial"/>
        <family val="2"/>
      </rPr>
      <t xml:space="preserve"> 5/9/2024</t>
    </r>
    <r>
      <rPr>
        <sz val="10"/>
        <color rgb="FF000000"/>
        <rFont val="Arial"/>
        <family val="2"/>
      </rPr>
      <t xml:space="preserve">
30/01/2023. Primera revisión de Hs. Se realizaron las compras y se comienza con la ingeniería.                                                                                                          14/04/2023. Se envió la ingeniería general, a la espera de la aprobación.                                                                                                                                     30/05/2023. Se aprobaron dos de los proyectos, a la espera del tercero. Falta un adicional por insertos.                                                                          12/07/2023. Se enviaron a proyectistas las planillas de tableros.                                                                                                                                                                  16/08/2023. Se emitió la totalidad de la ingeniería                                                                                                                                                                                       5/10/2023. El proyecto se encuentra detenido por falta de pago de Montelectro.                                                                                                                      6/12/2023. Se reactivó el proyecto. Se están fabricando los paneles.                                                                                                                                                                             30/01/2024. Se realizó el FAT del proyecto de OLPAS. Se están programando los otros FAT para febrero/marzo                                   7/3/2024. Se realizó la totalidad del FAT. Se envían los equipos a obra. Se está programando el SAT de OLPAS.                                             2/5/2024. Se realizó la totalidad del FAT. Se envían los equipos a obra. Se está programando el SAT de OLPAS.                                                         3/7/2024. A la espera de los SAT                                                                                                                                                                            5/9/2024. En septiembre se realizará el SAT de La Florida. A la espera de los otros SAT</t>
    </r>
  </si>
  <si>
    <t>Q230046</t>
  </si>
  <si>
    <r>
      <t xml:space="preserve">El proyecto inició el 01/02/23. 
</t>
    </r>
    <r>
      <rPr>
        <b/>
        <sz val="9"/>
        <rFont val="Arial"/>
        <family val="2"/>
      </rPr>
      <t>Rev. 10/07/24</t>
    </r>
    <r>
      <rPr>
        <sz val="9"/>
        <rFont val="Arial"/>
        <family val="2"/>
      </rPr>
      <t xml:space="preserve">
Hay desvios de hs en fábrica e ingeniería de control. Se reclasifican 189hs de ingeniería de control debido a que hubo bastante capacitación
El SAT está practicamente finalizado
Varias VO por cobrar principalmente por los servicios de BR
Se destaca que se han vendido 1344hs por adicionales</t>
    </r>
  </si>
  <si>
    <t>Q230048</t>
  </si>
  <si>
    <r>
      <rPr>
        <b/>
        <sz val="10"/>
        <color rgb="FF000000"/>
        <rFont val="Arial"/>
        <family val="2"/>
      </rPr>
      <t xml:space="preserve">Ultima rev. 24/01/2024    SAS Santa Isabel  (EDISUR-CODELER-EPEC)
</t>
    </r>
    <r>
      <rPr>
        <sz val="10"/>
        <color rgb="FF000000"/>
        <rFont val="Arial"/>
        <family val="2"/>
      </rPr>
      <t>Fecha Contractual Inicio  FAT  Noviembre/Diciembre 2023
17/04/2023 1 -  Revisar Workload,  Fabricación  Agosto, Sept, Octubre
                              FAT Noviembre Diciembre.
                    2 - Demora en Respuestas del cliente , ocasionan demoras en los plazos .  Nuevo Cronograma.
                    3 - Compra de Materiales. Revisar con PM
                              Materiales Nacionales Javier Toledo
                              Materiales Importados Ariel Cisneros – Ver Compra Express Delivery 4 meses.
12/6/2023   1 - revisar Cronograma (actualizar)
                   2 - E.Perugini :  Preguntar por RSTP
26/06/2023 1- Mail a PM por compra de IEDs, confirmar cronograma.c/copia a Irene.
10/07/2023  En estas situaciones de indefiniciones del cliente (TRafos 132kV, GIS, Multimedidores) , 2 opciones: 
                    1 – Esperar , se rompe compromiso Crono-precio
                    2 – Ejecuto en base a una definición genérica nuestra (GIS, Trafos, Multimedidores)
17/07/2023    Ver Materiales menores y otras provisiones. Tiempos  (Irene)
25/08/2023    Reunion interna para redifinir el cronograma     
                      Reveer costos por tiempos muertos y retomar tareas (Ingenieria). Retrabajos.
11/09/2023</t>
    </r>
    <r>
      <rPr>
        <b/>
        <sz val="10"/>
        <color rgb="FF000000"/>
        <rFont val="Arial"/>
        <family val="2"/>
      </rPr>
      <t xml:space="preserve">  </t>
    </r>
    <r>
      <rPr>
        <sz val="10"/>
        <color rgb="FF000000"/>
        <rFont val="Arial"/>
        <family val="2"/>
      </rPr>
      <t xml:space="preserve">  Revision de Horas con la demora de 4 meses para exponer en Reunion con Cliente
12/09/2023    Reunión con Cliente (Ver MOM nro 3)
18/10/2023   Reunión de Ingeniería : se terceriza la Ingeniería . Funcionales Tipicos (1 Linea, 1 Trafo, 1 Conjuntor, 1 TIOR 132kV, 
                     1 TIOR 13,2kV) para fines de Noviembre. 
                      Pendientes : 
                         1 - Definición RAT (REC670 con función Tapcon en lugar de los predefinidos MR-Tapcon230 Expert)
                         2 - Confirmación de red RS485 para Medidores de MT por parte del Dpto de Medidores de EPEC
01/11/2023    EPEC sigue evaluando que RAT van a utilizar. HE considera, por ahora, los predefinidos  MR-Tapcon230 Expert
14/11/2023    Consulta a CODELER sobre existencia de TVs de barras para función de verificación de Sincronismo 
15/11/2023    Revisión de tarifas por desplazamiento de tiempos (4/5 meses), teniendo en cuenta aumentos, impuesto Pais, etc.
                      EK (Irene) confirma que los materiales estarían llegando en tiempo:
                           *  IEDs nueva fecha fábrica 29/12 + SIRA, pueden llegar en enero o ppios de febrero depende
                              de que pase con las aprobaciones.
                           *  REF 615 PO 4500142838, plazo 8 semanas (desde el 14/10) + SIRA. 
                               Estimado de recepción en planta enero / febrero depende de que pase con las aprobaciones
                           *   BOIERO. Aún no tiene PO, hasta que no paguemos la nota de débito de un pedido anterior no va a tomar
                                pedidos,necesitan que saldemos esa deuda y luego el pago del anticipo de la futura compra.
                           *   RTXP-24 (Zócalos de Prueba) están trabajando Yesica y Rodhe en un acuerdo con India ya que no nos quieren
                                entregar por falta de pago. Por el momento no tenemos información acerca de fechas
                           *   Hirschmann, los insertos están listos, el RSP25 lo tendrán listo para el 28/11 y los switches para el 6/12, 
                                se demoraron por falta de algunos componentes
                      JJH dice que los tableros pueden empezar a fabricarse sin que estén la totalidad de los materiales.
                      JJH Confirma que se cargaran Horas y Costos por los trabajos tercerizados (BOTINO)
22/11/2023    Quedan confirmada la fecha de entrega de la Ingenieria de los siguientes tableros típicos para la última semana de 
                      Diciembre,  por parte de BOTINO :
                       •	Q230048-10101  Línea 132kV a ET Los Molinos TCPD1
                       •	Q230048-10301  Trafo 132kV/13,2kV TCPTD1
                       •	Q230048-10601  Acoplamiento
                       •	Q230048-20101  TIOR 132kV
                       •	Q230048-20201  TIOR 13,2kV
12/12/2023   Reunion con JJH, se decide emitir Tableros TIOR junto con los de Marcos Juarez el 15/01/2024
                       •	Q230048-20101  TIOR 132kV
                       •	Q230048-20201  TIOR 13,2kV
28/12/2023   Se emiten los siguientes tableros Típicos :
                       •       Q230048-10101  Línea 132kV a ET Los Molinos TCPD1
                       •	Q230048-10301  Trafo 132kV/13,2kV TCPTD1
                       •	Q230048-10601  Acoplamiento
09/01/2024    EDISUR cierra el acuerdo con EPEC,  para la provisión del Equipamiento GIS de GE
16/01/2024    MATERIALES :
                      Entregado a stock: 
                       •	PC, monitor, teclado y mouse
                       •	Licencia Microscada 
                       •	Tableros
                       •	Bornera de contraste
                      En aduana, esperando fondos para oficializar:
                        •	IEDs
                        •	Switches y Redbox
                        •	REF615
                       Listo en origen:
                         •	Fichas de prueba
                       Aún no comprado: 
                         •	Equipos de Boiero, se requiere pago anticipado y se difirió a marzo, por favor informar fecha real de necesidad  
                                para poder optimizar el gasto.
                        Equipos fuera de nuestra provisión:
                             SYS 600	ENTREGA EDISUR
                             GPS	        ENTREGA EDISUR
                             accesorios RAT	 
                             RAT	es un IED más
17/01/2024    EDISUR nos pide revisar el acuerdo EPEC-EDISUR para ver incompatibilidades con nuestra oferta. 
</t>
    </r>
    <r>
      <rPr>
        <b/>
        <sz val="10"/>
        <color rgb="FF000000"/>
        <rFont val="Arial"/>
        <family val="2"/>
      </rPr>
      <t xml:space="preserve">24/01/2024    Reunión de  Ingeniería (JJH, SL, TR, EK)
                      1 -  El lunes 29/01 se emiten la ingenieria TIOR132kV y TIOR13,2kV
                      2 -  Con la emisión de las ingenierias TIORs se enviará al cliente consultas sobre :
                            a - Claves técnicas
                            b - Aprobacion de Ingenieria de los 3 tipicos ya emitidos.
                            c - Otras consultas a definir por TR y EK
                      3 - Consultar a Irene/Javier sobre fuente de 5 vcc para Splitter Boiero (puede haber una de mas en MJ)
                               2580210000 - PARA INSTA 30W 5V 6A 
                            Se traspasa una fuente de Q230030 - SAS Marcos Juarez
                      4 - Corrimiento cronograma para Work Load 
31/01/2024  Reunion de Ingeniería (JJH,TR, EK)
                       1 - Se ven aspectos constructivos TIOR 13,2kV, cableados, patchcords, se deben agregar 2 Patcheras
01/02/2024   Se emite la siguiente Ingeniería al cliente (Codeler lo recibe el 07/02) :
			§ T.I.O.R. 132kV   Rev.EO                                                    Q230048-20101.pdf
			§ T.I.O.R. 13,2kV   Rev.EO                                                   Q230048-20201.pdf 
			§ Esquema de Conexionado de Datos Rev.2                       Q230048-00006.pdf
06/02/2024     Se considera cambio de multimedidores de ACE6000 (U$D 1192) a Cir-SET 130 (U$D 780) 
                       Implica modificaciones en :
			§ 2 Tableros típicos (Linea y Trafo)  (44 hs)
			§ Tablero TIOR 132kV + Esquema de Conexionado de Red de Datos  (4hs)
			§ Listado de Hw y Sw (2 hs)
			§ Se eliminarían los conversores/splitter BOIERO
08/02/2024    Reunion Ingeniería :
                      Por eventual cambio de medidores Se definen horas de ingenieria : 50 hs 
09/02/2024   Medidor ACE6000 Cod ITRON 001-130  no está disponible en BOIERO
                     Ofrecen es su lugar Cod.ITRON 001-125
                     Nos sirve a nivel conectividad nuestra, pero tiene algunos features menos a validar con EPEC:
                       1 - No tiene entradas Digitales (130 tiene 4 DI)
                       2 - Tiene P o Q configurables (130 tiene P y Q)
14/02/2024   Reunion Ingenieria (JJH, SL, EK)  :
                       1 -  GE (Roberto Godoy, Chile) entrega documentación actualizada GIS. SL va a analizar
                       2 -  Semana del  19/02 personal EPEC (De Marchi?) van a estar capacitandose en HE (M.Juarez)
20/02/2024  EDISUR/EPEC aceptan cambiar los medidores a CIRCUTOR  CirSet-130. 
                    Se eliminan :
			§ ACE6000
			§ Boiero Splitter
			§ Boiero Conversor Serial-Ethernet 
	           Se modificaran las Ingenierias en las próximas Revisiones
	           EK  tiene que modificar :
			§ Lista de Hw y Sw
			§ Descripción Funcional Prot. y Cont
05/03/2024   Se envía la Ingeniería de los típicos (sin aprobar) a Fábrica para evaluación de materiales.
11/03/2024   Revision Horas :
                          Ing de Protecciones 
                                Hs usadas   90       Workload :         180
                                Saldo         279       Saldo Estimado : 99
                          LE 
                                Hs usadas   386       Workload :             216
                                Saldo            -62       Saldo Estimado : -278
14/03/24  Reunión Interna  (EK, AC, AS ,Fabian Fernandez)   
1 - Estrategia a nivel ejecucion   :  Parar la obra
2 - Estrategia económica :  levantar la mano (saldo negativo).  
     Se le puede cobrar Acopio (U$D 29000).
     Nacionalizacion 89 % del precio FOB
3 - Plantear nuevos valores en reunion con EDISUR
Plan A : que el cliente no reaccione
		○ Aceptacion balance de caja
		○ Aceptacion de sobrecostos (adicional)
		○ Nuevo cronograma 
Plan B : que el cliente siga con el proyecto. Aprobaciones de Ingenierias,  Seguimos para adelante
             Se deben cumplir :
		○ Certificados de aprobacion de ingenierias
		○ Aceptacion nuevas tarifas y costos asociados
En base al estado de situacion “el proyecto no avanza” :
-No tenemos ingenieria aprobada, ni la basica!
-Solo se pudo facturar anticipo y dos hitos de avance , total 25%
-La caja esta negativa, los costos superan lo facturado, sales in exess.
- Los materiales mayores (IEDs, switchs) estan arribados en ezeiza desde Enero, esperando prioridad para nacionalizarse, pagando almacenamiento.
-Probablemente tengamos ajustes de tarifas, con lo cual nos aumentaran los costos por incurrir con el consiguiente riesgo de bajada de margen
-El proyecto hoy lleva un atraso de 9 meses aproximadamente, compranado el punto donde estamos al 3/24 (tipicos emitidos), respecto del mismo hito en el cronograma original 6/23 
-La oficina LEC esta con una demanda de recursos que supera la capacidad actual y no esta en condiciones de sostener mas carga y menos aun con las ineficiencias que generan las no respuestas.
Por todo lo mencionado, la estrategia en la proxima reunion con cliente sera:
	1- Balancear económicamente el proyecto, solicitaremos la certificacion de acopio con documentos de embarque (material en aduana esperando nacionalizar)
	2- Comunicar la detencion del proyecto, hasta que esten dadas las condiciones para su reinicio (aprobacion de ingenierias basicas, ingenieria de integracion GIS-Protecciones avanzada xx%, todos los hitos de facturacion pagos, el compromiso de EPEC de responder con fliudez las presentaciones de ingenieria, revisar estas condiciones)
	3- Se da de baja el cronograma actual, y cuando se relance el proyecto se acordara un nuevo cronograma.
	4- En base a este nuevo cronograma y el gap con el original, se presentara un adicional para cubrr los extracostos derivados los retrasos y desmovilizacion, polizas, costo de almacenajes, ineficiencias de ingenieria, mas meses de gestion y revisiones, sobrecostos por la devaluacion, etc.
	Proximos pasos
	5- Fabian explorara con Evangelina de EPEC "donde estamos parados", 
	6- Tener una reunion con la gerencia de EDISUR para plantear esta problemática Jueves de esta semana.
	7- Propiciar la estrategia de suspender el proyecto hasta que esten dadas las condiciones (revisarlas y definirlas claramente)
	8- Si Edisur se planta en no suspender, deberia acordarse condiciones minimas: ejemplo, certificar y facturar 25% acopio, aceptacion de  un adicional por sobrecostos, compromiso de fluidez en la ingenieria de EDISUR-EPEC, un nuevo cronograma base, otros?. 
	9- Definir fecha de reunion con participacion presencial de Fabian y en remoto Eduardo y yo.
	10- Avanzar con la propuesta
10/04/2024  Reunion FF, AC, EK
EPEC pide las PTDG . Pero el proyecto está "Suspendido" y  EDISUR-EPEC no han respondido a la lista de condiciones que AC puso para reanudar el proyecto. 
Para PTDG se acudira a las planillas de Marcos Juarez y despues Ingenieria va a revisar las posibles diferencias.
22/04/2024   Switches HIRSCHMANN en stock:  2 (132kv) + 4 (13,2kV)
4500142676	abr-24	Si	oficializado, verde	24001SEDI012264P   Switches HIRSCHMANN	USD 15.918,18
Q230048  Santa Isabel
25/04/2024  Devolucion Ingenieria tipicos y TIORs por parte de EPEC 
                    Se esperara reactivar el proyecto para analizar modificaciones
06/05/2024  Llegan los IEDs a Planta.
30/05/2024  OBSERVACIONES a Ingenieria - ITEMs a tener en cuenta
O.S. 42 (EPEC)
1 - DESCRIPCION FUNCIONAL DEL SIST DE PROT Y CTROL
	1-1 Ver todos los puntos señalados. Tener en cuenta Bell Ville
2 - LISTA DE  HW y SW
	2-1 agregar PRP (esta en las PAO) y RSTP (Rapid Spanning Tree Protocol)  (no estan en las PAO y no estan ofertadas)
	2-2 Se solicitan codigos de equipos de MT. Ya fue entregada la lista por email 
	2-3 Se solicita provision Borneras enchufables BMC1 para cableado de V y I en celdas de MT (????)
3 - ESQUEMA DE CONEXIONADO DE DATOS
3-1 Se pide agregar en panel de SSAA  "Analizador de RED multifuncion c/com. Ethernet"
3-2 Agregar nombre de tableros
3-3 El Tapcon 230 Expert no es PRP. Considerar conectarlo solo al switch LAN B  
3-4 Considerar 2 puertod de FO para equipos de monitoreo de Temp trafos (Qualitrol QTMS) sobre switch LAN A
3-5 Ordenar tableros segun doc Tren de tableros 132kV y 13,2kV       
  O.S. 44 (EPEC)         
Códigos MT:   
                      Alimentador (No validado)  :  ABB / RED615   HBDDAEAGNQH5BHA11G
06/06/2024   Pedir a Ingenieria/Botino  (SL y TR) la lista de materiales de los tableros para Fabricar
                     Asignar nros de series en la ingenieria
06/06/2024  ver temas horas utilizadas y restantes (AC - JJH)
                    Establecer nuevo Crono (a partir de Julio)
24/06/2024  Reunion con JJH para re-ver cronograma. 
24/06/2024  Reunion con AC y AS para ver presentaciones a Cliente para proseguir el Proyecto
24/06/2024  IEDs 13,2kV Tener en cuenta Típicos (7)
27/06/2024  Reunion con JJH, SL, AC(PM) sobre Observaciones EPEC
10/07/2024  Completar excel Ariel Cisneros con Observaciones/Adicionales (Solo falta confirmar switch)
16/07/2024  Reunion con Ingenieria tema Switches
17/07/2024  Reunion Ariel Cisneros - Observaciones EPEC a puntos que pueden modificar el alcance del proyecto.  
19/07/2024 Nota a Edisur - Asunto: Cambios de alcance implícitos en observaciones de EPEC OS41, 42 y 44.
06/08/2024 Revision Horas para re arranque proyecto (contra Hs SAP)
Hay una diferencia entre nuestras planillas de horas (Operacion) y las obtenidas del SAP por PM y Controller. De acuerdo a esa diferencia : 
* En los ensayos y/o trabajos en Fabrica necesitaríamos 82 hs mas
* En Ingenieria necesitaríamos 395 hs mas respecto de la planilla SAP, pero respecto de nuestra propia planilla estamos 623 hs abajo (210 hs de protecciones y 413 de LE)
* De PM necesitaríamos 97 hs mas
</t>
    </r>
  </si>
  <si>
    <t xml:space="preserve">       </t>
  </si>
  <si>
    <r>
      <rPr>
        <b/>
        <sz val="10"/>
        <color rgb="FF000000"/>
        <rFont val="Arial"/>
        <family val="2"/>
      </rPr>
      <t xml:space="preserve">
</t>
    </r>
    <r>
      <rPr>
        <sz val="10"/>
        <color rgb="FF000000"/>
        <rFont val="Arial"/>
        <family val="2"/>
      </rPr>
      <t>Fecha Contractual Inicio  FAT  Noviembre/Diciembre 2023
17/04/2023  1 -  Revisar Workload,  Fabricación  Agosto, Sept, Octubre
                                     FAT Noviembre Diciembre.
                    2 – Compra de Materiales. Revisar con PM
                                     Materiales Nacionales Javier Toledo
                                     Materiales Importados Diego Bordatto</t>
    </r>
  </si>
  <si>
    <t>Q230051</t>
  </si>
  <si>
    <r>
      <rPr>
        <b/>
        <sz val="10"/>
        <color rgb="FF000000"/>
        <rFont val="Arial"/>
        <family val="2"/>
      </rPr>
      <t xml:space="preserve">Ultima rev. 27/09/2024
</t>
    </r>
    <r>
      <rPr>
        <sz val="10"/>
        <color rgb="FF000000"/>
        <rFont val="Arial"/>
        <family val="2"/>
      </rPr>
      <t>27/09/2024. Se presentó adicional al cliente. Aún sin respuesta.
15/07/2024. Se presentó adicional al cliente. Aún sin respuesta.
06/06/2024. De reunión con cliente, surge necesidad de actualizar adicionales.  Se pasó a B&amp;P. 
01/05/2024. Se deben conifrmar adicionales. A espera esta confirmación.
28/02/2024. Se emitió ProgramaPLC- El cliente pide agregar un circuito más. Se evalua para pasar adicional.
23/01/2024. Se está elaborando programa PLC y protocolo FAT programa, para programar FAT panel.
---------------------------------------------------------------------------------------------------------------------------------------
08/02/2023. Se cargan datos iniciales.
14/03/2023. Se pide información a cliente. Aún sin respuesta.
19/04/2023. Sin novedad en este período.
16/05/2023. Se recibió información básica. Se inicia ingeniería básica. Se observa necesidad adicional ampliación PLCs GMZ.
30/05/2023. Se emitió ing básica. Se lanza info para cotizar nota de cambio.
29/06/2023. Sin novedad. Se consulta por calificaciones.
03/08/2023. Sin novedad. Se consulta por calificaciones, y adicional.
30/08/2023. Se emitió ing. Panel PLC PE SLN.  Se reclaman calificaciones y adicional.  Se avanza con ing. GMZ.
17/10/2023. Se emitió GMZ. Se reclaman calificaciones.
03/11/2023. Sin novedad del cliente.
01/12/2023. Sin respuesta del cliente. Se avanza extraoficial con Transener, y con Cliente.
04/01/2024. Se recibe aprobación panel PLC. Se avanza con programa, para FAT y entrega.</t>
    </r>
  </si>
  <si>
    <t>Q230044</t>
  </si>
  <si>
    <r>
      <rPr>
        <b/>
        <sz val="10"/>
        <color rgb="FFFF0000"/>
        <rFont val="Arial"/>
        <family val="2"/>
      </rPr>
      <t xml:space="preserve">Ultima rev. 19/09/24 - PES Sistema Reserva REB500 7.6 y Provisión Tableros para Bancos de Capacitores (x3) - Etapa de Cierre
</t>
    </r>
    <r>
      <rPr>
        <sz val="10"/>
        <color rgb="FF000000"/>
        <rFont val="Arial"/>
        <family val="2"/>
      </rPr>
      <t xml:space="preserve">
Hs 0223 - Se hizo una revisión de materiales (relés y tableros) y nota a EDESUR para validar los mismos. Con el ok de EDESUR se definirá la compra.
Hs 0523 - Se confeccionaron las ingenierías de los 3 tableros del proyecto. Falta emisión estimada según crono mediados de Junio
Hs 0623 - Se emiten las ingenierías. Se reciben las UBs para el sistema principal. Falta confirmación de recepción de materiales importados para fabricar. Ver con AC
Hs 0723 - Esperando calificación de EDESUR para inicio de fabricación. En paralelo pedido a AC revisión de materiales
Hs 0823 - Inicio de Fabricación, resta configuracíon REB500, protocolos, FAT y SAT. Edesur nos entregó las UBs y nos prestarán los 4 contactores que luego debemos reponer.
Hs 0923 - Fabricación y protocolos FAT finalizados, invitación FAT en Octubre. Restan conf, protocolos SAT y PES. Revisar Ingreso Hs de Fábrica en Octubre
Hs 1023 - FAT Finalizado y tableros entregados. Restan conf, protocolos SAT y PES
Hs 1223 - SAT Finalizado. Falta emisión Ing CAOs. La PES la realizó Enzo que no carga horas, REVISAR
Hs 0124 - CAOs programados para Marzo, con eso cerramos
Hs 0324 - CAOs programados para Abril, con eso cerramos
Hs 0224 - CAOs programados para Marzo, con eso cerramos
Hs 0424 - CAOs entregados, se puede cerrar. Resta entrega de contactores devolución a EDESUR
Hs 0524 - Resta entrega de contactores devolución a EDESUR. Consulta enviada a Irene para ver si arribaron y así poder cerrar este Q
Hs 0724 - LLegaron los contactores para devolución a EDESUR. Unico pendiente, se revisarán los códigos y se entregarán a EDESUR
Hs 0824 - Podemos cerrarlo</t>
    </r>
  </si>
  <si>
    <t>Q230053</t>
  </si>
  <si>
    <r>
      <rPr>
        <b/>
        <sz val="10"/>
        <color rgb="FF000000"/>
        <rFont val="Arial"/>
        <family val="2"/>
      </rPr>
      <t xml:space="preserve">Ultima rev. 15/07/2024 - PROYECTO CERRADO
</t>
    </r>
    <r>
      <rPr>
        <sz val="10"/>
        <color rgb="FF000000"/>
        <rFont val="Arial"/>
        <family val="2"/>
      </rPr>
      <t xml:space="preserve">15/07/2024. Ya se recibieron OC. Se cierra este proyecto. 
06/06/2024. Sin novedad respecto a nuevas OC. Se consulta nuevamente.
01/05/2024. Hubo problemas en el ingreso del QS24046, por lo que se siguen cargando horas en este proyecto, que luego se reclasifican. A esta fecha  53 hs ingeniería deben pasar al nuevo proyecto.
28/02/2024. Se realizaron auditorias en Rojo y VMA. Hs en próximo período. Ya ingresó SLA actual QS240046. Se cierra en próximo período.
23/01/2024. Se coordinaron auditorias en VMA y ROJ.  Aun no se lanza renovación contrato.
-------------------------------------------------------------------------------------------------------------------
20/04/2023. Carga inicial del proyecto.Sin hs consumidas.
16/05/2023. Sin hs en este período.
30/05/2023. Sin novedad en este período.
30/06/2023. Sin novedad en este período.
03/08/2023. Sin novedad en este período.
30/08/2023. Sin novedad en este período.
17/10/2023. Evento en Barker, se coordina cambio. 
03/11/2023. Se hace cambio en Barker (auditoría). Se programa Aditoría COM en BK.
01/12/2023. Se terminó el plazo de este SLA, se está gestionando renovación.  Se realizaron auditorías en BK (Control y COM)
04/01/2024. Se plantea fechas auditorías VMA y ROJ.  Se informa posible problema en programas para análisis. 
</t>
    </r>
  </si>
  <si>
    <t>Q230055</t>
  </si>
  <si>
    <r>
      <rPr>
        <b/>
        <sz val="10"/>
        <color rgb="FF000000"/>
        <rFont val="Arial"/>
        <family val="2"/>
      </rPr>
      <t xml:space="preserve">Ultima rev. 27/09/2024
</t>
    </r>
    <r>
      <rPr>
        <sz val="10"/>
        <color rgb="FF000000"/>
        <rFont val="Arial"/>
        <family val="2"/>
      </rPr>
      <t xml:space="preserve">27/09/2024. Ingresó nuevo contrato 124656. Se cierra este proyecto.
15/07/2024. Aún sin renovación de contrato. Se avanza con varios casos.
06/06/2024. Aún sin renovación de contrato. Se avanza con varios casos.
01/05/2024. Aún sin renovación de contrato. Se avanza con varios casos.
28/02/2024. Se consulta por renovación. Con el nuevo contrato se cerrará este.
23/01/2024. Avance con varios casos de soporte. 
---------------------------------------------------------------------------------
20/04/2023. Carga inicial del proyecto.Sin hs consumidas.
16/05/2023. Sin novedad.
30/05/2023. Sin novedad.
30/06/2023. Sin novedad.
03/08/2023. Sin novedad.
30/08/2023. Sin novedad.
17/10/2023. Reuniones para evaluar acción por cambio en lógica para considerar Recierres monofásicos fallidos. Varios otros casos.
03/11/2023. Se avanza en varios casos de soporte. 
01/12/2023. Avance con varios casos de soporte. 
04/01/2024. Avance con varios casos de soporte. </t>
    </r>
  </si>
  <si>
    <t>Q230050</t>
  </si>
  <si>
    <r>
      <t xml:space="preserve">VECTUS: Ultima rev. 8/09/2024
</t>
    </r>
    <r>
      <rPr>
        <sz val="10"/>
        <color rgb="FF000000"/>
        <rFont val="Arial"/>
        <family val="2"/>
      </rPr>
      <t>20/04/2023. Carga inicial del proyecto.Sin hs consumidas.</t>
    </r>
  </si>
  <si>
    <t>Compras de los NSD570 Realizadas</t>
  </si>
  <si>
    <t>Equipos llegaron a Cordoba - VECTUS importa el equipamiento - Se encuentra en Deposito VECTUS</t>
  </si>
  <si>
    <t>Ingeniaria Basica presentada</t>
  </si>
  <si>
    <t>Se establecen condiciones que debe cumplir VECTUS para poder avanzar con las Config para FAT</t>
  </si>
  <si>
    <t>VECTUS debe armar los equipos. El FAT de los NSD570 se debe realizar en conjunto con los SW y la ingeniaria de la red</t>
  </si>
  <si>
    <t>Estado parado, a la espera de que VECTUS entrega ingeniaria de los SW para poder realizar las CFG del FAT</t>
  </si>
  <si>
    <t>8/9/24 Sin novedad</t>
  </si>
  <si>
    <t>Q230056</t>
  </si>
  <si>
    <r>
      <rPr>
        <b/>
        <sz val="10"/>
        <color rgb="FF000000"/>
        <rFont val="Arial"/>
        <family val="2"/>
      </rPr>
      <t xml:space="preserve">Ultima rev. 27/12/2023    PAE Retrofit  TPU y GPU Z1 y CD1
</t>
    </r>
    <r>
      <rPr>
        <sz val="10"/>
        <color rgb="FF000000"/>
        <rFont val="Arial"/>
        <family val="2"/>
      </rPr>
      <t xml:space="preserve">12/06/2023   1 - Fecha Relevamiento : 26/06/2023  Se envió nota diciendo que se proyectrará
                     2 -  Ya se compraron equipos. Fecha de entrega antes de fin de año.
26/06/2023   1 - verificar si los FINDERs deben ser o no incluidos en la provision (no esta incluido en la oferta)
                     2 - verificar con PM fechas de entrega de IEDs y de entrega total
11/07/2023   INFORME DE RELEVAMIENTO : Se agregaron Borneras y Reles Aux y no estan documenatdos. Definición de PAE 
                     sobre CAO a tomar?
25/08/2023   Pedir los seteos de protecciones de acuerdo al nuevo sistema de protecciones. Pasarles listado de funciones a entregar 
                     y manuales de las protecciones. Con la recepcion de los viejos ajustes hacer pedido de nuevos ajustes.
18/09/2023  Ingenieriá Básica , estaría para esta semana. 
                    Se pidio el listado de nodos , datos de la red , IPs, Technical Keys. Todavía no hay respuesta 
                    Se recibieron los estudios preliminares de coordinacion de protecciones,etc. Ya los tiene Enzo Diaz para revisión.
22/09/2023  Se emite Informe de Relevamiento en Sitio realizado por Daniel Turco.
28/09/2023  Se emite la Ingeniería del Tablero TPCM1 de CT Cerro Dragón 1 
06/10/2023  Se emite la Ingeniería del Tablero TPCM1 de CT ZORRO 1
12/10/2023  Se emite la Ingeniería de los Tableros TPCM2 de CT ZORRO 1 y TPCM3 de CT ZORRO 1 
23/10/2023  Se emite la Ingeniería del Tablero TPCM3 de CT Cerro Dragón 1
14/11/2023  Supervisores de bobina de FInder ya en stock (8 unidades);
                    IEDs en Ezeiza, sin SIRA colocada aún. 60 días mínimo aprox
                    Confirmación por parte de JJH que se cargan las horas y costos de los trabajos tercerizados.
22/11/2023  A raiz del envío de la ingeniería de los tableros PAE comenta cuales son sus acciones a seguir :
                     - Validar Ia ingeniería de TCPM CD1-ZR1 (pasó a Ingeniería de operaciones) 
                     - Contratación de Ingeniería SCADA HITACHI (Ya tienen la cotización original). Pedir a HE fecha de inicio de tareas 
                     - FAT tablero TCPM CD1-ZR1 y proteciones en Fabrica HITACHI, ver la posibilidad de pruebas con SCADA 
                     - Gestión temprana de Repuestos de tableros TCPM CD1-ZR1
                     - Elaborar plan de ejecución para intervención de protecciones TGs Solar
                     - Contratación de 2da ETAPA de Migración (Protecciones de interconexión entre ZR1-ZR2, CD2-ZR1 y 
                       CD2-CD1
14/12/2023   Reunion adicionales SCADA y 2da ETAPA retrofit (Prot diferencial con interconexiones)  EK, JRDV, DB,
                     Matias Megide,
                     Pablo Avolio).  A la Espera de nuevas cotizaciones y reprogramacion de cronograma. 
                     PAE quiere FAT  Retrofit original conjunto con SCADA
22/12/2023   IEDs y Finders en Stock de Planta
                     Definimos con Servicios : 
                                                              Protocolos FAT  : 06/02 al 07/02
                                                              Pre Fat               : 27/02 al 29/02
                                                              FAT                    : 4/3 al 22/3
27/12/2023   PM pide adelantar Trabajos 
08/01/2024   Se aprueba toda la Ingeneria de Detalle de HW.
15/01/2024   Nuevo cronograma :  Empezar la Ingeniería de SW a mediados de febrero, ver como se acoplan los 
                     ensayos. 
20/02/2024   se definen la Ingenieria de SW :
			§ Configuración de los REC670   del    29/02  al 08/03
			§ Configuración de los REG670   del   29/02  al  08/03
05/03/2024 Alexis Andrada comienza con las configuraciones de los IEDs                       
			</t>
    </r>
    <r>
      <rPr>
        <b/>
        <sz val="10"/>
        <color rgb="FF000000"/>
        <rFont val="Arial"/>
        <family val="2"/>
      </rPr>
      <t xml:space="preserve">§ Configuración de los REC670   del    05/03  al 20/03
			§ Configuración de los REG670   del   05/03  al  20/03
</t>
    </r>
    <r>
      <rPr>
        <sz val="10"/>
        <color rgb="FF000000"/>
        <rFont val="Arial"/>
        <family val="2"/>
      </rPr>
      <t>19/03/2024 En principio se mantiene la fecha del</t>
    </r>
    <r>
      <rPr>
        <b/>
        <sz val="10"/>
        <color rgb="FF000000"/>
        <rFont val="Arial"/>
        <family val="2"/>
      </rPr>
      <t xml:space="preserve"> FAT 03/04 
</t>
    </r>
    <r>
      <rPr>
        <sz val="10"/>
        <color rgb="FF000000"/>
        <rFont val="Arial"/>
        <family val="2"/>
      </rPr>
      <t xml:space="preserve">                    a fin de esta semana se emiten las configuraciones y los protocolos de ensayo, y quedamos a la espera de 
                    aprobaciones. De ahi (dependiendo de FAT de PEPE VI) definiremos si mantenemos la fecha 03/04
</t>
    </r>
    <r>
      <rPr>
        <b/>
        <sz val="10"/>
        <color rgb="FF000000"/>
        <rFont val="Arial"/>
        <family val="2"/>
      </rPr>
      <t xml:space="preserve">
                   FAT  </t>
    </r>
    <r>
      <rPr>
        <sz val="10"/>
        <color rgb="FF000000"/>
        <rFont val="Arial"/>
        <family val="2"/>
      </rPr>
      <t xml:space="preserve">  a cargo de   Froy Sarasi
</t>
    </r>
    <r>
      <rPr>
        <b/>
        <sz val="10"/>
        <color rgb="FF000000"/>
        <rFont val="Arial"/>
        <family val="2"/>
      </rPr>
      <t xml:space="preserve">
</t>
    </r>
    <r>
      <rPr>
        <sz val="10"/>
        <color rgb="FF000000"/>
        <rFont val="Arial"/>
        <family val="2"/>
      </rPr>
      <t xml:space="preserve">                        Recep+Configuraciones+Protocolizacion Ajustes     del  03/04  al  05/04 
                        PRE-FAT                                                                    del  08/04  al  12/04
                        FAT Ensayos con asistencia Remota cliente             del  15/04  al  19/04
20/03/2024  Se envia al cliente invitación para FAT
21/03/2024  Participaran en forma Remota Nicolas Ferrero, Franco Ponce, Carlos Gutierrez
26/03/2024  Se pasan materiales del Stock al LAB
19/04/2024 Finaliza FAT de P&amp;C de 3 tipicos :
		○ REG670 correspondiente al TG01 de  ZR1 
		○ REC670 correspondiente al TG01 de  ZR1 
		○ REC670 correspondiente al TG05 de  CD2
10/05/2024 Conforme a lo acordado con PAE, se despacharan los IEDs a partir del 15/05, excepto los 3 ensayados 
                   en P&amp;C, que quedarán para el futuro FAT de SCADA
21/05/2024  Problemas por rechazo de facturas de certificaciones anteriores impiden el despacho de los tableros.
25/06/2024 Q230056 Retrofit PAE - Hablar con Matias Magide por nuevo alcance en los IEDs de CR1 y ZR1, como 
                    impacto de la Nueva DAG/DAC (Proyecto de JRdV). 
           Esto nos impactaría sobre el nuevo proyecto de PES y SCADA de estas protecciones
           PAE necesita hacer un agregado en las protecciones de bahía correspondiente a los generadores de CD1-ZR1.  
           Quieren saber sobre la factibilidad de agregarlo a la provisión.
Dado que se está avanzando con la implementación del sistema DAG/DAC, también provisión de Hitachi. Nos gustaría que se deje prevista una bornera libre de potencial para la interacción con el PLC.
Esto es a fin de minimizar futuras intervenciones en los tableros.
La misma debería ser del tipo seccionable y contar con las siguientes señales disponibles:
	· Emisión de disparo al PLC desde la protección.
	· Recepción de disparo DAG cableado a la matriz del panel.
 Podría involucrar la intervencion en la configuracion de los IEDs y en la Ingenieria del tablero para que contemple esas Entradas/salidas de cada IED desde y hacia el PLC de DAG.
	· Ver si las alarmas de DAG las da el PLC o tambien el IED ---&gt;  Las dá el PLC
	· Ver si necesita configuracion de IEDs para que mande algun reporte de alarma y si necesita mapear entrada y salida requerida ---&gt; configuracion mínima de reservar una entrada digital
JRdV y EstebanRS van a estudiar las implicancias de la DAG/DAC en el retrofit (IEDs e Ingenieria)
</t>
    </r>
  </si>
  <si>
    <t xml:space="preserve"> </t>
  </si>
  <si>
    <t>Q240000</t>
  </si>
  <si>
    <r>
      <t xml:space="preserve">OP TRANSBA Dolores y M. de Ajo: Ultima rev. 8/09/2024
</t>
    </r>
    <r>
      <rPr>
        <sz val="10"/>
        <color rgb="FF000000"/>
        <rFont val="Arial"/>
        <family val="2"/>
      </rPr>
      <t>20/04/2023. Carga inicial del proyecto.Sin hs consumidas.</t>
    </r>
  </si>
  <si>
    <t>Compras realizadas ETL600 - MCD80</t>
  </si>
  <si>
    <t>Ingenieria presentada - Aprobada</t>
  </si>
  <si>
    <t>Fabricacion de los armarios</t>
  </si>
  <si>
    <t>Ensayo FAT realizado. Proxima entrega de armarios y equipos de playa - Se entrega en las ET</t>
  </si>
  <si>
    <t>8/8/24. Posible SAT en Septiembre</t>
  </si>
  <si>
    <t>Semana 2/9 se realiza SAT enlace Dolores-Las Armas. Se estima en Octubre SAT de M.de Ajo-Pinamar</t>
  </si>
  <si>
    <t>Q240001</t>
  </si>
  <si>
    <r>
      <rPr>
        <sz val="9"/>
        <color rgb="FF000000"/>
        <rFont val="Arial"/>
        <family val="2"/>
      </rPr>
      <t xml:space="preserve">Fecha inicio proyecto: 16/05/23
</t>
    </r>
    <r>
      <rPr>
        <b/>
        <sz val="9"/>
        <color rgb="FF000000"/>
        <rFont val="Arial"/>
        <family val="2"/>
      </rPr>
      <t xml:space="preserve">
Rev. 11/07/24
</t>
    </r>
    <r>
      <rPr>
        <sz val="9"/>
        <color rgb="FF000000"/>
        <rFont val="Arial"/>
        <family val="2"/>
      </rPr>
      <t>Las horas de ingeniería de control se han desviado un porcentaje manejable.
Las hs de FAT protecciones se desviaron por pedidos extemporáneos muy dificiles de reclamar</t>
    </r>
    <r>
      <rPr>
        <b/>
        <sz val="9"/>
        <color rgb="FF000000"/>
        <rFont val="Arial"/>
        <family val="2"/>
      </rPr>
      <t xml:space="preserve">
</t>
    </r>
    <r>
      <rPr>
        <sz val="9"/>
        <color rgb="FF000000"/>
        <rFont val="Arial"/>
        <family val="2"/>
      </rPr>
      <t>Cursos de capacitación (ver como se negocian en relación a los adicionales)</t>
    </r>
  </si>
  <si>
    <t>Q240004</t>
  </si>
  <si>
    <r>
      <t>Ultima rev.</t>
    </r>
    <r>
      <rPr>
        <b/>
        <sz val="10"/>
        <color rgb="FF000000"/>
        <rFont val="Arial"/>
        <family val="2"/>
      </rPr>
      <t xml:space="preserve"> 5/9/2024</t>
    </r>
    <r>
      <rPr>
        <sz val="10"/>
        <color rgb="FF000000"/>
        <rFont val="Arial"/>
        <family val="2"/>
      </rPr>
      <t xml:space="preserve">
5/10/2023. Primera revisión de Hs. Se realizaron las compras.                                                                                                                                                       6/12/2023. Sin novedades.                                                                                                                                                                                                          30/01/2024. Se presentó la ingeniería básica.                                                                                                                                              7/03/2024. A la espera de la aprobación de la ingeniería básica.                                                                                                       2/05/2024. Se presentó la totalidad de la ingeniería.                                                                                                                                                   3/07/2024. Se recibieron y contestaron observaciones, a la espera de la respuesta                                                             5/09/2024. A la espera de definiciones de Incopa/Transpa para definir adicionales. Se comienza la fabricación.                                                                         </t>
    </r>
  </si>
  <si>
    <t>QS24006</t>
  </si>
  <si>
    <r>
      <rPr>
        <b/>
        <sz val="10"/>
        <color rgb="FFFF0000"/>
        <rFont val="Arial"/>
        <family val="2"/>
      </rPr>
      <t xml:space="preserve">Ultima rev. 23/09/2024
</t>
    </r>
    <r>
      <rPr>
        <sz val="10"/>
        <rFont val="Arial"/>
        <family val="2"/>
      </rPr>
      <t xml:space="preserve">23/09/2024. Ajuste las horas de ingeniería totales porque estamos a punto de finalizar los ensayos de los entregables. Dejaremos las horas LE negativas para registrar las horas consumidas reales. Los servicios quedaron para el 2025 en la TG1 por lo que seguimos trabajando en el soporte a la ingeniería realizada por CTLLL y Ariel esta siguiendo el tema financiero por cambio de tarifa de servicios.
======================================================================
</t>
    </r>
    <r>
      <rPr>
        <sz val="10"/>
        <color rgb="FF000000"/>
        <rFont val="Arial"/>
        <family val="2"/>
      </rPr>
      <t>04/09/2024. Ajuste las horas de ingeniería totales porque estamos a punto de finalizar los ensayos de los entregables. Dejaremos las horas LE negativas para registrar las horas consumidas reales. Los servicios quedaron para el 2025 en la TG1 por lo que seguimos trabajando en el soporte a la ingeniería realizada por CTLLL y Ariel esta siguiendo el tema financiero por cambio de tarifa de servicios.
======================================================================
26/07/2024. Ajuste las horas de ingeniería totales porque estamos a punto de finalizar los ensayos de los entregables. Dejaremos las horas LE negativas para registrar las horas consumidas reales. Los servicios quedaron para el 2025 en la TG1 por lo que seguimos trabajando en el soporte a la ingeniería realizada por CTLLL y Ariel esta siguiendo el tema financiero por cambio de tarifa de servicios.
======================================================================
29/05/2024. Las horas LE corresponden a la realización de configuraciones y seguimiento del proyecto. En este proyecto se balancearán las horas de ingeniería protecciones y LE ya que por una disponibilidad de recurso de ingenería de protecciones para generación y por eso las horas de LE se restarán de las de ingeniería protecciones para mantener el saldo constante. Dejaremos las horas LE negativas para registrar las horas consumidas reales. Los servicios quedaron para el 2025 en la TG1 por lo que seguimos trabajando en el soporte a la ingeniería realizada por CTLLL y Ariel esta siguiendo el tema financiero por cambio de tarifa de servicios.
======================================================================
24/04/2024. Las horas LE corresponden a la realización de configuraciones y seguimiento del proyecto. En este proyecto se balancearán las horas de ingeniería protecciones y LE ya que por una disponibilidad de recurso de ingenería de protecciones para generación y por eso las horas de LE se restarán de las de ingeniería protecciones para mantener el saldo constante. Dejaremos las horas LE negativas para registrar las horas consumidas reales. Se realiz{o la primera etapa de FAT pero apuntamos a realizar el FAT del resto del equipamiento. Los servicios quedaron para el 2025 en la TG1 por lo que seguimos trabajando en el soporte a la ingeniería realizada por CTLLL y Ariel esta siguiendo el tema financiero por cambio de tarifa de servicios.
======================================================================
05/04/2024. Las horas LE corresponden a la realización de configuraciones y seguimiento del proyecto. En este proyect ose balancearán las horas de ingeniería protecciones y LE ya que por una disponibilidad de recurso de ingenería de protecciones para generación y por eso las horas de LE se restarán de las de ingeniería protecciones para mantener el saldo constante. Dejaremos las horas LE negativas para registrar las horas consumidas reales.
----------------------------------------------------------------------------------------------------------------------------------------------------
23/02/2024. Las horas LE corresponden a la realización de configuraciones y seguimiento del proyecto. En este proyect ose balancearán las horas de ingeniería protecciones y LE ya que por una disponibilidad de recurso de ingenería de protecciones para generación y por eso las horas de LE se restarán de las de ingeniería protecciones para mantener el saldo constante. Dejaremos las horas LE negativas para registrar las horas consumidas reales.
====================================================================================
07/02/2024. Las horas LE corresponden a la realización de configuraciones y seguimiento del proyecto. En este proyect ose balancearán las horas de ingeniería protecciones y LE ya que por una disponibilidad de recurso de ingenería de protecciones para generación y por eso las horas de LE se restarán de las de ingeniería protecciones para mantener el saldo constante. Dejaremos las horas LE negativas para registrar las horas consumidas reales.
------------------------------------------------------------------------------------------------------------------------------
27/12/2023. Las horas LE corresponden a la realización de configuraciones y seguimiento del proyecto. En este proyectose balancearán las horas de ingeniería protecciones y LE por una disponibilidad de recurso de ingenería de protecciones para generación y por eso las horas de LE se restarán de las de ingeniería protecciones para mantener el saldo constante. Dejaremos las horas LE negaritas para registrar las horas consumidas reales.
-------------------------------------------------------------------------------------------------------------------------------------------------------
29/11/2023. Las horas LE corresponden a la realización de configuraciones
-------------------------------------------------------------------------------------------------------------------------------------------------------
08/11/2023. El tema de ajustes aún pendiente. las configuraciones las estoy haciendo yo que se compensarán con las horas de ingeniería de protecciones. Las horas de fábrica fueron para modificar las RTXP24 (debemos considerar en próximos proyectos horas de fábrica)
-------------------------------------------------------------------------------------------------------------------------------------------------------
25/09/2023. Hay muchas horas de LE por la gestión que estoy regulando. El tema de ajustes aún pendiente y programar la realización de las configuraciones ya que es un hito de facturación. Tuivimos que usar horas de fábrica para modificar las RTXP24 (debemos considerar en próximos proyectos horas de fábrica)
-------------------------------------------------------------------------------------------------------------------------------------------------------
07/08/2023. Este proyecto consumirá horas de LE dadoa la venta del concepto de "Gestión de proyectos". Tenemos que resolver el tema de los ajustes ya que PE insiste que con los ajustes que nos dieron consideran que era más que suficiente ademas de que nos hagamos cargo de los relés auxiliares que pòdrían necesitarse por las señales necesarias para el sistema de control.
-------------------------------------------------------------------------------------------------------------------------------------------------------
09/06/2023. Carga inicial del proyecto con valores del preclaculo OPP-18-2253659_P7_Sistema P&amp;C E.T Transclor.xlsm</t>
    </r>
  </si>
  <si>
    <t>Q230054</t>
  </si>
  <si>
    <r>
      <rPr>
        <b/>
        <sz val="10"/>
        <color rgb="FF000000"/>
        <rFont val="Arial"/>
        <family val="2"/>
      </rPr>
      <t xml:space="preserve">Ultima rev. 23/09/2024
</t>
    </r>
    <r>
      <rPr>
        <sz val="10"/>
        <color rgb="FF000000"/>
        <rFont val="Arial"/>
        <family val="2"/>
      </rPr>
      <t>04/01/2023. Carga inicial del proyecto.
28/11/2023. Falta hacer FAT y los cambios en el Nivel 3.
29/01/2024. Se finaliza la ingeniería y se coordina FAT para el 14/2.
23/09/2024. Se recibe adicional por cambios y por COMM. Se espera PES para el 21/10.</t>
    </r>
  </si>
  <si>
    <t>Q240003</t>
  </si>
  <si>
    <r>
      <rPr>
        <b/>
        <sz val="10"/>
        <color rgb="FF000000"/>
        <rFont val="Arial"/>
        <family val="2"/>
      </rPr>
      <t xml:space="preserve">Ultima rev. 23/09/2024
</t>
    </r>
    <r>
      <rPr>
        <sz val="10"/>
        <color rgb="FF000000"/>
        <rFont val="Arial"/>
        <family val="2"/>
      </rPr>
      <t>04/01/2023. Carga inicial del proyecto.
28/11/2023. Se están finalizando los funcionales. Se esperan las aprobaciones para comenzar a fabricar.
29/01/2024. Se comienza la fabricación. Se emiten todos los funcioneales menos extremo BOL.
23/09/2024. Se comienza la PES del lado PE.</t>
    </r>
  </si>
  <si>
    <t>Q240005</t>
  </si>
  <si>
    <t>ET AMPAJANGO: Ultima Rev. 8/9/2024</t>
  </si>
  <si>
    <t>Compras de los ETL600 Realizadas</t>
  </si>
  <si>
    <t>Pendiente compra equipos de playa - DTLC, CC MCD80</t>
  </si>
  <si>
    <t>Faltan recibir respuestas y datos tecnicos - No responde el Cliente (MONTI)</t>
  </si>
  <si>
    <t>Se propone caracteriticas de las DTLC - Sin respuesta</t>
  </si>
  <si>
    <t>140+40</t>
  </si>
  <si>
    <t>Faltan datos Tecnicos para compra de CC y MCD80</t>
  </si>
  <si>
    <t>Reclamo del PM al MONTI - sin respuesta</t>
  </si>
  <si>
    <t>14/5 se realizo reunion con Monti: Lsa obra esta parada, en 60/70 dias esperan que se acepten los mayores costos y se reinicie la obra. No tienen definiciones sobre quien será el inspector, la provincia Catamarca quiere a Transnoa</t>
  </si>
  <si>
    <t>8/8/24 Parado Sin novedad</t>
  </si>
  <si>
    <t>8/9/24: Queda suspendido la obra - El PM envía nota al cliente suspendiendo el proyecto</t>
  </si>
  <si>
    <t>Q240006</t>
  </si>
  <si>
    <r>
      <rPr>
        <b/>
        <sz val="10"/>
        <color rgb="FF000000"/>
        <rFont val="Arial"/>
        <family val="2"/>
      </rPr>
      <t xml:space="preserve">Ultima rev. : 27/12/2023     EDERSA - RTU+3 switches
</t>
    </r>
    <r>
      <rPr>
        <sz val="10"/>
        <color rgb="FF000000"/>
        <rFont val="Arial"/>
        <family val="2"/>
      </rPr>
      <t xml:space="preserve">11/09/2023. Carga inicial del proyecto (HOM 30/08/2023).  OC 07/08/2023
                     Pedido de información a B&amp;P sobre tiempos de entrega de materiales (RTU, Switches, materiales menores)
18/09/2023  Se amplía el plazo de entrega a 180 dias por  confirmación d eplazos de entrega RTU y Switches.
                    Elenco listo para emitir con la nota de inicio d eproyecto.  
                    Se encuentra avanzada la  Lista de HW y SW. Ya se la entregó a Irene para seguimiento de materiales.
                     Quedamos a la espera de la confirmación del cliente respecto a la extensión de plazos para salir a comprar los  
                     materiales.
19/09/2023   Se envía el Elenco para completar con códigos EDERSA.
25/10/2023   Reunión de ingeniería : Se define para DICIEMBRE : 
                         * 1 Semana de Ingeniería
                         * 1 Semana de Fabricación
                         * 3 dias de FAT
24/10/2023  Se emite Lista de HW y SW Rev.A  para aprobación final.
14/11/2023  RTU arribada a la espera de aprobación de SIRA, 45 a 60 días aprox; 
                    SWITCHES por salir de origen, SIRA no colocada aún. 
11/12/2023  </t>
    </r>
    <r>
      <rPr>
        <b/>
        <sz val="10"/>
        <color rgb="FF000000"/>
        <rFont val="Arial"/>
        <family val="2"/>
      </rPr>
      <t xml:space="preserve">RTU y Switches en Stock de Planta
</t>
    </r>
    <r>
      <rPr>
        <sz val="10"/>
        <color rgb="FF000000"/>
        <rFont val="Arial"/>
        <family val="2"/>
      </rPr>
      <t xml:space="preserve">12/12/2023  JJH define a Dario Baldini para ingeniería de Ctrol (1 semana)
27/12/2023  FABRICACION : 5 days	Tue 23-01-24	Mon 29-01-24
11/01/2024  Falta Módulo Power Supply 560PSD01 en la provision
16/01/2024  Se emite al cliente la Ingenieria del Tablero RTU
17/01/2024  Devolución del cliente solicitando algunos cambios en la disposicion de elementos dentro del panel. Tambien colocar
                    el nombre de la ET a la que corresponde la RTU :  ET2ZO – ET Zanjón de Oyuela
25/01/2024   Se emite al cliente la Ingenieria del tablero RTU Rev.A
26/01/2024   otro cambio, el módulo de DI debe ser  de 110 VDC y no 24-60 VDC
26/01/2024   Se re-emite la Rev.A con la modificacion
08/02/2024 
	               •  Fabricación :
	                            </t>
    </r>
    <r>
      <rPr>
        <b/>
        <sz val="10"/>
        <color rgb="FF000000"/>
        <rFont val="Arial"/>
        <family val="2"/>
      </rPr>
      <t xml:space="preserve"> Nombre de tarea	Semaforo	  Duration	        Start	            Finish
</t>
    </r>
    <r>
      <rPr>
        <sz val="10"/>
        <color rgb="FF000000"/>
        <rFont val="Arial"/>
        <family val="2"/>
      </rPr>
      <t xml:space="preserve">	                             Fabricación - Local	No comenzó	   5 days	          Fri 09-02-24  	Fri 16-02-24
	               • Ensayos FAT :
                                  </t>
    </r>
    <r>
      <rPr>
        <b/>
        <sz val="10"/>
        <color rgb="FF000000"/>
        <rFont val="Arial"/>
        <family val="2"/>
      </rPr>
      <t xml:space="preserve">   Nombre de tarea	   Semaforo	          Duration	        Start	              Finish
</t>
    </r>
    <r>
      <rPr>
        <sz val="10"/>
        <color rgb="FF000000"/>
        <rFont val="Arial"/>
        <family val="2"/>
      </rPr>
      <t xml:space="preserve">                                     	Prefat	                   No comenzó	           2 days	          Mon 19-02-24	Tue 20-02-24
                                      Ensayo con cliente       No comenzó	           3 days	          Wed 21-02-24	Fri 23-02-24
Tareas EK :  
Pedir espacio en LAB para FAT RTU desde mierc
 seguimiento de fin de fabricacion ----&gt; Javier Toledo informa
 traslado tablero desde Fabrica a Lab ----&gt; Gestión PM (AC)
22/02/2024  RTU ya lista en Fabrica.  PM debe hacer gestiones con logística para enviarla al LAB.
                       Encargado del ensayo :  Dario Baldini
                       Ensayos FAT , invitacion cliente presencial/virtual 28/02/2024
23/02/2024 Está faltando agregar en la RTU un multimedidor. Sólo se incluyó uno solo de SSAA. El 2do es para SSAA y                   
                      está en el Stock
                          QA1KGT028000R0055	Modelo 560CVD03 R0055
   Reunión entre  Javier, Dario y EK para definir la nueva configuracion de la RTU.
   JT saca  el Multimedidor del Stock , Baldini reacomoda la Ingeniería. 
   VA a estar modificada en FAB para lunes/martes… Miercoles FAT
27/02/2024  RTU terminada, ya en LAB
                       Dario Baldini propone hacer el ensayo el Jueves 29/02  Se hace el 28/02
28/02/2024  Se realizaron el Miércoles 28/02 satisfactoriamente de manera interna, sin la participación del cliente de RTU y 3 Switches.
                       Se entrega al PM protocolos firmados 
29/02/2024   Restituir SD con Licencia extraviada.  Se debe comprar .
                        Alternativas :
			                     § Pedirla completa (SD + Licencia)     Puede llevar varios meses
			                     § Pedir solo la Licencia y comprar SD local      puede llevar pocos dias
		     Hablarlo con el PM (AC)
                     JT insiste que la tarjeta SD tiene que aparecer. 
                     Reveer los procedimientos de entrega de Logistica-Fabrica-Laboratorio. Evidentemente se perdió en ese 
                     camino y no hay forma de detectar donde quedo la SD extraviada.
19/03/2024  Comienza el embalaje/entrega de RTU, sin SD+Licencia. Ya se generó SOLPED por esta.
04/04/2024    RTU embalada para entrega al cliente
                         Quedan para este mes de abril :
			§   Tarjeta SD + Licencia SW
			§   CAF
09/05/2024   Tarjeta SD ya en stock. Se procederá al despacho la semana dek 13/05
13/05/2024  SD y CAF  listas para ser despachada/enviada.
11/06/2024  Pedir Licencia para el Software “HITACHI / Multiprog 5 - 1KGT038500R0001”  que estaba ofertado.
03/07/2024  La licencia y su llave ya están en stock
03/07/2024   EDERSA (Ramiro Rovere) está teniendo problemas con la configuración de la RTU. En el WEB server le tira  invalidas algunas placas.  
Dario Baldini les envia el programa utilizado en el ensayo FAT y tambien la versión de RTU Útil 12.7.4.0
El programa pudo superar las pruebas de Hw presentadas en el protocolo y no debería tener inconvenientes.
Por lo que pudimos visualizar en el web browser, no esta tomando los módulos, eso es raro y te toma algunos de los últimos dejando algunos del medio sin visualizar. Eso parecería indicar que el bus de la RTU funciona hasta los BO como mínimo.
 DB sugiere revisar  separación entre módulos por las dudas.
12/07/2024  Se hacen pruebas remotas cambiando las placas de ubicacion , y se llega a la conclusión que hay una placa con problemas (Que invalida a las que le siguen).
19/07/2024 Se pide a Fabrica que actúe la garantía para reemplazar la dañada en lo inmediato. Estimamos que la nueva placa demorara de 4 a 6 semanas minimo
04/09/2024  Se arregla el envio del módulo de la RTU  520BID01 Binary Input 110/125VDC desde Suecia. 
                       Quedamos a la espera
</t>
    </r>
  </si>
  <si>
    <t>ET LOS MOLLES: Ultima Rev. 8/9/2024</t>
  </si>
  <si>
    <t>Compras Realizadas ETL600, DTLC, CC y MDC80</t>
  </si>
  <si>
    <t>Definicion de alcance y tipos de equipos ETL600, nuevas ubicaciones de los armarios</t>
  </si>
  <si>
    <t>Presentada la ingeniaria de equipos de playa, se avanza con la nuevas frecuencias de los enlaces OP</t>
  </si>
  <si>
    <t>Presentada la ingenieria Basica, de armarios, manuales y protocolos de ensayo.</t>
  </si>
  <si>
    <t>1/8/24 Ingenieria Basica y Armaros aprobados. Comienza fabricacion</t>
  </si>
  <si>
    <t>FAT Previsto para Septiembre</t>
  </si>
  <si>
    <t>11/9/24 Se realiza FAT de los 3 armarios de OP</t>
  </si>
  <si>
    <t>100+18</t>
  </si>
  <si>
    <t>380+50</t>
  </si>
  <si>
    <t>Q240008</t>
  </si>
  <si>
    <r>
      <t>Ultima rev.</t>
    </r>
    <r>
      <rPr>
        <b/>
        <sz val="10"/>
        <color rgb="FF000000"/>
        <rFont val="Arial"/>
        <family val="2"/>
      </rPr>
      <t xml:space="preserve"> 5/9/2024</t>
    </r>
    <r>
      <rPr>
        <sz val="10"/>
        <color rgb="FF000000"/>
        <rFont val="Arial"/>
        <family val="2"/>
      </rPr>
      <t xml:space="preserve">
3/7/2024. Primera revisión de Hs. Se realizaron las compras.                                                                                                     5/9/2024. Se emitió la ingeniería general.                                                                                                                                          </t>
    </r>
  </si>
  <si>
    <t>Q240009</t>
  </si>
  <si>
    <r>
      <t>Ultima rev.</t>
    </r>
    <r>
      <rPr>
        <b/>
        <sz val="10"/>
        <color rgb="FF000000"/>
        <rFont val="Arial"/>
        <family val="2"/>
      </rPr>
      <t xml:space="preserve"> 5/9/2024</t>
    </r>
    <r>
      <rPr>
        <sz val="10"/>
        <color rgb="FF000000"/>
        <rFont val="Arial"/>
        <family val="2"/>
      </rPr>
      <t xml:space="preserve">
3/7/2024. Primera revisión de Hs. Se realizaron las compras.                                                                                                        5/9/2024. Se emitió la ingeniería general                                                                                                                                               </t>
    </r>
  </si>
  <si>
    <t>QS24011</t>
  </si>
  <si>
    <r>
      <t>Ultima rev.</t>
    </r>
    <r>
      <rPr>
        <b/>
        <sz val="10"/>
        <color rgb="FF000000"/>
        <rFont val="Arial"/>
        <family val="2"/>
      </rPr>
      <t xml:space="preserve"> 5/9/2024                                                                                                                                                                                                       </t>
    </r>
    <r>
      <rPr>
        <sz val="10"/>
        <color rgb="FF000000"/>
        <rFont val="Arial"/>
        <family val="2"/>
      </rPr>
      <t xml:space="preserve">5/10/2023. Primera revisión de Hs. Se realizaron las compras.                                                                                                                                                  6/12/2023. Se realizó la ingeniería. Los materiales se encuentran demorados.                                                                                                                               30/1/2024. A la espera de los materiales                                                                                                                                                        7/3/2024. A la espera de los materiales                                                                                                                                        2/5/2024. Se fabricaron los equipos. Se está realizando el PreFat.                                                                                                                                    3/7/2024. Se realizó el Prefat                                                                                                                                              5/9/2024. Se realizó el Fat. Se cierra el proyecto                                                                     </t>
    </r>
  </si>
  <si>
    <t>QS24022</t>
  </si>
  <si>
    <r>
      <rPr>
        <b/>
        <sz val="10"/>
        <color rgb="FF000000"/>
        <rFont val="Arial"/>
        <family val="2"/>
      </rPr>
      <t xml:space="preserve">Ultima rev. 23/09/2024
</t>
    </r>
    <r>
      <rPr>
        <sz val="10"/>
        <color rgb="FF000000"/>
        <rFont val="Arial"/>
        <family val="2"/>
      </rPr>
      <t xml:space="preserve">23-09-2024. Se realiza la auditoría y falta pasar las horas. El contrato ya venció y se espera la renovación.
</t>
    </r>
  </si>
  <si>
    <t>OG</t>
  </si>
  <si>
    <t>QS24025</t>
  </si>
  <si>
    <r>
      <rPr>
        <b/>
        <sz val="10"/>
        <color rgb="FF000000"/>
        <rFont val="Arial"/>
        <family val="2"/>
      </rPr>
      <t xml:space="preserve">Ultima rev. 23/09/2024
</t>
    </r>
    <r>
      <rPr>
        <sz val="10"/>
        <color rgb="FF000000"/>
        <rFont val="Arial"/>
        <family val="2"/>
      </rPr>
      <t>23-09-2024. Se extiende el contrato por 3 meses con 110hrs más hasta el 30/11.</t>
    </r>
  </si>
  <si>
    <t>QS24032</t>
  </si>
  <si>
    <r>
      <rPr>
        <b/>
        <sz val="10"/>
        <color rgb="FFFF0000"/>
        <rFont val="Arial"/>
        <family val="2"/>
      </rPr>
      <t>Ultima rev. 19/09/2024 - SAT</t>
    </r>
    <r>
      <rPr>
        <b/>
        <sz val="10"/>
        <color rgb="FF000000"/>
        <rFont val="Arial"/>
        <family val="2"/>
      </rPr>
      <t xml:space="preserve">
</t>
    </r>
    <r>
      <rPr>
        <sz val="10"/>
        <color rgb="FF000000"/>
        <rFont val="Arial"/>
        <family val="2"/>
      </rPr>
      <t>Hs 1023 - 13/11/2023. Primera revisión de Hs. Se revisaron los IEDs para permitir las compras.                                                                                       
Hs 1223 - Salió la OC de IEDs el 16/11. Se tomará la ing y configuraciones del proyecto anterior Q190041. FAT Junio 2024
Hs 0124 - FAT Mayo 2024
Hs 0224 - Ingreso virtual, FAT Mayo 2024, revisar distribución de Hs informada por el PM
Hs 0324 - Ingreso virtual, FAT Mayo/Junio 2024. Emisión de elenco y revisión de Ing/Protocolos según WL
Hs 0424 - Preparación de protocolos y Configuraciones, ingreso de hs en Mayo.  FAT para Junio
Hs 0524 - FAT realizado sin cliente según lo planificado del 3 al 5/06, se emite doc para cierre y poder entregar los IEDs. Falta ver tema de llegada de chapas de montaje para entrega y certificar. Luego queda la PES durante la parada de planta, primavera 2024. 
Hs 0624 - Falta PES. El Cliente informa que la ventana de trabajo es entre el 23/09 al 21/10. Revisar entrega de chapas de montaje por problemas de pago con Burella.
Hs 0724 - Llegaron los accesorios de Montaje. Enzo propone y agenda asistencia a apartir del 23/09.
Hs 0824 - Revisar asistencia al SAT</t>
    </r>
  </si>
  <si>
    <t>QS24029</t>
  </si>
  <si>
    <r>
      <rPr>
        <sz val="10"/>
        <color rgb="FF000000"/>
        <rFont val="Arial"/>
        <family val="2"/>
      </rPr>
      <t>Ultima rev.:  11/01/2024 - EMSA Contrato de 180 hs de Mantenimiento
02/10/2023   HOM
                     OC 05/09/23 - Soporte Tecnico Telefónico a Demanda. 180 horas/año desde ofic L a V de 9 a 18 hs
                     Cliente - EMSA                        PM :  Ariel Cisneros
08/12/2023   Se fija Reunion para el 11/12/2023 con EMSA , AC y ED para definir el marco de los trabajos de integración de 3 ET.
13/12/2023   Reunión con EMSA  Ariel Cisneros, EK, Alejandro Fusco,  Mauro Nuñez, Camila Flami. 
                     Se fijaron alcances. Lista 3 ETs a Integrar : Pto Mineral, Posadas Centro, Maximo Paz o Itambaé Mini (2 de estas
                     ultimas 3, a medida que se les incorpore FO)
11/01/2024    El PM anuncia que el cliente no ha realizado los pagos pactados. No se empiezan los trabajos                      
11/01/2024  El PM anuncia que el cliente no ha realizado los pagos pactados. No se empiezan los trabajos
02/02/2024  En proceso de destrabarse el problema del pago (lo ocasiono HE). 
                       Para  ET Puerto Mineral :  3 a 4 días de preparación y 3 días de conexión remota para hacer las pruebas.
                       Disponibilidad de recursos : 
		       *  Wilmer España para esta desde el 18 de marzo al 27 de marzo inclusive
                       *  Alejandro Fusco a partir del 15/04 
19/03/2024  No se destraba el pago. Los recursos reservados para esta asistencia remota ya fueron ocupados por 
                    otros proyectos
05/04/2024  Se destraba pago. 
                        Ale Fusco ocupado hasta Junio
                        Wilmer España podria realizarlo antes
07/05/2024  Para la intervencion remota en Pto Mineral del 20/05 , se averió uno de los servidores. Según 
                       Wilmer, no habría problema en trabajar solamente sobre el COM500 del gateway Principal.
                        Los problemas en el servidor son :
			1- ​El SYS600 del sistema 1 tiene problemas en la placa de red, el equipo no se vincula a la red y el comportamiento de los puertos ethernet no es el adecuado. (adjunto Foto 1)
			2- El MicroSCADA funciona actualmente sobre el SYS600 sistema 2, el cual no presenta problemas de hardware. Aunque cuando accedimos a las herramientas de ingeniería &gt; COM 500 &gt; Signal References X (acusó una falla, adjunto Foto 2). Menciono esto porque nosotros cada vez que necesitamos "refrescar" datos en el Centro de Control de la ET Roca, la cual ya se encuentra implementada, siempre accedemos al Signal References X para activar/desactivar una pestaña que nos efectúa el proceso. Al resto de las herramientas de ingeniería accedimos sin problemas.
Asimismo con este problema presentado por el SYS600 S1 es probable que tengamos que despachar el equipo hacia la planta de Hitachi para su diagnóstico y posterior reparación.
13/05/2024  Hector Alvarado es designado para hacer la actualizacion del COM500 de la aplicacion MicroSCADA de la  
                    ET Puerto Mineral.
                    Se le pasó la planilla de señales a incorporar a la DB del COM500 e info de versiones de MicroSCADA y 
                    Windows
15/05/2024  Comparando el ultimo Backup que disponemos de la ET Pto Mineral (2021) vemos que la DB del COM500 
                    contiene todos los puntos solicitados por EMSA. Asi mismo coincide con la planilla enviada por ellos.  
                    Asi que no sabemos si la Integracion de dicha ET al PowerLink del CCR1 (SCADA Principal de EMSA) se 
                    basa en la reparación del COM500 corrupto o en el agregado de las señales indicadas por EMSA en el 
                    COM500.
20/05/2024  EMSA Comienza Intervención Remota Pto Mineral
                    Se llega a solucionar el problema del arranque del COM500 (Tenia archivos corruptos) 
21/05/2024  EMSA-Pto Mineral -  Se realiza el Backup y se analiza la conexion Serial-Slave Pto Mineral
                    Se analiza la conexión, y vemos que ellos tienen una conexión fisica Ethernet, por lo cual tendriamos 
                    problemas con el DNP3 esclavo Serial. Ver la posibilidad de conseguir un DNP slave DEMO para  probar  
                    los datos en el CCR1. y luego ofrecer un DNP3 slave ETHERNET para instalar permanentemente. 
28/05/2024  Se realizó la Intervención en el COM500 de Pto Mineral satisfactoriamente.
                    Se consumieron la siguiente cantidad de horas:
			§ 13/05 - 15/05 | 27hs | Preparacion BD COM500
			§ 20/05 - 21/05 | 12hs | Conexion Remota - Backup Proyecto y Solucion problema COM500
			§ 22/05               | 8hs | Conexion Remota - Ajuste y Configuracion de Enlace de Comunicacion por              
                                                              DNP3.0 LAN/WAN - Carga y ajuste de base de datos COM500
			§ 23/05               | 7hs | Conexion Remota - Ajuste de base de datos COM500, prueba de verificacion de 
                                                              puntos, backup proyecto finalizado.
02/06/2024  Se Pide presupuesto a Fabrica por el Upgrade del MicroSCADA para que contemple la comunicación 
                    “DNP3 LAN/WAN Slave” en lugar de “DNP3 Serial Slave”. Se cuenta con archivo .paf existente con detalle 
                     de los componentes a reemplazar y el detalle del código “Protocol Mask” que figura en dicho archivo.
12/06/2024   EMSA Pto Mineral - Desde fábrica nos indican que la licencia incluye 1 x DNP 3.0 LAN/WAN Master.
                        Coordinar con Servicios las siguientes tareas:
			§ Verificacion Sistema DB COM500 
			§ Instalacion .paf con DNP3 LAN/WAN Slave.  en el SY600c y luego desde la aplicacion configurarla
			§ Chequear y diagnosticar Sistema 2 ET Roca no envia datos al CCR1. Funciona bien en forma local.
27/06/2024  EMSA no ha pagado la facturas anteriores por este servicio. Quedamos a la espera del pago para poder 
                    proceder a instalar y configurar la licencia. 
                      Hasta el momento se han consumido</t>
    </r>
    <r>
      <rPr>
        <b/>
        <sz val="10"/>
        <color rgb="FF000000"/>
        <rFont val="Arial"/>
        <family val="2"/>
      </rPr>
      <t xml:space="preserve"> 54 Hs de asistencia para  integrar la ET Pto Mineral.
26/09/2024  Otto comunica que  EMSA ya pagó todo. Hubo un error de nuestra parte, pagaron en julio y nos avisaron ahora.
El PM está viendo con ventas si decide dar una pequeña prórroga. Buscaremos con Servicios (ED) de coordinar las sig. Tareas remotas para Octubre :
	• Actualizar la Licencia del MicroScada de Pto Mineral (para que pueda tener el módulo DNP3 ethernet.
	• Integrar una 2da estación al CCR1 (centro de Control Central) 
        • Integrar una 3ra estación al CCR1 (centro de Control Central)</t>
    </r>
  </si>
  <si>
    <t>QS24030</t>
  </si>
  <si>
    <r>
      <rPr>
        <b/>
        <sz val="10"/>
        <color rgb="FF000000"/>
        <rFont val="Arial"/>
        <family val="2"/>
      </rPr>
      <t xml:space="preserve">Ultima rev. 23/09/2024
</t>
    </r>
    <r>
      <rPr>
        <sz val="10"/>
        <color rgb="FF000000"/>
        <rFont val="Arial"/>
        <family val="2"/>
      </rPr>
      <t xml:space="preserve">23-09-2024. Se realiza la auditoría y se pasan las horas como ING. El contrato ya venció y se espera la renovación.
</t>
    </r>
  </si>
  <si>
    <t>QS24034</t>
  </si>
  <si>
    <r>
      <rPr>
        <b/>
        <sz val="10"/>
        <color rgb="FFFF0000"/>
        <rFont val="Arial"/>
        <family val="2"/>
      </rPr>
      <t>Ultima Rev. : 07/06/2024</t>
    </r>
    <r>
      <rPr>
        <b/>
        <sz val="10"/>
        <color rgb="FF000000"/>
        <rFont val="Arial"/>
        <family val="2"/>
      </rPr>
      <t xml:space="preserve"> </t>
    </r>
    <r>
      <rPr>
        <sz val="10"/>
        <color rgb="FF000000"/>
        <rFont val="Arial"/>
        <family val="2"/>
      </rPr>
      <t xml:space="preserve"> </t>
    </r>
    <r>
      <rPr>
        <b/>
        <sz val="10"/>
        <color rgb="FF000000"/>
        <rFont val="Arial"/>
        <family val="2"/>
      </rPr>
      <t xml:space="preserve">     PAE - BANCO CAPACITORES VALLE HERMOSO II
</t>
    </r>
    <r>
      <rPr>
        <sz val="10"/>
        <color rgb="FF000000"/>
        <rFont val="Arial"/>
        <family val="2"/>
      </rPr>
      <t xml:space="preserve">01/12/2023    HOM
                      OC 27/11/23     5 meses para FAT
                       Equipos en Stock (4 REC670 en stock, se usarán 2, agregar funciones de Capacitores). Falta tablero USIMETAL
                       Cliente - PAE - PGGI  (PM GI : Daniel Gonzalez,  PAE : Francisco Genovese)
                       PM :  Rogelio Villaverde
                       Integrar SwitchSync PWC600 (Señal cableada a REC670) quizas un viaje mas para integrarlo (oportunidad de negocio)
                       Capacitación de Protecciones , 2 dias en Sitio
                       Chequear ampliación SCADA 500 puntos en Nivel II y III
14/12/2023     Reunion Inicial con GI - EK, Rogelio Villaverde, Daniel Gonzalez
                       Pedido de Info actualizada
                       Plazos justos (solicitan FAT principios de Abril)
22/12/2023     FABRICACION :  Fines de Marzo
                       FAT                   :  Fines de Abril
22/12/2023     Se emite Ingeniería básica : Listado de HW y SW y Anexo 1 (REC670 Configuration Specification)
29/01/2024     Reunion JJH, JT y EK para coordinar cronograma      
30/01/2024     Se presenta cronograma actualizado de proyecto (PM y LE)
05/02/2024     Daniel Gonzalez (PM de GI) considera que la planificación anterior no es viable. 
                          La fecha de entrega del tablero comprometida entre GI con PAE  es del 08/04 , por orden de compra 
                          interna quedó el 15/05.
09/02/2024    Se Emite Ingenieria Tablero Banco Capacitores
                             Corregir :
					® Rótulos
					® Nombre proyecto
					® Cliente PAE en lugar de INGENER
                           JJH corregirá para el 14/02/2024  
14/02/2024    Se pasa la emision de las correcciones para el 15/02
19/02/2024  Se emite Ingenieria del tablero
20/02/2024  Daniel Gonzalez (PM de GI) insiste con que  "La fecha de entrega del tablero comprometida entre GI con
                    PAE  es del 08/04". 
                       EK responde :  
				La nueva fecha en la entrega de la Ingeniería de detalle del Tablero del Banco de capacitores, no 
                                tendrá ningún impacto en las obligaciones contractuales asumidas en este proyecto. 
                                El FAT se realizará dentro de los 5 meses desde la emisión de la OC,  comprometidos por este 
                                contrato.  No obstante ello, veremos la posibilidad de adelantar este cronograma para entregar el 
                                tablero el 08/04.
22/04/2024   Analisis para ver la posibilidad de adelantar Ingenieria FAB , FAT y SAT para que se entregue el 08/04
23/04/2024  Se aprueba Ingenieria del tablero Bco Capacitores, con los siguientes comentarios :
                     - En el Unifilar hay un Secc de Pta A tierra que no va donde se dibujó, sino que dentro de la Compact.
                     - Reemplazar todo el Cpo 1 por la Bahia Compact
29/02/2024  Pendientes de entregar (Ing de HW) :
			§ Arquitectura de Comunicaciones
			§ Planilla de cableado
05/03/2024  Reunion con Rogelio
                        1) Verificar con Javier la Ingenieria del tablero. Si falta algun material. 
                        2) Interconectividad fisica (eléctrica u óptica) con VHII/MicroScada Nivel II y II. (ver OPP) . Ubicación 
                            geográfica del tablero. FO  hasta el tablero? Necesidad de asistencia de Comm?  Hablar con Andres
                           CONECTORES de FO  Tipo LC
14/03/2024  Reunion revision de recursos para FAT y SAT
· QS24034 – VH II – Banco de Capacitores (Se emiten configuraciones la semana siguiente y se debe adecuar BD de VH que termina el SAT 23/03)
Fecha de comienzo FAT            15/4
FAT                              1 semana                     (1P+1C)
Se suma persona de control para este FAT.
16/04/2024  Nuevas fechas FAT :
		○ FAT de cableado y configuración: 27 al 29 de Mayo inclusive
		○ FAT de adecuación Scada 30 y 31 de Mayo
22/04/2024  Modificar Ingenieria 
Ver mail Adrien Sergent  22/04 :
	Revisando la parte switch sync en el constructivo del tablero TPCM7, creo que habría que realizar las siguientes correcciones:
		○ De acuerdo con el manual del PWC600 habría que invertir la conexión a bornes AI para medición de corriente (hojas 42/43 del pdf).
		○ Se debe usar la tensión compuesta que viene de barra como referencia de tensión y no la tensión lado carga (hojas 42/43 del pdf).
		○ Los comandos de cierre/apertura deberían ir directamente a las bobinas del interruptor por eso sugerimos sacar los relés K9, K10, K11, K12 y usar directamente la tensión PC1.
Ver tambien nomenclatura exacta de equipos de maniobras y nro de campo (7 o 1??)
02/05/2024
   Conversacion con Gonzalo Traba de INGENER :
		○  Banco de capacitores  no va a estar en campo 7 (TCPM7),  sino campo 1 (TCPM1)
		○  Envía Fotos de la sala despues de la ampliacion 
09/05/2024  Reunion por comunicacion del tablero con SYS600  (PAE, INGENER, GI) :	
                    PAE verá si dispone de Switch
20/05/2024  Reunion de Traspaso desde INGENIERIA (Francisco Estrada) a SERVICIOS (Leonel González)  para FAT
                    Leonel comienza PreFAT el jueves 23/05
                    Reunion para ver modificaciones en la Configuracion de los IEDs en el Q230035 y como impactan en el 
                    Qs224034
20/05/2024  Genovese, Francisco  propone usar el FOX650 como switch (usar RJ45 libres) y protocolo DNP3. A lo que 
                    se le responde via GI lo siguiente :
La operación en DNP3.0 no estaba prevista, ya que en nuestra oferta figura la integración en IEC61850. Este nuevo pedido de PAE trae varios problemas, ya que: 
	- Toda la operación de VHII está en IEC61850 (es lo que está ya operativo después de los SAT realizados del 
           proyecto con Ingener Q230035)
	- La configuración de los IED del tablero de Proteccion de Banco de Capacitores, esta ya armada en IEC61850 
          (porque estamos a 3 dias del ensayo FAT)
Frente a esta situación, el cambio a DNP3.0 representa costos adicionales tanto en la protección como en el Gateway / Scada. Creemos que este adicional no beneficia ni a PAE (porque demora el proyecto) ni a HE (porque obliga a cambios)
Por otro lado, la conectividad a través del FOX existente requiere de 3 puertos de FO, que por lo que pudimos ver, estos 3 puertos son toda la reserva disponible en el equipo FOX615 y que entendemos se usara en otras conexiones de expansión de la red. Además si hay que implementar el uso de estos puertos requiere también un adicional de reconfiguración de comunicaciones.
Frente a todo esto, es más conveniente y más económico volver a la idea de utilizar un switch. En este sentido, en la última reunión, F. Genovese se había comprometido a averiguar si tenían disponibles en PAE. Si así no fuera, nosotros tenemos en stock algunos switches y si PAE está de acuerdo podemos cotizarle uno.  
 Gonzalo Traba de INGENER pide reunion para tratar este tema. Se le explica lo que le respondimos a PAE en el mail anterior. INGENER no participa de este proyecto (???)
23/05/2024     Inico pre-FAT - Leonel 
24/05/2024     Sigue pre-FAT - Leonel
			§ Instalacion de TRM (se sacan de Stock)
			§ Upgrade con funciones del Bco de Capacitores (hace pasar la version de los IEDs de 2.2.5 a 2.2.6)
			§ Reveer Ingenieria por nuevos cambios que solicita GI (Adrien Sergent) para que funciones "Sin 
                           PCW600"
27/05/2024   FAT (Cableado y Configuracion) inicio
                     Se hace el Downgrade para pasar los IEDs de 2.2.6 a 2.2.5 (que es la version usada en toda VHII)
                      No se dará lugar a las modificaciones informadas durante el pre-FAT (No hubo comunicacion oficial para 
                      no contemplar el PCW600).  Que el cliente las observe y se veran como adicionales a la ingenieria 
                      aprobada los siguientes items:
			§ Cambios en la ingenieria
			§ Cambios en el tablero : cableado, configuracion (Hay que agregar bloques de sincronismo), agregado 
                           de reles
			§ Cambios en los productos (hay que agregar funciones de sincronismo)     
27/05/2024 Se envia respuesta a GI por los pedidos de cambios solicitados por GI (Adrien Sergent) 
 de la charla con el PM (Rogelio Villaverde) se desprende lo siguiente :                    
	- Terminar FAT con posibles observaciones y confirmación de PGGI de disponibilidad de swichsync para la PES 
          (esperamos respuesta de PGGI al mail de hoy)
	- Posible condicionamiento de entrega debido a no aprobación de adicionales de Q230035
	- Estudios de ajuste (EK le manda la planilla de funciones)
	- Protocolos SAT
	- PGGI debe confirmar fechas SAT y nosotros emitiremos un Cronograma (para la PES)
Pto FO de 100 M
30/05/2024   FAT (SCADA) inicio  (Ale Fusco)
                     Se deben cambiar los nombres de los equipos de Campo 7 a Campo 1 . Sobretrabajo Hs
Los cambios de Cpo7 a Cpo1 de pidieron el 11-04-2024 
07/06/2024 Reunion modificaciones Ingenieria para SAT  - Fran Estrada (Ingenieria), Leonel Gonzalez (Servicios), 
                   Adrien Sergent (GI).
Se hacen las modificaciones en la ingenieria para que quede lista para que en la PES se conecte el PCW600 en sitio.
07/06/2024  Qs24034 - Ver horas utilizadas FAT
04/07/2024  QS24034 sobre los comentarios de PAE/INGENER sobre el plano de Hitachi 
		 QS24034-00101 (GSJ-VH-ET2-A-0101)
	· Ver adicionales por causa de retrabajos de ingenieria y fabrica . Razones: Falta de entrega de Unifilares,  
           trifilares y funcionales actualizados por parte del cliente. Recien ayer nos los entregaron  
	· Francisco Estrada estima 5 dias para realizar todos los cambios por la complejidad de manejarlos en autocad,
          el 60% de los cambios es debido a falta de documentación, por lo cual:
		· Tiempo total estimado: 45hrs
		· Tiempo gastado por falta de documentación: 27 hrs.
	· Javier Toledo va a ver si hay relés (ultrarápidos y pesados) en el stock
		· FINDER 6E.03.9.110.0350 - Estos son para comandos (pesados)
                · FINDER RR.24.9.125.9021 - Estos son los ultra-rápidos
01/08/2024  Tablero ya embalado, conteniendo ademas los siguientes materiales sueltos :
                      · Switch para red tecnica
                      · Patchcords para conectar los IEDs con el Switch
                      · Térmomagnética para el Switch
                      · Carteles correspondiente a los otros tableros de VHII
02/08/2024 Se entrega a GI Ingenieria del Tablero CAF.
12/08/2024  Se entregan las Configuraciones version CAF. Agendar reunión de traspaso a SERVICIOS para explicar las modificaciones en la configuracion  de la parte de  Control. 
14/08/2024 - Se completan los puntos de modificacion del tablero del Banco de Capacitores planteados por PAE, de manera de definir si se trata de cambio a absorber por HE o constituyen un adicional. Francisco Estrada ayuda a completar los puntos 5,6,7,12,13,14 y 15. 
22/08/2024  SAT para octubre 2024:
	· SAT Protecciones (5 dias)  :  14/10 al 18/10
	· SAT Control (5 dias)  : a confirmar si va a poder A.Toniolo, o alguien de Servicios o si se terceriza a BR
04/09/2024  Daniel Gonzalez (PGGI) confirma que la fecha del SAT no será en OCTUBRE. Quedamos a la espera de nueva fecha.
23/09/2024  PAE vuelve a establecer el  SAT para Octubre/Noviembre. 
		    PAE le transmite a PGGI (sin mucho detalle) que quiere la PES en Octubre / Noviembre y que quien 
                    quedo fuera de las tareas fue Ingener. En este punto no nos queda claro (y a PGGI tampoco) como se 
                    harán las tareas de montaje / cableado
		    Es por ello que sería prudente realizar 2 acciones :
			1 - Listar lo que necesitamos para hacer esta PES, considerando que no existen interlocutores que 
                             hayan estado presentes durante el proyecto
                        2 - Indicar una fecha tentativa para hacer el trabajo y la duración 
</t>
    </r>
    <r>
      <rPr>
        <b/>
        <sz val="10"/>
        <color rgb="FF000000"/>
        <rFont val="Arial"/>
        <family val="2"/>
      </rPr>
      <t>10/10/2024 el PM de GI se reunió con el PM asignado de PAE, a fin de repasar el status</t>
    </r>
    <r>
      <rPr>
        <sz val="10"/>
        <color rgb="FF000000"/>
        <rFont val="Arial"/>
        <family val="2"/>
      </rPr>
      <t xml:space="preserve">.
A fin de ser concreto, todavía no tienen terminada la obra civil, ni subcontratista para hacerla, de ahí en adelante uds. imaginarán. El switch junto al TPCM esta "en tránsito" 
</t>
    </r>
    <r>
      <rPr>
        <b/>
        <sz val="10"/>
        <color rgb="FF000000"/>
        <rFont val="Arial"/>
        <family val="2"/>
      </rPr>
      <t xml:space="preserve">10/10/2024  Cancelacion de PES
</t>
    </r>
    <r>
      <rPr>
        <sz val="10"/>
        <color rgb="FF000000"/>
        <rFont val="Arial"/>
        <family val="2"/>
      </rPr>
      <t xml:space="preserve">
a)	</t>
    </r>
    <r>
      <rPr>
        <u/>
        <sz val="10"/>
        <color rgb="FF000000"/>
        <rFont val="Arial"/>
        <family val="2"/>
      </rPr>
      <t>PES de Comunicaciones:</t>
    </r>
    <r>
      <rPr>
        <sz val="10"/>
        <color rgb="FF000000"/>
        <rFont val="Arial"/>
        <family val="2"/>
      </rPr>
      <t xml:space="preserve"> no se cumplieron las condiciones que nos permitirían iniciar PES el 20/10:  
       -	No se cuenta con disponibilidad del armario del proyecto dispuesto en ET Valle Hermoso, de manera de 
                 poder retirar el switch y los elementos de montaje asociados
       -	No contamos con confirmación de PAE de disponibilidad corte de tensión de alimentación en 110 VCC, ni de 
                ntervención sobre el FOX existente (recordar que este equipo tiene ordenes de disparo activas)
De nuestro lado se trató el tema con Daniel Zarzosa de PAE, que si bien contesto varias dudas, no tiene la potestad de confirmar la fecha de intervención. Tambien se envio email a Vande Vrande sin respuesta.
     En definitiva, vemos que al no cumplirse lo anterior, no seria posible reservar recursos y hacer presentación de papeles para iniciar esta PES el 20/10. 
b)	</t>
    </r>
    <r>
      <rPr>
        <u/>
        <sz val="10"/>
        <color rgb="FF000000"/>
        <rFont val="Arial"/>
        <family val="2"/>
      </rPr>
      <t>PES de Protecciones y Control</t>
    </r>
    <r>
      <rPr>
        <sz val="10"/>
        <color rgb="FF000000"/>
        <rFont val="Arial"/>
        <family val="2"/>
      </rPr>
      <t xml:space="preserve">: si bien estaba previsto para el 20/11, vemos que ademas de no cumplirse las condiciones para PES de Comunicaciones, tampoco hemos recibido el documento completado por PAE de condiciones iniciales adjunto (de la cual destacamos que los ajustes deben ser entregados con un mes de antelación). 
Nuevamente aquí, estamos sin confirmación para poder avanzar 
</t>
    </r>
  </si>
  <si>
    <t>QS24035</t>
  </si>
  <si>
    <r>
      <t>Ultima rev.</t>
    </r>
    <r>
      <rPr>
        <b/>
        <sz val="10"/>
        <color rgb="FF000000"/>
        <rFont val="Arial"/>
        <family val="2"/>
      </rPr>
      <t xml:space="preserve"> 5/9/2024                                                                                                                                                                                                       </t>
    </r>
    <r>
      <rPr>
        <sz val="10"/>
        <color rgb="FF000000"/>
        <rFont val="Arial"/>
        <family val="2"/>
      </rPr>
      <t xml:space="preserve">30/1/2024. Primera revisión de Hs. Se realizaron las compras y se envió el elenco.                                                                                                  7/3/2024. Sin novedades                                                                                                                                                                    2/5/2024. Se recibió la información solicitada.                                                                                                                                                     3/7/2024. Se emitió la ingeniería general                                                                                                                             5/9/2024. Se empieza a trabajar sobre la ingeniería particular                                                                                                                        </t>
    </r>
  </si>
  <si>
    <t>QS24038</t>
  </si>
  <si>
    <r>
      <rPr>
        <b/>
        <sz val="10"/>
        <color rgb="FFFF0000"/>
        <rFont val="Arial"/>
        <family val="2"/>
      </rPr>
      <t>Ultima rev. 23/09/2024</t>
    </r>
    <r>
      <rPr>
        <sz val="10"/>
        <color rgb="FF000000"/>
        <rFont val="Arial"/>
        <family val="2"/>
      </rPr>
      <t xml:space="preserve">
23/09/2024. Hemos tomado el desarrollo de la ingenierìa por lo que comenzaremos a cargar hora de proyectista y no arreglamos còmo evaluarlo por lo que dejamos el saldo negativo. Se comenzaron las configuraciones pero tenemos una nueva revisión,  las configuraciones. Tambien LE estoy más involucrado en el seguimiento de la ingeniería que trataré de compensar con las horas de ingeniería de protecciones, aunque falta hacer la actualizacón de ingeniería, para evitar originar grandes desvios. Comenzamos la fabricación y prevvemos un desvio importante ya que comenzaremos la misma toamndo desiciones sobre las tareas de fabricación.
====================================================================================
04/09/2024. Hemos tomado el desarrollo de la ingenierìa por lo que comenzaremos a cargar hora de proyectista y no arreglamos còmo evaluarlo por lo que dejamos el saldo negativo. Se comenzaron las configuraciones pero tenemos una nueva revisión,  las configuraciones y fabricación.
====================================================================================
26/07/2024. Hemos tomado el desarrollo de la ingenierìa por lo que comenzaremos a cargar hora de proyectista y no arreglamos còmo evaluarlo. Todavía falta para comenzar las configuraciones y fabricación.
====================================================================================
29/05/2024. Seguimos en la etapa de ingeniería y se está convirtiendo en un proyecto donde mi intervención e involucramiento va a ser cada vez más importante (esa es la tendencia que detecto de la gerencia) a pesar del modelo de negocio que fue acordado por toda la gerencia. Intentaremos mitigar el impacto que esta desición traería. Todavía falta para comenzar las configuraciones y fabricación.
====================================================================================
24/04/2024. Todavía falta para comenzar las configuraciones. Solo seguimiento. No tengo fecha de ingeniería pero el proyecto está demorado.
====================================================================================
05/04/2024. Todavía falta para comenzar las configuraciones. Solo seguimiento.
------------------------------------------------------------------------------------------------------------------------------------------------------
23/02/2024. Todavía falta para comenzar las configuraciones. Solo seguimiento.
-------------------------------------------------------------------------------------------------------------------------------------------------------
07/02/2024. Todavía falta para comenzar las configuraciones. Solo seguimiento.
-------------------------------------------------------------------------------------------------------------------------------------------------------
29/12/2023. Carga inicial del proyecto con valores del preclaculo OPP-21-6598292_P6 EMBALSE Retrofit Protecciones 132kV_v2.16g Equipamiento OC y OPP-23-7015130_P6 EMBALSE Retrofit Protecciones 132kV_v2.16g Servicios OC
Este proyecto no tiene LE asignado para seguiemto, la designación es para soporte técnico en caso que el PM lo requiera ya que será manejado y coordinado por él.
Las horas asignadas en el preca a LE podrán ser reasignadas a otras tareas de ingeniería
-------------------------------------------------------------------------------------------------------------------------------------------------------</t>
    </r>
  </si>
  <si>
    <t>QS24040</t>
  </si>
  <si>
    <r>
      <rPr>
        <b/>
        <sz val="10"/>
        <color rgb="FF000000"/>
        <rFont val="Arial"/>
        <family val="2"/>
      </rPr>
      <t xml:space="preserve">Ultima rev. 23/09/2024
</t>
    </r>
    <r>
      <rPr>
        <sz val="10"/>
        <color rgb="FF000000"/>
        <rFont val="Arial"/>
        <family val="2"/>
      </rPr>
      <t xml:space="preserve">23-09-2024. Revisar HW y mandar a comprar. Se están extendiendo las horas de ing para poder definir el proyecto.
</t>
    </r>
  </si>
  <si>
    <t>QS24046</t>
  </si>
  <si>
    <r>
      <rPr>
        <b/>
        <sz val="10"/>
        <color rgb="FF000000"/>
        <rFont val="Arial"/>
        <family val="2"/>
      </rPr>
      <t xml:space="preserve">Ultima rev. 27/09/2024
</t>
    </r>
    <r>
      <rPr>
        <sz val="10"/>
        <color rgb="FF000000"/>
        <rFont val="Arial"/>
        <family val="2"/>
      </rPr>
      <t xml:space="preserve">27/09/2024. Se hizo auditoría COM (con adicional).  Se pasa mail a Enzo para coordinar auditorías Control.
15/07/2024. Se pueden cargar hs en este proyecto. Se está programando auditoría COM con adicional +1 persona.
06/06/2024. Aún sin nuevas OC. Se siguen cargando hs en Q230053
01/05/2024. Problema con el ingreso de orden. Se siguen cargando hs en Q230053.
28/02/2024. Carga inicial del proyecto.Sin hs consumidas.
</t>
    </r>
  </si>
  <si>
    <t>QS24043</t>
  </si>
  <si>
    <r>
      <rPr>
        <b/>
        <sz val="10"/>
        <color rgb="FF000000"/>
        <rFont val="Arial"/>
        <family val="2"/>
      </rPr>
      <t xml:space="preserve">Ultima rev.:  29/02/2024 - PAE - Licencia y Servicios SQL
</t>
    </r>
    <r>
      <rPr>
        <sz val="10"/>
        <color rgb="FF000000"/>
        <rFont val="Arial"/>
        <family val="2"/>
      </rPr>
      <t xml:space="preserve">15/02/2024   HOM
</t>
    </r>
    <r>
      <rPr>
        <b/>
        <sz val="10"/>
        <color rgb="FF000000"/>
        <rFont val="Arial"/>
        <family val="2"/>
      </rPr>
      <t xml:space="preserve">                     FECHA INICIO :  28/02/2024
                     HITO Entrega :  120 dias para inicio de  Pruebas remotas  (28/06/2024)
01/02/2024   Recibimos las Licencias compradas.
                        EK las revisa, (archivos .PAF) estan todas OK.
                        Andrés Toniolo es el Ingeniero que va a hacer la Ingenieria, instalacin y configuracion remota
                        Estará disponible a partir del lunes 11/03
15/03/2024  Se realiza la intervencion remota para instalar y configurar SQL en MicroScada Distrib y Generacion. Se hace sobre Sistema a punto de ser actualizado.
19/03/2024  Se realizan actualizaciones sobre sistema definitivo.
03/05/2024  Andres Toniolo : Se solucionaron los problemas de la Red de PAE. Problemas de DB, certificaciones.
                    Todavía falta configurar en las PCs los servidores de DNS. Todavía es una consulta interna hacia el sector
                     de IT de ellos pero lo estan siguiendo al tema.
                    Ya se podrán hacer pruebas de DB definitivas la semana del 13/05                  
14/05/2024  el SQL ya funciona, se comunican todos los tipos de datos que querian.  Incluso se tuvo que modificar el 
                    programa fuente porque querian un dato con una columna mas que no estaba previsto en lo estandar y ya 
                    funcionó. Eso fue la semana del 06/05. 
                     Mario estuvo cambiando datos y generando otros diferentes a los pedidos y haciendolo en los otros 
                     sistemas. 
                     Las pruebas se hicieron sobre uno de ellos (el base system 1 de Transmisión) y él los está volcando al 
                     resto.
                     Durante esta semana preguntaremos si le hace falta algo mas y ver si podemos cerrar esto con un acta.
07/06/2024   Hitachi quiere cerrar el proyecto, el único tema tema pendiente es el Driver de 64 bits. Andres Toniolo va a 
                     validar si existe una versión de 64 bits. 
                     Ya probamos con driver de ODBC para 64 bits de Windows (Microsoft) y no funcionó.
                     Parece que el problema es que, en esa versión de MicroSCADA, la aplicación SQL Exporter fue  
                     desarrollada para sistema de 32 bit. AT va a consultar al soporte (Hitachi Energy de Finlandia) para ver si 
                     existe una versión nueva de la aplicación SQL Exporter que funcione en 64 bits directamente o si hay que 
                     migrar a una versión, más nueva de MicroSCADA y a cuál.
                     PAE pregunta :
                     •	queda confirmado que el problema es la versión de micro scada?
                     •	es necesario migrar a otra versión?
                     •	el problema del driver es de Hitachi o de Microsoft?
                      PAE tiene que decidir si avanzan con el cierre sin estas respuestas o no.
                      En la oferta esta  definido lo siguiente :
</t>
    </r>
    <r>
      <rPr>
        <i/>
        <sz val="10"/>
        <color rgb="FF000000"/>
        <rFont val="Arial"/>
        <family val="2"/>
      </rPr>
      <t xml:space="preserve">                     1.	SUMINISTRO
                               •      Adecuación SCADA nivel III Transmisión/Distribución:
                                      o	Extensión de licencia existente +100 puntos en BD en cada sistema en Licencia SYS600
                                      o	Agregado de licencia SQL Export.
                  D.4	NUESTRA PROPUESTA NO INCLUYE
                              •      Los trabajos se limitan exclusivamente a la modificación de la base de datos necesaria para 
                                     permitir la comunicación vía SQL. Se excluye cualquier otra modificación de software y/o 
                                     hardware.
                              •	     Relevamientos.
                              •	     Modificaciones sobre los sistemas de PAE que se van a conectar vía SQL a las aplicaciones 
                                     MicroSCADA.
                              •	     Modificaciones sobre el equipamiento de red involucrado en esta comunicación u cualquier otro.
                              •	     Licencias de Windows
</t>
    </r>
    <r>
      <rPr>
        <b/>
        <sz val="10"/>
        <color rgb="FF000000"/>
        <rFont val="Arial"/>
        <family val="2"/>
      </rPr>
      <t>1</t>
    </r>
    <r>
      <rPr>
        <sz val="10"/>
        <color rgb="FF000000"/>
        <rFont val="Arial"/>
        <family val="2"/>
      </rPr>
      <t xml:space="preserve">9/06/2024 De parte de PAE,  para cerrar este tema estaría faltando que funcione el driver de 64 bits. Lo pide Arquitectura.
Estamos a la espera de la respuesta del soporte. El driver de Windows es de 64bits. El problema es la aplicación SQL de MicroSCADA. No sabemos si en la ultima versión se hizo el desarrollo para 64 bits. Necesitamos la respuesta del soporte para ver que podemos hacer.
04/07/2024  Desde fábrica nos indican que tanto MicroSCADA (incluso en la versión 10.x) como el ODBC están desarrollados en 32-bits. Por lo tanto, ni siquiera migrándolo a la última versión podríamos usar ODBC en 64bits.
 Ya enviamos esta resolución al cliente para dar por finalizado el trabajo. No hemos recibido respuesta aun.R5651
Horas utilizadas al final del proyecto :
</t>
    </r>
    <r>
      <rPr>
        <b/>
        <sz val="10"/>
        <color rgb="FF000000"/>
        <rFont val="Arial"/>
        <family val="2"/>
      </rPr>
      <t xml:space="preserve">INGENIERIA :
</t>
    </r>
    <r>
      <rPr>
        <sz val="10"/>
        <color rgb="FF000000"/>
        <rFont val="Arial"/>
        <family val="2"/>
      </rPr>
      <t xml:space="preserve">       Control :    se usaron 22 de las 36 planificadas
               LE :    se usaron las 18 planificadas 
SAT :    Se usaron 0 hs de las 27 planificadas
PM  :      Se usaron 0 hs de las 9 planificadas
18/07/2024 PAE da por terminado el proyecto. Listo para certificar y facturar
</t>
    </r>
  </si>
  <si>
    <t>QS24050</t>
  </si>
  <si>
    <r>
      <rPr>
        <b/>
        <sz val="10"/>
        <color rgb="FFFF0000"/>
        <rFont val="Arial"/>
        <family val="2"/>
      </rPr>
      <t>Ultima rev. 23/09/2024</t>
    </r>
    <r>
      <rPr>
        <sz val="10"/>
        <color rgb="FF000000"/>
        <rFont val="Arial"/>
        <family val="2"/>
      </rPr>
      <t xml:space="preserve">
23/09/2024. El cliente nos confirmó que los ensayos en sitio se realizarán en 2025. No inicamos tareas por falta de información del cliente. Tenemos parte de información cómo para comenzar pero vamos a reprogramar con Juan el cronograma de tareas en función de nuestra disponibilidad dado que SG todavía se está llevando muchos recursos.
==========================================================
04/09/2024. El cliente nos confirmó que los ensayos en sitio se realizarán en 2025. No inicamos tareas por falta de información del cliente. Cuando recibamos vamos a tener que reprogramar el cronograma de tareas.
==========================================================
26/07/2024. Solo manejo de información y KOM ccon el cliente que nos confirmó que los ensayos en sitio se realizarán en 2025
==========================================================
29/05/2024. Solo manejo de información.
==========================================================
24/04/2024. Sepidió información pero aún no se recibió nada.
==========================================================
05/04/2024. Sepidió información pero aún no se recibió nada.
---------------------------------------------------------------------------------------------------------------------
08/03/2024. Carga inicial del proyecto con valores del preclaculo</t>
    </r>
  </si>
  <si>
    <r>
      <rPr>
        <b/>
        <sz val="10"/>
        <color rgb="FF000000"/>
        <rFont val="Arial"/>
        <family val="2"/>
      </rPr>
      <t xml:space="preserve">Ultima rev. 01/07/2024    118415 - LITSA RetroFit Protecciones
</t>
    </r>
    <r>
      <rPr>
        <sz val="10"/>
        <color rgb="FF000000"/>
        <rFont val="Arial"/>
        <family val="2"/>
      </rPr>
      <t xml:space="preserve">Fecha Contractual Inicio  FAT  17/11/2024
21/05/2024  HOM 
</t>
    </r>
    <r>
      <rPr>
        <b/>
        <sz val="10"/>
        <color rgb="FF000000"/>
        <rFont val="Arial"/>
        <family val="2"/>
      </rPr>
      <t xml:space="preserve">PM : Ariel Cisneros      LE : Eduardo Kuri
</t>
    </r>
    <r>
      <rPr>
        <sz val="10"/>
        <color rgb="FF000000"/>
        <rFont val="Arial"/>
        <family val="2"/>
      </rPr>
      <t xml:space="preserve">
28/05/2024  pedido de Info al cliente  (Recibido)
	 Unifilares aprobados por el Cliente Final.
	 Trifilares aprobados por el Cliente Final.
	 Memoria Descriptiva del Sistema de Protección y Control.  
         Ingeniería funcional aprobada por el Cliente Final. 
01/07/2024  KOM (JJH, ED, EK) 
                    JJH tiene que confirmar códigos REB500 y REF615 - Confirmados por G.Degenhardt
                            Luego Configuraciones (2 set corresponidentes a tipicos de Linea y de Trafo)
                     ED  FAT y Capacitacion
                     Horas de Preca están OK:
</t>
    </r>
    <r>
      <rPr>
        <b/>
        <sz val="10"/>
        <color rgb="FF000000"/>
        <rFont val="Arial"/>
        <family val="2"/>
      </rPr>
      <t xml:space="preserve">REF615
</t>
    </r>
    <r>
      <rPr>
        <sz val="10"/>
        <color rgb="FF000000"/>
        <rFont val="Arial"/>
        <family val="2"/>
      </rPr>
      <t xml:space="preserve">Ingenieria (Totales)	               </t>
    </r>
    <r>
      <rPr>
        <b/>
        <sz val="10"/>
        <color rgb="FF000000"/>
        <rFont val="Arial"/>
        <family val="2"/>
      </rPr>
      <t xml:space="preserve">    27</t>
    </r>
    <r>
      <rPr>
        <sz val="10"/>
        <color rgb="FF000000"/>
        <rFont val="Arial"/>
        <family val="2"/>
      </rPr>
      <t xml:space="preserve">  
       FAT 	                                   18
      Capacitación preparación    18
      Capacitación (remota)	   20
</t>
    </r>
    <r>
      <rPr>
        <b/>
        <sz val="10"/>
        <color rgb="FF000000"/>
        <rFont val="Arial"/>
        <family val="2"/>
      </rPr>
      <t xml:space="preserve">REB500
</t>
    </r>
    <r>
      <rPr>
        <sz val="10"/>
        <color rgb="FF000000"/>
        <rFont val="Arial"/>
        <family val="2"/>
      </rPr>
      <t xml:space="preserve">FAT          	                             2
PM	                                           18
</t>
    </r>
    <r>
      <rPr>
        <b/>
        <sz val="10"/>
        <color rgb="FF000000"/>
        <rFont val="Arial"/>
        <family val="2"/>
      </rPr>
      <t xml:space="preserve">
SOLPED : Segun Adriel :
                 REB500 : Lo tendremos como máximo el  10/10/2024
                 REF615 : Lo tendremos como máximo el  10/11/2024
06/08/2024  Soliciitud de recursos para iniciar la Ingenieria y servicios. 
12/08/2024  
        	•  Configuraciones listas para el  23/08 o el 26/08 (Francisco Estrada). 
                    Listas para ser entregadas para aprobacion.
                •  Protocolos FAT  para el 30/08 (Fernando Agustin Martinez)
02/09/2024  Se habilita el envio de documentacion inicial:
	            • Elenco
	            • Cronograma (Se actualizo)
                    • Lista de HW y SW
19/09/2024  Según Adriel, seguimos con los mismos tiempos para tener los IEDS 
                         en Planta : 
REB500 :  Los tendremos a partir del  11/10/2024
REF615 :   Los tendremos a partir del  17/10/2024
Se envían las configuraciones y Protocolos FAT correspondientes al REF615 para enviarle al cliente.
	· Configuraciones REF615
			o 10101-Conf. Logica REF615 - Tipico SC Trafo
			o 10102-Conf. Logica REF615 - Tipico SC Linea
	· Protocolos FAT :
			o 118415-10201
			o 118415-10202
</t>
    </r>
  </si>
  <si>
    <t xml:space="preserve">  </t>
  </si>
  <si>
    <t> Unifilares aprobados por el Cliente Final.</t>
  </si>
  <si>
    <t> Trifilares aprobados por el Cliente Final.</t>
  </si>
  <si>
    <t xml:space="preserve"> Memoria Descriptiva del Sistema de Protección y Control.  </t>
  </si>
  <si>
    <t>SAT LAS CAÑAS: Ultima Rev 8/9/24</t>
  </si>
  <si>
    <t>119155</t>
  </si>
  <si>
    <t>Requsitos envidos. Planificado para Agosto</t>
  </si>
  <si>
    <t>Demorado porque CAMESA no autoriza apertura linea por FALTA DOCUMENTACION de la OBRA</t>
  </si>
  <si>
    <t>8/9 Sin novedad de cuando se realizara el SAT. A la espera de autorizacion de apartura linea</t>
  </si>
  <si>
    <r>
      <rPr>
        <b/>
        <sz val="10"/>
        <color rgb="FFFF0000"/>
        <rFont val="Arial"/>
        <family val="2"/>
      </rPr>
      <t>Ultima rev. 23/09/2024</t>
    </r>
    <r>
      <rPr>
        <sz val="10"/>
        <color rgb="FF000000"/>
        <rFont val="Arial"/>
        <family val="2"/>
      </rPr>
      <t xml:space="preserve">
Este proyecto no tiene LE asignado para seguiemto, la designación es para soporte técnico en caso que el PM lo requiera ya que será manejado y coordinado por él.
=================================================================================
07/06/2024. Carga inicial del proyecto con valores del preclaculo OPP-23-6970137_P0-Licencias IET e ITT - 2024_V23A3.10
Este proyecto no tiene LE asignado para seguiemto, la designación es para soporte técnico en caso que el PM lo requiera ya que será manejado y coordinado por él.
Las horas asignadas en el preca a LE no existen
=================================================================================</t>
    </r>
  </si>
  <si>
    <r>
      <rPr>
        <b/>
        <sz val="10"/>
        <color rgb="FFFF0000"/>
        <rFont val="Arial"/>
      </rPr>
      <t xml:space="preserve">Ultima rev. 30/10/2024 - Ingeniería detalle
</t>
    </r>
    <r>
      <rPr>
        <sz val="10"/>
        <color rgb="FF000000"/>
        <rFont val="Arial"/>
      </rPr>
      <t>10/06/2024. Carga inicial del proyecto con valores del preclaculo OPP-22-6849173_P5_ET Profertil SAS+COM - alcance Opcion 1_SG-JR
Se revisarán las hs del preca vs las planificadas para la KOM. Estas hs no incluyen los opcionales protecciones (Bastidor,  tablero adicional y repuesto RED adicional) y tampoco la opción 2 de comunicaciones
=================================================================================
8/07/2024. Se actualizan hs con valores del precalculo con la opción 2. Rev de Fábrica, Telecom e Ing Ok. Falta Servicio.
Se realiza lanzamiento interno con Ingeniería, Dario, Alexis, José y Juan Haim. En Julio emitiremos lista de Hw y Sw y prepración de lista de materiales.
=================================================================================
12/08/2024. Se emite Ing básica, se continúa con listado de Materiales y se inicia con Ing de Detalle</t>
    </r>
    <r>
      <rPr>
        <b/>
        <sz val="10"/>
        <color rgb="FF000000"/>
        <rFont val="Arial"/>
      </rPr>
      <t>. Recibimos info de GI para avanzar, se contestará que deberán asumir riesgos por cambios, en caso de tener impacto.
Cómputo de hs de desvío por adecuaciones de la GIS
=================================================================================
19/09/24 - Emisión de ing de línea y en proceso ing de acople
=================================================================================
30/10/24 - Fábrica anota 22 hs de desvío, debemos sacar de las planillas, para adecuar el tablero que se usará para el bastidor de PQ, que en definitiva será un Saving en el proyecto</t>
    </r>
  </si>
  <si>
    <r>
      <rPr>
        <b/>
        <sz val="10"/>
        <color rgb="FFFF0000"/>
        <rFont val="Arial"/>
        <family val="2"/>
      </rPr>
      <t xml:space="preserve">			
Ultima rev. 11/06/2024  </t>
    </r>
    <r>
      <rPr>
        <b/>
        <sz val="10"/>
        <color rgb="FF000000"/>
        <rFont val="Arial"/>
        <family val="2"/>
      </rPr>
      <t xml:space="preserve">119835 - SLA por Tarifas YPF 2023-2025
Nuevo contrato
PM : Diego Bordatto    LE : Eduardo Kuri
○ Periodo : 2 años. Desde 30/11 de 2023 al 30/11 de 2025
○ Alcance : Planta Quimica YPF SE 192de 132kV
	* Sistemas Prot 132kV - Relés Reliom 650 y 670
	* Sist de control para 132kV ubicado en SE CILP, YPF (MicroSCADA / RTUs)
	* Equipos de Comunicación HE asociados
○ Soporte Técnico telefónico a demanada : 120 Hs anuales (L-V , de 9 a 17 hs)
○ Soporte en Sitio on demand : bajo Tarifario (SE 192, EDELAP y PETROQUEN)
	§ 1 dia habil (L-V de 9 a 18) - 1 Ingeniero
	§ 5 hs mínimas de preparacion 
	§ Viaje por día : 3 hs + 160km + 8 hs en CILP + Viático
	§ Informe : de requerirlo, +4hs mínimo en HE.
○ Capacitaciones : Operacion y Mantenimiento equipos del alcance (en CILP-YPF y en oficinas HE)
	§ Una Jornada igual que dia habil completo especialista +
	§  Hs de viaje + Km de viaje + 1 viático
        §  8hs capacitacion 
11/06/2024 Visita Inicial de Diagnóstico de un dia :   Fernando Gallardo Giozza
                           □ Horas SAT utilizadas :  9 hs  (en sitio)
     •	Un IED se encuentra en falla interna, tiene error en la placa MIM, busqué si tenemos placa de la misma revisión 
         en stock y no tenemos, queda una con revisión superior en la plantilla de stock pero no la encuentro físicamente.
     •	En la próxima visita van a solicitar por alguien de control, ellos conocen a @Alejandro Fusco por lo que 
        seguramente soliciten por él, por el tema de los signos de preguntas en las pantallas.
12/06/2024    Las asistencias realizadas a la SL192 de YPF con el contrato vencido no se pudieron facturar por problemas nuestros. Hasta ahora quedaron cargados en el Proyecto de Garantia :
		○ Asistencia 28/02 
				□ Hs SAT                         20  (en sitio)
				□ Hs FAT                         90  (preparación en Planta Hitachi)
		○ Asistencia 10/04 (Alejandro Fusco en Remoto)
                                □  Hs telefónicas              5  (en planta Hitachi)
</t>
    </r>
    <r>
      <rPr>
        <sz val="10"/>
        <color rgb="FF000000"/>
        <rFont val="Arial"/>
        <family val="2"/>
      </rPr>
      <t xml:space="preserve">=================================================================================
</t>
    </r>
    <r>
      <rPr>
        <b/>
        <sz val="10"/>
        <color rgb="FF000000"/>
        <rFont val="Arial"/>
        <family val="2"/>
      </rPr>
      <t xml:space="preserve">08/07/2024 119635 SLA 192 YPF HOM
02/08/2024  Reunion con YPF 
                    HE : ED y EK
                    YPF : Jesus Nahiuel Paiva, Lui Gomez, Carlos Lopez Aldana, Mariano Gomez Garcia
                    Temas a Resolver en la SLA192 :
                      * Pantallas (jesus)
                      * Operadores dicen que hay problemas del SIstema que pueden afectar la operación
                      * HE tiene que comprar una placa de Prot Dif de Barra (Falla Interna  RET670)
                      * Switch con puertos que se queman. Migrar los Switch? Se puede ampliar el contrato. Ver  
                         nuevos modelos
                      * Se pierden las comunicaciones de la mayoria de los equipos
                      * Implenmentar visitas "preventivas" (no se admiten conexiones remotas)
                      * Problemas con TAPCON MR. Reiteradas fallas de esos equipos.
                      * Programar 1era Auditoria inicial SCADA para el 16/08 :
                              * Auditoria SCADA
                              * Verificar Alarmas y Eventos Presentes
                              * Switches en estado critico. Ver recambio.
                              * SET POINTS : Hay que agregar otro Delay para la conformacion de la ISLA. Ver si ese delay 
                                Afecta a otros disparos o señales.
16/08/2024   Hector Alvarado realiza la asistencia en sitio con los siguientes usos de horas :
                               Ensayos de Laboratorio y FAT     Pre SAT                               9 hs
                               Ensayos y/o trabajos en sitio        Pruebas Aceptacion SAT    10 hs
30/09/2024  2da Asistencia a sitio de Hector Alvarado
Alvarado Perez Hector Asdrubal	Oct 2024	Ensayos de Laboratorio y FAT	Pre SAT	                      9 hs
Alvarado Perez Hector Asdrubal	Oct 2024	Ensayos y/o trabajos en sitio	        SAT	                                9 hs
1.    Revisión de Pantallas en el MicroSCADA   
	1.1    Pantallas de Supervisión   
	1.2    Pantallas unifilares del sistema    
2.    Alarmas y Eventos del sistema    
                   Visualización de Alarmas y eventos del sistema      
3.    Revisión de los puntos asociados al equipo TAPCON MR    
4.    Revisión de los puertos y configuración de los Switches.  </t>
    </r>
  </si>
  <si>
    <r>
      <t>Ultima rev.</t>
    </r>
    <r>
      <rPr>
        <b/>
        <sz val="10"/>
        <color rgb="FF000000"/>
        <rFont val="Arial"/>
        <family val="2"/>
      </rPr>
      <t xml:space="preserve"> 5/9/2024                                                                                                                                                                                                       </t>
    </r>
    <r>
      <rPr>
        <sz val="10"/>
        <color rgb="FF000000"/>
        <rFont val="Arial"/>
        <family val="2"/>
      </rPr>
      <t xml:space="preserve">5/9/2024. Primera revisión de Hs. Se realizaron las compras y se envió el elenco.                                                                                                                                                                                                                          </t>
    </r>
  </si>
  <si>
    <t>PE LA FLECHA - ALUAR: Ultima Rev 8/9/24</t>
  </si>
  <si>
    <t>Reunion inicio de Proyecto</t>
  </si>
  <si>
    <t>9/24 definicion de placas a Fox615 a proveer - Compras</t>
  </si>
  <si>
    <t>230 + 60</t>
  </si>
  <si>
    <r>
      <rPr>
        <b/>
        <sz val="10"/>
        <color rgb="FF000000"/>
        <rFont val="Arial"/>
        <family val="2"/>
      </rPr>
      <t xml:space="preserve">122825 - PEM retrofit prot TPU GPU - PAE
22/07/2024
     </t>
    </r>
    <r>
      <rPr>
        <sz val="10"/>
        <color rgb="FF000000"/>
        <rFont val="Arial"/>
        <family val="2"/>
      </rPr>
      <t xml:space="preserve"> ○ Cliente : PAE
      ○ Periodo 
		 ○ Inicio Inicio :  18/06/2024
		 ○ Fecha para realización del servicio : a coordinar entre 
                    partes.
      ○ Alcance :
</t>
    </r>
    <r>
      <rPr>
        <b/>
        <sz val="10"/>
        <color rgb="FF000000"/>
        <rFont val="Arial"/>
        <family val="2"/>
      </rPr>
      <t xml:space="preserve">
Puesta en servicio de protecciones de generador Zorro y Cerro Dragón
Protecciones: 
</t>
    </r>
    <r>
      <rPr>
        <sz val="10"/>
        <color rgb="FF000000"/>
        <rFont val="Arial"/>
        <family val="2"/>
      </rPr>
      <t xml:space="preserve">· Prueba FAT para verificación de señales IEC61850. Para esto PAE 
   dejó 2 equipos en nuestra planta
· Supervisión de montaje. El desmontaje y el montaje y cableado lo 
  realizará PAE
· Puesta en servicio de los IEDs y su integración al SCADA
· Se consideran 5 visitas para el conj. Supervisión de montaje+SAT
</t>
    </r>
    <r>
      <rPr>
        <b/>
        <sz val="10"/>
        <color rgb="FF000000"/>
        <rFont val="Arial"/>
        <family val="2"/>
      </rPr>
      <t xml:space="preserve"> 
Control: 
</t>
    </r>
    <r>
      <rPr>
        <sz val="10"/>
        <color rgb="FF000000"/>
        <rFont val="Arial"/>
        <family val="2"/>
      </rPr>
      <t xml:space="preserve">· Adecuación de la base de datos y pantallas para la integración de las 
   nuevas protecciones y UCB.
· Extensión de puntos (1000) y agregado de IEC61850 a la licencia
· Adecuación de ingeniería (arquitectura)
· Ensayos en fábrica
· Puesta en servicio
</t>
    </r>
    <r>
      <rPr>
        <b/>
        <sz val="10"/>
        <color rgb="FF000000"/>
        <rFont val="Arial"/>
        <family val="2"/>
      </rPr>
      <t xml:space="preserve"> 
Equipamiento: 
· </t>
    </r>
    <r>
      <rPr>
        <sz val="10"/>
        <color rgb="FF000000"/>
        <rFont val="Arial"/>
        <family val="2"/>
      </rPr>
      <t xml:space="preserve">Switches: Cant: 4. No se incluye montaje ni conexionado.
· Patchcords: Se consideran 10 patchcords x SW. Longitud máx 30m. 
  PAE debe enviar la longitud.
</t>
    </r>
    <r>
      <rPr>
        <b/>
        <sz val="10"/>
        <color rgb="FF000000"/>
        <rFont val="Arial"/>
        <family val="2"/>
      </rPr>
      <t xml:space="preserve">
07/08/2024  Se van a comparar codigos de los 4 Switches ofertados con los de stock  LU.
                    Ofertado :  MAR1030-OTNNNNNNNNNNNNNNNNTTTTTTTTUGGHPHHXX.X
                    En stock : AFS675-ERCPAAEEEEEEEEEENZEX08.0.05    (12 unidades en stock)
                                     AFS675-ERCPAAAAEEEEEEEENZEX08.0.05   (3 unidades en stock)
                                     AFS675-ERCPTAAAAAEEEEEENZEX08.0.05   (3 unidades en stock)
08/08/2024  Se solicita a Ingenieria y Servicios,  coordinar estas tareas.
04/09/2024  Reunion con PAE
1 - Tablero 2 (ZR1-TG3 y ZR1-TG4) : 	Se definen las tareas de desarmado y armado de este tablero los días 15/11 y 16/11 ( 2 días). Hitachi Energy estará presente los dos días supervisando las tareas. 	
		Días 17/11 y 18/11 Se hará el SAT de Protecciones (2 días)	 
		Del 19/11 al 22/11 se hará  el SAT de Control (4 días)
		Se tratará de finalizar primero el TG3 para dejarlo disponible lo antes posible.
2 - Tablero 3 (ZR1-TG5) : Se definen las tareas de desarmado y armado de este tablero el día 09/12/2024 ( 1 día) Hitachi Energy estará presente ese día supervisando las tareas. 	
	 	Los días 10/12 y 11/12 Se hará el SAT de Protecciones (2 días)
		Los días 12/12 y 13/12 se hará  el SAT de Control (2 días)
		Aclaración : La PES de este tablero estará condicionada a la finalización de la PES del Tablero 2. 
                                    A lo sumo se podrá atrasar una semana. Sino ya pasará a Enero de 2025.
3 - Asistencia a la Energización:	Dado que el TG4 se pondrá en marcha la primera semana de Diciembre, PAE solicitará la presencia de Hitachi Energy para asistir a la energización de este campo. PAE Solicitará la asistencia a la Energización.
4 - Confirmación de los ajustes de protecciones ensayados en FAT:   Los ajustes migrados por HE en base a los estudios realizados por Icono anteriormente, ya han sido ensayados en Fábrica.  PAE le solicitará a ICONO que los vuelva a revisar para su validación.	PAE Consultará a Icono para que valide los ajustes.
De no haber cambios, no se volverán a ensayar en Sitio. Si hay cambios, se volveran  a ensayar en sitio con el coorespondiente adicional. 
5 - Red Técnica: 	Hitachi Energy proveerá 4 switches para vincular los nuevos IEDs con los Sistemas SCADA Nivel 2 y 3.  Hitachi Energy entregará un esquema de conexionado de datos (Para esto PAE enviará layout de la ubicación de los switches, tableros y armarios de comunicaciones). PAE proveerá los patchcords de acuerdo al esquema de conexionado.
6 - Cableado :	Hitachi Energy definirá la equivalencia de cableado entre las viejas y las nuevas protecciones.	Tambien entregará una Planilla de equivalencia de cableado.
17/09/2024 Reunion con PAE (A.Toniolo, EK, Carlos Gutierrez, Daniel Zarzosa, Mario Gallardo)
1 -  Modalidad del desarrollo SCADA : Se caragará la nueva DB total (61850) y se iran borrando las DBs LON a medida que se vayan incorporando las 61850.
2 - Prioridad en las tareas para minimizar tiempos de indisponibilidad. TG5 primero. TG4 tendrá 20 dias afuera.
3 - Migracion discos rigidos Gateways antes de las PES de los nuevos IEDs.
4 -  Tareas a realizar por HE :
     4.1 - Entregará a PAE las ultimas versiones de la Ingeneria ya entregadas oportunamente
     4.2 - Definirá fechas de Migración de los HD de los Gateways de ZR1 y CD1
     4.3 - Incluirá en el Cronograma :
          4.3.1 - Fechas de Migración de los HDs de ZR1 y CD1.
          4.3.2 - Necesidad de indisponibilidad de los TG3 y TG4.
     4.4 - Se le confirma a PAE que los sincronoscopios disponen del Diferencial de Angulo, de Tension y de Frecuencia
5 - Tareas a realizar por PAE : 
     5.1 - Informarnos la Secuencia de Migracion por Tablero (solo el orden de intervención)
     5.2 - Entregarnos los archivos SYS_BASCON.COM actuales, con las modificaciones que se hayan hecho desde el 
             backup con el que contamos.
19/09/2024  Switches  MAR1030  :  Adriel estima tenerlos en planta para fines de Octubre
28/10/2024  Reunion con PAE : Se pasa PES Tablero 2 (TG3 y TG4) del 18/11 al 2/12
</t>
    </r>
  </si>
  <si>
    <t>1 dia habil (L-V de 9 a 18) - 1 Ingeniero</t>
  </si>
  <si>
    <t>5 hs mínimas de preparacion</t>
  </si>
  <si>
    <t>Viaje por día : 3 hs + 160km + 8 hs en CILP + Viático</t>
  </si>
  <si>
    <t>Informe : de requerirlo, +4hs mínimo en HE.</t>
  </si>
  <si>
    <t>Una Jornada igual que dia habil completo especialista +</t>
  </si>
  <si>
    <t xml:space="preserve"> Hs de viaje + Km de viaje + 1 viático</t>
  </si>
  <si>
    <t xml:space="preserve"> 8hs capacitacion</t>
  </si>
  <si>
    <t xml:space="preserve">123692 - Servicios RTU Sierras Blancas - SHELL
16/07/2024
      ○ Cliente : SHELL
      ○ Periodo 
		 ○ Inicio emisión OC :  19/06 2024
		 ○ Fecha para realización del servicio : a coordinar entre 
                    partes con 60 dias de anticipación
      ○ Alcance : Alcance PUNTO C.1 de la oferta OPP-236988015_TC2
        para la incorporación del nuevo Reconectador,  que incluye:
	     a) Desarrollo de la ingeniería y configuración la incorporación 
                 del nuevo reconectador RER620
             b) Puesta en servicio en sitio RER620
FECHA PROPUESTA PARA ASISTENCIA EN SITIO : 05/08/2024  Fernando Gallardo Giozza (4 dias)
24/07/2024  Reunion con SHELL 
Hay diferencias entre el RECO nuevo (el décimo) y los RECOS existentes (9 anteriores).
 Ademas estan faltando señales, las posiciones  Ab/Ce no estan claras
 Las posiciones AB/CE/FALLA están puestos por fases, cosa que nos complica nuestras configuraciones.
09/08/2024 comienza el SAT. Las tareas están previstas realizarse entre el 8/8 y el 9/8.
                   en Sitio :       Fernando Caballero
                   en Remoto : Alejandro Fusco 
Tareas : Ampliación de la base de datos y el HMI del RTU Shell de Control de Playa de maniobras de 33Kv de Sierras Blancas para el control y supervisión de nuevo RECO EPF/PK9 
Acta No 123692-AS001
PENDIENTES ✓  No se presentan comentarios. 
RESULTADO  ✓  Backup de base de datos, firmware, licencia, memoria SD y capturas de pantalla HMI de RTU 
                            560CMR02. Capturas de pantalla de estado de señales en Centro de Control Honeywell.   
	               ✓  Comprobación  del  correcto  funcionamiento  de  las  señales  y  comandos  con  el  nuevo 
                            Reconectador EPF/PK9, en DNP y al Centro de Control Honeywell en Modbus con resultados       
                            satisfactorios.  
ADJUNTOS  ✓   Backup de archivos de la configuración inicial del RTU de Shell Sierras Blancas (Formato Digital)  
		     ✓   Se adjuntan capturas de pantalla del HMI antes y después de la carga del nuevo RECO.  
		     ✓   Base de datos inicial y actualizada con el nuevo RECO. Se resalta en la base de datos a las 
                           señales nuevas  con letra color rojo y a las señales anteriores con letras color negro para 
                           evidenciar que no hubo modificaciones a las señales de los Recos existentes. 
		     ✓   Tabla de base de datos acordada con cliente en la reunión del Lunes 5 de agosto de 2024    
		     ✓   Backup  de  los  archivos  de  la  configuración  final  del  RTU  de  Shell  Sierras  Blancas  con  la 
                           implementación del nuevo Reco EPF/PK9.  
OBSERVACIONES  
	            ✓   Se encontró al inicio de la puesta en servicio que uno de los Reconectadores, el denominado 
                          OL79-02, estaba desconectado de la red. Se consultó con personal de SITEC y refirieron que ese 
                          equipo había fallado y al reponerlo nunca le descargaron la configuración. Debido a esto, Hitachi 
                          Energy no puede constatar el estado de las señales de ese RECO previo y posterior al cambio de 
                          la base de datos y no se puede hacer responsable de ninguna señal proveniente de este equipo 
                          ya que esta fuera del alcance de esta puesta en servicio.  
		    ✓   En el momento del ensayo de funciones de protección (disparos por tensión, corriente y  
                          frecuencia), El centro de control no pudo comprobar algunas señales debido a que no tenían 
                          cargadas las señales en el sistema. Mediante un simulador Modbus se pudo corroborar el  
                          correcto envío hacia centro de control. Una vez establecida la base de Datos por parte de 
                          Honeywell se continuo con las pruebas desde centro de control. 
		          Quedan marcadas con un color diferente en el documento de base de datos las que se pudo 
                          comprobar con Honeywel y las que se  comprobaron  con  el  simulador  Modbus.  Se  adjunta  
                          también  documento  discutido en reuniones previas a la puesta en servicio donde constan que la 
                          mayoría de las señales de disparo que no se pudieron comprobar directamente con Honeywel no 
                          se deberían reportar hacia ellos. Igualmente, desde Hitachi Energy esas señales quedaron 
                          reportándose a Centro de control quedando a decisión de Shell si las van a reportar o no.  
	            ✓   El servicio se prolongó tres días adicionales a los contemplados en la orden de compra original,             
                          dos no hábiles y uno hábil, por motivos ajenos a Hitachi Energy.  
12/08/2024  Los trabajos se prolongaron hasta el 12/08, 3 dias despues dela fecha prevista para finalizar.
14/08/2024  Se establecen los siguientes adicionales :
                    • En Sitio se pasa adicional como dos dias no laborables + Un dia laborable
                    • En Oficina, se consideran horas de Ingenieria en la semana previa (Pre-SAT) y durante el SAT (como 
                      asistencia remota al Sitio) 
	                      • Ale Fusco : 43 hs  pre-SAT + x hs de asistencia remota. 82hs de ADF en total
	                      • Fernando Caballero : X hs pre-SAT
	                      • LE : 9 hs
	                      • PM : 24 hs
                     • Se espera el pedido de asistencia para la energización a fines de Agosto.
	             • Segun lo conversado con  Enzo,  establecimos que para la confeccion de los dos manuales (el de 
                       Operacion y el de Configuracion)  partiendo de cero, nos llevaria unos 4 dias de Ingeniero.
	• Para las horas adicionales de Ale Fusco, LE y las que utilizo Fernando en oficina (Pre-SAT), Otto deberia 
           deducirles las 73 hs de Ingenieria  contempladas en la oferta.  
	• y si, adicionar los 2 dias No laborables + 1 dia Laborable  en Sitio por demoras   de un Ingeniero de campo.
23/08/2024   Hasta el momento no se aceptó la propuesta de entregar los Manual de Operación y Configuración.  Sólo se pagaran los adicionales por Horas adicionadas en Sitio (Asistencia a la Puesta en marcha de la RTU)
28/08/2024   El cliente informó que va a solicitar asistencia a la puesta en marcha, pero aún no 
                      tenemos la OC ni han indicado la fecha.  Esto lo manejaremos como un adicional del 
                      proyecto, por lo que aún no estaría cerrado. 
03/09/2024  Otto (PM) confirma que PAE envio la PO para la asistencia a la PES de la Subestacion con la RTU. 
Se espera confirmacion de ENZO de las fechas propuestas por El cliente para el servicio los días 19 y 20 
de septiembre.
También se hace una extención de las OC existentes por los 3 dias adicionales en sitio.
ENZO : "Tenemos disponibilidad de Fernando David Caballero en esas fechas, ya lanzo la logística para ese pedido." 
"Importante remarcar al cliente que, en caso de no realizarse en esa fecha, Fernando ya no tendrá disponibilidad en las semanas siguientes."
19/09/2024  19/09 y 20/09  Asistencia en Sitio a la PES de la Subestación.
23/09/2024  Borrador Acta de servicio con la Observación de entregar el archivo de configuración de RTU con una nueva dirección hacia centro de control, la cual será cargado en el momento que realicen el cambio de equipamiento  y de direcciones de la  VLAN
23/10/2024  Asistencia a Sitio
</t>
  </si>
  <si>
    <t>Inicio proyecto: 18/07/24
Compromiso contractual inicio FAT: 18/07/25</t>
  </si>
  <si>
    <r>
      <rPr>
        <b/>
        <sz val="10"/>
        <color rgb="FFFF0000"/>
        <rFont val="Arial"/>
        <family val="2"/>
      </rPr>
      <t>Ultima rev. 23/09/2024</t>
    </r>
    <r>
      <rPr>
        <sz val="10"/>
        <color rgb="FF000000"/>
        <rFont val="Arial"/>
        <family val="2"/>
      </rPr>
      <t xml:space="preserve">
23/09/2024. SSe tienen que reclasificar las horas de control que se asignaron por error al proyecto y correspondían a una asistencia para la SE192
=================================================================================
04/09/2024. Se cargaron las horas revisadas con los coordinadores y comunicadas al PM. Falta que convoque a KOM para confirmarlas.
=================================================================================
07/08/2024. Carga inicial del proyecto con valores del preclaculo. Falta revisión con coordinadores porque no me cierran las horas
=================================================================================</t>
    </r>
  </si>
  <si>
    <r>
      <rPr>
        <b/>
        <sz val="10"/>
        <color rgb="FFFF0000"/>
        <rFont val="Arial"/>
        <family val="2"/>
      </rPr>
      <t>Ultima rev. 23/09/2024</t>
    </r>
    <r>
      <rPr>
        <sz val="10"/>
        <color rgb="FF000000"/>
        <rFont val="Arial"/>
        <family val="2"/>
      </rPr>
      <t xml:space="preserve">
23/09/2024. Se cargaron las horas de ingeniería que si bien se realizó la tarea pero no me pasaron nada y correspondería al listado prliminar de materiales.
=================================================================================
04/09/2024. Se cargaron las horas revisadas con los coordinadores y comunicadas al PM. Falta que convoque a KOM para confirmarlas.
=================================================================================
07/08/2024. Carga inicial del proyecto sin valores de hora porque no tenemos el preca que iba a compartirse despues de la HOM. 
=================================================================================</t>
    </r>
  </si>
  <si>
    <r>
      <t>Ultima rev.</t>
    </r>
    <r>
      <rPr>
        <b/>
        <sz val="10"/>
        <color rgb="FF000000"/>
        <rFont val="Arial"/>
        <family val="2"/>
      </rPr>
      <t xml:space="preserve"> 5/9/2024                                                                                                                                                                                                       </t>
    </r>
    <r>
      <rPr>
        <sz val="10"/>
        <color rgb="FF000000"/>
        <rFont val="Arial"/>
        <family val="2"/>
      </rPr>
      <t xml:space="preserve">5/9/2024. Primera revisión de Hs. Se está coordinando con PAE que servicios requieren.                                                                                                                                                                                                                    </t>
    </r>
  </si>
  <si>
    <t>Inicio del proyecto: 19/08/24
Compromiso contractual finalización ensayos FAT: 30/04/25</t>
  </si>
  <si>
    <r>
      <rPr>
        <b/>
        <sz val="10"/>
        <color rgb="FF000000"/>
        <rFont val="Arial"/>
        <family val="2"/>
      </rPr>
      <t xml:space="preserve">Ultima rev. 27/09/2024
</t>
    </r>
    <r>
      <rPr>
        <sz val="10"/>
        <color rgb="FF000000"/>
        <rFont val="Arial"/>
        <family val="2"/>
      </rPr>
      <t>27/09/2024. Carga inicial del proyecto.Sin hs consumidas.</t>
    </r>
  </si>
  <si>
    <r>
      <rPr>
        <b/>
        <sz val="10"/>
        <color rgb="FF000000"/>
        <rFont val="Arial"/>
        <family val="2"/>
      </rPr>
      <t xml:space="preserve">Ultima rev. 08/10/2024
</t>
    </r>
    <r>
      <rPr>
        <sz val="10"/>
        <color rgb="FF000000"/>
        <rFont val="Arial"/>
        <family val="2"/>
      </rPr>
      <t>08/10/2024. Carga inicial del proyecto.Sin hs consumidas.
14/10/2024  Se envia al cliente el pedido de  información técnica necesaria para el desarrollo del proyecto :
 Esquema unifilar general aprobado para fabricación.
 Esquemas trifilares aprobados para fabricación.
 Esquemas de distribución de SSAA de CC y CA aprobados para fabricación.
 Esquema funcional de comando de los interruptores y seccionadores de 132kV, aprobados
para fabricación.
 planillas para llenado de ajustes de protecciones de acuerdo al formato HE.
Tambien se emite la siguiente documentacion :
 Elenco de Documentos
 Lista de Hw y Sw
 Cronograma
18/10/2024  recibimos los codigos EPEN para la documentacion del ELENCO
21/10/2024  Reunion con GI para confrontar el acuerdo entre Ventas de ambos lados.</t>
    </r>
  </si>
  <si>
    <t>QXXXXXX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</si>
</sst>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 &quot;$&quot;\ * #,##0.00_ ;_ &quot;$&quot;\ * \-#,##0.00_ ;_ &quot;$&quot;\ * &quot;-&quot;??_ ;_ @_ "/>
    <numFmt numFmtId="165" formatCode="_ * #,##0.00_ ;_ * \-#,##0.00_ ;_ * &quot;-&quot;??_ ;_ @_ "/>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color rgb="FFFF0000"/>
      <name val="Arial"/>
      <family val="2"/>
    </font>
    <font>
      <b/>
      <sz val="8"/>
      <color theme="1"/>
      <name val="Calibri"/>
      <family val="2"/>
      <scheme val="minor"/>
    </font>
    <font>
      <sz val="9"/>
      <color indexed="81"/>
      <name val="Tahoma"/>
      <family val="2"/>
    </font>
    <font>
      <b/>
      <sz val="9"/>
      <color indexed="81"/>
      <name val="Tahoma"/>
      <family val="2"/>
    </font>
    <font>
      <sz val="10"/>
      <color theme="1"/>
      <name val="Arial"/>
      <family val="2"/>
    </font>
    <font>
      <sz val="8"/>
      <color theme="1"/>
      <name val="Calibri"/>
      <family val="2"/>
      <scheme val="minor"/>
    </font>
    <font>
      <sz val="10"/>
      <color indexed="8"/>
      <name val="Arial"/>
      <family val="2"/>
    </font>
    <font>
      <sz val="8"/>
      <color indexed="8"/>
      <name val="Calibri"/>
      <family val="2"/>
    </font>
    <font>
      <b/>
      <sz val="8"/>
      <color indexed="8"/>
      <name val="Calibri"/>
      <family val="2"/>
    </font>
    <font>
      <sz val="8"/>
      <color theme="1"/>
      <name val="Calibri"/>
      <family val="2"/>
    </font>
    <font>
      <sz val="9"/>
      <name val="Arial"/>
      <family val="2"/>
    </font>
    <font>
      <b/>
      <sz val="9"/>
      <name val="Arial"/>
      <family val="2"/>
    </font>
    <font>
      <b/>
      <sz val="10"/>
      <color rgb="FFFF0000"/>
      <name val="Arial"/>
      <family val="2"/>
    </font>
    <font>
      <sz val="8"/>
      <name val="Arial"/>
      <family val="2"/>
    </font>
    <font>
      <b/>
      <sz val="12"/>
      <color theme="1"/>
      <name val="Calibri"/>
      <family val="2"/>
      <scheme val="minor"/>
    </font>
    <font>
      <sz val="9"/>
      <color theme="0"/>
      <name val="Arial"/>
      <family val="2"/>
    </font>
    <font>
      <b/>
      <sz val="9"/>
      <color theme="0"/>
      <name val="Arial"/>
      <family val="2"/>
    </font>
    <font>
      <sz val="9"/>
      <color rgb="FFFF0000"/>
      <name val="Arial"/>
      <family val="2"/>
    </font>
    <font>
      <sz val="9"/>
      <color theme="0" tint="-4.9989318521683403E-2"/>
      <name val="Arial"/>
      <family val="2"/>
    </font>
    <font>
      <b/>
      <sz val="9"/>
      <color theme="0" tint="-4.9989318521683403E-2"/>
      <name val="Arial"/>
      <family val="2"/>
    </font>
    <font>
      <b/>
      <sz val="10"/>
      <color theme="0"/>
      <name val="Arial"/>
      <family val="2"/>
    </font>
    <font>
      <sz val="10"/>
      <color theme="0"/>
      <name val="Arial"/>
      <family val="2"/>
    </font>
    <font>
      <b/>
      <i/>
      <sz val="9"/>
      <color rgb="FF0070C0"/>
      <name val="Arial"/>
      <family val="2"/>
    </font>
    <font>
      <i/>
      <sz val="9"/>
      <name val="Arial"/>
      <family val="2"/>
    </font>
    <font>
      <b/>
      <i/>
      <sz val="9"/>
      <name val="Arial"/>
      <family val="2"/>
    </font>
    <font>
      <sz val="9"/>
      <color theme="1"/>
      <name val="Calibri"/>
      <family val="2"/>
      <scheme val="minor"/>
    </font>
    <font>
      <b/>
      <i/>
      <sz val="9"/>
      <color theme="4"/>
      <name val="Arial"/>
      <family val="2"/>
    </font>
    <font>
      <sz val="10"/>
      <color theme="1"/>
      <name val="Calibri"/>
      <family val="2"/>
    </font>
    <font>
      <b/>
      <sz val="10"/>
      <color rgb="FF000000"/>
      <name val="Arial"/>
      <family val="2"/>
    </font>
    <font>
      <sz val="10"/>
      <color rgb="FF000000"/>
      <name val="Arial"/>
      <family val="2"/>
    </font>
    <font>
      <b/>
      <sz val="9"/>
      <color rgb="FF000000"/>
      <name val="Arial"/>
      <family val="2"/>
    </font>
    <font>
      <sz val="9"/>
      <color rgb="FF000000"/>
      <name val="Arial"/>
      <family val="2"/>
    </font>
    <font>
      <sz val="10"/>
      <color rgb="FF7030A0"/>
      <name val="Arial"/>
      <family val="2"/>
    </font>
    <font>
      <b/>
      <i/>
      <sz val="10"/>
      <color rgb="FF4472C4"/>
      <name val="Arial"/>
      <family val="2"/>
    </font>
    <font>
      <b/>
      <i/>
      <sz val="10"/>
      <color rgb="FF4F81BD"/>
      <name val="Arial"/>
      <family val="2"/>
    </font>
    <font>
      <b/>
      <i/>
      <sz val="10"/>
      <color rgb="FFFF0000"/>
      <name val="Arial"/>
      <family val="2"/>
    </font>
    <font>
      <sz val="10"/>
      <color rgb="FF0070C0"/>
      <name val="Arial"/>
      <family val="2"/>
    </font>
    <font>
      <sz val="8"/>
      <color rgb="FF242424"/>
      <name val="Calibri"/>
      <family val="2"/>
    </font>
    <font>
      <sz val="8"/>
      <color rgb="FF000000"/>
      <name val="Calibri"/>
      <family val="2"/>
    </font>
    <font>
      <sz val="8"/>
      <color rgb="FF242424"/>
      <name val="Calibri"/>
      <family val="2"/>
      <scheme val="minor"/>
    </font>
    <font>
      <i/>
      <sz val="10"/>
      <color rgb="FF000000"/>
      <name val="Arial"/>
      <family val="2"/>
    </font>
    <font>
      <u/>
      <sz val="10"/>
      <color rgb="FF000000"/>
      <name val="Arial"/>
      <family val="2"/>
    </font>
    <font>
      <b/>
      <sz val="10"/>
      <color rgb="FFFF0000"/>
      <name val="Arial"/>
    </font>
    <font>
      <sz val="10"/>
      <color rgb="FF000000"/>
      <name val="Arial"/>
    </font>
    <font>
      <b/>
      <sz val="10"/>
      <color rgb="FF000000"/>
      <name val="Arial"/>
    </font>
    <font>
      <b/>
      <sz val="9"/>
      <color rgb="FF000000"/>
      <name val="Arial"/>
    </font>
    <font>
      <sz val="9"/>
      <color rgb="FF000000"/>
      <name val="Arial"/>
    </font>
  </fonts>
  <fills count="2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9" tint="0.59999389629810485"/>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9" tint="0.39997558519241921"/>
        <bgColor theme="4" tint="0.59999389629810485"/>
      </patternFill>
    </fill>
    <fill>
      <patternFill patternType="solid">
        <fgColor theme="7" tint="0.59999389629810485"/>
        <bgColor indexed="64"/>
      </patternFill>
    </fill>
    <fill>
      <patternFill patternType="solid">
        <fgColor theme="0" tint="-0.249977111117893"/>
        <bgColor indexed="64"/>
      </patternFill>
    </fill>
    <fill>
      <patternFill patternType="solid">
        <fgColor rgb="FFFFFF00"/>
        <bgColor theme="4" tint="0.59999389629810485"/>
      </patternFill>
    </fill>
    <fill>
      <patternFill patternType="solid">
        <fgColor rgb="FFFFFFCC"/>
        <bgColor theme="4" tint="0.59999389629810485"/>
      </patternFill>
    </fill>
    <fill>
      <patternFill patternType="solid">
        <fgColor rgb="FFFFFFCC"/>
        <bgColor indexed="64"/>
      </patternFill>
    </fill>
    <fill>
      <patternFill patternType="solid">
        <fgColor rgb="FFF4B084"/>
        <bgColor indexed="64"/>
      </patternFill>
    </fill>
    <fill>
      <patternFill patternType="solid">
        <fgColor theme="8" tint="0.59999389629810485"/>
        <bgColor indexed="64"/>
      </patternFill>
    </fill>
    <fill>
      <patternFill patternType="solid">
        <fgColor rgb="FFFABF8F"/>
        <bgColor indexed="64"/>
      </patternFill>
    </fill>
    <fill>
      <patternFill patternType="solid">
        <fgColor rgb="FFC4D79B"/>
        <bgColor rgb="FF000000"/>
      </patternFill>
    </fill>
    <fill>
      <patternFill patternType="solid">
        <fgColor theme="6" tint="0.79998168889431442"/>
        <bgColor indexed="64"/>
      </patternFill>
    </fill>
    <fill>
      <patternFill patternType="solid">
        <fgColor theme="6" tint="0.79998168889431442"/>
        <bgColor rgb="FF000000"/>
      </patternFill>
    </fill>
    <fill>
      <patternFill patternType="solid">
        <fgColor theme="6" tint="0.39997558519241921"/>
        <bgColor rgb="FF000000"/>
      </patternFill>
    </fill>
    <fill>
      <patternFill patternType="solid">
        <fgColor rgb="FFB8CCE4"/>
        <bgColor rgb="FFB8CCE4"/>
      </patternFill>
    </fill>
    <fill>
      <patternFill patternType="solid">
        <fgColor rgb="FFDCE6F1"/>
        <bgColor rgb="FFDCE6F1"/>
      </patternFill>
    </fill>
  </fills>
  <borders count="2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style="thin">
        <color theme="0"/>
      </left>
      <right style="thin">
        <color theme="0"/>
      </right>
      <top/>
      <bottom/>
      <diagonal/>
    </border>
    <border>
      <left style="thin">
        <color indexed="64"/>
      </left>
      <right style="thin">
        <color indexed="64"/>
      </right>
      <top/>
      <bottom/>
      <diagonal/>
    </border>
    <border>
      <left style="thin">
        <color theme="0"/>
      </left>
      <right style="thin">
        <color theme="0"/>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rgb="FFFFFFFF"/>
      </left>
      <right style="thin">
        <color rgb="FFFFFFFF"/>
      </right>
      <top style="thin">
        <color rgb="FFFFFFFF"/>
      </top>
      <bottom/>
      <diagonal/>
    </border>
    <border>
      <left style="thin">
        <color rgb="FFFFFFFF"/>
      </left>
      <right style="thin">
        <color rgb="FFFFFFFF"/>
      </right>
      <top/>
      <bottom/>
      <diagonal/>
    </border>
    <border>
      <left style="thin">
        <color rgb="FFFFFFFF"/>
      </left>
      <right style="thin">
        <color rgb="FFFFFFFF"/>
      </right>
      <top/>
      <bottom style="thin">
        <color rgb="FFFFFFFF"/>
      </bottom>
      <diagonal/>
    </border>
    <border>
      <left/>
      <right style="thin">
        <color theme="0"/>
      </right>
      <top/>
      <bottom style="thin">
        <color rgb="FFFFFFFF"/>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theme="0"/>
      </top>
      <bottom style="thin">
        <color theme="0"/>
      </bottom>
      <diagonal/>
    </border>
    <border>
      <left style="thin">
        <color indexed="64"/>
      </left>
      <right style="thin">
        <color indexed="64"/>
      </right>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style="thin">
        <color indexed="64"/>
      </bottom>
      <diagonal/>
    </border>
    <border>
      <left/>
      <right style="thin">
        <color theme="0"/>
      </right>
      <top style="thin">
        <color indexed="64"/>
      </top>
      <bottom/>
      <diagonal/>
    </border>
    <border>
      <left/>
      <right style="thin">
        <color theme="0"/>
      </right>
      <top/>
      <bottom style="thin">
        <color indexed="64"/>
      </bottom>
      <diagonal/>
    </border>
    <border>
      <left style="thin">
        <color rgb="FFFFFFFF"/>
      </left>
      <right style="thin">
        <color rgb="FFFFFFFF"/>
      </right>
      <top style="thin">
        <color rgb="FFFFFFFF"/>
      </top>
      <bottom style="thin">
        <color rgb="FFFFFFFF"/>
      </bottom>
      <diagonal/>
    </border>
    <border>
      <left/>
      <right/>
      <top/>
      <bottom style="thin">
        <color theme="0"/>
      </bottom>
      <diagonal/>
    </border>
  </borders>
  <cellStyleXfs count="22">
    <xf numFmtId="0" fontId="0" fillId="0" borderId="0"/>
    <xf numFmtId="0" fontId="7" fillId="0" borderId="0"/>
    <xf numFmtId="9" fontId="7" fillId="0" borderId="0" applyFont="0" applyFill="0" applyBorder="0" applyAlignment="0" applyProtection="0"/>
    <xf numFmtId="165" fontId="7"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6" fillId="0" borderId="0"/>
    <xf numFmtId="9" fontId="6" fillId="0" borderId="0" applyFont="0" applyFill="0" applyBorder="0" applyAlignment="0" applyProtection="0"/>
    <xf numFmtId="0" fontId="16" fillId="0" borderId="0"/>
    <xf numFmtId="0" fontId="5" fillId="0" borderId="0"/>
    <xf numFmtId="0" fontId="4" fillId="0" borderId="0"/>
    <xf numFmtId="0" fontId="7" fillId="0" borderId="0"/>
    <xf numFmtId="0" fontId="3" fillId="0" borderId="0"/>
    <xf numFmtId="165" fontId="3" fillId="0" borderId="0" applyFont="0" applyFill="0" applyBorder="0" applyAlignment="0" applyProtection="0"/>
    <xf numFmtId="164" fontId="3" fillId="0" borderId="0" applyFont="0" applyFill="0" applyBorder="0" applyAlignment="0" applyProtection="0"/>
    <xf numFmtId="0" fontId="3" fillId="0" borderId="0"/>
    <xf numFmtId="0" fontId="2" fillId="0" borderId="0"/>
    <xf numFmtId="165" fontId="2" fillId="0" borderId="0" applyFont="0" applyFill="0" applyBorder="0" applyAlignment="0" applyProtection="0"/>
    <xf numFmtId="164" fontId="2" fillId="0" borderId="0" applyFont="0" applyFill="0" applyBorder="0" applyAlignment="0" applyProtection="0"/>
    <xf numFmtId="0" fontId="2" fillId="0" borderId="0"/>
    <xf numFmtId="0" fontId="1" fillId="0" borderId="0"/>
  </cellStyleXfs>
  <cellXfs count="259">
    <xf numFmtId="0" fontId="0" fillId="0" borderId="0" xfId="0" applyAlignment="1">
      <alignment vertical="top"/>
    </xf>
    <xf numFmtId="0" fontId="7" fillId="0" borderId="0" xfId="0" applyFont="1" applyAlignment="1">
      <alignment vertical="top"/>
    </xf>
    <xf numFmtId="0" fontId="7" fillId="0" borderId="0" xfId="0" applyFont="1"/>
    <xf numFmtId="0" fontId="17" fillId="0" borderId="0" xfId="9" applyFont="1" applyAlignment="1">
      <alignment wrapText="1"/>
    </xf>
    <xf numFmtId="0" fontId="17" fillId="0" borderId="9" xfId="9" applyFont="1" applyBorder="1" applyAlignment="1">
      <alignment wrapText="1"/>
    </xf>
    <xf numFmtId="1" fontId="0" fillId="0" borderId="0" xfId="0" applyNumberFormat="1" applyAlignment="1">
      <alignment horizontal="center" vertical="center"/>
    </xf>
    <xf numFmtId="1" fontId="11" fillId="6" borderId="5" xfId="0" applyNumberFormat="1" applyFont="1" applyFill="1" applyBorder="1" applyAlignment="1">
      <alignment horizontal="center" vertical="center"/>
    </xf>
    <xf numFmtId="1" fontId="14" fillId="6" borderId="4" xfId="0" applyNumberFormat="1" applyFont="1" applyFill="1" applyBorder="1" applyAlignment="1">
      <alignment horizontal="center" vertical="center"/>
    </xf>
    <xf numFmtId="1" fontId="0" fillId="6" borderId="0" xfId="0" applyNumberFormat="1" applyFill="1" applyAlignment="1">
      <alignment horizontal="center" vertical="center"/>
    </xf>
    <xf numFmtId="1" fontId="14" fillId="6" borderId="5" xfId="0" applyNumberFormat="1" applyFont="1" applyFill="1" applyBorder="1" applyAlignment="1">
      <alignment horizontal="center" vertical="center"/>
    </xf>
    <xf numFmtId="1" fontId="18" fillId="6" borderId="5" xfId="9" applyNumberFormat="1" applyFont="1" applyFill="1" applyBorder="1" applyAlignment="1">
      <alignment horizontal="center"/>
    </xf>
    <xf numFmtId="1" fontId="19" fillId="6" borderId="5" xfId="9" applyNumberFormat="1" applyFont="1" applyFill="1" applyBorder="1" applyAlignment="1">
      <alignment horizontal="center" vertical="center"/>
    </xf>
    <xf numFmtId="1" fontId="14" fillId="6" borderId="0" xfId="0" applyNumberFormat="1" applyFont="1" applyFill="1" applyAlignment="1">
      <alignment horizontal="center" vertical="center"/>
    </xf>
    <xf numFmtId="1" fontId="18" fillId="7" borderId="6" xfId="9" applyNumberFormat="1" applyFont="1" applyFill="1" applyBorder="1" applyAlignment="1">
      <alignment horizontal="center"/>
    </xf>
    <xf numFmtId="1" fontId="0" fillId="8" borderId="0" xfId="0" applyNumberFormat="1" applyFill="1" applyAlignment="1">
      <alignment horizontal="center" vertical="center"/>
    </xf>
    <xf numFmtId="1" fontId="14" fillId="8" borderId="4" xfId="0" applyNumberFormat="1" applyFont="1" applyFill="1" applyBorder="1" applyAlignment="1">
      <alignment horizontal="center" vertical="center"/>
    </xf>
    <xf numFmtId="1" fontId="14" fillId="9" borderId="11" xfId="0" applyNumberFormat="1" applyFont="1" applyFill="1" applyBorder="1" applyAlignment="1">
      <alignment horizontal="center" vertical="center"/>
    </xf>
    <xf numFmtId="1" fontId="14" fillId="8" borderId="5" xfId="0" applyNumberFormat="1" applyFont="1" applyFill="1" applyBorder="1" applyAlignment="1">
      <alignment horizontal="center" vertical="center"/>
    </xf>
    <xf numFmtId="1" fontId="14" fillId="8" borderId="0" xfId="0" applyNumberFormat="1" applyFont="1" applyFill="1" applyAlignment="1">
      <alignment horizontal="center" vertical="center"/>
    </xf>
    <xf numFmtId="1" fontId="14" fillId="4" borderId="11" xfId="0" applyNumberFormat="1" applyFont="1" applyFill="1" applyBorder="1" applyAlignment="1">
      <alignment horizontal="center" vertical="center"/>
    </xf>
    <xf numFmtId="1" fontId="14" fillId="6" borderId="9" xfId="0" applyNumberFormat="1" applyFont="1" applyFill="1" applyBorder="1" applyAlignment="1">
      <alignment horizontal="center" vertical="center"/>
    </xf>
    <xf numFmtId="1" fontId="10" fillId="4" borderId="11" xfId="0" applyNumberFormat="1" applyFont="1" applyFill="1" applyBorder="1" applyAlignment="1">
      <alignment horizontal="center" vertical="center"/>
    </xf>
    <xf numFmtId="1" fontId="0" fillId="6" borderId="5" xfId="0" applyNumberFormat="1" applyFill="1" applyBorder="1" applyAlignment="1">
      <alignment horizontal="center" vertical="center"/>
    </xf>
    <xf numFmtId="1" fontId="19" fillId="6" borderId="9" xfId="9" applyNumberFormat="1" applyFont="1" applyFill="1" applyBorder="1" applyAlignment="1">
      <alignment horizontal="center" vertical="center"/>
    </xf>
    <xf numFmtId="1" fontId="0" fillId="8" borderId="4" xfId="0" applyNumberFormat="1" applyFill="1" applyBorder="1" applyAlignment="1">
      <alignment horizontal="center" vertical="center"/>
    </xf>
    <xf numFmtId="1" fontId="0" fillId="8" borderId="5" xfId="0" applyNumberFormat="1" applyFill="1" applyBorder="1" applyAlignment="1">
      <alignment horizontal="center" vertical="center"/>
    </xf>
    <xf numFmtId="1" fontId="0" fillId="8" borderId="9" xfId="0" applyNumberFormat="1" applyFill="1" applyBorder="1" applyAlignment="1">
      <alignment horizontal="center" vertical="center"/>
    </xf>
    <xf numFmtId="1" fontId="0" fillId="0" borderId="4" xfId="0" applyNumberFormat="1" applyBorder="1" applyAlignment="1">
      <alignment horizontal="center" vertical="center"/>
    </xf>
    <xf numFmtId="1" fontId="0" fillId="8" borderId="11" xfId="0" applyNumberFormat="1" applyFill="1" applyBorder="1" applyAlignment="1">
      <alignment horizontal="center" vertical="center"/>
    </xf>
    <xf numFmtId="0" fontId="18" fillId="6" borderId="5" xfId="9" applyFont="1" applyFill="1" applyBorder="1" applyAlignment="1">
      <alignment horizontal="center"/>
    </xf>
    <xf numFmtId="0" fontId="18" fillId="6" borderId="12" xfId="9" applyFont="1" applyFill="1" applyBorder="1" applyAlignment="1">
      <alignment horizontal="center"/>
    </xf>
    <xf numFmtId="0" fontId="18" fillId="7" borderId="5" xfId="9" applyFont="1" applyFill="1" applyBorder="1" applyAlignment="1">
      <alignment horizontal="center"/>
    </xf>
    <xf numFmtId="0" fontId="18" fillId="7" borderId="0" xfId="9" applyFont="1" applyFill="1" applyAlignment="1">
      <alignment horizontal="center"/>
    </xf>
    <xf numFmtId="0" fontId="17" fillId="0" borderId="4" xfId="9" applyFont="1" applyBorder="1" applyAlignment="1">
      <alignment wrapText="1"/>
    </xf>
    <xf numFmtId="1" fontId="14" fillId="4" borderId="0" xfId="0" applyNumberFormat="1" applyFont="1" applyFill="1" applyAlignment="1">
      <alignment horizontal="center" vertical="center"/>
    </xf>
    <xf numFmtId="1" fontId="14" fillId="9" borderId="0" xfId="0" applyNumberFormat="1" applyFont="1" applyFill="1" applyAlignment="1">
      <alignment horizontal="center" vertical="center"/>
    </xf>
    <xf numFmtId="0" fontId="17" fillId="0" borderId="5" xfId="9" applyFont="1" applyBorder="1" applyAlignment="1">
      <alignment wrapText="1"/>
    </xf>
    <xf numFmtId="1" fontId="15" fillId="0" borderId="0" xfId="0" applyNumberFormat="1" applyFont="1"/>
    <xf numFmtId="1" fontId="0" fillId="0" borderId="0" xfId="0" applyNumberFormat="1" applyAlignment="1">
      <alignment vertical="top"/>
    </xf>
    <xf numFmtId="0" fontId="15" fillId="0" borderId="0" xfId="0" applyFont="1"/>
    <xf numFmtId="1" fontId="24" fillId="0" borderId="0" xfId="0" applyNumberFormat="1" applyFont="1"/>
    <xf numFmtId="1" fontId="14" fillId="2" borderId="5" xfId="0" applyNumberFormat="1" applyFont="1" applyFill="1" applyBorder="1" applyAlignment="1">
      <alignment horizontal="center" vertical="center"/>
    </xf>
    <xf numFmtId="9" fontId="18" fillId="7" borderId="0" xfId="2" applyFont="1" applyFill="1" applyAlignment="1">
      <alignment horizontal="center"/>
    </xf>
    <xf numFmtId="9" fontId="14" fillId="4" borderId="11" xfId="2" applyFont="1" applyFill="1" applyBorder="1" applyAlignment="1">
      <alignment horizontal="center" vertical="center"/>
    </xf>
    <xf numFmtId="1" fontId="14" fillId="4" borderId="11" xfId="2" applyNumberFormat="1" applyFont="1" applyFill="1" applyBorder="1" applyAlignment="1">
      <alignment horizontal="center" vertical="center"/>
    </xf>
    <xf numFmtId="9" fontId="0" fillId="0" borderId="0" xfId="2" applyFont="1" applyAlignment="1">
      <alignment vertical="top"/>
    </xf>
    <xf numFmtId="1" fontId="35" fillId="0" borderId="0" xfId="0" applyNumberFormat="1" applyFont="1"/>
    <xf numFmtId="1" fontId="20" fillId="5" borderId="1" xfId="0" applyNumberFormat="1" applyFont="1" applyFill="1" applyBorder="1" applyAlignment="1">
      <alignment horizontal="center" vertical="top"/>
    </xf>
    <xf numFmtId="0" fontId="35" fillId="10" borderId="1" xfId="0" applyFont="1" applyFill="1" applyBorder="1" applyAlignment="1">
      <alignment horizontal="center"/>
    </xf>
    <xf numFmtId="1" fontId="14" fillId="4" borderId="5" xfId="0" applyNumberFormat="1" applyFont="1" applyFill="1" applyBorder="1" applyAlignment="1">
      <alignment horizontal="center" vertical="center"/>
    </xf>
    <xf numFmtId="1" fontId="14" fillId="9" borderId="5" xfId="0" applyNumberFormat="1" applyFont="1" applyFill="1" applyBorder="1" applyAlignment="1">
      <alignment horizontal="center" vertical="center"/>
    </xf>
    <xf numFmtId="1" fontId="14" fillId="4" borderId="14" xfId="0" applyNumberFormat="1" applyFont="1" applyFill="1" applyBorder="1" applyAlignment="1">
      <alignment horizontal="center" vertical="center"/>
    </xf>
    <xf numFmtId="0" fontId="18" fillId="0" borderId="6" xfId="9" applyFont="1" applyBorder="1" applyAlignment="1">
      <alignment horizontal="center"/>
    </xf>
    <xf numFmtId="1" fontId="14" fillId="6" borderId="5" xfId="9" applyNumberFormat="1" applyFont="1" applyFill="1" applyBorder="1" applyAlignment="1">
      <alignment horizontal="center" vertical="center"/>
    </xf>
    <xf numFmtId="1" fontId="10" fillId="6" borderId="4" xfId="0" applyNumberFormat="1" applyFont="1" applyFill="1" applyBorder="1" applyAlignment="1">
      <alignment horizontal="center" vertical="center"/>
    </xf>
    <xf numFmtId="1" fontId="10" fillId="6" borderId="5" xfId="9" applyNumberFormat="1" applyFont="1" applyFill="1" applyBorder="1" applyAlignment="1">
      <alignment horizontal="center" vertical="center"/>
    </xf>
    <xf numFmtId="1" fontId="37" fillId="6" borderId="5" xfId="9" applyNumberFormat="1" applyFont="1" applyFill="1" applyBorder="1" applyAlignment="1">
      <alignment horizontal="center" vertical="center"/>
    </xf>
    <xf numFmtId="1" fontId="14" fillId="12" borderId="11" xfId="0" applyNumberFormat="1" applyFont="1" applyFill="1" applyBorder="1" applyAlignment="1">
      <alignment horizontal="center" vertical="center"/>
    </xf>
    <xf numFmtId="0" fontId="35" fillId="0" borderId="0" xfId="0" applyFont="1" applyAlignment="1">
      <alignment horizontal="center"/>
    </xf>
    <xf numFmtId="0" fontId="18" fillId="2" borderId="0" xfId="9" applyFont="1" applyFill="1" applyAlignment="1">
      <alignment horizontal="center"/>
    </xf>
    <xf numFmtId="1" fontId="14" fillId="13" borderId="11" xfId="0" applyNumberFormat="1" applyFont="1" applyFill="1" applyBorder="1" applyAlignment="1">
      <alignment horizontal="center" vertical="center"/>
    </xf>
    <xf numFmtId="1" fontId="0" fillId="14" borderId="11" xfId="0" applyNumberFormat="1" applyFill="1" applyBorder="1" applyAlignment="1">
      <alignment horizontal="center" vertical="center"/>
    </xf>
    <xf numFmtId="1" fontId="14" fillId="13" borderId="0" xfId="0" applyNumberFormat="1" applyFont="1" applyFill="1" applyAlignment="1">
      <alignment horizontal="center" vertical="center"/>
    </xf>
    <xf numFmtId="1" fontId="0" fillId="14" borderId="4" xfId="0" applyNumberFormat="1" applyFill="1" applyBorder="1" applyAlignment="1">
      <alignment horizontal="center" vertical="center"/>
    </xf>
    <xf numFmtId="1" fontId="14" fillId="13" borderId="5" xfId="0" applyNumberFormat="1" applyFont="1" applyFill="1" applyBorder="1" applyAlignment="1">
      <alignment horizontal="center" vertical="center"/>
    </xf>
    <xf numFmtId="1" fontId="14" fillId="13" borderId="14" xfId="0" applyNumberFormat="1" applyFont="1" applyFill="1" applyBorder="1" applyAlignment="1">
      <alignment horizontal="center" vertical="center"/>
    </xf>
    <xf numFmtId="1" fontId="0" fillId="14" borderId="0" xfId="0" applyNumberFormat="1" applyFill="1" applyAlignment="1">
      <alignment horizontal="center" vertical="center"/>
    </xf>
    <xf numFmtId="1" fontId="10" fillId="13" borderId="11" xfId="0" applyNumberFormat="1" applyFont="1" applyFill="1" applyBorder="1" applyAlignment="1">
      <alignment horizontal="center" vertical="center"/>
    </xf>
    <xf numFmtId="1" fontId="35" fillId="0" borderId="0" xfId="0" applyNumberFormat="1" applyFont="1" applyAlignment="1">
      <alignment horizontal="center"/>
    </xf>
    <xf numFmtId="1" fontId="14" fillId="15" borderId="9" xfId="0" applyNumberFormat="1" applyFont="1" applyFill="1" applyBorder="1" applyAlignment="1">
      <alignment horizontal="center" vertical="center"/>
    </xf>
    <xf numFmtId="1" fontId="14" fillId="15" borderId="0" xfId="0" applyNumberFormat="1" applyFont="1" applyFill="1" applyAlignment="1">
      <alignment horizontal="center" vertical="center"/>
    </xf>
    <xf numFmtId="1" fontId="0" fillId="15" borderId="0" xfId="0" applyNumberFormat="1" applyFill="1" applyAlignment="1">
      <alignment horizontal="center" vertical="center"/>
    </xf>
    <xf numFmtId="1" fontId="14" fillId="15" borderId="5" xfId="0" applyNumberFormat="1" applyFont="1" applyFill="1" applyBorder="1" applyAlignment="1">
      <alignment horizontal="center" vertical="center"/>
    </xf>
    <xf numFmtId="1" fontId="10" fillId="6" borderId="5" xfId="0" applyNumberFormat="1" applyFont="1" applyFill="1" applyBorder="1" applyAlignment="1">
      <alignment horizontal="center" vertical="center"/>
    </xf>
    <xf numFmtId="1" fontId="42" fillId="6" borderId="0" xfId="0" applyNumberFormat="1" applyFont="1" applyFill="1" applyAlignment="1">
      <alignment horizontal="center" vertical="center"/>
    </xf>
    <xf numFmtId="1" fontId="14" fillId="3" borderId="8" xfId="0" applyNumberFormat="1" applyFont="1" applyFill="1" applyBorder="1" applyAlignment="1">
      <alignment horizontal="center" vertical="center"/>
    </xf>
    <xf numFmtId="1" fontId="14" fillId="8" borderId="3" xfId="0" applyNumberFormat="1" applyFont="1" applyFill="1" applyBorder="1" applyAlignment="1">
      <alignment horizontal="center" vertical="center"/>
    </xf>
    <xf numFmtId="1" fontId="14" fillId="6" borderId="3" xfId="0" applyNumberFormat="1" applyFont="1" applyFill="1" applyBorder="1" applyAlignment="1">
      <alignment horizontal="center" vertical="center"/>
    </xf>
    <xf numFmtId="1" fontId="14" fillId="3" borderId="3" xfId="0" applyNumberFormat="1" applyFont="1" applyFill="1" applyBorder="1" applyAlignment="1">
      <alignment horizontal="center" vertical="center"/>
    </xf>
    <xf numFmtId="1" fontId="14" fillId="4" borderId="3" xfId="0" applyNumberFormat="1" applyFont="1" applyFill="1" applyBorder="1" applyAlignment="1">
      <alignment horizontal="center" vertical="center"/>
    </xf>
    <xf numFmtId="1" fontId="14" fillId="6" borderId="8" xfId="0" applyNumberFormat="1" applyFont="1" applyFill="1" applyBorder="1" applyAlignment="1">
      <alignment horizontal="center" vertical="center"/>
    </xf>
    <xf numFmtId="1" fontId="14" fillId="6" borderId="11" xfId="0" applyNumberFormat="1" applyFont="1" applyFill="1" applyBorder="1" applyAlignment="1">
      <alignment horizontal="center" vertical="center"/>
    </xf>
    <xf numFmtId="1" fontId="14" fillId="4" borderId="8" xfId="0" applyNumberFormat="1" applyFont="1" applyFill="1" applyBorder="1" applyAlignment="1">
      <alignment horizontal="center" vertical="center"/>
    </xf>
    <xf numFmtId="1" fontId="14" fillId="4" borderId="4" xfId="0" applyNumberFormat="1" applyFont="1" applyFill="1" applyBorder="1" applyAlignment="1">
      <alignment horizontal="center" vertical="center"/>
    </xf>
    <xf numFmtId="1" fontId="0" fillId="17" borderId="0" xfId="0" applyNumberFormat="1" applyFill="1" applyAlignment="1">
      <alignment horizontal="center" vertical="center"/>
    </xf>
    <xf numFmtId="1" fontId="14" fillId="17" borderId="9" xfId="0" applyNumberFormat="1" applyFont="1" applyFill="1" applyBorder="1" applyAlignment="1">
      <alignment horizontal="center" vertical="center"/>
    </xf>
    <xf numFmtId="1" fontId="14" fillId="17" borderId="0" xfId="0" applyNumberFormat="1" applyFont="1" applyFill="1" applyAlignment="1">
      <alignment horizontal="center" vertical="center"/>
    </xf>
    <xf numFmtId="1" fontId="14" fillId="17" borderId="4" xfId="0" applyNumberFormat="1" applyFont="1" applyFill="1" applyBorder="1" applyAlignment="1">
      <alignment horizontal="center" vertical="center"/>
    </xf>
    <xf numFmtId="1" fontId="14" fillId="17" borderId="11" xfId="0" applyNumberFormat="1" applyFont="1" applyFill="1" applyBorder="1" applyAlignment="1">
      <alignment horizontal="center" vertical="center"/>
    </xf>
    <xf numFmtId="0" fontId="7" fillId="0" borderId="6" xfId="0" applyFont="1" applyBorder="1" applyAlignment="1">
      <alignment horizontal="left" vertical="top" wrapText="1"/>
    </xf>
    <xf numFmtId="0" fontId="39" fillId="0" borderId="13" xfId="0" applyFont="1" applyBorder="1" applyAlignment="1">
      <alignment horizontal="left" vertical="top" wrapText="1"/>
    </xf>
    <xf numFmtId="14" fontId="8" fillId="0" borderId="6" xfId="0" applyNumberFormat="1" applyFont="1" applyBorder="1" applyAlignment="1">
      <alignment horizontal="left" vertical="top" wrapText="1"/>
    </xf>
    <xf numFmtId="1" fontId="14" fillId="8" borderId="9" xfId="0" applyNumberFormat="1" applyFont="1" applyFill="1" applyBorder="1" applyAlignment="1">
      <alignment horizontal="center" vertical="center"/>
    </xf>
    <xf numFmtId="9" fontId="14" fillId="0" borderId="0" xfId="2" applyFont="1" applyFill="1" applyBorder="1" applyAlignment="1">
      <alignment horizontal="center" vertical="center"/>
    </xf>
    <xf numFmtId="1" fontId="14" fillId="0" borderId="0" xfId="2" applyNumberFormat="1" applyFont="1" applyFill="1" applyBorder="1" applyAlignment="1">
      <alignment horizontal="center" vertical="center"/>
    </xf>
    <xf numFmtId="9" fontId="14" fillId="4" borderId="0" xfId="2" applyFont="1" applyFill="1" applyBorder="1" applyAlignment="1">
      <alignment horizontal="center" vertical="center"/>
    </xf>
    <xf numFmtId="1" fontId="14" fillId="4" borderId="0" xfId="2" applyNumberFormat="1" applyFont="1" applyFill="1" applyBorder="1" applyAlignment="1">
      <alignment horizontal="center" vertical="center"/>
    </xf>
    <xf numFmtId="0" fontId="18" fillId="19" borderId="3" xfId="9" applyFont="1" applyFill="1" applyBorder="1" applyAlignment="1">
      <alignment horizontal="center"/>
    </xf>
    <xf numFmtId="0" fontId="0" fillId="19" borderId="3" xfId="0" applyFill="1" applyBorder="1" applyAlignment="1">
      <alignment horizontal="center" vertical="top"/>
    </xf>
    <xf numFmtId="0" fontId="20" fillId="19" borderId="3" xfId="0" applyFont="1" applyFill="1" applyBorder="1" applyAlignment="1">
      <alignment horizontal="left" vertical="top"/>
    </xf>
    <xf numFmtId="0" fontId="20" fillId="19" borderId="3" xfId="0" applyFont="1" applyFill="1" applyBorder="1" applyAlignment="1">
      <alignment horizontal="center" vertical="top"/>
    </xf>
    <xf numFmtId="0" fontId="20" fillId="19" borderId="6" xfId="0" applyFont="1" applyFill="1" applyBorder="1" applyAlignment="1">
      <alignment horizontal="center" vertical="top"/>
    </xf>
    <xf numFmtId="0" fontId="39" fillId="19" borderId="7" xfId="0" applyFont="1" applyFill="1" applyBorder="1" applyAlignment="1">
      <alignment vertical="top" wrapText="1"/>
    </xf>
    <xf numFmtId="0" fontId="39" fillId="19" borderId="20" xfId="0" applyFont="1" applyFill="1" applyBorder="1" applyAlignment="1">
      <alignment vertical="top" wrapText="1"/>
    </xf>
    <xf numFmtId="0" fontId="7" fillId="19" borderId="7" xfId="0" applyFont="1" applyFill="1" applyBorder="1" applyAlignment="1">
      <alignment vertical="top" wrapText="1"/>
    </xf>
    <xf numFmtId="0" fontId="7" fillId="19" borderId="20" xfId="0" applyFont="1" applyFill="1" applyBorder="1" applyAlignment="1">
      <alignment vertical="top" wrapText="1"/>
    </xf>
    <xf numFmtId="0" fontId="38" fillId="19" borderId="19" xfId="0" applyFont="1" applyFill="1" applyBorder="1" applyAlignment="1">
      <alignment vertical="top" wrapText="1"/>
    </xf>
    <xf numFmtId="9" fontId="14" fillId="4" borderId="21" xfId="2" applyFont="1" applyFill="1" applyBorder="1" applyAlignment="1">
      <alignment horizontal="center" vertical="center"/>
    </xf>
    <xf numFmtId="0" fontId="7" fillId="6" borderId="7" xfId="0" applyFont="1" applyFill="1" applyBorder="1" applyAlignment="1">
      <alignment vertical="top" wrapText="1"/>
    </xf>
    <xf numFmtId="0" fontId="7" fillId="6" borderId="20" xfId="0" applyFont="1" applyFill="1" applyBorder="1" applyAlignment="1">
      <alignment vertical="top" wrapText="1"/>
    </xf>
    <xf numFmtId="0" fontId="7" fillId="6" borderId="23" xfId="0" applyFont="1" applyFill="1" applyBorder="1" applyAlignment="1">
      <alignment vertical="top"/>
    </xf>
    <xf numFmtId="0" fontId="7" fillId="6" borderId="24" xfId="0" applyFont="1" applyFill="1" applyBorder="1" applyAlignment="1">
      <alignment vertical="top"/>
    </xf>
    <xf numFmtId="0" fontId="7" fillId="19" borderId="24" xfId="0" applyFont="1" applyFill="1" applyBorder="1" applyAlignment="1">
      <alignment vertical="top"/>
    </xf>
    <xf numFmtId="0" fontId="7" fillId="6" borderId="19" xfId="0" applyFont="1" applyFill="1" applyBorder="1" applyAlignment="1">
      <alignment vertical="top" wrapText="1"/>
    </xf>
    <xf numFmtId="0" fontId="39" fillId="19" borderId="19" xfId="0" applyFont="1" applyFill="1" applyBorder="1" applyAlignment="1">
      <alignment vertical="top" wrapText="1"/>
    </xf>
    <xf numFmtId="9" fontId="0" fillId="0" borderId="0" xfId="2" applyFont="1" applyFill="1" applyAlignment="1">
      <alignment vertical="top"/>
    </xf>
    <xf numFmtId="49" fontId="17" fillId="0" borderId="0" xfId="9" applyNumberFormat="1" applyFont="1" applyAlignment="1">
      <alignment wrapText="1"/>
    </xf>
    <xf numFmtId="1" fontId="7" fillId="6" borderId="5" xfId="0" applyNumberFormat="1" applyFont="1" applyFill="1" applyBorder="1" applyAlignment="1">
      <alignment horizontal="center" vertical="center"/>
    </xf>
    <xf numFmtId="1" fontId="46" fillId="6" borderId="5" xfId="0" applyNumberFormat="1" applyFont="1" applyFill="1" applyBorder="1" applyAlignment="1">
      <alignment horizontal="center" vertical="center"/>
    </xf>
    <xf numFmtId="1" fontId="14" fillId="8" borderId="11" xfId="0" applyNumberFormat="1" applyFont="1" applyFill="1" applyBorder="1" applyAlignment="1">
      <alignment horizontal="center" vertical="center"/>
    </xf>
    <xf numFmtId="0" fontId="47" fillId="0" borderId="0" xfId="0" applyFont="1" applyAlignment="1">
      <alignment vertical="top"/>
    </xf>
    <xf numFmtId="0" fontId="47" fillId="4" borderId="3" xfId="0" applyFont="1" applyFill="1" applyBorder="1" applyAlignment="1">
      <alignment vertical="top"/>
    </xf>
    <xf numFmtId="1" fontId="14" fillId="17" borderId="3" xfId="0" applyNumberFormat="1" applyFont="1" applyFill="1" applyBorder="1" applyAlignment="1">
      <alignment horizontal="center" vertical="center"/>
    </xf>
    <xf numFmtId="0" fontId="17" fillId="4" borderId="3" xfId="9" applyFont="1" applyFill="1" applyBorder="1" applyAlignment="1">
      <alignment wrapText="1"/>
    </xf>
    <xf numFmtId="1" fontId="14" fillId="6" borderId="3" xfId="9" applyNumberFormat="1" applyFont="1" applyFill="1" applyBorder="1" applyAlignment="1">
      <alignment horizontal="center" vertical="center"/>
    </xf>
    <xf numFmtId="0" fontId="17" fillId="3" borderId="8" xfId="9" applyFont="1" applyFill="1" applyBorder="1" applyAlignment="1">
      <alignment wrapText="1"/>
    </xf>
    <xf numFmtId="1" fontId="14" fillId="8" borderId="3" xfId="9" applyNumberFormat="1" applyFont="1" applyFill="1" applyBorder="1" applyAlignment="1">
      <alignment horizontal="center" vertical="center"/>
    </xf>
    <xf numFmtId="9" fontId="0" fillId="0" borderId="0" xfId="2" applyFont="1" applyFill="1" applyBorder="1" applyAlignment="1">
      <alignment vertical="top"/>
    </xf>
    <xf numFmtId="0" fontId="48" fillId="23" borderId="27" xfId="0" applyFont="1" applyFill="1" applyBorder="1" applyAlignment="1">
      <alignment wrapText="1"/>
    </xf>
    <xf numFmtId="0" fontId="48" fillId="22" borderId="27" xfId="0" applyFont="1" applyFill="1" applyBorder="1" applyAlignment="1">
      <alignment wrapText="1"/>
    </xf>
    <xf numFmtId="0" fontId="17" fillId="0" borderId="0" xfId="9" applyFont="1" applyAlignment="1">
      <alignment horizontal="right" wrapText="1"/>
    </xf>
    <xf numFmtId="0" fontId="49" fillId="0" borderId="0" xfId="0" applyFont="1" applyAlignment="1">
      <alignment vertical="top"/>
    </xf>
    <xf numFmtId="1" fontId="14" fillId="0" borderId="4" xfId="9" applyNumberFormat="1" applyFont="1" applyBorder="1" applyAlignment="1">
      <alignment horizontal="center" vertical="center"/>
    </xf>
    <xf numFmtId="1" fontId="14" fillId="0" borderId="5" xfId="9" applyNumberFormat="1" applyFont="1" applyBorder="1" applyAlignment="1">
      <alignment horizontal="center" vertical="center"/>
    </xf>
    <xf numFmtId="1" fontId="14" fillId="0" borderId="0" xfId="9" applyNumberFormat="1" applyFont="1" applyAlignment="1">
      <alignment horizontal="center" vertical="center"/>
    </xf>
    <xf numFmtId="1" fontId="14" fillId="0" borderId="4" xfId="0" applyNumberFormat="1" applyFont="1" applyBorder="1" applyAlignment="1">
      <alignment horizontal="center" vertical="center"/>
    </xf>
    <xf numFmtId="1" fontId="14" fillId="0" borderId="11" xfId="0" applyNumberFormat="1" applyFont="1" applyBorder="1" applyAlignment="1">
      <alignment horizontal="center" vertical="center"/>
    </xf>
    <xf numFmtId="1" fontId="14" fillId="0" borderId="0" xfId="0" applyNumberFormat="1" applyFont="1" applyAlignment="1">
      <alignment horizontal="center" vertical="center"/>
    </xf>
    <xf numFmtId="0" fontId="20" fillId="0" borderId="0" xfId="0" applyFont="1" applyAlignment="1">
      <alignment horizontal="left" vertical="top" wrapText="1"/>
    </xf>
    <xf numFmtId="1" fontId="14" fillId="6" borderId="11" xfId="9" applyNumberFormat="1" applyFont="1" applyFill="1" applyBorder="1" applyAlignment="1">
      <alignment horizontal="center" vertical="center"/>
    </xf>
    <xf numFmtId="1" fontId="14" fillId="6" borderId="9" xfId="9" applyNumberFormat="1" applyFont="1" applyFill="1" applyBorder="1" applyAlignment="1">
      <alignment horizontal="center" vertical="center"/>
    </xf>
    <xf numFmtId="0" fontId="38" fillId="0" borderId="0" xfId="0" applyFont="1" applyAlignment="1">
      <alignment vertical="top" wrapText="1"/>
    </xf>
    <xf numFmtId="0" fontId="0" fillId="10" borderId="0" xfId="0" applyFill="1" applyAlignment="1">
      <alignment vertical="top"/>
    </xf>
    <xf numFmtId="0" fontId="8" fillId="10" borderId="0" xfId="0" applyFont="1" applyFill="1" applyAlignment="1">
      <alignment horizontal="center" vertical="center"/>
    </xf>
    <xf numFmtId="1" fontId="14" fillId="2" borderId="0" xfId="0" applyNumberFormat="1" applyFont="1" applyFill="1" applyAlignment="1">
      <alignment horizontal="center" vertical="center"/>
    </xf>
    <xf numFmtId="1" fontId="46" fillId="8" borderId="0" xfId="0" applyNumberFormat="1" applyFont="1" applyFill="1" applyAlignment="1">
      <alignment horizontal="center" vertical="center"/>
    </xf>
    <xf numFmtId="1" fontId="14" fillId="4" borderId="21" xfId="0" applyNumberFormat="1" applyFont="1" applyFill="1" applyBorder="1" applyAlignment="1">
      <alignment horizontal="center" vertical="center"/>
    </xf>
    <xf numFmtId="1" fontId="14" fillId="4" borderId="9" xfId="0" applyNumberFormat="1" applyFont="1" applyFill="1" applyBorder="1" applyAlignment="1">
      <alignment horizontal="center" vertical="center"/>
    </xf>
    <xf numFmtId="1" fontId="14" fillId="4" borderId="28" xfId="0" applyNumberFormat="1" applyFont="1" applyFill="1" applyBorder="1" applyAlignment="1">
      <alignment horizontal="center" vertical="center"/>
    </xf>
    <xf numFmtId="1" fontId="14" fillId="9" borderId="21" xfId="0" applyNumberFormat="1" applyFont="1" applyFill="1" applyBorder="1" applyAlignment="1">
      <alignment horizontal="center" vertical="center"/>
    </xf>
    <xf numFmtId="1" fontId="14" fillId="9" borderId="28" xfId="0" applyNumberFormat="1" applyFont="1" applyFill="1" applyBorder="1" applyAlignment="1">
      <alignment horizontal="center" vertical="center"/>
    </xf>
    <xf numFmtId="0" fontId="39" fillId="6" borderId="8" xfId="0" applyFont="1" applyFill="1" applyBorder="1" applyAlignment="1">
      <alignment horizontal="left" vertical="top" wrapText="1"/>
    </xf>
    <xf numFmtId="0" fontId="39" fillId="6" borderId="6" xfId="0" applyFont="1" applyFill="1" applyBorder="1" applyAlignment="1">
      <alignment horizontal="left" vertical="top" wrapText="1"/>
    </xf>
    <xf numFmtId="0" fontId="39" fillId="6" borderId="13" xfId="0" applyFont="1" applyFill="1" applyBorder="1" applyAlignment="1">
      <alignment horizontal="left" vertical="top" wrapText="1"/>
    </xf>
    <xf numFmtId="0" fontId="38" fillId="6" borderId="0" xfId="0" applyFont="1" applyFill="1" applyAlignment="1">
      <alignment vertical="top" wrapText="1"/>
    </xf>
    <xf numFmtId="0" fontId="38" fillId="0" borderId="0" xfId="0" applyFont="1" applyAlignment="1">
      <alignment vertical="top" wrapText="1"/>
    </xf>
    <xf numFmtId="0" fontId="7" fillId="6" borderId="6" xfId="0" applyFont="1" applyFill="1" applyBorder="1" applyAlignment="1">
      <alignment horizontal="left" vertical="top" wrapText="1"/>
    </xf>
    <xf numFmtId="0" fontId="7" fillId="6" borderId="13" xfId="0" applyFont="1" applyFill="1" applyBorder="1" applyAlignment="1">
      <alignment horizontal="left" vertical="top" wrapText="1"/>
    </xf>
    <xf numFmtId="0" fontId="20" fillId="6" borderId="8" xfId="0" applyFont="1" applyFill="1" applyBorder="1" applyAlignment="1">
      <alignment horizontal="left" vertical="top" wrapText="1"/>
    </xf>
    <xf numFmtId="0" fontId="20" fillId="6" borderId="6" xfId="0" applyFont="1" applyFill="1" applyBorder="1" applyAlignment="1">
      <alignment horizontal="left" vertical="top" wrapText="1"/>
    </xf>
    <xf numFmtId="0" fontId="20" fillId="6" borderId="13" xfId="0" applyFont="1" applyFill="1" applyBorder="1" applyAlignment="1">
      <alignment horizontal="left" vertical="top" wrapText="1"/>
    </xf>
    <xf numFmtId="0" fontId="38" fillId="6" borderId="8" xfId="0" applyFont="1" applyFill="1" applyBorder="1" applyAlignment="1">
      <alignment horizontal="left" vertical="top" wrapText="1"/>
    </xf>
    <xf numFmtId="0" fontId="38" fillId="6" borderId="9" xfId="0" applyFont="1" applyFill="1" applyBorder="1" applyAlignment="1">
      <alignment vertical="top" wrapText="1"/>
    </xf>
    <xf numFmtId="0" fontId="54" fillId="6" borderId="8" xfId="0" applyFont="1" applyFill="1" applyBorder="1" applyAlignment="1">
      <alignment horizontal="left" vertical="top" wrapText="1"/>
    </xf>
    <xf numFmtId="0" fontId="0" fillId="0" borderId="6" xfId="0" applyBorder="1" applyAlignment="1">
      <alignment horizontal="left" vertical="top" wrapText="1"/>
    </xf>
    <xf numFmtId="0" fontId="0" fillId="0" borderId="13" xfId="0" applyBorder="1" applyAlignment="1">
      <alignment horizontal="left" vertical="top" wrapText="1"/>
    </xf>
    <xf numFmtId="0" fontId="8" fillId="6" borderId="6" xfId="0" applyFont="1" applyFill="1" applyBorder="1" applyAlignment="1">
      <alignment horizontal="left" vertical="top" wrapText="1"/>
    </xf>
    <xf numFmtId="0" fontId="8" fillId="6" borderId="13" xfId="0" applyFont="1" applyFill="1" applyBorder="1" applyAlignment="1">
      <alignment horizontal="left" vertical="top" wrapText="1"/>
    </xf>
    <xf numFmtId="0" fontId="40" fillId="6" borderId="0" xfId="0" applyFont="1" applyFill="1" applyAlignment="1">
      <alignment vertical="top" wrapText="1"/>
    </xf>
    <xf numFmtId="0" fontId="40" fillId="0" borderId="0" xfId="0" applyFont="1" applyAlignment="1">
      <alignment vertical="top" wrapText="1"/>
    </xf>
    <xf numFmtId="0" fontId="39" fillId="6" borderId="10" xfId="0" applyFont="1" applyFill="1" applyBorder="1" applyAlignment="1">
      <alignment vertical="top" wrapText="1"/>
    </xf>
    <xf numFmtId="0" fontId="0" fillId="6" borderId="12" xfId="0" applyFill="1" applyBorder="1" applyAlignment="1">
      <alignment vertical="top"/>
    </xf>
    <xf numFmtId="0" fontId="0" fillId="6" borderId="18" xfId="0" applyFill="1" applyBorder="1" applyAlignment="1">
      <alignment vertical="top"/>
    </xf>
    <xf numFmtId="0" fontId="21" fillId="6" borderId="6" xfId="0" applyFont="1" applyFill="1" applyBorder="1" applyAlignment="1">
      <alignment horizontal="left" vertical="top" wrapText="1"/>
    </xf>
    <xf numFmtId="0" fontId="40" fillId="6" borderId="6" xfId="0" applyFont="1" applyFill="1" applyBorder="1" applyAlignment="1">
      <alignment horizontal="left" vertical="top" wrapText="1"/>
    </xf>
    <xf numFmtId="0" fontId="7" fillId="6" borderId="8" xfId="0" applyFont="1" applyFill="1" applyBorder="1" applyAlignment="1">
      <alignment horizontal="left" vertical="top" wrapText="1"/>
    </xf>
    <xf numFmtId="0" fontId="53" fillId="6" borderId="8" xfId="0" applyFont="1" applyFill="1" applyBorder="1" applyAlignment="1">
      <alignment horizontal="left" vertical="top" wrapText="1"/>
    </xf>
    <xf numFmtId="0" fontId="38" fillId="19" borderId="19" xfId="0" applyFont="1" applyFill="1" applyBorder="1" applyAlignment="1">
      <alignment horizontal="left" vertical="top" wrapText="1"/>
    </xf>
    <xf numFmtId="0" fontId="38" fillId="19" borderId="7" xfId="0" applyFont="1" applyFill="1" applyBorder="1" applyAlignment="1">
      <alignment horizontal="left" vertical="top" wrapText="1"/>
    </xf>
    <xf numFmtId="0" fontId="22" fillId="18" borderId="15" xfId="0" applyFont="1" applyFill="1" applyBorder="1" applyAlignment="1">
      <alignment vertical="top" wrapText="1"/>
    </xf>
    <xf numFmtId="0" fontId="22" fillId="18" borderId="16" xfId="0" applyFont="1" applyFill="1" applyBorder="1" applyAlignment="1">
      <alignment vertical="top" wrapText="1"/>
    </xf>
    <xf numFmtId="0" fontId="22" fillId="18" borderId="17" xfId="0" applyFont="1" applyFill="1" applyBorder="1" applyAlignment="1">
      <alignment vertical="top" wrapText="1"/>
    </xf>
    <xf numFmtId="0" fontId="39" fillId="6" borderId="25" xfId="0" applyFont="1" applyFill="1" applyBorder="1" applyAlignment="1" applyProtection="1">
      <alignment horizontal="left" vertical="top" wrapText="1"/>
      <protection locked="0"/>
    </xf>
    <xf numFmtId="0" fontId="0" fillId="0" borderId="12" xfId="0" applyBorder="1" applyAlignment="1">
      <alignment horizontal="left" vertical="top"/>
    </xf>
    <xf numFmtId="0" fontId="0" fillId="0" borderId="26" xfId="0" applyBorder="1" applyAlignment="1">
      <alignment horizontal="left" vertical="top"/>
    </xf>
    <xf numFmtId="0" fontId="7" fillId="6" borderId="19" xfId="0" applyFont="1" applyFill="1" applyBorder="1" applyAlignment="1">
      <alignment horizontal="left" vertical="top" wrapText="1"/>
    </xf>
    <xf numFmtId="0" fontId="7" fillId="6" borderId="7" xfId="0" applyFont="1" applyFill="1" applyBorder="1" applyAlignment="1">
      <alignment horizontal="left" vertical="top" wrapText="1"/>
    </xf>
    <xf numFmtId="0" fontId="39" fillId="20" borderId="15" xfId="0" applyFont="1" applyFill="1" applyBorder="1" applyAlignment="1">
      <alignment vertical="top" wrapText="1"/>
    </xf>
    <xf numFmtId="0" fontId="39" fillId="20" borderId="16" xfId="0" applyFont="1" applyFill="1" applyBorder="1" applyAlignment="1">
      <alignment vertical="top" wrapText="1"/>
    </xf>
    <xf numFmtId="0" fontId="39" fillId="20" borderId="17" xfId="0" applyFont="1" applyFill="1" applyBorder="1" applyAlignment="1">
      <alignment vertical="top" wrapText="1"/>
    </xf>
    <xf numFmtId="0" fontId="7" fillId="19" borderId="19" xfId="0" applyFont="1" applyFill="1" applyBorder="1" applyAlignment="1">
      <alignment horizontal="left" vertical="top" wrapText="1"/>
    </xf>
    <xf numFmtId="0" fontId="7" fillId="19" borderId="7" xfId="0" applyFont="1" applyFill="1" applyBorder="1" applyAlignment="1">
      <alignment horizontal="left" vertical="top" wrapText="1"/>
    </xf>
    <xf numFmtId="0" fontId="20" fillId="19" borderId="3" xfId="0" applyFont="1" applyFill="1" applyBorder="1" applyAlignment="1">
      <alignment horizontal="left" vertical="top" wrapText="1"/>
    </xf>
    <xf numFmtId="0" fontId="20" fillId="19" borderId="3" xfId="0" applyFont="1" applyFill="1" applyBorder="1" applyAlignment="1">
      <alignment horizontal="left" vertical="top"/>
    </xf>
    <xf numFmtId="0" fontId="7" fillId="6" borderId="22" xfId="0" applyFont="1" applyFill="1" applyBorder="1" applyAlignment="1">
      <alignment horizontal="left" vertical="top" wrapText="1"/>
    </xf>
    <xf numFmtId="0" fontId="20" fillId="0" borderId="8" xfId="0" applyFont="1" applyBorder="1" applyAlignment="1">
      <alignment horizontal="left" vertical="top" wrapText="1"/>
    </xf>
    <xf numFmtId="0" fontId="7" fillId="0" borderId="6" xfId="0" applyFont="1" applyBorder="1" applyAlignment="1">
      <alignment horizontal="left" vertical="top" wrapText="1"/>
    </xf>
    <xf numFmtId="0" fontId="7" fillId="0" borderId="13" xfId="0" applyFont="1" applyBorder="1" applyAlignment="1">
      <alignment horizontal="left" vertical="top" wrapText="1"/>
    </xf>
    <xf numFmtId="0" fontId="7" fillId="6" borderId="19" xfId="0" applyFont="1" applyFill="1" applyBorder="1" applyAlignment="1">
      <alignment horizontal="center" vertical="top" wrapText="1"/>
    </xf>
    <xf numFmtId="0" fontId="7" fillId="6" borderId="7" xfId="0" applyFont="1" applyFill="1" applyBorder="1" applyAlignment="1">
      <alignment horizontal="center" vertical="top" wrapText="1"/>
    </xf>
    <xf numFmtId="0" fontId="7" fillId="6" borderId="22" xfId="0" applyFont="1" applyFill="1" applyBorder="1" applyAlignment="1">
      <alignment horizontal="center" vertical="top" wrapText="1"/>
    </xf>
    <xf numFmtId="0" fontId="8" fillId="18" borderId="15" xfId="0" applyFont="1" applyFill="1" applyBorder="1" applyAlignment="1">
      <alignment vertical="top" wrapText="1"/>
    </xf>
    <xf numFmtId="0" fontId="8" fillId="18" borderId="16" xfId="0" applyFont="1" applyFill="1" applyBorder="1" applyAlignment="1">
      <alignment vertical="top" wrapText="1"/>
    </xf>
    <xf numFmtId="0" fontId="8" fillId="18" borderId="17" xfId="0" applyFont="1" applyFill="1" applyBorder="1" applyAlignment="1">
      <alignment vertical="top" wrapText="1"/>
    </xf>
    <xf numFmtId="0" fontId="7" fillId="19" borderId="8" xfId="0" applyFont="1" applyFill="1" applyBorder="1" applyAlignment="1">
      <alignment horizontal="left" vertical="top" wrapText="1"/>
    </xf>
    <xf numFmtId="0" fontId="7" fillId="19" borderId="6" xfId="0" applyFont="1" applyFill="1" applyBorder="1" applyAlignment="1">
      <alignment horizontal="left" vertical="top" wrapText="1"/>
    </xf>
    <xf numFmtId="0" fontId="7" fillId="19" borderId="13" xfId="0" applyFont="1" applyFill="1" applyBorder="1" applyAlignment="1">
      <alignment horizontal="left" vertical="top" wrapText="1"/>
    </xf>
    <xf numFmtId="0" fontId="7" fillId="16" borderId="3" xfId="0" applyFont="1" applyFill="1" applyBorder="1" applyAlignment="1">
      <alignment horizontal="left" vertical="top" wrapText="1"/>
    </xf>
    <xf numFmtId="0" fontId="7" fillId="16" borderId="3" xfId="0" applyFont="1" applyFill="1" applyBorder="1" applyAlignment="1">
      <alignment horizontal="left" vertical="top"/>
    </xf>
    <xf numFmtId="0" fontId="38" fillId="19" borderId="3" xfId="0" applyFont="1" applyFill="1" applyBorder="1" applyAlignment="1">
      <alignment horizontal="left" vertical="top" wrapText="1"/>
    </xf>
    <xf numFmtId="0" fontId="7" fillId="19" borderId="3" xfId="0" applyFont="1" applyFill="1" applyBorder="1" applyAlignment="1">
      <alignment horizontal="left" vertical="top"/>
    </xf>
    <xf numFmtId="0" fontId="20" fillId="19" borderId="8" xfId="0" applyFont="1" applyFill="1" applyBorder="1" applyAlignment="1">
      <alignment horizontal="left" vertical="top"/>
    </xf>
    <xf numFmtId="0" fontId="20" fillId="19" borderId="8" xfId="0" applyFont="1" applyFill="1" applyBorder="1" applyAlignment="1">
      <alignment horizontal="left" vertical="top" wrapText="1"/>
    </xf>
    <xf numFmtId="0" fontId="20" fillId="19" borderId="6" xfId="0" applyFont="1" applyFill="1" applyBorder="1" applyAlignment="1">
      <alignment horizontal="left" vertical="top" wrapText="1"/>
    </xf>
    <xf numFmtId="0" fontId="20" fillId="19" borderId="13" xfId="0" applyFont="1" applyFill="1" applyBorder="1" applyAlignment="1">
      <alignment horizontal="left" vertical="top" wrapText="1"/>
    </xf>
    <xf numFmtId="0" fontId="41" fillId="19" borderId="3" xfId="0" applyFont="1" applyFill="1" applyBorder="1" applyAlignment="1">
      <alignment horizontal="left" vertical="top" wrapText="1"/>
    </xf>
    <xf numFmtId="0" fontId="21" fillId="19" borderId="3" xfId="0" applyFont="1" applyFill="1" applyBorder="1" applyAlignment="1">
      <alignment horizontal="left" vertical="top" wrapText="1"/>
    </xf>
    <xf numFmtId="0" fontId="21" fillId="19" borderId="3" xfId="0" applyFont="1" applyFill="1" applyBorder="1" applyAlignment="1">
      <alignment horizontal="left" vertical="top"/>
    </xf>
    <xf numFmtId="0" fontId="0" fillId="19" borderId="3" xfId="0" applyFill="1" applyBorder="1" applyAlignment="1">
      <alignment horizontal="left" vertical="top" wrapText="1"/>
    </xf>
    <xf numFmtId="0" fontId="0" fillId="19" borderId="3" xfId="0" applyFill="1" applyBorder="1" applyAlignment="1">
      <alignment horizontal="left" vertical="top"/>
    </xf>
    <xf numFmtId="0" fontId="7" fillId="19" borderId="3" xfId="0" applyFont="1" applyFill="1" applyBorder="1" applyAlignment="1">
      <alignment horizontal="left" vertical="top" wrapText="1"/>
    </xf>
    <xf numFmtId="0" fontId="7" fillId="16" borderId="8" xfId="0" applyFont="1" applyFill="1" applyBorder="1" applyAlignment="1">
      <alignment horizontal="left" vertical="top" wrapText="1"/>
    </xf>
    <xf numFmtId="0" fontId="39" fillId="16" borderId="6" xfId="0" applyFont="1" applyFill="1" applyBorder="1" applyAlignment="1">
      <alignment horizontal="left" vertical="top" wrapText="1"/>
    </xf>
    <xf numFmtId="0" fontId="39" fillId="16" borderId="13" xfId="0" applyFont="1" applyFill="1" applyBorder="1" applyAlignment="1">
      <alignment horizontal="left" vertical="top" wrapText="1"/>
    </xf>
    <xf numFmtId="0" fontId="39" fillId="19" borderId="3" xfId="0" applyFont="1" applyFill="1" applyBorder="1" applyAlignment="1">
      <alignment horizontal="left" vertical="top" wrapText="1"/>
    </xf>
    <xf numFmtId="0" fontId="38" fillId="19" borderId="8" xfId="0" applyFont="1" applyFill="1" applyBorder="1" applyAlignment="1">
      <alignment horizontal="left" vertical="top" wrapText="1"/>
    </xf>
    <xf numFmtId="0" fontId="8" fillId="19" borderId="6" xfId="0" applyFont="1" applyFill="1" applyBorder="1" applyAlignment="1">
      <alignment horizontal="left" vertical="top" wrapText="1"/>
    </xf>
    <xf numFmtId="0" fontId="8" fillId="19" borderId="13" xfId="0" applyFont="1" applyFill="1" applyBorder="1" applyAlignment="1">
      <alignment horizontal="left" vertical="top" wrapText="1"/>
    </xf>
    <xf numFmtId="0" fontId="20" fillId="19" borderId="3" xfId="0" applyFont="1" applyFill="1" applyBorder="1" applyAlignment="1">
      <alignment horizontal="center" vertical="top"/>
    </xf>
    <xf numFmtId="0" fontId="25" fillId="19" borderId="8" xfId="0" applyFont="1" applyFill="1" applyBorder="1" applyAlignment="1">
      <alignment horizontal="left" vertical="top" wrapText="1"/>
    </xf>
    <xf numFmtId="0" fontId="25" fillId="19" borderId="6" xfId="0" applyFont="1" applyFill="1" applyBorder="1" applyAlignment="1">
      <alignment horizontal="left" vertical="top" wrapText="1"/>
    </xf>
    <xf numFmtId="0" fontId="25" fillId="19" borderId="13" xfId="0" applyFont="1" applyFill="1" applyBorder="1" applyAlignment="1">
      <alignment horizontal="left" vertical="top" wrapText="1"/>
    </xf>
    <xf numFmtId="0" fontId="31" fillId="19" borderId="3" xfId="0" applyFont="1" applyFill="1" applyBorder="1" applyAlignment="1">
      <alignment horizontal="left" vertical="top" wrapText="1"/>
    </xf>
    <xf numFmtId="0" fontId="31" fillId="19" borderId="3" xfId="0" applyFont="1" applyFill="1" applyBorder="1" applyAlignment="1">
      <alignment horizontal="left" vertical="top"/>
    </xf>
    <xf numFmtId="0" fontId="56" fillId="19" borderId="3" xfId="0" applyFont="1" applyFill="1" applyBorder="1" applyAlignment="1">
      <alignment horizontal="left" vertical="top" wrapText="1"/>
    </xf>
    <xf numFmtId="0" fontId="25" fillId="19" borderId="3" xfId="0" applyFont="1" applyFill="1" applyBorder="1" applyAlignment="1">
      <alignment horizontal="left" vertical="top" wrapText="1"/>
    </xf>
    <xf numFmtId="0" fontId="22" fillId="21" borderId="15" xfId="0" applyFont="1" applyFill="1" applyBorder="1" applyAlignment="1">
      <alignment vertical="top" wrapText="1"/>
    </xf>
    <xf numFmtId="0" fontId="22" fillId="21" borderId="16" xfId="0" applyFont="1" applyFill="1" applyBorder="1" applyAlignment="1">
      <alignment vertical="top" wrapText="1"/>
    </xf>
    <xf numFmtId="0" fontId="22" fillId="21" borderId="17" xfId="0" applyFont="1" applyFill="1" applyBorder="1" applyAlignment="1">
      <alignment vertical="top" wrapText="1"/>
    </xf>
    <xf numFmtId="0" fontId="25" fillId="19" borderId="3" xfId="0" applyFont="1" applyFill="1" applyBorder="1" applyAlignment="1">
      <alignment horizontal="left" vertical="top"/>
    </xf>
    <xf numFmtId="0" fontId="53" fillId="19" borderId="3" xfId="0" applyFont="1" applyFill="1" applyBorder="1" applyAlignment="1">
      <alignment horizontal="left" vertical="top" wrapText="1"/>
    </xf>
    <xf numFmtId="0" fontId="0" fillId="19" borderId="3" xfId="0" applyFill="1" applyBorder="1" applyAlignment="1">
      <alignment horizontal="center" vertical="top"/>
    </xf>
    <xf numFmtId="1" fontId="35" fillId="11" borderId="2" xfId="0" applyNumberFormat="1" applyFont="1" applyFill="1" applyBorder="1" applyAlignment="1">
      <alignment horizontal="center"/>
    </xf>
    <xf numFmtId="0" fontId="20" fillId="19" borderId="3" xfId="0" applyFont="1" applyFill="1" applyBorder="1" applyAlignment="1" applyProtection="1">
      <alignment horizontal="left" vertical="top" wrapText="1"/>
      <protection locked="0"/>
    </xf>
    <xf numFmtId="0" fontId="20" fillId="19" borderId="3" xfId="0" applyFont="1" applyFill="1" applyBorder="1" applyAlignment="1" applyProtection="1">
      <alignment horizontal="left" vertical="top"/>
      <protection locked="0"/>
    </xf>
    <xf numFmtId="0" fontId="22" fillId="20" borderId="15" xfId="0" applyFont="1" applyFill="1" applyBorder="1" applyAlignment="1">
      <alignment vertical="top" wrapText="1"/>
    </xf>
    <xf numFmtId="0" fontId="22" fillId="20" borderId="16" xfId="0" applyFont="1" applyFill="1" applyBorder="1" applyAlignment="1">
      <alignment vertical="top" wrapText="1"/>
    </xf>
    <xf numFmtId="0" fontId="22" fillId="20" borderId="17" xfId="0" applyFont="1" applyFill="1" applyBorder="1" applyAlignment="1">
      <alignment vertical="top" wrapText="1"/>
    </xf>
    <xf numFmtId="0" fontId="21" fillId="19" borderId="8" xfId="0" applyFont="1" applyFill="1" applyBorder="1" applyAlignment="1">
      <alignment horizontal="left" vertical="top" wrapText="1"/>
    </xf>
    <xf numFmtId="0" fontId="21" fillId="19" borderId="6" xfId="0" applyFont="1" applyFill="1" applyBorder="1" applyAlignment="1">
      <alignment horizontal="left" vertical="top" wrapText="1"/>
    </xf>
    <xf numFmtId="0" fontId="21" fillId="19" borderId="13" xfId="0" applyFont="1" applyFill="1" applyBorder="1" applyAlignment="1">
      <alignment horizontal="left" vertical="top" wrapText="1"/>
    </xf>
    <xf numFmtId="0" fontId="44" fillId="20" borderId="15" xfId="0" applyFont="1" applyFill="1" applyBorder="1" applyAlignment="1">
      <alignment vertical="top" wrapText="1"/>
    </xf>
    <xf numFmtId="0" fontId="44" fillId="20" borderId="16" xfId="0" applyFont="1" applyFill="1" applyBorder="1" applyAlignment="1">
      <alignment vertical="top" wrapText="1"/>
    </xf>
    <xf numFmtId="0" fontId="44" fillId="20" borderId="17" xfId="0" applyFont="1" applyFill="1" applyBorder="1" applyAlignment="1">
      <alignment vertical="top" wrapText="1"/>
    </xf>
    <xf numFmtId="0" fontId="20" fillId="19" borderId="6" xfId="0" applyFont="1" applyFill="1" applyBorder="1" applyAlignment="1">
      <alignment horizontal="center" vertical="top"/>
    </xf>
    <xf numFmtId="0" fontId="20" fillId="19" borderId="13" xfId="0" applyFont="1" applyFill="1" applyBorder="1" applyAlignment="1">
      <alignment horizontal="center" vertical="top"/>
    </xf>
    <xf numFmtId="0" fontId="8" fillId="19" borderId="3" xfId="0" applyFont="1" applyFill="1" applyBorder="1" applyAlignment="1">
      <alignment horizontal="left" vertical="top" wrapText="1"/>
    </xf>
    <xf numFmtId="0" fontId="28" fillId="19" borderId="3" xfId="0" applyFont="1" applyFill="1" applyBorder="1" applyAlignment="1">
      <alignment horizontal="left" vertical="top" wrapText="1"/>
    </xf>
    <xf numFmtId="0" fontId="28" fillId="19" borderId="3" xfId="0" applyFont="1" applyFill="1" applyBorder="1" applyAlignment="1">
      <alignment horizontal="left" vertical="top"/>
    </xf>
  </cellXfs>
  <cellStyles count="22">
    <cellStyle name="Comma 2" xfId="3" xr:uid="{00000000-0005-0000-0000-000001000000}"/>
    <cellStyle name="Comma 3" xfId="14" xr:uid="{5EB6845A-6B30-4B90-8DC0-4EA0D5E57D1A}"/>
    <cellStyle name="Comma 4" xfId="18" xr:uid="{17337F1B-F6F2-4563-89FA-1C05798D001F}"/>
    <cellStyle name="Currency 2" xfId="15" xr:uid="{59380C04-EF85-4B94-9CDE-773267E17028}"/>
    <cellStyle name="Currency 3" xfId="19" xr:uid="{A63E7175-496D-4766-8E44-1D9494B90BEA}"/>
    <cellStyle name="Normal" xfId="0" builtinId="0"/>
    <cellStyle name="Normal 2" xfId="1" xr:uid="{00000000-0005-0000-0000-000005000000}"/>
    <cellStyle name="Normal 3" xfId="4" xr:uid="{00000000-0005-0000-0000-000006000000}"/>
    <cellStyle name="Normal 3 2" xfId="12" xr:uid="{00000000-0005-0000-0000-000007000000}"/>
    <cellStyle name="Normal 3 3" xfId="16" xr:uid="{4792D9BB-8851-48E6-9F8C-166F243C3447}"/>
    <cellStyle name="Normal 3 4" xfId="20" xr:uid="{A9647D1D-FBE9-4AF9-8A45-6945F1DCC83A}"/>
    <cellStyle name="Normal 4" xfId="5" xr:uid="{00000000-0005-0000-0000-000008000000}"/>
    <cellStyle name="Normal 4 2 2 2 3" xfId="21" xr:uid="{73A3011D-5762-4BBA-B96F-6F82F028C8DD}"/>
    <cellStyle name="Normal 5" xfId="7" xr:uid="{00000000-0005-0000-0000-000009000000}"/>
    <cellStyle name="Normal 6" xfId="10" xr:uid="{00000000-0005-0000-0000-00000A000000}"/>
    <cellStyle name="Normal 7" xfId="11" xr:uid="{00000000-0005-0000-0000-00000B000000}"/>
    <cellStyle name="Normal 8" xfId="13" xr:uid="{30D5F711-A1EE-4BCC-808F-F37571A4483D}"/>
    <cellStyle name="Normal 9" xfId="17" xr:uid="{6BE74AC0-7D3E-449E-83FB-22FE385E653F}"/>
    <cellStyle name="Normal_Sheet1" xfId="9" xr:uid="{00000000-0005-0000-0000-00000C000000}"/>
    <cellStyle name="Percent 2" xfId="2" xr:uid="{00000000-0005-0000-0000-00000D000000}"/>
    <cellStyle name="Percent 3" xfId="6" xr:uid="{00000000-0005-0000-0000-00000E000000}"/>
    <cellStyle name="Percent 4" xfId="8" xr:uid="{00000000-0005-0000-0000-00000F000000}"/>
  </cellStyles>
  <dxfs count="42">
    <dxf>
      <font>
        <b val="0"/>
        <i val="0"/>
        <strike val="0"/>
        <condense val="0"/>
        <extend val="0"/>
        <outline val="0"/>
        <shadow val="0"/>
        <u val="none"/>
        <vertAlign val="baseline"/>
        <sz val="10"/>
        <color theme="1"/>
        <name val="Arial"/>
        <family val="2"/>
        <scheme val="none"/>
      </font>
      <numFmt numFmtId="1" formatCode="0"/>
      <fill>
        <patternFill patternType="solid">
          <fgColor theme="4" tint="0.59999389629810485"/>
          <bgColor theme="4" tint="0.5999938962981048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fill>
        <patternFill patternType="solid">
          <fgColor theme="4" tint="0.59999389629810485"/>
          <bgColor theme="4" tint="0.59999389629810485"/>
        </patternFill>
      </fill>
      <alignment horizontal="center" vertical="center" textRotation="0" wrapText="0" indent="0" justifyLastLine="0" shrinkToFit="0" readingOrder="0"/>
      <border diagonalUp="0" diagonalDown="0">
        <left style="thin">
          <color theme="0"/>
        </left>
        <right/>
        <top/>
        <bottom/>
        <vertical/>
        <horizontal/>
      </border>
    </dxf>
    <dxf>
      <font>
        <b val="0"/>
        <i val="0"/>
        <strike val="0"/>
        <condense val="0"/>
        <extend val="0"/>
        <outline val="0"/>
        <shadow val="0"/>
        <u val="none"/>
        <vertAlign val="baseline"/>
        <sz val="10"/>
        <color theme="1"/>
        <name val="Arial"/>
        <family val="2"/>
        <scheme val="none"/>
      </font>
      <numFmt numFmtId="1" formatCode="0"/>
      <fill>
        <patternFill patternType="solid">
          <fgColor theme="4" tint="0.59999389629810485"/>
          <bgColor theme="4" tint="0.5999938962981048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fill>
        <patternFill patternType="solid">
          <fgColor theme="4" tint="0.59999389629810485"/>
          <bgColor theme="4" tint="0.5999938962981048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fill>
        <patternFill patternType="solid">
          <fgColor theme="4" tint="0.59999389629810485"/>
          <bgColor theme="4" tint="0.5999938962981048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fill>
        <patternFill patternType="solid">
          <fgColor theme="4" tint="0.59999389629810485"/>
          <bgColor theme="4" tint="0.5999938962981048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numFmt numFmtId="1" formatCode="0"/>
      <fill>
        <patternFill patternType="solid">
          <fgColor theme="4" tint="0.59999389629810485"/>
          <bgColor theme="4" tint="0.59999389629810485"/>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numFmt numFmtId="1" formatCode="0"/>
      <fill>
        <patternFill patternType="solid">
          <fgColor indexed="64"/>
          <bgColor theme="6" tint="0.39997558519241921"/>
        </patternFill>
      </fill>
      <alignment horizontal="center" vertical="center" textRotation="0" wrapText="0" indent="0" justifyLastLine="0" shrinkToFit="0" readingOrder="0"/>
      <border diagonalUp="0" diagonalDown="0">
        <left style="thin">
          <color theme="0"/>
        </left>
        <right/>
        <top style="thin">
          <color theme="0"/>
        </top>
        <bottom/>
        <vertical/>
        <horizontal/>
      </border>
    </dxf>
    <dxf>
      <numFmt numFmtId="1" formatCode="0"/>
      <alignment horizontal="center" vertical="center" textRotation="0" indent="0" justifyLastLine="0" shrinkToFit="0" readingOrder="0"/>
    </dxf>
    <dxf>
      <numFmt numFmtId="1" formatCode="0"/>
      <alignment horizontal="center" vertical="center" textRotation="0" indent="0" justifyLastLine="0" shrinkToFit="0" readingOrder="0"/>
    </dxf>
    <dxf>
      <font>
        <b val="0"/>
        <i val="0"/>
        <strike val="0"/>
        <condense val="0"/>
        <extend val="0"/>
        <outline val="0"/>
        <shadow val="0"/>
        <u val="none"/>
        <vertAlign val="baseline"/>
        <sz val="10"/>
        <color theme="1"/>
        <name val="Arial"/>
        <scheme val="none"/>
      </font>
      <numFmt numFmtId="1" formatCode="0"/>
      <fill>
        <patternFill patternType="solid">
          <fgColor indexed="64"/>
          <bgColor theme="6"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numFmt numFmtId="1" formatCode="0"/>
      <fill>
        <patternFill patternType="solid">
          <fgColor indexed="64"/>
          <bgColor theme="6" tint="0.39997558519241921"/>
        </patternFill>
      </fill>
      <alignment horizontal="center" vertical="center" textRotation="0" wrapText="0" indent="0" justifyLastLine="0" shrinkToFit="0" readingOrder="0"/>
      <border diagonalUp="0" diagonalDown="0" outline="0">
        <left/>
        <right/>
        <top style="thin">
          <color theme="0"/>
        </top>
        <bottom/>
      </border>
    </dxf>
    <dxf>
      <font>
        <b val="0"/>
        <i val="0"/>
        <strike val="0"/>
        <condense val="0"/>
        <extend val="0"/>
        <outline val="0"/>
        <shadow val="0"/>
        <u val="none"/>
        <vertAlign val="baseline"/>
        <sz val="8"/>
        <color theme="1"/>
        <name val="Calibri"/>
        <scheme val="none"/>
      </font>
      <numFmt numFmtId="1" formatCode="0"/>
      <fill>
        <patternFill patternType="solid">
          <fgColor indexed="64"/>
          <bgColor theme="6" tint="0.39997558519241921"/>
        </patternFill>
      </fill>
      <alignment horizontal="center" vertical="center" textRotation="0" wrapText="0" indent="0" justifyLastLine="0" shrinkToFit="0" readingOrder="0"/>
      <border diagonalUp="0" diagonalDown="0">
        <left style="thin">
          <color theme="0"/>
        </left>
        <right/>
        <top/>
        <bottom/>
        <vertical/>
        <horizontal/>
      </border>
    </dxf>
    <dxf>
      <font>
        <b val="0"/>
        <i val="0"/>
        <strike val="0"/>
        <condense val="0"/>
        <extend val="0"/>
        <outline val="0"/>
        <shadow val="0"/>
        <u val="none"/>
        <vertAlign val="baseline"/>
        <sz val="8"/>
        <color indexed="8"/>
        <name val="Calibri"/>
        <scheme val="none"/>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8"/>
        <color indexed="8"/>
        <name val="Calibri"/>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outline="0">
        <left/>
        <right/>
        <top style="thin">
          <color theme="0"/>
        </top>
        <bottom/>
      </border>
    </dxf>
    <dxf>
      <font>
        <b val="0"/>
        <i val="0"/>
        <strike val="0"/>
        <condense val="0"/>
        <extend val="0"/>
        <outline val="0"/>
        <shadow val="0"/>
        <u val="none"/>
        <vertAlign val="baseline"/>
        <sz val="8"/>
        <color indexed="8"/>
        <name val="Calibri"/>
        <scheme val="none"/>
      </font>
      <numFmt numFmtId="0" formatCode="General"/>
      <fill>
        <patternFill patternType="none">
          <fgColor indexed="64"/>
          <bgColor auto="1"/>
        </patternFill>
      </fill>
      <alignment horizontal="general" vertical="bottom" textRotation="0" wrapText="1" indent="0" justifyLastLine="0" shrinkToFit="0" readingOrder="0"/>
    </dxf>
    <dxf>
      <font>
        <b val="0"/>
        <i val="0"/>
        <strike val="0"/>
        <condense val="0"/>
        <extend val="0"/>
        <outline val="0"/>
        <shadow val="0"/>
        <u val="none"/>
        <vertAlign val="baseline"/>
        <sz val="8"/>
        <color indexed="8"/>
        <name val="Calibri"/>
        <family val="2"/>
        <scheme val="none"/>
      </font>
      <numFmt numFmtId="1" formatCode="0"/>
      <fill>
        <patternFill patternType="solid">
          <fgColor indexed="64"/>
          <bgColor theme="6" tint="0.39997558519241921"/>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numFmt numFmtId="1" formatCode="0"/>
      <fill>
        <patternFill patternType="solid">
          <fgColor indexed="64"/>
          <bgColor theme="6" tint="0.39997558519241921"/>
        </patternFill>
      </fill>
      <alignment horizontal="center" vertical="center" textRotation="0" wrapText="0" indent="0" justifyLastLine="0" shrinkToFit="0" readingOrder="0"/>
      <border diagonalUp="0" diagonalDown="0">
        <left style="thin">
          <color theme="0"/>
        </left>
        <right/>
        <top style="thin">
          <color theme="0"/>
        </top>
        <bottom/>
        <vertical/>
        <horizontal/>
      </border>
    </dxf>
    <dxf>
      <font>
        <b val="0"/>
        <i val="0"/>
        <strike val="0"/>
        <condense val="0"/>
        <extend val="0"/>
        <outline val="0"/>
        <shadow val="0"/>
        <u val="none"/>
        <vertAlign val="baseline"/>
        <sz val="10"/>
        <color theme="1"/>
        <name val="Arial"/>
        <scheme val="none"/>
      </font>
      <numFmt numFmtId="1" formatCode="0"/>
      <fill>
        <patternFill patternType="solid">
          <fgColor indexed="64"/>
          <bgColor theme="6" tint="0.39997558519241921"/>
        </patternFill>
      </fill>
      <alignment horizontal="center" vertical="center" textRotation="0" wrapText="0" indent="0" justifyLastLine="0" shrinkToFit="0" readingOrder="0"/>
      <border diagonalUp="0" diagonalDown="0">
        <left style="thin">
          <color theme="0"/>
        </left>
        <right/>
        <top style="thin">
          <color theme="0"/>
        </top>
        <bottom/>
        <vertical/>
        <horizontal/>
      </border>
    </dxf>
    <dxf>
      <font>
        <b/>
        <i val="0"/>
        <strike val="0"/>
        <condense val="0"/>
        <extend val="0"/>
        <outline val="0"/>
        <shadow val="0"/>
        <u val="none"/>
        <vertAlign val="baseline"/>
        <sz val="8"/>
        <color indexed="8"/>
        <name val="Calibri"/>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style="thin">
          <color theme="0"/>
        </left>
        <right style="thin">
          <color theme="0"/>
        </right>
        <top/>
        <bottom/>
      </border>
    </dxf>
    <dxf>
      <fill>
        <patternFill patternType="none">
          <fgColor auto="1"/>
          <bgColor auto="1"/>
        </patternFill>
      </fill>
      <border>
        <bottom/>
      </border>
    </dxf>
    <dxf>
      <font>
        <b/>
        <i val="0"/>
      </font>
      <fill>
        <patternFill patternType="none">
          <fgColor auto="1"/>
          <bgColor auto="1"/>
        </patternFill>
      </fill>
      <border>
        <bottom/>
      </border>
    </dxf>
    <dxf>
      <font>
        <b/>
        <color theme="1"/>
      </font>
    </dxf>
    <dxf>
      <font>
        <b/>
        <color theme="1"/>
      </font>
      <border>
        <bottom style="thin">
          <color theme="0" tint="-0.24994659260841701"/>
        </bottom>
      </border>
    </dxf>
    <dxf>
      <font>
        <b/>
        <color theme="1"/>
      </font>
    </dxf>
    <dxf>
      <font>
        <b/>
        <color theme="1"/>
      </font>
      <border>
        <top style="thin">
          <color theme="8"/>
        </top>
        <bottom style="thin">
          <color theme="8"/>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none">
          <fgColor indexed="64"/>
          <bgColor auto="1"/>
        </patternFill>
      </fill>
    </dxf>
    <dxf>
      <font>
        <b/>
        <color theme="1"/>
      </font>
      <fill>
        <patternFill patternType="none">
          <fgColor indexed="64"/>
          <bgColor auto="1"/>
        </patternFill>
      </fill>
      <border>
        <top style="thin">
          <color auto="1"/>
        </top>
      </border>
    </dxf>
    <dxf>
      <font>
        <b/>
        <color theme="1"/>
      </font>
      <fill>
        <patternFill patternType="solid">
          <fgColor indexed="64"/>
          <bgColor theme="4" tint="0.59996337778862885"/>
        </patternFill>
      </fill>
      <border>
        <bottom style="thin">
          <color auto="1"/>
        </bottom>
      </border>
    </dxf>
    <dxf>
      <fill>
        <patternFill patternType="none">
          <fgColor auto="1"/>
          <bgColor auto="1"/>
        </patternFill>
      </fill>
      <border>
        <bottom/>
      </border>
    </dxf>
    <dxf>
      <font>
        <b/>
        <i val="0"/>
      </font>
      <fill>
        <patternFill patternType="none">
          <fgColor auto="1"/>
          <bgColor auto="1"/>
        </patternFill>
      </fill>
      <border>
        <bottom/>
      </border>
    </dxf>
    <dxf>
      <font>
        <b/>
        <color theme="1"/>
      </font>
    </dxf>
    <dxf>
      <font>
        <b/>
        <color theme="1"/>
      </font>
      <border>
        <bottom style="thin">
          <color theme="0" tint="-0.24994659260841701"/>
        </bottom>
      </border>
    </dxf>
    <dxf>
      <font>
        <b/>
        <color theme="1"/>
      </font>
    </dxf>
    <dxf>
      <font>
        <b/>
        <color theme="1"/>
      </font>
      <border>
        <top style="thin">
          <color theme="8"/>
        </top>
        <bottom style="thin">
          <color theme="8"/>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4.9989318521683403E-2"/>
          <bgColor rgb="FFF8F8F8"/>
        </patternFill>
      </fill>
    </dxf>
    <dxf>
      <font>
        <b/>
        <color theme="1"/>
      </font>
      <fill>
        <patternFill patternType="none">
          <fgColor indexed="64"/>
          <bgColor auto="1"/>
        </patternFill>
      </fill>
      <border>
        <top style="thin">
          <color auto="1"/>
        </top>
      </border>
    </dxf>
    <dxf>
      <font>
        <b/>
        <color theme="1"/>
      </font>
      <fill>
        <patternFill patternType="none">
          <fgColor indexed="64"/>
          <bgColor auto="1"/>
        </patternFill>
      </fill>
      <border>
        <bottom style="thin">
          <color auto="1"/>
        </bottom>
      </border>
    </dxf>
  </dxfs>
  <tableStyles count="2" defaultTableStyle="TableStyleMedium9" defaultPivotStyle="PivotStyleLight16">
    <tableStyle name="PivotStyleLight20 X" table="0" count="11" xr9:uid="{00000000-0011-0000-FFFF-FFFF00000000}">
      <tableStyleElement type="headerRow" dxfId="41"/>
      <tableStyleElement type="totalRow" dxfId="40"/>
      <tableStyleElement type="firstRowStripe" dxfId="39"/>
      <tableStyleElement type="firstColumnStripe" dxfId="38"/>
      <tableStyleElement type="firstSubtotalColumn" dxfId="37"/>
      <tableStyleElement type="firstSubtotalRow" dxfId="36"/>
      <tableStyleElement type="secondSubtotalRow" dxfId="35"/>
      <tableStyleElement type="firstRowSubheading" dxfId="34"/>
      <tableStyleElement type="secondRowSubheading" dxfId="33"/>
      <tableStyleElement type="pageFieldLabels" dxfId="32"/>
      <tableStyleElement type="pageFieldValues" dxfId="31"/>
    </tableStyle>
    <tableStyle name="PivotStyleLight20 X 2" table="0" count="11" xr9:uid="{00000000-0011-0000-FFFF-FFFF01000000}">
      <tableStyleElement type="headerRow" dxfId="30"/>
      <tableStyleElement type="totalRow" dxfId="29"/>
      <tableStyleElement type="firstRowStripe" dxfId="28"/>
      <tableStyleElement type="firstColumnStripe" dxfId="27"/>
      <tableStyleElement type="firstSubtotalColumn" dxfId="26"/>
      <tableStyleElement type="firstSubtotalRow" dxfId="25"/>
      <tableStyleElement type="secondSubtotalRow" dxfId="24"/>
      <tableStyleElement type="firstRowSubheading" dxfId="23"/>
      <tableStyleElement type="secondRowSubheading" dxfId="22"/>
      <tableStyleElement type="pageFieldLabels" dxfId="21"/>
      <tableStyleElement type="pageFieldValues" dxfId="20"/>
    </tableStyle>
  </tableStyles>
  <colors>
    <mruColors>
      <color rgb="FFFABF8F"/>
      <color rgb="FFFFFFCC"/>
      <color rgb="FF88F69A"/>
      <color rgb="FF0068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7.xml"/><Relationship Id="rId18" Type="http://schemas.openxmlformats.org/officeDocument/2006/relationships/customXml" Target="../customXml/item12.xml"/><Relationship Id="rId26" Type="http://schemas.openxmlformats.org/officeDocument/2006/relationships/customXml" Target="../customXml/item20.xml"/><Relationship Id="rId39" Type="http://schemas.openxmlformats.org/officeDocument/2006/relationships/customXml" Target="../customXml/item33.xml"/><Relationship Id="rId21" Type="http://schemas.openxmlformats.org/officeDocument/2006/relationships/customXml" Target="../customXml/item15.xml"/><Relationship Id="rId34" Type="http://schemas.openxmlformats.org/officeDocument/2006/relationships/customXml" Target="../customXml/item28.xml"/><Relationship Id="rId42" Type="http://schemas.openxmlformats.org/officeDocument/2006/relationships/customXml" Target="../customXml/item36.xml"/><Relationship Id="rId47" Type="http://schemas.openxmlformats.org/officeDocument/2006/relationships/customXml" Target="../customXml/item41.xml"/><Relationship Id="rId50" Type="http://schemas.microsoft.com/office/2006/relationships/vbaProject" Target="vbaProject.bin"/><Relationship Id="rId7" Type="http://schemas.openxmlformats.org/officeDocument/2006/relationships/customXml" Target="../customXml/item1.xml"/><Relationship Id="rId2" Type="http://schemas.openxmlformats.org/officeDocument/2006/relationships/theme" Target="theme/theme1.xml"/><Relationship Id="rId16" Type="http://schemas.openxmlformats.org/officeDocument/2006/relationships/customXml" Target="../customXml/item10.xml"/><Relationship Id="rId29" Type="http://schemas.openxmlformats.org/officeDocument/2006/relationships/customXml" Target="../customXml/item23.xml"/><Relationship Id="rId11" Type="http://schemas.openxmlformats.org/officeDocument/2006/relationships/customXml" Target="../customXml/item5.xml"/><Relationship Id="rId24" Type="http://schemas.openxmlformats.org/officeDocument/2006/relationships/customXml" Target="../customXml/item18.xml"/><Relationship Id="rId32" Type="http://schemas.openxmlformats.org/officeDocument/2006/relationships/customXml" Target="../customXml/item26.xml"/><Relationship Id="rId37" Type="http://schemas.openxmlformats.org/officeDocument/2006/relationships/customXml" Target="../customXml/item31.xml"/><Relationship Id="rId40" Type="http://schemas.openxmlformats.org/officeDocument/2006/relationships/customXml" Target="../customXml/item34.xml"/><Relationship Id="rId45" Type="http://schemas.openxmlformats.org/officeDocument/2006/relationships/customXml" Target="../customXml/item39.xml"/><Relationship Id="rId5" Type="http://schemas.microsoft.com/office/2017/10/relationships/person" Target="persons/person.xml"/><Relationship Id="rId15" Type="http://schemas.openxmlformats.org/officeDocument/2006/relationships/customXml" Target="../customXml/item9.xml"/><Relationship Id="rId23" Type="http://schemas.openxmlformats.org/officeDocument/2006/relationships/customXml" Target="../customXml/item17.xml"/><Relationship Id="rId28" Type="http://schemas.openxmlformats.org/officeDocument/2006/relationships/customXml" Target="../customXml/item22.xml"/><Relationship Id="rId36" Type="http://schemas.openxmlformats.org/officeDocument/2006/relationships/customXml" Target="../customXml/item30.xml"/><Relationship Id="rId49" Type="http://schemas.openxmlformats.org/officeDocument/2006/relationships/customXml" Target="../customXml/item43.xml"/><Relationship Id="rId10" Type="http://schemas.openxmlformats.org/officeDocument/2006/relationships/customXml" Target="../customXml/item4.xml"/><Relationship Id="rId19" Type="http://schemas.openxmlformats.org/officeDocument/2006/relationships/customXml" Target="../customXml/item13.xml"/><Relationship Id="rId31" Type="http://schemas.openxmlformats.org/officeDocument/2006/relationships/customXml" Target="../customXml/item25.xml"/><Relationship Id="rId44" Type="http://schemas.openxmlformats.org/officeDocument/2006/relationships/customXml" Target="../customXml/item38.xml"/><Relationship Id="rId4" Type="http://schemas.openxmlformats.org/officeDocument/2006/relationships/sharedStrings" Target="sharedStrings.xml"/><Relationship Id="rId9" Type="http://schemas.openxmlformats.org/officeDocument/2006/relationships/customXml" Target="../customXml/item3.xml"/><Relationship Id="rId14" Type="http://schemas.openxmlformats.org/officeDocument/2006/relationships/customXml" Target="../customXml/item8.xml"/><Relationship Id="rId22" Type="http://schemas.openxmlformats.org/officeDocument/2006/relationships/customXml" Target="../customXml/item16.xml"/><Relationship Id="rId27" Type="http://schemas.openxmlformats.org/officeDocument/2006/relationships/customXml" Target="../customXml/item21.xml"/><Relationship Id="rId30" Type="http://schemas.openxmlformats.org/officeDocument/2006/relationships/customXml" Target="../customXml/item24.xml"/><Relationship Id="rId35" Type="http://schemas.openxmlformats.org/officeDocument/2006/relationships/customXml" Target="../customXml/item29.xml"/><Relationship Id="rId43" Type="http://schemas.openxmlformats.org/officeDocument/2006/relationships/customXml" Target="../customXml/item37.xml"/><Relationship Id="rId48" Type="http://schemas.openxmlformats.org/officeDocument/2006/relationships/customXml" Target="../customXml/item42.xml"/><Relationship Id="rId8" Type="http://schemas.openxmlformats.org/officeDocument/2006/relationships/customXml" Target="../customXml/item2.xml"/><Relationship Id="rId3" Type="http://schemas.openxmlformats.org/officeDocument/2006/relationships/styles" Target="styles.xml"/><Relationship Id="rId12" Type="http://schemas.openxmlformats.org/officeDocument/2006/relationships/customXml" Target="../customXml/item6.xml"/><Relationship Id="rId17" Type="http://schemas.openxmlformats.org/officeDocument/2006/relationships/customXml" Target="../customXml/item11.xml"/><Relationship Id="rId25" Type="http://schemas.openxmlformats.org/officeDocument/2006/relationships/customXml" Target="../customXml/item19.xml"/><Relationship Id="rId33" Type="http://schemas.openxmlformats.org/officeDocument/2006/relationships/customXml" Target="../customXml/item27.xml"/><Relationship Id="rId38" Type="http://schemas.openxmlformats.org/officeDocument/2006/relationships/customXml" Target="../customXml/item32.xml"/><Relationship Id="rId46" Type="http://schemas.openxmlformats.org/officeDocument/2006/relationships/customXml" Target="../customXml/item40.xml"/><Relationship Id="rId20" Type="http://schemas.openxmlformats.org/officeDocument/2006/relationships/customXml" Target="../customXml/item14.xml"/><Relationship Id="rId41" Type="http://schemas.openxmlformats.org/officeDocument/2006/relationships/customXml" Target="../customXml/item35.xml"/><Relationship Id="rId1" Type="http://schemas.openxmlformats.org/officeDocument/2006/relationships/worksheet" Target="worksheets/sheet1.xml"/><Relationship Id="rId6" Type="http://schemas.openxmlformats.org/officeDocument/2006/relationships/calcChain" Target="calcChain.xml"/></Relationships>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ProyectosERS" id="{5E8F0BE6-9099-489D-9E7C-8CC32A576617}"/>
</namedSheetViews>
</file>

<file path=xl/persons/person.xml><?xml version="1.0" encoding="utf-8"?>
<personList xmlns="http://schemas.microsoft.com/office/spreadsheetml/2018/threadedcomments" xmlns:x="http://schemas.openxmlformats.org/spreadsheetml/2006/main">
  <person displayName="Juan J. Haim" id="{4CA5411D-93E0-4233-A7D0-0B1D0093F0E4}" userId="Juan J. Haim" providerId="None"/>
  <person displayName="Damian Minnock" id="{A0A6972B-D7AB-40B9-A878-6A0AAAAC51E3}" userId="Damian Minnock" providerId="None"/>
  <person displayName="Gabriel Degenhardt" id="{5C7297BD-2527-4082-A851-605660BD67A0}" userId="Gabriel Degenhardt" providerId="None"/>
  <person displayName="Francisco Del_Carlo" id="{A5C5B7E5-8126-4B08-8DC6-EA4A550AED5F}" userId="Francisco Del_Carlo" providerId="None"/>
  <person displayName="Eduardo Kuri" id="{C5C3902E-85D4-4E84-AF05-271E7B198305}" userId="S::eduardo.kuri@hitachienergy.com::b429ccc3-c8d2-457d-ab7f-244afe93152a" providerId="AD"/>
  <person displayName="Damian Minnock" id="{8931290B-9E9D-4066-BC5A-E045F00C0E1E}" userId="S::damian.minnock@hitachienergy.com::cbcdba85-ec40-4f70-b441-a11d6c93015d" providerId="AD"/>
  <person displayName="SEBASTIAN OFMAN" id="{A10886C7-239D-4961-8F03-8965A61F27B2}" userId="S::sebastian.ofman@hitachienergy.com::f6f797b4-56b1-437f-b4bc-9982e974b367" providerId="AD"/>
  <person displayName="GABRIEL DEGENHARDT" id="{394F6E02-D16B-483B-A1D5-DB29A50598BB}" userId="S::gabriel.degenhardt@hitachienergy.com::b6636078-7145-4f45-9ad1-873af27ccfcc" providerId="AD"/>
  <person displayName="Francisco Del_Carlo" id="{C9F68DEF-7B20-49B9-B9DB-BD5E06CD341F}" userId="S::francisco.del_carlo@hitachienergy.com::0237ffe8-2bf9-4b83-9146-8b4891e81da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EB6AE3-0B2B-45A8-8A9E-69AEA7B0F308}" name="Planning" displayName="Planning" ref="A6:S6082" totalsRowShown="0" headerRowDxfId="19" headerRowCellStyle="Normal_Sheet1">
  <autoFilter ref="A6:S6082" xr:uid="{41EB6AE3-0B2B-45A8-8A9E-69AEA7B0F308}"/>
  <tableColumns count="19">
    <tableColumn id="9" xr3:uid="{1D5F2E44-5E24-4103-986D-1B05E4339FE7}" name="Project Manager" dataDxfId="18"/>
    <tableColumn id="10" xr3:uid="{6F1ADC4F-66EF-4A26-AB9D-71E47A76574E}" name="LE" dataDxfId="17"/>
    <tableColumn id="17" xr3:uid="{05D4D7F5-EB08-4724-A564-37AA194E2D71}" name="Proyectos Reiwa" dataDxfId="16" dataCellStyle="Normal_Sheet1"/>
    <tableColumn id="1" xr3:uid="{DB3C5288-FE82-4581-ACA5-66B3C5D99515}" name="Proyectos" dataDxfId="15" dataCellStyle="Normal_Sheet1"/>
    <tableColumn id="3" xr3:uid="{26D3F175-9104-477F-8EE9-7F4F9159DAE2}" name="Tarifa" dataDxfId="14" dataCellStyle="Normal_Sheet1"/>
    <tableColumn id="8" xr3:uid="{5297C8C7-9178-4FE7-8BA7-4EB2A2915BAC}" name="Tipo de Tarea y especialidad" dataDxfId="13" dataCellStyle="Normal_Sheet1"/>
    <tableColumn id="2" xr3:uid="{691979B8-8F06-4FB0-BE8C-A17C37847CC5}" name="Horas Precálculo" dataDxfId="12" dataCellStyle="Normal_Sheet1"/>
    <tableColumn id="4" xr3:uid="{055E0D0B-CCEC-4BD9-A480-1ACE100CEA74}" name="Horas Planificadas" dataDxfId="11"/>
    <tableColumn id="6" xr3:uid="{78E8A51F-A801-48D2-8EF8-D720CD4C5B31}" name="Horas ajustadas adicionales" dataDxfId="10"/>
    <tableColumn id="5" xr3:uid="{8A855075-71C6-4186-9E02-EED23B61E4FA}" name="Horas utilizadas" dataDxfId="9"/>
    <tableColumn id="7" xr3:uid="{FC45AA56-5846-4CAA-ABF7-9C2C337F1732}" name="Saldo" dataDxfId="8"/>
    <tableColumn id="11" xr3:uid="{876AC972-867A-4054-9F47-04C498F4D45B}" name="Saldo estimado" dataDxfId="7"/>
    <tableColumn id="12" xr3:uid="{F641093C-BF5F-4853-A410-B5B57608E9E7}" name="Ajuste" dataDxfId="6">
      <calculatedColumnFormula>Planning[[#This Row],[Saldo]]-Planning[[#This Row],[Saldo estimado]]</calculatedColumnFormula>
    </tableColumn>
    <tableColumn id="16" xr3:uid="{E6D2A274-0D45-41A1-8F83-1E98F98C563B}" name="Horas Desvío" dataDxfId="5">
      <calculatedColumnFormula>+SUMIFS(#REF!,#REF!,Planning[[#This Row],[Proyectos]],#REF!,Planning[[#This Row],[Tipo de Tarea y especialidad]])</calculatedColumnFormula>
    </tableColumn>
    <tableColumn id="14" xr3:uid="{AE6C34C8-3CED-486F-BDBE-97F41C715AEE}" name="Mes" dataDxfId="4">
      <calculatedColumnFormula>$L$4</calculatedColumnFormula>
    </tableColumn>
    <tableColumn id="15" xr3:uid="{72B4D078-DF28-484B-B3F0-DAF2B3F69FD5}" name="Año" dataDxfId="3">
      <calculatedColumnFormula>$M$4</calculatedColumnFormula>
    </tableColumn>
    <tableColumn id="13" xr3:uid="{9F4FDA3B-8069-4091-AE88-50BCC066DA5F}" name="Horas utilizadas Período Particular" dataDxfId="2">
      <calculatedColumnFormula>+SUMIFS(#REF!,#REF!,Planning[[#This Row],[Tarifa]],#REF!,Planning[[#This Row],[Proyectos]],#REF!,Planning[[#This Row],[Mes]],#REF!,Planning[[#This Row],[Año]])</calculatedColumnFormula>
    </tableColumn>
    <tableColumn id="19" xr3:uid="{96559D85-5438-4935-A88F-5B7A3CD2D22D}" name="Mes WL" dataDxfId="1">
      <calculatedColumnFormula>TEXT(Planning[[#This Row],[Mes]]*29,"mmmm")</calculatedColumnFormula>
    </tableColumn>
    <tableColumn id="18" xr3:uid="{ADB5D326-0B3E-42FB-A36B-F49E4C7E8AA6}" name="Horas Planificadas WL Período Particular" dataDxfId="0">
      <calculatedColumnFormula>SUM(SUMIFS(#REF!,#REF!,Planning[[#This Row],[Tipo de Tarea y especialidad]],#REF!,Planning[[#This Row],[Proyectos Reiwa]],#REF!,Planning[[#This Row],[Mes]],#REF!,Planning[[#This Row],[Año]]),SUMIFS(#REF!,#REF!,Planning[[#This Row],[Tipo de Tarea y especialidad]],#REF!,Planning[[#This Row],[Proyectos]],#REF!,Planning[[#This Row],[Mes]],#REF!,Planning[[#This Row],[Año]]))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2" dT="2021-06-29T14:18:48.46" personId="{4CA5411D-93E0-4233-A7D0-0B1D0093F0E4}" id="{4793AD24-E4EA-4561-BA67-210D344E4A08}">
    <text>Elegir mes y año que se quiere analizar en particular. Aparecerá en Columna O.</text>
  </threadedComment>
  <threadedComment ref="H361" dT="2021-05-10T14:39:25.94" personId="{A5C5B7E5-8126-4B08-8DC6-EA4A550AED5F}" id="{D915DDDF-E8EE-428D-B37E-F28E886A1541}">
    <text>Hay 34 hs cargadas aunque la PeS no ha comenzado aún. Debemos compensarlas</text>
  </threadedComment>
  <threadedComment ref="L761" dT="2021-06-14T11:49:21.13" personId="{A5C5B7E5-8126-4B08-8DC6-EA4A550AED5F}" id="{E176D37D-1655-4FDB-AD06-7619DFB3805F}">
    <text>Para elaboración de documentos y CAO</text>
  </threadedComment>
  <threadedComment ref="L763" dT="2021-05-10T14:40:37.98" personId="{A5C5B7E5-8126-4B08-8DC6-EA4A550AED5F}" id="{0C34A36F-BB8E-45A6-99AE-E0972A17875F}">
    <text>Para conformar observaciones a protocolos SAT y preparación del SAT</text>
  </threadedComment>
  <threadedComment ref="L764" dT="2021-05-10T14:40:54.69" personId="{A5C5B7E5-8126-4B08-8DC6-EA4A550AED5F}" id="{B5E1B07E-41B2-4FE8-99FF-25966F0740FF}">
    <text>Para conformar observaciones a protocolos SAT y preparación del SAT</text>
  </threadedComment>
  <threadedComment ref="L1545" dT="2021-06-14T11:59:18.91" personId="{A5C5B7E5-8126-4B08-8DC6-EA4A550AED5F}" id="{76E678C1-CC81-43E1-9F72-0150BE8BD59C}">
    <text>Para elaboración de documentos CAO</text>
  </threadedComment>
  <threadedComment ref="L1547" dT="2021-06-14T12:00:19.14" personId="{A5C5B7E5-8126-4B08-8DC6-EA4A550AED5F}" id="{69C68391-831E-4C06-8EA0-BAC1964F23D4}">
    <text>Para realizar CAO</text>
  </threadedComment>
  <threadedComment ref="I2696" dT="2021-05-10T14:45:09.73" personId="{A5C5B7E5-8126-4B08-8DC6-EA4A550AED5F}" id="{FB450E7C-897D-42AD-A86B-F67DDA4CC63A}">
    <text>Adicionales obtenidos por tareas en las PeS en diversos momentos (Q180042.9)</text>
  </threadedComment>
  <threadedComment ref="H3716" dT="2021-05-10T14:46:50.45" personId="{A5C5B7E5-8126-4B08-8DC6-EA4A550AED5F}" id="{AA134102-16D7-4A89-99B3-15D5B44F6804}">
    <text>Se agregaron 9 hs por adicional tablero Acoplador (23/06/20)</text>
  </threadedComment>
  <threadedComment ref="H3719" dT="2021-05-10T14:47:46.59" personId="{A5C5B7E5-8126-4B08-8DC6-EA4A550AED5F}" id="{AF0B4B95-92B1-4BC1-B9A7-79BD22662761}">
    <text>Se agregaron 27 hs por adicional tablero Acoplador (23/06/20)</text>
  </threadedComment>
  <threadedComment ref="H3720" dT="2021-05-10T14:48:41.15" personId="{A5C5B7E5-8126-4B08-8DC6-EA4A550AED5F}" id="{6AB638A0-74D0-4FF7-94C2-E47C8C7243A3}">
    <text>Se agregaron 9 hs por adicional tablero Acoplador (23/06/20)</text>
  </threadedComment>
  <threadedComment ref="H3722" dT="2021-05-10T14:49:39.48" personId="{A5C5B7E5-8126-4B08-8DC6-EA4A550AED5F}" id="{A29CFCC7-6671-455E-9B85-43A80634679B}">
    <text>Se agregaron 9 hs por adicional tablero Acoplador (23/06/20)</text>
  </threadedComment>
  <threadedComment ref="H3728" dT="2021-05-10T14:50:48.36" personId="{A5C5B7E5-8126-4B08-8DC6-EA4A550AED5F}" id="{ECE47CF5-98EA-4AD6-95E8-EBADD7B7402C}">
    <text>Se agregaron 9 hs por adicional tablero Acoplador (23/06/20)</text>
  </threadedComment>
  <threadedComment ref="G4148" dT="2021-06-14T13:12:30.13" personId="{A5C5B7E5-8126-4B08-8DC6-EA4A550AED5F}" id="{AD9500EF-7A14-4B4E-A60A-AB7ED7332F43}">
    <text>Incluye 160hs fabricación comunicaciones</text>
  </threadedComment>
  <threadedComment ref="G4149" dT="2021-06-14T13:13:32.71" personId="{A5C5B7E5-8126-4B08-8DC6-EA4A550AED5F}" id="{02DCE3F5-7B17-4C57-B2D9-014ED3727D91}">
    <text>Incluye 42hs de comunicaciones</text>
  </threadedComment>
  <threadedComment ref="G4154" dT="2021-06-14T13:16:45.55" personId="{A5C5B7E5-8126-4B08-8DC6-EA4A550AED5F}" id="{ADFDD236-BDE2-46F0-AF99-799AFF4004BE}">
    <text>Incluye comunicaciones. No se sabe cuantas hs fueron destinadas a comunicaciones</text>
  </threadedComment>
  <threadedComment ref="H4164" dT="2022-05-11T11:37:45.48" personId="{A5C5B7E5-8126-4B08-8DC6-EA4A550AED5F}" id="{F8CC0962-2BF9-4C7F-ABC0-E52B0FADD772}">
    <text>Ver mail de Toledo 30/03/22 (incluye Comunicaciones)</text>
  </threadedComment>
  <threadedComment ref="H4165" dT="2022-05-11T11:41:37.79" personId="{A5C5B7E5-8126-4B08-8DC6-EA4A550AED5F}" id="{D4E51727-E63B-4F4E-A28E-F2E1C107C0BA}">
    <text>Ver mail de Haim (03/05/22)</text>
  </threadedComment>
  <threadedComment ref="H4167" dT="2022-05-11T11:43:32.26" personId="{A5C5B7E5-8126-4B08-8DC6-EA4A550AED5F}" id="{8C98D3BF-DECB-4DF2-92F5-BD12518AD701}">
    <text>Ver mail de Haim 03/05/22</text>
  </threadedComment>
  <threadedComment ref="H4168" dT="2022-05-11T11:43:40.37" personId="{A5C5B7E5-8126-4B08-8DC6-EA4A550AED5F}" id="{E62B6AC2-C12F-4242-ABA1-75087687BE56}">
    <text>Ver mail de Haim 03/05/22</text>
  </threadedComment>
  <threadedComment ref="H4171" dT="2022-05-11T11:56:29.53" personId="{A5C5B7E5-8126-4B08-8DC6-EA4A550AED5F}" id="{78EE0B27-0BE6-40DE-A46C-24305109ED45}">
    <text>Ver mail de Enzo del 31/03/22</text>
  </threadedComment>
  <threadedComment ref="H4172" dT="2022-05-11T11:56:37.21" personId="{A5C5B7E5-8126-4B08-8DC6-EA4A550AED5F}" id="{D0798D90-E818-44D3-A872-FC09D821F2A8}">
    <text>Ver mail de Enzo del 31/03/22</text>
  </threadedComment>
  <threadedComment ref="I4197" dT="2021-05-10T14:36:17.38" personId="{A5C5B7E5-8126-4B08-8DC6-EA4A550AED5F}" id="{45E1B91E-943C-48DA-B40C-D0657D225C3E}">
    <text>Hs por adicional funcionales de tableros</text>
  </threadedComment>
  <threadedComment ref="I4199" dT="2021-05-10T14:52:37.48" personId="{A5C5B7E5-8126-4B08-8DC6-EA4A550AED5F}" id="{8F9E5EBA-2CD5-41F7-880E-8A9871C2D29F}">
    <text>Hs por adicional funcionales de tableros</text>
  </threadedComment>
  <threadedComment ref="I4202" dT="2021-05-10T14:53:26.15" personId="{A5C5B7E5-8126-4B08-8DC6-EA4A550AED5F}" id="{B77E5928-265E-4EE2-B5CA-1D0AF52BCAF4}">
    <text>Hs por adicional funcionales de tableros</text>
  </threadedComment>
  <threadedComment ref="I4203" dT="2021-11-08T14:48:35.58" personId="{A5C5B7E5-8126-4B08-8DC6-EA4A550AED5F}" id="{0A2AC0B3-A10E-4247-9271-16D071EBC14E}">
    <text>Hs por adicional ensayos en LAGO</text>
  </threadedComment>
  <threadedComment ref="I4204" dT="2021-11-08T14:49:15.23" personId="{A5C5B7E5-8126-4B08-8DC6-EA4A550AED5F}" id="{5E57A945-225C-4B32-879A-13099007B2AF}">
    <text>Hs por adicional en LAGO</text>
  </threadedComment>
  <threadedComment ref="I4208" dT="2022-05-11T12:10:55.35" personId="{A5C5B7E5-8126-4B08-8DC6-EA4A550AED5F}" id="{151859A4-5941-498B-BAB2-9E554D225759}">
    <text>Corresponden al adicional cobrado por concurrir a fábrica de LAGO (como servicio)</text>
  </threadedComment>
  <threadedComment ref="I4209" dT="2022-05-11T12:11:07.91" personId="{A5C5B7E5-8126-4B08-8DC6-EA4A550AED5F}" id="{50FC49B3-BDAA-4EC1-B29F-AE7E8FF5120D}">
    <text>Corresponden al adicional cobrado por concurrir a fábrica de LAGO (como servicio)</text>
  </threadedComment>
  <threadedComment ref="H4516" dT="2021-07-16T20:55:12.37" personId="{A5C5B7E5-8126-4B08-8DC6-EA4A550AED5F}" id="{B26FFF93-5389-461F-8D8F-2AD98C761BBB}">
    <text>Se consideró 35hs en fábrica y 30hs en obra para montaje y cableado</text>
  </threadedComment>
  <threadedComment ref="I4517" dT="2021-12-09T19:25:41.11" personId="{A5C5B7E5-8126-4B08-8DC6-EA4A550AED5F}" id="{4842E6A4-31F0-4A1A-9F45-AD99EA98BE25}">
    <text>Agregadas por adicional 1</text>
  </threadedComment>
  <threadedComment ref="H4519" dT="2021-07-16T20:58:29.56" personId="{A5C5B7E5-8126-4B08-8DC6-EA4A550AED5F}" id="{3ACF50C0-0D5C-4CD1-8FEC-01AC93AFEF32}">
    <text>Se considerá 35hs de análisis y 45hs para configuraciones</text>
  </threadedComment>
  <threadedComment ref="I4519" dT="2021-12-09T19:26:28.26" personId="{A5C5B7E5-8126-4B08-8DC6-EA4A550AED5F}" id="{97CCBE87-80F8-4F1C-9A61-E6B329A2FA83}">
    <text>Agregadas por adicional 1</text>
  </threadedComment>
  <threadedComment ref="H4528" dT="2021-07-16T20:57:19.00" personId="{A5C5B7E5-8126-4B08-8DC6-EA4A550AED5F}" id="{60199E86-DC44-41FF-BDAC-3C45D98E7C55}">
    <text>Se consideró 30hs de 1 persona de protecciones que acompaña al de fábrica y 30hs para la PeS de la formación de isla</text>
  </threadedComment>
  <threadedComment ref="I4581" dT="2022-04-21T13:37:49.34" personId="{A5C5B7E5-8126-4B08-8DC6-EA4A550AED5F}" id="{E183F1A4-3378-4A07-9F83-08C28E8E075C}">
    <text>Corresponde a reclasificación por exceso en la carga de horas</text>
  </threadedComment>
  <threadedComment ref="L4584" dT="2021-12-09T15:09:41.47" personId="{A5C5B7E5-8126-4B08-8DC6-EA4A550AED5F}" id="{278BCA38-0AB9-45B2-8166-B2FF9AADA989}">
    <text>Ver mail de JH 13/12 donde informa sobre las acciones que tomará ingeniería de control para compensar el desfasaje que ha producido la capacitación de Baldini</text>
  </threadedComment>
  <threadedComment ref="L4598" dT="2022-07-19T09:58:43.31" personId="{8931290B-9E9D-4066-BC5A-E045F00C0E1E}" id="{7989881F-DB85-4291-8854-9014CB6B179A}">
    <text>Aqui coloco las horas disponibles de soporte telefónico. Cuando se consuman de esas horas, habría que restar este numero para llevar control. Saldo debe ser igual a Saldo estimado.</text>
  </threadedComment>
  <threadedComment ref="I4660" dT="2023-01-30T17:52:42.73" personId="{394F6E02-D16B-483B-A1D5-DB29A50598BB}" id="{00D70320-8641-4802-8DFB-5558BD0DA20C}">
    <text>Hs Ad TELECOM + Hs Gaby Rodriguez (389) + Adicional M1 (2131)</text>
  </threadedComment>
  <threadedComment ref="I4661" dT="2023-01-30T17:52:59.36" personId="{394F6E02-D16B-483B-A1D5-DB29A50598BB}" id="{611AD15F-C6FA-4C2E-A4B1-B1780475C3A5}">
    <text>Hs Ad TELECOM+ Adicional M1</text>
  </threadedComment>
  <threadedComment ref="I4663" dT="2022-05-09T16:29:03.16" personId="{5C7297BD-2527-4082-A851-605660BD67A0}" id="{6F6419A5-FBC2-4A53-90F5-F6CB0EEBAE4E}">
    <text>hs proy SMEC 
Hs INOPC (-402)+ Adicional M1</text>
  </threadedComment>
  <threadedComment ref="I4665" dT="2023-01-30T18:01:09.15" personId="{394F6E02-D16B-483B-A1D5-DB29A50598BB}" id="{B483AF51-ABA7-4B6A-B64F-FC383E63DF35}">
    <text>Hs Ad TELECOM</text>
  </threadedComment>
  <threadedComment ref="I4666" dT="2023-10-09T13:26:20.18" personId="{394F6E02-D16B-483B-A1D5-DB29A50598BB}" id="{72128544-C20F-4266-A5A7-617DAA32FAA2}">
    <text>Hs PM + Hs Adicional M1</text>
  </threadedComment>
  <threadedComment ref="I4667" dT="2023-08-15T20:35:03.33" personId="{394F6E02-D16B-483B-A1D5-DB29A50598BB}" id="{60BC8518-0E4D-40B9-84E4-F7E9B684DDFD}">
    <text>Hs Reclasificación de 
Gaby Rodriguez y Hs FOCO + Adicional M1</text>
  </threadedComment>
  <threadedComment ref="I4669" dT="2023-01-30T18:01:20.66" personId="{394F6E02-D16B-483B-A1D5-DB29A50598BB}" id="{CAC39CEB-6E1C-46BE-A29C-B4F1D33BCF42}">
    <text>Hs Ad TELECOM</text>
  </threadedComment>
  <threadedComment ref="I4672" dT="2023-10-09T13:25:43.18" personId="{394F6E02-D16B-483B-A1D5-DB29A50598BB}" id="{A64F8736-0EE1-4344-892C-AF2367E0B044}">
    <text>Hs Adicional M1</text>
  </threadedComment>
  <threadedComment ref="G4684" dT="2022-02-08T16:15:11.76" personId="{A0A6972B-D7AB-40B9-A878-6A0AAAAC51E3}" id="{7C40F095-F8F7-44E1-B6C6-AA1C3061AD18}">
    <text>45 hs FAT
54 hs preparación curso
108 hs curso</text>
  </threadedComment>
  <threadedComment ref="H4727" dT="2022-09-09T19:04:22.32" personId="{A5C5B7E5-8126-4B08-8DC6-EA4A550AED5F}" id="{11C55106-0052-4971-82B7-C67BF94CC237}">
    <text>Se sumaron 6d por adicional modificaciones</text>
  </threadedComment>
  <threadedComment ref="L5045" dT="2023-01-12T12:11:31.56" personId="{A5C5B7E5-8126-4B08-8DC6-EA4A550AED5F}" id="{3FD4EE54-23BA-46C7-A007-C10C6B0E0E97}">
    <text>Hubo un gasto desmedido de horas de F Estrada. El mes 12 cargó 45hs</text>
  </threadedComment>
  <threadedComment ref="L5320" dT="2024-05-24T11:35:46.79" personId="{C9F68DEF-7B20-49B9-B9DB-BD5E06CD341F}" id="{501B7635-06A4-45AA-9D0D-7C445A8293E7}">
    <text>JH va a reclasificar 189hs</text>
  </threadedComment>
  <threadedComment ref="H5328" dT="2024-03-13T13:20:43.62" personId="{C9F68DEF-7B20-49B9-B9DB-BD5E06CD341F}" id="{FDC85E31-3288-492B-B27B-45A1E42D3FD1}">
    <text>Incluye curso</text>
  </threadedComment>
  <threadedComment ref="H5329" dT="2024-03-13T13:20:56.16" personId="{C9F68DEF-7B20-49B9-B9DB-BD5E06CD341F}" id="{18030EBB-D53A-4ED4-A6AC-2FF4E3A7DDFE}">
    <text>Incluye curso</text>
  </threadedComment>
  <threadedComment ref="H5335" dT="2024-06-06T11:26:19.37" personId="{C5C3902E-85D4-4E84-AF05-271E7B198305}" id="{05967B25-50D6-4C5E-B61A-AB116B3FD886}">
    <text xml:space="preserve">210 Horas tercerizadas </text>
  </threadedComment>
  <threadedComment ref="M5335" dT="2024-07-08T14:08:19.24" personId="{C5C3902E-85D4-4E84-AF05-271E7B198305}" id="{92E9B476-98CA-4A32-BD91-F004DC799A5C}">
    <text>Hasta que no esten las ha definitivas</text>
  </threadedComment>
  <threadedComment ref="H5472" dT="2023-06-27T19:41:09.93" personId="{C9F68DEF-7B20-49B9-B9DB-BD5E06CD341F}" id="{72EC0E2B-C2A7-4054-98A7-7E8110598663}">
    <text>Incluye las horas de capacitación</text>
  </threadedComment>
  <threadedComment ref="H5473" dT="2023-06-27T19:41:00.44" personId="{C9F68DEF-7B20-49B9-B9DB-BD5E06CD341F}" id="{B50C96DB-D4B3-45F2-B215-DAC0DA658060}">
    <text>Incluye las horas de capacitación</text>
  </threadedComment>
  <threadedComment ref="H5474" dT="2023-06-27T19:39:21.43" personId="{C9F68DEF-7B20-49B9-B9DB-BD5E06CD341F}" id="{CE6149C0-F3A5-4923-9AB2-25B6D88FEC93}">
    <text>Incluye las horas de capacitación</text>
  </threadedComment>
  <threadedComment ref="H5490" dT="2023-09-27T17:56:33.07" personId="{A10886C7-239D-4961-8F03-8965A61F27B2}" id="{A2BC1ACE-8BC9-47DA-976E-E07959B2009D}">
    <text>Incluye 70 horas para capacitacion</text>
  </threadedComment>
  <threadedComment ref="H5602" dT="2023-09-27T17:56:33.07" personId="{A10886C7-239D-4961-8F03-8965A61F27B2}" id="{BA3DC927-6742-4E0B-A584-99D90F95C7D5}">
    <text>Incluye 60 horas para capacitacion</text>
  </threadedComment>
  <threadedComment ref="H5618" dT="2023-09-27T17:56:33.07" personId="{A10886C7-239D-4961-8F03-8965A61F27B2}" id="{99AD570D-41B7-4A1A-BB24-EB02CB197DFF}">
    <text>Incluye 60 horas para capacitacion</text>
  </threadedComment>
  <threadedComment ref="L5686" dT="2022-07-19T09:58:43.31" personId="{8931290B-9E9D-4066-BC5A-E045F00C0E1E}" id="{15D94217-078D-47CC-8DCC-28183AA29BBB}">
    <text>Aqui coloco las horas disponibles de soporte telefónico. Cuando se consuman de esas horas, habría que restar este numero para llevar control. Saldo debe ser igual a Saldo estimado.</text>
  </threadedComment>
  <threadedComment ref="G5984" dT="2024-07-30T14:58:11.87" personId="{C9F68DEF-7B20-49B9-B9DB-BD5E06CD341F}" id="{993D12F0-F18E-4AA7-8EB3-69693E0D7AD1}">
    <text>Incluye capacitación</text>
  </threadedComment>
  <threadedComment ref="H5984" dT="2024-07-30T14:58:11.87" personId="{C9F68DEF-7B20-49B9-B9DB-BD5E06CD341F}" id="{40E153FA-929B-454F-B3AC-0CDAB197459B}">
    <text>Incluye capacitación</text>
  </threadedComment>
  <threadedComment ref="G5985" dT="2024-07-30T14:58:03.09" personId="{C9F68DEF-7B20-49B9-B9DB-BD5E06CD341F}" id="{75EF1688-E5CF-4085-8489-23A1265F4716}">
    <text>Incluye capacitación</text>
  </threadedComment>
  <threadedComment ref="H5985" dT="2024-07-30T14:58:03.09" personId="{C9F68DEF-7B20-49B9-B9DB-BD5E06CD341F}" id="{B9F1A853-F28E-4B60-82E8-05AFD2E1DF7D}">
    <text>Incluye capacitación</text>
  </threadedComment>
  <threadedComment ref="G5986" dT="2024-07-30T14:16:33.63" personId="{C9F68DEF-7B20-49B9-B9DB-BD5E06CD341F}" id="{16AB1555-BEE6-40FA-9D44-FCCF1BB17048}">
    <text>Incluye capacitación</text>
  </threadedComment>
  <threadedComment ref="H5986" dT="2024-07-30T14:16:33.63" personId="{C9F68DEF-7B20-49B9-B9DB-BD5E06CD341F}" id="{44A45EBE-83CE-4A93-9F1B-FDC6D008EE6B}">
    <text>Incluye capacitación</text>
  </threadedComment>
  <threadedComment ref="G6048" dT="2024-07-30T14:58:11.87" personId="{C9F68DEF-7B20-49B9-B9DB-BD5E06CD341F}" id="{6C9E61F2-E9D1-437F-A495-D9B27E4E8BC7}">
    <text>Incluye capacitación</text>
  </threadedComment>
  <threadedComment ref="H6048" dT="2024-07-30T14:58:11.87" personId="{C9F68DEF-7B20-49B9-B9DB-BD5E06CD341F}" id="{36183E04-7C61-47DB-8A26-F2AF7CB20EFD}">
    <text>Incluye capacitación</text>
  </threadedComment>
  <threadedComment ref="G6049" dT="2024-07-30T14:58:03.09" personId="{C9F68DEF-7B20-49B9-B9DB-BD5E06CD341F}" id="{CBD0F9D9-A40C-4605-BC26-A113EF0359A1}">
    <text>Incluye capacitación</text>
  </threadedComment>
  <threadedComment ref="H6049" dT="2024-07-30T14:58:03.09" personId="{C9F68DEF-7B20-49B9-B9DB-BD5E06CD341F}" id="{2458E3DF-E3E5-4608-951F-58E9B7FA0A87}">
    <text>Incluye capacitación</text>
  </threadedComment>
  <threadedComment ref="G6050" dT="2024-07-30T14:16:33.63" personId="{C9F68DEF-7B20-49B9-B9DB-BD5E06CD341F}" id="{2ABB6426-7FBE-463A-8918-8563A2B0B38C}">
    <text>Incluye capacitación</text>
  </threadedComment>
  <threadedComment ref="H6050" dT="2024-07-30T14:16:33.63" personId="{C9F68DEF-7B20-49B9-B9DB-BD5E06CD341F}" id="{4A1CDBFD-F4BE-4BD1-BB25-248D18B62916}">
    <text>Incluye capacitación</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microsoft.com/office/2019/04/relationships/namedSheetView" Target="../namedSheetViews/namedSheetView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39997558519241921"/>
  </sheetPr>
  <dimension ref="A1:X6099"/>
  <sheetViews>
    <sheetView showGridLines="0" tabSelected="1" zoomScale="72" zoomScaleNormal="72" workbookViewId="0">
      <pane xSplit="6" ySplit="6" topLeftCell="G5324" activePane="bottomRight" state="frozen"/>
      <selection activeCell="C50" sqref="C50"/>
      <selection pane="topRight" activeCell="C50" sqref="C50"/>
      <selection pane="bottomLeft" activeCell="C50" sqref="C50"/>
      <selection pane="bottomRight" activeCell="H5331" sqref="H5331"/>
    </sheetView>
  </sheetViews>
  <sheetFormatPr defaultColWidth="9.42578125" defaultRowHeight="12.75" x14ac:dyDescent="0.2"/>
  <cols>
    <col min="1" max="1" width="5.42578125" style="37" customWidth="1"/>
    <col min="2" max="2" width="13.42578125" style="38" customWidth="1"/>
    <col min="3" max="3" width="8.140625" style="39" customWidth="1"/>
    <col min="4" max="4" width="7.85546875" style="39" customWidth="1"/>
    <col min="5" max="5" width="20.42578125" style="39" customWidth="1" collapsed="1"/>
    <col min="6" max="6" width="33.42578125" style="37" customWidth="1"/>
    <col min="7" max="7" width="10.5703125" style="37" customWidth="1"/>
    <col min="8" max="9" width="13.140625" style="38" customWidth="1"/>
    <col min="10" max="10" width="15.5703125" style="38" customWidth="1"/>
    <col min="11" max="11" width="12.42578125" style="38" customWidth="1"/>
    <col min="12" max="12" width="13.5703125" style="38" customWidth="1"/>
    <col min="13" max="13" width="14" style="38" customWidth="1"/>
    <col min="14" max="14" width="10.42578125" style="38" customWidth="1"/>
    <col min="15" max="16" width="6.42578125" style="38" customWidth="1"/>
    <col min="17" max="17" width="20.42578125" style="38" customWidth="1"/>
    <col min="18" max="18" width="20.42578125" style="38" hidden="1" customWidth="1"/>
    <col min="19" max="19" width="14" style="38" hidden="1" customWidth="1"/>
    <col min="20" max="20" width="101.42578125" customWidth="1"/>
    <col min="21" max="22" width="22.42578125" style="45" hidden="1" customWidth="1"/>
    <col min="23" max="23" width="26.42578125" style="45" hidden="1" customWidth="1"/>
    <col min="24" max="24" width="121.42578125" customWidth="1"/>
  </cols>
  <sheetData>
    <row r="1" spans="1:24" ht="15.6" hidden="1" customHeight="1" x14ac:dyDescent="0.25">
      <c r="A1" s="40" t="s">
        <v>10</v>
      </c>
    </row>
    <row r="2" spans="1:24" ht="15.75" x14ac:dyDescent="0.25">
      <c r="A2" s="40" t="s">
        <v>11</v>
      </c>
      <c r="L2" s="242" t="s">
        <v>12</v>
      </c>
      <c r="M2" s="242"/>
      <c r="N2" s="68"/>
    </row>
    <row r="3" spans="1:24" x14ac:dyDescent="0.2">
      <c r="K3" s="46"/>
      <c r="L3" s="47" t="s">
        <v>13</v>
      </c>
      <c r="M3" s="48" t="s">
        <v>14</v>
      </c>
      <c r="N3" s="58"/>
    </row>
    <row r="4" spans="1:24" x14ac:dyDescent="0.2">
      <c r="L4" s="47">
        <v>10</v>
      </c>
      <c r="M4" s="48">
        <v>2024</v>
      </c>
      <c r="N4" s="58"/>
    </row>
    <row r="6" spans="1:24" x14ac:dyDescent="0.2">
      <c r="A6" s="29" t="s">
        <v>0</v>
      </c>
      <c r="B6" s="30" t="s">
        <v>1</v>
      </c>
      <c r="C6" s="2" t="s">
        <v>15</v>
      </c>
      <c r="D6" s="2" t="s">
        <v>16</v>
      </c>
      <c r="E6" s="31" t="s">
        <v>2</v>
      </c>
      <c r="F6" s="31" t="s">
        <v>17</v>
      </c>
      <c r="G6" s="10" t="s">
        <v>3</v>
      </c>
      <c r="H6" s="6" t="s">
        <v>4</v>
      </c>
      <c r="I6" s="6" t="s">
        <v>5</v>
      </c>
      <c r="J6" s="13" t="s">
        <v>6</v>
      </c>
      <c r="K6" s="13" t="s">
        <v>7</v>
      </c>
      <c r="L6" s="29" t="s">
        <v>8</v>
      </c>
      <c r="M6" s="32" t="s">
        <v>18</v>
      </c>
      <c r="N6" s="59" t="s">
        <v>19</v>
      </c>
      <c r="O6" s="32" t="s">
        <v>13</v>
      </c>
      <c r="P6" s="32" t="s">
        <v>14</v>
      </c>
      <c r="Q6" s="52" t="s">
        <v>20</v>
      </c>
      <c r="R6" s="52" t="s">
        <v>21</v>
      </c>
      <c r="S6" s="52" t="s">
        <v>22</v>
      </c>
      <c r="T6" s="97" t="s">
        <v>9</v>
      </c>
      <c r="U6" s="42" t="s">
        <v>23</v>
      </c>
      <c r="V6" s="42" t="s">
        <v>24</v>
      </c>
      <c r="W6" s="42" t="s">
        <v>25</v>
      </c>
      <c r="X6" s="143" t="s">
        <v>26</v>
      </c>
    </row>
    <row r="7" spans="1:24" ht="12.75" customHeight="1" x14ac:dyDescent="0.2">
      <c r="A7" s="7"/>
      <c r="B7" s="7"/>
      <c r="C7" s="3"/>
      <c r="D7" s="3" t="s">
        <v>27</v>
      </c>
      <c r="E7" s="33" t="s">
        <v>28</v>
      </c>
      <c r="F7" s="3"/>
      <c r="G7" s="7"/>
      <c r="H7" s="7">
        <v>220</v>
      </c>
      <c r="I7" s="12"/>
      <c r="J7" s="5" t="e">
        <f>SUM(SUMIFS(#REF!,#REF!,Planning[[#This Row],[Tarifa]],#REF!,Planning[[#This Row],[Proyectos]]),SUMIFS(#REF!,#REF!,Planning[[#This Row],[Tarifa]],#REF!,Planning[[#This Row],[Proyectos]]))</f>
        <v>#REF!</v>
      </c>
      <c r="K7" s="5" t="e">
        <f>Planning[[#This Row],[Horas Planificadas]]+Planning[[#This Row],[Horas ajustadas adicionales]]-Planning[[#This Row],[Horas utilizadas]]</f>
        <v>#REF!</v>
      </c>
      <c r="L7" s="7"/>
      <c r="M7" s="19" t="e">
        <f>Planning[[#This Row],[Saldo]]-Planning[[#This Row],[Saldo estimado]]</f>
        <v>#REF!</v>
      </c>
      <c r="N7" s="60" t="e">
        <f>SUM(SUMIFS(#REF!,#REF!,Planning[[#This Row],[Proyectos]],#REF!,Planning[[#This Row],[Tipo de Tarea y especialidad]]),SUMIFS(#REF!,#REF!,Planning[[#This Row],[Proyectos]],#REF!,Planning[[#This Row],[Tipo de Tarea y especialidad]]))</f>
        <v>#REF!</v>
      </c>
      <c r="O7" s="19">
        <f t="shared" ref="O7:O70" si="0">$L$4</f>
        <v>10</v>
      </c>
      <c r="P7" s="19">
        <f t="shared" ref="P7:P70" si="1">$M$4</f>
        <v>2024</v>
      </c>
      <c r="Q7" s="19" t="e">
        <f>+SUMIFS(#REF!,#REF!,Planning[[#This Row],[Tarifa]],#REF!,Planning[[#This Row],[Proyectos]],#REF!,Planning[[#This Row],[Mes]],#REF!,Planning[[#This Row],[Año]])</f>
        <v>#REF!</v>
      </c>
      <c r="R7" s="19" t="str">
        <f>TEXT(Planning[[#This Row],[Mes]]*29,"mmmm")</f>
        <v>October</v>
      </c>
      <c r="S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 s="241"/>
      <c r="U7" s="43" t="e">
        <f>IF(Planning[[#This Row],[Horas Planificadas]]&lt;&gt;0,+K7/Planning[[#This Row],[Horas Planificadas]],0)</f>
        <v>#REF!</v>
      </c>
      <c r="V7" s="43" t="e">
        <f>IF(Planning[[#This Row],[Horas Planificadas]]&lt;&gt;0,Planning[[#This Row],[Horas utilizadas]]/Planning[[#This Row],[Horas Planificadas]],0)</f>
        <v>#REF!</v>
      </c>
      <c r="W7" s="44">
        <f>Planning[[#This Row],[Horas Planificadas]]+Planning[[#This Row],[Horas ajustadas adicionales]]</f>
        <v>220</v>
      </c>
      <c r="X7" s="142"/>
    </row>
    <row r="8" spans="1:24" ht="12.75" customHeight="1" x14ac:dyDescent="0.2">
      <c r="A8" s="7"/>
      <c r="B8" s="7"/>
      <c r="C8" s="3"/>
      <c r="D8" s="3" t="s">
        <v>29</v>
      </c>
      <c r="E8" s="33" t="s">
        <v>30</v>
      </c>
      <c r="F8" s="3"/>
      <c r="G8" s="7"/>
      <c r="H8" s="7">
        <v>120</v>
      </c>
      <c r="I8" s="12"/>
      <c r="J8" s="5" t="e">
        <f>+SUMIFS(#REF!,#REF!,Planning[[#This Row],[Tarifa]],#REF!,Planning[[#This Row],[Proyectos]])</f>
        <v>#REF!</v>
      </c>
      <c r="K8" s="5" t="e">
        <f>Planning[[#This Row],[Horas Planificadas]]+Planning[[#This Row],[Horas ajustadas adicionales]]-Planning[[#This Row],[Horas utilizadas]]</f>
        <v>#REF!</v>
      </c>
      <c r="L8" s="7"/>
      <c r="M8" s="19" t="e">
        <f>Planning[[#This Row],[Saldo]]-Planning[[#This Row],[Saldo estimado]]</f>
        <v>#REF!</v>
      </c>
      <c r="N8" s="60" t="e">
        <f>SUM(SUMIFS(#REF!,#REF!,Planning[[#This Row],[Proyectos]],#REF!,Planning[[#This Row],[Tipo de Tarea y especialidad]]),SUMIFS(#REF!,#REF!,Planning[[#This Row],[Proyectos]],#REF!,Planning[[#This Row],[Tipo de Tarea y especialidad]]))</f>
        <v>#REF!</v>
      </c>
      <c r="O8" s="19">
        <f t="shared" si="0"/>
        <v>10</v>
      </c>
      <c r="P8" s="19">
        <f t="shared" si="1"/>
        <v>2024</v>
      </c>
      <c r="Q8" s="19" t="e">
        <f>+SUMIFS(#REF!,#REF!,Planning[[#This Row],[Tarifa]],#REF!,Planning[[#This Row],[Proyectos]],#REF!,Planning[[#This Row],[Mes]],#REF!,Planning[[#This Row],[Año]])</f>
        <v>#REF!</v>
      </c>
      <c r="R8" s="19" t="str">
        <f>TEXT(Planning[[#This Row],[Mes]]*29,"mmmm")</f>
        <v>October</v>
      </c>
      <c r="S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 s="241"/>
      <c r="U8" s="43" t="e">
        <f>IF(Planning[[#This Row],[Horas Planificadas]]&lt;&gt;0,+K8/Planning[[#This Row],[Horas Planificadas]],0)</f>
        <v>#REF!</v>
      </c>
      <c r="V8" s="43" t="e">
        <f>IF(Planning[[#This Row],[Horas Planificadas]]&lt;&gt;0,Planning[[#This Row],[Horas utilizadas]]/Planning[[#This Row],[Horas Planificadas]],0)</f>
        <v>#REF!</v>
      </c>
      <c r="W8" s="44">
        <f>Planning[[#This Row],[Horas Planificadas]]+Planning[[#This Row],[Horas ajustadas adicionales]]</f>
        <v>120</v>
      </c>
      <c r="X8" s="142"/>
    </row>
    <row r="9" spans="1:24" ht="12.75" customHeight="1" x14ac:dyDescent="0.2">
      <c r="A9" s="7"/>
      <c r="B9" s="7"/>
      <c r="C9" s="3"/>
      <c r="D9" s="3" t="s">
        <v>29</v>
      </c>
      <c r="E9" s="33" t="s">
        <v>31</v>
      </c>
      <c r="F9" s="3"/>
      <c r="G9" s="7"/>
      <c r="H9" s="7">
        <v>100</v>
      </c>
      <c r="I9" s="12"/>
      <c r="J9" s="5" t="e">
        <f>+SUMIFS(#REF!,#REF!,Planning[[#This Row],[Tarifa]],#REF!,Planning[[#This Row],[Proyectos]])</f>
        <v>#REF!</v>
      </c>
      <c r="K9" s="5" t="e">
        <f>Planning[[#This Row],[Horas Planificadas]]+Planning[[#This Row],[Horas ajustadas adicionales]]-Planning[[#This Row],[Horas utilizadas]]</f>
        <v>#REF!</v>
      </c>
      <c r="L9" s="7"/>
      <c r="M9" s="19" t="e">
        <f>Planning[[#This Row],[Saldo]]-Planning[[#This Row],[Saldo estimado]]</f>
        <v>#REF!</v>
      </c>
      <c r="N9" s="60" t="e">
        <f>SUM(SUMIFS(#REF!,#REF!,Planning[[#This Row],[Proyectos]],#REF!,Planning[[#This Row],[Tipo de Tarea y especialidad]]),SUMIFS(#REF!,#REF!,Planning[[#This Row],[Proyectos]],#REF!,Planning[[#This Row],[Tipo de Tarea y especialidad]]))</f>
        <v>#REF!</v>
      </c>
      <c r="O9" s="19">
        <f t="shared" si="0"/>
        <v>10</v>
      </c>
      <c r="P9" s="19">
        <f t="shared" si="1"/>
        <v>2024</v>
      </c>
      <c r="Q9" s="19" t="e">
        <f>+SUMIFS(#REF!,#REF!,Planning[[#This Row],[Tarifa]],#REF!,Planning[[#This Row],[Proyectos]],#REF!,Planning[[#This Row],[Mes]],#REF!,Planning[[#This Row],[Año]])</f>
        <v>#REF!</v>
      </c>
      <c r="R9" s="19" t="str">
        <f>TEXT(Planning[[#This Row],[Mes]]*29,"mmmm")</f>
        <v>October</v>
      </c>
      <c r="S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 s="241"/>
      <c r="U9" s="43" t="e">
        <f>IF(Planning[[#This Row],[Horas Planificadas]]&lt;&gt;0,+K9/Planning[[#This Row],[Horas Planificadas]],0)</f>
        <v>#REF!</v>
      </c>
      <c r="V9" s="43" t="e">
        <f>IF(Planning[[#This Row],[Horas Planificadas]]&lt;&gt;0,Planning[[#This Row],[Horas utilizadas]]/Planning[[#This Row],[Horas Planificadas]],0)</f>
        <v>#REF!</v>
      </c>
      <c r="W9" s="44">
        <f>Planning[[#This Row],[Horas Planificadas]]+Planning[[#This Row],[Horas ajustadas adicionales]]</f>
        <v>100</v>
      </c>
      <c r="X9" s="142"/>
    </row>
    <row r="10" spans="1:24" ht="12.75" customHeight="1" x14ac:dyDescent="0.2">
      <c r="A10" s="7"/>
      <c r="B10" s="7"/>
      <c r="C10" s="3"/>
      <c r="D10" s="3" t="s">
        <v>29</v>
      </c>
      <c r="E10" s="33" t="s">
        <v>32</v>
      </c>
      <c r="F10" s="3"/>
      <c r="G10" s="7"/>
      <c r="H10" s="7">
        <v>128</v>
      </c>
      <c r="I10" s="12"/>
      <c r="J10" s="5" t="e">
        <f>+SUMIFS(#REF!,#REF!,Planning[[#This Row],[Tarifa]],#REF!,Planning[[#This Row],[Proyectos]])</f>
        <v>#REF!</v>
      </c>
      <c r="K10" s="5" t="e">
        <f>Planning[[#This Row],[Horas Planificadas]]+Planning[[#This Row],[Horas ajustadas adicionales]]-Planning[[#This Row],[Horas utilizadas]]</f>
        <v>#REF!</v>
      </c>
      <c r="L10" s="7"/>
      <c r="M10" s="19" t="e">
        <f>Planning[[#This Row],[Saldo]]-Planning[[#This Row],[Saldo estimado]]</f>
        <v>#REF!</v>
      </c>
      <c r="N10" s="60" t="e">
        <f>SUM(SUMIFS(#REF!,#REF!,Planning[[#This Row],[Proyectos]],#REF!,Planning[[#This Row],[Tipo de Tarea y especialidad]]),SUMIFS(#REF!,#REF!,Planning[[#This Row],[Proyectos]],#REF!,Planning[[#This Row],[Tipo de Tarea y especialidad]]))</f>
        <v>#REF!</v>
      </c>
      <c r="O10" s="19">
        <f t="shared" si="0"/>
        <v>10</v>
      </c>
      <c r="P10" s="19">
        <f t="shared" si="1"/>
        <v>2024</v>
      </c>
      <c r="Q10" s="19" t="e">
        <f>+SUMIFS(#REF!,#REF!,Planning[[#This Row],[Tarifa]],#REF!,Planning[[#This Row],[Proyectos]],#REF!,Planning[[#This Row],[Mes]],#REF!,Planning[[#This Row],[Año]])</f>
        <v>#REF!</v>
      </c>
      <c r="R10" s="19" t="str">
        <f>TEXT(Planning[[#This Row],[Mes]]*29,"mmmm")</f>
        <v>October</v>
      </c>
      <c r="S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 s="241"/>
      <c r="U10" s="43" t="e">
        <f>IF(Planning[[#This Row],[Horas Planificadas]]&lt;&gt;0,+K10/Planning[[#This Row],[Horas Planificadas]],0)</f>
        <v>#REF!</v>
      </c>
      <c r="V10" s="43" t="e">
        <f>IF(Planning[[#This Row],[Horas Planificadas]]&lt;&gt;0,Planning[[#This Row],[Horas utilizadas]]/Planning[[#This Row],[Horas Planificadas]],0)</f>
        <v>#REF!</v>
      </c>
      <c r="W10" s="44">
        <f>Planning[[#This Row],[Horas Planificadas]]+Planning[[#This Row],[Horas ajustadas adicionales]]</f>
        <v>128</v>
      </c>
      <c r="X10" s="142"/>
    </row>
    <row r="11" spans="1:24" ht="12.75" customHeight="1" x14ac:dyDescent="0.2">
      <c r="A11" s="7"/>
      <c r="B11" s="7"/>
      <c r="C11" s="3"/>
      <c r="D11" s="3" t="s">
        <v>33</v>
      </c>
      <c r="E11" s="33" t="s">
        <v>28</v>
      </c>
      <c r="F11" s="3"/>
      <c r="G11" s="7"/>
      <c r="H11" s="7">
        <v>2836</v>
      </c>
      <c r="I11" s="12"/>
      <c r="J11" s="5" t="e">
        <f>+SUMIFS(#REF!,#REF!,Planning[[#This Row],[Tarifa]],#REF!,Planning[[#This Row],[Proyectos]])</f>
        <v>#REF!</v>
      </c>
      <c r="K11" s="5" t="e">
        <f>Planning[[#This Row],[Horas Planificadas]]+Planning[[#This Row],[Horas ajustadas adicionales]]-Planning[[#This Row],[Horas utilizadas]]</f>
        <v>#REF!</v>
      </c>
      <c r="L11" s="7"/>
      <c r="M11" s="19" t="e">
        <f>Planning[[#This Row],[Saldo]]-Planning[[#This Row],[Saldo estimado]]</f>
        <v>#REF!</v>
      </c>
      <c r="N11" s="60" t="e">
        <f>SUM(SUMIFS(#REF!,#REF!,Planning[[#This Row],[Proyectos]],#REF!,Planning[[#This Row],[Tipo de Tarea y especialidad]]),SUMIFS(#REF!,#REF!,Planning[[#This Row],[Proyectos]],#REF!,Planning[[#This Row],[Tipo de Tarea y especialidad]]))</f>
        <v>#REF!</v>
      </c>
      <c r="O11" s="19">
        <f t="shared" si="0"/>
        <v>10</v>
      </c>
      <c r="P11" s="19">
        <f t="shared" si="1"/>
        <v>2024</v>
      </c>
      <c r="Q11" s="19" t="e">
        <f>+SUMIFS(#REF!,#REF!,Planning[[#This Row],[Tarifa]],#REF!,Planning[[#This Row],[Proyectos]],#REF!,Planning[[#This Row],[Mes]],#REF!,Planning[[#This Row],[Año]])</f>
        <v>#REF!</v>
      </c>
      <c r="R11" s="19" t="str">
        <f>TEXT(Planning[[#This Row],[Mes]]*29,"mmmm")</f>
        <v>October</v>
      </c>
      <c r="S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 s="241"/>
      <c r="U11" s="43" t="e">
        <f>IF(Planning[[#This Row],[Horas Planificadas]]&lt;&gt;0,+K11/Planning[[#This Row],[Horas Planificadas]],0)</f>
        <v>#REF!</v>
      </c>
      <c r="V11" s="43" t="e">
        <f>IF(Planning[[#This Row],[Horas Planificadas]]&lt;&gt;0,Planning[[#This Row],[Horas utilizadas]]/Planning[[#This Row],[Horas Planificadas]],0)</f>
        <v>#REF!</v>
      </c>
      <c r="W11" s="44">
        <f>Planning[[#This Row],[Horas Planificadas]]+Planning[[#This Row],[Horas ajustadas adicionales]]</f>
        <v>2836</v>
      </c>
      <c r="X11" s="142"/>
    </row>
    <row r="12" spans="1:24" ht="12.75" customHeight="1" x14ac:dyDescent="0.2">
      <c r="A12" s="7"/>
      <c r="B12" s="7"/>
      <c r="C12" s="3"/>
      <c r="D12" s="3" t="s">
        <v>33</v>
      </c>
      <c r="E12" s="33" t="s">
        <v>30</v>
      </c>
      <c r="F12" s="3"/>
      <c r="G12" s="7"/>
      <c r="H12" s="7">
        <v>1920</v>
      </c>
      <c r="I12" s="12"/>
      <c r="J12" s="5" t="e">
        <f>+SUMIFS(#REF!,#REF!,Planning[[#This Row],[Tarifa]],#REF!,Planning[[#This Row],[Proyectos]])</f>
        <v>#REF!</v>
      </c>
      <c r="K12" s="5" t="e">
        <f>Planning[[#This Row],[Horas Planificadas]]+Planning[[#This Row],[Horas ajustadas adicionales]]-Planning[[#This Row],[Horas utilizadas]]</f>
        <v>#REF!</v>
      </c>
      <c r="L12" s="7"/>
      <c r="M12" s="19" t="e">
        <f>Planning[[#This Row],[Saldo]]-Planning[[#This Row],[Saldo estimado]]</f>
        <v>#REF!</v>
      </c>
      <c r="N12" s="60" t="e">
        <f>SUM(SUMIFS(#REF!,#REF!,Planning[[#This Row],[Proyectos]],#REF!,Planning[[#This Row],[Tipo de Tarea y especialidad]]),SUMIFS(#REF!,#REF!,Planning[[#This Row],[Proyectos]],#REF!,Planning[[#This Row],[Tipo de Tarea y especialidad]]))</f>
        <v>#REF!</v>
      </c>
      <c r="O12" s="19">
        <f t="shared" si="0"/>
        <v>10</v>
      </c>
      <c r="P12" s="19">
        <f t="shared" si="1"/>
        <v>2024</v>
      </c>
      <c r="Q12" s="19" t="e">
        <f>+SUMIFS(#REF!,#REF!,Planning[[#This Row],[Tarifa]],#REF!,Planning[[#This Row],[Proyectos]],#REF!,Planning[[#This Row],[Mes]],#REF!,Planning[[#This Row],[Año]])</f>
        <v>#REF!</v>
      </c>
      <c r="R12" s="19" t="str">
        <f>TEXT(Planning[[#This Row],[Mes]]*29,"mmmm")</f>
        <v>October</v>
      </c>
      <c r="S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 s="241"/>
      <c r="U12" s="43" t="e">
        <f>IF(Planning[[#This Row],[Horas Planificadas]]&lt;&gt;0,+K12/Planning[[#This Row],[Horas Planificadas]],0)</f>
        <v>#REF!</v>
      </c>
      <c r="V12" s="43" t="e">
        <f>IF(Planning[[#This Row],[Horas Planificadas]]&lt;&gt;0,Planning[[#This Row],[Horas utilizadas]]/Planning[[#This Row],[Horas Planificadas]],0)</f>
        <v>#REF!</v>
      </c>
      <c r="W12" s="44">
        <f>Planning[[#This Row],[Horas Planificadas]]+Planning[[#This Row],[Horas ajustadas adicionales]]</f>
        <v>1920</v>
      </c>
      <c r="X12" s="142"/>
    </row>
    <row r="13" spans="1:24" ht="12.75" customHeight="1" x14ac:dyDescent="0.2">
      <c r="A13" s="7"/>
      <c r="B13" s="7"/>
      <c r="C13" s="3"/>
      <c r="D13" s="3" t="s">
        <v>33</v>
      </c>
      <c r="E13" s="33" t="s">
        <v>31</v>
      </c>
      <c r="F13" s="3"/>
      <c r="G13" s="7"/>
      <c r="H13" s="7">
        <v>368</v>
      </c>
      <c r="I13" s="12"/>
      <c r="J13" s="5" t="e">
        <f>+SUMIFS(#REF!,#REF!,Planning[[#This Row],[Tarifa]],#REF!,Planning[[#This Row],[Proyectos]])</f>
        <v>#REF!</v>
      </c>
      <c r="K13" s="5" t="e">
        <f>Planning[[#This Row],[Horas Planificadas]]+Planning[[#This Row],[Horas ajustadas adicionales]]-Planning[[#This Row],[Horas utilizadas]]</f>
        <v>#REF!</v>
      </c>
      <c r="L13" s="7"/>
      <c r="M13" s="19" t="e">
        <f>Planning[[#This Row],[Saldo]]-Planning[[#This Row],[Saldo estimado]]</f>
        <v>#REF!</v>
      </c>
      <c r="N13" s="60" t="e">
        <f>SUM(SUMIFS(#REF!,#REF!,Planning[[#This Row],[Proyectos]],#REF!,Planning[[#This Row],[Tipo de Tarea y especialidad]]),SUMIFS(#REF!,#REF!,Planning[[#This Row],[Proyectos]],#REF!,Planning[[#This Row],[Tipo de Tarea y especialidad]]))</f>
        <v>#REF!</v>
      </c>
      <c r="O13" s="19">
        <f t="shared" si="0"/>
        <v>10</v>
      </c>
      <c r="P13" s="19">
        <f t="shared" si="1"/>
        <v>2024</v>
      </c>
      <c r="Q13" s="19" t="e">
        <f>+SUMIFS(#REF!,#REF!,Planning[[#This Row],[Tarifa]],#REF!,Planning[[#This Row],[Proyectos]],#REF!,Planning[[#This Row],[Mes]],#REF!,Planning[[#This Row],[Año]])</f>
        <v>#REF!</v>
      </c>
      <c r="R13" s="19" t="str">
        <f>TEXT(Planning[[#This Row],[Mes]]*29,"mmmm")</f>
        <v>October</v>
      </c>
      <c r="S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 s="241"/>
      <c r="U13" s="43" t="e">
        <f>IF(Planning[[#This Row],[Horas Planificadas]]&lt;&gt;0,+K13/Planning[[#This Row],[Horas Planificadas]],0)</f>
        <v>#REF!</v>
      </c>
      <c r="V13" s="43" t="e">
        <f>IF(Planning[[#This Row],[Horas Planificadas]]&lt;&gt;0,Planning[[#This Row],[Horas utilizadas]]/Planning[[#This Row],[Horas Planificadas]],0)</f>
        <v>#REF!</v>
      </c>
      <c r="W13" s="44">
        <f>Planning[[#This Row],[Horas Planificadas]]+Planning[[#This Row],[Horas ajustadas adicionales]]</f>
        <v>368</v>
      </c>
      <c r="X13" s="142"/>
    </row>
    <row r="14" spans="1:24" ht="12.75" customHeight="1" x14ac:dyDescent="0.2">
      <c r="A14" s="7"/>
      <c r="B14" s="7"/>
      <c r="C14" s="3"/>
      <c r="D14" s="3" t="s">
        <v>33</v>
      </c>
      <c r="E14" s="33" t="s">
        <v>32</v>
      </c>
      <c r="F14" s="3"/>
      <c r="G14" s="7"/>
      <c r="H14" s="7">
        <v>723</v>
      </c>
      <c r="I14" s="12"/>
      <c r="J14" s="5" t="e">
        <f>+SUMIFS(#REF!,#REF!,Planning[[#This Row],[Tarifa]],#REF!,Planning[[#This Row],[Proyectos]])</f>
        <v>#REF!</v>
      </c>
      <c r="K14" s="5" t="e">
        <f>Planning[[#This Row],[Horas Planificadas]]+Planning[[#This Row],[Horas ajustadas adicionales]]-Planning[[#This Row],[Horas utilizadas]]</f>
        <v>#REF!</v>
      </c>
      <c r="L14" s="7"/>
      <c r="M14" s="19" t="e">
        <f>Planning[[#This Row],[Saldo]]-Planning[[#This Row],[Saldo estimado]]</f>
        <v>#REF!</v>
      </c>
      <c r="N14" s="60" t="e">
        <f>SUM(SUMIFS(#REF!,#REF!,Planning[[#This Row],[Proyectos]],#REF!,Planning[[#This Row],[Tipo de Tarea y especialidad]]),SUMIFS(#REF!,#REF!,Planning[[#This Row],[Proyectos]],#REF!,Planning[[#This Row],[Tipo de Tarea y especialidad]]))</f>
        <v>#REF!</v>
      </c>
      <c r="O14" s="19">
        <f t="shared" si="0"/>
        <v>10</v>
      </c>
      <c r="P14" s="19">
        <f t="shared" si="1"/>
        <v>2024</v>
      </c>
      <c r="Q14" s="19" t="e">
        <f>+SUMIFS(#REF!,#REF!,Planning[[#This Row],[Tarifa]],#REF!,Planning[[#This Row],[Proyectos]],#REF!,Planning[[#This Row],[Mes]],#REF!,Planning[[#This Row],[Año]])</f>
        <v>#REF!</v>
      </c>
      <c r="R14" s="19" t="str">
        <f>TEXT(Planning[[#This Row],[Mes]]*29,"mmmm")</f>
        <v>October</v>
      </c>
      <c r="S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 s="241"/>
      <c r="U14" s="43" t="e">
        <f>IF(Planning[[#This Row],[Horas Planificadas]]&lt;&gt;0,+K14/Planning[[#This Row],[Horas Planificadas]],0)</f>
        <v>#REF!</v>
      </c>
      <c r="V14" s="43" t="e">
        <f>IF(Planning[[#This Row],[Horas Planificadas]]&lt;&gt;0,Planning[[#This Row],[Horas utilizadas]]/Planning[[#This Row],[Horas Planificadas]],0)</f>
        <v>#REF!</v>
      </c>
      <c r="W14" s="44">
        <f>Planning[[#This Row],[Horas Planificadas]]+Planning[[#This Row],[Horas ajustadas adicionales]]</f>
        <v>723</v>
      </c>
      <c r="X14" s="142"/>
    </row>
    <row r="15" spans="1:24" ht="12.75" customHeight="1" x14ac:dyDescent="0.2">
      <c r="A15" s="7"/>
      <c r="B15" s="7"/>
      <c r="C15" s="3"/>
      <c r="D15" s="3" t="s">
        <v>34</v>
      </c>
      <c r="E15" s="33" t="s">
        <v>28</v>
      </c>
      <c r="F15" s="3"/>
      <c r="G15" s="7"/>
      <c r="H15" s="7">
        <v>80</v>
      </c>
      <c r="I15" s="12"/>
      <c r="J15" s="5" t="e">
        <f>+SUMIFS(#REF!,#REF!,Planning[[#This Row],[Tarifa]],#REF!,Planning[[#This Row],[Proyectos]])</f>
        <v>#REF!</v>
      </c>
      <c r="K15" s="5" t="e">
        <f>Planning[[#This Row],[Horas Planificadas]]+Planning[[#This Row],[Horas ajustadas adicionales]]-Planning[[#This Row],[Horas utilizadas]]</f>
        <v>#REF!</v>
      </c>
      <c r="L15" s="7"/>
      <c r="M15" s="19" t="e">
        <f>Planning[[#This Row],[Saldo]]-Planning[[#This Row],[Saldo estimado]]</f>
        <v>#REF!</v>
      </c>
      <c r="N15" s="60" t="e">
        <f>SUM(SUMIFS(#REF!,#REF!,Planning[[#This Row],[Proyectos]],#REF!,Planning[[#This Row],[Tipo de Tarea y especialidad]]),SUMIFS(#REF!,#REF!,Planning[[#This Row],[Proyectos]],#REF!,Planning[[#This Row],[Tipo de Tarea y especialidad]]))</f>
        <v>#REF!</v>
      </c>
      <c r="O15" s="19">
        <f t="shared" si="0"/>
        <v>10</v>
      </c>
      <c r="P15" s="19">
        <f t="shared" si="1"/>
        <v>2024</v>
      </c>
      <c r="Q15" s="19" t="e">
        <f>+SUMIFS(#REF!,#REF!,Planning[[#This Row],[Tarifa]],#REF!,Planning[[#This Row],[Proyectos]],#REF!,Planning[[#This Row],[Mes]],#REF!,Planning[[#This Row],[Año]])</f>
        <v>#REF!</v>
      </c>
      <c r="R15" s="19" t="str">
        <f>TEXT(Planning[[#This Row],[Mes]]*29,"mmmm")</f>
        <v>October</v>
      </c>
      <c r="S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 s="241"/>
      <c r="U15" s="43" t="e">
        <f>IF(Planning[[#This Row],[Horas Planificadas]]&lt;&gt;0,+K15/Planning[[#This Row],[Horas Planificadas]],0)</f>
        <v>#REF!</v>
      </c>
      <c r="V15" s="43" t="e">
        <f>IF(Planning[[#This Row],[Horas Planificadas]]&lt;&gt;0,Planning[[#This Row],[Horas utilizadas]]/Planning[[#This Row],[Horas Planificadas]],0)</f>
        <v>#REF!</v>
      </c>
      <c r="W15" s="44">
        <f>Planning[[#This Row],[Horas Planificadas]]+Planning[[#This Row],[Horas ajustadas adicionales]]</f>
        <v>80</v>
      </c>
      <c r="X15" s="142"/>
    </row>
    <row r="16" spans="1:24" ht="12.75" customHeight="1" x14ac:dyDescent="0.2">
      <c r="A16" s="7"/>
      <c r="B16" s="7"/>
      <c r="C16" s="3"/>
      <c r="D16" s="3" t="s">
        <v>34</v>
      </c>
      <c r="E16" s="33" t="s">
        <v>30</v>
      </c>
      <c r="F16" s="3"/>
      <c r="G16" s="7"/>
      <c r="H16" s="7">
        <v>160</v>
      </c>
      <c r="I16" s="12"/>
      <c r="J16" s="5" t="e">
        <f>+SUMIFS(#REF!,#REF!,Planning[[#This Row],[Tarifa]],#REF!,Planning[[#This Row],[Proyectos]])</f>
        <v>#REF!</v>
      </c>
      <c r="K16" s="5" t="e">
        <f>Planning[[#This Row],[Horas Planificadas]]+Planning[[#This Row],[Horas ajustadas adicionales]]-Planning[[#This Row],[Horas utilizadas]]</f>
        <v>#REF!</v>
      </c>
      <c r="L16" s="7"/>
      <c r="M16" s="19" t="e">
        <f>Planning[[#This Row],[Saldo]]-Planning[[#This Row],[Saldo estimado]]</f>
        <v>#REF!</v>
      </c>
      <c r="N16" s="60" t="e">
        <f>SUM(SUMIFS(#REF!,#REF!,Planning[[#This Row],[Proyectos]],#REF!,Planning[[#This Row],[Tipo de Tarea y especialidad]]),SUMIFS(#REF!,#REF!,Planning[[#This Row],[Proyectos]],#REF!,Planning[[#This Row],[Tipo de Tarea y especialidad]]))</f>
        <v>#REF!</v>
      </c>
      <c r="O16" s="19">
        <f t="shared" si="0"/>
        <v>10</v>
      </c>
      <c r="P16" s="19">
        <f t="shared" si="1"/>
        <v>2024</v>
      </c>
      <c r="Q16" s="19" t="e">
        <f>+SUMIFS(#REF!,#REF!,Planning[[#This Row],[Tarifa]],#REF!,Planning[[#This Row],[Proyectos]],#REF!,Planning[[#This Row],[Mes]],#REF!,Planning[[#This Row],[Año]])</f>
        <v>#REF!</v>
      </c>
      <c r="R16" s="19" t="str">
        <f>TEXT(Planning[[#This Row],[Mes]]*29,"mmmm")</f>
        <v>October</v>
      </c>
      <c r="S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 s="241"/>
      <c r="U16" s="43" t="e">
        <f>IF(Planning[[#This Row],[Horas Planificadas]]&lt;&gt;0,+K16/Planning[[#This Row],[Horas Planificadas]],0)</f>
        <v>#REF!</v>
      </c>
      <c r="V16" s="43" t="e">
        <f>IF(Planning[[#This Row],[Horas Planificadas]]&lt;&gt;0,Planning[[#This Row],[Horas utilizadas]]/Planning[[#This Row],[Horas Planificadas]],0)</f>
        <v>#REF!</v>
      </c>
      <c r="W16" s="44">
        <f>Planning[[#This Row],[Horas Planificadas]]+Planning[[#This Row],[Horas ajustadas adicionales]]</f>
        <v>160</v>
      </c>
      <c r="X16" s="142"/>
    </row>
    <row r="17" spans="1:24" ht="12.75" customHeight="1" x14ac:dyDescent="0.2">
      <c r="A17" s="7"/>
      <c r="B17" s="7"/>
      <c r="C17" s="3"/>
      <c r="D17" s="3" t="s">
        <v>34</v>
      </c>
      <c r="E17" s="33" t="s">
        <v>31</v>
      </c>
      <c r="F17" s="3"/>
      <c r="G17" s="7"/>
      <c r="H17" s="7">
        <v>80</v>
      </c>
      <c r="I17" s="12"/>
      <c r="J17" s="5" t="e">
        <f>+SUMIFS(#REF!,#REF!,Planning[[#This Row],[Tarifa]],#REF!,Planning[[#This Row],[Proyectos]])</f>
        <v>#REF!</v>
      </c>
      <c r="K17" s="5" t="e">
        <f>Planning[[#This Row],[Horas Planificadas]]+Planning[[#This Row],[Horas ajustadas adicionales]]-Planning[[#This Row],[Horas utilizadas]]</f>
        <v>#REF!</v>
      </c>
      <c r="L17" s="7"/>
      <c r="M17" s="19" t="e">
        <f>Planning[[#This Row],[Saldo]]-Planning[[#This Row],[Saldo estimado]]</f>
        <v>#REF!</v>
      </c>
      <c r="N17" s="60" t="e">
        <f>SUM(SUMIFS(#REF!,#REF!,Planning[[#This Row],[Proyectos]],#REF!,Planning[[#This Row],[Tipo de Tarea y especialidad]]),SUMIFS(#REF!,#REF!,Planning[[#This Row],[Proyectos]],#REF!,Planning[[#This Row],[Tipo de Tarea y especialidad]]))</f>
        <v>#REF!</v>
      </c>
      <c r="O17" s="19">
        <f t="shared" si="0"/>
        <v>10</v>
      </c>
      <c r="P17" s="19">
        <f t="shared" si="1"/>
        <v>2024</v>
      </c>
      <c r="Q17" s="19" t="e">
        <f>+SUMIFS(#REF!,#REF!,Planning[[#This Row],[Tarifa]],#REF!,Planning[[#This Row],[Proyectos]],#REF!,Planning[[#This Row],[Mes]],#REF!,Planning[[#This Row],[Año]])</f>
        <v>#REF!</v>
      </c>
      <c r="R17" s="19" t="str">
        <f>TEXT(Planning[[#This Row],[Mes]]*29,"mmmm")</f>
        <v>October</v>
      </c>
      <c r="S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 s="241"/>
      <c r="U17" s="43" t="e">
        <f>IF(Planning[[#This Row],[Horas Planificadas]]&lt;&gt;0,+K17/Planning[[#This Row],[Horas Planificadas]],0)</f>
        <v>#REF!</v>
      </c>
      <c r="V17" s="43" t="e">
        <f>IF(Planning[[#This Row],[Horas Planificadas]]&lt;&gt;0,Planning[[#This Row],[Horas utilizadas]]/Planning[[#This Row],[Horas Planificadas]],0)</f>
        <v>#REF!</v>
      </c>
      <c r="W17" s="44">
        <f>Planning[[#This Row],[Horas Planificadas]]+Planning[[#This Row],[Horas ajustadas adicionales]]</f>
        <v>80</v>
      </c>
      <c r="X17" s="142"/>
    </row>
    <row r="18" spans="1:24" ht="12.75" customHeight="1" x14ac:dyDescent="0.2">
      <c r="A18" s="7"/>
      <c r="B18" s="7"/>
      <c r="C18" s="3"/>
      <c r="D18" s="3" t="s">
        <v>34</v>
      </c>
      <c r="E18" s="33" t="s">
        <v>32</v>
      </c>
      <c r="F18" s="3"/>
      <c r="G18" s="7"/>
      <c r="H18" s="7">
        <v>40</v>
      </c>
      <c r="I18" s="12"/>
      <c r="J18" s="5" t="e">
        <f>+SUMIFS(#REF!,#REF!,Planning[[#This Row],[Tarifa]],#REF!,Planning[[#This Row],[Proyectos]])</f>
        <v>#REF!</v>
      </c>
      <c r="K18" s="5" t="e">
        <f>Planning[[#This Row],[Horas Planificadas]]+Planning[[#This Row],[Horas ajustadas adicionales]]-Planning[[#This Row],[Horas utilizadas]]</f>
        <v>#REF!</v>
      </c>
      <c r="L18" s="7"/>
      <c r="M18" s="19" t="e">
        <f>Planning[[#This Row],[Saldo]]-Planning[[#This Row],[Saldo estimado]]</f>
        <v>#REF!</v>
      </c>
      <c r="N18" s="60" t="e">
        <f>SUM(SUMIFS(#REF!,#REF!,Planning[[#This Row],[Proyectos]],#REF!,Planning[[#This Row],[Tipo de Tarea y especialidad]]),SUMIFS(#REF!,#REF!,Planning[[#This Row],[Proyectos]],#REF!,Planning[[#This Row],[Tipo de Tarea y especialidad]]))</f>
        <v>#REF!</v>
      </c>
      <c r="O18" s="19">
        <f t="shared" si="0"/>
        <v>10</v>
      </c>
      <c r="P18" s="19">
        <f t="shared" si="1"/>
        <v>2024</v>
      </c>
      <c r="Q18" s="19" t="e">
        <f>+SUMIFS(#REF!,#REF!,Planning[[#This Row],[Tarifa]],#REF!,Planning[[#This Row],[Proyectos]],#REF!,Planning[[#This Row],[Mes]],#REF!,Planning[[#This Row],[Año]])</f>
        <v>#REF!</v>
      </c>
      <c r="R18" s="19" t="str">
        <f>TEXT(Planning[[#This Row],[Mes]]*29,"mmmm")</f>
        <v>October</v>
      </c>
      <c r="S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 s="241"/>
      <c r="U18" s="43" t="e">
        <f>IF(Planning[[#This Row],[Horas Planificadas]]&lt;&gt;0,+K18/Planning[[#This Row],[Horas Planificadas]],0)</f>
        <v>#REF!</v>
      </c>
      <c r="V18" s="43" t="e">
        <f>IF(Planning[[#This Row],[Horas Planificadas]]&lt;&gt;0,Planning[[#This Row],[Horas utilizadas]]/Planning[[#This Row],[Horas Planificadas]],0)</f>
        <v>#REF!</v>
      </c>
      <c r="W18" s="44">
        <f>Planning[[#This Row],[Horas Planificadas]]+Planning[[#This Row],[Horas ajustadas adicionales]]</f>
        <v>40</v>
      </c>
      <c r="X18" s="142"/>
    </row>
    <row r="19" spans="1:24" ht="12.75" customHeight="1" x14ac:dyDescent="0.2">
      <c r="A19" s="7"/>
      <c r="B19" s="7"/>
      <c r="C19" s="3"/>
      <c r="D19" s="3" t="s">
        <v>35</v>
      </c>
      <c r="E19" s="33" t="s">
        <v>28</v>
      </c>
      <c r="F19" s="3"/>
      <c r="G19" s="7"/>
      <c r="H19" s="7">
        <v>200</v>
      </c>
      <c r="I19" s="12"/>
      <c r="J19" s="5" t="e">
        <f>+SUMIFS(#REF!,#REF!,Planning[[#This Row],[Tarifa]],#REF!,Planning[[#This Row],[Proyectos]])</f>
        <v>#REF!</v>
      </c>
      <c r="K19" s="5" t="e">
        <f>Planning[[#This Row],[Horas Planificadas]]+Planning[[#This Row],[Horas ajustadas adicionales]]-Planning[[#This Row],[Horas utilizadas]]</f>
        <v>#REF!</v>
      </c>
      <c r="L19" s="7"/>
      <c r="M19" s="19" t="e">
        <f>Planning[[#This Row],[Saldo]]-Planning[[#This Row],[Saldo estimado]]</f>
        <v>#REF!</v>
      </c>
      <c r="N19" s="60" t="e">
        <f>SUM(SUMIFS(#REF!,#REF!,Planning[[#This Row],[Proyectos]],#REF!,Planning[[#This Row],[Tipo de Tarea y especialidad]]),SUMIFS(#REF!,#REF!,Planning[[#This Row],[Proyectos]],#REF!,Planning[[#This Row],[Tipo de Tarea y especialidad]]))</f>
        <v>#REF!</v>
      </c>
      <c r="O19" s="19">
        <f t="shared" si="0"/>
        <v>10</v>
      </c>
      <c r="P19" s="19">
        <f t="shared" si="1"/>
        <v>2024</v>
      </c>
      <c r="Q19" s="19" t="e">
        <f>+SUMIFS(#REF!,#REF!,Planning[[#This Row],[Tarifa]],#REF!,Planning[[#This Row],[Proyectos]],#REF!,Planning[[#This Row],[Mes]],#REF!,Planning[[#This Row],[Año]])</f>
        <v>#REF!</v>
      </c>
      <c r="R19" s="19" t="str">
        <f>TEXT(Planning[[#This Row],[Mes]]*29,"mmmm")</f>
        <v>October</v>
      </c>
      <c r="S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 s="241"/>
      <c r="U19" s="43" t="e">
        <f>IF(Planning[[#This Row],[Horas Planificadas]]&lt;&gt;0,+K19/Planning[[#This Row],[Horas Planificadas]],0)</f>
        <v>#REF!</v>
      </c>
      <c r="V19" s="43" t="e">
        <f>IF(Planning[[#This Row],[Horas Planificadas]]&lt;&gt;0,Planning[[#This Row],[Horas utilizadas]]/Planning[[#This Row],[Horas Planificadas]],0)</f>
        <v>#REF!</v>
      </c>
      <c r="W19" s="44">
        <f>Planning[[#This Row],[Horas Planificadas]]+Planning[[#This Row],[Horas ajustadas adicionales]]</f>
        <v>200</v>
      </c>
      <c r="X19" s="142"/>
    </row>
    <row r="20" spans="1:24" ht="12.75" customHeight="1" x14ac:dyDescent="0.2">
      <c r="A20" s="7"/>
      <c r="B20" s="7"/>
      <c r="C20" s="3"/>
      <c r="D20" s="3" t="s">
        <v>35</v>
      </c>
      <c r="E20" s="33" t="s">
        <v>30</v>
      </c>
      <c r="F20" s="3"/>
      <c r="G20" s="7"/>
      <c r="H20" s="7">
        <v>280</v>
      </c>
      <c r="I20" s="12"/>
      <c r="J20" s="5" t="e">
        <f>+SUMIFS(#REF!,#REF!,Planning[[#This Row],[Tarifa]],#REF!,Planning[[#This Row],[Proyectos]])</f>
        <v>#REF!</v>
      </c>
      <c r="K20" s="5" t="e">
        <f>Planning[[#This Row],[Horas Planificadas]]+Planning[[#This Row],[Horas ajustadas adicionales]]-Planning[[#This Row],[Horas utilizadas]]</f>
        <v>#REF!</v>
      </c>
      <c r="L20" s="7"/>
      <c r="M20" s="19" t="e">
        <f>Planning[[#This Row],[Saldo]]-Planning[[#This Row],[Saldo estimado]]</f>
        <v>#REF!</v>
      </c>
      <c r="N20" s="60" t="e">
        <f>SUM(SUMIFS(#REF!,#REF!,Planning[[#This Row],[Proyectos]],#REF!,Planning[[#This Row],[Tipo de Tarea y especialidad]]),SUMIFS(#REF!,#REF!,Planning[[#This Row],[Proyectos]],#REF!,Planning[[#This Row],[Tipo de Tarea y especialidad]]))</f>
        <v>#REF!</v>
      </c>
      <c r="O20" s="19">
        <f t="shared" si="0"/>
        <v>10</v>
      </c>
      <c r="P20" s="19">
        <f t="shared" si="1"/>
        <v>2024</v>
      </c>
      <c r="Q20" s="19" t="e">
        <f>+SUMIFS(#REF!,#REF!,Planning[[#This Row],[Tarifa]],#REF!,Planning[[#This Row],[Proyectos]],#REF!,Planning[[#This Row],[Mes]],#REF!,Planning[[#This Row],[Año]])</f>
        <v>#REF!</v>
      </c>
      <c r="R20" s="19" t="str">
        <f>TEXT(Planning[[#This Row],[Mes]]*29,"mmmm")</f>
        <v>October</v>
      </c>
      <c r="S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 s="241"/>
      <c r="U20" s="43" t="e">
        <f>IF(Planning[[#This Row],[Horas Planificadas]]&lt;&gt;0,+K20/Planning[[#This Row],[Horas Planificadas]],0)</f>
        <v>#REF!</v>
      </c>
      <c r="V20" s="43" t="e">
        <f>IF(Planning[[#This Row],[Horas Planificadas]]&lt;&gt;0,Planning[[#This Row],[Horas utilizadas]]/Planning[[#This Row],[Horas Planificadas]],0)</f>
        <v>#REF!</v>
      </c>
      <c r="W20" s="44">
        <f>Planning[[#This Row],[Horas Planificadas]]+Planning[[#This Row],[Horas ajustadas adicionales]]</f>
        <v>280</v>
      </c>
      <c r="X20" s="142"/>
    </row>
    <row r="21" spans="1:24" ht="12.75" customHeight="1" x14ac:dyDescent="0.2">
      <c r="A21" s="7"/>
      <c r="B21" s="7"/>
      <c r="C21" s="3"/>
      <c r="D21" s="3" t="s">
        <v>35</v>
      </c>
      <c r="E21" s="33" t="s">
        <v>31</v>
      </c>
      <c r="F21" s="3"/>
      <c r="G21" s="7"/>
      <c r="H21" s="7">
        <v>160</v>
      </c>
      <c r="I21" s="12"/>
      <c r="J21" s="5" t="e">
        <f>+SUMIFS(#REF!,#REF!,Planning[[#This Row],[Tarifa]],#REF!,Planning[[#This Row],[Proyectos]])</f>
        <v>#REF!</v>
      </c>
      <c r="K21" s="5" t="e">
        <f>Planning[[#This Row],[Horas Planificadas]]+Planning[[#This Row],[Horas ajustadas adicionales]]-Planning[[#This Row],[Horas utilizadas]]</f>
        <v>#REF!</v>
      </c>
      <c r="L21" s="7"/>
      <c r="M21" s="19" t="e">
        <f>Planning[[#This Row],[Saldo]]-Planning[[#This Row],[Saldo estimado]]</f>
        <v>#REF!</v>
      </c>
      <c r="N21" s="60" t="e">
        <f>SUM(SUMIFS(#REF!,#REF!,Planning[[#This Row],[Proyectos]],#REF!,Planning[[#This Row],[Tipo de Tarea y especialidad]]),SUMIFS(#REF!,#REF!,Planning[[#This Row],[Proyectos]],#REF!,Planning[[#This Row],[Tipo de Tarea y especialidad]]))</f>
        <v>#REF!</v>
      </c>
      <c r="O21" s="19">
        <f t="shared" si="0"/>
        <v>10</v>
      </c>
      <c r="P21" s="19">
        <f t="shared" si="1"/>
        <v>2024</v>
      </c>
      <c r="Q21" s="19" t="e">
        <f>+SUMIFS(#REF!,#REF!,Planning[[#This Row],[Tarifa]],#REF!,Planning[[#This Row],[Proyectos]],#REF!,Planning[[#This Row],[Mes]],#REF!,Planning[[#This Row],[Año]])</f>
        <v>#REF!</v>
      </c>
      <c r="R21" s="19" t="str">
        <f>TEXT(Planning[[#This Row],[Mes]]*29,"mmmm")</f>
        <v>October</v>
      </c>
      <c r="S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 s="241"/>
      <c r="U21" s="43" t="e">
        <f>IF(Planning[[#This Row],[Horas Planificadas]]&lt;&gt;0,+K21/Planning[[#This Row],[Horas Planificadas]],0)</f>
        <v>#REF!</v>
      </c>
      <c r="V21" s="43" t="e">
        <f>IF(Planning[[#This Row],[Horas Planificadas]]&lt;&gt;0,Planning[[#This Row],[Horas utilizadas]]/Planning[[#This Row],[Horas Planificadas]],0)</f>
        <v>#REF!</v>
      </c>
      <c r="W21" s="44">
        <f>Planning[[#This Row],[Horas Planificadas]]+Planning[[#This Row],[Horas ajustadas adicionales]]</f>
        <v>160</v>
      </c>
      <c r="X21" s="142"/>
    </row>
    <row r="22" spans="1:24" ht="12.75" customHeight="1" x14ac:dyDescent="0.2">
      <c r="A22" s="7"/>
      <c r="B22" s="7"/>
      <c r="C22" s="3"/>
      <c r="D22" s="3" t="s">
        <v>35</v>
      </c>
      <c r="E22" s="33" t="s">
        <v>32</v>
      </c>
      <c r="F22" s="3"/>
      <c r="G22" s="7"/>
      <c r="H22" s="7">
        <v>410</v>
      </c>
      <c r="I22" s="12"/>
      <c r="J22" s="5" t="e">
        <f>+SUMIFS(#REF!,#REF!,Planning[[#This Row],[Tarifa]],#REF!,Planning[[#This Row],[Proyectos]])</f>
        <v>#REF!</v>
      </c>
      <c r="K22" s="5" t="e">
        <f>Planning[[#This Row],[Horas Planificadas]]+Planning[[#This Row],[Horas ajustadas adicionales]]-Planning[[#This Row],[Horas utilizadas]]</f>
        <v>#REF!</v>
      </c>
      <c r="L22" s="7"/>
      <c r="M22" s="19" t="e">
        <f>Planning[[#This Row],[Saldo]]-Planning[[#This Row],[Saldo estimado]]</f>
        <v>#REF!</v>
      </c>
      <c r="N22" s="60" t="e">
        <f>SUM(SUMIFS(#REF!,#REF!,Planning[[#This Row],[Proyectos]],#REF!,Planning[[#This Row],[Tipo de Tarea y especialidad]]),SUMIFS(#REF!,#REF!,Planning[[#This Row],[Proyectos]],#REF!,Planning[[#This Row],[Tipo de Tarea y especialidad]]))</f>
        <v>#REF!</v>
      </c>
      <c r="O22" s="19">
        <f t="shared" si="0"/>
        <v>10</v>
      </c>
      <c r="P22" s="19">
        <f t="shared" si="1"/>
        <v>2024</v>
      </c>
      <c r="Q22" s="19" t="e">
        <f>+SUMIFS(#REF!,#REF!,Planning[[#This Row],[Tarifa]],#REF!,Planning[[#This Row],[Proyectos]],#REF!,Planning[[#This Row],[Mes]],#REF!,Planning[[#This Row],[Año]])</f>
        <v>#REF!</v>
      </c>
      <c r="R22" s="19" t="str">
        <f>TEXT(Planning[[#This Row],[Mes]]*29,"mmmm")</f>
        <v>October</v>
      </c>
      <c r="S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 s="241"/>
      <c r="U22" s="43" t="e">
        <f>IF(Planning[[#This Row],[Horas Planificadas]]&lt;&gt;0,+K22/Planning[[#This Row],[Horas Planificadas]],0)</f>
        <v>#REF!</v>
      </c>
      <c r="V22" s="43" t="e">
        <f>IF(Planning[[#This Row],[Horas Planificadas]]&lt;&gt;0,Planning[[#This Row],[Horas utilizadas]]/Planning[[#This Row],[Horas Planificadas]],0)</f>
        <v>#REF!</v>
      </c>
      <c r="W22" s="44">
        <f>Planning[[#This Row],[Horas Planificadas]]+Planning[[#This Row],[Horas ajustadas adicionales]]</f>
        <v>410</v>
      </c>
      <c r="X22" s="142"/>
    </row>
    <row r="23" spans="1:24" ht="12.75" customHeight="1" x14ac:dyDescent="0.2">
      <c r="A23" s="7"/>
      <c r="B23" s="7"/>
      <c r="C23" s="3"/>
      <c r="D23" s="3" t="s">
        <v>36</v>
      </c>
      <c r="E23" s="33" t="s">
        <v>28</v>
      </c>
      <c r="F23" s="3"/>
      <c r="G23" s="7"/>
      <c r="H23" s="7">
        <v>1194</v>
      </c>
      <c r="I23" s="12"/>
      <c r="J23" s="5" t="e">
        <f>+SUMIFS(#REF!,#REF!,Planning[[#This Row],[Tarifa]],#REF!,Planning[[#This Row],[Proyectos]])</f>
        <v>#REF!</v>
      </c>
      <c r="K23" s="5" t="e">
        <f>Planning[[#This Row],[Horas Planificadas]]+Planning[[#This Row],[Horas ajustadas adicionales]]-Planning[[#This Row],[Horas utilizadas]]</f>
        <v>#REF!</v>
      </c>
      <c r="L23" s="7"/>
      <c r="M23" s="19" t="e">
        <f>Planning[[#This Row],[Saldo]]-Planning[[#This Row],[Saldo estimado]]</f>
        <v>#REF!</v>
      </c>
      <c r="N23" s="60" t="e">
        <f>SUM(SUMIFS(#REF!,#REF!,Planning[[#This Row],[Proyectos]],#REF!,Planning[[#This Row],[Tipo de Tarea y especialidad]]),SUMIFS(#REF!,#REF!,Planning[[#This Row],[Proyectos]],#REF!,Planning[[#This Row],[Tipo de Tarea y especialidad]]))</f>
        <v>#REF!</v>
      </c>
      <c r="O23" s="19">
        <f t="shared" si="0"/>
        <v>10</v>
      </c>
      <c r="P23" s="19">
        <f t="shared" si="1"/>
        <v>2024</v>
      </c>
      <c r="Q23" s="19" t="e">
        <f>+SUMIFS(#REF!,#REF!,Planning[[#This Row],[Tarifa]],#REF!,Planning[[#This Row],[Proyectos]],#REF!,Planning[[#This Row],[Mes]],#REF!,Planning[[#This Row],[Año]])</f>
        <v>#REF!</v>
      </c>
      <c r="R23" s="19" t="str">
        <f>TEXT(Planning[[#This Row],[Mes]]*29,"mmmm")</f>
        <v>October</v>
      </c>
      <c r="S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 s="98"/>
      <c r="U23" s="43" t="e">
        <f>IF(Planning[[#This Row],[Horas Planificadas]]&lt;&gt;0,+K23/Planning[[#This Row],[Horas Planificadas]],0)</f>
        <v>#REF!</v>
      </c>
      <c r="V23" s="43" t="e">
        <f>IF(Planning[[#This Row],[Horas Planificadas]]&lt;&gt;0,Planning[[#This Row],[Horas utilizadas]]/Planning[[#This Row],[Horas Planificadas]],0)</f>
        <v>#REF!</v>
      </c>
      <c r="W23" s="44">
        <f>Planning[[#This Row],[Horas Planificadas]]+Planning[[#This Row],[Horas ajustadas adicionales]]</f>
        <v>1194</v>
      </c>
      <c r="X23" s="142"/>
    </row>
    <row r="24" spans="1:24" ht="12.75" customHeight="1" x14ac:dyDescent="0.2">
      <c r="A24" s="7"/>
      <c r="B24" s="7"/>
      <c r="C24" s="3"/>
      <c r="D24" s="3" t="s">
        <v>36</v>
      </c>
      <c r="E24" s="33" t="s">
        <v>30</v>
      </c>
      <c r="F24" s="3"/>
      <c r="G24" s="7"/>
      <c r="H24" s="7">
        <v>941</v>
      </c>
      <c r="I24" s="12"/>
      <c r="J24" s="5" t="e">
        <f>+SUMIFS(#REF!,#REF!,Planning[[#This Row],[Tarifa]],#REF!,Planning[[#This Row],[Proyectos]])</f>
        <v>#REF!</v>
      </c>
      <c r="K24" s="5" t="e">
        <f>Planning[[#This Row],[Horas Planificadas]]+Planning[[#This Row],[Horas ajustadas adicionales]]-Planning[[#This Row],[Horas utilizadas]]</f>
        <v>#REF!</v>
      </c>
      <c r="L24" s="7"/>
      <c r="M24" s="19" t="e">
        <f>Planning[[#This Row],[Saldo]]-Planning[[#This Row],[Saldo estimado]]</f>
        <v>#REF!</v>
      </c>
      <c r="N24" s="60" t="e">
        <f>SUM(SUMIFS(#REF!,#REF!,Planning[[#This Row],[Proyectos]],#REF!,Planning[[#This Row],[Tipo de Tarea y especialidad]]),SUMIFS(#REF!,#REF!,Planning[[#This Row],[Proyectos]],#REF!,Planning[[#This Row],[Tipo de Tarea y especialidad]]))</f>
        <v>#REF!</v>
      </c>
      <c r="O24" s="19">
        <f t="shared" si="0"/>
        <v>10</v>
      </c>
      <c r="P24" s="19">
        <f t="shared" si="1"/>
        <v>2024</v>
      </c>
      <c r="Q24" s="19" t="e">
        <f>+SUMIFS(#REF!,#REF!,Planning[[#This Row],[Tarifa]],#REF!,Planning[[#This Row],[Proyectos]],#REF!,Planning[[#This Row],[Mes]],#REF!,Planning[[#This Row],[Año]])</f>
        <v>#REF!</v>
      </c>
      <c r="R24" s="19" t="str">
        <f>TEXT(Planning[[#This Row],[Mes]]*29,"mmmm")</f>
        <v>October</v>
      </c>
      <c r="S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 s="98"/>
      <c r="U24" s="43" t="e">
        <f>IF(Planning[[#This Row],[Horas Planificadas]]&lt;&gt;0,+K24/Planning[[#This Row],[Horas Planificadas]],0)</f>
        <v>#REF!</v>
      </c>
      <c r="V24" s="43" t="e">
        <f>IF(Planning[[#This Row],[Horas Planificadas]]&lt;&gt;0,Planning[[#This Row],[Horas utilizadas]]/Planning[[#This Row],[Horas Planificadas]],0)</f>
        <v>#REF!</v>
      </c>
      <c r="W24" s="44">
        <f>Planning[[#This Row],[Horas Planificadas]]+Planning[[#This Row],[Horas ajustadas adicionales]]</f>
        <v>941</v>
      </c>
      <c r="X24" s="142"/>
    </row>
    <row r="25" spans="1:24" ht="12.75" customHeight="1" x14ac:dyDescent="0.2">
      <c r="A25" s="7"/>
      <c r="B25" s="7"/>
      <c r="C25" s="3"/>
      <c r="D25" s="3" t="s">
        <v>36</v>
      </c>
      <c r="E25" s="33" t="s">
        <v>31</v>
      </c>
      <c r="F25" s="3"/>
      <c r="G25" s="7"/>
      <c r="H25" s="7">
        <v>162</v>
      </c>
      <c r="I25" s="12"/>
      <c r="J25" s="5" t="e">
        <f>+SUMIFS(#REF!,#REF!,Planning[[#This Row],[Tarifa]],#REF!,Planning[[#This Row],[Proyectos]])</f>
        <v>#REF!</v>
      </c>
      <c r="K25" s="5" t="e">
        <f>Planning[[#This Row],[Horas Planificadas]]+Planning[[#This Row],[Horas ajustadas adicionales]]-Planning[[#This Row],[Horas utilizadas]]</f>
        <v>#REF!</v>
      </c>
      <c r="L25" s="7"/>
      <c r="M25" s="19" t="e">
        <f>Planning[[#This Row],[Saldo]]-Planning[[#This Row],[Saldo estimado]]</f>
        <v>#REF!</v>
      </c>
      <c r="N25" s="60" t="e">
        <f>SUM(SUMIFS(#REF!,#REF!,Planning[[#This Row],[Proyectos]],#REF!,Planning[[#This Row],[Tipo de Tarea y especialidad]]),SUMIFS(#REF!,#REF!,Planning[[#This Row],[Proyectos]],#REF!,Planning[[#This Row],[Tipo de Tarea y especialidad]]))</f>
        <v>#REF!</v>
      </c>
      <c r="O25" s="19">
        <f t="shared" si="0"/>
        <v>10</v>
      </c>
      <c r="P25" s="19">
        <f t="shared" si="1"/>
        <v>2024</v>
      </c>
      <c r="Q25" s="19" t="e">
        <f>+SUMIFS(#REF!,#REF!,Planning[[#This Row],[Tarifa]],#REF!,Planning[[#This Row],[Proyectos]],#REF!,Planning[[#This Row],[Mes]],#REF!,Planning[[#This Row],[Año]])</f>
        <v>#REF!</v>
      </c>
      <c r="R25" s="19" t="str">
        <f>TEXT(Planning[[#This Row],[Mes]]*29,"mmmm")</f>
        <v>October</v>
      </c>
      <c r="S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 s="98"/>
      <c r="U25" s="43" t="e">
        <f>IF(Planning[[#This Row],[Horas Planificadas]]&lt;&gt;0,+K25/Planning[[#This Row],[Horas Planificadas]],0)</f>
        <v>#REF!</v>
      </c>
      <c r="V25" s="43" t="e">
        <f>IF(Planning[[#This Row],[Horas Planificadas]]&lt;&gt;0,Planning[[#This Row],[Horas utilizadas]]/Planning[[#This Row],[Horas Planificadas]],0)</f>
        <v>#REF!</v>
      </c>
      <c r="W25" s="44">
        <f>Planning[[#This Row],[Horas Planificadas]]+Planning[[#This Row],[Horas ajustadas adicionales]]</f>
        <v>162</v>
      </c>
      <c r="X25" s="142"/>
    </row>
    <row r="26" spans="1:24" ht="12.75" customHeight="1" x14ac:dyDescent="0.2">
      <c r="A26" s="7"/>
      <c r="B26" s="7"/>
      <c r="C26" s="3"/>
      <c r="D26" s="3" t="s">
        <v>36</v>
      </c>
      <c r="E26" s="33" t="s">
        <v>32</v>
      </c>
      <c r="F26" s="3"/>
      <c r="G26" s="7"/>
      <c r="H26" s="7">
        <v>590</v>
      </c>
      <c r="I26" s="12"/>
      <c r="J26" s="5" t="e">
        <f>+SUMIFS(#REF!,#REF!,Planning[[#This Row],[Tarifa]],#REF!,Planning[[#This Row],[Proyectos]])</f>
        <v>#REF!</v>
      </c>
      <c r="K26" s="5" t="e">
        <f>Planning[[#This Row],[Horas Planificadas]]+Planning[[#This Row],[Horas ajustadas adicionales]]-Planning[[#This Row],[Horas utilizadas]]</f>
        <v>#REF!</v>
      </c>
      <c r="L26" s="7"/>
      <c r="M26" s="19" t="e">
        <f>Planning[[#This Row],[Saldo]]-Planning[[#This Row],[Saldo estimado]]</f>
        <v>#REF!</v>
      </c>
      <c r="N26" s="60" t="e">
        <f>SUM(SUMIFS(#REF!,#REF!,Planning[[#This Row],[Proyectos]],#REF!,Planning[[#This Row],[Tipo de Tarea y especialidad]]),SUMIFS(#REF!,#REF!,Planning[[#This Row],[Proyectos]],#REF!,Planning[[#This Row],[Tipo de Tarea y especialidad]]))</f>
        <v>#REF!</v>
      </c>
      <c r="O26" s="19">
        <f t="shared" si="0"/>
        <v>10</v>
      </c>
      <c r="P26" s="19">
        <f t="shared" si="1"/>
        <v>2024</v>
      </c>
      <c r="Q26" s="19" t="e">
        <f>+SUMIFS(#REF!,#REF!,Planning[[#This Row],[Tarifa]],#REF!,Planning[[#This Row],[Proyectos]],#REF!,Planning[[#This Row],[Mes]],#REF!,Planning[[#This Row],[Año]])</f>
        <v>#REF!</v>
      </c>
      <c r="R26" s="19" t="str">
        <f>TEXT(Planning[[#This Row],[Mes]]*29,"mmmm")</f>
        <v>October</v>
      </c>
      <c r="S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 s="98"/>
      <c r="U26" s="43" t="e">
        <f>IF(Planning[[#This Row],[Horas Planificadas]]&lt;&gt;0,+K26/Planning[[#This Row],[Horas Planificadas]],0)</f>
        <v>#REF!</v>
      </c>
      <c r="V26" s="43" t="e">
        <f>IF(Planning[[#This Row],[Horas Planificadas]]&lt;&gt;0,Planning[[#This Row],[Horas utilizadas]]/Planning[[#This Row],[Horas Planificadas]],0)</f>
        <v>#REF!</v>
      </c>
      <c r="W26" s="44">
        <f>Planning[[#This Row],[Horas Planificadas]]+Planning[[#This Row],[Horas ajustadas adicionales]]</f>
        <v>590</v>
      </c>
      <c r="X26" s="142"/>
    </row>
    <row r="27" spans="1:24" ht="12.75" customHeight="1" x14ac:dyDescent="0.2">
      <c r="A27" s="7"/>
      <c r="B27" s="7"/>
      <c r="C27" s="3"/>
      <c r="D27" s="3" t="s">
        <v>37</v>
      </c>
      <c r="E27" s="33" t="s">
        <v>28</v>
      </c>
      <c r="F27" s="3"/>
      <c r="G27" s="7"/>
      <c r="H27" s="7">
        <v>5368</v>
      </c>
      <c r="I27" s="12"/>
      <c r="J27" s="5" t="e">
        <f>+SUMIFS(#REF!,#REF!,Planning[[#This Row],[Tarifa]],#REF!,Planning[[#This Row],[Proyectos]])</f>
        <v>#REF!</v>
      </c>
      <c r="K27" s="5" t="e">
        <f>Planning[[#This Row],[Horas Planificadas]]+Planning[[#This Row],[Horas ajustadas adicionales]]-Planning[[#This Row],[Horas utilizadas]]</f>
        <v>#REF!</v>
      </c>
      <c r="L27" s="7"/>
      <c r="M27" s="19" t="e">
        <f>Planning[[#This Row],[Saldo]]-Planning[[#This Row],[Saldo estimado]]</f>
        <v>#REF!</v>
      </c>
      <c r="N27" s="60" t="e">
        <f>SUM(SUMIFS(#REF!,#REF!,Planning[[#This Row],[Proyectos]],#REF!,Planning[[#This Row],[Tipo de Tarea y especialidad]]),SUMIFS(#REF!,#REF!,Planning[[#This Row],[Proyectos]],#REF!,Planning[[#This Row],[Tipo de Tarea y especialidad]]))</f>
        <v>#REF!</v>
      </c>
      <c r="O27" s="19">
        <f t="shared" si="0"/>
        <v>10</v>
      </c>
      <c r="P27" s="19">
        <f t="shared" si="1"/>
        <v>2024</v>
      </c>
      <c r="Q27" s="19" t="e">
        <f>+SUMIFS(#REF!,#REF!,Planning[[#This Row],[Tarifa]],#REF!,Planning[[#This Row],[Proyectos]],#REF!,Planning[[#This Row],[Mes]],#REF!,Planning[[#This Row],[Año]])</f>
        <v>#REF!</v>
      </c>
      <c r="R27" s="19" t="str">
        <f>TEXT(Planning[[#This Row],[Mes]]*29,"mmmm")</f>
        <v>October</v>
      </c>
      <c r="S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 s="98"/>
      <c r="U27" s="43" t="e">
        <f>IF(Planning[[#This Row],[Horas Planificadas]]&lt;&gt;0,+K27/Planning[[#This Row],[Horas Planificadas]],0)</f>
        <v>#REF!</v>
      </c>
      <c r="V27" s="43" t="e">
        <f>IF(Planning[[#This Row],[Horas Planificadas]]&lt;&gt;0,Planning[[#This Row],[Horas utilizadas]]/Planning[[#This Row],[Horas Planificadas]],0)</f>
        <v>#REF!</v>
      </c>
      <c r="W27" s="44">
        <f>Planning[[#This Row],[Horas Planificadas]]+Planning[[#This Row],[Horas ajustadas adicionales]]</f>
        <v>5368</v>
      </c>
      <c r="X27" s="142"/>
    </row>
    <row r="28" spans="1:24" ht="12.75" customHeight="1" x14ac:dyDescent="0.2">
      <c r="A28" s="7"/>
      <c r="B28" s="7"/>
      <c r="C28" s="3"/>
      <c r="D28" s="3" t="s">
        <v>37</v>
      </c>
      <c r="E28" s="33" t="s">
        <v>30</v>
      </c>
      <c r="F28" s="3"/>
      <c r="G28" s="7"/>
      <c r="H28" s="7">
        <v>2203</v>
      </c>
      <c r="I28" s="12"/>
      <c r="J28" s="5" t="e">
        <f>+SUMIFS(#REF!,#REF!,Planning[[#This Row],[Tarifa]],#REF!,Planning[[#This Row],[Proyectos]])</f>
        <v>#REF!</v>
      </c>
      <c r="K28" s="5" t="e">
        <f>Planning[[#This Row],[Horas Planificadas]]+Planning[[#This Row],[Horas ajustadas adicionales]]-Planning[[#This Row],[Horas utilizadas]]</f>
        <v>#REF!</v>
      </c>
      <c r="L28" s="7"/>
      <c r="M28" s="19" t="e">
        <f>Planning[[#This Row],[Saldo]]-Planning[[#This Row],[Saldo estimado]]</f>
        <v>#REF!</v>
      </c>
      <c r="N28" s="60" t="e">
        <f>SUM(SUMIFS(#REF!,#REF!,Planning[[#This Row],[Proyectos]],#REF!,Planning[[#This Row],[Tipo de Tarea y especialidad]]),SUMIFS(#REF!,#REF!,Planning[[#This Row],[Proyectos]],#REF!,Planning[[#This Row],[Tipo de Tarea y especialidad]]))</f>
        <v>#REF!</v>
      </c>
      <c r="O28" s="19">
        <f t="shared" si="0"/>
        <v>10</v>
      </c>
      <c r="P28" s="19">
        <f t="shared" si="1"/>
        <v>2024</v>
      </c>
      <c r="Q28" s="19" t="e">
        <f>+SUMIFS(#REF!,#REF!,Planning[[#This Row],[Tarifa]],#REF!,Planning[[#This Row],[Proyectos]],#REF!,Planning[[#This Row],[Mes]],#REF!,Planning[[#This Row],[Año]])</f>
        <v>#REF!</v>
      </c>
      <c r="R28" s="19" t="str">
        <f>TEXT(Planning[[#This Row],[Mes]]*29,"mmmm")</f>
        <v>October</v>
      </c>
      <c r="S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 s="98"/>
      <c r="U28" s="43" t="e">
        <f>IF(Planning[[#This Row],[Horas Planificadas]]&lt;&gt;0,+K28/Planning[[#This Row],[Horas Planificadas]],0)</f>
        <v>#REF!</v>
      </c>
      <c r="V28" s="43" t="e">
        <f>IF(Planning[[#This Row],[Horas Planificadas]]&lt;&gt;0,Planning[[#This Row],[Horas utilizadas]]/Planning[[#This Row],[Horas Planificadas]],0)</f>
        <v>#REF!</v>
      </c>
      <c r="W28" s="44">
        <f>Planning[[#This Row],[Horas Planificadas]]+Planning[[#This Row],[Horas ajustadas adicionales]]</f>
        <v>2203</v>
      </c>
      <c r="X28" s="142"/>
    </row>
    <row r="29" spans="1:24" ht="12.75" customHeight="1" x14ac:dyDescent="0.2">
      <c r="A29" s="7"/>
      <c r="B29" s="7"/>
      <c r="C29" s="3"/>
      <c r="D29" s="3" t="s">
        <v>37</v>
      </c>
      <c r="E29" s="33" t="s">
        <v>31</v>
      </c>
      <c r="F29" s="3"/>
      <c r="G29" s="7"/>
      <c r="H29" s="7">
        <v>297</v>
      </c>
      <c r="I29" s="12"/>
      <c r="J29" s="5" t="e">
        <f>+SUMIFS(#REF!,#REF!,Planning[[#This Row],[Tarifa]],#REF!,Planning[[#This Row],[Proyectos]])</f>
        <v>#REF!</v>
      </c>
      <c r="K29" s="5" t="e">
        <f>Planning[[#This Row],[Horas Planificadas]]+Planning[[#This Row],[Horas ajustadas adicionales]]-Planning[[#This Row],[Horas utilizadas]]</f>
        <v>#REF!</v>
      </c>
      <c r="L29" s="7"/>
      <c r="M29" s="19" t="e">
        <f>Planning[[#This Row],[Saldo]]-Planning[[#This Row],[Saldo estimado]]</f>
        <v>#REF!</v>
      </c>
      <c r="N29" s="60" t="e">
        <f>SUM(SUMIFS(#REF!,#REF!,Planning[[#This Row],[Proyectos]],#REF!,Planning[[#This Row],[Tipo de Tarea y especialidad]]),SUMIFS(#REF!,#REF!,Planning[[#This Row],[Proyectos]],#REF!,Planning[[#This Row],[Tipo de Tarea y especialidad]]))</f>
        <v>#REF!</v>
      </c>
      <c r="O29" s="19">
        <f t="shared" si="0"/>
        <v>10</v>
      </c>
      <c r="P29" s="19">
        <f t="shared" si="1"/>
        <v>2024</v>
      </c>
      <c r="Q29" s="19" t="e">
        <f>+SUMIFS(#REF!,#REF!,Planning[[#This Row],[Tarifa]],#REF!,Planning[[#This Row],[Proyectos]],#REF!,Planning[[#This Row],[Mes]],#REF!,Planning[[#This Row],[Año]])</f>
        <v>#REF!</v>
      </c>
      <c r="R29" s="19" t="str">
        <f>TEXT(Planning[[#This Row],[Mes]]*29,"mmmm")</f>
        <v>October</v>
      </c>
      <c r="S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 s="98"/>
      <c r="U29" s="43" t="e">
        <f>IF(Planning[[#This Row],[Horas Planificadas]]&lt;&gt;0,+K29/Planning[[#This Row],[Horas Planificadas]],0)</f>
        <v>#REF!</v>
      </c>
      <c r="V29" s="43" t="e">
        <f>IF(Planning[[#This Row],[Horas Planificadas]]&lt;&gt;0,Planning[[#This Row],[Horas utilizadas]]/Planning[[#This Row],[Horas Planificadas]],0)</f>
        <v>#REF!</v>
      </c>
      <c r="W29" s="44">
        <f>Planning[[#This Row],[Horas Planificadas]]+Planning[[#This Row],[Horas ajustadas adicionales]]</f>
        <v>297</v>
      </c>
      <c r="X29" s="142"/>
    </row>
    <row r="30" spans="1:24" ht="12.75" customHeight="1" x14ac:dyDescent="0.2">
      <c r="A30" s="7"/>
      <c r="B30" s="7"/>
      <c r="C30" s="3"/>
      <c r="D30" s="3" t="s">
        <v>37</v>
      </c>
      <c r="E30" s="33" t="s">
        <v>32</v>
      </c>
      <c r="F30" s="3"/>
      <c r="G30" s="7"/>
      <c r="H30" s="7">
        <v>1413</v>
      </c>
      <c r="I30" s="12"/>
      <c r="J30" s="5" t="e">
        <f>+SUMIFS(#REF!,#REF!,Planning[[#This Row],[Tarifa]],#REF!,Planning[[#This Row],[Proyectos]])</f>
        <v>#REF!</v>
      </c>
      <c r="K30" s="5" t="e">
        <f>Planning[[#This Row],[Horas Planificadas]]+Planning[[#This Row],[Horas ajustadas adicionales]]-Planning[[#This Row],[Horas utilizadas]]</f>
        <v>#REF!</v>
      </c>
      <c r="L30" s="7"/>
      <c r="M30" s="19" t="e">
        <f>Planning[[#This Row],[Saldo]]-Planning[[#This Row],[Saldo estimado]]</f>
        <v>#REF!</v>
      </c>
      <c r="N30" s="60" t="e">
        <f>SUM(SUMIFS(#REF!,#REF!,Planning[[#This Row],[Proyectos]],#REF!,Planning[[#This Row],[Tipo de Tarea y especialidad]]),SUMIFS(#REF!,#REF!,Planning[[#This Row],[Proyectos]],#REF!,Planning[[#This Row],[Tipo de Tarea y especialidad]]))</f>
        <v>#REF!</v>
      </c>
      <c r="O30" s="19">
        <f t="shared" si="0"/>
        <v>10</v>
      </c>
      <c r="P30" s="19">
        <f t="shared" si="1"/>
        <v>2024</v>
      </c>
      <c r="Q30" s="19" t="e">
        <f>+SUMIFS(#REF!,#REF!,Planning[[#This Row],[Tarifa]],#REF!,Planning[[#This Row],[Proyectos]],#REF!,Planning[[#This Row],[Mes]],#REF!,Planning[[#This Row],[Año]])</f>
        <v>#REF!</v>
      </c>
      <c r="R30" s="19" t="str">
        <f>TEXT(Planning[[#This Row],[Mes]]*29,"mmmm")</f>
        <v>October</v>
      </c>
      <c r="S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 s="98"/>
      <c r="U30" s="43" t="e">
        <f>IF(Planning[[#This Row],[Horas Planificadas]]&lt;&gt;0,+K30/Planning[[#This Row],[Horas Planificadas]],0)</f>
        <v>#REF!</v>
      </c>
      <c r="V30" s="43" t="e">
        <f>IF(Planning[[#This Row],[Horas Planificadas]]&lt;&gt;0,Planning[[#This Row],[Horas utilizadas]]/Planning[[#This Row],[Horas Planificadas]],0)</f>
        <v>#REF!</v>
      </c>
      <c r="W30" s="44">
        <f>Planning[[#This Row],[Horas Planificadas]]+Planning[[#This Row],[Horas ajustadas adicionales]]</f>
        <v>1413</v>
      </c>
      <c r="X30" s="142"/>
    </row>
    <row r="31" spans="1:24" ht="12.75" customHeight="1" x14ac:dyDescent="0.2">
      <c r="A31" s="7"/>
      <c r="B31" s="7"/>
      <c r="C31" s="3"/>
      <c r="D31" s="3" t="s">
        <v>38</v>
      </c>
      <c r="E31" s="33" t="s">
        <v>28</v>
      </c>
      <c r="F31" s="3"/>
      <c r="G31" s="7"/>
      <c r="H31" s="7">
        <v>3041</v>
      </c>
      <c r="I31" s="12"/>
      <c r="J31" s="5" t="e">
        <f>+SUMIFS(#REF!,#REF!,Planning[[#This Row],[Tarifa]],#REF!,Planning[[#This Row],[Proyectos]])</f>
        <v>#REF!</v>
      </c>
      <c r="K31" s="5" t="e">
        <f>Planning[[#This Row],[Horas Planificadas]]+Planning[[#This Row],[Horas ajustadas adicionales]]-Planning[[#This Row],[Horas utilizadas]]</f>
        <v>#REF!</v>
      </c>
      <c r="L31" s="7"/>
      <c r="M31" s="19" t="e">
        <f>Planning[[#This Row],[Saldo]]-Planning[[#This Row],[Saldo estimado]]</f>
        <v>#REF!</v>
      </c>
      <c r="N31" s="60" t="e">
        <f>SUM(SUMIFS(#REF!,#REF!,Planning[[#This Row],[Proyectos]],#REF!,Planning[[#This Row],[Tipo de Tarea y especialidad]]),SUMIFS(#REF!,#REF!,Planning[[#This Row],[Proyectos]],#REF!,Planning[[#This Row],[Tipo de Tarea y especialidad]]))</f>
        <v>#REF!</v>
      </c>
      <c r="O31" s="19">
        <f t="shared" si="0"/>
        <v>10</v>
      </c>
      <c r="P31" s="19">
        <f t="shared" si="1"/>
        <v>2024</v>
      </c>
      <c r="Q31" s="19" t="e">
        <f>+SUMIFS(#REF!,#REF!,Planning[[#This Row],[Tarifa]],#REF!,Planning[[#This Row],[Proyectos]],#REF!,Planning[[#This Row],[Mes]],#REF!,Planning[[#This Row],[Año]])</f>
        <v>#REF!</v>
      </c>
      <c r="R31" s="19" t="str">
        <f>TEXT(Planning[[#This Row],[Mes]]*29,"mmmm")</f>
        <v>October</v>
      </c>
      <c r="S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 s="98"/>
      <c r="U31" s="43" t="e">
        <f>IF(Planning[[#This Row],[Horas Planificadas]]&lt;&gt;0,+K31/Planning[[#This Row],[Horas Planificadas]],0)</f>
        <v>#REF!</v>
      </c>
      <c r="V31" s="43" t="e">
        <f>IF(Planning[[#This Row],[Horas Planificadas]]&lt;&gt;0,Planning[[#This Row],[Horas utilizadas]]/Planning[[#This Row],[Horas Planificadas]],0)</f>
        <v>#REF!</v>
      </c>
      <c r="W31" s="44">
        <f>Planning[[#This Row],[Horas Planificadas]]+Planning[[#This Row],[Horas ajustadas adicionales]]</f>
        <v>3041</v>
      </c>
      <c r="X31" s="142"/>
    </row>
    <row r="32" spans="1:24" ht="12.75" customHeight="1" x14ac:dyDescent="0.2">
      <c r="A32" s="7"/>
      <c r="B32" s="7"/>
      <c r="C32" s="3"/>
      <c r="D32" s="3" t="s">
        <v>38</v>
      </c>
      <c r="E32" s="33" t="s">
        <v>30</v>
      </c>
      <c r="F32" s="3"/>
      <c r="G32" s="7"/>
      <c r="H32" s="7">
        <v>3930</v>
      </c>
      <c r="I32" s="12"/>
      <c r="J32" s="5" t="e">
        <f>+SUMIFS(#REF!,#REF!,Planning[[#This Row],[Tarifa]],#REF!,Planning[[#This Row],[Proyectos]])</f>
        <v>#REF!</v>
      </c>
      <c r="K32" s="5" t="e">
        <f>Planning[[#This Row],[Horas Planificadas]]+Planning[[#This Row],[Horas ajustadas adicionales]]-Planning[[#This Row],[Horas utilizadas]]</f>
        <v>#REF!</v>
      </c>
      <c r="L32" s="7"/>
      <c r="M32" s="19" t="e">
        <f>Planning[[#This Row],[Saldo]]-Planning[[#This Row],[Saldo estimado]]</f>
        <v>#REF!</v>
      </c>
      <c r="N32" s="60" t="e">
        <f>SUM(SUMIFS(#REF!,#REF!,Planning[[#This Row],[Proyectos]],#REF!,Planning[[#This Row],[Tipo de Tarea y especialidad]]),SUMIFS(#REF!,#REF!,Planning[[#This Row],[Proyectos]],#REF!,Planning[[#This Row],[Tipo de Tarea y especialidad]]))</f>
        <v>#REF!</v>
      </c>
      <c r="O32" s="19">
        <f t="shared" si="0"/>
        <v>10</v>
      </c>
      <c r="P32" s="19">
        <f t="shared" si="1"/>
        <v>2024</v>
      </c>
      <c r="Q32" s="19" t="e">
        <f>+SUMIFS(#REF!,#REF!,Planning[[#This Row],[Tarifa]],#REF!,Planning[[#This Row],[Proyectos]],#REF!,Planning[[#This Row],[Mes]],#REF!,Planning[[#This Row],[Año]])</f>
        <v>#REF!</v>
      </c>
      <c r="R32" s="19" t="str">
        <f>TEXT(Planning[[#This Row],[Mes]]*29,"mmmm")</f>
        <v>October</v>
      </c>
      <c r="S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 s="98"/>
      <c r="U32" s="43" t="e">
        <f>IF(Planning[[#This Row],[Horas Planificadas]]&lt;&gt;0,+K32/Planning[[#This Row],[Horas Planificadas]],0)</f>
        <v>#REF!</v>
      </c>
      <c r="V32" s="43" t="e">
        <f>IF(Planning[[#This Row],[Horas Planificadas]]&lt;&gt;0,Planning[[#This Row],[Horas utilizadas]]/Planning[[#This Row],[Horas Planificadas]],0)</f>
        <v>#REF!</v>
      </c>
      <c r="W32" s="44">
        <f>Planning[[#This Row],[Horas Planificadas]]+Planning[[#This Row],[Horas ajustadas adicionales]]</f>
        <v>3930</v>
      </c>
      <c r="X32" s="142"/>
    </row>
    <row r="33" spans="1:24" ht="12.75" customHeight="1" x14ac:dyDescent="0.2">
      <c r="A33" s="7"/>
      <c r="B33" s="7"/>
      <c r="C33" s="3"/>
      <c r="D33" s="3" t="s">
        <v>38</v>
      </c>
      <c r="E33" s="33" t="s">
        <v>31</v>
      </c>
      <c r="F33" s="3"/>
      <c r="G33" s="7"/>
      <c r="H33" s="7">
        <v>546</v>
      </c>
      <c r="I33" s="12"/>
      <c r="J33" s="5" t="e">
        <f>+SUMIFS(#REF!,#REF!,Planning[[#This Row],[Tarifa]],#REF!,Planning[[#This Row],[Proyectos]])</f>
        <v>#REF!</v>
      </c>
      <c r="K33" s="5" t="e">
        <f>Planning[[#This Row],[Horas Planificadas]]+Planning[[#This Row],[Horas ajustadas adicionales]]-Planning[[#This Row],[Horas utilizadas]]</f>
        <v>#REF!</v>
      </c>
      <c r="L33" s="7"/>
      <c r="M33" s="19" t="e">
        <f>Planning[[#This Row],[Saldo]]-Planning[[#This Row],[Saldo estimado]]</f>
        <v>#REF!</v>
      </c>
      <c r="N33" s="60" t="e">
        <f>SUM(SUMIFS(#REF!,#REF!,Planning[[#This Row],[Proyectos]],#REF!,Planning[[#This Row],[Tipo de Tarea y especialidad]]),SUMIFS(#REF!,#REF!,Planning[[#This Row],[Proyectos]],#REF!,Planning[[#This Row],[Tipo de Tarea y especialidad]]))</f>
        <v>#REF!</v>
      </c>
      <c r="O33" s="19">
        <f t="shared" si="0"/>
        <v>10</v>
      </c>
      <c r="P33" s="19">
        <f t="shared" si="1"/>
        <v>2024</v>
      </c>
      <c r="Q33" s="19" t="e">
        <f>+SUMIFS(#REF!,#REF!,Planning[[#This Row],[Tarifa]],#REF!,Planning[[#This Row],[Proyectos]],#REF!,Planning[[#This Row],[Mes]],#REF!,Planning[[#This Row],[Año]])</f>
        <v>#REF!</v>
      </c>
      <c r="R33" s="19" t="str">
        <f>TEXT(Planning[[#This Row],[Mes]]*29,"mmmm")</f>
        <v>October</v>
      </c>
      <c r="S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 s="98"/>
      <c r="U33" s="43" t="e">
        <f>IF(Planning[[#This Row],[Horas Planificadas]]&lt;&gt;0,+K33/Planning[[#This Row],[Horas Planificadas]],0)</f>
        <v>#REF!</v>
      </c>
      <c r="V33" s="43" t="e">
        <f>IF(Planning[[#This Row],[Horas Planificadas]]&lt;&gt;0,Planning[[#This Row],[Horas utilizadas]]/Planning[[#This Row],[Horas Planificadas]],0)</f>
        <v>#REF!</v>
      </c>
      <c r="W33" s="44">
        <f>Planning[[#This Row],[Horas Planificadas]]+Planning[[#This Row],[Horas ajustadas adicionales]]</f>
        <v>546</v>
      </c>
      <c r="X33" s="142"/>
    </row>
    <row r="34" spans="1:24" ht="12.75" customHeight="1" x14ac:dyDescent="0.2">
      <c r="A34" s="7"/>
      <c r="B34" s="7"/>
      <c r="C34" s="3"/>
      <c r="D34" s="3" t="s">
        <v>38</v>
      </c>
      <c r="E34" s="33" t="s">
        <v>32</v>
      </c>
      <c r="F34" s="3"/>
      <c r="G34" s="7"/>
      <c r="H34" s="7">
        <v>792</v>
      </c>
      <c r="I34" s="12"/>
      <c r="J34" s="5" t="e">
        <f>+SUMIFS(#REF!,#REF!,Planning[[#This Row],[Tarifa]],#REF!,Planning[[#This Row],[Proyectos]])</f>
        <v>#REF!</v>
      </c>
      <c r="K34" s="5" t="e">
        <f>Planning[[#This Row],[Horas Planificadas]]+Planning[[#This Row],[Horas ajustadas adicionales]]-Planning[[#This Row],[Horas utilizadas]]</f>
        <v>#REF!</v>
      </c>
      <c r="L34" s="7"/>
      <c r="M34" s="19" t="e">
        <f>Planning[[#This Row],[Saldo]]-Planning[[#This Row],[Saldo estimado]]</f>
        <v>#REF!</v>
      </c>
      <c r="N34" s="60" t="e">
        <f>SUM(SUMIFS(#REF!,#REF!,Planning[[#This Row],[Proyectos]],#REF!,Planning[[#This Row],[Tipo de Tarea y especialidad]]),SUMIFS(#REF!,#REF!,Planning[[#This Row],[Proyectos]],#REF!,Planning[[#This Row],[Tipo de Tarea y especialidad]]))</f>
        <v>#REF!</v>
      </c>
      <c r="O34" s="19">
        <f t="shared" si="0"/>
        <v>10</v>
      </c>
      <c r="P34" s="19">
        <f t="shared" si="1"/>
        <v>2024</v>
      </c>
      <c r="Q34" s="19" t="e">
        <f>+SUMIFS(#REF!,#REF!,Planning[[#This Row],[Tarifa]],#REF!,Planning[[#This Row],[Proyectos]],#REF!,Planning[[#This Row],[Mes]],#REF!,Planning[[#This Row],[Año]])</f>
        <v>#REF!</v>
      </c>
      <c r="R34" s="19" t="str">
        <f>TEXT(Planning[[#This Row],[Mes]]*29,"mmmm")</f>
        <v>October</v>
      </c>
      <c r="S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 s="98"/>
      <c r="U34" s="43" t="e">
        <f>IF(Planning[[#This Row],[Horas Planificadas]]&lt;&gt;0,+K34/Planning[[#This Row],[Horas Planificadas]],0)</f>
        <v>#REF!</v>
      </c>
      <c r="V34" s="43" t="e">
        <f>IF(Planning[[#This Row],[Horas Planificadas]]&lt;&gt;0,Planning[[#This Row],[Horas utilizadas]]/Planning[[#This Row],[Horas Planificadas]],0)</f>
        <v>#REF!</v>
      </c>
      <c r="W34" s="44">
        <f>Planning[[#This Row],[Horas Planificadas]]+Planning[[#This Row],[Horas ajustadas adicionales]]</f>
        <v>792</v>
      </c>
      <c r="X34" s="142"/>
    </row>
    <row r="35" spans="1:24" ht="12.75" customHeight="1" x14ac:dyDescent="0.2">
      <c r="A35" s="7"/>
      <c r="B35" s="7"/>
      <c r="C35" s="3"/>
      <c r="D35" s="3" t="s">
        <v>39</v>
      </c>
      <c r="E35" s="33" t="s">
        <v>28</v>
      </c>
      <c r="F35" s="3"/>
      <c r="G35" s="7"/>
      <c r="H35" s="7">
        <v>720</v>
      </c>
      <c r="I35" s="12"/>
      <c r="J35" s="5" t="e">
        <f>+SUMIFS(#REF!,#REF!,Planning[[#This Row],[Tarifa]],#REF!,Planning[[#This Row],[Proyectos]])</f>
        <v>#REF!</v>
      </c>
      <c r="K35" s="5" t="e">
        <f>Planning[[#This Row],[Horas Planificadas]]+Planning[[#This Row],[Horas ajustadas adicionales]]-Planning[[#This Row],[Horas utilizadas]]</f>
        <v>#REF!</v>
      </c>
      <c r="L35" s="7"/>
      <c r="M35" s="19" t="e">
        <f>Planning[[#This Row],[Saldo]]-Planning[[#This Row],[Saldo estimado]]</f>
        <v>#REF!</v>
      </c>
      <c r="N35" s="60" t="e">
        <f>SUM(SUMIFS(#REF!,#REF!,Planning[[#This Row],[Proyectos]],#REF!,Planning[[#This Row],[Tipo de Tarea y especialidad]]),SUMIFS(#REF!,#REF!,Planning[[#This Row],[Proyectos]],#REF!,Planning[[#This Row],[Tipo de Tarea y especialidad]]))</f>
        <v>#REF!</v>
      </c>
      <c r="O35" s="19">
        <f t="shared" si="0"/>
        <v>10</v>
      </c>
      <c r="P35" s="19">
        <f t="shared" si="1"/>
        <v>2024</v>
      </c>
      <c r="Q35" s="19" t="e">
        <f>+SUMIFS(#REF!,#REF!,Planning[[#This Row],[Tarifa]],#REF!,Planning[[#This Row],[Proyectos]],#REF!,Planning[[#This Row],[Mes]],#REF!,Planning[[#This Row],[Año]])</f>
        <v>#REF!</v>
      </c>
      <c r="R35" s="19" t="str">
        <f>TEXT(Planning[[#This Row],[Mes]]*29,"mmmm")</f>
        <v>October</v>
      </c>
      <c r="S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 s="98"/>
      <c r="U35" s="43" t="e">
        <f>IF(Planning[[#This Row],[Horas Planificadas]]&lt;&gt;0,+K35/Planning[[#This Row],[Horas Planificadas]],0)</f>
        <v>#REF!</v>
      </c>
      <c r="V35" s="43" t="e">
        <f>IF(Planning[[#This Row],[Horas Planificadas]]&lt;&gt;0,Planning[[#This Row],[Horas utilizadas]]/Planning[[#This Row],[Horas Planificadas]],0)</f>
        <v>#REF!</v>
      </c>
      <c r="W35" s="44">
        <f>Planning[[#This Row],[Horas Planificadas]]+Planning[[#This Row],[Horas ajustadas adicionales]]</f>
        <v>720</v>
      </c>
      <c r="X35" s="142"/>
    </row>
    <row r="36" spans="1:24" ht="12.75" customHeight="1" x14ac:dyDescent="0.2">
      <c r="A36" s="7"/>
      <c r="B36" s="7"/>
      <c r="C36" s="3"/>
      <c r="D36" s="3" t="s">
        <v>39</v>
      </c>
      <c r="E36" s="33" t="s">
        <v>30</v>
      </c>
      <c r="F36" s="3"/>
      <c r="G36" s="7"/>
      <c r="H36" s="7">
        <v>520</v>
      </c>
      <c r="I36" s="12"/>
      <c r="J36" s="5" t="e">
        <f>+SUMIFS(#REF!,#REF!,Planning[[#This Row],[Tarifa]],#REF!,Planning[[#This Row],[Proyectos]])</f>
        <v>#REF!</v>
      </c>
      <c r="K36" s="5" t="e">
        <f>Planning[[#This Row],[Horas Planificadas]]+Planning[[#This Row],[Horas ajustadas adicionales]]-Planning[[#This Row],[Horas utilizadas]]</f>
        <v>#REF!</v>
      </c>
      <c r="L36" s="7"/>
      <c r="M36" s="19" t="e">
        <f>Planning[[#This Row],[Saldo]]-Planning[[#This Row],[Saldo estimado]]</f>
        <v>#REF!</v>
      </c>
      <c r="N36" s="60" t="e">
        <f>SUM(SUMIFS(#REF!,#REF!,Planning[[#This Row],[Proyectos]],#REF!,Planning[[#This Row],[Tipo de Tarea y especialidad]]),SUMIFS(#REF!,#REF!,Planning[[#This Row],[Proyectos]],#REF!,Planning[[#This Row],[Tipo de Tarea y especialidad]]))</f>
        <v>#REF!</v>
      </c>
      <c r="O36" s="19">
        <f t="shared" si="0"/>
        <v>10</v>
      </c>
      <c r="P36" s="19">
        <f t="shared" si="1"/>
        <v>2024</v>
      </c>
      <c r="Q36" s="19" t="e">
        <f>+SUMIFS(#REF!,#REF!,Planning[[#This Row],[Tarifa]],#REF!,Planning[[#This Row],[Proyectos]],#REF!,Planning[[#This Row],[Mes]],#REF!,Planning[[#This Row],[Año]])</f>
        <v>#REF!</v>
      </c>
      <c r="R36" s="19" t="str">
        <f>TEXT(Planning[[#This Row],[Mes]]*29,"mmmm")</f>
        <v>October</v>
      </c>
      <c r="S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 s="98"/>
      <c r="U36" s="43" t="e">
        <f>IF(Planning[[#This Row],[Horas Planificadas]]&lt;&gt;0,+K36/Planning[[#This Row],[Horas Planificadas]],0)</f>
        <v>#REF!</v>
      </c>
      <c r="V36" s="43" t="e">
        <f>IF(Planning[[#This Row],[Horas Planificadas]]&lt;&gt;0,Planning[[#This Row],[Horas utilizadas]]/Planning[[#This Row],[Horas Planificadas]],0)</f>
        <v>#REF!</v>
      </c>
      <c r="W36" s="44">
        <f>Planning[[#This Row],[Horas Planificadas]]+Planning[[#This Row],[Horas ajustadas adicionales]]</f>
        <v>520</v>
      </c>
      <c r="X36" s="142"/>
    </row>
    <row r="37" spans="1:24" ht="12.75" customHeight="1" x14ac:dyDescent="0.2">
      <c r="A37" s="7"/>
      <c r="B37" s="7"/>
      <c r="C37" s="3"/>
      <c r="D37" s="3" t="s">
        <v>39</v>
      </c>
      <c r="E37" s="33" t="s">
        <v>31</v>
      </c>
      <c r="F37" s="3"/>
      <c r="G37" s="7"/>
      <c r="H37" s="7">
        <v>400</v>
      </c>
      <c r="I37" s="12"/>
      <c r="J37" s="5" t="e">
        <f>+SUMIFS(#REF!,#REF!,Planning[[#This Row],[Tarifa]],#REF!,Planning[[#This Row],[Proyectos]])</f>
        <v>#REF!</v>
      </c>
      <c r="K37" s="5" t="e">
        <f>Planning[[#This Row],[Horas Planificadas]]+Planning[[#This Row],[Horas ajustadas adicionales]]-Planning[[#This Row],[Horas utilizadas]]</f>
        <v>#REF!</v>
      </c>
      <c r="L37" s="7"/>
      <c r="M37" s="19" t="e">
        <f>Planning[[#This Row],[Saldo]]-Planning[[#This Row],[Saldo estimado]]</f>
        <v>#REF!</v>
      </c>
      <c r="N37" s="60" t="e">
        <f>SUM(SUMIFS(#REF!,#REF!,Planning[[#This Row],[Proyectos]],#REF!,Planning[[#This Row],[Tipo de Tarea y especialidad]]),SUMIFS(#REF!,#REF!,Planning[[#This Row],[Proyectos]],#REF!,Planning[[#This Row],[Tipo de Tarea y especialidad]]))</f>
        <v>#REF!</v>
      </c>
      <c r="O37" s="19">
        <f t="shared" si="0"/>
        <v>10</v>
      </c>
      <c r="P37" s="19">
        <f t="shared" si="1"/>
        <v>2024</v>
      </c>
      <c r="Q37" s="19" t="e">
        <f>+SUMIFS(#REF!,#REF!,Planning[[#This Row],[Tarifa]],#REF!,Planning[[#This Row],[Proyectos]],#REF!,Planning[[#This Row],[Mes]],#REF!,Planning[[#This Row],[Año]])</f>
        <v>#REF!</v>
      </c>
      <c r="R37" s="19" t="str">
        <f>TEXT(Planning[[#This Row],[Mes]]*29,"mmmm")</f>
        <v>October</v>
      </c>
      <c r="S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 s="98"/>
      <c r="U37" s="43" t="e">
        <f>IF(Planning[[#This Row],[Horas Planificadas]]&lt;&gt;0,+K37/Planning[[#This Row],[Horas Planificadas]],0)</f>
        <v>#REF!</v>
      </c>
      <c r="V37" s="43" t="e">
        <f>IF(Planning[[#This Row],[Horas Planificadas]]&lt;&gt;0,Planning[[#This Row],[Horas utilizadas]]/Planning[[#This Row],[Horas Planificadas]],0)</f>
        <v>#REF!</v>
      </c>
      <c r="W37" s="44">
        <f>Planning[[#This Row],[Horas Planificadas]]+Planning[[#This Row],[Horas ajustadas adicionales]]</f>
        <v>400</v>
      </c>
      <c r="X37" s="142"/>
    </row>
    <row r="38" spans="1:24" ht="12.75" customHeight="1" x14ac:dyDescent="0.2">
      <c r="A38" s="7"/>
      <c r="B38" s="7"/>
      <c r="C38" s="3"/>
      <c r="D38" s="3" t="s">
        <v>39</v>
      </c>
      <c r="E38" s="33" t="s">
        <v>32</v>
      </c>
      <c r="F38" s="3"/>
      <c r="G38" s="7"/>
      <c r="H38" s="7">
        <v>760</v>
      </c>
      <c r="I38" s="12"/>
      <c r="J38" s="5" t="e">
        <f>+SUMIFS(#REF!,#REF!,Planning[[#This Row],[Tarifa]],#REF!,Planning[[#This Row],[Proyectos]])</f>
        <v>#REF!</v>
      </c>
      <c r="K38" s="5" t="e">
        <f>Planning[[#This Row],[Horas Planificadas]]+Planning[[#This Row],[Horas ajustadas adicionales]]-Planning[[#This Row],[Horas utilizadas]]</f>
        <v>#REF!</v>
      </c>
      <c r="L38" s="7"/>
      <c r="M38" s="19" t="e">
        <f>Planning[[#This Row],[Saldo]]-Planning[[#This Row],[Saldo estimado]]</f>
        <v>#REF!</v>
      </c>
      <c r="N38" s="60" t="e">
        <f>SUM(SUMIFS(#REF!,#REF!,Planning[[#This Row],[Proyectos]],#REF!,Planning[[#This Row],[Tipo de Tarea y especialidad]]),SUMIFS(#REF!,#REF!,Planning[[#This Row],[Proyectos]],#REF!,Planning[[#This Row],[Tipo de Tarea y especialidad]]))</f>
        <v>#REF!</v>
      </c>
      <c r="O38" s="19">
        <f t="shared" si="0"/>
        <v>10</v>
      </c>
      <c r="P38" s="19">
        <f t="shared" si="1"/>
        <v>2024</v>
      </c>
      <c r="Q38" s="19" t="e">
        <f>+SUMIFS(#REF!,#REF!,Planning[[#This Row],[Tarifa]],#REF!,Planning[[#This Row],[Proyectos]],#REF!,Planning[[#This Row],[Mes]],#REF!,Planning[[#This Row],[Año]])</f>
        <v>#REF!</v>
      </c>
      <c r="R38" s="19" t="str">
        <f>TEXT(Planning[[#This Row],[Mes]]*29,"mmmm")</f>
        <v>October</v>
      </c>
      <c r="S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 s="98"/>
      <c r="U38" s="43" t="e">
        <f>IF(Planning[[#This Row],[Horas Planificadas]]&lt;&gt;0,+K38/Planning[[#This Row],[Horas Planificadas]],0)</f>
        <v>#REF!</v>
      </c>
      <c r="V38" s="43" t="e">
        <f>IF(Planning[[#This Row],[Horas Planificadas]]&lt;&gt;0,Planning[[#This Row],[Horas utilizadas]]/Planning[[#This Row],[Horas Planificadas]],0)</f>
        <v>#REF!</v>
      </c>
      <c r="W38" s="44">
        <f>Planning[[#This Row],[Horas Planificadas]]+Planning[[#This Row],[Horas ajustadas adicionales]]</f>
        <v>760</v>
      </c>
      <c r="X38" s="142"/>
    </row>
    <row r="39" spans="1:24" ht="12.75" customHeight="1" x14ac:dyDescent="0.2">
      <c r="A39" s="7"/>
      <c r="B39" s="7"/>
      <c r="C39" s="3"/>
      <c r="D39" s="3" t="s">
        <v>40</v>
      </c>
      <c r="E39" s="33" t="s">
        <v>28</v>
      </c>
      <c r="F39" s="3"/>
      <c r="G39" s="7"/>
      <c r="H39" s="7">
        <v>507</v>
      </c>
      <c r="I39" s="12"/>
      <c r="J39" s="5" t="e">
        <f>+SUMIFS(#REF!,#REF!,Planning[[#This Row],[Tarifa]],#REF!,Planning[[#This Row],[Proyectos]])</f>
        <v>#REF!</v>
      </c>
      <c r="K39" s="5" t="e">
        <f>Planning[[#This Row],[Horas Planificadas]]+Planning[[#This Row],[Horas ajustadas adicionales]]-Planning[[#This Row],[Horas utilizadas]]</f>
        <v>#REF!</v>
      </c>
      <c r="L39" s="7"/>
      <c r="M39" s="19" t="e">
        <f>Planning[[#This Row],[Saldo]]-Planning[[#This Row],[Saldo estimado]]</f>
        <v>#REF!</v>
      </c>
      <c r="N39" s="60" t="e">
        <f>SUM(SUMIFS(#REF!,#REF!,Planning[[#This Row],[Proyectos]],#REF!,Planning[[#This Row],[Tipo de Tarea y especialidad]]),SUMIFS(#REF!,#REF!,Planning[[#This Row],[Proyectos]],#REF!,Planning[[#This Row],[Tipo de Tarea y especialidad]]))</f>
        <v>#REF!</v>
      </c>
      <c r="O39" s="19">
        <f t="shared" si="0"/>
        <v>10</v>
      </c>
      <c r="P39" s="19">
        <f t="shared" si="1"/>
        <v>2024</v>
      </c>
      <c r="Q39" s="19" t="e">
        <f>+SUMIFS(#REF!,#REF!,Planning[[#This Row],[Tarifa]],#REF!,Planning[[#This Row],[Proyectos]],#REF!,Planning[[#This Row],[Mes]],#REF!,Planning[[#This Row],[Año]])</f>
        <v>#REF!</v>
      </c>
      <c r="R39" s="19" t="str">
        <f>TEXT(Planning[[#This Row],[Mes]]*29,"mmmm")</f>
        <v>October</v>
      </c>
      <c r="S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 s="241"/>
      <c r="U39" s="43" t="e">
        <f>IF(Planning[[#This Row],[Horas Planificadas]]&lt;&gt;0,+K39/Planning[[#This Row],[Horas Planificadas]],0)</f>
        <v>#REF!</v>
      </c>
      <c r="V39" s="43" t="e">
        <f>IF(Planning[[#This Row],[Horas Planificadas]]&lt;&gt;0,Planning[[#This Row],[Horas utilizadas]]/Planning[[#This Row],[Horas Planificadas]],0)</f>
        <v>#REF!</v>
      </c>
      <c r="W39" s="44">
        <f>Planning[[#This Row],[Horas Planificadas]]+Planning[[#This Row],[Horas ajustadas adicionales]]</f>
        <v>507</v>
      </c>
      <c r="X39" s="142"/>
    </row>
    <row r="40" spans="1:24" ht="12.75" customHeight="1" x14ac:dyDescent="0.2">
      <c r="A40" s="7"/>
      <c r="B40" s="7"/>
      <c r="C40" s="3"/>
      <c r="D40" s="3" t="s">
        <v>40</v>
      </c>
      <c r="E40" s="33" t="s">
        <v>30</v>
      </c>
      <c r="F40" s="3"/>
      <c r="G40" s="7"/>
      <c r="H40" s="7">
        <v>495</v>
      </c>
      <c r="I40" s="12"/>
      <c r="J40" s="5" t="e">
        <f>+SUMIFS(#REF!,#REF!,Planning[[#This Row],[Tarifa]],#REF!,Planning[[#This Row],[Proyectos]])</f>
        <v>#REF!</v>
      </c>
      <c r="K40" s="5" t="e">
        <f>Planning[[#This Row],[Horas Planificadas]]+Planning[[#This Row],[Horas ajustadas adicionales]]-Planning[[#This Row],[Horas utilizadas]]</f>
        <v>#REF!</v>
      </c>
      <c r="L40" s="7"/>
      <c r="M40" s="19" t="e">
        <f>Planning[[#This Row],[Saldo]]-Planning[[#This Row],[Saldo estimado]]</f>
        <v>#REF!</v>
      </c>
      <c r="N40" s="60" t="e">
        <f>SUM(SUMIFS(#REF!,#REF!,Planning[[#This Row],[Proyectos]],#REF!,Planning[[#This Row],[Tipo de Tarea y especialidad]]),SUMIFS(#REF!,#REF!,Planning[[#This Row],[Proyectos]],#REF!,Planning[[#This Row],[Tipo de Tarea y especialidad]]))</f>
        <v>#REF!</v>
      </c>
      <c r="O40" s="19">
        <f t="shared" si="0"/>
        <v>10</v>
      </c>
      <c r="P40" s="19">
        <f t="shared" si="1"/>
        <v>2024</v>
      </c>
      <c r="Q40" s="19" t="e">
        <f>+SUMIFS(#REF!,#REF!,Planning[[#This Row],[Tarifa]],#REF!,Planning[[#This Row],[Proyectos]],#REF!,Planning[[#This Row],[Mes]],#REF!,Planning[[#This Row],[Año]])</f>
        <v>#REF!</v>
      </c>
      <c r="R40" s="19" t="str">
        <f>TEXT(Planning[[#This Row],[Mes]]*29,"mmmm")</f>
        <v>October</v>
      </c>
      <c r="S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 s="241"/>
      <c r="U40" s="43" t="e">
        <f>IF(Planning[[#This Row],[Horas Planificadas]]&lt;&gt;0,+K40/Planning[[#This Row],[Horas Planificadas]],0)</f>
        <v>#REF!</v>
      </c>
      <c r="V40" s="43" t="e">
        <f>IF(Planning[[#This Row],[Horas Planificadas]]&lt;&gt;0,Planning[[#This Row],[Horas utilizadas]]/Planning[[#This Row],[Horas Planificadas]],0)</f>
        <v>#REF!</v>
      </c>
      <c r="W40" s="44">
        <f>Planning[[#This Row],[Horas Planificadas]]+Planning[[#This Row],[Horas ajustadas adicionales]]</f>
        <v>495</v>
      </c>
      <c r="X40" s="142"/>
    </row>
    <row r="41" spans="1:24" ht="12.75" customHeight="1" x14ac:dyDescent="0.2">
      <c r="A41" s="7"/>
      <c r="B41" s="7"/>
      <c r="C41" s="3"/>
      <c r="D41" s="3" t="s">
        <v>40</v>
      </c>
      <c r="E41" s="33" t="s">
        <v>31</v>
      </c>
      <c r="F41" s="3"/>
      <c r="G41" s="7"/>
      <c r="H41" s="7">
        <v>136</v>
      </c>
      <c r="I41" s="12"/>
      <c r="J41" s="5" t="e">
        <f>+SUMIFS(#REF!,#REF!,Planning[[#This Row],[Tarifa]],#REF!,Planning[[#This Row],[Proyectos]])</f>
        <v>#REF!</v>
      </c>
      <c r="K41" s="5" t="e">
        <f>Planning[[#This Row],[Horas Planificadas]]+Planning[[#This Row],[Horas ajustadas adicionales]]-Planning[[#This Row],[Horas utilizadas]]</f>
        <v>#REF!</v>
      </c>
      <c r="L41" s="7"/>
      <c r="M41" s="19" t="e">
        <f>Planning[[#This Row],[Saldo]]-Planning[[#This Row],[Saldo estimado]]</f>
        <v>#REF!</v>
      </c>
      <c r="N41" s="60" t="e">
        <f>SUM(SUMIFS(#REF!,#REF!,Planning[[#This Row],[Proyectos]],#REF!,Planning[[#This Row],[Tipo de Tarea y especialidad]]),SUMIFS(#REF!,#REF!,Planning[[#This Row],[Proyectos]],#REF!,Planning[[#This Row],[Tipo de Tarea y especialidad]]))</f>
        <v>#REF!</v>
      </c>
      <c r="O41" s="19">
        <f t="shared" si="0"/>
        <v>10</v>
      </c>
      <c r="P41" s="19">
        <f t="shared" si="1"/>
        <v>2024</v>
      </c>
      <c r="Q41" s="19" t="e">
        <f>+SUMIFS(#REF!,#REF!,Planning[[#This Row],[Tarifa]],#REF!,Planning[[#This Row],[Proyectos]],#REF!,Planning[[#This Row],[Mes]],#REF!,Planning[[#This Row],[Año]])</f>
        <v>#REF!</v>
      </c>
      <c r="R41" s="19" t="str">
        <f>TEXT(Planning[[#This Row],[Mes]]*29,"mmmm")</f>
        <v>October</v>
      </c>
      <c r="S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 s="241"/>
      <c r="U41" s="43" t="e">
        <f>IF(Planning[[#This Row],[Horas Planificadas]]&lt;&gt;0,+K41/Planning[[#This Row],[Horas Planificadas]],0)</f>
        <v>#REF!</v>
      </c>
      <c r="V41" s="43" t="e">
        <f>IF(Planning[[#This Row],[Horas Planificadas]]&lt;&gt;0,Planning[[#This Row],[Horas utilizadas]]/Planning[[#This Row],[Horas Planificadas]],0)</f>
        <v>#REF!</v>
      </c>
      <c r="W41" s="44">
        <f>Planning[[#This Row],[Horas Planificadas]]+Planning[[#This Row],[Horas ajustadas adicionales]]</f>
        <v>136</v>
      </c>
      <c r="X41" s="142"/>
    </row>
    <row r="42" spans="1:24" ht="12.75" customHeight="1" x14ac:dyDescent="0.2">
      <c r="A42" s="7"/>
      <c r="B42" s="7"/>
      <c r="C42" s="3"/>
      <c r="D42" s="3" t="s">
        <v>40</v>
      </c>
      <c r="E42" s="33" t="s">
        <v>32</v>
      </c>
      <c r="F42" s="3"/>
      <c r="G42" s="7"/>
      <c r="H42" s="7">
        <v>180</v>
      </c>
      <c r="I42" s="12"/>
      <c r="J42" s="5" t="e">
        <f>+SUMIFS(#REF!,#REF!,Planning[[#This Row],[Tarifa]],#REF!,Planning[[#This Row],[Proyectos]])</f>
        <v>#REF!</v>
      </c>
      <c r="K42" s="5" t="e">
        <f>Planning[[#This Row],[Horas Planificadas]]+Planning[[#This Row],[Horas ajustadas adicionales]]-Planning[[#This Row],[Horas utilizadas]]</f>
        <v>#REF!</v>
      </c>
      <c r="L42" s="7"/>
      <c r="M42" s="19" t="e">
        <f>Planning[[#This Row],[Saldo]]-Planning[[#This Row],[Saldo estimado]]</f>
        <v>#REF!</v>
      </c>
      <c r="N42" s="60" t="e">
        <f>SUM(SUMIFS(#REF!,#REF!,Planning[[#This Row],[Proyectos]],#REF!,Planning[[#This Row],[Tipo de Tarea y especialidad]]),SUMIFS(#REF!,#REF!,Planning[[#This Row],[Proyectos]],#REF!,Planning[[#This Row],[Tipo de Tarea y especialidad]]))</f>
        <v>#REF!</v>
      </c>
      <c r="O42" s="19">
        <f t="shared" si="0"/>
        <v>10</v>
      </c>
      <c r="P42" s="19">
        <f t="shared" si="1"/>
        <v>2024</v>
      </c>
      <c r="Q42" s="19" t="e">
        <f>+SUMIFS(#REF!,#REF!,Planning[[#This Row],[Tarifa]],#REF!,Planning[[#This Row],[Proyectos]],#REF!,Planning[[#This Row],[Mes]],#REF!,Planning[[#This Row],[Año]])</f>
        <v>#REF!</v>
      </c>
      <c r="R42" s="19" t="str">
        <f>TEXT(Planning[[#This Row],[Mes]]*29,"mmmm")</f>
        <v>October</v>
      </c>
      <c r="S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 s="241"/>
      <c r="U42" s="43" t="e">
        <f>IF(Planning[[#This Row],[Horas Planificadas]]&lt;&gt;0,+K42/Planning[[#This Row],[Horas Planificadas]],0)</f>
        <v>#REF!</v>
      </c>
      <c r="V42" s="43" t="e">
        <f>IF(Planning[[#This Row],[Horas Planificadas]]&lt;&gt;0,Planning[[#This Row],[Horas utilizadas]]/Planning[[#This Row],[Horas Planificadas]],0)</f>
        <v>#REF!</v>
      </c>
      <c r="W42" s="44">
        <f>Planning[[#This Row],[Horas Planificadas]]+Planning[[#This Row],[Horas ajustadas adicionales]]</f>
        <v>180</v>
      </c>
      <c r="X42" s="142"/>
    </row>
    <row r="43" spans="1:24" ht="12.75" customHeight="1" x14ac:dyDescent="0.2">
      <c r="A43" s="7"/>
      <c r="B43" s="7"/>
      <c r="C43" s="3"/>
      <c r="D43" s="3" t="s">
        <v>41</v>
      </c>
      <c r="E43" s="33" t="s">
        <v>28</v>
      </c>
      <c r="F43" s="3"/>
      <c r="G43" s="7"/>
      <c r="H43" s="7">
        <v>0</v>
      </c>
      <c r="I43" s="12"/>
      <c r="J43" s="5" t="e">
        <f>+SUMIFS(#REF!,#REF!,Planning[[#This Row],[Tarifa]],#REF!,Planning[[#This Row],[Proyectos]])</f>
        <v>#REF!</v>
      </c>
      <c r="K43" s="5" t="e">
        <f>Planning[[#This Row],[Horas Planificadas]]+Planning[[#This Row],[Horas ajustadas adicionales]]-Planning[[#This Row],[Horas utilizadas]]</f>
        <v>#REF!</v>
      </c>
      <c r="L43" s="7"/>
      <c r="M43" s="19" t="e">
        <f>Planning[[#This Row],[Saldo]]-Planning[[#This Row],[Saldo estimado]]</f>
        <v>#REF!</v>
      </c>
      <c r="N43" s="60" t="e">
        <f>SUM(SUMIFS(#REF!,#REF!,Planning[[#This Row],[Proyectos]],#REF!,Planning[[#This Row],[Tipo de Tarea y especialidad]]),SUMIFS(#REF!,#REF!,Planning[[#This Row],[Proyectos]],#REF!,Planning[[#This Row],[Tipo de Tarea y especialidad]]))</f>
        <v>#REF!</v>
      </c>
      <c r="O43" s="19">
        <f t="shared" si="0"/>
        <v>10</v>
      </c>
      <c r="P43" s="19">
        <f t="shared" si="1"/>
        <v>2024</v>
      </c>
      <c r="Q43" s="19" t="e">
        <f>+SUMIFS(#REF!,#REF!,Planning[[#This Row],[Tarifa]],#REF!,Planning[[#This Row],[Proyectos]],#REF!,Planning[[#This Row],[Mes]],#REF!,Planning[[#This Row],[Año]])</f>
        <v>#REF!</v>
      </c>
      <c r="R43" s="19" t="str">
        <f>TEXT(Planning[[#This Row],[Mes]]*29,"mmmm")</f>
        <v>October</v>
      </c>
      <c r="S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 s="241"/>
      <c r="U43" s="43">
        <f>IF(Planning[[#This Row],[Horas Planificadas]]&lt;&gt;0,+K43/Planning[[#This Row],[Horas Planificadas]],0)</f>
        <v>0</v>
      </c>
      <c r="V43" s="43">
        <f>IF(Planning[[#This Row],[Horas Planificadas]]&lt;&gt;0,Planning[[#This Row],[Horas utilizadas]]/Planning[[#This Row],[Horas Planificadas]],0)</f>
        <v>0</v>
      </c>
      <c r="W43" s="44">
        <f>Planning[[#This Row],[Horas Planificadas]]+Planning[[#This Row],[Horas ajustadas adicionales]]</f>
        <v>0</v>
      </c>
      <c r="X43" s="142"/>
    </row>
    <row r="44" spans="1:24" ht="12.75" customHeight="1" x14ac:dyDescent="0.2">
      <c r="A44" s="7"/>
      <c r="B44" s="7"/>
      <c r="C44" s="3"/>
      <c r="D44" s="3" t="s">
        <v>41</v>
      </c>
      <c r="E44" s="33" t="s">
        <v>30</v>
      </c>
      <c r="F44" s="3"/>
      <c r="G44" s="7"/>
      <c r="H44" s="7">
        <v>80</v>
      </c>
      <c r="I44" s="12"/>
      <c r="J44" s="5" t="e">
        <f>+SUMIFS(#REF!,#REF!,Planning[[#This Row],[Tarifa]],#REF!,Planning[[#This Row],[Proyectos]])</f>
        <v>#REF!</v>
      </c>
      <c r="K44" s="5" t="e">
        <f>Planning[[#This Row],[Horas Planificadas]]+Planning[[#This Row],[Horas ajustadas adicionales]]-Planning[[#This Row],[Horas utilizadas]]</f>
        <v>#REF!</v>
      </c>
      <c r="L44" s="7"/>
      <c r="M44" s="19" t="e">
        <f>Planning[[#This Row],[Saldo]]-Planning[[#This Row],[Saldo estimado]]</f>
        <v>#REF!</v>
      </c>
      <c r="N44" s="60" t="e">
        <f>SUM(SUMIFS(#REF!,#REF!,Planning[[#This Row],[Proyectos]],#REF!,Planning[[#This Row],[Tipo de Tarea y especialidad]]),SUMIFS(#REF!,#REF!,Planning[[#This Row],[Proyectos]],#REF!,Planning[[#This Row],[Tipo de Tarea y especialidad]]))</f>
        <v>#REF!</v>
      </c>
      <c r="O44" s="19">
        <f t="shared" si="0"/>
        <v>10</v>
      </c>
      <c r="P44" s="19">
        <f t="shared" si="1"/>
        <v>2024</v>
      </c>
      <c r="Q44" s="19" t="e">
        <f>+SUMIFS(#REF!,#REF!,Planning[[#This Row],[Tarifa]],#REF!,Planning[[#This Row],[Proyectos]],#REF!,Planning[[#This Row],[Mes]],#REF!,Planning[[#This Row],[Año]])</f>
        <v>#REF!</v>
      </c>
      <c r="R44" s="19" t="str">
        <f>TEXT(Planning[[#This Row],[Mes]]*29,"mmmm")</f>
        <v>October</v>
      </c>
      <c r="S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 s="241"/>
      <c r="U44" s="43" t="e">
        <f>IF(Planning[[#This Row],[Horas Planificadas]]&lt;&gt;0,+K44/Planning[[#This Row],[Horas Planificadas]],0)</f>
        <v>#REF!</v>
      </c>
      <c r="V44" s="43" t="e">
        <f>IF(Planning[[#This Row],[Horas Planificadas]]&lt;&gt;0,Planning[[#This Row],[Horas utilizadas]]/Planning[[#This Row],[Horas Planificadas]],0)</f>
        <v>#REF!</v>
      </c>
      <c r="W44" s="44">
        <f>Planning[[#This Row],[Horas Planificadas]]+Planning[[#This Row],[Horas ajustadas adicionales]]</f>
        <v>80</v>
      </c>
      <c r="X44" s="142"/>
    </row>
    <row r="45" spans="1:24" ht="12.75" customHeight="1" x14ac:dyDescent="0.2">
      <c r="A45" s="7"/>
      <c r="B45" s="7"/>
      <c r="C45" s="3"/>
      <c r="D45" s="3" t="s">
        <v>41</v>
      </c>
      <c r="E45" s="33" t="s">
        <v>31</v>
      </c>
      <c r="F45" s="3"/>
      <c r="G45" s="7"/>
      <c r="H45" s="7">
        <v>80</v>
      </c>
      <c r="I45" s="12"/>
      <c r="J45" s="5" t="e">
        <f>+SUMIFS(#REF!,#REF!,Planning[[#This Row],[Tarifa]],#REF!,Planning[[#This Row],[Proyectos]])</f>
        <v>#REF!</v>
      </c>
      <c r="K45" s="5" t="e">
        <f>Planning[[#This Row],[Horas Planificadas]]+Planning[[#This Row],[Horas ajustadas adicionales]]-Planning[[#This Row],[Horas utilizadas]]</f>
        <v>#REF!</v>
      </c>
      <c r="L45" s="7"/>
      <c r="M45" s="19" t="e">
        <f>Planning[[#This Row],[Saldo]]-Planning[[#This Row],[Saldo estimado]]</f>
        <v>#REF!</v>
      </c>
      <c r="N45" s="60" t="e">
        <f>SUM(SUMIFS(#REF!,#REF!,Planning[[#This Row],[Proyectos]],#REF!,Planning[[#This Row],[Tipo de Tarea y especialidad]]),SUMIFS(#REF!,#REF!,Planning[[#This Row],[Proyectos]],#REF!,Planning[[#This Row],[Tipo de Tarea y especialidad]]))</f>
        <v>#REF!</v>
      </c>
      <c r="O45" s="19">
        <f t="shared" si="0"/>
        <v>10</v>
      </c>
      <c r="P45" s="19">
        <f t="shared" si="1"/>
        <v>2024</v>
      </c>
      <c r="Q45" s="19" t="e">
        <f>+SUMIFS(#REF!,#REF!,Planning[[#This Row],[Tarifa]],#REF!,Planning[[#This Row],[Proyectos]],#REF!,Planning[[#This Row],[Mes]],#REF!,Planning[[#This Row],[Año]])</f>
        <v>#REF!</v>
      </c>
      <c r="R45" s="19" t="str">
        <f>TEXT(Planning[[#This Row],[Mes]]*29,"mmmm")</f>
        <v>October</v>
      </c>
      <c r="S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 s="241"/>
      <c r="U45" s="43" t="e">
        <f>IF(Planning[[#This Row],[Horas Planificadas]]&lt;&gt;0,+K45/Planning[[#This Row],[Horas Planificadas]],0)</f>
        <v>#REF!</v>
      </c>
      <c r="V45" s="43" t="e">
        <f>IF(Planning[[#This Row],[Horas Planificadas]]&lt;&gt;0,Planning[[#This Row],[Horas utilizadas]]/Planning[[#This Row],[Horas Planificadas]],0)</f>
        <v>#REF!</v>
      </c>
      <c r="W45" s="44">
        <f>Planning[[#This Row],[Horas Planificadas]]+Planning[[#This Row],[Horas ajustadas adicionales]]</f>
        <v>80</v>
      </c>
      <c r="X45" s="142"/>
    </row>
    <row r="46" spans="1:24" ht="12.75" customHeight="1" x14ac:dyDescent="0.2">
      <c r="A46" s="7"/>
      <c r="B46" s="7"/>
      <c r="C46" s="3"/>
      <c r="D46" s="3" t="s">
        <v>41</v>
      </c>
      <c r="E46" s="33" t="s">
        <v>32</v>
      </c>
      <c r="F46" s="3"/>
      <c r="G46" s="7"/>
      <c r="H46" s="7">
        <v>120</v>
      </c>
      <c r="I46" s="12"/>
      <c r="J46" s="5" t="e">
        <f>+SUMIFS(#REF!,#REF!,Planning[[#This Row],[Tarifa]],#REF!,Planning[[#This Row],[Proyectos]])</f>
        <v>#REF!</v>
      </c>
      <c r="K46" s="5" t="e">
        <f>Planning[[#This Row],[Horas Planificadas]]+Planning[[#This Row],[Horas ajustadas adicionales]]-Planning[[#This Row],[Horas utilizadas]]</f>
        <v>#REF!</v>
      </c>
      <c r="L46" s="7"/>
      <c r="M46" s="19" t="e">
        <f>Planning[[#This Row],[Saldo]]-Planning[[#This Row],[Saldo estimado]]</f>
        <v>#REF!</v>
      </c>
      <c r="N46" s="60" t="e">
        <f>SUM(SUMIFS(#REF!,#REF!,Planning[[#This Row],[Proyectos]],#REF!,Planning[[#This Row],[Tipo de Tarea y especialidad]]),SUMIFS(#REF!,#REF!,Planning[[#This Row],[Proyectos]],#REF!,Planning[[#This Row],[Tipo de Tarea y especialidad]]))</f>
        <v>#REF!</v>
      </c>
      <c r="O46" s="19">
        <f t="shared" si="0"/>
        <v>10</v>
      </c>
      <c r="P46" s="19">
        <f t="shared" si="1"/>
        <v>2024</v>
      </c>
      <c r="Q46" s="19" t="e">
        <f>+SUMIFS(#REF!,#REF!,Planning[[#This Row],[Tarifa]],#REF!,Planning[[#This Row],[Proyectos]],#REF!,Planning[[#This Row],[Mes]],#REF!,Planning[[#This Row],[Año]])</f>
        <v>#REF!</v>
      </c>
      <c r="R46" s="19" t="str">
        <f>TEXT(Planning[[#This Row],[Mes]]*29,"mmmm")</f>
        <v>October</v>
      </c>
      <c r="S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 s="241"/>
      <c r="U46" s="43" t="e">
        <f>IF(Planning[[#This Row],[Horas Planificadas]]&lt;&gt;0,+K46/Planning[[#This Row],[Horas Planificadas]],0)</f>
        <v>#REF!</v>
      </c>
      <c r="V46" s="43" t="e">
        <f>IF(Planning[[#This Row],[Horas Planificadas]]&lt;&gt;0,Planning[[#This Row],[Horas utilizadas]]/Planning[[#This Row],[Horas Planificadas]],0)</f>
        <v>#REF!</v>
      </c>
      <c r="W46" s="44">
        <f>Planning[[#This Row],[Horas Planificadas]]+Planning[[#This Row],[Horas ajustadas adicionales]]</f>
        <v>120</v>
      </c>
      <c r="X46" s="142"/>
    </row>
    <row r="47" spans="1:24" ht="12.75" customHeight="1" x14ac:dyDescent="0.2">
      <c r="A47" s="7"/>
      <c r="B47" s="7"/>
      <c r="C47" s="3"/>
      <c r="D47" s="3" t="s">
        <v>42</v>
      </c>
      <c r="E47" s="33" t="s">
        <v>28</v>
      </c>
      <c r="F47" s="3"/>
      <c r="G47" s="7"/>
      <c r="H47" s="7">
        <v>200</v>
      </c>
      <c r="I47" s="12"/>
      <c r="J47" s="5" t="e">
        <f>+SUMIFS(#REF!,#REF!,Planning[[#This Row],[Tarifa]],#REF!,Planning[[#This Row],[Proyectos]])</f>
        <v>#REF!</v>
      </c>
      <c r="K47" s="5" t="e">
        <f>Planning[[#This Row],[Horas Planificadas]]+Planning[[#This Row],[Horas ajustadas adicionales]]-Planning[[#This Row],[Horas utilizadas]]</f>
        <v>#REF!</v>
      </c>
      <c r="L47" s="7"/>
      <c r="M47" s="19" t="e">
        <f>Planning[[#This Row],[Saldo]]-Planning[[#This Row],[Saldo estimado]]</f>
        <v>#REF!</v>
      </c>
      <c r="N47" s="60" t="e">
        <f>SUM(SUMIFS(#REF!,#REF!,Planning[[#This Row],[Proyectos]],#REF!,Planning[[#This Row],[Tipo de Tarea y especialidad]]),SUMIFS(#REF!,#REF!,Planning[[#This Row],[Proyectos]],#REF!,Planning[[#This Row],[Tipo de Tarea y especialidad]]))</f>
        <v>#REF!</v>
      </c>
      <c r="O47" s="19">
        <f t="shared" si="0"/>
        <v>10</v>
      </c>
      <c r="P47" s="19">
        <f t="shared" si="1"/>
        <v>2024</v>
      </c>
      <c r="Q47" s="19" t="e">
        <f>+SUMIFS(#REF!,#REF!,Planning[[#This Row],[Tarifa]],#REF!,Planning[[#This Row],[Proyectos]],#REF!,Planning[[#This Row],[Mes]],#REF!,Planning[[#This Row],[Año]])</f>
        <v>#REF!</v>
      </c>
      <c r="R47" s="19" t="str">
        <f>TEXT(Planning[[#This Row],[Mes]]*29,"mmmm")</f>
        <v>October</v>
      </c>
      <c r="S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 s="241"/>
      <c r="U47" s="43" t="e">
        <f>IF(Planning[[#This Row],[Horas Planificadas]]&lt;&gt;0,+K47/Planning[[#This Row],[Horas Planificadas]],0)</f>
        <v>#REF!</v>
      </c>
      <c r="V47" s="43" t="e">
        <f>IF(Planning[[#This Row],[Horas Planificadas]]&lt;&gt;0,Planning[[#This Row],[Horas utilizadas]]/Planning[[#This Row],[Horas Planificadas]],0)</f>
        <v>#REF!</v>
      </c>
      <c r="W47" s="44">
        <f>Planning[[#This Row],[Horas Planificadas]]+Planning[[#This Row],[Horas ajustadas adicionales]]</f>
        <v>200</v>
      </c>
      <c r="X47" s="142"/>
    </row>
    <row r="48" spans="1:24" ht="12.75" customHeight="1" x14ac:dyDescent="0.2">
      <c r="A48" s="7"/>
      <c r="B48" s="7"/>
      <c r="C48" s="3"/>
      <c r="D48" s="3" t="s">
        <v>42</v>
      </c>
      <c r="E48" s="33" t="s">
        <v>30</v>
      </c>
      <c r="F48" s="3"/>
      <c r="G48" s="7"/>
      <c r="H48" s="7">
        <v>120</v>
      </c>
      <c r="I48" s="12"/>
      <c r="J48" s="5" t="e">
        <f>+SUMIFS(#REF!,#REF!,Planning[[#This Row],[Tarifa]],#REF!,Planning[[#This Row],[Proyectos]])</f>
        <v>#REF!</v>
      </c>
      <c r="K48" s="5" t="e">
        <f>Planning[[#This Row],[Horas Planificadas]]+Planning[[#This Row],[Horas ajustadas adicionales]]-Planning[[#This Row],[Horas utilizadas]]</f>
        <v>#REF!</v>
      </c>
      <c r="L48" s="7"/>
      <c r="M48" s="19" t="e">
        <f>Planning[[#This Row],[Saldo]]-Planning[[#This Row],[Saldo estimado]]</f>
        <v>#REF!</v>
      </c>
      <c r="N48" s="60" t="e">
        <f>SUM(SUMIFS(#REF!,#REF!,Planning[[#This Row],[Proyectos]],#REF!,Planning[[#This Row],[Tipo de Tarea y especialidad]]),SUMIFS(#REF!,#REF!,Planning[[#This Row],[Proyectos]],#REF!,Planning[[#This Row],[Tipo de Tarea y especialidad]]))</f>
        <v>#REF!</v>
      </c>
      <c r="O48" s="19">
        <f t="shared" si="0"/>
        <v>10</v>
      </c>
      <c r="P48" s="19">
        <f t="shared" si="1"/>
        <v>2024</v>
      </c>
      <c r="Q48" s="19" t="e">
        <f>+SUMIFS(#REF!,#REF!,Planning[[#This Row],[Tarifa]],#REF!,Planning[[#This Row],[Proyectos]],#REF!,Planning[[#This Row],[Mes]],#REF!,Planning[[#This Row],[Año]])</f>
        <v>#REF!</v>
      </c>
      <c r="R48" s="19" t="str">
        <f>TEXT(Planning[[#This Row],[Mes]]*29,"mmmm")</f>
        <v>October</v>
      </c>
      <c r="S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 s="241"/>
      <c r="U48" s="43" t="e">
        <f>IF(Planning[[#This Row],[Horas Planificadas]]&lt;&gt;0,+K48/Planning[[#This Row],[Horas Planificadas]],0)</f>
        <v>#REF!</v>
      </c>
      <c r="V48" s="43" t="e">
        <f>IF(Planning[[#This Row],[Horas Planificadas]]&lt;&gt;0,Planning[[#This Row],[Horas utilizadas]]/Planning[[#This Row],[Horas Planificadas]],0)</f>
        <v>#REF!</v>
      </c>
      <c r="W48" s="44">
        <f>Planning[[#This Row],[Horas Planificadas]]+Planning[[#This Row],[Horas ajustadas adicionales]]</f>
        <v>120</v>
      </c>
      <c r="X48" s="142"/>
    </row>
    <row r="49" spans="1:24" ht="12.75" customHeight="1" x14ac:dyDescent="0.2">
      <c r="A49" s="7"/>
      <c r="B49" s="7"/>
      <c r="C49" s="3"/>
      <c r="D49" s="3" t="s">
        <v>42</v>
      </c>
      <c r="E49" s="33" t="s">
        <v>31</v>
      </c>
      <c r="F49" s="3"/>
      <c r="G49" s="7"/>
      <c r="H49" s="7">
        <v>80</v>
      </c>
      <c r="I49" s="12"/>
      <c r="J49" s="5" t="e">
        <f>+SUMIFS(#REF!,#REF!,Planning[[#This Row],[Tarifa]],#REF!,Planning[[#This Row],[Proyectos]])</f>
        <v>#REF!</v>
      </c>
      <c r="K49" s="5" t="e">
        <f>Planning[[#This Row],[Horas Planificadas]]+Planning[[#This Row],[Horas ajustadas adicionales]]-Planning[[#This Row],[Horas utilizadas]]</f>
        <v>#REF!</v>
      </c>
      <c r="L49" s="7"/>
      <c r="M49" s="19" t="e">
        <f>Planning[[#This Row],[Saldo]]-Planning[[#This Row],[Saldo estimado]]</f>
        <v>#REF!</v>
      </c>
      <c r="N49" s="60" t="e">
        <f>SUM(SUMIFS(#REF!,#REF!,Planning[[#This Row],[Proyectos]],#REF!,Planning[[#This Row],[Tipo de Tarea y especialidad]]),SUMIFS(#REF!,#REF!,Planning[[#This Row],[Proyectos]],#REF!,Planning[[#This Row],[Tipo de Tarea y especialidad]]))</f>
        <v>#REF!</v>
      </c>
      <c r="O49" s="19">
        <f t="shared" si="0"/>
        <v>10</v>
      </c>
      <c r="P49" s="19">
        <f t="shared" si="1"/>
        <v>2024</v>
      </c>
      <c r="Q49" s="19" t="e">
        <f>+SUMIFS(#REF!,#REF!,Planning[[#This Row],[Tarifa]],#REF!,Planning[[#This Row],[Proyectos]],#REF!,Planning[[#This Row],[Mes]],#REF!,Planning[[#This Row],[Año]])</f>
        <v>#REF!</v>
      </c>
      <c r="R49" s="19" t="str">
        <f>TEXT(Planning[[#This Row],[Mes]]*29,"mmmm")</f>
        <v>October</v>
      </c>
      <c r="S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 s="241"/>
      <c r="U49" s="43" t="e">
        <f>IF(Planning[[#This Row],[Horas Planificadas]]&lt;&gt;0,+K49/Planning[[#This Row],[Horas Planificadas]],0)</f>
        <v>#REF!</v>
      </c>
      <c r="V49" s="43" t="e">
        <f>IF(Planning[[#This Row],[Horas Planificadas]]&lt;&gt;0,Planning[[#This Row],[Horas utilizadas]]/Planning[[#This Row],[Horas Planificadas]],0)</f>
        <v>#REF!</v>
      </c>
      <c r="W49" s="44">
        <f>Planning[[#This Row],[Horas Planificadas]]+Planning[[#This Row],[Horas ajustadas adicionales]]</f>
        <v>80</v>
      </c>
      <c r="X49" s="142"/>
    </row>
    <row r="50" spans="1:24" ht="12.75" customHeight="1" x14ac:dyDescent="0.2">
      <c r="A50" s="7"/>
      <c r="B50" s="7"/>
      <c r="C50" s="3"/>
      <c r="D50" s="3" t="s">
        <v>42</v>
      </c>
      <c r="E50" s="33" t="s">
        <v>32</v>
      </c>
      <c r="F50" s="3"/>
      <c r="G50" s="7"/>
      <c r="H50" s="7">
        <v>40</v>
      </c>
      <c r="I50" s="12"/>
      <c r="J50" s="5" t="e">
        <f>+SUMIFS(#REF!,#REF!,Planning[[#This Row],[Tarifa]],#REF!,Planning[[#This Row],[Proyectos]])</f>
        <v>#REF!</v>
      </c>
      <c r="K50" s="5" t="e">
        <f>Planning[[#This Row],[Horas Planificadas]]+Planning[[#This Row],[Horas ajustadas adicionales]]-Planning[[#This Row],[Horas utilizadas]]</f>
        <v>#REF!</v>
      </c>
      <c r="L50" s="7"/>
      <c r="M50" s="19" t="e">
        <f>Planning[[#This Row],[Saldo]]-Planning[[#This Row],[Saldo estimado]]</f>
        <v>#REF!</v>
      </c>
      <c r="N50" s="60" t="e">
        <f>SUM(SUMIFS(#REF!,#REF!,Planning[[#This Row],[Proyectos]],#REF!,Planning[[#This Row],[Tipo de Tarea y especialidad]]),SUMIFS(#REF!,#REF!,Planning[[#This Row],[Proyectos]],#REF!,Planning[[#This Row],[Tipo de Tarea y especialidad]]))</f>
        <v>#REF!</v>
      </c>
      <c r="O50" s="19">
        <f t="shared" si="0"/>
        <v>10</v>
      </c>
      <c r="P50" s="19">
        <f t="shared" si="1"/>
        <v>2024</v>
      </c>
      <c r="Q50" s="19" t="e">
        <f>+SUMIFS(#REF!,#REF!,Planning[[#This Row],[Tarifa]],#REF!,Planning[[#This Row],[Proyectos]],#REF!,Planning[[#This Row],[Mes]],#REF!,Planning[[#This Row],[Año]])</f>
        <v>#REF!</v>
      </c>
      <c r="R50" s="19" t="str">
        <f>TEXT(Planning[[#This Row],[Mes]]*29,"mmmm")</f>
        <v>October</v>
      </c>
      <c r="S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 s="241"/>
      <c r="U50" s="43" t="e">
        <f>IF(Planning[[#This Row],[Horas Planificadas]]&lt;&gt;0,+K50/Planning[[#This Row],[Horas Planificadas]],0)</f>
        <v>#REF!</v>
      </c>
      <c r="V50" s="43" t="e">
        <f>IF(Planning[[#This Row],[Horas Planificadas]]&lt;&gt;0,Planning[[#This Row],[Horas utilizadas]]/Planning[[#This Row],[Horas Planificadas]],0)</f>
        <v>#REF!</v>
      </c>
      <c r="W50" s="44">
        <f>Planning[[#This Row],[Horas Planificadas]]+Planning[[#This Row],[Horas ajustadas adicionales]]</f>
        <v>40</v>
      </c>
      <c r="X50" s="142"/>
    </row>
    <row r="51" spans="1:24" ht="12.75" customHeight="1" x14ac:dyDescent="0.2">
      <c r="A51" s="7"/>
      <c r="B51" s="7"/>
      <c r="C51" s="3"/>
      <c r="D51" s="3" t="s">
        <v>43</v>
      </c>
      <c r="E51" s="33" t="s">
        <v>28</v>
      </c>
      <c r="F51" s="3"/>
      <c r="G51" s="7"/>
      <c r="H51" s="7">
        <v>200</v>
      </c>
      <c r="I51" s="12"/>
      <c r="J51" s="5" t="e">
        <f>+SUMIFS(#REF!,#REF!,Planning[[#This Row],[Tarifa]],#REF!,Planning[[#This Row],[Proyectos]])</f>
        <v>#REF!</v>
      </c>
      <c r="K51" s="5" t="e">
        <f>Planning[[#This Row],[Horas Planificadas]]+Planning[[#This Row],[Horas ajustadas adicionales]]-Planning[[#This Row],[Horas utilizadas]]</f>
        <v>#REF!</v>
      </c>
      <c r="L51" s="7"/>
      <c r="M51" s="19" t="e">
        <f>Planning[[#This Row],[Saldo]]-Planning[[#This Row],[Saldo estimado]]</f>
        <v>#REF!</v>
      </c>
      <c r="N51" s="60" t="e">
        <f>SUM(SUMIFS(#REF!,#REF!,Planning[[#This Row],[Proyectos]],#REF!,Planning[[#This Row],[Tipo de Tarea y especialidad]]),SUMIFS(#REF!,#REF!,Planning[[#This Row],[Proyectos]],#REF!,Planning[[#This Row],[Tipo de Tarea y especialidad]]))</f>
        <v>#REF!</v>
      </c>
      <c r="O51" s="19">
        <f t="shared" si="0"/>
        <v>10</v>
      </c>
      <c r="P51" s="19">
        <f t="shared" si="1"/>
        <v>2024</v>
      </c>
      <c r="Q51" s="19" t="e">
        <f>+SUMIFS(#REF!,#REF!,Planning[[#This Row],[Tarifa]],#REF!,Planning[[#This Row],[Proyectos]],#REF!,Planning[[#This Row],[Mes]],#REF!,Planning[[#This Row],[Año]])</f>
        <v>#REF!</v>
      </c>
      <c r="R51" s="19" t="str">
        <f>TEXT(Planning[[#This Row],[Mes]]*29,"mmmm")</f>
        <v>October</v>
      </c>
      <c r="S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 s="241"/>
      <c r="U51" s="43" t="e">
        <f>IF(Planning[[#This Row],[Horas Planificadas]]&lt;&gt;0,+K51/Planning[[#This Row],[Horas Planificadas]],0)</f>
        <v>#REF!</v>
      </c>
      <c r="V51" s="43" t="e">
        <f>IF(Planning[[#This Row],[Horas Planificadas]]&lt;&gt;0,Planning[[#This Row],[Horas utilizadas]]/Planning[[#This Row],[Horas Planificadas]],0)</f>
        <v>#REF!</v>
      </c>
      <c r="W51" s="44">
        <f>Planning[[#This Row],[Horas Planificadas]]+Planning[[#This Row],[Horas ajustadas adicionales]]</f>
        <v>200</v>
      </c>
      <c r="X51" s="142"/>
    </row>
    <row r="52" spans="1:24" ht="12.75" customHeight="1" x14ac:dyDescent="0.2">
      <c r="A52" s="7"/>
      <c r="B52" s="7"/>
      <c r="C52" s="3"/>
      <c r="D52" s="3" t="s">
        <v>43</v>
      </c>
      <c r="E52" s="33" t="s">
        <v>30</v>
      </c>
      <c r="F52" s="3"/>
      <c r="G52" s="7"/>
      <c r="H52" s="7">
        <v>224</v>
      </c>
      <c r="I52" s="12"/>
      <c r="J52" s="5" t="e">
        <f>+SUMIFS(#REF!,#REF!,Planning[[#This Row],[Tarifa]],#REF!,Planning[[#This Row],[Proyectos]])</f>
        <v>#REF!</v>
      </c>
      <c r="K52" s="5" t="e">
        <f>Planning[[#This Row],[Horas Planificadas]]+Planning[[#This Row],[Horas ajustadas adicionales]]-Planning[[#This Row],[Horas utilizadas]]</f>
        <v>#REF!</v>
      </c>
      <c r="L52" s="7"/>
      <c r="M52" s="19" t="e">
        <f>Planning[[#This Row],[Saldo]]-Planning[[#This Row],[Saldo estimado]]</f>
        <v>#REF!</v>
      </c>
      <c r="N52" s="60" t="e">
        <f>SUM(SUMIFS(#REF!,#REF!,Planning[[#This Row],[Proyectos]],#REF!,Planning[[#This Row],[Tipo de Tarea y especialidad]]),SUMIFS(#REF!,#REF!,Planning[[#This Row],[Proyectos]],#REF!,Planning[[#This Row],[Tipo de Tarea y especialidad]]))</f>
        <v>#REF!</v>
      </c>
      <c r="O52" s="19">
        <f t="shared" si="0"/>
        <v>10</v>
      </c>
      <c r="P52" s="19">
        <f t="shared" si="1"/>
        <v>2024</v>
      </c>
      <c r="Q52" s="19" t="e">
        <f>+SUMIFS(#REF!,#REF!,Planning[[#This Row],[Tarifa]],#REF!,Planning[[#This Row],[Proyectos]],#REF!,Planning[[#This Row],[Mes]],#REF!,Planning[[#This Row],[Año]])</f>
        <v>#REF!</v>
      </c>
      <c r="R52" s="19" t="str">
        <f>TEXT(Planning[[#This Row],[Mes]]*29,"mmmm")</f>
        <v>October</v>
      </c>
      <c r="S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 s="241"/>
      <c r="U52" s="43" t="e">
        <f>IF(Planning[[#This Row],[Horas Planificadas]]&lt;&gt;0,+K52/Planning[[#This Row],[Horas Planificadas]],0)</f>
        <v>#REF!</v>
      </c>
      <c r="V52" s="43" t="e">
        <f>IF(Planning[[#This Row],[Horas Planificadas]]&lt;&gt;0,Planning[[#This Row],[Horas utilizadas]]/Planning[[#This Row],[Horas Planificadas]],0)</f>
        <v>#REF!</v>
      </c>
      <c r="W52" s="44">
        <f>Planning[[#This Row],[Horas Planificadas]]+Planning[[#This Row],[Horas ajustadas adicionales]]</f>
        <v>224</v>
      </c>
      <c r="X52" s="142"/>
    </row>
    <row r="53" spans="1:24" ht="12.75" customHeight="1" x14ac:dyDescent="0.2">
      <c r="A53" s="7"/>
      <c r="B53" s="7"/>
      <c r="C53" s="3"/>
      <c r="D53" s="3" t="s">
        <v>43</v>
      </c>
      <c r="E53" s="33" t="s">
        <v>31</v>
      </c>
      <c r="F53" s="3"/>
      <c r="G53" s="7"/>
      <c r="H53" s="7">
        <v>144</v>
      </c>
      <c r="I53" s="12"/>
      <c r="J53" s="5" t="e">
        <f>+SUMIFS(#REF!,#REF!,Planning[[#This Row],[Tarifa]],#REF!,Planning[[#This Row],[Proyectos]])</f>
        <v>#REF!</v>
      </c>
      <c r="K53" s="5" t="e">
        <f>Planning[[#This Row],[Horas Planificadas]]+Planning[[#This Row],[Horas ajustadas adicionales]]-Planning[[#This Row],[Horas utilizadas]]</f>
        <v>#REF!</v>
      </c>
      <c r="L53" s="7"/>
      <c r="M53" s="19" t="e">
        <f>Planning[[#This Row],[Saldo]]-Planning[[#This Row],[Saldo estimado]]</f>
        <v>#REF!</v>
      </c>
      <c r="N53" s="60" t="e">
        <f>SUM(SUMIFS(#REF!,#REF!,Planning[[#This Row],[Proyectos]],#REF!,Planning[[#This Row],[Tipo de Tarea y especialidad]]),SUMIFS(#REF!,#REF!,Planning[[#This Row],[Proyectos]],#REF!,Planning[[#This Row],[Tipo de Tarea y especialidad]]))</f>
        <v>#REF!</v>
      </c>
      <c r="O53" s="19">
        <f t="shared" si="0"/>
        <v>10</v>
      </c>
      <c r="P53" s="19">
        <f t="shared" si="1"/>
        <v>2024</v>
      </c>
      <c r="Q53" s="19" t="e">
        <f>+SUMIFS(#REF!,#REF!,Planning[[#This Row],[Tarifa]],#REF!,Planning[[#This Row],[Proyectos]],#REF!,Planning[[#This Row],[Mes]],#REF!,Planning[[#This Row],[Año]])</f>
        <v>#REF!</v>
      </c>
      <c r="R53" s="19" t="str">
        <f>TEXT(Planning[[#This Row],[Mes]]*29,"mmmm")</f>
        <v>October</v>
      </c>
      <c r="S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 s="241"/>
      <c r="U53" s="43" t="e">
        <f>IF(Planning[[#This Row],[Horas Planificadas]]&lt;&gt;0,+K53/Planning[[#This Row],[Horas Planificadas]],0)</f>
        <v>#REF!</v>
      </c>
      <c r="V53" s="43" t="e">
        <f>IF(Planning[[#This Row],[Horas Planificadas]]&lt;&gt;0,Planning[[#This Row],[Horas utilizadas]]/Planning[[#This Row],[Horas Planificadas]],0)</f>
        <v>#REF!</v>
      </c>
      <c r="W53" s="44">
        <f>Planning[[#This Row],[Horas Planificadas]]+Planning[[#This Row],[Horas ajustadas adicionales]]</f>
        <v>144</v>
      </c>
      <c r="X53" s="142"/>
    </row>
    <row r="54" spans="1:24" ht="12.75" customHeight="1" x14ac:dyDescent="0.2">
      <c r="A54" s="7"/>
      <c r="B54" s="7"/>
      <c r="C54" s="3"/>
      <c r="D54" s="3" t="s">
        <v>43</v>
      </c>
      <c r="E54" s="33" t="s">
        <v>32</v>
      </c>
      <c r="F54" s="3"/>
      <c r="G54" s="7"/>
      <c r="H54" s="7">
        <v>104</v>
      </c>
      <c r="I54" s="12"/>
      <c r="J54" s="5" t="e">
        <f>+SUMIFS(#REF!,#REF!,Planning[[#This Row],[Tarifa]],#REF!,Planning[[#This Row],[Proyectos]])</f>
        <v>#REF!</v>
      </c>
      <c r="K54" s="5" t="e">
        <f>Planning[[#This Row],[Horas Planificadas]]+Planning[[#This Row],[Horas ajustadas adicionales]]-Planning[[#This Row],[Horas utilizadas]]</f>
        <v>#REF!</v>
      </c>
      <c r="L54" s="7"/>
      <c r="M54" s="19" t="e">
        <f>Planning[[#This Row],[Saldo]]-Planning[[#This Row],[Saldo estimado]]</f>
        <v>#REF!</v>
      </c>
      <c r="N54" s="60" t="e">
        <f>SUM(SUMIFS(#REF!,#REF!,Planning[[#This Row],[Proyectos]],#REF!,Planning[[#This Row],[Tipo de Tarea y especialidad]]),SUMIFS(#REF!,#REF!,Planning[[#This Row],[Proyectos]],#REF!,Planning[[#This Row],[Tipo de Tarea y especialidad]]))</f>
        <v>#REF!</v>
      </c>
      <c r="O54" s="19">
        <f t="shared" si="0"/>
        <v>10</v>
      </c>
      <c r="P54" s="19">
        <f t="shared" si="1"/>
        <v>2024</v>
      </c>
      <c r="Q54" s="19" t="e">
        <f>+SUMIFS(#REF!,#REF!,Planning[[#This Row],[Tarifa]],#REF!,Planning[[#This Row],[Proyectos]],#REF!,Planning[[#This Row],[Mes]],#REF!,Planning[[#This Row],[Año]])</f>
        <v>#REF!</v>
      </c>
      <c r="R54" s="19" t="str">
        <f>TEXT(Planning[[#This Row],[Mes]]*29,"mmmm")</f>
        <v>October</v>
      </c>
      <c r="S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 s="241"/>
      <c r="U54" s="43" t="e">
        <f>IF(Planning[[#This Row],[Horas Planificadas]]&lt;&gt;0,+K54/Planning[[#This Row],[Horas Planificadas]],0)</f>
        <v>#REF!</v>
      </c>
      <c r="V54" s="43" t="e">
        <f>IF(Planning[[#This Row],[Horas Planificadas]]&lt;&gt;0,Planning[[#This Row],[Horas utilizadas]]/Planning[[#This Row],[Horas Planificadas]],0)</f>
        <v>#REF!</v>
      </c>
      <c r="W54" s="44">
        <f>Planning[[#This Row],[Horas Planificadas]]+Planning[[#This Row],[Horas ajustadas adicionales]]</f>
        <v>104</v>
      </c>
      <c r="X54" s="142"/>
    </row>
    <row r="55" spans="1:24" ht="12.75" customHeight="1" x14ac:dyDescent="0.2">
      <c r="A55" s="7"/>
      <c r="B55" s="7"/>
      <c r="C55" s="3"/>
      <c r="D55" s="3" t="s">
        <v>44</v>
      </c>
      <c r="E55" s="33" t="s">
        <v>28</v>
      </c>
      <c r="F55" s="3"/>
      <c r="G55" s="7"/>
      <c r="H55" s="7">
        <v>140</v>
      </c>
      <c r="I55" s="12"/>
      <c r="J55" s="5" t="e">
        <f>+SUMIFS(#REF!,#REF!,Planning[[#This Row],[Tarifa]],#REF!,Planning[[#This Row],[Proyectos]])</f>
        <v>#REF!</v>
      </c>
      <c r="K55" s="5" t="e">
        <f>Planning[[#This Row],[Horas Planificadas]]+Planning[[#This Row],[Horas ajustadas adicionales]]-Planning[[#This Row],[Horas utilizadas]]</f>
        <v>#REF!</v>
      </c>
      <c r="L55" s="7"/>
      <c r="M55" s="19" t="e">
        <f>Planning[[#This Row],[Saldo]]-Planning[[#This Row],[Saldo estimado]]</f>
        <v>#REF!</v>
      </c>
      <c r="N55" s="60" t="e">
        <f>SUM(SUMIFS(#REF!,#REF!,Planning[[#This Row],[Proyectos]],#REF!,Planning[[#This Row],[Tipo de Tarea y especialidad]]),SUMIFS(#REF!,#REF!,Planning[[#This Row],[Proyectos]],#REF!,Planning[[#This Row],[Tipo de Tarea y especialidad]]))</f>
        <v>#REF!</v>
      </c>
      <c r="O55" s="19">
        <f t="shared" si="0"/>
        <v>10</v>
      </c>
      <c r="P55" s="19">
        <f t="shared" si="1"/>
        <v>2024</v>
      </c>
      <c r="Q55" s="19" t="e">
        <f>+SUMIFS(#REF!,#REF!,Planning[[#This Row],[Tarifa]],#REF!,Planning[[#This Row],[Proyectos]],#REF!,Planning[[#This Row],[Mes]],#REF!,Planning[[#This Row],[Año]])</f>
        <v>#REF!</v>
      </c>
      <c r="R55" s="19" t="str">
        <f>TEXT(Planning[[#This Row],[Mes]]*29,"mmmm")</f>
        <v>October</v>
      </c>
      <c r="S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 s="241"/>
      <c r="U55" s="43" t="e">
        <f>IF(Planning[[#This Row],[Horas Planificadas]]&lt;&gt;0,+K55/Planning[[#This Row],[Horas Planificadas]],0)</f>
        <v>#REF!</v>
      </c>
      <c r="V55" s="43" t="e">
        <f>IF(Planning[[#This Row],[Horas Planificadas]]&lt;&gt;0,Planning[[#This Row],[Horas utilizadas]]/Planning[[#This Row],[Horas Planificadas]],0)</f>
        <v>#REF!</v>
      </c>
      <c r="W55" s="44">
        <f>Planning[[#This Row],[Horas Planificadas]]+Planning[[#This Row],[Horas ajustadas adicionales]]</f>
        <v>140</v>
      </c>
      <c r="X55" s="142"/>
    </row>
    <row r="56" spans="1:24" ht="12.75" customHeight="1" x14ac:dyDescent="0.2">
      <c r="A56" s="7"/>
      <c r="B56" s="7"/>
      <c r="C56" s="3"/>
      <c r="D56" s="3" t="s">
        <v>44</v>
      </c>
      <c r="E56" s="33" t="s">
        <v>30</v>
      </c>
      <c r="F56" s="3"/>
      <c r="G56" s="7"/>
      <c r="H56" s="7">
        <v>296</v>
      </c>
      <c r="I56" s="12"/>
      <c r="J56" s="5" t="e">
        <f>+SUMIFS(#REF!,#REF!,Planning[[#This Row],[Tarifa]],#REF!,Planning[[#This Row],[Proyectos]])</f>
        <v>#REF!</v>
      </c>
      <c r="K56" s="5" t="e">
        <f>Planning[[#This Row],[Horas Planificadas]]+Planning[[#This Row],[Horas ajustadas adicionales]]-Planning[[#This Row],[Horas utilizadas]]</f>
        <v>#REF!</v>
      </c>
      <c r="L56" s="7"/>
      <c r="M56" s="19" t="e">
        <f>Planning[[#This Row],[Saldo]]-Planning[[#This Row],[Saldo estimado]]</f>
        <v>#REF!</v>
      </c>
      <c r="N56" s="60" t="e">
        <f>SUM(SUMIFS(#REF!,#REF!,Planning[[#This Row],[Proyectos]],#REF!,Planning[[#This Row],[Tipo de Tarea y especialidad]]),SUMIFS(#REF!,#REF!,Planning[[#This Row],[Proyectos]],#REF!,Planning[[#This Row],[Tipo de Tarea y especialidad]]))</f>
        <v>#REF!</v>
      </c>
      <c r="O56" s="19">
        <f t="shared" si="0"/>
        <v>10</v>
      </c>
      <c r="P56" s="19">
        <f t="shared" si="1"/>
        <v>2024</v>
      </c>
      <c r="Q56" s="19" t="e">
        <f>+SUMIFS(#REF!,#REF!,Planning[[#This Row],[Tarifa]],#REF!,Planning[[#This Row],[Proyectos]],#REF!,Planning[[#This Row],[Mes]],#REF!,Planning[[#This Row],[Año]])</f>
        <v>#REF!</v>
      </c>
      <c r="R56" s="19" t="str">
        <f>TEXT(Planning[[#This Row],[Mes]]*29,"mmmm")</f>
        <v>October</v>
      </c>
      <c r="S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 s="241"/>
      <c r="U56" s="43" t="e">
        <f>IF(Planning[[#This Row],[Horas Planificadas]]&lt;&gt;0,+K56/Planning[[#This Row],[Horas Planificadas]],0)</f>
        <v>#REF!</v>
      </c>
      <c r="V56" s="43" t="e">
        <f>IF(Planning[[#This Row],[Horas Planificadas]]&lt;&gt;0,Planning[[#This Row],[Horas utilizadas]]/Planning[[#This Row],[Horas Planificadas]],0)</f>
        <v>#REF!</v>
      </c>
      <c r="W56" s="44">
        <f>Planning[[#This Row],[Horas Planificadas]]+Planning[[#This Row],[Horas ajustadas adicionales]]</f>
        <v>296</v>
      </c>
      <c r="X56" s="142"/>
    </row>
    <row r="57" spans="1:24" ht="12.75" customHeight="1" x14ac:dyDescent="0.2">
      <c r="A57" s="7"/>
      <c r="B57" s="7"/>
      <c r="C57" s="3"/>
      <c r="D57" s="3" t="s">
        <v>44</v>
      </c>
      <c r="E57" s="33" t="s">
        <v>31</v>
      </c>
      <c r="F57" s="3"/>
      <c r="G57" s="7"/>
      <c r="H57" s="7">
        <v>48</v>
      </c>
      <c r="I57" s="12"/>
      <c r="J57" s="5" t="e">
        <f>+SUMIFS(#REF!,#REF!,Planning[[#This Row],[Tarifa]],#REF!,Planning[[#This Row],[Proyectos]])</f>
        <v>#REF!</v>
      </c>
      <c r="K57" s="5" t="e">
        <f>Planning[[#This Row],[Horas Planificadas]]+Planning[[#This Row],[Horas ajustadas adicionales]]-Planning[[#This Row],[Horas utilizadas]]</f>
        <v>#REF!</v>
      </c>
      <c r="L57" s="7"/>
      <c r="M57" s="19" t="e">
        <f>Planning[[#This Row],[Saldo]]-Planning[[#This Row],[Saldo estimado]]</f>
        <v>#REF!</v>
      </c>
      <c r="N57" s="60" t="e">
        <f>SUM(SUMIFS(#REF!,#REF!,Planning[[#This Row],[Proyectos]],#REF!,Planning[[#This Row],[Tipo de Tarea y especialidad]]),SUMIFS(#REF!,#REF!,Planning[[#This Row],[Proyectos]],#REF!,Planning[[#This Row],[Tipo de Tarea y especialidad]]))</f>
        <v>#REF!</v>
      </c>
      <c r="O57" s="19">
        <f t="shared" si="0"/>
        <v>10</v>
      </c>
      <c r="P57" s="19">
        <f t="shared" si="1"/>
        <v>2024</v>
      </c>
      <c r="Q57" s="19" t="e">
        <f>+SUMIFS(#REF!,#REF!,Planning[[#This Row],[Tarifa]],#REF!,Planning[[#This Row],[Proyectos]],#REF!,Planning[[#This Row],[Mes]],#REF!,Planning[[#This Row],[Año]])</f>
        <v>#REF!</v>
      </c>
      <c r="R57" s="19" t="str">
        <f>TEXT(Planning[[#This Row],[Mes]]*29,"mmmm")</f>
        <v>October</v>
      </c>
      <c r="S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 s="241"/>
      <c r="U57" s="43" t="e">
        <f>IF(Planning[[#This Row],[Horas Planificadas]]&lt;&gt;0,+K57/Planning[[#This Row],[Horas Planificadas]],0)</f>
        <v>#REF!</v>
      </c>
      <c r="V57" s="43" t="e">
        <f>IF(Planning[[#This Row],[Horas Planificadas]]&lt;&gt;0,Planning[[#This Row],[Horas utilizadas]]/Planning[[#This Row],[Horas Planificadas]],0)</f>
        <v>#REF!</v>
      </c>
      <c r="W57" s="44">
        <f>Planning[[#This Row],[Horas Planificadas]]+Planning[[#This Row],[Horas ajustadas adicionales]]</f>
        <v>48</v>
      </c>
      <c r="X57" s="142"/>
    </row>
    <row r="58" spans="1:24" ht="12.75" customHeight="1" x14ac:dyDescent="0.2">
      <c r="A58" s="7"/>
      <c r="B58" s="7"/>
      <c r="C58" s="3"/>
      <c r="D58" s="3" t="s">
        <v>44</v>
      </c>
      <c r="E58" s="33" t="s">
        <v>32</v>
      </c>
      <c r="F58" s="3"/>
      <c r="G58" s="7"/>
      <c r="H58" s="7">
        <v>90</v>
      </c>
      <c r="I58" s="12"/>
      <c r="J58" s="5" t="e">
        <f>+SUMIFS(#REF!,#REF!,Planning[[#This Row],[Tarifa]],#REF!,Planning[[#This Row],[Proyectos]])</f>
        <v>#REF!</v>
      </c>
      <c r="K58" s="5" t="e">
        <f>Planning[[#This Row],[Horas Planificadas]]+Planning[[#This Row],[Horas ajustadas adicionales]]-Planning[[#This Row],[Horas utilizadas]]</f>
        <v>#REF!</v>
      </c>
      <c r="L58" s="7"/>
      <c r="M58" s="19" t="e">
        <f>Planning[[#This Row],[Saldo]]-Planning[[#This Row],[Saldo estimado]]</f>
        <v>#REF!</v>
      </c>
      <c r="N58" s="60" t="e">
        <f>SUM(SUMIFS(#REF!,#REF!,Planning[[#This Row],[Proyectos]],#REF!,Planning[[#This Row],[Tipo de Tarea y especialidad]]),SUMIFS(#REF!,#REF!,Planning[[#This Row],[Proyectos]],#REF!,Planning[[#This Row],[Tipo de Tarea y especialidad]]))</f>
        <v>#REF!</v>
      </c>
      <c r="O58" s="19">
        <f t="shared" si="0"/>
        <v>10</v>
      </c>
      <c r="P58" s="19">
        <f t="shared" si="1"/>
        <v>2024</v>
      </c>
      <c r="Q58" s="19" t="e">
        <f>+SUMIFS(#REF!,#REF!,Planning[[#This Row],[Tarifa]],#REF!,Planning[[#This Row],[Proyectos]],#REF!,Planning[[#This Row],[Mes]],#REF!,Planning[[#This Row],[Año]])</f>
        <v>#REF!</v>
      </c>
      <c r="R58" s="19" t="str">
        <f>TEXT(Planning[[#This Row],[Mes]]*29,"mmmm")</f>
        <v>October</v>
      </c>
      <c r="S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 s="241"/>
      <c r="U58" s="43" t="e">
        <f>IF(Planning[[#This Row],[Horas Planificadas]]&lt;&gt;0,+K58/Planning[[#This Row],[Horas Planificadas]],0)</f>
        <v>#REF!</v>
      </c>
      <c r="V58" s="43" t="e">
        <f>IF(Planning[[#This Row],[Horas Planificadas]]&lt;&gt;0,Planning[[#This Row],[Horas utilizadas]]/Planning[[#This Row],[Horas Planificadas]],0)</f>
        <v>#REF!</v>
      </c>
      <c r="W58" s="44">
        <f>Planning[[#This Row],[Horas Planificadas]]+Planning[[#This Row],[Horas ajustadas adicionales]]</f>
        <v>90</v>
      </c>
      <c r="X58" s="142"/>
    </row>
    <row r="59" spans="1:24" ht="12.75" customHeight="1" x14ac:dyDescent="0.2">
      <c r="A59" s="7"/>
      <c r="B59" s="7"/>
      <c r="C59" s="3"/>
      <c r="D59" s="3" t="s">
        <v>45</v>
      </c>
      <c r="E59" s="33" t="s">
        <v>28</v>
      </c>
      <c r="F59" s="3"/>
      <c r="G59" s="7"/>
      <c r="H59" s="7">
        <v>320</v>
      </c>
      <c r="I59" s="12"/>
      <c r="J59" s="5" t="e">
        <f>+SUMIFS(#REF!,#REF!,Planning[[#This Row],[Tarifa]],#REF!,Planning[[#This Row],[Proyectos]])</f>
        <v>#REF!</v>
      </c>
      <c r="K59" s="5" t="e">
        <f>Planning[[#This Row],[Horas Planificadas]]+Planning[[#This Row],[Horas ajustadas adicionales]]-Planning[[#This Row],[Horas utilizadas]]</f>
        <v>#REF!</v>
      </c>
      <c r="L59" s="7"/>
      <c r="M59" s="19" t="e">
        <f>Planning[[#This Row],[Saldo]]-Planning[[#This Row],[Saldo estimado]]</f>
        <v>#REF!</v>
      </c>
      <c r="N59" s="60" t="e">
        <f>SUM(SUMIFS(#REF!,#REF!,Planning[[#This Row],[Proyectos]],#REF!,Planning[[#This Row],[Tipo de Tarea y especialidad]]),SUMIFS(#REF!,#REF!,Planning[[#This Row],[Proyectos]],#REF!,Planning[[#This Row],[Tipo de Tarea y especialidad]]))</f>
        <v>#REF!</v>
      </c>
      <c r="O59" s="19">
        <f t="shared" si="0"/>
        <v>10</v>
      </c>
      <c r="P59" s="19">
        <f t="shared" si="1"/>
        <v>2024</v>
      </c>
      <c r="Q59" s="19" t="e">
        <f>+SUMIFS(#REF!,#REF!,Planning[[#This Row],[Tarifa]],#REF!,Planning[[#This Row],[Proyectos]],#REF!,Planning[[#This Row],[Mes]],#REF!,Planning[[#This Row],[Año]])</f>
        <v>#REF!</v>
      </c>
      <c r="R59" s="19" t="str">
        <f>TEXT(Planning[[#This Row],[Mes]]*29,"mmmm")</f>
        <v>October</v>
      </c>
      <c r="S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 s="241"/>
      <c r="U59" s="43" t="e">
        <f>IF(Planning[[#This Row],[Horas Planificadas]]&lt;&gt;0,+K59/Planning[[#This Row],[Horas Planificadas]],0)</f>
        <v>#REF!</v>
      </c>
      <c r="V59" s="43" t="e">
        <f>IF(Planning[[#This Row],[Horas Planificadas]]&lt;&gt;0,Planning[[#This Row],[Horas utilizadas]]/Planning[[#This Row],[Horas Planificadas]],0)</f>
        <v>#REF!</v>
      </c>
      <c r="W59" s="44">
        <f>Planning[[#This Row],[Horas Planificadas]]+Planning[[#This Row],[Horas ajustadas adicionales]]</f>
        <v>320</v>
      </c>
      <c r="X59" s="142"/>
    </row>
    <row r="60" spans="1:24" ht="12.75" customHeight="1" x14ac:dyDescent="0.2">
      <c r="A60" s="7"/>
      <c r="B60" s="7"/>
      <c r="C60" s="3"/>
      <c r="D60" s="3" t="s">
        <v>45</v>
      </c>
      <c r="E60" s="33" t="s">
        <v>30</v>
      </c>
      <c r="F60" s="3"/>
      <c r="G60" s="7"/>
      <c r="H60" s="7">
        <v>367</v>
      </c>
      <c r="I60" s="12"/>
      <c r="J60" s="5" t="e">
        <f>+SUMIFS(#REF!,#REF!,Planning[[#This Row],[Tarifa]],#REF!,Planning[[#This Row],[Proyectos]])</f>
        <v>#REF!</v>
      </c>
      <c r="K60" s="5" t="e">
        <f>Planning[[#This Row],[Horas Planificadas]]+Planning[[#This Row],[Horas ajustadas adicionales]]-Planning[[#This Row],[Horas utilizadas]]</f>
        <v>#REF!</v>
      </c>
      <c r="L60" s="7"/>
      <c r="M60" s="19" t="e">
        <f>Planning[[#This Row],[Saldo]]-Planning[[#This Row],[Saldo estimado]]</f>
        <v>#REF!</v>
      </c>
      <c r="N60" s="60" t="e">
        <f>SUM(SUMIFS(#REF!,#REF!,Planning[[#This Row],[Proyectos]],#REF!,Planning[[#This Row],[Tipo de Tarea y especialidad]]),SUMIFS(#REF!,#REF!,Planning[[#This Row],[Proyectos]],#REF!,Planning[[#This Row],[Tipo de Tarea y especialidad]]))</f>
        <v>#REF!</v>
      </c>
      <c r="O60" s="19">
        <f t="shared" si="0"/>
        <v>10</v>
      </c>
      <c r="P60" s="19">
        <f t="shared" si="1"/>
        <v>2024</v>
      </c>
      <c r="Q60" s="19" t="e">
        <f>+SUMIFS(#REF!,#REF!,Planning[[#This Row],[Tarifa]],#REF!,Planning[[#This Row],[Proyectos]],#REF!,Planning[[#This Row],[Mes]],#REF!,Planning[[#This Row],[Año]])</f>
        <v>#REF!</v>
      </c>
      <c r="R60" s="19" t="str">
        <f>TEXT(Planning[[#This Row],[Mes]]*29,"mmmm")</f>
        <v>October</v>
      </c>
      <c r="S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 s="241"/>
      <c r="U60" s="43" t="e">
        <f>IF(Planning[[#This Row],[Horas Planificadas]]&lt;&gt;0,+K60/Planning[[#This Row],[Horas Planificadas]],0)</f>
        <v>#REF!</v>
      </c>
      <c r="V60" s="43" t="e">
        <f>IF(Planning[[#This Row],[Horas Planificadas]]&lt;&gt;0,Planning[[#This Row],[Horas utilizadas]]/Planning[[#This Row],[Horas Planificadas]],0)</f>
        <v>#REF!</v>
      </c>
      <c r="W60" s="44">
        <f>Planning[[#This Row],[Horas Planificadas]]+Planning[[#This Row],[Horas ajustadas adicionales]]</f>
        <v>367</v>
      </c>
      <c r="X60" s="142"/>
    </row>
    <row r="61" spans="1:24" ht="12.75" customHeight="1" x14ac:dyDescent="0.2">
      <c r="A61" s="7"/>
      <c r="B61" s="7"/>
      <c r="C61" s="3"/>
      <c r="D61" s="3" t="s">
        <v>45</v>
      </c>
      <c r="E61" s="33" t="s">
        <v>31</v>
      </c>
      <c r="F61" s="3"/>
      <c r="G61" s="7"/>
      <c r="H61" s="7">
        <v>260</v>
      </c>
      <c r="I61" s="12"/>
      <c r="J61" s="5" t="e">
        <f>+SUMIFS(#REF!,#REF!,Planning[[#This Row],[Tarifa]],#REF!,Planning[[#This Row],[Proyectos]])</f>
        <v>#REF!</v>
      </c>
      <c r="K61" s="5" t="e">
        <f>Planning[[#This Row],[Horas Planificadas]]+Planning[[#This Row],[Horas ajustadas adicionales]]-Planning[[#This Row],[Horas utilizadas]]</f>
        <v>#REF!</v>
      </c>
      <c r="L61" s="7"/>
      <c r="M61" s="19" t="e">
        <f>Planning[[#This Row],[Saldo]]-Planning[[#This Row],[Saldo estimado]]</f>
        <v>#REF!</v>
      </c>
      <c r="N61" s="60" t="e">
        <f>SUM(SUMIFS(#REF!,#REF!,Planning[[#This Row],[Proyectos]],#REF!,Planning[[#This Row],[Tipo de Tarea y especialidad]]),SUMIFS(#REF!,#REF!,Planning[[#This Row],[Proyectos]],#REF!,Planning[[#This Row],[Tipo de Tarea y especialidad]]))</f>
        <v>#REF!</v>
      </c>
      <c r="O61" s="19">
        <f t="shared" si="0"/>
        <v>10</v>
      </c>
      <c r="P61" s="19">
        <f t="shared" si="1"/>
        <v>2024</v>
      </c>
      <c r="Q61" s="19" t="e">
        <f>+SUMIFS(#REF!,#REF!,Planning[[#This Row],[Tarifa]],#REF!,Planning[[#This Row],[Proyectos]],#REF!,Planning[[#This Row],[Mes]],#REF!,Planning[[#This Row],[Año]])</f>
        <v>#REF!</v>
      </c>
      <c r="R61" s="19" t="str">
        <f>TEXT(Planning[[#This Row],[Mes]]*29,"mmmm")</f>
        <v>October</v>
      </c>
      <c r="S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1" s="241"/>
      <c r="U61" s="43" t="e">
        <f>IF(Planning[[#This Row],[Horas Planificadas]]&lt;&gt;0,+K61/Planning[[#This Row],[Horas Planificadas]],0)</f>
        <v>#REF!</v>
      </c>
      <c r="V61" s="43" t="e">
        <f>IF(Planning[[#This Row],[Horas Planificadas]]&lt;&gt;0,Planning[[#This Row],[Horas utilizadas]]/Planning[[#This Row],[Horas Planificadas]],0)</f>
        <v>#REF!</v>
      </c>
      <c r="W61" s="44">
        <f>Planning[[#This Row],[Horas Planificadas]]+Planning[[#This Row],[Horas ajustadas adicionales]]</f>
        <v>260</v>
      </c>
      <c r="X61" s="142"/>
    </row>
    <row r="62" spans="1:24" ht="12.75" customHeight="1" x14ac:dyDescent="0.2">
      <c r="A62" s="7"/>
      <c r="B62" s="7"/>
      <c r="C62" s="3"/>
      <c r="D62" s="3" t="s">
        <v>45</v>
      </c>
      <c r="E62" s="33" t="s">
        <v>32</v>
      </c>
      <c r="F62" s="3"/>
      <c r="G62" s="7"/>
      <c r="H62" s="7">
        <v>80</v>
      </c>
      <c r="I62" s="12"/>
      <c r="J62" s="5" t="e">
        <f>+SUMIFS(#REF!,#REF!,Planning[[#This Row],[Tarifa]],#REF!,Planning[[#This Row],[Proyectos]])</f>
        <v>#REF!</v>
      </c>
      <c r="K62" s="5" t="e">
        <f>Planning[[#This Row],[Horas Planificadas]]+Planning[[#This Row],[Horas ajustadas adicionales]]-Planning[[#This Row],[Horas utilizadas]]</f>
        <v>#REF!</v>
      </c>
      <c r="L62" s="7"/>
      <c r="M62" s="19" t="e">
        <f>Planning[[#This Row],[Saldo]]-Planning[[#This Row],[Saldo estimado]]</f>
        <v>#REF!</v>
      </c>
      <c r="N62" s="60" t="e">
        <f>SUM(SUMIFS(#REF!,#REF!,Planning[[#This Row],[Proyectos]],#REF!,Planning[[#This Row],[Tipo de Tarea y especialidad]]),SUMIFS(#REF!,#REF!,Planning[[#This Row],[Proyectos]],#REF!,Planning[[#This Row],[Tipo de Tarea y especialidad]]))</f>
        <v>#REF!</v>
      </c>
      <c r="O62" s="19">
        <f t="shared" si="0"/>
        <v>10</v>
      </c>
      <c r="P62" s="19">
        <f t="shared" si="1"/>
        <v>2024</v>
      </c>
      <c r="Q62" s="19" t="e">
        <f>+SUMIFS(#REF!,#REF!,Planning[[#This Row],[Tarifa]],#REF!,Planning[[#This Row],[Proyectos]],#REF!,Planning[[#This Row],[Mes]],#REF!,Planning[[#This Row],[Año]])</f>
        <v>#REF!</v>
      </c>
      <c r="R62" s="19" t="str">
        <f>TEXT(Planning[[#This Row],[Mes]]*29,"mmmm")</f>
        <v>October</v>
      </c>
      <c r="S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2" s="241"/>
      <c r="U62" s="43" t="e">
        <f>IF(Planning[[#This Row],[Horas Planificadas]]&lt;&gt;0,+K62/Planning[[#This Row],[Horas Planificadas]],0)</f>
        <v>#REF!</v>
      </c>
      <c r="V62" s="43" t="e">
        <f>IF(Planning[[#This Row],[Horas Planificadas]]&lt;&gt;0,Planning[[#This Row],[Horas utilizadas]]/Planning[[#This Row],[Horas Planificadas]],0)</f>
        <v>#REF!</v>
      </c>
      <c r="W62" s="44">
        <f>Planning[[#This Row],[Horas Planificadas]]+Planning[[#This Row],[Horas ajustadas adicionales]]</f>
        <v>80</v>
      </c>
      <c r="X62" s="142"/>
    </row>
    <row r="63" spans="1:24" ht="12.75" customHeight="1" x14ac:dyDescent="0.2">
      <c r="A63" s="7"/>
      <c r="B63" s="7"/>
      <c r="C63" s="3"/>
      <c r="D63" s="3" t="s">
        <v>46</v>
      </c>
      <c r="E63" s="33" t="s">
        <v>28</v>
      </c>
      <c r="F63" s="3"/>
      <c r="G63" s="7"/>
      <c r="H63" s="7">
        <v>60</v>
      </c>
      <c r="I63" s="12"/>
      <c r="J63" s="5" t="e">
        <f>+SUMIFS(#REF!,#REF!,Planning[[#This Row],[Tarifa]],#REF!,Planning[[#This Row],[Proyectos]])</f>
        <v>#REF!</v>
      </c>
      <c r="K63" s="5" t="e">
        <f>Planning[[#This Row],[Horas Planificadas]]+Planning[[#This Row],[Horas ajustadas adicionales]]-Planning[[#This Row],[Horas utilizadas]]</f>
        <v>#REF!</v>
      </c>
      <c r="L63" s="7"/>
      <c r="M63" s="19" t="e">
        <f>Planning[[#This Row],[Saldo]]-Planning[[#This Row],[Saldo estimado]]</f>
        <v>#REF!</v>
      </c>
      <c r="N63" s="60" t="e">
        <f>SUM(SUMIFS(#REF!,#REF!,Planning[[#This Row],[Proyectos]],#REF!,Planning[[#This Row],[Tipo de Tarea y especialidad]]),SUMIFS(#REF!,#REF!,Planning[[#This Row],[Proyectos]],#REF!,Planning[[#This Row],[Tipo de Tarea y especialidad]]))</f>
        <v>#REF!</v>
      </c>
      <c r="O63" s="19">
        <f t="shared" si="0"/>
        <v>10</v>
      </c>
      <c r="P63" s="19">
        <f t="shared" si="1"/>
        <v>2024</v>
      </c>
      <c r="Q63" s="19" t="e">
        <f>+SUMIFS(#REF!,#REF!,Planning[[#This Row],[Tarifa]],#REF!,Planning[[#This Row],[Proyectos]],#REF!,Planning[[#This Row],[Mes]],#REF!,Planning[[#This Row],[Año]])</f>
        <v>#REF!</v>
      </c>
      <c r="R63" s="19" t="str">
        <f>TEXT(Planning[[#This Row],[Mes]]*29,"mmmm")</f>
        <v>October</v>
      </c>
      <c r="S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3" s="241"/>
      <c r="U63" s="43" t="e">
        <f>IF(Planning[[#This Row],[Horas Planificadas]]&lt;&gt;0,+K63/Planning[[#This Row],[Horas Planificadas]],0)</f>
        <v>#REF!</v>
      </c>
      <c r="V63" s="43" t="e">
        <f>IF(Planning[[#This Row],[Horas Planificadas]]&lt;&gt;0,Planning[[#This Row],[Horas utilizadas]]/Planning[[#This Row],[Horas Planificadas]],0)</f>
        <v>#REF!</v>
      </c>
      <c r="W63" s="44">
        <f>Planning[[#This Row],[Horas Planificadas]]+Planning[[#This Row],[Horas ajustadas adicionales]]</f>
        <v>60</v>
      </c>
      <c r="X63" s="142"/>
    </row>
    <row r="64" spans="1:24" ht="12.75" customHeight="1" x14ac:dyDescent="0.2">
      <c r="A64" s="7"/>
      <c r="B64" s="7"/>
      <c r="C64" s="3"/>
      <c r="D64" s="3" t="s">
        <v>46</v>
      </c>
      <c r="E64" s="33" t="s">
        <v>30</v>
      </c>
      <c r="F64" s="3"/>
      <c r="G64" s="7"/>
      <c r="H64" s="7">
        <v>120</v>
      </c>
      <c r="I64" s="12"/>
      <c r="J64" s="5" t="e">
        <f>+SUMIFS(#REF!,#REF!,Planning[[#This Row],[Tarifa]],#REF!,Planning[[#This Row],[Proyectos]])</f>
        <v>#REF!</v>
      </c>
      <c r="K64" s="5" t="e">
        <f>Planning[[#This Row],[Horas Planificadas]]+Planning[[#This Row],[Horas ajustadas adicionales]]-Planning[[#This Row],[Horas utilizadas]]</f>
        <v>#REF!</v>
      </c>
      <c r="L64" s="7"/>
      <c r="M64" s="19" t="e">
        <f>Planning[[#This Row],[Saldo]]-Planning[[#This Row],[Saldo estimado]]</f>
        <v>#REF!</v>
      </c>
      <c r="N64" s="60" t="e">
        <f>SUM(SUMIFS(#REF!,#REF!,Planning[[#This Row],[Proyectos]],#REF!,Planning[[#This Row],[Tipo de Tarea y especialidad]]),SUMIFS(#REF!,#REF!,Planning[[#This Row],[Proyectos]],#REF!,Planning[[#This Row],[Tipo de Tarea y especialidad]]))</f>
        <v>#REF!</v>
      </c>
      <c r="O64" s="19">
        <f t="shared" si="0"/>
        <v>10</v>
      </c>
      <c r="P64" s="19">
        <f t="shared" si="1"/>
        <v>2024</v>
      </c>
      <c r="Q64" s="19" t="e">
        <f>+SUMIFS(#REF!,#REF!,Planning[[#This Row],[Tarifa]],#REF!,Planning[[#This Row],[Proyectos]],#REF!,Planning[[#This Row],[Mes]],#REF!,Planning[[#This Row],[Año]])</f>
        <v>#REF!</v>
      </c>
      <c r="R64" s="19" t="str">
        <f>TEXT(Planning[[#This Row],[Mes]]*29,"mmmm")</f>
        <v>October</v>
      </c>
      <c r="S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4" s="241"/>
      <c r="U64" s="43" t="e">
        <f>IF(Planning[[#This Row],[Horas Planificadas]]&lt;&gt;0,+K64/Planning[[#This Row],[Horas Planificadas]],0)</f>
        <v>#REF!</v>
      </c>
      <c r="V64" s="43" t="e">
        <f>IF(Planning[[#This Row],[Horas Planificadas]]&lt;&gt;0,Planning[[#This Row],[Horas utilizadas]]/Planning[[#This Row],[Horas Planificadas]],0)</f>
        <v>#REF!</v>
      </c>
      <c r="W64" s="44">
        <f>Planning[[#This Row],[Horas Planificadas]]+Planning[[#This Row],[Horas ajustadas adicionales]]</f>
        <v>120</v>
      </c>
      <c r="X64" s="142"/>
    </row>
    <row r="65" spans="1:24" ht="12.75" customHeight="1" x14ac:dyDescent="0.2">
      <c r="A65" s="7"/>
      <c r="B65" s="7"/>
      <c r="C65" s="3"/>
      <c r="D65" s="3" t="s">
        <v>46</v>
      </c>
      <c r="E65" s="33" t="s">
        <v>31</v>
      </c>
      <c r="F65" s="3"/>
      <c r="G65" s="7"/>
      <c r="H65" s="7">
        <v>80</v>
      </c>
      <c r="I65" s="12"/>
      <c r="J65" s="5" t="e">
        <f>+SUMIFS(#REF!,#REF!,Planning[[#This Row],[Tarifa]],#REF!,Planning[[#This Row],[Proyectos]])</f>
        <v>#REF!</v>
      </c>
      <c r="K65" s="5" t="e">
        <f>Planning[[#This Row],[Horas Planificadas]]+Planning[[#This Row],[Horas ajustadas adicionales]]-Planning[[#This Row],[Horas utilizadas]]</f>
        <v>#REF!</v>
      </c>
      <c r="L65" s="7"/>
      <c r="M65" s="19" t="e">
        <f>Planning[[#This Row],[Saldo]]-Planning[[#This Row],[Saldo estimado]]</f>
        <v>#REF!</v>
      </c>
      <c r="N65" s="60" t="e">
        <f>SUM(SUMIFS(#REF!,#REF!,Planning[[#This Row],[Proyectos]],#REF!,Planning[[#This Row],[Tipo de Tarea y especialidad]]),SUMIFS(#REF!,#REF!,Planning[[#This Row],[Proyectos]],#REF!,Planning[[#This Row],[Tipo de Tarea y especialidad]]))</f>
        <v>#REF!</v>
      </c>
      <c r="O65" s="19">
        <f t="shared" si="0"/>
        <v>10</v>
      </c>
      <c r="P65" s="19">
        <f t="shared" si="1"/>
        <v>2024</v>
      </c>
      <c r="Q65" s="19" t="e">
        <f>+SUMIFS(#REF!,#REF!,Planning[[#This Row],[Tarifa]],#REF!,Planning[[#This Row],[Proyectos]],#REF!,Planning[[#This Row],[Mes]],#REF!,Planning[[#This Row],[Año]])</f>
        <v>#REF!</v>
      </c>
      <c r="R65" s="19" t="str">
        <f>TEXT(Planning[[#This Row],[Mes]]*29,"mmmm")</f>
        <v>October</v>
      </c>
      <c r="S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5" s="241"/>
      <c r="U65" s="43" t="e">
        <f>IF(Planning[[#This Row],[Horas Planificadas]]&lt;&gt;0,+K65/Planning[[#This Row],[Horas Planificadas]],0)</f>
        <v>#REF!</v>
      </c>
      <c r="V65" s="43" t="e">
        <f>IF(Planning[[#This Row],[Horas Planificadas]]&lt;&gt;0,Planning[[#This Row],[Horas utilizadas]]/Planning[[#This Row],[Horas Planificadas]],0)</f>
        <v>#REF!</v>
      </c>
      <c r="W65" s="44">
        <f>Planning[[#This Row],[Horas Planificadas]]+Planning[[#This Row],[Horas ajustadas adicionales]]</f>
        <v>80</v>
      </c>
      <c r="X65" s="142"/>
    </row>
    <row r="66" spans="1:24" ht="12.75" customHeight="1" x14ac:dyDescent="0.2">
      <c r="A66" s="7"/>
      <c r="B66" s="7"/>
      <c r="C66" s="3"/>
      <c r="D66" s="3" t="s">
        <v>46</v>
      </c>
      <c r="E66" s="33" t="s">
        <v>32</v>
      </c>
      <c r="F66" s="3"/>
      <c r="G66" s="7"/>
      <c r="H66" s="7">
        <v>80</v>
      </c>
      <c r="I66" s="12"/>
      <c r="J66" s="5" t="e">
        <f>+SUMIFS(#REF!,#REF!,Planning[[#This Row],[Tarifa]],#REF!,Planning[[#This Row],[Proyectos]])</f>
        <v>#REF!</v>
      </c>
      <c r="K66" s="5" t="e">
        <f>Planning[[#This Row],[Horas Planificadas]]+Planning[[#This Row],[Horas ajustadas adicionales]]-Planning[[#This Row],[Horas utilizadas]]</f>
        <v>#REF!</v>
      </c>
      <c r="L66" s="7"/>
      <c r="M66" s="19" t="e">
        <f>Planning[[#This Row],[Saldo]]-Planning[[#This Row],[Saldo estimado]]</f>
        <v>#REF!</v>
      </c>
      <c r="N66" s="60" t="e">
        <f>SUM(SUMIFS(#REF!,#REF!,Planning[[#This Row],[Proyectos]],#REF!,Planning[[#This Row],[Tipo de Tarea y especialidad]]),SUMIFS(#REF!,#REF!,Planning[[#This Row],[Proyectos]],#REF!,Planning[[#This Row],[Tipo de Tarea y especialidad]]))</f>
        <v>#REF!</v>
      </c>
      <c r="O66" s="19">
        <f t="shared" si="0"/>
        <v>10</v>
      </c>
      <c r="P66" s="19">
        <f t="shared" si="1"/>
        <v>2024</v>
      </c>
      <c r="Q66" s="19" t="e">
        <f>+SUMIFS(#REF!,#REF!,Planning[[#This Row],[Tarifa]],#REF!,Planning[[#This Row],[Proyectos]],#REF!,Planning[[#This Row],[Mes]],#REF!,Planning[[#This Row],[Año]])</f>
        <v>#REF!</v>
      </c>
      <c r="R66" s="19" t="str">
        <f>TEXT(Planning[[#This Row],[Mes]]*29,"mmmm")</f>
        <v>October</v>
      </c>
      <c r="S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6" s="241"/>
      <c r="U66" s="43" t="e">
        <f>IF(Planning[[#This Row],[Horas Planificadas]]&lt;&gt;0,+K66/Planning[[#This Row],[Horas Planificadas]],0)</f>
        <v>#REF!</v>
      </c>
      <c r="V66" s="43" t="e">
        <f>IF(Planning[[#This Row],[Horas Planificadas]]&lt;&gt;0,Planning[[#This Row],[Horas utilizadas]]/Planning[[#This Row],[Horas Planificadas]],0)</f>
        <v>#REF!</v>
      </c>
      <c r="W66" s="44">
        <f>Planning[[#This Row],[Horas Planificadas]]+Planning[[#This Row],[Horas ajustadas adicionales]]</f>
        <v>80</v>
      </c>
      <c r="X66" s="142"/>
    </row>
    <row r="67" spans="1:24" ht="12.75" customHeight="1" x14ac:dyDescent="0.2">
      <c r="A67" s="7"/>
      <c r="B67" s="7"/>
      <c r="C67" s="3"/>
      <c r="D67" s="3" t="s">
        <v>47</v>
      </c>
      <c r="E67" s="33" t="s">
        <v>28</v>
      </c>
      <c r="F67" s="3"/>
      <c r="G67" s="7"/>
      <c r="H67" s="7">
        <v>0</v>
      </c>
      <c r="I67" s="12"/>
      <c r="J67" s="5" t="e">
        <f>+SUMIFS(#REF!,#REF!,Planning[[#This Row],[Tarifa]],#REF!,Planning[[#This Row],[Proyectos]])</f>
        <v>#REF!</v>
      </c>
      <c r="K67" s="5" t="e">
        <f>Planning[[#This Row],[Horas Planificadas]]+Planning[[#This Row],[Horas ajustadas adicionales]]-Planning[[#This Row],[Horas utilizadas]]</f>
        <v>#REF!</v>
      </c>
      <c r="L67" s="7"/>
      <c r="M67" s="19" t="e">
        <f>Planning[[#This Row],[Saldo]]-Planning[[#This Row],[Saldo estimado]]</f>
        <v>#REF!</v>
      </c>
      <c r="N67" s="60" t="e">
        <f>SUM(SUMIFS(#REF!,#REF!,Planning[[#This Row],[Proyectos]],#REF!,Planning[[#This Row],[Tipo de Tarea y especialidad]]),SUMIFS(#REF!,#REF!,Planning[[#This Row],[Proyectos]],#REF!,Planning[[#This Row],[Tipo de Tarea y especialidad]]))</f>
        <v>#REF!</v>
      </c>
      <c r="O67" s="19">
        <f t="shared" si="0"/>
        <v>10</v>
      </c>
      <c r="P67" s="19">
        <f t="shared" si="1"/>
        <v>2024</v>
      </c>
      <c r="Q67" s="19" t="e">
        <f>+SUMIFS(#REF!,#REF!,Planning[[#This Row],[Tarifa]],#REF!,Planning[[#This Row],[Proyectos]],#REF!,Planning[[#This Row],[Mes]],#REF!,Planning[[#This Row],[Año]])</f>
        <v>#REF!</v>
      </c>
      <c r="R67" s="19" t="str">
        <f>TEXT(Planning[[#This Row],[Mes]]*29,"mmmm")</f>
        <v>October</v>
      </c>
      <c r="S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7" s="241"/>
      <c r="U67" s="43">
        <f>IF(Planning[[#This Row],[Horas Planificadas]]&lt;&gt;0,+K67/Planning[[#This Row],[Horas Planificadas]],0)</f>
        <v>0</v>
      </c>
      <c r="V67" s="43">
        <f>IF(Planning[[#This Row],[Horas Planificadas]]&lt;&gt;0,Planning[[#This Row],[Horas utilizadas]]/Planning[[#This Row],[Horas Planificadas]],0)</f>
        <v>0</v>
      </c>
      <c r="W67" s="44">
        <f>Planning[[#This Row],[Horas Planificadas]]+Planning[[#This Row],[Horas ajustadas adicionales]]</f>
        <v>0</v>
      </c>
      <c r="X67" s="142"/>
    </row>
    <row r="68" spans="1:24" ht="12.75" customHeight="1" x14ac:dyDescent="0.2">
      <c r="A68" s="7"/>
      <c r="B68" s="7"/>
      <c r="C68" s="3"/>
      <c r="D68" s="3" t="s">
        <v>47</v>
      </c>
      <c r="E68" s="33" t="s">
        <v>30</v>
      </c>
      <c r="F68" s="3"/>
      <c r="G68" s="7"/>
      <c r="H68" s="7">
        <v>702</v>
      </c>
      <c r="I68" s="12"/>
      <c r="J68" s="5" t="e">
        <f>+SUMIFS(#REF!,#REF!,Planning[[#This Row],[Tarifa]],#REF!,Planning[[#This Row],[Proyectos]])</f>
        <v>#REF!</v>
      </c>
      <c r="K68" s="5" t="e">
        <f>Planning[[#This Row],[Horas Planificadas]]+Planning[[#This Row],[Horas ajustadas adicionales]]-Planning[[#This Row],[Horas utilizadas]]</f>
        <v>#REF!</v>
      </c>
      <c r="L68" s="7"/>
      <c r="M68" s="19" t="e">
        <f>Planning[[#This Row],[Saldo]]-Planning[[#This Row],[Saldo estimado]]</f>
        <v>#REF!</v>
      </c>
      <c r="N68" s="60" t="e">
        <f>SUM(SUMIFS(#REF!,#REF!,Planning[[#This Row],[Proyectos]],#REF!,Planning[[#This Row],[Tipo de Tarea y especialidad]]),SUMIFS(#REF!,#REF!,Planning[[#This Row],[Proyectos]],#REF!,Planning[[#This Row],[Tipo de Tarea y especialidad]]))</f>
        <v>#REF!</v>
      </c>
      <c r="O68" s="19">
        <f t="shared" si="0"/>
        <v>10</v>
      </c>
      <c r="P68" s="19">
        <f t="shared" si="1"/>
        <v>2024</v>
      </c>
      <c r="Q68" s="19" t="e">
        <f>+SUMIFS(#REF!,#REF!,Planning[[#This Row],[Tarifa]],#REF!,Planning[[#This Row],[Proyectos]],#REF!,Planning[[#This Row],[Mes]],#REF!,Planning[[#This Row],[Año]])</f>
        <v>#REF!</v>
      </c>
      <c r="R68" s="19" t="str">
        <f>TEXT(Planning[[#This Row],[Mes]]*29,"mmmm")</f>
        <v>October</v>
      </c>
      <c r="S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8" s="241"/>
      <c r="U68" s="43" t="e">
        <f>IF(Planning[[#This Row],[Horas Planificadas]]&lt;&gt;0,+K68/Planning[[#This Row],[Horas Planificadas]],0)</f>
        <v>#REF!</v>
      </c>
      <c r="V68" s="43" t="e">
        <f>IF(Planning[[#This Row],[Horas Planificadas]]&lt;&gt;0,Planning[[#This Row],[Horas utilizadas]]/Planning[[#This Row],[Horas Planificadas]],0)</f>
        <v>#REF!</v>
      </c>
      <c r="W68" s="44">
        <f>Planning[[#This Row],[Horas Planificadas]]+Planning[[#This Row],[Horas ajustadas adicionales]]</f>
        <v>702</v>
      </c>
      <c r="X68" s="142"/>
    </row>
    <row r="69" spans="1:24" ht="12.75" customHeight="1" x14ac:dyDescent="0.2">
      <c r="A69" s="7"/>
      <c r="B69" s="7"/>
      <c r="C69" s="3"/>
      <c r="D69" s="3" t="s">
        <v>47</v>
      </c>
      <c r="E69" s="33" t="s">
        <v>31</v>
      </c>
      <c r="F69" s="3"/>
      <c r="G69" s="7"/>
      <c r="H69" s="7">
        <v>80</v>
      </c>
      <c r="I69" s="12"/>
      <c r="J69" s="5" t="e">
        <f>+SUMIFS(#REF!,#REF!,Planning[[#This Row],[Tarifa]],#REF!,Planning[[#This Row],[Proyectos]])</f>
        <v>#REF!</v>
      </c>
      <c r="K69" s="5" t="e">
        <f>Planning[[#This Row],[Horas Planificadas]]+Planning[[#This Row],[Horas ajustadas adicionales]]-Planning[[#This Row],[Horas utilizadas]]</f>
        <v>#REF!</v>
      </c>
      <c r="L69" s="7"/>
      <c r="M69" s="19" t="e">
        <f>Planning[[#This Row],[Saldo]]-Planning[[#This Row],[Saldo estimado]]</f>
        <v>#REF!</v>
      </c>
      <c r="N69" s="60" t="e">
        <f>SUM(SUMIFS(#REF!,#REF!,Planning[[#This Row],[Proyectos]],#REF!,Planning[[#This Row],[Tipo de Tarea y especialidad]]),SUMIFS(#REF!,#REF!,Planning[[#This Row],[Proyectos]],#REF!,Planning[[#This Row],[Tipo de Tarea y especialidad]]))</f>
        <v>#REF!</v>
      </c>
      <c r="O69" s="19">
        <f t="shared" si="0"/>
        <v>10</v>
      </c>
      <c r="P69" s="19">
        <f t="shared" si="1"/>
        <v>2024</v>
      </c>
      <c r="Q69" s="19" t="e">
        <f>+SUMIFS(#REF!,#REF!,Planning[[#This Row],[Tarifa]],#REF!,Planning[[#This Row],[Proyectos]],#REF!,Planning[[#This Row],[Mes]],#REF!,Planning[[#This Row],[Año]])</f>
        <v>#REF!</v>
      </c>
      <c r="R69" s="19" t="str">
        <f>TEXT(Planning[[#This Row],[Mes]]*29,"mmmm")</f>
        <v>October</v>
      </c>
      <c r="S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9" s="241"/>
      <c r="U69" s="43" t="e">
        <f>IF(Planning[[#This Row],[Horas Planificadas]]&lt;&gt;0,+K69/Planning[[#This Row],[Horas Planificadas]],0)</f>
        <v>#REF!</v>
      </c>
      <c r="V69" s="43" t="e">
        <f>IF(Planning[[#This Row],[Horas Planificadas]]&lt;&gt;0,Planning[[#This Row],[Horas utilizadas]]/Planning[[#This Row],[Horas Planificadas]],0)</f>
        <v>#REF!</v>
      </c>
      <c r="W69" s="44">
        <f>Planning[[#This Row],[Horas Planificadas]]+Planning[[#This Row],[Horas ajustadas adicionales]]</f>
        <v>80</v>
      </c>
      <c r="X69" s="142"/>
    </row>
    <row r="70" spans="1:24" ht="12.75" customHeight="1" x14ac:dyDescent="0.2">
      <c r="A70" s="7"/>
      <c r="B70" s="7"/>
      <c r="C70" s="3"/>
      <c r="D70" s="3" t="s">
        <v>47</v>
      </c>
      <c r="E70" s="33" t="s">
        <v>32</v>
      </c>
      <c r="F70" s="3"/>
      <c r="G70" s="7"/>
      <c r="H70" s="7">
        <v>63</v>
      </c>
      <c r="I70" s="12"/>
      <c r="J70" s="5" t="e">
        <f>+SUMIFS(#REF!,#REF!,Planning[[#This Row],[Tarifa]],#REF!,Planning[[#This Row],[Proyectos]])</f>
        <v>#REF!</v>
      </c>
      <c r="K70" s="5" t="e">
        <f>Planning[[#This Row],[Horas Planificadas]]+Planning[[#This Row],[Horas ajustadas adicionales]]-Planning[[#This Row],[Horas utilizadas]]</f>
        <v>#REF!</v>
      </c>
      <c r="L70" s="7"/>
      <c r="M70" s="19" t="e">
        <f>Planning[[#This Row],[Saldo]]-Planning[[#This Row],[Saldo estimado]]</f>
        <v>#REF!</v>
      </c>
      <c r="N70" s="60" t="e">
        <f>SUM(SUMIFS(#REF!,#REF!,Planning[[#This Row],[Proyectos]],#REF!,Planning[[#This Row],[Tipo de Tarea y especialidad]]),SUMIFS(#REF!,#REF!,Planning[[#This Row],[Proyectos]],#REF!,Planning[[#This Row],[Tipo de Tarea y especialidad]]))</f>
        <v>#REF!</v>
      </c>
      <c r="O70" s="19">
        <f t="shared" si="0"/>
        <v>10</v>
      </c>
      <c r="P70" s="19">
        <f t="shared" si="1"/>
        <v>2024</v>
      </c>
      <c r="Q70" s="19" t="e">
        <f>+SUMIFS(#REF!,#REF!,Planning[[#This Row],[Tarifa]],#REF!,Planning[[#This Row],[Proyectos]],#REF!,Planning[[#This Row],[Mes]],#REF!,Planning[[#This Row],[Año]])</f>
        <v>#REF!</v>
      </c>
      <c r="R70" s="19" t="str">
        <f>TEXT(Planning[[#This Row],[Mes]]*29,"mmmm")</f>
        <v>October</v>
      </c>
      <c r="S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0" s="241"/>
      <c r="U70" s="43" t="e">
        <f>IF(Planning[[#This Row],[Horas Planificadas]]&lt;&gt;0,+K70/Planning[[#This Row],[Horas Planificadas]],0)</f>
        <v>#REF!</v>
      </c>
      <c r="V70" s="43" t="e">
        <f>IF(Planning[[#This Row],[Horas Planificadas]]&lt;&gt;0,Planning[[#This Row],[Horas utilizadas]]/Planning[[#This Row],[Horas Planificadas]],0)</f>
        <v>#REF!</v>
      </c>
      <c r="W70" s="44">
        <f>Planning[[#This Row],[Horas Planificadas]]+Planning[[#This Row],[Horas ajustadas adicionales]]</f>
        <v>63</v>
      </c>
      <c r="X70" s="142"/>
    </row>
    <row r="71" spans="1:24" ht="12.75" customHeight="1" x14ac:dyDescent="0.2">
      <c r="A71" s="7"/>
      <c r="B71" s="7"/>
      <c r="C71" s="3"/>
      <c r="D71" s="3" t="s">
        <v>48</v>
      </c>
      <c r="E71" s="33" t="s">
        <v>28</v>
      </c>
      <c r="F71" s="3"/>
      <c r="G71" s="7"/>
      <c r="H71" s="7">
        <v>300</v>
      </c>
      <c r="I71" s="12"/>
      <c r="J71" s="5" t="e">
        <f>+SUMIFS(#REF!,#REF!,Planning[[#This Row],[Tarifa]],#REF!,Planning[[#This Row],[Proyectos]])</f>
        <v>#REF!</v>
      </c>
      <c r="K71" s="5" t="e">
        <f>Planning[[#This Row],[Horas Planificadas]]+Planning[[#This Row],[Horas ajustadas adicionales]]-Planning[[#This Row],[Horas utilizadas]]</f>
        <v>#REF!</v>
      </c>
      <c r="L71" s="7"/>
      <c r="M71" s="19" t="e">
        <f>Planning[[#This Row],[Saldo]]-Planning[[#This Row],[Saldo estimado]]</f>
        <v>#REF!</v>
      </c>
      <c r="N71" s="60" t="e">
        <f>SUM(SUMIFS(#REF!,#REF!,Planning[[#This Row],[Proyectos]],#REF!,Planning[[#This Row],[Tipo de Tarea y especialidad]]),SUMIFS(#REF!,#REF!,Planning[[#This Row],[Proyectos]],#REF!,Planning[[#This Row],[Tipo de Tarea y especialidad]]))</f>
        <v>#REF!</v>
      </c>
      <c r="O71" s="19">
        <f t="shared" ref="O71:O134" si="2">$L$4</f>
        <v>10</v>
      </c>
      <c r="P71" s="19">
        <f t="shared" ref="P71:P134" si="3">$M$4</f>
        <v>2024</v>
      </c>
      <c r="Q71" s="19" t="e">
        <f>+SUMIFS(#REF!,#REF!,Planning[[#This Row],[Tarifa]],#REF!,Planning[[#This Row],[Proyectos]],#REF!,Planning[[#This Row],[Mes]],#REF!,Planning[[#This Row],[Año]])</f>
        <v>#REF!</v>
      </c>
      <c r="R71" s="19" t="str">
        <f>TEXT(Planning[[#This Row],[Mes]]*29,"mmmm")</f>
        <v>October</v>
      </c>
      <c r="S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1" s="241"/>
      <c r="U71" s="43" t="e">
        <f>IF(Planning[[#This Row],[Horas Planificadas]]&lt;&gt;0,+K71/Planning[[#This Row],[Horas Planificadas]],0)</f>
        <v>#REF!</v>
      </c>
      <c r="V71" s="43" t="e">
        <f>IF(Planning[[#This Row],[Horas Planificadas]]&lt;&gt;0,Planning[[#This Row],[Horas utilizadas]]/Planning[[#This Row],[Horas Planificadas]],0)</f>
        <v>#REF!</v>
      </c>
      <c r="W71" s="44">
        <f>Planning[[#This Row],[Horas Planificadas]]+Planning[[#This Row],[Horas ajustadas adicionales]]</f>
        <v>300</v>
      </c>
      <c r="X71" s="142"/>
    </row>
    <row r="72" spans="1:24" ht="12.75" customHeight="1" x14ac:dyDescent="0.2">
      <c r="A72" s="7"/>
      <c r="B72" s="7"/>
      <c r="C72" s="3"/>
      <c r="D72" s="3" t="s">
        <v>48</v>
      </c>
      <c r="E72" s="33" t="s">
        <v>30</v>
      </c>
      <c r="F72" s="3"/>
      <c r="G72" s="7"/>
      <c r="H72" s="7">
        <v>120</v>
      </c>
      <c r="I72" s="12"/>
      <c r="J72" s="5" t="e">
        <f>+SUMIFS(#REF!,#REF!,Planning[[#This Row],[Tarifa]],#REF!,Planning[[#This Row],[Proyectos]])</f>
        <v>#REF!</v>
      </c>
      <c r="K72" s="5" t="e">
        <f>Planning[[#This Row],[Horas Planificadas]]+Planning[[#This Row],[Horas ajustadas adicionales]]-Planning[[#This Row],[Horas utilizadas]]</f>
        <v>#REF!</v>
      </c>
      <c r="L72" s="7"/>
      <c r="M72" s="19" t="e">
        <f>Planning[[#This Row],[Saldo]]-Planning[[#This Row],[Saldo estimado]]</f>
        <v>#REF!</v>
      </c>
      <c r="N72" s="60" t="e">
        <f>SUM(SUMIFS(#REF!,#REF!,Planning[[#This Row],[Proyectos]],#REF!,Planning[[#This Row],[Tipo de Tarea y especialidad]]),SUMIFS(#REF!,#REF!,Planning[[#This Row],[Proyectos]],#REF!,Planning[[#This Row],[Tipo de Tarea y especialidad]]))</f>
        <v>#REF!</v>
      </c>
      <c r="O72" s="19">
        <f t="shared" si="2"/>
        <v>10</v>
      </c>
      <c r="P72" s="19">
        <f t="shared" si="3"/>
        <v>2024</v>
      </c>
      <c r="Q72" s="19" t="e">
        <f>+SUMIFS(#REF!,#REF!,Planning[[#This Row],[Tarifa]],#REF!,Planning[[#This Row],[Proyectos]],#REF!,Planning[[#This Row],[Mes]],#REF!,Planning[[#This Row],[Año]])</f>
        <v>#REF!</v>
      </c>
      <c r="R72" s="19" t="str">
        <f>TEXT(Planning[[#This Row],[Mes]]*29,"mmmm")</f>
        <v>October</v>
      </c>
      <c r="S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2" s="241"/>
      <c r="U72" s="43" t="e">
        <f>IF(Planning[[#This Row],[Horas Planificadas]]&lt;&gt;0,+K72/Planning[[#This Row],[Horas Planificadas]],0)</f>
        <v>#REF!</v>
      </c>
      <c r="V72" s="43" t="e">
        <f>IF(Planning[[#This Row],[Horas Planificadas]]&lt;&gt;0,Planning[[#This Row],[Horas utilizadas]]/Planning[[#This Row],[Horas Planificadas]],0)</f>
        <v>#REF!</v>
      </c>
      <c r="W72" s="44">
        <f>Planning[[#This Row],[Horas Planificadas]]+Planning[[#This Row],[Horas ajustadas adicionales]]</f>
        <v>120</v>
      </c>
      <c r="X72" s="142"/>
    </row>
    <row r="73" spans="1:24" ht="12.75" customHeight="1" x14ac:dyDescent="0.2">
      <c r="A73" s="7"/>
      <c r="B73" s="7"/>
      <c r="C73" s="3"/>
      <c r="D73" s="3" t="s">
        <v>48</v>
      </c>
      <c r="E73" s="33" t="s">
        <v>31</v>
      </c>
      <c r="F73" s="3"/>
      <c r="G73" s="7"/>
      <c r="H73" s="7">
        <v>120</v>
      </c>
      <c r="I73" s="12"/>
      <c r="J73" s="5" t="e">
        <f>+SUMIFS(#REF!,#REF!,Planning[[#This Row],[Tarifa]],#REF!,Planning[[#This Row],[Proyectos]])</f>
        <v>#REF!</v>
      </c>
      <c r="K73" s="5" t="e">
        <f>Planning[[#This Row],[Horas Planificadas]]+Planning[[#This Row],[Horas ajustadas adicionales]]-Planning[[#This Row],[Horas utilizadas]]</f>
        <v>#REF!</v>
      </c>
      <c r="L73" s="7"/>
      <c r="M73" s="19" t="e">
        <f>Planning[[#This Row],[Saldo]]-Planning[[#This Row],[Saldo estimado]]</f>
        <v>#REF!</v>
      </c>
      <c r="N73" s="60" t="e">
        <f>SUM(SUMIFS(#REF!,#REF!,Planning[[#This Row],[Proyectos]],#REF!,Planning[[#This Row],[Tipo de Tarea y especialidad]]),SUMIFS(#REF!,#REF!,Planning[[#This Row],[Proyectos]],#REF!,Planning[[#This Row],[Tipo de Tarea y especialidad]]))</f>
        <v>#REF!</v>
      </c>
      <c r="O73" s="19">
        <f t="shared" si="2"/>
        <v>10</v>
      </c>
      <c r="P73" s="19">
        <f t="shared" si="3"/>
        <v>2024</v>
      </c>
      <c r="Q73" s="19" t="e">
        <f>+SUMIFS(#REF!,#REF!,Planning[[#This Row],[Tarifa]],#REF!,Planning[[#This Row],[Proyectos]],#REF!,Planning[[#This Row],[Mes]],#REF!,Planning[[#This Row],[Año]])</f>
        <v>#REF!</v>
      </c>
      <c r="R73" s="19" t="str">
        <f>TEXT(Planning[[#This Row],[Mes]]*29,"mmmm")</f>
        <v>October</v>
      </c>
      <c r="S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3" s="241"/>
      <c r="U73" s="43" t="e">
        <f>IF(Planning[[#This Row],[Horas Planificadas]]&lt;&gt;0,+K73/Planning[[#This Row],[Horas Planificadas]],0)</f>
        <v>#REF!</v>
      </c>
      <c r="V73" s="43" t="e">
        <f>IF(Planning[[#This Row],[Horas Planificadas]]&lt;&gt;0,Planning[[#This Row],[Horas utilizadas]]/Planning[[#This Row],[Horas Planificadas]],0)</f>
        <v>#REF!</v>
      </c>
      <c r="W73" s="44">
        <f>Planning[[#This Row],[Horas Planificadas]]+Planning[[#This Row],[Horas ajustadas adicionales]]</f>
        <v>120</v>
      </c>
      <c r="X73" s="142"/>
    </row>
    <row r="74" spans="1:24" ht="12.75" customHeight="1" x14ac:dyDescent="0.2">
      <c r="A74" s="7"/>
      <c r="B74" s="7"/>
      <c r="C74" s="3"/>
      <c r="D74" s="3" t="s">
        <v>48</v>
      </c>
      <c r="E74" s="33" t="s">
        <v>32</v>
      </c>
      <c r="F74" s="3"/>
      <c r="G74" s="7"/>
      <c r="H74" s="7">
        <v>160</v>
      </c>
      <c r="I74" s="12"/>
      <c r="J74" s="5" t="e">
        <f>+SUMIFS(#REF!,#REF!,Planning[[#This Row],[Tarifa]],#REF!,Planning[[#This Row],[Proyectos]])</f>
        <v>#REF!</v>
      </c>
      <c r="K74" s="5" t="e">
        <f>Planning[[#This Row],[Horas Planificadas]]+Planning[[#This Row],[Horas ajustadas adicionales]]-Planning[[#This Row],[Horas utilizadas]]</f>
        <v>#REF!</v>
      </c>
      <c r="L74" s="7"/>
      <c r="M74" s="19" t="e">
        <f>Planning[[#This Row],[Saldo]]-Planning[[#This Row],[Saldo estimado]]</f>
        <v>#REF!</v>
      </c>
      <c r="N74" s="60" t="e">
        <f>SUM(SUMIFS(#REF!,#REF!,Planning[[#This Row],[Proyectos]],#REF!,Planning[[#This Row],[Tipo de Tarea y especialidad]]),SUMIFS(#REF!,#REF!,Planning[[#This Row],[Proyectos]],#REF!,Planning[[#This Row],[Tipo de Tarea y especialidad]]))</f>
        <v>#REF!</v>
      </c>
      <c r="O74" s="19">
        <f t="shared" si="2"/>
        <v>10</v>
      </c>
      <c r="P74" s="19">
        <f t="shared" si="3"/>
        <v>2024</v>
      </c>
      <c r="Q74" s="19" t="e">
        <f>+SUMIFS(#REF!,#REF!,Planning[[#This Row],[Tarifa]],#REF!,Planning[[#This Row],[Proyectos]],#REF!,Planning[[#This Row],[Mes]],#REF!,Planning[[#This Row],[Año]])</f>
        <v>#REF!</v>
      </c>
      <c r="R74" s="19" t="str">
        <f>TEXT(Planning[[#This Row],[Mes]]*29,"mmmm")</f>
        <v>October</v>
      </c>
      <c r="S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4" s="241"/>
      <c r="U74" s="43" t="e">
        <f>IF(Planning[[#This Row],[Horas Planificadas]]&lt;&gt;0,+K74/Planning[[#This Row],[Horas Planificadas]],0)</f>
        <v>#REF!</v>
      </c>
      <c r="V74" s="43" t="e">
        <f>IF(Planning[[#This Row],[Horas Planificadas]]&lt;&gt;0,Planning[[#This Row],[Horas utilizadas]]/Planning[[#This Row],[Horas Planificadas]],0)</f>
        <v>#REF!</v>
      </c>
      <c r="W74" s="44">
        <f>Planning[[#This Row],[Horas Planificadas]]+Planning[[#This Row],[Horas ajustadas adicionales]]</f>
        <v>160</v>
      </c>
      <c r="X74" s="142"/>
    </row>
    <row r="75" spans="1:24" ht="12.75" customHeight="1" x14ac:dyDescent="0.2">
      <c r="A75" s="7"/>
      <c r="B75" s="7"/>
      <c r="C75" s="3"/>
      <c r="D75" s="3" t="s">
        <v>49</v>
      </c>
      <c r="E75" s="33" t="s">
        <v>28</v>
      </c>
      <c r="F75" s="3"/>
      <c r="G75" s="7"/>
      <c r="H75" s="7">
        <v>80</v>
      </c>
      <c r="I75" s="12"/>
      <c r="J75" s="5" t="e">
        <f>+SUMIFS(#REF!,#REF!,Planning[[#This Row],[Tarifa]],#REF!,Planning[[#This Row],[Proyectos]])</f>
        <v>#REF!</v>
      </c>
      <c r="K75" s="5" t="e">
        <f>Planning[[#This Row],[Horas Planificadas]]+Planning[[#This Row],[Horas ajustadas adicionales]]-Planning[[#This Row],[Horas utilizadas]]</f>
        <v>#REF!</v>
      </c>
      <c r="L75" s="7"/>
      <c r="M75" s="19" t="e">
        <f>Planning[[#This Row],[Saldo]]-Planning[[#This Row],[Saldo estimado]]</f>
        <v>#REF!</v>
      </c>
      <c r="N75" s="60" t="e">
        <f>SUM(SUMIFS(#REF!,#REF!,Planning[[#This Row],[Proyectos]],#REF!,Planning[[#This Row],[Tipo de Tarea y especialidad]]),SUMIFS(#REF!,#REF!,Planning[[#This Row],[Proyectos]],#REF!,Planning[[#This Row],[Tipo de Tarea y especialidad]]))</f>
        <v>#REF!</v>
      </c>
      <c r="O75" s="19">
        <f t="shared" si="2"/>
        <v>10</v>
      </c>
      <c r="P75" s="19">
        <f t="shared" si="3"/>
        <v>2024</v>
      </c>
      <c r="Q75" s="19" t="e">
        <f>+SUMIFS(#REF!,#REF!,Planning[[#This Row],[Tarifa]],#REF!,Planning[[#This Row],[Proyectos]],#REF!,Planning[[#This Row],[Mes]],#REF!,Planning[[#This Row],[Año]])</f>
        <v>#REF!</v>
      </c>
      <c r="R75" s="19" t="str">
        <f>TEXT(Planning[[#This Row],[Mes]]*29,"mmmm")</f>
        <v>October</v>
      </c>
      <c r="S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5" s="241"/>
      <c r="U75" s="43" t="e">
        <f>IF(Planning[[#This Row],[Horas Planificadas]]&lt;&gt;0,+K75/Planning[[#This Row],[Horas Planificadas]],0)</f>
        <v>#REF!</v>
      </c>
      <c r="V75" s="43" t="e">
        <f>IF(Planning[[#This Row],[Horas Planificadas]]&lt;&gt;0,Planning[[#This Row],[Horas utilizadas]]/Planning[[#This Row],[Horas Planificadas]],0)</f>
        <v>#REF!</v>
      </c>
      <c r="W75" s="44">
        <f>Planning[[#This Row],[Horas Planificadas]]+Planning[[#This Row],[Horas ajustadas adicionales]]</f>
        <v>80</v>
      </c>
      <c r="X75" s="142"/>
    </row>
    <row r="76" spans="1:24" ht="12.75" customHeight="1" x14ac:dyDescent="0.2">
      <c r="A76" s="7"/>
      <c r="B76" s="7"/>
      <c r="C76" s="3"/>
      <c r="D76" s="3" t="s">
        <v>49</v>
      </c>
      <c r="E76" s="33" t="s">
        <v>30</v>
      </c>
      <c r="F76" s="3"/>
      <c r="G76" s="7"/>
      <c r="H76" s="7">
        <v>160</v>
      </c>
      <c r="I76" s="12"/>
      <c r="J76" s="5" t="e">
        <f>+SUMIFS(#REF!,#REF!,Planning[[#This Row],[Tarifa]],#REF!,Planning[[#This Row],[Proyectos]])</f>
        <v>#REF!</v>
      </c>
      <c r="K76" s="5" t="e">
        <f>Planning[[#This Row],[Horas Planificadas]]+Planning[[#This Row],[Horas ajustadas adicionales]]-Planning[[#This Row],[Horas utilizadas]]</f>
        <v>#REF!</v>
      </c>
      <c r="L76" s="7"/>
      <c r="M76" s="19" t="e">
        <f>Planning[[#This Row],[Saldo]]-Planning[[#This Row],[Saldo estimado]]</f>
        <v>#REF!</v>
      </c>
      <c r="N76" s="60" t="e">
        <f>SUM(SUMIFS(#REF!,#REF!,Planning[[#This Row],[Proyectos]],#REF!,Planning[[#This Row],[Tipo de Tarea y especialidad]]),SUMIFS(#REF!,#REF!,Planning[[#This Row],[Proyectos]],#REF!,Planning[[#This Row],[Tipo de Tarea y especialidad]]))</f>
        <v>#REF!</v>
      </c>
      <c r="O76" s="19">
        <f t="shared" si="2"/>
        <v>10</v>
      </c>
      <c r="P76" s="19">
        <f t="shared" si="3"/>
        <v>2024</v>
      </c>
      <c r="Q76" s="19" t="e">
        <f>+SUMIFS(#REF!,#REF!,Planning[[#This Row],[Tarifa]],#REF!,Planning[[#This Row],[Proyectos]],#REF!,Planning[[#This Row],[Mes]],#REF!,Planning[[#This Row],[Año]])</f>
        <v>#REF!</v>
      </c>
      <c r="R76" s="19" t="str">
        <f>TEXT(Planning[[#This Row],[Mes]]*29,"mmmm")</f>
        <v>October</v>
      </c>
      <c r="S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6" s="241"/>
      <c r="U76" s="43" t="e">
        <f>IF(Planning[[#This Row],[Horas Planificadas]]&lt;&gt;0,+K76/Planning[[#This Row],[Horas Planificadas]],0)</f>
        <v>#REF!</v>
      </c>
      <c r="V76" s="43" t="e">
        <f>IF(Planning[[#This Row],[Horas Planificadas]]&lt;&gt;0,Planning[[#This Row],[Horas utilizadas]]/Planning[[#This Row],[Horas Planificadas]],0)</f>
        <v>#REF!</v>
      </c>
      <c r="W76" s="44">
        <f>Planning[[#This Row],[Horas Planificadas]]+Planning[[#This Row],[Horas ajustadas adicionales]]</f>
        <v>160</v>
      </c>
      <c r="X76" s="142"/>
    </row>
    <row r="77" spans="1:24" ht="12.75" customHeight="1" x14ac:dyDescent="0.2">
      <c r="A77" s="7"/>
      <c r="B77" s="7"/>
      <c r="C77" s="3"/>
      <c r="D77" s="3" t="s">
        <v>49</v>
      </c>
      <c r="E77" s="33" t="s">
        <v>31</v>
      </c>
      <c r="F77" s="3"/>
      <c r="G77" s="7"/>
      <c r="H77" s="7">
        <v>80</v>
      </c>
      <c r="I77" s="12"/>
      <c r="J77" s="5" t="e">
        <f>+SUMIFS(#REF!,#REF!,Planning[[#This Row],[Tarifa]],#REF!,Planning[[#This Row],[Proyectos]])</f>
        <v>#REF!</v>
      </c>
      <c r="K77" s="5" t="e">
        <f>Planning[[#This Row],[Horas Planificadas]]+Planning[[#This Row],[Horas ajustadas adicionales]]-Planning[[#This Row],[Horas utilizadas]]</f>
        <v>#REF!</v>
      </c>
      <c r="L77" s="7"/>
      <c r="M77" s="19" t="e">
        <f>Planning[[#This Row],[Saldo]]-Planning[[#This Row],[Saldo estimado]]</f>
        <v>#REF!</v>
      </c>
      <c r="N77" s="60" t="e">
        <f>SUM(SUMIFS(#REF!,#REF!,Planning[[#This Row],[Proyectos]],#REF!,Planning[[#This Row],[Tipo de Tarea y especialidad]]),SUMIFS(#REF!,#REF!,Planning[[#This Row],[Proyectos]],#REF!,Planning[[#This Row],[Tipo de Tarea y especialidad]]))</f>
        <v>#REF!</v>
      </c>
      <c r="O77" s="19">
        <f t="shared" si="2"/>
        <v>10</v>
      </c>
      <c r="P77" s="19">
        <f t="shared" si="3"/>
        <v>2024</v>
      </c>
      <c r="Q77" s="19" t="e">
        <f>+SUMIFS(#REF!,#REF!,Planning[[#This Row],[Tarifa]],#REF!,Planning[[#This Row],[Proyectos]],#REF!,Planning[[#This Row],[Mes]],#REF!,Planning[[#This Row],[Año]])</f>
        <v>#REF!</v>
      </c>
      <c r="R77" s="19" t="str">
        <f>TEXT(Planning[[#This Row],[Mes]]*29,"mmmm")</f>
        <v>October</v>
      </c>
      <c r="S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7" s="241"/>
      <c r="U77" s="43" t="e">
        <f>IF(Planning[[#This Row],[Horas Planificadas]]&lt;&gt;0,+K77/Planning[[#This Row],[Horas Planificadas]],0)</f>
        <v>#REF!</v>
      </c>
      <c r="V77" s="43" t="e">
        <f>IF(Planning[[#This Row],[Horas Planificadas]]&lt;&gt;0,Planning[[#This Row],[Horas utilizadas]]/Planning[[#This Row],[Horas Planificadas]],0)</f>
        <v>#REF!</v>
      </c>
      <c r="W77" s="44">
        <f>Planning[[#This Row],[Horas Planificadas]]+Planning[[#This Row],[Horas ajustadas adicionales]]</f>
        <v>80</v>
      </c>
      <c r="X77" s="142"/>
    </row>
    <row r="78" spans="1:24" ht="12.75" customHeight="1" x14ac:dyDescent="0.2">
      <c r="A78" s="7"/>
      <c r="B78" s="7"/>
      <c r="C78" s="3"/>
      <c r="D78" s="3" t="s">
        <v>49</v>
      </c>
      <c r="E78" s="33" t="s">
        <v>32</v>
      </c>
      <c r="F78" s="3"/>
      <c r="G78" s="7"/>
      <c r="H78" s="7">
        <v>80</v>
      </c>
      <c r="I78" s="12"/>
      <c r="J78" s="5" t="e">
        <f>+SUMIFS(#REF!,#REF!,Planning[[#This Row],[Tarifa]],#REF!,Planning[[#This Row],[Proyectos]])</f>
        <v>#REF!</v>
      </c>
      <c r="K78" s="5" t="e">
        <f>Planning[[#This Row],[Horas Planificadas]]+Planning[[#This Row],[Horas ajustadas adicionales]]-Planning[[#This Row],[Horas utilizadas]]</f>
        <v>#REF!</v>
      </c>
      <c r="L78" s="7"/>
      <c r="M78" s="19" t="e">
        <f>Planning[[#This Row],[Saldo]]-Planning[[#This Row],[Saldo estimado]]</f>
        <v>#REF!</v>
      </c>
      <c r="N78" s="60" t="e">
        <f>SUM(SUMIFS(#REF!,#REF!,Planning[[#This Row],[Proyectos]],#REF!,Planning[[#This Row],[Tipo de Tarea y especialidad]]),SUMIFS(#REF!,#REF!,Planning[[#This Row],[Proyectos]],#REF!,Planning[[#This Row],[Tipo de Tarea y especialidad]]))</f>
        <v>#REF!</v>
      </c>
      <c r="O78" s="19">
        <f t="shared" si="2"/>
        <v>10</v>
      </c>
      <c r="P78" s="19">
        <f t="shared" si="3"/>
        <v>2024</v>
      </c>
      <c r="Q78" s="19" t="e">
        <f>+SUMIFS(#REF!,#REF!,Planning[[#This Row],[Tarifa]],#REF!,Planning[[#This Row],[Proyectos]],#REF!,Planning[[#This Row],[Mes]],#REF!,Planning[[#This Row],[Año]])</f>
        <v>#REF!</v>
      </c>
      <c r="R78" s="19" t="str">
        <f>TEXT(Planning[[#This Row],[Mes]]*29,"mmmm")</f>
        <v>October</v>
      </c>
      <c r="S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8" s="241"/>
      <c r="U78" s="43" t="e">
        <f>IF(Planning[[#This Row],[Horas Planificadas]]&lt;&gt;0,+K78/Planning[[#This Row],[Horas Planificadas]],0)</f>
        <v>#REF!</v>
      </c>
      <c r="V78" s="43" t="e">
        <f>IF(Planning[[#This Row],[Horas Planificadas]]&lt;&gt;0,Planning[[#This Row],[Horas utilizadas]]/Planning[[#This Row],[Horas Planificadas]],0)</f>
        <v>#REF!</v>
      </c>
      <c r="W78" s="44">
        <f>Planning[[#This Row],[Horas Planificadas]]+Planning[[#This Row],[Horas ajustadas adicionales]]</f>
        <v>80</v>
      </c>
      <c r="X78" s="142"/>
    </row>
    <row r="79" spans="1:24" ht="12.75" customHeight="1" x14ac:dyDescent="0.2">
      <c r="A79" s="7"/>
      <c r="B79" s="7"/>
      <c r="C79" s="3"/>
      <c r="D79" s="3" t="s">
        <v>50</v>
      </c>
      <c r="E79" s="33" t="s">
        <v>28</v>
      </c>
      <c r="F79" s="3"/>
      <c r="G79" s="7"/>
      <c r="H79" s="7">
        <v>80</v>
      </c>
      <c r="I79" s="12"/>
      <c r="J79" s="5" t="e">
        <f>+SUMIFS(#REF!,#REF!,Planning[[#This Row],[Tarifa]],#REF!,Planning[[#This Row],[Proyectos]])</f>
        <v>#REF!</v>
      </c>
      <c r="K79" s="5" t="e">
        <f>Planning[[#This Row],[Horas Planificadas]]+Planning[[#This Row],[Horas ajustadas adicionales]]-Planning[[#This Row],[Horas utilizadas]]</f>
        <v>#REF!</v>
      </c>
      <c r="L79" s="7"/>
      <c r="M79" s="19" t="e">
        <f>Planning[[#This Row],[Saldo]]-Planning[[#This Row],[Saldo estimado]]</f>
        <v>#REF!</v>
      </c>
      <c r="N79" s="60" t="e">
        <f>SUM(SUMIFS(#REF!,#REF!,Planning[[#This Row],[Proyectos]],#REF!,Planning[[#This Row],[Tipo de Tarea y especialidad]]),SUMIFS(#REF!,#REF!,Planning[[#This Row],[Proyectos]],#REF!,Planning[[#This Row],[Tipo de Tarea y especialidad]]))</f>
        <v>#REF!</v>
      </c>
      <c r="O79" s="19">
        <f t="shared" si="2"/>
        <v>10</v>
      </c>
      <c r="P79" s="19">
        <f t="shared" si="3"/>
        <v>2024</v>
      </c>
      <c r="Q79" s="19" t="e">
        <f>+SUMIFS(#REF!,#REF!,Planning[[#This Row],[Tarifa]],#REF!,Planning[[#This Row],[Proyectos]],#REF!,Planning[[#This Row],[Mes]],#REF!,Planning[[#This Row],[Año]])</f>
        <v>#REF!</v>
      </c>
      <c r="R79" s="19" t="str">
        <f>TEXT(Planning[[#This Row],[Mes]]*29,"mmmm")</f>
        <v>October</v>
      </c>
      <c r="S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9" s="241"/>
      <c r="U79" s="43" t="e">
        <f>IF(Planning[[#This Row],[Horas Planificadas]]&lt;&gt;0,+K79/Planning[[#This Row],[Horas Planificadas]],0)</f>
        <v>#REF!</v>
      </c>
      <c r="V79" s="43" t="e">
        <f>IF(Planning[[#This Row],[Horas Planificadas]]&lt;&gt;0,Planning[[#This Row],[Horas utilizadas]]/Planning[[#This Row],[Horas Planificadas]],0)</f>
        <v>#REF!</v>
      </c>
      <c r="W79" s="44">
        <f>Planning[[#This Row],[Horas Planificadas]]+Planning[[#This Row],[Horas ajustadas adicionales]]</f>
        <v>80</v>
      </c>
      <c r="X79" s="142"/>
    </row>
    <row r="80" spans="1:24" ht="12.75" customHeight="1" x14ac:dyDescent="0.2">
      <c r="A80" s="7"/>
      <c r="B80" s="7"/>
      <c r="C80" s="3"/>
      <c r="D80" s="3" t="s">
        <v>50</v>
      </c>
      <c r="E80" s="33" t="s">
        <v>30</v>
      </c>
      <c r="F80" s="3"/>
      <c r="G80" s="7"/>
      <c r="H80" s="7">
        <v>60</v>
      </c>
      <c r="I80" s="12"/>
      <c r="J80" s="5" t="e">
        <f>+SUMIFS(#REF!,#REF!,Planning[[#This Row],[Tarifa]],#REF!,Planning[[#This Row],[Proyectos]])</f>
        <v>#REF!</v>
      </c>
      <c r="K80" s="5" t="e">
        <f>Planning[[#This Row],[Horas Planificadas]]+Planning[[#This Row],[Horas ajustadas adicionales]]-Planning[[#This Row],[Horas utilizadas]]</f>
        <v>#REF!</v>
      </c>
      <c r="L80" s="7"/>
      <c r="M80" s="19" t="e">
        <f>Planning[[#This Row],[Saldo]]-Planning[[#This Row],[Saldo estimado]]</f>
        <v>#REF!</v>
      </c>
      <c r="N80" s="60" t="e">
        <f>SUM(SUMIFS(#REF!,#REF!,Planning[[#This Row],[Proyectos]],#REF!,Planning[[#This Row],[Tipo de Tarea y especialidad]]),SUMIFS(#REF!,#REF!,Planning[[#This Row],[Proyectos]],#REF!,Planning[[#This Row],[Tipo de Tarea y especialidad]]))</f>
        <v>#REF!</v>
      </c>
      <c r="O80" s="19">
        <f t="shared" si="2"/>
        <v>10</v>
      </c>
      <c r="P80" s="19">
        <f t="shared" si="3"/>
        <v>2024</v>
      </c>
      <c r="Q80" s="19" t="e">
        <f>+SUMIFS(#REF!,#REF!,Planning[[#This Row],[Tarifa]],#REF!,Planning[[#This Row],[Proyectos]],#REF!,Planning[[#This Row],[Mes]],#REF!,Planning[[#This Row],[Año]])</f>
        <v>#REF!</v>
      </c>
      <c r="R80" s="19" t="str">
        <f>TEXT(Planning[[#This Row],[Mes]]*29,"mmmm")</f>
        <v>October</v>
      </c>
      <c r="S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0" s="241"/>
      <c r="U80" s="43" t="e">
        <f>IF(Planning[[#This Row],[Horas Planificadas]]&lt;&gt;0,+K80/Planning[[#This Row],[Horas Planificadas]],0)</f>
        <v>#REF!</v>
      </c>
      <c r="V80" s="43" t="e">
        <f>IF(Planning[[#This Row],[Horas Planificadas]]&lt;&gt;0,Planning[[#This Row],[Horas utilizadas]]/Planning[[#This Row],[Horas Planificadas]],0)</f>
        <v>#REF!</v>
      </c>
      <c r="W80" s="44">
        <f>Planning[[#This Row],[Horas Planificadas]]+Planning[[#This Row],[Horas ajustadas adicionales]]</f>
        <v>60</v>
      </c>
      <c r="X80" s="142"/>
    </row>
    <row r="81" spans="1:24" ht="12.75" customHeight="1" x14ac:dyDescent="0.2">
      <c r="A81" s="7"/>
      <c r="B81" s="7"/>
      <c r="C81" s="3"/>
      <c r="D81" s="3" t="s">
        <v>50</v>
      </c>
      <c r="E81" s="33" t="s">
        <v>31</v>
      </c>
      <c r="F81" s="3"/>
      <c r="G81" s="7"/>
      <c r="H81" s="7">
        <v>60</v>
      </c>
      <c r="I81" s="12"/>
      <c r="J81" s="5" t="e">
        <f>+SUMIFS(#REF!,#REF!,Planning[[#This Row],[Tarifa]],#REF!,Planning[[#This Row],[Proyectos]])</f>
        <v>#REF!</v>
      </c>
      <c r="K81" s="5" t="e">
        <f>Planning[[#This Row],[Horas Planificadas]]+Planning[[#This Row],[Horas ajustadas adicionales]]-Planning[[#This Row],[Horas utilizadas]]</f>
        <v>#REF!</v>
      </c>
      <c r="L81" s="7"/>
      <c r="M81" s="19" t="e">
        <f>Planning[[#This Row],[Saldo]]-Planning[[#This Row],[Saldo estimado]]</f>
        <v>#REF!</v>
      </c>
      <c r="N81" s="60" t="e">
        <f>SUM(SUMIFS(#REF!,#REF!,Planning[[#This Row],[Proyectos]],#REF!,Planning[[#This Row],[Tipo de Tarea y especialidad]]),SUMIFS(#REF!,#REF!,Planning[[#This Row],[Proyectos]],#REF!,Planning[[#This Row],[Tipo de Tarea y especialidad]]))</f>
        <v>#REF!</v>
      </c>
      <c r="O81" s="19">
        <f t="shared" si="2"/>
        <v>10</v>
      </c>
      <c r="P81" s="19">
        <f t="shared" si="3"/>
        <v>2024</v>
      </c>
      <c r="Q81" s="19" t="e">
        <f>+SUMIFS(#REF!,#REF!,Planning[[#This Row],[Tarifa]],#REF!,Planning[[#This Row],[Proyectos]],#REF!,Planning[[#This Row],[Mes]],#REF!,Planning[[#This Row],[Año]])</f>
        <v>#REF!</v>
      </c>
      <c r="R81" s="19" t="str">
        <f>TEXT(Planning[[#This Row],[Mes]]*29,"mmmm")</f>
        <v>October</v>
      </c>
      <c r="S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1" s="241"/>
      <c r="U81" s="43" t="e">
        <f>IF(Planning[[#This Row],[Horas Planificadas]]&lt;&gt;0,+K81/Planning[[#This Row],[Horas Planificadas]],0)</f>
        <v>#REF!</v>
      </c>
      <c r="V81" s="43" t="e">
        <f>IF(Planning[[#This Row],[Horas Planificadas]]&lt;&gt;0,Planning[[#This Row],[Horas utilizadas]]/Planning[[#This Row],[Horas Planificadas]],0)</f>
        <v>#REF!</v>
      </c>
      <c r="W81" s="44">
        <f>Planning[[#This Row],[Horas Planificadas]]+Planning[[#This Row],[Horas ajustadas adicionales]]</f>
        <v>60</v>
      </c>
      <c r="X81" s="142"/>
    </row>
    <row r="82" spans="1:24" ht="12.75" customHeight="1" x14ac:dyDescent="0.2">
      <c r="A82" s="7"/>
      <c r="B82" s="7"/>
      <c r="C82" s="3"/>
      <c r="D82" s="3" t="s">
        <v>50</v>
      </c>
      <c r="E82" s="33" t="s">
        <v>32</v>
      </c>
      <c r="F82" s="3"/>
      <c r="G82" s="7"/>
      <c r="H82" s="7">
        <v>70</v>
      </c>
      <c r="I82" s="12"/>
      <c r="J82" s="5" t="e">
        <f>+SUMIFS(#REF!,#REF!,Planning[[#This Row],[Tarifa]],#REF!,Planning[[#This Row],[Proyectos]])</f>
        <v>#REF!</v>
      </c>
      <c r="K82" s="5" t="e">
        <f>Planning[[#This Row],[Horas Planificadas]]+Planning[[#This Row],[Horas ajustadas adicionales]]-Planning[[#This Row],[Horas utilizadas]]</f>
        <v>#REF!</v>
      </c>
      <c r="L82" s="7"/>
      <c r="M82" s="19" t="e">
        <f>Planning[[#This Row],[Saldo]]-Planning[[#This Row],[Saldo estimado]]</f>
        <v>#REF!</v>
      </c>
      <c r="N82" s="60" t="e">
        <f>SUM(SUMIFS(#REF!,#REF!,Planning[[#This Row],[Proyectos]],#REF!,Planning[[#This Row],[Tipo de Tarea y especialidad]]),SUMIFS(#REF!,#REF!,Planning[[#This Row],[Proyectos]],#REF!,Planning[[#This Row],[Tipo de Tarea y especialidad]]))</f>
        <v>#REF!</v>
      </c>
      <c r="O82" s="19">
        <f t="shared" si="2"/>
        <v>10</v>
      </c>
      <c r="P82" s="19">
        <f t="shared" si="3"/>
        <v>2024</v>
      </c>
      <c r="Q82" s="19" t="e">
        <f>+SUMIFS(#REF!,#REF!,Planning[[#This Row],[Tarifa]],#REF!,Planning[[#This Row],[Proyectos]],#REF!,Planning[[#This Row],[Mes]],#REF!,Planning[[#This Row],[Año]])</f>
        <v>#REF!</v>
      </c>
      <c r="R82" s="19" t="str">
        <f>TEXT(Planning[[#This Row],[Mes]]*29,"mmmm")</f>
        <v>October</v>
      </c>
      <c r="S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2" s="241"/>
      <c r="U82" s="43" t="e">
        <f>IF(Planning[[#This Row],[Horas Planificadas]]&lt;&gt;0,+K82/Planning[[#This Row],[Horas Planificadas]],0)</f>
        <v>#REF!</v>
      </c>
      <c r="V82" s="43" t="e">
        <f>IF(Planning[[#This Row],[Horas Planificadas]]&lt;&gt;0,Planning[[#This Row],[Horas utilizadas]]/Planning[[#This Row],[Horas Planificadas]],0)</f>
        <v>#REF!</v>
      </c>
      <c r="W82" s="44">
        <f>Planning[[#This Row],[Horas Planificadas]]+Planning[[#This Row],[Horas ajustadas adicionales]]</f>
        <v>70</v>
      </c>
      <c r="X82" s="142"/>
    </row>
    <row r="83" spans="1:24" ht="12.75" customHeight="1" x14ac:dyDescent="0.2">
      <c r="A83" s="7"/>
      <c r="B83" s="7"/>
      <c r="C83" s="3"/>
      <c r="D83" s="3" t="s">
        <v>51</v>
      </c>
      <c r="E83" s="33" t="s">
        <v>28</v>
      </c>
      <c r="F83" s="3"/>
      <c r="G83" s="7"/>
      <c r="H83" s="7">
        <v>0</v>
      </c>
      <c r="I83" s="12"/>
      <c r="J83" s="5" t="e">
        <f>+SUMIFS(#REF!,#REF!,Planning[[#This Row],[Tarifa]],#REF!,Planning[[#This Row],[Proyectos]])</f>
        <v>#REF!</v>
      </c>
      <c r="K83" s="5" t="e">
        <f>Planning[[#This Row],[Horas Planificadas]]+Planning[[#This Row],[Horas ajustadas adicionales]]-Planning[[#This Row],[Horas utilizadas]]</f>
        <v>#REF!</v>
      </c>
      <c r="L83" s="7"/>
      <c r="M83" s="19" t="e">
        <f>Planning[[#This Row],[Saldo]]-Planning[[#This Row],[Saldo estimado]]</f>
        <v>#REF!</v>
      </c>
      <c r="N83" s="60" t="e">
        <f>SUM(SUMIFS(#REF!,#REF!,Planning[[#This Row],[Proyectos]],#REF!,Planning[[#This Row],[Tipo de Tarea y especialidad]]),SUMIFS(#REF!,#REF!,Planning[[#This Row],[Proyectos]],#REF!,Planning[[#This Row],[Tipo de Tarea y especialidad]]))</f>
        <v>#REF!</v>
      </c>
      <c r="O83" s="19">
        <f t="shared" si="2"/>
        <v>10</v>
      </c>
      <c r="P83" s="19">
        <f t="shared" si="3"/>
        <v>2024</v>
      </c>
      <c r="Q83" s="19" t="e">
        <f>+SUMIFS(#REF!,#REF!,Planning[[#This Row],[Tarifa]],#REF!,Planning[[#This Row],[Proyectos]],#REF!,Planning[[#This Row],[Mes]],#REF!,Planning[[#This Row],[Año]])</f>
        <v>#REF!</v>
      </c>
      <c r="R83" s="19" t="str">
        <f>TEXT(Planning[[#This Row],[Mes]]*29,"mmmm")</f>
        <v>October</v>
      </c>
      <c r="S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3" s="241"/>
      <c r="U83" s="43">
        <f>IF(Planning[[#This Row],[Horas Planificadas]]&lt;&gt;0,+K83/Planning[[#This Row],[Horas Planificadas]],0)</f>
        <v>0</v>
      </c>
      <c r="V83" s="43">
        <f>IF(Planning[[#This Row],[Horas Planificadas]]&lt;&gt;0,Planning[[#This Row],[Horas utilizadas]]/Planning[[#This Row],[Horas Planificadas]],0)</f>
        <v>0</v>
      </c>
      <c r="W83" s="44">
        <f>Planning[[#This Row],[Horas Planificadas]]+Planning[[#This Row],[Horas ajustadas adicionales]]</f>
        <v>0</v>
      </c>
      <c r="X83" s="142"/>
    </row>
    <row r="84" spans="1:24" ht="12.75" customHeight="1" x14ac:dyDescent="0.2">
      <c r="A84" s="7"/>
      <c r="B84" s="7"/>
      <c r="C84" s="3"/>
      <c r="D84" s="3" t="s">
        <v>51</v>
      </c>
      <c r="E84" s="33" t="s">
        <v>30</v>
      </c>
      <c r="F84" s="3"/>
      <c r="G84" s="7"/>
      <c r="H84" s="7">
        <v>117</v>
      </c>
      <c r="I84" s="12"/>
      <c r="J84" s="5" t="e">
        <f>+SUMIFS(#REF!,#REF!,Planning[[#This Row],[Tarifa]],#REF!,Planning[[#This Row],[Proyectos]])</f>
        <v>#REF!</v>
      </c>
      <c r="K84" s="5" t="e">
        <f>Planning[[#This Row],[Horas Planificadas]]+Planning[[#This Row],[Horas ajustadas adicionales]]-Planning[[#This Row],[Horas utilizadas]]</f>
        <v>#REF!</v>
      </c>
      <c r="L84" s="7"/>
      <c r="M84" s="19" t="e">
        <f>Planning[[#This Row],[Saldo]]-Planning[[#This Row],[Saldo estimado]]</f>
        <v>#REF!</v>
      </c>
      <c r="N84" s="60" t="e">
        <f>SUM(SUMIFS(#REF!,#REF!,Planning[[#This Row],[Proyectos]],#REF!,Planning[[#This Row],[Tipo de Tarea y especialidad]]),SUMIFS(#REF!,#REF!,Planning[[#This Row],[Proyectos]],#REF!,Planning[[#This Row],[Tipo de Tarea y especialidad]]))</f>
        <v>#REF!</v>
      </c>
      <c r="O84" s="19">
        <f t="shared" si="2"/>
        <v>10</v>
      </c>
      <c r="P84" s="19">
        <f t="shared" si="3"/>
        <v>2024</v>
      </c>
      <c r="Q84" s="19" t="e">
        <f>+SUMIFS(#REF!,#REF!,Planning[[#This Row],[Tarifa]],#REF!,Planning[[#This Row],[Proyectos]],#REF!,Planning[[#This Row],[Mes]],#REF!,Planning[[#This Row],[Año]])</f>
        <v>#REF!</v>
      </c>
      <c r="R84" s="19" t="str">
        <f>TEXT(Planning[[#This Row],[Mes]]*29,"mmmm")</f>
        <v>October</v>
      </c>
      <c r="S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4" s="241"/>
      <c r="U84" s="43" t="e">
        <f>IF(Planning[[#This Row],[Horas Planificadas]]&lt;&gt;0,+K84/Planning[[#This Row],[Horas Planificadas]],0)</f>
        <v>#REF!</v>
      </c>
      <c r="V84" s="43" t="e">
        <f>IF(Planning[[#This Row],[Horas Planificadas]]&lt;&gt;0,Planning[[#This Row],[Horas utilizadas]]/Planning[[#This Row],[Horas Planificadas]],0)</f>
        <v>#REF!</v>
      </c>
      <c r="W84" s="44">
        <f>Planning[[#This Row],[Horas Planificadas]]+Planning[[#This Row],[Horas ajustadas adicionales]]</f>
        <v>117</v>
      </c>
      <c r="X84" s="142"/>
    </row>
    <row r="85" spans="1:24" ht="12.75" customHeight="1" x14ac:dyDescent="0.2">
      <c r="A85" s="7"/>
      <c r="B85" s="7"/>
      <c r="C85" s="3"/>
      <c r="D85" s="3" t="s">
        <v>51</v>
      </c>
      <c r="E85" s="33" t="s">
        <v>31</v>
      </c>
      <c r="F85" s="3"/>
      <c r="G85" s="7"/>
      <c r="H85" s="7">
        <v>0</v>
      </c>
      <c r="I85" s="12"/>
      <c r="J85" s="5" t="e">
        <f>+SUMIFS(#REF!,#REF!,Planning[[#This Row],[Tarifa]],#REF!,Planning[[#This Row],[Proyectos]])</f>
        <v>#REF!</v>
      </c>
      <c r="K85" s="5" t="e">
        <f>Planning[[#This Row],[Horas Planificadas]]+Planning[[#This Row],[Horas ajustadas adicionales]]-Planning[[#This Row],[Horas utilizadas]]</f>
        <v>#REF!</v>
      </c>
      <c r="L85" s="7"/>
      <c r="M85" s="19" t="e">
        <f>Planning[[#This Row],[Saldo]]-Planning[[#This Row],[Saldo estimado]]</f>
        <v>#REF!</v>
      </c>
      <c r="N85" s="60" t="e">
        <f>SUM(SUMIFS(#REF!,#REF!,Planning[[#This Row],[Proyectos]],#REF!,Planning[[#This Row],[Tipo de Tarea y especialidad]]),SUMIFS(#REF!,#REF!,Planning[[#This Row],[Proyectos]],#REF!,Planning[[#This Row],[Tipo de Tarea y especialidad]]))</f>
        <v>#REF!</v>
      </c>
      <c r="O85" s="19">
        <f t="shared" si="2"/>
        <v>10</v>
      </c>
      <c r="P85" s="19">
        <f t="shared" si="3"/>
        <v>2024</v>
      </c>
      <c r="Q85" s="19" t="e">
        <f>+SUMIFS(#REF!,#REF!,Planning[[#This Row],[Tarifa]],#REF!,Planning[[#This Row],[Proyectos]],#REF!,Planning[[#This Row],[Mes]],#REF!,Planning[[#This Row],[Año]])</f>
        <v>#REF!</v>
      </c>
      <c r="R85" s="19" t="str">
        <f>TEXT(Planning[[#This Row],[Mes]]*29,"mmmm")</f>
        <v>October</v>
      </c>
      <c r="S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5" s="241"/>
      <c r="U85" s="43">
        <f>IF(Planning[[#This Row],[Horas Planificadas]]&lt;&gt;0,+K85/Planning[[#This Row],[Horas Planificadas]],0)</f>
        <v>0</v>
      </c>
      <c r="V85" s="43">
        <f>IF(Planning[[#This Row],[Horas Planificadas]]&lt;&gt;0,Planning[[#This Row],[Horas utilizadas]]/Planning[[#This Row],[Horas Planificadas]],0)</f>
        <v>0</v>
      </c>
      <c r="W85" s="44">
        <f>Planning[[#This Row],[Horas Planificadas]]+Planning[[#This Row],[Horas ajustadas adicionales]]</f>
        <v>0</v>
      </c>
      <c r="X85" s="142"/>
    </row>
    <row r="86" spans="1:24" ht="12.75" customHeight="1" x14ac:dyDescent="0.2">
      <c r="A86" s="7"/>
      <c r="B86" s="7"/>
      <c r="C86" s="3"/>
      <c r="D86" s="3" t="s">
        <v>51</v>
      </c>
      <c r="E86" s="33" t="s">
        <v>32</v>
      </c>
      <c r="F86" s="3"/>
      <c r="G86" s="7"/>
      <c r="H86" s="7">
        <v>153</v>
      </c>
      <c r="I86" s="12"/>
      <c r="J86" s="5" t="e">
        <f>+SUMIFS(#REF!,#REF!,Planning[[#This Row],[Tarifa]],#REF!,Planning[[#This Row],[Proyectos]])</f>
        <v>#REF!</v>
      </c>
      <c r="K86" s="5" t="e">
        <f>Planning[[#This Row],[Horas Planificadas]]+Planning[[#This Row],[Horas ajustadas adicionales]]-Planning[[#This Row],[Horas utilizadas]]</f>
        <v>#REF!</v>
      </c>
      <c r="L86" s="7"/>
      <c r="M86" s="19" t="e">
        <f>Planning[[#This Row],[Saldo]]-Planning[[#This Row],[Saldo estimado]]</f>
        <v>#REF!</v>
      </c>
      <c r="N86" s="60" t="e">
        <f>SUM(SUMIFS(#REF!,#REF!,Planning[[#This Row],[Proyectos]],#REF!,Planning[[#This Row],[Tipo de Tarea y especialidad]]),SUMIFS(#REF!,#REF!,Planning[[#This Row],[Proyectos]],#REF!,Planning[[#This Row],[Tipo de Tarea y especialidad]]))</f>
        <v>#REF!</v>
      </c>
      <c r="O86" s="19">
        <f t="shared" si="2"/>
        <v>10</v>
      </c>
      <c r="P86" s="19">
        <f t="shared" si="3"/>
        <v>2024</v>
      </c>
      <c r="Q86" s="19" t="e">
        <f>+SUMIFS(#REF!,#REF!,Planning[[#This Row],[Tarifa]],#REF!,Planning[[#This Row],[Proyectos]],#REF!,Planning[[#This Row],[Mes]],#REF!,Planning[[#This Row],[Año]])</f>
        <v>#REF!</v>
      </c>
      <c r="R86" s="19" t="str">
        <f>TEXT(Planning[[#This Row],[Mes]]*29,"mmmm")</f>
        <v>October</v>
      </c>
      <c r="S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6" s="241"/>
      <c r="U86" s="43" t="e">
        <f>IF(Planning[[#This Row],[Horas Planificadas]]&lt;&gt;0,+K86/Planning[[#This Row],[Horas Planificadas]],0)</f>
        <v>#REF!</v>
      </c>
      <c r="V86" s="43" t="e">
        <f>IF(Planning[[#This Row],[Horas Planificadas]]&lt;&gt;0,Planning[[#This Row],[Horas utilizadas]]/Planning[[#This Row],[Horas Planificadas]],0)</f>
        <v>#REF!</v>
      </c>
      <c r="W86" s="44">
        <f>Planning[[#This Row],[Horas Planificadas]]+Planning[[#This Row],[Horas ajustadas adicionales]]</f>
        <v>153</v>
      </c>
      <c r="X86" s="142"/>
    </row>
    <row r="87" spans="1:24" ht="12.75" customHeight="1" x14ac:dyDescent="0.2">
      <c r="A87" s="7"/>
      <c r="B87" s="7"/>
      <c r="C87" s="3"/>
      <c r="D87" s="3" t="s">
        <v>52</v>
      </c>
      <c r="E87" s="33" t="s">
        <v>28</v>
      </c>
      <c r="F87" s="3"/>
      <c r="G87" s="7"/>
      <c r="H87" s="7">
        <v>1403</v>
      </c>
      <c r="I87" s="12"/>
      <c r="J87" s="5" t="e">
        <f>+SUMIFS(#REF!,#REF!,Planning[[#This Row],[Tarifa]],#REF!,Planning[[#This Row],[Proyectos]])</f>
        <v>#REF!</v>
      </c>
      <c r="K87" s="5" t="e">
        <f>Planning[[#This Row],[Horas Planificadas]]+Planning[[#This Row],[Horas ajustadas adicionales]]-Planning[[#This Row],[Horas utilizadas]]</f>
        <v>#REF!</v>
      </c>
      <c r="L87" s="7"/>
      <c r="M87" s="19" t="e">
        <f>Planning[[#This Row],[Saldo]]-Planning[[#This Row],[Saldo estimado]]</f>
        <v>#REF!</v>
      </c>
      <c r="N87" s="60" t="e">
        <f>SUM(SUMIFS(#REF!,#REF!,Planning[[#This Row],[Proyectos]],#REF!,Planning[[#This Row],[Tipo de Tarea y especialidad]]),SUMIFS(#REF!,#REF!,Planning[[#This Row],[Proyectos]],#REF!,Planning[[#This Row],[Tipo de Tarea y especialidad]]))</f>
        <v>#REF!</v>
      </c>
      <c r="O87" s="19">
        <f t="shared" si="2"/>
        <v>10</v>
      </c>
      <c r="P87" s="19">
        <f t="shared" si="3"/>
        <v>2024</v>
      </c>
      <c r="Q87" s="19" t="e">
        <f>+SUMIFS(#REF!,#REF!,Planning[[#This Row],[Tarifa]],#REF!,Planning[[#This Row],[Proyectos]],#REF!,Planning[[#This Row],[Mes]],#REF!,Planning[[#This Row],[Año]])</f>
        <v>#REF!</v>
      </c>
      <c r="R87" s="19" t="str">
        <f>TEXT(Planning[[#This Row],[Mes]]*29,"mmmm")</f>
        <v>October</v>
      </c>
      <c r="S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7" s="241"/>
      <c r="U87" s="43" t="e">
        <f>IF(Planning[[#This Row],[Horas Planificadas]]&lt;&gt;0,+K87/Planning[[#This Row],[Horas Planificadas]],0)</f>
        <v>#REF!</v>
      </c>
      <c r="V87" s="43" t="e">
        <f>IF(Planning[[#This Row],[Horas Planificadas]]&lt;&gt;0,Planning[[#This Row],[Horas utilizadas]]/Planning[[#This Row],[Horas Planificadas]],0)</f>
        <v>#REF!</v>
      </c>
      <c r="W87" s="44">
        <f>Planning[[#This Row],[Horas Planificadas]]+Planning[[#This Row],[Horas ajustadas adicionales]]</f>
        <v>1403</v>
      </c>
      <c r="X87" s="142"/>
    </row>
    <row r="88" spans="1:24" ht="12.75" customHeight="1" x14ac:dyDescent="0.2">
      <c r="A88" s="7"/>
      <c r="B88" s="7"/>
      <c r="C88" s="3"/>
      <c r="D88" s="3" t="s">
        <v>52</v>
      </c>
      <c r="E88" s="33" t="s">
        <v>30</v>
      </c>
      <c r="F88" s="3"/>
      <c r="G88" s="7"/>
      <c r="H88" s="7">
        <v>1271</v>
      </c>
      <c r="I88" s="12"/>
      <c r="J88" s="5" t="e">
        <f>+SUMIFS(#REF!,#REF!,Planning[[#This Row],[Tarifa]],#REF!,Planning[[#This Row],[Proyectos]])</f>
        <v>#REF!</v>
      </c>
      <c r="K88" s="5" t="e">
        <f>Planning[[#This Row],[Horas Planificadas]]+Planning[[#This Row],[Horas ajustadas adicionales]]-Planning[[#This Row],[Horas utilizadas]]</f>
        <v>#REF!</v>
      </c>
      <c r="L88" s="7"/>
      <c r="M88" s="19" t="e">
        <f>Planning[[#This Row],[Saldo]]-Planning[[#This Row],[Saldo estimado]]</f>
        <v>#REF!</v>
      </c>
      <c r="N88" s="60" t="e">
        <f>SUM(SUMIFS(#REF!,#REF!,Planning[[#This Row],[Proyectos]],#REF!,Planning[[#This Row],[Tipo de Tarea y especialidad]]),SUMIFS(#REF!,#REF!,Planning[[#This Row],[Proyectos]],#REF!,Planning[[#This Row],[Tipo de Tarea y especialidad]]))</f>
        <v>#REF!</v>
      </c>
      <c r="O88" s="19">
        <f t="shared" si="2"/>
        <v>10</v>
      </c>
      <c r="P88" s="19">
        <f t="shared" si="3"/>
        <v>2024</v>
      </c>
      <c r="Q88" s="19" t="e">
        <f>+SUMIFS(#REF!,#REF!,Planning[[#This Row],[Tarifa]],#REF!,Planning[[#This Row],[Proyectos]],#REF!,Planning[[#This Row],[Mes]],#REF!,Planning[[#This Row],[Año]])</f>
        <v>#REF!</v>
      </c>
      <c r="R88" s="19" t="str">
        <f>TEXT(Planning[[#This Row],[Mes]]*29,"mmmm")</f>
        <v>October</v>
      </c>
      <c r="S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8" s="241"/>
      <c r="U88" s="43" t="e">
        <f>IF(Planning[[#This Row],[Horas Planificadas]]&lt;&gt;0,+K88/Planning[[#This Row],[Horas Planificadas]],0)</f>
        <v>#REF!</v>
      </c>
      <c r="V88" s="43" t="e">
        <f>IF(Planning[[#This Row],[Horas Planificadas]]&lt;&gt;0,Planning[[#This Row],[Horas utilizadas]]/Planning[[#This Row],[Horas Planificadas]],0)</f>
        <v>#REF!</v>
      </c>
      <c r="W88" s="44">
        <f>Planning[[#This Row],[Horas Planificadas]]+Planning[[#This Row],[Horas ajustadas adicionales]]</f>
        <v>1271</v>
      </c>
      <c r="X88" s="142"/>
    </row>
    <row r="89" spans="1:24" ht="12.75" customHeight="1" x14ac:dyDescent="0.2">
      <c r="A89" s="7"/>
      <c r="B89" s="7"/>
      <c r="C89" s="3"/>
      <c r="D89" s="3" t="s">
        <v>52</v>
      </c>
      <c r="E89" s="33" t="s">
        <v>31</v>
      </c>
      <c r="F89" s="3"/>
      <c r="G89" s="7"/>
      <c r="H89" s="7">
        <v>204</v>
      </c>
      <c r="I89" s="12"/>
      <c r="J89" s="5" t="e">
        <f>+SUMIFS(#REF!,#REF!,Planning[[#This Row],[Tarifa]],#REF!,Planning[[#This Row],[Proyectos]])</f>
        <v>#REF!</v>
      </c>
      <c r="K89" s="5" t="e">
        <f>Planning[[#This Row],[Horas Planificadas]]+Planning[[#This Row],[Horas ajustadas adicionales]]-Planning[[#This Row],[Horas utilizadas]]</f>
        <v>#REF!</v>
      </c>
      <c r="L89" s="7"/>
      <c r="M89" s="19" t="e">
        <f>Planning[[#This Row],[Saldo]]-Planning[[#This Row],[Saldo estimado]]</f>
        <v>#REF!</v>
      </c>
      <c r="N89" s="60" t="e">
        <f>SUM(SUMIFS(#REF!,#REF!,Planning[[#This Row],[Proyectos]],#REF!,Planning[[#This Row],[Tipo de Tarea y especialidad]]),SUMIFS(#REF!,#REF!,Planning[[#This Row],[Proyectos]],#REF!,Planning[[#This Row],[Tipo de Tarea y especialidad]]))</f>
        <v>#REF!</v>
      </c>
      <c r="O89" s="19">
        <f t="shared" si="2"/>
        <v>10</v>
      </c>
      <c r="P89" s="19">
        <f t="shared" si="3"/>
        <v>2024</v>
      </c>
      <c r="Q89" s="19" t="e">
        <f>+SUMIFS(#REF!,#REF!,Planning[[#This Row],[Tarifa]],#REF!,Planning[[#This Row],[Proyectos]],#REF!,Planning[[#This Row],[Mes]],#REF!,Planning[[#This Row],[Año]])</f>
        <v>#REF!</v>
      </c>
      <c r="R89" s="19" t="str">
        <f>TEXT(Planning[[#This Row],[Mes]]*29,"mmmm")</f>
        <v>October</v>
      </c>
      <c r="S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9" s="241"/>
      <c r="U89" s="43" t="e">
        <f>IF(Planning[[#This Row],[Horas Planificadas]]&lt;&gt;0,+K89/Planning[[#This Row],[Horas Planificadas]],0)</f>
        <v>#REF!</v>
      </c>
      <c r="V89" s="43" t="e">
        <f>IF(Planning[[#This Row],[Horas Planificadas]]&lt;&gt;0,Planning[[#This Row],[Horas utilizadas]]/Planning[[#This Row],[Horas Planificadas]],0)</f>
        <v>#REF!</v>
      </c>
      <c r="W89" s="44">
        <f>Planning[[#This Row],[Horas Planificadas]]+Planning[[#This Row],[Horas ajustadas adicionales]]</f>
        <v>204</v>
      </c>
      <c r="X89" s="142"/>
    </row>
    <row r="90" spans="1:24" ht="12.75" customHeight="1" x14ac:dyDescent="0.2">
      <c r="A90" s="7"/>
      <c r="B90" s="7"/>
      <c r="C90" s="3"/>
      <c r="D90" s="3" t="s">
        <v>52</v>
      </c>
      <c r="E90" s="33" t="s">
        <v>32</v>
      </c>
      <c r="F90" s="3"/>
      <c r="G90" s="7"/>
      <c r="H90" s="7">
        <v>481</v>
      </c>
      <c r="I90" s="12"/>
      <c r="J90" s="5" t="e">
        <f>+SUMIFS(#REF!,#REF!,Planning[[#This Row],[Tarifa]],#REF!,Planning[[#This Row],[Proyectos]])</f>
        <v>#REF!</v>
      </c>
      <c r="K90" s="5" t="e">
        <f>Planning[[#This Row],[Horas Planificadas]]+Planning[[#This Row],[Horas ajustadas adicionales]]-Planning[[#This Row],[Horas utilizadas]]</f>
        <v>#REF!</v>
      </c>
      <c r="L90" s="7"/>
      <c r="M90" s="19" t="e">
        <f>Planning[[#This Row],[Saldo]]-Planning[[#This Row],[Saldo estimado]]</f>
        <v>#REF!</v>
      </c>
      <c r="N90" s="60" t="e">
        <f>SUM(SUMIFS(#REF!,#REF!,Planning[[#This Row],[Proyectos]],#REF!,Planning[[#This Row],[Tipo de Tarea y especialidad]]),SUMIFS(#REF!,#REF!,Planning[[#This Row],[Proyectos]],#REF!,Planning[[#This Row],[Tipo de Tarea y especialidad]]))</f>
        <v>#REF!</v>
      </c>
      <c r="O90" s="19">
        <f t="shared" si="2"/>
        <v>10</v>
      </c>
      <c r="P90" s="19">
        <f t="shared" si="3"/>
        <v>2024</v>
      </c>
      <c r="Q90" s="19" t="e">
        <f>+SUMIFS(#REF!,#REF!,Planning[[#This Row],[Tarifa]],#REF!,Planning[[#This Row],[Proyectos]],#REF!,Planning[[#This Row],[Mes]],#REF!,Planning[[#This Row],[Año]])</f>
        <v>#REF!</v>
      </c>
      <c r="R90" s="19" t="str">
        <f>TEXT(Planning[[#This Row],[Mes]]*29,"mmmm")</f>
        <v>October</v>
      </c>
      <c r="S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0" s="241"/>
      <c r="U90" s="43" t="e">
        <f>IF(Planning[[#This Row],[Horas Planificadas]]&lt;&gt;0,+K90/Planning[[#This Row],[Horas Planificadas]],0)</f>
        <v>#REF!</v>
      </c>
      <c r="V90" s="43" t="e">
        <f>IF(Planning[[#This Row],[Horas Planificadas]]&lt;&gt;0,Planning[[#This Row],[Horas utilizadas]]/Planning[[#This Row],[Horas Planificadas]],0)</f>
        <v>#REF!</v>
      </c>
      <c r="W90" s="44">
        <f>Planning[[#This Row],[Horas Planificadas]]+Planning[[#This Row],[Horas ajustadas adicionales]]</f>
        <v>481</v>
      </c>
      <c r="X90" s="142"/>
    </row>
    <row r="91" spans="1:24" ht="12.75" customHeight="1" x14ac:dyDescent="0.2">
      <c r="A91" s="7"/>
      <c r="B91" s="7"/>
      <c r="C91" s="3"/>
      <c r="D91" s="3" t="s">
        <v>53</v>
      </c>
      <c r="E91" s="33" t="s">
        <v>28</v>
      </c>
      <c r="F91" s="3"/>
      <c r="G91" s="7"/>
      <c r="H91" s="7">
        <v>1049</v>
      </c>
      <c r="I91" s="12"/>
      <c r="J91" s="5" t="e">
        <f>+SUMIFS(#REF!,#REF!,Planning[[#This Row],[Tarifa]],#REF!,Planning[[#This Row],[Proyectos]])</f>
        <v>#REF!</v>
      </c>
      <c r="K91" s="5" t="e">
        <f>Planning[[#This Row],[Horas Planificadas]]+Planning[[#This Row],[Horas ajustadas adicionales]]-Planning[[#This Row],[Horas utilizadas]]</f>
        <v>#REF!</v>
      </c>
      <c r="L91" s="7"/>
      <c r="M91" s="19" t="e">
        <f>Planning[[#This Row],[Saldo]]-Planning[[#This Row],[Saldo estimado]]</f>
        <v>#REF!</v>
      </c>
      <c r="N91" s="60" t="e">
        <f>SUM(SUMIFS(#REF!,#REF!,Planning[[#This Row],[Proyectos]],#REF!,Planning[[#This Row],[Tipo de Tarea y especialidad]]),SUMIFS(#REF!,#REF!,Planning[[#This Row],[Proyectos]],#REF!,Planning[[#This Row],[Tipo de Tarea y especialidad]]))</f>
        <v>#REF!</v>
      </c>
      <c r="O91" s="19">
        <f t="shared" si="2"/>
        <v>10</v>
      </c>
      <c r="P91" s="19">
        <f t="shared" si="3"/>
        <v>2024</v>
      </c>
      <c r="Q91" s="19" t="e">
        <f>+SUMIFS(#REF!,#REF!,Planning[[#This Row],[Tarifa]],#REF!,Planning[[#This Row],[Proyectos]],#REF!,Planning[[#This Row],[Mes]],#REF!,Planning[[#This Row],[Año]])</f>
        <v>#REF!</v>
      </c>
      <c r="R91" s="19" t="str">
        <f>TEXT(Planning[[#This Row],[Mes]]*29,"mmmm")</f>
        <v>October</v>
      </c>
      <c r="S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1" s="241"/>
      <c r="U91" s="43" t="e">
        <f>IF(Planning[[#This Row],[Horas Planificadas]]&lt;&gt;0,+K91/Planning[[#This Row],[Horas Planificadas]],0)</f>
        <v>#REF!</v>
      </c>
      <c r="V91" s="43" t="e">
        <f>IF(Planning[[#This Row],[Horas Planificadas]]&lt;&gt;0,Planning[[#This Row],[Horas utilizadas]]/Planning[[#This Row],[Horas Planificadas]],0)</f>
        <v>#REF!</v>
      </c>
      <c r="W91" s="44">
        <f>Planning[[#This Row],[Horas Planificadas]]+Planning[[#This Row],[Horas ajustadas adicionales]]</f>
        <v>1049</v>
      </c>
      <c r="X91" s="142"/>
    </row>
    <row r="92" spans="1:24" ht="12.75" customHeight="1" x14ac:dyDescent="0.2">
      <c r="A92" s="7"/>
      <c r="B92" s="7"/>
      <c r="C92" s="3"/>
      <c r="D92" s="3" t="s">
        <v>53</v>
      </c>
      <c r="E92" s="33" t="s">
        <v>30</v>
      </c>
      <c r="F92" s="3"/>
      <c r="G92" s="7"/>
      <c r="H92" s="7">
        <v>798</v>
      </c>
      <c r="I92" s="12"/>
      <c r="J92" s="5" t="e">
        <f>+SUMIFS(#REF!,#REF!,Planning[[#This Row],[Tarifa]],#REF!,Planning[[#This Row],[Proyectos]])</f>
        <v>#REF!</v>
      </c>
      <c r="K92" s="5" t="e">
        <f>Planning[[#This Row],[Horas Planificadas]]+Planning[[#This Row],[Horas ajustadas adicionales]]-Planning[[#This Row],[Horas utilizadas]]</f>
        <v>#REF!</v>
      </c>
      <c r="L92" s="7"/>
      <c r="M92" s="19" t="e">
        <f>Planning[[#This Row],[Saldo]]-Planning[[#This Row],[Saldo estimado]]</f>
        <v>#REF!</v>
      </c>
      <c r="N92" s="60" t="e">
        <f>SUM(SUMIFS(#REF!,#REF!,Planning[[#This Row],[Proyectos]],#REF!,Planning[[#This Row],[Tipo de Tarea y especialidad]]),SUMIFS(#REF!,#REF!,Planning[[#This Row],[Proyectos]],#REF!,Planning[[#This Row],[Tipo de Tarea y especialidad]]))</f>
        <v>#REF!</v>
      </c>
      <c r="O92" s="19">
        <f t="shared" si="2"/>
        <v>10</v>
      </c>
      <c r="P92" s="19">
        <f t="shared" si="3"/>
        <v>2024</v>
      </c>
      <c r="Q92" s="19" t="e">
        <f>+SUMIFS(#REF!,#REF!,Planning[[#This Row],[Tarifa]],#REF!,Planning[[#This Row],[Proyectos]],#REF!,Planning[[#This Row],[Mes]],#REF!,Planning[[#This Row],[Año]])</f>
        <v>#REF!</v>
      </c>
      <c r="R92" s="19" t="str">
        <f>TEXT(Planning[[#This Row],[Mes]]*29,"mmmm")</f>
        <v>October</v>
      </c>
      <c r="S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2" s="241"/>
      <c r="U92" s="43" t="e">
        <f>IF(Planning[[#This Row],[Horas Planificadas]]&lt;&gt;0,+K92/Planning[[#This Row],[Horas Planificadas]],0)</f>
        <v>#REF!</v>
      </c>
      <c r="V92" s="43" t="e">
        <f>IF(Planning[[#This Row],[Horas Planificadas]]&lt;&gt;0,Planning[[#This Row],[Horas utilizadas]]/Planning[[#This Row],[Horas Planificadas]],0)</f>
        <v>#REF!</v>
      </c>
      <c r="W92" s="44">
        <f>Planning[[#This Row],[Horas Planificadas]]+Planning[[#This Row],[Horas ajustadas adicionales]]</f>
        <v>798</v>
      </c>
      <c r="X92" s="142"/>
    </row>
    <row r="93" spans="1:24" ht="12.75" customHeight="1" x14ac:dyDescent="0.2">
      <c r="A93" s="7"/>
      <c r="B93" s="7"/>
      <c r="C93" s="3"/>
      <c r="D93" s="3" t="s">
        <v>53</v>
      </c>
      <c r="E93" s="33" t="s">
        <v>31</v>
      </c>
      <c r="F93" s="3"/>
      <c r="G93" s="7"/>
      <c r="H93" s="7">
        <v>167</v>
      </c>
      <c r="I93" s="12"/>
      <c r="J93" s="5" t="e">
        <f>+SUMIFS(#REF!,#REF!,Planning[[#This Row],[Tarifa]],#REF!,Planning[[#This Row],[Proyectos]])</f>
        <v>#REF!</v>
      </c>
      <c r="K93" s="5" t="e">
        <f>Planning[[#This Row],[Horas Planificadas]]+Planning[[#This Row],[Horas ajustadas adicionales]]-Planning[[#This Row],[Horas utilizadas]]</f>
        <v>#REF!</v>
      </c>
      <c r="L93" s="7"/>
      <c r="M93" s="19" t="e">
        <f>Planning[[#This Row],[Saldo]]-Planning[[#This Row],[Saldo estimado]]</f>
        <v>#REF!</v>
      </c>
      <c r="N93" s="60" t="e">
        <f>SUM(SUMIFS(#REF!,#REF!,Planning[[#This Row],[Proyectos]],#REF!,Planning[[#This Row],[Tipo de Tarea y especialidad]]),SUMIFS(#REF!,#REF!,Planning[[#This Row],[Proyectos]],#REF!,Planning[[#This Row],[Tipo de Tarea y especialidad]]))</f>
        <v>#REF!</v>
      </c>
      <c r="O93" s="19">
        <f t="shared" si="2"/>
        <v>10</v>
      </c>
      <c r="P93" s="19">
        <f t="shared" si="3"/>
        <v>2024</v>
      </c>
      <c r="Q93" s="19" t="e">
        <f>+SUMIFS(#REF!,#REF!,Planning[[#This Row],[Tarifa]],#REF!,Planning[[#This Row],[Proyectos]],#REF!,Planning[[#This Row],[Mes]],#REF!,Planning[[#This Row],[Año]])</f>
        <v>#REF!</v>
      </c>
      <c r="R93" s="19" t="str">
        <f>TEXT(Planning[[#This Row],[Mes]]*29,"mmmm")</f>
        <v>October</v>
      </c>
      <c r="S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3" s="241"/>
      <c r="U93" s="43" t="e">
        <f>IF(Planning[[#This Row],[Horas Planificadas]]&lt;&gt;0,+K93/Planning[[#This Row],[Horas Planificadas]],0)</f>
        <v>#REF!</v>
      </c>
      <c r="V93" s="43" t="e">
        <f>IF(Planning[[#This Row],[Horas Planificadas]]&lt;&gt;0,Planning[[#This Row],[Horas utilizadas]]/Planning[[#This Row],[Horas Planificadas]],0)</f>
        <v>#REF!</v>
      </c>
      <c r="W93" s="44">
        <f>Planning[[#This Row],[Horas Planificadas]]+Planning[[#This Row],[Horas ajustadas adicionales]]</f>
        <v>167</v>
      </c>
      <c r="X93" s="142"/>
    </row>
    <row r="94" spans="1:24" ht="12.75" customHeight="1" x14ac:dyDescent="0.2">
      <c r="A94" s="7"/>
      <c r="B94" s="7"/>
      <c r="C94" s="3"/>
      <c r="D94" s="3" t="s">
        <v>53</v>
      </c>
      <c r="E94" s="33" t="s">
        <v>32</v>
      </c>
      <c r="F94" s="3"/>
      <c r="G94" s="7"/>
      <c r="H94" s="7">
        <v>402</v>
      </c>
      <c r="I94" s="12"/>
      <c r="J94" s="5" t="e">
        <f>+SUMIFS(#REF!,#REF!,Planning[[#This Row],[Tarifa]],#REF!,Planning[[#This Row],[Proyectos]])</f>
        <v>#REF!</v>
      </c>
      <c r="K94" s="5" t="e">
        <f>Planning[[#This Row],[Horas Planificadas]]+Planning[[#This Row],[Horas ajustadas adicionales]]-Planning[[#This Row],[Horas utilizadas]]</f>
        <v>#REF!</v>
      </c>
      <c r="L94" s="7"/>
      <c r="M94" s="19" t="e">
        <f>Planning[[#This Row],[Saldo]]-Planning[[#This Row],[Saldo estimado]]</f>
        <v>#REF!</v>
      </c>
      <c r="N94" s="60" t="e">
        <f>SUM(SUMIFS(#REF!,#REF!,Planning[[#This Row],[Proyectos]],#REF!,Planning[[#This Row],[Tipo de Tarea y especialidad]]),SUMIFS(#REF!,#REF!,Planning[[#This Row],[Proyectos]],#REF!,Planning[[#This Row],[Tipo de Tarea y especialidad]]))</f>
        <v>#REF!</v>
      </c>
      <c r="O94" s="19">
        <f t="shared" si="2"/>
        <v>10</v>
      </c>
      <c r="P94" s="19">
        <f t="shared" si="3"/>
        <v>2024</v>
      </c>
      <c r="Q94" s="19" t="e">
        <f>+SUMIFS(#REF!,#REF!,Planning[[#This Row],[Tarifa]],#REF!,Planning[[#This Row],[Proyectos]],#REF!,Planning[[#This Row],[Mes]],#REF!,Planning[[#This Row],[Año]])</f>
        <v>#REF!</v>
      </c>
      <c r="R94" s="19" t="str">
        <f>TEXT(Planning[[#This Row],[Mes]]*29,"mmmm")</f>
        <v>October</v>
      </c>
      <c r="S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4" s="241"/>
      <c r="U94" s="43" t="e">
        <f>IF(Planning[[#This Row],[Horas Planificadas]]&lt;&gt;0,+K94/Planning[[#This Row],[Horas Planificadas]],0)</f>
        <v>#REF!</v>
      </c>
      <c r="V94" s="43" t="e">
        <f>IF(Planning[[#This Row],[Horas Planificadas]]&lt;&gt;0,Planning[[#This Row],[Horas utilizadas]]/Planning[[#This Row],[Horas Planificadas]],0)</f>
        <v>#REF!</v>
      </c>
      <c r="W94" s="44">
        <f>Planning[[#This Row],[Horas Planificadas]]+Planning[[#This Row],[Horas ajustadas adicionales]]</f>
        <v>402</v>
      </c>
      <c r="X94" s="142"/>
    </row>
    <row r="95" spans="1:24" ht="12.75" customHeight="1" x14ac:dyDescent="0.2">
      <c r="A95" s="7"/>
      <c r="B95" s="7"/>
      <c r="C95" s="3"/>
      <c r="D95" s="3" t="s">
        <v>54</v>
      </c>
      <c r="E95" s="33" t="s">
        <v>28</v>
      </c>
      <c r="F95" s="3"/>
      <c r="G95" s="7"/>
      <c r="H95" s="7">
        <v>80</v>
      </c>
      <c r="I95" s="12"/>
      <c r="J95" s="5" t="e">
        <f>+SUMIFS(#REF!,#REF!,Planning[[#This Row],[Tarifa]],#REF!,Planning[[#This Row],[Proyectos]])</f>
        <v>#REF!</v>
      </c>
      <c r="K95" s="5" t="e">
        <f>Planning[[#This Row],[Horas Planificadas]]+Planning[[#This Row],[Horas ajustadas adicionales]]-Planning[[#This Row],[Horas utilizadas]]</f>
        <v>#REF!</v>
      </c>
      <c r="L95" s="7"/>
      <c r="M95" s="19" t="e">
        <f>Planning[[#This Row],[Saldo]]-Planning[[#This Row],[Saldo estimado]]</f>
        <v>#REF!</v>
      </c>
      <c r="N95" s="60" t="e">
        <f>SUM(SUMIFS(#REF!,#REF!,Planning[[#This Row],[Proyectos]],#REF!,Planning[[#This Row],[Tipo de Tarea y especialidad]]),SUMIFS(#REF!,#REF!,Planning[[#This Row],[Proyectos]],#REF!,Planning[[#This Row],[Tipo de Tarea y especialidad]]))</f>
        <v>#REF!</v>
      </c>
      <c r="O95" s="19">
        <f t="shared" si="2"/>
        <v>10</v>
      </c>
      <c r="P95" s="19">
        <f t="shared" si="3"/>
        <v>2024</v>
      </c>
      <c r="Q95" s="19" t="e">
        <f>+SUMIFS(#REF!,#REF!,Planning[[#This Row],[Tarifa]],#REF!,Planning[[#This Row],[Proyectos]],#REF!,Planning[[#This Row],[Mes]],#REF!,Planning[[#This Row],[Año]])</f>
        <v>#REF!</v>
      </c>
      <c r="R95" s="19" t="str">
        <f>TEXT(Planning[[#This Row],[Mes]]*29,"mmmm")</f>
        <v>October</v>
      </c>
      <c r="S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5" s="241"/>
      <c r="U95" s="43" t="e">
        <f>IF(Planning[[#This Row],[Horas Planificadas]]&lt;&gt;0,+K95/Planning[[#This Row],[Horas Planificadas]],0)</f>
        <v>#REF!</v>
      </c>
      <c r="V95" s="43" t="e">
        <f>IF(Planning[[#This Row],[Horas Planificadas]]&lt;&gt;0,Planning[[#This Row],[Horas utilizadas]]/Planning[[#This Row],[Horas Planificadas]],0)</f>
        <v>#REF!</v>
      </c>
      <c r="W95" s="44">
        <f>Planning[[#This Row],[Horas Planificadas]]+Planning[[#This Row],[Horas ajustadas adicionales]]</f>
        <v>80</v>
      </c>
      <c r="X95" s="142"/>
    </row>
    <row r="96" spans="1:24" ht="12.75" customHeight="1" x14ac:dyDescent="0.2">
      <c r="A96" s="7"/>
      <c r="B96" s="7"/>
      <c r="C96" s="3"/>
      <c r="D96" s="3" t="s">
        <v>54</v>
      </c>
      <c r="E96" s="33" t="s">
        <v>30</v>
      </c>
      <c r="F96" s="3"/>
      <c r="G96" s="7"/>
      <c r="H96" s="7">
        <v>160</v>
      </c>
      <c r="I96" s="12"/>
      <c r="J96" s="5" t="e">
        <f>+SUMIFS(#REF!,#REF!,Planning[[#This Row],[Tarifa]],#REF!,Planning[[#This Row],[Proyectos]])</f>
        <v>#REF!</v>
      </c>
      <c r="K96" s="5" t="e">
        <f>Planning[[#This Row],[Horas Planificadas]]+Planning[[#This Row],[Horas ajustadas adicionales]]-Planning[[#This Row],[Horas utilizadas]]</f>
        <v>#REF!</v>
      </c>
      <c r="L96" s="7"/>
      <c r="M96" s="19" t="e">
        <f>Planning[[#This Row],[Saldo]]-Planning[[#This Row],[Saldo estimado]]</f>
        <v>#REF!</v>
      </c>
      <c r="N96" s="60" t="e">
        <f>SUM(SUMIFS(#REF!,#REF!,Planning[[#This Row],[Proyectos]],#REF!,Planning[[#This Row],[Tipo de Tarea y especialidad]]),SUMIFS(#REF!,#REF!,Planning[[#This Row],[Proyectos]],#REF!,Planning[[#This Row],[Tipo de Tarea y especialidad]]))</f>
        <v>#REF!</v>
      </c>
      <c r="O96" s="19">
        <f t="shared" si="2"/>
        <v>10</v>
      </c>
      <c r="P96" s="19">
        <f t="shared" si="3"/>
        <v>2024</v>
      </c>
      <c r="Q96" s="19" t="e">
        <f>+SUMIFS(#REF!,#REF!,Planning[[#This Row],[Tarifa]],#REF!,Planning[[#This Row],[Proyectos]],#REF!,Planning[[#This Row],[Mes]],#REF!,Planning[[#This Row],[Año]])</f>
        <v>#REF!</v>
      </c>
      <c r="R96" s="19" t="str">
        <f>TEXT(Planning[[#This Row],[Mes]]*29,"mmmm")</f>
        <v>October</v>
      </c>
      <c r="S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6" s="241"/>
      <c r="U96" s="43" t="e">
        <f>IF(Planning[[#This Row],[Horas Planificadas]]&lt;&gt;0,+K96/Planning[[#This Row],[Horas Planificadas]],0)</f>
        <v>#REF!</v>
      </c>
      <c r="V96" s="43" t="e">
        <f>IF(Planning[[#This Row],[Horas Planificadas]]&lt;&gt;0,Planning[[#This Row],[Horas utilizadas]]/Planning[[#This Row],[Horas Planificadas]],0)</f>
        <v>#REF!</v>
      </c>
      <c r="W96" s="44">
        <f>Planning[[#This Row],[Horas Planificadas]]+Planning[[#This Row],[Horas ajustadas adicionales]]</f>
        <v>160</v>
      </c>
      <c r="X96" s="142"/>
    </row>
    <row r="97" spans="1:24" ht="12.75" customHeight="1" x14ac:dyDescent="0.2">
      <c r="A97" s="7"/>
      <c r="B97" s="7"/>
      <c r="C97" s="3"/>
      <c r="D97" s="3" t="s">
        <v>54</v>
      </c>
      <c r="E97" s="33" t="s">
        <v>31</v>
      </c>
      <c r="F97" s="3"/>
      <c r="G97" s="7"/>
      <c r="H97" s="7">
        <v>120</v>
      </c>
      <c r="I97" s="12"/>
      <c r="J97" s="5" t="e">
        <f>+SUMIFS(#REF!,#REF!,Planning[[#This Row],[Tarifa]],#REF!,Planning[[#This Row],[Proyectos]])</f>
        <v>#REF!</v>
      </c>
      <c r="K97" s="5" t="e">
        <f>Planning[[#This Row],[Horas Planificadas]]+Planning[[#This Row],[Horas ajustadas adicionales]]-Planning[[#This Row],[Horas utilizadas]]</f>
        <v>#REF!</v>
      </c>
      <c r="L97" s="7"/>
      <c r="M97" s="19" t="e">
        <f>Planning[[#This Row],[Saldo]]-Planning[[#This Row],[Saldo estimado]]</f>
        <v>#REF!</v>
      </c>
      <c r="N97" s="60" t="e">
        <f>SUM(SUMIFS(#REF!,#REF!,Planning[[#This Row],[Proyectos]],#REF!,Planning[[#This Row],[Tipo de Tarea y especialidad]]),SUMIFS(#REF!,#REF!,Planning[[#This Row],[Proyectos]],#REF!,Planning[[#This Row],[Tipo de Tarea y especialidad]]))</f>
        <v>#REF!</v>
      </c>
      <c r="O97" s="19">
        <f t="shared" si="2"/>
        <v>10</v>
      </c>
      <c r="P97" s="19">
        <f t="shared" si="3"/>
        <v>2024</v>
      </c>
      <c r="Q97" s="19" t="e">
        <f>+SUMIFS(#REF!,#REF!,Planning[[#This Row],[Tarifa]],#REF!,Planning[[#This Row],[Proyectos]],#REF!,Planning[[#This Row],[Mes]],#REF!,Planning[[#This Row],[Año]])</f>
        <v>#REF!</v>
      </c>
      <c r="R97" s="19" t="str">
        <f>TEXT(Planning[[#This Row],[Mes]]*29,"mmmm")</f>
        <v>October</v>
      </c>
      <c r="S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7" s="241"/>
      <c r="U97" s="43" t="e">
        <f>IF(Planning[[#This Row],[Horas Planificadas]]&lt;&gt;0,+K97/Planning[[#This Row],[Horas Planificadas]],0)</f>
        <v>#REF!</v>
      </c>
      <c r="V97" s="43" t="e">
        <f>IF(Planning[[#This Row],[Horas Planificadas]]&lt;&gt;0,Planning[[#This Row],[Horas utilizadas]]/Planning[[#This Row],[Horas Planificadas]],0)</f>
        <v>#REF!</v>
      </c>
      <c r="W97" s="44">
        <f>Planning[[#This Row],[Horas Planificadas]]+Planning[[#This Row],[Horas ajustadas adicionales]]</f>
        <v>120</v>
      </c>
      <c r="X97" s="142"/>
    </row>
    <row r="98" spans="1:24" ht="12.75" customHeight="1" x14ac:dyDescent="0.2">
      <c r="A98" s="7"/>
      <c r="B98" s="7"/>
      <c r="C98" s="3"/>
      <c r="D98" s="3" t="s">
        <v>54</v>
      </c>
      <c r="E98" s="33" t="s">
        <v>32</v>
      </c>
      <c r="F98" s="3"/>
      <c r="G98" s="7"/>
      <c r="H98" s="7">
        <v>40</v>
      </c>
      <c r="I98" s="12"/>
      <c r="J98" s="5" t="e">
        <f>+SUMIFS(#REF!,#REF!,Planning[[#This Row],[Tarifa]],#REF!,Planning[[#This Row],[Proyectos]])</f>
        <v>#REF!</v>
      </c>
      <c r="K98" s="5" t="e">
        <f>Planning[[#This Row],[Horas Planificadas]]+Planning[[#This Row],[Horas ajustadas adicionales]]-Planning[[#This Row],[Horas utilizadas]]</f>
        <v>#REF!</v>
      </c>
      <c r="L98" s="7"/>
      <c r="M98" s="19" t="e">
        <f>Planning[[#This Row],[Saldo]]-Planning[[#This Row],[Saldo estimado]]</f>
        <v>#REF!</v>
      </c>
      <c r="N98" s="60" t="e">
        <f>SUM(SUMIFS(#REF!,#REF!,Planning[[#This Row],[Proyectos]],#REF!,Planning[[#This Row],[Tipo de Tarea y especialidad]]),SUMIFS(#REF!,#REF!,Planning[[#This Row],[Proyectos]],#REF!,Planning[[#This Row],[Tipo de Tarea y especialidad]]))</f>
        <v>#REF!</v>
      </c>
      <c r="O98" s="19">
        <f t="shared" si="2"/>
        <v>10</v>
      </c>
      <c r="P98" s="19">
        <f t="shared" si="3"/>
        <v>2024</v>
      </c>
      <c r="Q98" s="19" t="e">
        <f>+SUMIFS(#REF!,#REF!,Planning[[#This Row],[Tarifa]],#REF!,Planning[[#This Row],[Proyectos]],#REF!,Planning[[#This Row],[Mes]],#REF!,Planning[[#This Row],[Año]])</f>
        <v>#REF!</v>
      </c>
      <c r="R98" s="19" t="str">
        <f>TEXT(Planning[[#This Row],[Mes]]*29,"mmmm")</f>
        <v>October</v>
      </c>
      <c r="S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8" s="241"/>
      <c r="U98" s="43" t="e">
        <f>IF(Planning[[#This Row],[Horas Planificadas]]&lt;&gt;0,+K98/Planning[[#This Row],[Horas Planificadas]],0)</f>
        <v>#REF!</v>
      </c>
      <c r="V98" s="43" t="e">
        <f>IF(Planning[[#This Row],[Horas Planificadas]]&lt;&gt;0,Planning[[#This Row],[Horas utilizadas]]/Planning[[#This Row],[Horas Planificadas]],0)</f>
        <v>#REF!</v>
      </c>
      <c r="W98" s="44">
        <f>Planning[[#This Row],[Horas Planificadas]]+Planning[[#This Row],[Horas ajustadas adicionales]]</f>
        <v>40</v>
      </c>
      <c r="X98" s="142"/>
    </row>
    <row r="99" spans="1:24" ht="12.75" customHeight="1" x14ac:dyDescent="0.2">
      <c r="A99" s="7"/>
      <c r="B99" s="7"/>
      <c r="C99" s="3"/>
      <c r="D99" s="3" t="s">
        <v>55</v>
      </c>
      <c r="E99" s="33" t="s">
        <v>28</v>
      </c>
      <c r="F99" s="3"/>
      <c r="G99" s="7"/>
      <c r="H99" s="7">
        <v>160</v>
      </c>
      <c r="I99" s="12"/>
      <c r="J99" s="5" t="e">
        <f>+SUMIFS(#REF!,#REF!,Planning[[#This Row],[Tarifa]],#REF!,Planning[[#This Row],[Proyectos]])</f>
        <v>#REF!</v>
      </c>
      <c r="K99" s="5" t="e">
        <f>Planning[[#This Row],[Horas Planificadas]]+Planning[[#This Row],[Horas ajustadas adicionales]]-Planning[[#This Row],[Horas utilizadas]]</f>
        <v>#REF!</v>
      </c>
      <c r="L99" s="7"/>
      <c r="M99" s="19" t="e">
        <f>Planning[[#This Row],[Saldo]]-Planning[[#This Row],[Saldo estimado]]</f>
        <v>#REF!</v>
      </c>
      <c r="N99" s="60" t="e">
        <f>SUM(SUMIFS(#REF!,#REF!,Planning[[#This Row],[Proyectos]],#REF!,Planning[[#This Row],[Tipo de Tarea y especialidad]]),SUMIFS(#REF!,#REF!,Planning[[#This Row],[Proyectos]],#REF!,Planning[[#This Row],[Tipo de Tarea y especialidad]]))</f>
        <v>#REF!</v>
      </c>
      <c r="O99" s="19">
        <f t="shared" si="2"/>
        <v>10</v>
      </c>
      <c r="P99" s="19">
        <f t="shared" si="3"/>
        <v>2024</v>
      </c>
      <c r="Q99" s="19" t="e">
        <f>+SUMIFS(#REF!,#REF!,Planning[[#This Row],[Tarifa]],#REF!,Planning[[#This Row],[Proyectos]],#REF!,Planning[[#This Row],[Mes]],#REF!,Planning[[#This Row],[Año]])</f>
        <v>#REF!</v>
      </c>
      <c r="R99" s="19" t="str">
        <f>TEXT(Planning[[#This Row],[Mes]]*29,"mmmm")</f>
        <v>October</v>
      </c>
      <c r="S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9" s="241"/>
      <c r="U99" s="43" t="e">
        <f>IF(Planning[[#This Row],[Horas Planificadas]]&lt;&gt;0,+K99/Planning[[#This Row],[Horas Planificadas]],0)</f>
        <v>#REF!</v>
      </c>
      <c r="V99" s="43" t="e">
        <f>IF(Planning[[#This Row],[Horas Planificadas]]&lt;&gt;0,Planning[[#This Row],[Horas utilizadas]]/Planning[[#This Row],[Horas Planificadas]],0)</f>
        <v>#REF!</v>
      </c>
      <c r="W99" s="44">
        <f>Planning[[#This Row],[Horas Planificadas]]+Planning[[#This Row],[Horas ajustadas adicionales]]</f>
        <v>160</v>
      </c>
      <c r="X99" s="142"/>
    </row>
    <row r="100" spans="1:24" ht="12.75" customHeight="1" x14ac:dyDescent="0.2">
      <c r="A100" s="7"/>
      <c r="B100" s="7"/>
      <c r="C100" s="3"/>
      <c r="D100" s="3" t="s">
        <v>55</v>
      </c>
      <c r="E100" s="33" t="s">
        <v>30</v>
      </c>
      <c r="F100" s="3"/>
      <c r="G100" s="7"/>
      <c r="H100" s="7">
        <v>160</v>
      </c>
      <c r="I100" s="12"/>
      <c r="J100" s="5" t="e">
        <f>+SUMIFS(#REF!,#REF!,Planning[[#This Row],[Tarifa]],#REF!,Planning[[#This Row],[Proyectos]])</f>
        <v>#REF!</v>
      </c>
      <c r="K100" s="5" t="e">
        <f>Planning[[#This Row],[Horas Planificadas]]+Planning[[#This Row],[Horas ajustadas adicionales]]-Planning[[#This Row],[Horas utilizadas]]</f>
        <v>#REF!</v>
      </c>
      <c r="L100" s="7"/>
      <c r="M100" s="19" t="e">
        <f>Planning[[#This Row],[Saldo]]-Planning[[#This Row],[Saldo estimado]]</f>
        <v>#REF!</v>
      </c>
      <c r="N100" s="60" t="e">
        <f>SUM(SUMIFS(#REF!,#REF!,Planning[[#This Row],[Proyectos]],#REF!,Planning[[#This Row],[Tipo de Tarea y especialidad]]),SUMIFS(#REF!,#REF!,Planning[[#This Row],[Proyectos]],#REF!,Planning[[#This Row],[Tipo de Tarea y especialidad]]))</f>
        <v>#REF!</v>
      </c>
      <c r="O100" s="19">
        <f t="shared" si="2"/>
        <v>10</v>
      </c>
      <c r="P100" s="19">
        <f t="shared" si="3"/>
        <v>2024</v>
      </c>
      <c r="Q100" s="19" t="e">
        <f>+SUMIFS(#REF!,#REF!,Planning[[#This Row],[Tarifa]],#REF!,Planning[[#This Row],[Proyectos]],#REF!,Planning[[#This Row],[Mes]],#REF!,Planning[[#This Row],[Año]])</f>
        <v>#REF!</v>
      </c>
      <c r="R100" s="19" t="str">
        <f>TEXT(Planning[[#This Row],[Mes]]*29,"mmmm")</f>
        <v>October</v>
      </c>
      <c r="S1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0" s="241"/>
      <c r="U100" s="43" t="e">
        <f>IF(Planning[[#This Row],[Horas Planificadas]]&lt;&gt;0,+K100/Planning[[#This Row],[Horas Planificadas]],0)</f>
        <v>#REF!</v>
      </c>
      <c r="V100" s="43" t="e">
        <f>IF(Planning[[#This Row],[Horas Planificadas]]&lt;&gt;0,Planning[[#This Row],[Horas utilizadas]]/Planning[[#This Row],[Horas Planificadas]],0)</f>
        <v>#REF!</v>
      </c>
      <c r="W100" s="44">
        <f>Planning[[#This Row],[Horas Planificadas]]+Planning[[#This Row],[Horas ajustadas adicionales]]</f>
        <v>160</v>
      </c>
      <c r="X100" s="142"/>
    </row>
    <row r="101" spans="1:24" ht="12.75" customHeight="1" x14ac:dyDescent="0.2">
      <c r="A101" s="7"/>
      <c r="B101" s="7"/>
      <c r="C101" s="3"/>
      <c r="D101" s="3" t="s">
        <v>55</v>
      </c>
      <c r="E101" s="33" t="s">
        <v>31</v>
      </c>
      <c r="F101" s="3"/>
      <c r="G101" s="7"/>
      <c r="H101" s="7">
        <v>120</v>
      </c>
      <c r="I101" s="12"/>
      <c r="J101" s="5" t="e">
        <f>+SUMIFS(#REF!,#REF!,Planning[[#This Row],[Tarifa]],#REF!,Planning[[#This Row],[Proyectos]])</f>
        <v>#REF!</v>
      </c>
      <c r="K101" s="5" t="e">
        <f>Planning[[#This Row],[Horas Planificadas]]+Planning[[#This Row],[Horas ajustadas adicionales]]-Planning[[#This Row],[Horas utilizadas]]</f>
        <v>#REF!</v>
      </c>
      <c r="L101" s="7"/>
      <c r="M101" s="19" t="e">
        <f>Planning[[#This Row],[Saldo]]-Planning[[#This Row],[Saldo estimado]]</f>
        <v>#REF!</v>
      </c>
      <c r="N101" s="60" t="e">
        <f>SUM(SUMIFS(#REF!,#REF!,Planning[[#This Row],[Proyectos]],#REF!,Planning[[#This Row],[Tipo de Tarea y especialidad]]),SUMIFS(#REF!,#REF!,Planning[[#This Row],[Proyectos]],#REF!,Planning[[#This Row],[Tipo de Tarea y especialidad]]))</f>
        <v>#REF!</v>
      </c>
      <c r="O101" s="19">
        <f t="shared" si="2"/>
        <v>10</v>
      </c>
      <c r="P101" s="19">
        <f t="shared" si="3"/>
        <v>2024</v>
      </c>
      <c r="Q101" s="19" t="e">
        <f>+SUMIFS(#REF!,#REF!,Planning[[#This Row],[Tarifa]],#REF!,Planning[[#This Row],[Proyectos]],#REF!,Planning[[#This Row],[Mes]],#REF!,Planning[[#This Row],[Año]])</f>
        <v>#REF!</v>
      </c>
      <c r="R101" s="19" t="str">
        <f>TEXT(Planning[[#This Row],[Mes]]*29,"mmmm")</f>
        <v>October</v>
      </c>
      <c r="S1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1" s="241"/>
      <c r="U101" s="43" t="e">
        <f>IF(Planning[[#This Row],[Horas Planificadas]]&lt;&gt;0,+K101/Planning[[#This Row],[Horas Planificadas]],0)</f>
        <v>#REF!</v>
      </c>
      <c r="V101" s="43" t="e">
        <f>IF(Planning[[#This Row],[Horas Planificadas]]&lt;&gt;0,Planning[[#This Row],[Horas utilizadas]]/Planning[[#This Row],[Horas Planificadas]],0)</f>
        <v>#REF!</v>
      </c>
      <c r="W101" s="44">
        <f>Planning[[#This Row],[Horas Planificadas]]+Planning[[#This Row],[Horas ajustadas adicionales]]</f>
        <v>120</v>
      </c>
      <c r="X101" s="142"/>
    </row>
    <row r="102" spans="1:24" ht="12.75" customHeight="1" x14ac:dyDescent="0.2">
      <c r="A102" s="7"/>
      <c r="B102" s="7"/>
      <c r="C102" s="3"/>
      <c r="D102" s="3" t="s">
        <v>55</v>
      </c>
      <c r="E102" s="33" t="s">
        <v>32</v>
      </c>
      <c r="F102" s="3"/>
      <c r="G102" s="7"/>
      <c r="H102" s="7">
        <v>80</v>
      </c>
      <c r="I102" s="12"/>
      <c r="J102" s="5" t="e">
        <f>+SUMIFS(#REF!,#REF!,Planning[[#This Row],[Tarifa]],#REF!,Planning[[#This Row],[Proyectos]])</f>
        <v>#REF!</v>
      </c>
      <c r="K102" s="5" t="e">
        <f>Planning[[#This Row],[Horas Planificadas]]+Planning[[#This Row],[Horas ajustadas adicionales]]-Planning[[#This Row],[Horas utilizadas]]</f>
        <v>#REF!</v>
      </c>
      <c r="L102" s="7"/>
      <c r="M102" s="19" t="e">
        <f>Planning[[#This Row],[Saldo]]-Planning[[#This Row],[Saldo estimado]]</f>
        <v>#REF!</v>
      </c>
      <c r="N102" s="60" t="e">
        <f>SUM(SUMIFS(#REF!,#REF!,Planning[[#This Row],[Proyectos]],#REF!,Planning[[#This Row],[Tipo de Tarea y especialidad]]),SUMIFS(#REF!,#REF!,Planning[[#This Row],[Proyectos]],#REF!,Planning[[#This Row],[Tipo de Tarea y especialidad]]))</f>
        <v>#REF!</v>
      </c>
      <c r="O102" s="19">
        <f t="shared" si="2"/>
        <v>10</v>
      </c>
      <c r="P102" s="19">
        <f t="shared" si="3"/>
        <v>2024</v>
      </c>
      <c r="Q102" s="19" t="e">
        <f>+SUMIFS(#REF!,#REF!,Planning[[#This Row],[Tarifa]],#REF!,Planning[[#This Row],[Proyectos]],#REF!,Planning[[#This Row],[Mes]],#REF!,Planning[[#This Row],[Año]])</f>
        <v>#REF!</v>
      </c>
      <c r="R102" s="19" t="str">
        <f>TEXT(Planning[[#This Row],[Mes]]*29,"mmmm")</f>
        <v>October</v>
      </c>
      <c r="S1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2" s="241"/>
      <c r="U102" s="43" t="e">
        <f>IF(Planning[[#This Row],[Horas Planificadas]]&lt;&gt;0,+K102/Planning[[#This Row],[Horas Planificadas]],0)</f>
        <v>#REF!</v>
      </c>
      <c r="V102" s="43" t="e">
        <f>IF(Planning[[#This Row],[Horas Planificadas]]&lt;&gt;0,Planning[[#This Row],[Horas utilizadas]]/Planning[[#This Row],[Horas Planificadas]],0)</f>
        <v>#REF!</v>
      </c>
      <c r="W102" s="44">
        <f>Planning[[#This Row],[Horas Planificadas]]+Planning[[#This Row],[Horas ajustadas adicionales]]</f>
        <v>80</v>
      </c>
      <c r="X102" s="142"/>
    </row>
    <row r="103" spans="1:24" ht="12.75" customHeight="1" x14ac:dyDescent="0.2">
      <c r="A103" s="7"/>
      <c r="B103" s="7"/>
      <c r="C103" s="3"/>
      <c r="D103" s="3" t="s">
        <v>56</v>
      </c>
      <c r="E103" s="33" t="s">
        <v>28</v>
      </c>
      <c r="F103" s="3"/>
      <c r="G103" s="7"/>
      <c r="H103" s="7">
        <v>200</v>
      </c>
      <c r="I103" s="12"/>
      <c r="J103" s="5" t="e">
        <f>+SUMIFS(#REF!,#REF!,Planning[[#This Row],[Tarifa]],#REF!,Planning[[#This Row],[Proyectos]])</f>
        <v>#REF!</v>
      </c>
      <c r="K103" s="5" t="e">
        <f>Planning[[#This Row],[Horas Planificadas]]+Planning[[#This Row],[Horas ajustadas adicionales]]-Planning[[#This Row],[Horas utilizadas]]</f>
        <v>#REF!</v>
      </c>
      <c r="L103" s="7"/>
      <c r="M103" s="19" t="e">
        <f>Planning[[#This Row],[Saldo]]-Planning[[#This Row],[Saldo estimado]]</f>
        <v>#REF!</v>
      </c>
      <c r="N103" s="60" t="e">
        <f>SUM(SUMIFS(#REF!,#REF!,Planning[[#This Row],[Proyectos]],#REF!,Planning[[#This Row],[Tipo de Tarea y especialidad]]),SUMIFS(#REF!,#REF!,Planning[[#This Row],[Proyectos]],#REF!,Planning[[#This Row],[Tipo de Tarea y especialidad]]))</f>
        <v>#REF!</v>
      </c>
      <c r="O103" s="19">
        <f t="shared" si="2"/>
        <v>10</v>
      </c>
      <c r="P103" s="19">
        <f t="shared" si="3"/>
        <v>2024</v>
      </c>
      <c r="Q103" s="19" t="e">
        <f>+SUMIFS(#REF!,#REF!,Planning[[#This Row],[Tarifa]],#REF!,Planning[[#This Row],[Proyectos]],#REF!,Planning[[#This Row],[Mes]],#REF!,Planning[[#This Row],[Año]])</f>
        <v>#REF!</v>
      </c>
      <c r="R103" s="19" t="str">
        <f>TEXT(Planning[[#This Row],[Mes]]*29,"mmmm")</f>
        <v>October</v>
      </c>
      <c r="S1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3" s="241"/>
      <c r="U103" s="43" t="e">
        <f>IF(Planning[[#This Row],[Horas Planificadas]]&lt;&gt;0,+K103/Planning[[#This Row],[Horas Planificadas]],0)</f>
        <v>#REF!</v>
      </c>
      <c r="V103" s="43" t="e">
        <f>IF(Planning[[#This Row],[Horas Planificadas]]&lt;&gt;0,Planning[[#This Row],[Horas utilizadas]]/Planning[[#This Row],[Horas Planificadas]],0)</f>
        <v>#REF!</v>
      </c>
      <c r="W103" s="44">
        <f>Planning[[#This Row],[Horas Planificadas]]+Planning[[#This Row],[Horas ajustadas adicionales]]</f>
        <v>200</v>
      </c>
      <c r="X103" s="142"/>
    </row>
    <row r="104" spans="1:24" ht="12.75" customHeight="1" x14ac:dyDescent="0.2">
      <c r="A104" s="7"/>
      <c r="B104" s="7"/>
      <c r="C104" s="3"/>
      <c r="D104" s="3" t="s">
        <v>56</v>
      </c>
      <c r="E104" s="33" t="s">
        <v>30</v>
      </c>
      <c r="F104" s="3"/>
      <c r="G104" s="7"/>
      <c r="H104" s="7">
        <v>228</v>
      </c>
      <c r="I104" s="12"/>
      <c r="J104" s="5" t="e">
        <f>+SUMIFS(#REF!,#REF!,Planning[[#This Row],[Tarifa]],#REF!,Planning[[#This Row],[Proyectos]])</f>
        <v>#REF!</v>
      </c>
      <c r="K104" s="5" t="e">
        <f>Planning[[#This Row],[Horas Planificadas]]+Planning[[#This Row],[Horas ajustadas adicionales]]-Planning[[#This Row],[Horas utilizadas]]</f>
        <v>#REF!</v>
      </c>
      <c r="L104" s="7"/>
      <c r="M104" s="19" t="e">
        <f>Planning[[#This Row],[Saldo]]-Planning[[#This Row],[Saldo estimado]]</f>
        <v>#REF!</v>
      </c>
      <c r="N104" s="60" t="e">
        <f>SUM(SUMIFS(#REF!,#REF!,Planning[[#This Row],[Proyectos]],#REF!,Planning[[#This Row],[Tipo de Tarea y especialidad]]),SUMIFS(#REF!,#REF!,Planning[[#This Row],[Proyectos]],#REF!,Planning[[#This Row],[Tipo de Tarea y especialidad]]))</f>
        <v>#REF!</v>
      </c>
      <c r="O104" s="19">
        <f t="shared" si="2"/>
        <v>10</v>
      </c>
      <c r="P104" s="19">
        <f t="shared" si="3"/>
        <v>2024</v>
      </c>
      <c r="Q104" s="19" t="e">
        <f>+SUMIFS(#REF!,#REF!,Planning[[#This Row],[Tarifa]],#REF!,Planning[[#This Row],[Proyectos]],#REF!,Planning[[#This Row],[Mes]],#REF!,Planning[[#This Row],[Año]])</f>
        <v>#REF!</v>
      </c>
      <c r="R104" s="19" t="str">
        <f>TEXT(Planning[[#This Row],[Mes]]*29,"mmmm")</f>
        <v>October</v>
      </c>
      <c r="S1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4" s="241"/>
      <c r="U104" s="43" t="e">
        <f>IF(Planning[[#This Row],[Horas Planificadas]]&lt;&gt;0,+K104/Planning[[#This Row],[Horas Planificadas]],0)</f>
        <v>#REF!</v>
      </c>
      <c r="V104" s="43" t="e">
        <f>IF(Planning[[#This Row],[Horas Planificadas]]&lt;&gt;0,Planning[[#This Row],[Horas utilizadas]]/Planning[[#This Row],[Horas Planificadas]],0)</f>
        <v>#REF!</v>
      </c>
      <c r="W104" s="44">
        <f>Planning[[#This Row],[Horas Planificadas]]+Planning[[#This Row],[Horas ajustadas adicionales]]</f>
        <v>228</v>
      </c>
      <c r="X104" s="142"/>
    </row>
    <row r="105" spans="1:24" ht="12.75" customHeight="1" x14ac:dyDescent="0.2">
      <c r="A105" s="7"/>
      <c r="B105" s="7"/>
      <c r="C105" s="3"/>
      <c r="D105" s="3" t="s">
        <v>56</v>
      </c>
      <c r="E105" s="33" t="s">
        <v>31</v>
      </c>
      <c r="F105" s="3"/>
      <c r="G105" s="7"/>
      <c r="H105" s="7">
        <v>200</v>
      </c>
      <c r="I105" s="12"/>
      <c r="J105" s="5" t="e">
        <f>+SUMIFS(#REF!,#REF!,Planning[[#This Row],[Tarifa]],#REF!,Planning[[#This Row],[Proyectos]])</f>
        <v>#REF!</v>
      </c>
      <c r="K105" s="5" t="e">
        <f>Planning[[#This Row],[Horas Planificadas]]+Planning[[#This Row],[Horas ajustadas adicionales]]-Planning[[#This Row],[Horas utilizadas]]</f>
        <v>#REF!</v>
      </c>
      <c r="L105" s="7"/>
      <c r="M105" s="19" t="e">
        <f>Planning[[#This Row],[Saldo]]-Planning[[#This Row],[Saldo estimado]]</f>
        <v>#REF!</v>
      </c>
      <c r="N105" s="60" t="e">
        <f>SUM(SUMIFS(#REF!,#REF!,Planning[[#This Row],[Proyectos]],#REF!,Planning[[#This Row],[Tipo de Tarea y especialidad]]),SUMIFS(#REF!,#REF!,Planning[[#This Row],[Proyectos]],#REF!,Planning[[#This Row],[Tipo de Tarea y especialidad]]))</f>
        <v>#REF!</v>
      </c>
      <c r="O105" s="19">
        <f t="shared" si="2"/>
        <v>10</v>
      </c>
      <c r="P105" s="19">
        <f t="shared" si="3"/>
        <v>2024</v>
      </c>
      <c r="Q105" s="19" t="e">
        <f>+SUMIFS(#REF!,#REF!,Planning[[#This Row],[Tarifa]],#REF!,Planning[[#This Row],[Proyectos]],#REF!,Planning[[#This Row],[Mes]],#REF!,Planning[[#This Row],[Año]])</f>
        <v>#REF!</v>
      </c>
      <c r="R105" s="19" t="str">
        <f>TEXT(Planning[[#This Row],[Mes]]*29,"mmmm")</f>
        <v>October</v>
      </c>
      <c r="S1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5" s="241"/>
      <c r="U105" s="43" t="e">
        <f>IF(Planning[[#This Row],[Horas Planificadas]]&lt;&gt;0,+K105/Planning[[#This Row],[Horas Planificadas]],0)</f>
        <v>#REF!</v>
      </c>
      <c r="V105" s="43" t="e">
        <f>IF(Planning[[#This Row],[Horas Planificadas]]&lt;&gt;0,Planning[[#This Row],[Horas utilizadas]]/Planning[[#This Row],[Horas Planificadas]],0)</f>
        <v>#REF!</v>
      </c>
      <c r="W105" s="44">
        <f>Planning[[#This Row],[Horas Planificadas]]+Planning[[#This Row],[Horas ajustadas adicionales]]</f>
        <v>200</v>
      </c>
      <c r="X105" s="142"/>
    </row>
    <row r="106" spans="1:24" ht="12.75" customHeight="1" x14ac:dyDescent="0.2">
      <c r="A106" s="7"/>
      <c r="B106" s="7"/>
      <c r="C106" s="3"/>
      <c r="D106" s="3" t="s">
        <v>56</v>
      </c>
      <c r="E106" s="33" t="s">
        <v>32</v>
      </c>
      <c r="F106" s="3"/>
      <c r="G106" s="7"/>
      <c r="H106" s="7">
        <v>140</v>
      </c>
      <c r="I106" s="12"/>
      <c r="J106" s="5" t="e">
        <f>+SUMIFS(#REF!,#REF!,Planning[[#This Row],[Tarifa]],#REF!,Planning[[#This Row],[Proyectos]])</f>
        <v>#REF!</v>
      </c>
      <c r="K106" s="5" t="e">
        <f>Planning[[#This Row],[Horas Planificadas]]+Planning[[#This Row],[Horas ajustadas adicionales]]-Planning[[#This Row],[Horas utilizadas]]</f>
        <v>#REF!</v>
      </c>
      <c r="L106" s="7"/>
      <c r="M106" s="19" t="e">
        <f>Planning[[#This Row],[Saldo]]-Planning[[#This Row],[Saldo estimado]]</f>
        <v>#REF!</v>
      </c>
      <c r="N106" s="60" t="e">
        <f>SUM(SUMIFS(#REF!,#REF!,Planning[[#This Row],[Proyectos]],#REF!,Planning[[#This Row],[Tipo de Tarea y especialidad]]),SUMIFS(#REF!,#REF!,Planning[[#This Row],[Proyectos]],#REF!,Planning[[#This Row],[Tipo de Tarea y especialidad]]))</f>
        <v>#REF!</v>
      </c>
      <c r="O106" s="19">
        <f t="shared" si="2"/>
        <v>10</v>
      </c>
      <c r="P106" s="19">
        <f t="shared" si="3"/>
        <v>2024</v>
      </c>
      <c r="Q106" s="19" t="e">
        <f>+SUMIFS(#REF!,#REF!,Planning[[#This Row],[Tarifa]],#REF!,Planning[[#This Row],[Proyectos]],#REF!,Planning[[#This Row],[Mes]],#REF!,Planning[[#This Row],[Año]])</f>
        <v>#REF!</v>
      </c>
      <c r="R106" s="19" t="str">
        <f>TEXT(Planning[[#This Row],[Mes]]*29,"mmmm")</f>
        <v>October</v>
      </c>
      <c r="S1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6" s="241"/>
      <c r="U106" s="43" t="e">
        <f>IF(Planning[[#This Row],[Horas Planificadas]]&lt;&gt;0,+K106/Planning[[#This Row],[Horas Planificadas]],0)</f>
        <v>#REF!</v>
      </c>
      <c r="V106" s="43" t="e">
        <f>IF(Planning[[#This Row],[Horas Planificadas]]&lt;&gt;0,Planning[[#This Row],[Horas utilizadas]]/Planning[[#This Row],[Horas Planificadas]],0)</f>
        <v>#REF!</v>
      </c>
      <c r="W106" s="44">
        <f>Planning[[#This Row],[Horas Planificadas]]+Planning[[#This Row],[Horas ajustadas adicionales]]</f>
        <v>140</v>
      </c>
      <c r="X106" s="142"/>
    </row>
    <row r="107" spans="1:24" ht="12.75" customHeight="1" x14ac:dyDescent="0.2">
      <c r="A107" s="7"/>
      <c r="B107" s="7"/>
      <c r="C107" s="3"/>
      <c r="D107" s="3" t="s">
        <v>57</v>
      </c>
      <c r="E107" s="33" t="s">
        <v>28</v>
      </c>
      <c r="F107" s="3"/>
      <c r="G107" s="7"/>
      <c r="H107" s="7">
        <v>560</v>
      </c>
      <c r="I107" s="12"/>
      <c r="J107" s="5" t="e">
        <f>+SUMIFS(#REF!,#REF!,Planning[[#This Row],[Tarifa]],#REF!,Planning[[#This Row],[Proyectos]])</f>
        <v>#REF!</v>
      </c>
      <c r="K107" s="5" t="e">
        <f>Planning[[#This Row],[Horas Planificadas]]+Planning[[#This Row],[Horas ajustadas adicionales]]-Planning[[#This Row],[Horas utilizadas]]</f>
        <v>#REF!</v>
      </c>
      <c r="L107" s="7"/>
      <c r="M107" s="19" t="e">
        <f>Planning[[#This Row],[Saldo]]-Planning[[#This Row],[Saldo estimado]]</f>
        <v>#REF!</v>
      </c>
      <c r="N107" s="60" t="e">
        <f>SUM(SUMIFS(#REF!,#REF!,Planning[[#This Row],[Proyectos]],#REF!,Planning[[#This Row],[Tipo de Tarea y especialidad]]),SUMIFS(#REF!,#REF!,Planning[[#This Row],[Proyectos]],#REF!,Planning[[#This Row],[Tipo de Tarea y especialidad]]))</f>
        <v>#REF!</v>
      </c>
      <c r="O107" s="19">
        <f t="shared" si="2"/>
        <v>10</v>
      </c>
      <c r="P107" s="19">
        <f t="shared" si="3"/>
        <v>2024</v>
      </c>
      <c r="Q107" s="19" t="e">
        <f>+SUMIFS(#REF!,#REF!,Planning[[#This Row],[Tarifa]],#REF!,Planning[[#This Row],[Proyectos]],#REF!,Planning[[#This Row],[Mes]],#REF!,Planning[[#This Row],[Año]])</f>
        <v>#REF!</v>
      </c>
      <c r="R107" s="19" t="str">
        <f>TEXT(Planning[[#This Row],[Mes]]*29,"mmmm")</f>
        <v>October</v>
      </c>
      <c r="S1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7" s="241"/>
      <c r="U107" s="43" t="e">
        <f>IF(Planning[[#This Row],[Horas Planificadas]]&lt;&gt;0,+K107/Planning[[#This Row],[Horas Planificadas]],0)</f>
        <v>#REF!</v>
      </c>
      <c r="V107" s="43" t="e">
        <f>IF(Planning[[#This Row],[Horas Planificadas]]&lt;&gt;0,Planning[[#This Row],[Horas utilizadas]]/Planning[[#This Row],[Horas Planificadas]],0)</f>
        <v>#REF!</v>
      </c>
      <c r="W107" s="44">
        <f>Planning[[#This Row],[Horas Planificadas]]+Planning[[#This Row],[Horas ajustadas adicionales]]</f>
        <v>560</v>
      </c>
      <c r="X107" s="142"/>
    </row>
    <row r="108" spans="1:24" ht="12.75" customHeight="1" x14ac:dyDescent="0.2">
      <c r="A108" s="7"/>
      <c r="B108" s="7"/>
      <c r="C108" s="3"/>
      <c r="D108" s="3" t="s">
        <v>57</v>
      </c>
      <c r="E108" s="33" t="s">
        <v>30</v>
      </c>
      <c r="F108" s="3"/>
      <c r="G108" s="7"/>
      <c r="H108" s="7">
        <v>678</v>
      </c>
      <c r="I108" s="12"/>
      <c r="J108" s="5" t="e">
        <f>+SUMIFS(#REF!,#REF!,Planning[[#This Row],[Tarifa]],#REF!,Planning[[#This Row],[Proyectos]])</f>
        <v>#REF!</v>
      </c>
      <c r="K108" s="5" t="e">
        <f>Planning[[#This Row],[Horas Planificadas]]+Planning[[#This Row],[Horas ajustadas adicionales]]-Planning[[#This Row],[Horas utilizadas]]</f>
        <v>#REF!</v>
      </c>
      <c r="L108" s="7"/>
      <c r="M108" s="19" t="e">
        <f>Planning[[#This Row],[Saldo]]-Planning[[#This Row],[Saldo estimado]]</f>
        <v>#REF!</v>
      </c>
      <c r="N108" s="60" t="e">
        <f>SUM(SUMIFS(#REF!,#REF!,Planning[[#This Row],[Proyectos]],#REF!,Planning[[#This Row],[Tipo de Tarea y especialidad]]),SUMIFS(#REF!,#REF!,Planning[[#This Row],[Proyectos]],#REF!,Planning[[#This Row],[Tipo de Tarea y especialidad]]))</f>
        <v>#REF!</v>
      </c>
      <c r="O108" s="19">
        <f t="shared" si="2"/>
        <v>10</v>
      </c>
      <c r="P108" s="19">
        <f t="shared" si="3"/>
        <v>2024</v>
      </c>
      <c r="Q108" s="19" t="e">
        <f>+SUMIFS(#REF!,#REF!,Planning[[#This Row],[Tarifa]],#REF!,Planning[[#This Row],[Proyectos]],#REF!,Planning[[#This Row],[Mes]],#REF!,Planning[[#This Row],[Año]])</f>
        <v>#REF!</v>
      </c>
      <c r="R108" s="19" t="str">
        <f>TEXT(Planning[[#This Row],[Mes]]*29,"mmmm")</f>
        <v>October</v>
      </c>
      <c r="S1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8" s="241"/>
      <c r="U108" s="43" t="e">
        <f>IF(Planning[[#This Row],[Horas Planificadas]]&lt;&gt;0,+K108/Planning[[#This Row],[Horas Planificadas]],0)</f>
        <v>#REF!</v>
      </c>
      <c r="V108" s="43" t="e">
        <f>IF(Planning[[#This Row],[Horas Planificadas]]&lt;&gt;0,Planning[[#This Row],[Horas utilizadas]]/Planning[[#This Row],[Horas Planificadas]],0)</f>
        <v>#REF!</v>
      </c>
      <c r="W108" s="44">
        <f>Planning[[#This Row],[Horas Planificadas]]+Planning[[#This Row],[Horas ajustadas adicionales]]</f>
        <v>678</v>
      </c>
      <c r="X108" s="142"/>
    </row>
    <row r="109" spans="1:24" ht="12.75" customHeight="1" x14ac:dyDescent="0.2">
      <c r="A109" s="7"/>
      <c r="B109" s="7"/>
      <c r="C109" s="3"/>
      <c r="D109" s="3" t="s">
        <v>57</v>
      </c>
      <c r="E109" s="33" t="s">
        <v>31</v>
      </c>
      <c r="F109" s="3"/>
      <c r="G109" s="7"/>
      <c r="H109" s="7">
        <v>116</v>
      </c>
      <c r="I109" s="12"/>
      <c r="J109" s="5" t="e">
        <f>+SUMIFS(#REF!,#REF!,Planning[[#This Row],[Tarifa]],#REF!,Planning[[#This Row],[Proyectos]])</f>
        <v>#REF!</v>
      </c>
      <c r="K109" s="5" t="e">
        <f>Planning[[#This Row],[Horas Planificadas]]+Planning[[#This Row],[Horas ajustadas adicionales]]-Planning[[#This Row],[Horas utilizadas]]</f>
        <v>#REF!</v>
      </c>
      <c r="L109" s="7"/>
      <c r="M109" s="19" t="e">
        <f>Planning[[#This Row],[Saldo]]-Planning[[#This Row],[Saldo estimado]]</f>
        <v>#REF!</v>
      </c>
      <c r="N109" s="60" t="e">
        <f>SUM(SUMIFS(#REF!,#REF!,Planning[[#This Row],[Proyectos]],#REF!,Planning[[#This Row],[Tipo de Tarea y especialidad]]),SUMIFS(#REF!,#REF!,Planning[[#This Row],[Proyectos]],#REF!,Planning[[#This Row],[Tipo de Tarea y especialidad]]))</f>
        <v>#REF!</v>
      </c>
      <c r="O109" s="19">
        <f t="shared" si="2"/>
        <v>10</v>
      </c>
      <c r="P109" s="19">
        <f t="shared" si="3"/>
        <v>2024</v>
      </c>
      <c r="Q109" s="19" t="e">
        <f>+SUMIFS(#REF!,#REF!,Planning[[#This Row],[Tarifa]],#REF!,Planning[[#This Row],[Proyectos]],#REF!,Planning[[#This Row],[Mes]],#REF!,Planning[[#This Row],[Año]])</f>
        <v>#REF!</v>
      </c>
      <c r="R109" s="19" t="str">
        <f>TEXT(Planning[[#This Row],[Mes]]*29,"mmmm")</f>
        <v>October</v>
      </c>
      <c r="S1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9" s="241"/>
      <c r="U109" s="43" t="e">
        <f>IF(Planning[[#This Row],[Horas Planificadas]]&lt;&gt;0,+K109/Planning[[#This Row],[Horas Planificadas]],0)</f>
        <v>#REF!</v>
      </c>
      <c r="V109" s="43" t="e">
        <f>IF(Planning[[#This Row],[Horas Planificadas]]&lt;&gt;0,Planning[[#This Row],[Horas utilizadas]]/Planning[[#This Row],[Horas Planificadas]],0)</f>
        <v>#REF!</v>
      </c>
      <c r="W109" s="44">
        <f>Planning[[#This Row],[Horas Planificadas]]+Planning[[#This Row],[Horas ajustadas adicionales]]</f>
        <v>116</v>
      </c>
      <c r="X109" s="142"/>
    </row>
    <row r="110" spans="1:24" ht="12.75" customHeight="1" x14ac:dyDescent="0.2">
      <c r="A110" s="7"/>
      <c r="B110" s="7"/>
      <c r="C110" s="3"/>
      <c r="D110" s="3" t="s">
        <v>57</v>
      </c>
      <c r="E110" s="33" t="s">
        <v>32</v>
      </c>
      <c r="F110" s="3"/>
      <c r="G110" s="7"/>
      <c r="H110" s="7">
        <v>278</v>
      </c>
      <c r="I110" s="12"/>
      <c r="J110" s="5" t="e">
        <f>+SUMIFS(#REF!,#REF!,Planning[[#This Row],[Tarifa]],#REF!,Planning[[#This Row],[Proyectos]])</f>
        <v>#REF!</v>
      </c>
      <c r="K110" s="5" t="e">
        <f>Planning[[#This Row],[Horas Planificadas]]+Planning[[#This Row],[Horas ajustadas adicionales]]-Planning[[#This Row],[Horas utilizadas]]</f>
        <v>#REF!</v>
      </c>
      <c r="L110" s="7"/>
      <c r="M110" s="19" t="e">
        <f>Planning[[#This Row],[Saldo]]-Planning[[#This Row],[Saldo estimado]]</f>
        <v>#REF!</v>
      </c>
      <c r="N110" s="60" t="e">
        <f>SUM(SUMIFS(#REF!,#REF!,Planning[[#This Row],[Proyectos]],#REF!,Planning[[#This Row],[Tipo de Tarea y especialidad]]),SUMIFS(#REF!,#REF!,Planning[[#This Row],[Proyectos]],#REF!,Planning[[#This Row],[Tipo de Tarea y especialidad]]))</f>
        <v>#REF!</v>
      </c>
      <c r="O110" s="19">
        <f t="shared" si="2"/>
        <v>10</v>
      </c>
      <c r="P110" s="19">
        <f t="shared" si="3"/>
        <v>2024</v>
      </c>
      <c r="Q110" s="19" t="e">
        <f>+SUMIFS(#REF!,#REF!,Planning[[#This Row],[Tarifa]],#REF!,Planning[[#This Row],[Proyectos]],#REF!,Planning[[#This Row],[Mes]],#REF!,Planning[[#This Row],[Año]])</f>
        <v>#REF!</v>
      </c>
      <c r="R110" s="19" t="str">
        <f>TEXT(Planning[[#This Row],[Mes]]*29,"mmmm")</f>
        <v>October</v>
      </c>
      <c r="S1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0" s="241"/>
      <c r="U110" s="43" t="e">
        <f>IF(Planning[[#This Row],[Horas Planificadas]]&lt;&gt;0,+K110/Planning[[#This Row],[Horas Planificadas]],0)</f>
        <v>#REF!</v>
      </c>
      <c r="V110" s="43" t="e">
        <f>IF(Planning[[#This Row],[Horas Planificadas]]&lt;&gt;0,Planning[[#This Row],[Horas utilizadas]]/Planning[[#This Row],[Horas Planificadas]],0)</f>
        <v>#REF!</v>
      </c>
      <c r="W110" s="44">
        <f>Planning[[#This Row],[Horas Planificadas]]+Planning[[#This Row],[Horas ajustadas adicionales]]</f>
        <v>278</v>
      </c>
      <c r="X110" s="142"/>
    </row>
    <row r="111" spans="1:24" ht="12.75" customHeight="1" x14ac:dyDescent="0.2">
      <c r="A111" s="7"/>
      <c r="B111" s="7"/>
      <c r="C111" s="3"/>
      <c r="D111" s="3" t="s">
        <v>58</v>
      </c>
      <c r="E111" s="33" t="s">
        <v>28</v>
      </c>
      <c r="F111" s="3"/>
      <c r="G111" s="7"/>
      <c r="H111" s="7">
        <v>752</v>
      </c>
      <c r="I111" s="12"/>
      <c r="J111" s="5" t="e">
        <f>+SUMIFS(#REF!,#REF!,Planning[[#This Row],[Tarifa]],#REF!,Planning[[#This Row],[Proyectos]])</f>
        <v>#REF!</v>
      </c>
      <c r="K111" s="5" t="e">
        <f>Planning[[#This Row],[Horas Planificadas]]+Planning[[#This Row],[Horas ajustadas adicionales]]-Planning[[#This Row],[Horas utilizadas]]</f>
        <v>#REF!</v>
      </c>
      <c r="L111" s="7"/>
      <c r="M111" s="19" t="e">
        <f>Planning[[#This Row],[Saldo]]-Planning[[#This Row],[Saldo estimado]]</f>
        <v>#REF!</v>
      </c>
      <c r="N111" s="60" t="e">
        <f>SUM(SUMIFS(#REF!,#REF!,Planning[[#This Row],[Proyectos]],#REF!,Planning[[#This Row],[Tipo de Tarea y especialidad]]),SUMIFS(#REF!,#REF!,Planning[[#This Row],[Proyectos]],#REF!,Planning[[#This Row],[Tipo de Tarea y especialidad]]))</f>
        <v>#REF!</v>
      </c>
      <c r="O111" s="19">
        <f t="shared" si="2"/>
        <v>10</v>
      </c>
      <c r="P111" s="19">
        <f t="shared" si="3"/>
        <v>2024</v>
      </c>
      <c r="Q111" s="19" t="e">
        <f>+SUMIFS(#REF!,#REF!,Planning[[#This Row],[Tarifa]],#REF!,Planning[[#This Row],[Proyectos]],#REF!,Planning[[#This Row],[Mes]],#REF!,Planning[[#This Row],[Año]])</f>
        <v>#REF!</v>
      </c>
      <c r="R111" s="19" t="str">
        <f>TEXT(Planning[[#This Row],[Mes]]*29,"mmmm")</f>
        <v>October</v>
      </c>
      <c r="S1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1" s="241"/>
      <c r="U111" s="43" t="e">
        <f>IF(Planning[[#This Row],[Horas Planificadas]]&lt;&gt;0,+K111/Planning[[#This Row],[Horas Planificadas]],0)</f>
        <v>#REF!</v>
      </c>
      <c r="V111" s="43" t="e">
        <f>IF(Planning[[#This Row],[Horas Planificadas]]&lt;&gt;0,Planning[[#This Row],[Horas utilizadas]]/Planning[[#This Row],[Horas Planificadas]],0)</f>
        <v>#REF!</v>
      </c>
      <c r="W111" s="44">
        <f>Planning[[#This Row],[Horas Planificadas]]+Planning[[#This Row],[Horas ajustadas adicionales]]</f>
        <v>752</v>
      </c>
      <c r="X111" s="142"/>
    </row>
    <row r="112" spans="1:24" ht="12.75" customHeight="1" x14ac:dyDescent="0.2">
      <c r="A112" s="7"/>
      <c r="B112" s="7"/>
      <c r="C112" s="3"/>
      <c r="D112" s="3" t="s">
        <v>58</v>
      </c>
      <c r="E112" s="33" t="s">
        <v>30</v>
      </c>
      <c r="F112" s="3"/>
      <c r="G112" s="7"/>
      <c r="H112" s="7">
        <v>476</v>
      </c>
      <c r="I112" s="12"/>
      <c r="J112" s="5" t="e">
        <f>+SUMIFS(#REF!,#REF!,Planning[[#This Row],[Tarifa]],#REF!,Planning[[#This Row],[Proyectos]])</f>
        <v>#REF!</v>
      </c>
      <c r="K112" s="5" t="e">
        <f>Planning[[#This Row],[Horas Planificadas]]+Planning[[#This Row],[Horas ajustadas adicionales]]-Planning[[#This Row],[Horas utilizadas]]</f>
        <v>#REF!</v>
      </c>
      <c r="L112" s="7"/>
      <c r="M112" s="19" t="e">
        <f>Planning[[#This Row],[Saldo]]-Planning[[#This Row],[Saldo estimado]]</f>
        <v>#REF!</v>
      </c>
      <c r="N112" s="60" t="e">
        <f>SUM(SUMIFS(#REF!,#REF!,Planning[[#This Row],[Proyectos]],#REF!,Planning[[#This Row],[Tipo de Tarea y especialidad]]),SUMIFS(#REF!,#REF!,Planning[[#This Row],[Proyectos]],#REF!,Planning[[#This Row],[Tipo de Tarea y especialidad]]))</f>
        <v>#REF!</v>
      </c>
      <c r="O112" s="19">
        <f t="shared" si="2"/>
        <v>10</v>
      </c>
      <c r="P112" s="19">
        <f t="shared" si="3"/>
        <v>2024</v>
      </c>
      <c r="Q112" s="19" t="e">
        <f>+SUMIFS(#REF!,#REF!,Planning[[#This Row],[Tarifa]],#REF!,Planning[[#This Row],[Proyectos]],#REF!,Planning[[#This Row],[Mes]],#REF!,Planning[[#This Row],[Año]])</f>
        <v>#REF!</v>
      </c>
      <c r="R112" s="19" t="str">
        <f>TEXT(Planning[[#This Row],[Mes]]*29,"mmmm")</f>
        <v>October</v>
      </c>
      <c r="S1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2" s="241"/>
      <c r="U112" s="43" t="e">
        <f>IF(Planning[[#This Row],[Horas Planificadas]]&lt;&gt;0,+K112/Planning[[#This Row],[Horas Planificadas]],0)</f>
        <v>#REF!</v>
      </c>
      <c r="V112" s="43" t="e">
        <f>IF(Planning[[#This Row],[Horas Planificadas]]&lt;&gt;0,Planning[[#This Row],[Horas utilizadas]]/Planning[[#This Row],[Horas Planificadas]],0)</f>
        <v>#REF!</v>
      </c>
      <c r="W112" s="44">
        <f>Planning[[#This Row],[Horas Planificadas]]+Planning[[#This Row],[Horas ajustadas adicionales]]</f>
        <v>476</v>
      </c>
      <c r="X112" s="142"/>
    </row>
    <row r="113" spans="1:24" ht="12.75" customHeight="1" x14ac:dyDescent="0.2">
      <c r="A113" s="7"/>
      <c r="B113" s="7"/>
      <c r="C113" s="3"/>
      <c r="D113" s="3" t="s">
        <v>58</v>
      </c>
      <c r="E113" s="33" t="s">
        <v>31</v>
      </c>
      <c r="F113" s="3"/>
      <c r="G113" s="7"/>
      <c r="H113" s="7">
        <v>81</v>
      </c>
      <c r="I113" s="12"/>
      <c r="J113" s="5" t="e">
        <f>+SUMIFS(#REF!,#REF!,Planning[[#This Row],[Tarifa]],#REF!,Planning[[#This Row],[Proyectos]])</f>
        <v>#REF!</v>
      </c>
      <c r="K113" s="5" t="e">
        <f>Planning[[#This Row],[Horas Planificadas]]+Planning[[#This Row],[Horas ajustadas adicionales]]-Planning[[#This Row],[Horas utilizadas]]</f>
        <v>#REF!</v>
      </c>
      <c r="L113" s="7"/>
      <c r="M113" s="19" t="e">
        <f>Planning[[#This Row],[Saldo]]-Planning[[#This Row],[Saldo estimado]]</f>
        <v>#REF!</v>
      </c>
      <c r="N113" s="60" t="e">
        <f>SUM(SUMIFS(#REF!,#REF!,Planning[[#This Row],[Proyectos]],#REF!,Planning[[#This Row],[Tipo de Tarea y especialidad]]),SUMIFS(#REF!,#REF!,Planning[[#This Row],[Proyectos]],#REF!,Planning[[#This Row],[Tipo de Tarea y especialidad]]))</f>
        <v>#REF!</v>
      </c>
      <c r="O113" s="19">
        <f t="shared" si="2"/>
        <v>10</v>
      </c>
      <c r="P113" s="19">
        <f t="shared" si="3"/>
        <v>2024</v>
      </c>
      <c r="Q113" s="19" t="e">
        <f>+SUMIFS(#REF!,#REF!,Planning[[#This Row],[Tarifa]],#REF!,Planning[[#This Row],[Proyectos]],#REF!,Planning[[#This Row],[Mes]],#REF!,Planning[[#This Row],[Año]])</f>
        <v>#REF!</v>
      </c>
      <c r="R113" s="19" t="str">
        <f>TEXT(Planning[[#This Row],[Mes]]*29,"mmmm")</f>
        <v>October</v>
      </c>
      <c r="S1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3" s="241"/>
      <c r="U113" s="43" t="e">
        <f>IF(Planning[[#This Row],[Horas Planificadas]]&lt;&gt;0,+K113/Planning[[#This Row],[Horas Planificadas]],0)</f>
        <v>#REF!</v>
      </c>
      <c r="V113" s="43" t="e">
        <f>IF(Planning[[#This Row],[Horas Planificadas]]&lt;&gt;0,Planning[[#This Row],[Horas utilizadas]]/Planning[[#This Row],[Horas Planificadas]],0)</f>
        <v>#REF!</v>
      </c>
      <c r="W113" s="44">
        <f>Planning[[#This Row],[Horas Planificadas]]+Planning[[#This Row],[Horas ajustadas adicionales]]</f>
        <v>81</v>
      </c>
      <c r="X113" s="142"/>
    </row>
    <row r="114" spans="1:24" ht="12.75" customHeight="1" x14ac:dyDescent="0.2">
      <c r="A114" s="7"/>
      <c r="B114" s="7"/>
      <c r="C114" s="3"/>
      <c r="D114" s="3" t="s">
        <v>58</v>
      </c>
      <c r="E114" s="33" t="s">
        <v>32</v>
      </c>
      <c r="F114" s="3"/>
      <c r="G114" s="7"/>
      <c r="H114" s="7">
        <v>194</v>
      </c>
      <c r="I114" s="12"/>
      <c r="J114" s="5" t="e">
        <f>+SUMIFS(#REF!,#REF!,Planning[[#This Row],[Tarifa]],#REF!,Planning[[#This Row],[Proyectos]])</f>
        <v>#REF!</v>
      </c>
      <c r="K114" s="5" t="e">
        <f>Planning[[#This Row],[Horas Planificadas]]+Planning[[#This Row],[Horas ajustadas adicionales]]-Planning[[#This Row],[Horas utilizadas]]</f>
        <v>#REF!</v>
      </c>
      <c r="L114" s="7"/>
      <c r="M114" s="19" t="e">
        <f>Planning[[#This Row],[Saldo]]-Planning[[#This Row],[Saldo estimado]]</f>
        <v>#REF!</v>
      </c>
      <c r="N114" s="60" t="e">
        <f>SUM(SUMIFS(#REF!,#REF!,Planning[[#This Row],[Proyectos]],#REF!,Planning[[#This Row],[Tipo de Tarea y especialidad]]),SUMIFS(#REF!,#REF!,Planning[[#This Row],[Proyectos]],#REF!,Planning[[#This Row],[Tipo de Tarea y especialidad]]))</f>
        <v>#REF!</v>
      </c>
      <c r="O114" s="19">
        <f t="shared" si="2"/>
        <v>10</v>
      </c>
      <c r="P114" s="19">
        <f t="shared" si="3"/>
        <v>2024</v>
      </c>
      <c r="Q114" s="19" t="e">
        <f>+SUMIFS(#REF!,#REF!,Planning[[#This Row],[Tarifa]],#REF!,Planning[[#This Row],[Proyectos]],#REF!,Planning[[#This Row],[Mes]],#REF!,Planning[[#This Row],[Año]])</f>
        <v>#REF!</v>
      </c>
      <c r="R114" s="19" t="str">
        <f>TEXT(Planning[[#This Row],[Mes]]*29,"mmmm")</f>
        <v>October</v>
      </c>
      <c r="S1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4" s="241"/>
      <c r="U114" s="43" t="e">
        <f>IF(Planning[[#This Row],[Horas Planificadas]]&lt;&gt;0,+K114/Planning[[#This Row],[Horas Planificadas]],0)</f>
        <v>#REF!</v>
      </c>
      <c r="V114" s="43" t="e">
        <f>IF(Planning[[#This Row],[Horas Planificadas]]&lt;&gt;0,Planning[[#This Row],[Horas utilizadas]]/Planning[[#This Row],[Horas Planificadas]],0)</f>
        <v>#REF!</v>
      </c>
      <c r="W114" s="44">
        <f>Planning[[#This Row],[Horas Planificadas]]+Planning[[#This Row],[Horas ajustadas adicionales]]</f>
        <v>194</v>
      </c>
      <c r="X114" s="142"/>
    </row>
    <row r="115" spans="1:24" ht="12.75" customHeight="1" x14ac:dyDescent="0.2">
      <c r="A115" s="7"/>
      <c r="B115" s="7"/>
      <c r="C115" s="3"/>
      <c r="D115" s="3" t="s">
        <v>59</v>
      </c>
      <c r="E115" s="33" t="s">
        <v>28</v>
      </c>
      <c r="F115" s="3"/>
      <c r="G115" s="7"/>
      <c r="H115" s="7">
        <v>731</v>
      </c>
      <c r="I115" s="12"/>
      <c r="J115" s="5" t="e">
        <f>+SUMIFS(#REF!,#REF!,Planning[[#This Row],[Tarifa]],#REF!,Planning[[#This Row],[Proyectos]])</f>
        <v>#REF!</v>
      </c>
      <c r="K115" s="5" t="e">
        <f>Planning[[#This Row],[Horas Planificadas]]+Planning[[#This Row],[Horas ajustadas adicionales]]-Planning[[#This Row],[Horas utilizadas]]</f>
        <v>#REF!</v>
      </c>
      <c r="L115" s="7"/>
      <c r="M115" s="19" t="e">
        <f>Planning[[#This Row],[Saldo]]-Planning[[#This Row],[Saldo estimado]]</f>
        <v>#REF!</v>
      </c>
      <c r="N115" s="60" t="e">
        <f>SUM(SUMIFS(#REF!,#REF!,Planning[[#This Row],[Proyectos]],#REF!,Planning[[#This Row],[Tipo de Tarea y especialidad]]),SUMIFS(#REF!,#REF!,Planning[[#This Row],[Proyectos]],#REF!,Planning[[#This Row],[Tipo de Tarea y especialidad]]))</f>
        <v>#REF!</v>
      </c>
      <c r="O115" s="19">
        <f t="shared" si="2"/>
        <v>10</v>
      </c>
      <c r="P115" s="19">
        <f t="shared" si="3"/>
        <v>2024</v>
      </c>
      <c r="Q115" s="19" t="e">
        <f>+SUMIFS(#REF!,#REF!,Planning[[#This Row],[Tarifa]],#REF!,Planning[[#This Row],[Proyectos]],#REF!,Planning[[#This Row],[Mes]],#REF!,Planning[[#This Row],[Año]])</f>
        <v>#REF!</v>
      </c>
      <c r="R115" s="19" t="str">
        <f>TEXT(Planning[[#This Row],[Mes]]*29,"mmmm")</f>
        <v>October</v>
      </c>
      <c r="S1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5" s="241"/>
      <c r="U115" s="43" t="e">
        <f>IF(Planning[[#This Row],[Horas Planificadas]]&lt;&gt;0,+K115/Planning[[#This Row],[Horas Planificadas]],0)</f>
        <v>#REF!</v>
      </c>
      <c r="V115" s="43" t="e">
        <f>IF(Planning[[#This Row],[Horas Planificadas]]&lt;&gt;0,Planning[[#This Row],[Horas utilizadas]]/Planning[[#This Row],[Horas Planificadas]],0)</f>
        <v>#REF!</v>
      </c>
      <c r="W115" s="44">
        <f>Planning[[#This Row],[Horas Planificadas]]+Planning[[#This Row],[Horas ajustadas adicionales]]</f>
        <v>731</v>
      </c>
      <c r="X115" s="142"/>
    </row>
    <row r="116" spans="1:24" ht="12.75" customHeight="1" x14ac:dyDescent="0.2">
      <c r="A116" s="7"/>
      <c r="B116" s="7"/>
      <c r="C116" s="3"/>
      <c r="D116" s="3" t="s">
        <v>59</v>
      </c>
      <c r="E116" s="33" t="s">
        <v>30</v>
      </c>
      <c r="F116" s="3"/>
      <c r="G116" s="7"/>
      <c r="H116" s="7">
        <v>1570</v>
      </c>
      <c r="I116" s="12"/>
      <c r="J116" s="5" t="e">
        <f>+SUMIFS(#REF!,#REF!,Planning[[#This Row],[Tarifa]],#REF!,Planning[[#This Row],[Proyectos]])</f>
        <v>#REF!</v>
      </c>
      <c r="K116" s="5" t="e">
        <f>Planning[[#This Row],[Horas Planificadas]]+Planning[[#This Row],[Horas ajustadas adicionales]]-Planning[[#This Row],[Horas utilizadas]]</f>
        <v>#REF!</v>
      </c>
      <c r="L116" s="7"/>
      <c r="M116" s="19" t="e">
        <f>Planning[[#This Row],[Saldo]]-Planning[[#This Row],[Saldo estimado]]</f>
        <v>#REF!</v>
      </c>
      <c r="N116" s="60" t="e">
        <f>SUM(SUMIFS(#REF!,#REF!,Planning[[#This Row],[Proyectos]],#REF!,Planning[[#This Row],[Tipo de Tarea y especialidad]]),SUMIFS(#REF!,#REF!,Planning[[#This Row],[Proyectos]],#REF!,Planning[[#This Row],[Tipo de Tarea y especialidad]]))</f>
        <v>#REF!</v>
      </c>
      <c r="O116" s="19">
        <f t="shared" si="2"/>
        <v>10</v>
      </c>
      <c r="P116" s="19">
        <f t="shared" si="3"/>
        <v>2024</v>
      </c>
      <c r="Q116" s="19" t="e">
        <f>+SUMIFS(#REF!,#REF!,Planning[[#This Row],[Tarifa]],#REF!,Planning[[#This Row],[Proyectos]],#REF!,Planning[[#This Row],[Mes]],#REF!,Planning[[#This Row],[Año]])</f>
        <v>#REF!</v>
      </c>
      <c r="R116" s="19" t="str">
        <f>TEXT(Planning[[#This Row],[Mes]]*29,"mmmm")</f>
        <v>October</v>
      </c>
      <c r="S1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6" s="241"/>
      <c r="U116" s="43" t="e">
        <f>IF(Planning[[#This Row],[Horas Planificadas]]&lt;&gt;0,+K116/Planning[[#This Row],[Horas Planificadas]],0)</f>
        <v>#REF!</v>
      </c>
      <c r="V116" s="43" t="e">
        <f>IF(Planning[[#This Row],[Horas Planificadas]]&lt;&gt;0,Planning[[#This Row],[Horas utilizadas]]/Planning[[#This Row],[Horas Planificadas]],0)</f>
        <v>#REF!</v>
      </c>
      <c r="W116" s="44">
        <f>Planning[[#This Row],[Horas Planificadas]]+Planning[[#This Row],[Horas ajustadas adicionales]]</f>
        <v>1570</v>
      </c>
      <c r="X116" s="142"/>
    </row>
    <row r="117" spans="1:24" ht="12.75" customHeight="1" x14ac:dyDescent="0.2">
      <c r="A117" s="7"/>
      <c r="B117" s="7"/>
      <c r="C117" s="3"/>
      <c r="D117" s="3" t="s">
        <v>59</v>
      </c>
      <c r="E117" s="33" t="s">
        <v>31</v>
      </c>
      <c r="F117" s="3"/>
      <c r="G117" s="7"/>
      <c r="H117" s="7">
        <v>344</v>
      </c>
      <c r="I117" s="12"/>
      <c r="J117" s="5" t="e">
        <f>+SUMIFS(#REF!,#REF!,Planning[[#This Row],[Tarifa]],#REF!,Planning[[#This Row],[Proyectos]])</f>
        <v>#REF!</v>
      </c>
      <c r="K117" s="5" t="e">
        <f>Planning[[#This Row],[Horas Planificadas]]+Planning[[#This Row],[Horas ajustadas adicionales]]-Planning[[#This Row],[Horas utilizadas]]</f>
        <v>#REF!</v>
      </c>
      <c r="L117" s="7"/>
      <c r="M117" s="19" t="e">
        <f>Planning[[#This Row],[Saldo]]-Planning[[#This Row],[Saldo estimado]]</f>
        <v>#REF!</v>
      </c>
      <c r="N117" s="60" t="e">
        <f>SUM(SUMIFS(#REF!,#REF!,Planning[[#This Row],[Proyectos]],#REF!,Planning[[#This Row],[Tipo de Tarea y especialidad]]),SUMIFS(#REF!,#REF!,Planning[[#This Row],[Proyectos]],#REF!,Planning[[#This Row],[Tipo de Tarea y especialidad]]))</f>
        <v>#REF!</v>
      </c>
      <c r="O117" s="19">
        <f t="shared" si="2"/>
        <v>10</v>
      </c>
      <c r="P117" s="19">
        <f t="shared" si="3"/>
        <v>2024</v>
      </c>
      <c r="Q117" s="19" t="e">
        <f>+SUMIFS(#REF!,#REF!,Planning[[#This Row],[Tarifa]],#REF!,Planning[[#This Row],[Proyectos]],#REF!,Planning[[#This Row],[Mes]],#REF!,Planning[[#This Row],[Año]])</f>
        <v>#REF!</v>
      </c>
      <c r="R117" s="19" t="str">
        <f>TEXT(Planning[[#This Row],[Mes]]*29,"mmmm")</f>
        <v>October</v>
      </c>
      <c r="S1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7" s="241"/>
      <c r="U117" s="43" t="e">
        <f>IF(Planning[[#This Row],[Horas Planificadas]]&lt;&gt;0,+K117/Planning[[#This Row],[Horas Planificadas]],0)</f>
        <v>#REF!</v>
      </c>
      <c r="V117" s="43" t="e">
        <f>IF(Planning[[#This Row],[Horas Planificadas]]&lt;&gt;0,Planning[[#This Row],[Horas utilizadas]]/Planning[[#This Row],[Horas Planificadas]],0)</f>
        <v>#REF!</v>
      </c>
      <c r="W117" s="44">
        <f>Planning[[#This Row],[Horas Planificadas]]+Planning[[#This Row],[Horas ajustadas adicionales]]</f>
        <v>344</v>
      </c>
      <c r="X117" s="142"/>
    </row>
    <row r="118" spans="1:24" ht="12.75" customHeight="1" x14ac:dyDescent="0.2">
      <c r="A118" s="7"/>
      <c r="B118" s="7"/>
      <c r="C118" s="3"/>
      <c r="D118" s="3" t="s">
        <v>59</v>
      </c>
      <c r="E118" s="33" t="s">
        <v>32</v>
      </c>
      <c r="F118" s="3"/>
      <c r="G118" s="7"/>
      <c r="H118" s="7">
        <v>655</v>
      </c>
      <c r="I118" s="12"/>
      <c r="J118" s="5" t="e">
        <f>+SUMIFS(#REF!,#REF!,Planning[[#This Row],[Tarifa]],#REF!,Planning[[#This Row],[Proyectos]])</f>
        <v>#REF!</v>
      </c>
      <c r="K118" s="5" t="e">
        <f>Planning[[#This Row],[Horas Planificadas]]+Planning[[#This Row],[Horas ajustadas adicionales]]-Planning[[#This Row],[Horas utilizadas]]</f>
        <v>#REF!</v>
      </c>
      <c r="L118" s="7"/>
      <c r="M118" s="19" t="e">
        <f>Planning[[#This Row],[Saldo]]-Planning[[#This Row],[Saldo estimado]]</f>
        <v>#REF!</v>
      </c>
      <c r="N118" s="60" t="e">
        <f>SUM(SUMIFS(#REF!,#REF!,Planning[[#This Row],[Proyectos]],#REF!,Planning[[#This Row],[Tipo de Tarea y especialidad]]),SUMIFS(#REF!,#REF!,Planning[[#This Row],[Proyectos]],#REF!,Planning[[#This Row],[Tipo de Tarea y especialidad]]))</f>
        <v>#REF!</v>
      </c>
      <c r="O118" s="19">
        <f t="shared" si="2"/>
        <v>10</v>
      </c>
      <c r="P118" s="19">
        <f t="shared" si="3"/>
        <v>2024</v>
      </c>
      <c r="Q118" s="19" t="e">
        <f>+SUMIFS(#REF!,#REF!,Planning[[#This Row],[Tarifa]],#REF!,Planning[[#This Row],[Proyectos]],#REF!,Planning[[#This Row],[Mes]],#REF!,Planning[[#This Row],[Año]])</f>
        <v>#REF!</v>
      </c>
      <c r="R118" s="19" t="str">
        <f>TEXT(Planning[[#This Row],[Mes]]*29,"mmmm")</f>
        <v>October</v>
      </c>
      <c r="S1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8" s="241"/>
      <c r="U118" s="43" t="e">
        <f>IF(Planning[[#This Row],[Horas Planificadas]]&lt;&gt;0,+K118/Planning[[#This Row],[Horas Planificadas]],0)</f>
        <v>#REF!</v>
      </c>
      <c r="V118" s="43" t="e">
        <f>IF(Planning[[#This Row],[Horas Planificadas]]&lt;&gt;0,Planning[[#This Row],[Horas utilizadas]]/Planning[[#This Row],[Horas Planificadas]],0)</f>
        <v>#REF!</v>
      </c>
      <c r="W118" s="44">
        <f>Planning[[#This Row],[Horas Planificadas]]+Planning[[#This Row],[Horas ajustadas adicionales]]</f>
        <v>655</v>
      </c>
      <c r="X118" s="142"/>
    </row>
    <row r="119" spans="1:24" ht="12.75" customHeight="1" x14ac:dyDescent="0.2">
      <c r="A119" s="7"/>
      <c r="B119" s="7"/>
      <c r="C119" s="3"/>
      <c r="D119" s="3" t="s">
        <v>60</v>
      </c>
      <c r="E119" s="33" t="s">
        <v>28</v>
      </c>
      <c r="F119" s="3"/>
      <c r="G119" s="7"/>
      <c r="H119" s="7">
        <v>840</v>
      </c>
      <c r="I119" s="12"/>
      <c r="J119" s="5" t="e">
        <f>+SUMIFS(#REF!,#REF!,Planning[[#This Row],[Tarifa]],#REF!,Planning[[#This Row],[Proyectos]])</f>
        <v>#REF!</v>
      </c>
      <c r="K119" s="5" t="e">
        <f>Planning[[#This Row],[Horas Planificadas]]+Planning[[#This Row],[Horas ajustadas adicionales]]-Planning[[#This Row],[Horas utilizadas]]</f>
        <v>#REF!</v>
      </c>
      <c r="L119" s="7"/>
      <c r="M119" s="19" t="e">
        <f>Planning[[#This Row],[Saldo]]-Planning[[#This Row],[Saldo estimado]]</f>
        <v>#REF!</v>
      </c>
      <c r="N119" s="60" t="e">
        <f>SUM(SUMIFS(#REF!,#REF!,Planning[[#This Row],[Proyectos]],#REF!,Planning[[#This Row],[Tipo de Tarea y especialidad]]),SUMIFS(#REF!,#REF!,Planning[[#This Row],[Proyectos]],#REF!,Planning[[#This Row],[Tipo de Tarea y especialidad]]))</f>
        <v>#REF!</v>
      </c>
      <c r="O119" s="19">
        <f t="shared" si="2"/>
        <v>10</v>
      </c>
      <c r="P119" s="19">
        <f t="shared" si="3"/>
        <v>2024</v>
      </c>
      <c r="Q119" s="19" t="e">
        <f>+SUMIFS(#REF!,#REF!,Planning[[#This Row],[Tarifa]],#REF!,Planning[[#This Row],[Proyectos]],#REF!,Planning[[#This Row],[Mes]],#REF!,Planning[[#This Row],[Año]])</f>
        <v>#REF!</v>
      </c>
      <c r="R119" s="19" t="str">
        <f>TEXT(Planning[[#This Row],[Mes]]*29,"mmmm")</f>
        <v>October</v>
      </c>
      <c r="S1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9" s="241"/>
      <c r="U119" s="43" t="e">
        <f>IF(Planning[[#This Row],[Horas Planificadas]]&lt;&gt;0,+K119/Planning[[#This Row],[Horas Planificadas]],0)</f>
        <v>#REF!</v>
      </c>
      <c r="V119" s="43" t="e">
        <f>IF(Planning[[#This Row],[Horas Planificadas]]&lt;&gt;0,Planning[[#This Row],[Horas utilizadas]]/Planning[[#This Row],[Horas Planificadas]],0)</f>
        <v>#REF!</v>
      </c>
      <c r="W119" s="44">
        <f>Planning[[#This Row],[Horas Planificadas]]+Planning[[#This Row],[Horas ajustadas adicionales]]</f>
        <v>840</v>
      </c>
      <c r="X119" s="142"/>
    </row>
    <row r="120" spans="1:24" ht="12.75" customHeight="1" x14ac:dyDescent="0.2">
      <c r="A120" s="7"/>
      <c r="B120" s="7"/>
      <c r="C120" s="3"/>
      <c r="D120" s="3" t="s">
        <v>60</v>
      </c>
      <c r="E120" s="33" t="s">
        <v>30</v>
      </c>
      <c r="F120" s="3"/>
      <c r="G120" s="7"/>
      <c r="H120" s="7">
        <v>665</v>
      </c>
      <c r="I120" s="12"/>
      <c r="J120" s="5" t="e">
        <f>+SUMIFS(#REF!,#REF!,Planning[[#This Row],[Tarifa]],#REF!,Planning[[#This Row],[Proyectos]])</f>
        <v>#REF!</v>
      </c>
      <c r="K120" s="5" t="e">
        <f>Planning[[#This Row],[Horas Planificadas]]+Planning[[#This Row],[Horas ajustadas adicionales]]-Planning[[#This Row],[Horas utilizadas]]</f>
        <v>#REF!</v>
      </c>
      <c r="L120" s="7"/>
      <c r="M120" s="19" t="e">
        <f>Planning[[#This Row],[Saldo]]-Planning[[#This Row],[Saldo estimado]]</f>
        <v>#REF!</v>
      </c>
      <c r="N120" s="60" t="e">
        <f>SUM(SUMIFS(#REF!,#REF!,Planning[[#This Row],[Proyectos]],#REF!,Planning[[#This Row],[Tipo de Tarea y especialidad]]),SUMIFS(#REF!,#REF!,Planning[[#This Row],[Proyectos]],#REF!,Planning[[#This Row],[Tipo de Tarea y especialidad]]))</f>
        <v>#REF!</v>
      </c>
      <c r="O120" s="19">
        <f t="shared" si="2"/>
        <v>10</v>
      </c>
      <c r="P120" s="19">
        <f t="shared" si="3"/>
        <v>2024</v>
      </c>
      <c r="Q120" s="19" t="e">
        <f>+SUMIFS(#REF!,#REF!,Planning[[#This Row],[Tarifa]],#REF!,Planning[[#This Row],[Proyectos]],#REF!,Planning[[#This Row],[Mes]],#REF!,Planning[[#This Row],[Año]])</f>
        <v>#REF!</v>
      </c>
      <c r="R120" s="19" t="str">
        <f>TEXT(Planning[[#This Row],[Mes]]*29,"mmmm")</f>
        <v>October</v>
      </c>
      <c r="S1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0" s="241"/>
      <c r="U120" s="43" t="e">
        <f>IF(Planning[[#This Row],[Horas Planificadas]]&lt;&gt;0,+K120/Planning[[#This Row],[Horas Planificadas]],0)</f>
        <v>#REF!</v>
      </c>
      <c r="V120" s="43" t="e">
        <f>IF(Planning[[#This Row],[Horas Planificadas]]&lt;&gt;0,Planning[[#This Row],[Horas utilizadas]]/Planning[[#This Row],[Horas Planificadas]],0)</f>
        <v>#REF!</v>
      </c>
      <c r="W120" s="44">
        <f>Planning[[#This Row],[Horas Planificadas]]+Planning[[#This Row],[Horas ajustadas adicionales]]</f>
        <v>665</v>
      </c>
      <c r="X120" s="142"/>
    </row>
    <row r="121" spans="1:24" ht="12.75" customHeight="1" x14ac:dyDescent="0.2">
      <c r="A121" s="7"/>
      <c r="B121" s="7"/>
      <c r="C121" s="3"/>
      <c r="D121" s="3" t="s">
        <v>60</v>
      </c>
      <c r="E121" s="33" t="s">
        <v>31</v>
      </c>
      <c r="F121" s="3"/>
      <c r="G121" s="7"/>
      <c r="H121" s="7">
        <v>162</v>
      </c>
      <c r="I121" s="12"/>
      <c r="J121" s="5" t="e">
        <f>+SUMIFS(#REF!,#REF!,Planning[[#This Row],[Tarifa]],#REF!,Planning[[#This Row],[Proyectos]])</f>
        <v>#REF!</v>
      </c>
      <c r="K121" s="5" t="e">
        <f>Planning[[#This Row],[Horas Planificadas]]+Planning[[#This Row],[Horas ajustadas adicionales]]-Planning[[#This Row],[Horas utilizadas]]</f>
        <v>#REF!</v>
      </c>
      <c r="L121" s="7"/>
      <c r="M121" s="19" t="e">
        <f>Planning[[#This Row],[Saldo]]-Planning[[#This Row],[Saldo estimado]]</f>
        <v>#REF!</v>
      </c>
      <c r="N121" s="60" t="e">
        <f>SUM(SUMIFS(#REF!,#REF!,Planning[[#This Row],[Proyectos]],#REF!,Planning[[#This Row],[Tipo de Tarea y especialidad]]),SUMIFS(#REF!,#REF!,Planning[[#This Row],[Proyectos]],#REF!,Planning[[#This Row],[Tipo de Tarea y especialidad]]))</f>
        <v>#REF!</v>
      </c>
      <c r="O121" s="19">
        <f t="shared" si="2"/>
        <v>10</v>
      </c>
      <c r="P121" s="19">
        <f t="shared" si="3"/>
        <v>2024</v>
      </c>
      <c r="Q121" s="19" t="e">
        <f>+SUMIFS(#REF!,#REF!,Planning[[#This Row],[Tarifa]],#REF!,Planning[[#This Row],[Proyectos]],#REF!,Planning[[#This Row],[Mes]],#REF!,Planning[[#This Row],[Año]])</f>
        <v>#REF!</v>
      </c>
      <c r="R121" s="19" t="str">
        <f>TEXT(Planning[[#This Row],[Mes]]*29,"mmmm")</f>
        <v>October</v>
      </c>
      <c r="S1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1" s="241"/>
      <c r="U121" s="43" t="e">
        <f>IF(Planning[[#This Row],[Horas Planificadas]]&lt;&gt;0,+K121/Planning[[#This Row],[Horas Planificadas]],0)</f>
        <v>#REF!</v>
      </c>
      <c r="V121" s="43" t="e">
        <f>IF(Planning[[#This Row],[Horas Planificadas]]&lt;&gt;0,Planning[[#This Row],[Horas utilizadas]]/Planning[[#This Row],[Horas Planificadas]],0)</f>
        <v>#REF!</v>
      </c>
      <c r="W121" s="44">
        <f>Planning[[#This Row],[Horas Planificadas]]+Planning[[#This Row],[Horas ajustadas adicionales]]</f>
        <v>162</v>
      </c>
      <c r="X121" s="142"/>
    </row>
    <row r="122" spans="1:24" ht="12.75" customHeight="1" x14ac:dyDescent="0.2">
      <c r="A122" s="7"/>
      <c r="B122" s="7"/>
      <c r="C122" s="3"/>
      <c r="D122" s="3" t="s">
        <v>60</v>
      </c>
      <c r="E122" s="33" t="s">
        <v>32</v>
      </c>
      <c r="F122" s="3"/>
      <c r="G122" s="7"/>
      <c r="H122" s="7">
        <v>162</v>
      </c>
      <c r="I122" s="12"/>
      <c r="J122" s="5" t="e">
        <f>+SUMIFS(#REF!,#REF!,Planning[[#This Row],[Tarifa]],#REF!,Planning[[#This Row],[Proyectos]])</f>
        <v>#REF!</v>
      </c>
      <c r="K122" s="5" t="e">
        <f>Planning[[#This Row],[Horas Planificadas]]+Planning[[#This Row],[Horas ajustadas adicionales]]-Planning[[#This Row],[Horas utilizadas]]</f>
        <v>#REF!</v>
      </c>
      <c r="L122" s="7"/>
      <c r="M122" s="19" t="e">
        <f>Planning[[#This Row],[Saldo]]-Planning[[#This Row],[Saldo estimado]]</f>
        <v>#REF!</v>
      </c>
      <c r="N122" s="60" t="e">
        <f>SUM(SUMIFS(#REF!,#REF!,Planning[[#This Row],[Proyectos]],#REF!,Planning[[#This Row],[Tipo de Tarea y especialidad]]),SUMIFS(#REF!,#REF!,Planning[[#This Row],[Proyectos]],#REF!,Planning[[#This Row],[Tipo de Tarea y especialidad]]))</f>
        <v>#REF!</v>
      </c>
      <c r="O122" s="19">
        <f t="shared" si="2"/>
        <v>10</v>
      </c>
      <c r="P122" s="19">
        <f t="shared" si="3"/>
        <v>2024</v>
      </c>
      <c r="Q122" s="19" t="e">
        <f>+SUMIFS(#REF!,#REF!,Planning[[#This Row],[Tarifa]],#REF!,Planning[[#This Row],[Proyectos]],#REF!,Planning[[#This Row],[Mes]],#REF!,Planning[[#This Row],[Año]])</f>
        <v>#REF!</v>
      </c>
      <c r="R122" s="19" t="str">
        <f>TEXT(Planning[[#This Row],[Mes]]*29,"mmmm")</f>
        <v>October</v>
      </c>
      <c r="S1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2" s="241"/>
      <c r="U122" s="43" t="e">
        <f>IF(Planning[[#This Row],[Horas Planificadas]]&lt;&gt;0,+K122/Planning[[#This Row],[Horas Planificadas]],0)</f>
        <v>#REF!</v>
      </c>
      <c r="V122" s="43" t="e">
        <f>IF(Planning[[#This Row],[Horas Planificadas]]&lt;&gt;0,Planning[[#This Row],[Horas utilizadas]]/Planning[[#This Row],[Horas Planificadas]],0)</f>
        <v>#REF!</v>
      </c>
      <c r="W122" s="44">
        <f>Planning[[#This Row],[Horas Planificadas]]+Planning[[#This Row],[Horas ajustadas adicionales]]</f>
        <v>162</v>
      </c>
      <c r="X122" s="142"/>
    </row>
    <row r="123" spans="1:24" ht="12.75" customHeight="1" x14ac:dyDescent="0.2">
      <c r="A123" s="7"/>
      <c r="B123" s="7"/>
      <c r="C123" s="3"/>
      <c r="D123" s="3" t="s">
        <v>61</v>
      </c>
      <c r="E123" s="33" t="s">
        <v>28</v>
      </c>
      <c r="F123" s="3"/>
      <c r="G123" s="7"/>
      <c r="H123" s="7">
        <v>576</v>
      </c>
      <c r="I123" s="12"/>
      <c r="J123" s="5" t="e">
        <f>+SUMIFS(#REF!,#REF!,Planning[[#This Row],[Tarifa]],#REF!,Planning[[#This Row],[Proyectos]])</f>
        <v>#REF!</v>
      </c>
      <c r="K123" s="5" t="e">
        <f>Planning[[#This Row],[Horas Planificadas]]+Planning[[#This Row],[Horas ajustadas adicionales]]-Planning[[#This Row],[Horas utilizadas]]</f>
        <v>#REF!</v>
      </c>
      <c r="L123" s="7"/>
      <c r="M123" s="19" t="e">
        <f>Planning[[#This Row],[Saldo]]-Planning[[#This Row],[Saldo estimado]]</f>
        <v>#REF!</v>
      </c>
      <c r="N123" s="60" t="e">
        <f>SUM(SUMIFS(#REF!,#REF!,Planning[[#This Row],[Proyectos]],#REF!,Planning[[#This Row],[Tipo de Tarea y especialidad]]),SUMIFS(#REF!,#REF!,Planning[[#This Row],[Proyectos]],#REF!,Planning[[#This Row],[Tipo de Tarea y especialidad]]))</f>
        <v>#REF!</v>
      </c>
      <c r="O123" s="19">
        <f t="shared" si="2"/>
        <v>10</v>
      </c>
      <c r="P123" s="19">
        <f t="shared" si="3"/>
        <v>2024</v>
      </c>
      <c r="Q123" s="19" t="e">
        <f>+SUMIFS(#REF!,#REF!,Planning[[#This Row],[Tarifa]],#REF!,Planning[[#This Row],[Proyectos]],#REF!,Planning[[#This Row],[Mes]],#REF!,Planning[[#This Row],[Año]])</f>
        <v>#REF!</v>
      </c>
      <c r="R123" s="19" t="str">
        <f>TEXT(Planning[[#This Row],[Mes]]*29,"mmmm")</f>
        <v>October</v>
      </c>
      <c r="S1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3" s="241"/>
      <c r="U123" s="43" t="e">
        <f>IF(Planning[[#This Row],[Horas Planificadas]]&lt;&gt;0,+K123/Planning[[#This Row],[Horas Planificadas]],0)</f>
        <v>#REF!</v>
      </c>
      <c r="V123" s="43" t="e">
        <f>IF(Planning[[#This Row],[Horas Planificadas]]&lt;&gt;0,Planning[[#This Row],[Horas utilizadas]]/Planning[[#This Row],[Horas Planificadas]],0)</f>
        <v>#REF!</v>
      </c>
      <c r="W123" s="44">
        <f>Planning[[#This Row],[Horas Planificadas]]+Planning[[#This Row],[Horas ajustadas adicionales]]</f>
        <v>576</v>
      </c>
      <c r="X123" s="142"/>
    </row>
    <row r="124" spans="1:24" ht="12.75" customHeight="1" x14ac:dyDescent="0.2">
      <c r="A124" s="7"/>
      <c r="B124" s="7"/>
      <c r="C124" s="3"/>
      <c r="D124" s="3" t="s">
        <v>61</v>
      </c>
      <c r="E124" s="33" t="s">
        <v>30</v>
      </c>
      <c r="F124" s="3"/>
      <c r="G124" s="7"/>
      <c r="H124" s="7">
        <v>822</v>
      </c>
      <c r="I124" s="12"/>
      <c r="J124" s="5" t="e">
        <f>+SUMIFS(#REF!,#REF!,Planning[[#This Row],[Tarifa]],#REF!,Planning[[#This Row],[Proyectos]])</f>
        <v>#REF!</v>
      </c>
      <c r="K124" s="5" t="e">
        <f>Planning[[#This Row],[Horas Planificadas]]+Planning[[#This Row],[Horas ajustadas adicionales]]-Planning[[#This Row],[Horas utilizadas]]</f>
        <v>#REF!</v>
      </c>
      <c r="L124" s="7"/>
      <c r="M124" s="19" t="e">
        <f>Planning[[#This Row],[Saldo]]-Planning[[#This Row],[Saldo estimado]]</f>
        <v>#REF!</v>
      </c>
      <c r="N124" s="60" t="e">
        <f>SUM(SUMIFS(#REF!,#REF!,Planning[[#This Row],[Proyectos]],#REF!,Planning[[#This Row],[Tipo de Tarea y especialidad]]),SUMIFS(#REF!,#REF!,Planning[[#This Row],[Proyectos]],#REF!,Planning[[#This Row],[Tipo de Tarea y especialidad]]))</f>
        <v>#REF!</v>
      </c>
      <c r="O124" s="19">
        <f t="shared" si="2"/>
        <v>10</v>
      </c>
      <c r="P124" s="19">
        <f t="shared" si="3"/>
        <v>2024</v>
      </c>
      <c r="Q124" s="19" t="e">
        <f>+SUMIFS(#REF!,#REF!,Planning[[#This Row],[Tarifa]],#REF!,Planning[[#This Row],[Proyectos]],#REF!,Planning[[#This Row],[Mes]],#REF!,Planning[[#This Row],[Año]])</f>
        <v>#REF!</v>
      </c>
      <c r="R124" s="19" t="str">
        <f>TEXT(Planning[[#This Row],[Mes]]*29,"mmmm")</f>
        <v>October</v>
      </c>
      <c r="S1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4" s="241"/>
      <c r="U124" s="43" t="e">
        <f>IF(Planning[[#This Row],[Horas Planificadas]]&lt;&gt;0,+K124/Planning[[#This Row],[Horas Planificadas]],0)</f>
        <v>#REF!</v>
      </c>
      <c r="V124" s="43" t="e">
        <f>IF(Planning[[#This Row],[Horas Planificadas]]&lt;&gt;0,Planning[[#This Row],[Horas utilizadas]]/Planning[[#This Row],[Horas Planificadas]],0)</f>
        <v>#REF!</v>
      </c>
      <c r="W124" s="44">
        <f>Planning[[#This Row],[Horas Planificadas]]+Planning[[#This Row],[Horas ajustadas adicionales]]</f>
        <v>822</v>
      </c>
      <c r="X124" s="142"/>
    </row>
    <row r="125" spans="1:24" ht="12.75" customHeight="1" x14ac:dyDescent="0.2">
      <c r="A125" s="7"/>
      <c r="B125" s="7"/>
      <c r="C125" s="3"/>
      <c r="D125" s="3" t="s">
        <v>61</v>
      </c>
      <c r="E125" s="33" t="s">
        <v>31</v>
      </c>
      <c r="F125" s="3"/>
      <c r="G125" s="7"/>
      <c r="H125" s="7">
        <v>64</v>
      </c>
      <c r="I125" s="12"/>
      <c r="J125" s="5" t="e">
        <f>+SUMIFS(#REF!,#REF!,Planning[[#This Row],[Tarifa]],#REF!,Planning[[#This Row],[Proyectos]])</f>
        <v>#REF!</v>
      </c>
      <c r="K125" s="5" t="e">
        <f>Planning[[#This Row],[Horas Planificadas]]+Planning[[#This Row],[Horas ajustadas adicionales]]-Planning[[#This Row],[Horas utilizadas]]</f>
        <v>#REF!</v>
      </c>
      <c r="L125" s="7"/>
      <c r="M125" s="19" t="e">
        <f>Planning[[#This Row],[Saldo]]-Planning[[#This Row],[Saldo estimado]]</f>
        <v>#REF!</v>
      </c>
      <c r="N125" s="60" t="e">
        <f>SUM(SUMIFS(#REF!,#REF!,Planning[[#This Row],[Proyectos]],#REF!,Planning[[#This Row],[Tipo de Tarea y especialidad]]),SUMIFS(#REF!,#REF!,Planning[[#This Row],[Proyectos]],#REF!,Planning[[#This Row],[Tipo de Tarea y especialidad]]))</f>
        <v>#REF!</v>
      </c>
      <c r="O125" s="19">
        <f t="shared" si="2"/>
        <v>10</v>
      </c>
      <c r="P125" s="19">
        <f t="shared" si="3"/>
        <v>2024</v>
      </c>
      <c r="Q125" s="19" t="e">
        <f>+SUMIFS(#REF!,#REF!,Planning[[#This Row],[Tarifa]],#REF!,Planning[[#This Row],[Proyectos]],#REF!,Planning[[#This Row],[Mes]],#REF!,Planning[[#This Row],[Año]])</f>
        <v>#REF!</v>
      </c>
      <c r="R125" s="19" t="str">
        <f>TEXT(Planning[[#This Row],[Mes]]*29,"mmmm")</f>
        <v>October</v>
      </c>
      <c r="S1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5" s="241"/>
      <c r="U125" s="43" t="e">
        <f>IF(Planning[[#This Row],[Horas Planificadas]]&lt;&gt;0,+K125/Planning[[#This Row],[Horas Planificadas]],0)</f>
        <v>#REF!</v>
      </c>
      <c r="V125" s="43" t="e">
        <f>IF(Planning[[#This Row],[Horas Planificadas]]&lt;&gt;0,Planning[[#This Row],[Horas utilizadas]]/Planning[[#This Row],[Horas Planificadas]],0)</f>
        <v>#REF!</v>
      </c>
      <c r="W125" s="44">
        <f>Planning[[#This Row],[Horas Planificadas]]+Planning[[#This Row],[Horas ajustadas adicionales]]</f>
        <v>64</v>
      </c>
      <c r="X125" s="142"/>
    </row>
    <row r="126" spans="1:24" ht="12.75" customHeight="1" x14ac:dyDescent="0.2">
      <c r="A126" s="7"/>
      <c r="B126" s="7"/>
      <c r="C126" s="3"/>
      <c r="D126" s="3" t="s">
        <v>61</v>
      </c>
      <c r="E126" s="33" t="s">
        <v>32</v>
      </c>
      <c r="F126" s="3"/>
      <c r="G126" s="7"/>
      <c r="H126" s="7">
        <v>198</v>
      </c>
      <c r="I126" s="12"/>
      <c r="J126" s="5" t="e">
        <f>+SUMIFS(#REF!,#REF!,Planning[[#This Row],[Tarifa]],#REF!,Planning[[#This Row],[Proyectos]])</f>
        <v>#REF!</v>
      </c>
      <c r="K126" s="5" t="e">
        <f>Planning[[#This Row],[Horas Planificadas]]+Planning[[#This Row],[Horas ajustadas adicionales]]-Planning[[#This Row],[Horas utilizadas]]</f>
        <v>#REF!</v>
      </c>
      <c r="L126" s="7"/>
      <c r="M126" s="19" t="e">
        <f>Planning[[#This Row],[Saldo]]-Planning[[#This Row],[Saldo estimado]]</f>
        <v>#REF!</v>
      </c>
      <c r="N126" s="60" t="e">
        <f>SUM(SUMIFS(#REF!,#REF!,Planning[[#This Row],[Proyectos]],#REF!,Planning[[#This Row],[Tipo de Tarea y especialidad]]),SUMIFS(#REF!,#REF!,Planning[[#This Row],[Proyectos]],#REF!,Planning[[#This Row],[Tipo de Tarea y especialidad]]))</f>
        <v>#REF!</v>
      </c>
      <c r="O126" s="19">
        <f t="shared" si="2"/>
        <v>10</v>
      </c>
      <c r="P126" s="19">
        <f t="shared" si="3"/>
        <v>2024</v>
      </c>
      <c r="Q126" s="19" t="e">
        <f>+SUMIFS(#REF!,#REF!,Planning[[#This Row],[Tarifa]],#REF!,Planning[[#This Row],[Proyectos]],#REF!,Planning[[#This Row],[Mes]],#REF!,Planning[[#This Row],[Año]])</f>
        <v>#REF!</v>
      </c>
      <c r="R126" s="19" t="str">
        <f>TEXT(Planning[[#This Row],[Mes]]*29,"mmmm")</f>
        <v>October</v>
      </c>
      <c r="S1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6" s="241"/>
      <c r="U126" s="43" t="e">
        <f>IF(Planning[[#This Row],[Horas Planificadas]]&lt;&gt;0,+K126/Planning[[#This Row],[Horas Planificadas]],0)</f>
        <v>#REF!</v>
      </c>
      <c r="V126" s="43" t="e">
        <f>IF(Planning[[#This Row],[Horas Planificadas]]&lt;&gt;0,Planning[[#This Row],[Horas utilizadas]]/Planning[[#This Row],[Horas Planificadas]],0)</f>
        <v>#REF!</v>
      </c>
      <c r="W126" s="44">
        <f>Planning[[#This Row],[Horas Planificadas]]+Planning[[#This Row],[Horas ajustadas adicionales]]</f>
        <v>198</v>
      </c>
      <c r="X126" s="142"/>
    </row>
    <row r="127" spans="1:24" ht="12.75" customHeight="1" x14ac:dyDescent="0.2">
      <c r="A127" s="7"/>
      <c r="B127" s="7"/>
      <c r="C127" s="3"/>
      <c r="D127" s="3" t="s">
        <v>62</v>
      </c>
      <c r="E127" s="33" t="s">
        <v>28</v>
      </c>
      <c r="F127" s="3"/>
      <c r="G127" s="7"/>
      <c r="H127" s="7">
        <v>120</v>
      </c>
      <c r="I127" s="12"/>
      <c r="J127" s="5" t="e">
        <f>+SUMIFS(#REF!,#REF!,Planning[[#This Row],[Tarifa]],#REF!,Planning[[#This Row],[Proyectos]])</f>
        <v>#REF!</v>
      </c>
      <c r="K127" s="5" t="e">
        <f>Planning[[#This Row],[Horas Planificadas]]+Planning[[#This Row],[Horas ajustadas adicionales]]-Planning[[#This Row],[Horas utilizadas]]</f>
        <v>#REF!</v>
      </c>
      <c r="L127" s="7"/>
      <c r="M127" s="19" t="e">
        <f>Planning[[#This Row],[Saldo]]-Planning[[#This Row],[Saldo estimado]]</f>
        <v>#REF!</v>
      </c>
      <c r="N127" s="60" t="e">
        <f>SUM(SUMIFS(#REF!,#REF!,Planning[[#This Row],[Proyectos]],#REF!,Planning[[#This Row],[Tipo de Tarea y especialidad]]),SUMIFS(#REF!,#REF!,Planning[[#This Row],[Proyectos]],#REF!,Planning[[#This Row],[Tipo de Tarea y especialidad]]))</f>
        <v>#REF!</v>
      </c>
      <c r="O127" s="19">
        <f t="shared" si="2"/>
        <v>10</v>
      </c>
      <c r="P127" s="19">
        <f t="shared" si="3"/>
        <v>2024</v>
      </c>
      <c r="Q127" s="19" t="e">
        <f>+SUMIFS(#REF!,#REF!,Planning[[#This Row],[Tarifa]],#REF!,Planning[[#This Row],[Proyectos]],#REF!,Planning[[#This Row],[Mes]],#REF!,Planning[[#This Row],[Año]])</f>
        <v>#REF!</v>
      </c>
      <c r="R127" s="19" t="str">
        <f>TEXT(Planning[[#This Row],[Mes]]*29,"mmmm")</f>
        <v>October</v>
      </c>
      <c r="S1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7" s="241"/>
      <c r="U127" s="43" t="e">
        <f>IF(Planning[[#This Row],[Horas Planificadas]]&lt;&gt;0,+K127/Planning[[#This Row],[Horas Planificadas]],0)</f>
        <v>#REF!</v>
      </c>
      <c r="V127" s="43" t="e">
        <f>IF(Planning[[#This Row],[Horas Planificadas]]&lt;&gt;0,Planning[[#This Row],[Horas utilizadas]]/Planning[[#This Row],[Horas Planificadas]],0)</f>
        <v>#REF!</v>
      </c>
      <c r="W127" s="44">
        <f>Planning[[#This Row],[Horas Planificadas]]+Planning[[#This Row],[Horas ajustadas adicionales]]</f>
        <v>120</v>
      </c>
      <c r="X127" s="142"/>
    </row>
    <row r="128" spans="1:24" ht="12.75" customHeight="1" x14ac:dyDescent="0.2">
      <c r="A128" s="7"/>
      <c r="B128" s="7"/>
      <c r="C128" s="3"/>
      <c r="D128" s="3" t="s">
        <v>62</v>
      </c>
      <c r="E128" s="33" t="s">
        <v>30</v>
      </c>
      <c r="F128" s="3"/>
      <c r="G128" s="7"/>
      <c r="H128" s="7">
        <v>240</v>
      </c>
      <c r="I128" s="12"/>
      <c r="J128" s="5" t="e">
        <f>+SUMIFS(#REF!,#REF!,Planning[[#This Row],[Tarifa]],#REF!,Planning[[#This Row],[Proyectos]])</f>
        <v>#REF!</v>
      </c>
      <c r="K128" s="5" t="e">
        <f>Planning[[#This Row],[Horas Planificadas]]+Planning[[#This Row],[Horas ajustadas adicionales]]-Planning[[#This Row],[Horas utilizadas]]</f>
        <v>#REF!</v>
      </c>
      <c r="L128" s="7"/>
      <c r="M128" s="19" t="e">
        <f>Planning[[#This Row],[Saldo]]-Planning[[#This Row],[Saldo estimado]]</f>
        <v>#REF!</v>
      </c>
      <c r="N128" s="60" t="e">
        <f>SUM(SUMIFS(#REF!,#REF!,Planning[[#This Row],[Proyectos]],#REF!,Planning[[#This Row],[Tipo de Tarea y especialidad]]),SUMIFS(#REF!,#REF!,Planning[[#This Row],[Proyectos]],#REF!,Planning[[#This Row],[Tipo de Tarea y especialidad]]))</f>
        <v>#REF!</v>
      </c>
      <c r="O128" s="19">
        <f t="shared" si="2"/>
        <v>10</v>
      </c>
      <c r="P128" s="19">
        <f t="shared" si="3"/>
        <v>2024</v>
      </c>
      <c r="Q128" s="19" t="e">
        <f>+SUMIFS(#REF!,#REF!,Planning[[#This Row],[Tarifa]],#REF!,Planning[[#This Row],[Proyectos]],#REF!,Planning[[#This Row],[Mes]],#REF!,Planning[[#This Row],[Año]])</f>
        <v>#REF!</v>
      </c>
      <c r="R128" s="19" t="str">
        <f>TEXT(Planning[[#This Row],[Mes]]*29,"mmmm")</f>
        <v>October</v>
      </c>
      <c r="S1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8" s="241"/>
      <c r="U128" s="43" t="e">
        <f>IF(Planning[[#This Row],[Horas Planificadas]]&lt;&gt;0,+K128/Planning[[#This Row],[Horas Planificadas]],0)</f>
        <v>#REF!</v>
      </c>
      <c r="V128" s="43" t="e">
        <f>IF(Planning[[#This Row],[Horas Planificadas]]&lt;&gt;0,Planning[[#This Row],[Horas utilizadas]]/Planning[[#This Row],[Horas Planificadas]],0)</f>
        <v>#REF!</v>
      </c>
      <c r="W128" s="44">
        <f>Planning[[#This Row],[Horas Planificadas]]+Planning[[#This Row],[Horas ajustadas adicionales]]</f>
        <v>240</v>
      </c>
      <c r="X128" s="142"/>
    </row>
    <row r="129" spans="1:24" ht="12.75" customHeight="1" x14ac:dyDescent="0.2">
      <c r="A129" s="7"/>
      <c r="B129" s="7"/>
      <c r="C129" s="3"/>
      <c r="D129" s="3" t="s">
        <v>62</v>
      </c>
      <c r="E129" s="33" t="s">
        <v>31</v>
      </c>
      <c r="F129" s="3"/>
      <c r="G129" s="7"/>
      <c r="H129" s="7">
        <v>160</v>
      </c>
      <c r="I129" s="12"/>
      <c r="J129" s="5" t="e">
        <f>+SUMIFS(#REF!,#REF!,Planning[[#This Row],[Tarifa]],#REF!,Planning[[#This Row],[Proyectos]])</f>
        <v>#REF!</v>
      </c>
      <c r="K129" s="5" t="e">
        <f>Planning[[#This Row],[Horas Planificadas]]+Planning[[#This Row],[Horas ajustadas adicionales]]-Planning[[#This Row],[Horas utilizadas]]</f>
        <v>#REF!</v>
      </c>
      <c r="L129" s="7"/>
      <c r="M129" s="19" t="e">
        <f>Planning[[#This Row],[Saldo]]-Planning[[#This Row],[Saldo estimado]]</f>
        <v>#REF!</v>
      </c>
      <c r="N129" s="60" t="e">
        <f>SUM(SUMIFS(#REF!,#REF!,Planning[[#This Row],[Proyectos]],#REF!,Planning[[#This Row],[Tipo de Tarea y especialidad]]),SUMIFS(#REF!,#REF!,Planning[[#This Row],[Proyectos]],#REF!,Planning[[#This Row],[Tipo de Tarea y especialidad]]))</f>
        <v>#REF!</v>
      </c>
      <c r="O129" s="19">
        <f t="shared" si="2"/>
        <v>10</v>
      </c>
      <c r="P129" s="19">
        <f t="shared" si="3"/>
        <v>2024</v>
      </c>
      <c r="Q129" s="19" t="e">
        <f>+SUMIFS(#REF!,#REF!,Planning[[#This Row],[Tarifa]],#REF!,Planning[[#This Row],[Proyectos]],#REF!,Planning[[#This Row],[Mes]],#REF!,Planning[[#This Row],[Año]])</f>
        <v>#REF!</v>
      </c>
      <c r="R129" s="19" t="str">
        <f>TEXT(Planning[[#This Row],[Mes]]*29,"mmmm")</f>
        <v>October</v>
      </c>
      <c r="S1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9" s="241"/>
      <c r="U129" s="43" t="e">
        <f>IF(Planning[[#This Row],[Horas Planificadas]]&lt;&gt;0,+K129/Planning[[#This Row],[Horas Planificadas]],0)</f>
        <v>#REF!</v>
      </c>
      <c r="V129" s="43" t="e">
        <f>IF(Planning[[#This Row],[Horas Planificadas]]&lt;&gt;0,Planning[[#This Row],[Horas utilizadas]]/Planning[[#This Row],[Horas Planificadas]],0)</f>
        <v>#REF!</v>
      </c>
      <c r="W129" s="44">
        <f>Planning[[#This Row],[Horas Planificadas]]+Planning[[#This Row],[Horas ajustadas adicionales]]</f>
        <v>160</v>
      </c>
      <c r="X129" s="142"/>
    </row>
    <row r="130" spans="1:24" ht="12.75" customHeight="1" x14ac:dyDescent="0.2">
      <c r="A130" s="7"/>
      <c r="B130" s="7"/>
      <c r="C130" s="3"/>
      <c r="D130" s="3" t="s">
        <v>62</v>
      </c>
      <c r="E130" s="33" t="s">
        <v>32</v>
      </c>
      <c r="F130" s="3"/>
      <c r="G130" s="7"/>
      <c r="H130" s="7">
        <v>80</v>
      </c>
      <c r="I130" s="12"/>
      <c r="J130" s="5" t="e">
        <f>+SUMIFS(#REF!,#REF!,Planning[[#This Row],[Tarifa]],#REF!,Planning[[#This Row],[Proyectos]])</f>
        <v>#REF!</v>
      </c>
      <c r="K130" s="5" t="e">
        <f>Planning[[#This Row],[Horas Planificadas]]+Planning[[#This Row],[Horas ajustadas adicionales]]-Planning[[#This Row],[Horas utilizadas]]</f>
        <v>#REF!</v>
      </c>
      <c r="L130" s="7"/>
      <c r="M130" s="19" t="e">
        <f>Planning[[#This Row],[Saldo]]-Planning[[#This Row],[Saldo estimado]]</f>
        <v>#REF!</v>
      </c>
      <c r="N130" s="60" t="e">
        <f>SUM(SUMIFS(#REF!,#REF!,Planning[[#This Row],[Proyectos]],#REF!,Planning[[#This Row],[Tipo de Tarea y especialidad]]),SUMIFS(#REF!,#REF!,Planning[[#This Row],[Proyectos]],#REF!,Planning[[#This Row],[Tipo de Tarea y especialidad]]))</f>
        <v>#REF!</v>
      </c>
      <c r="O130" s="19">
        <f t="shared" si="2"/>
        <v>10</v>
      </c>
      <c r="P130" s="19">
        <f t="shared" si="3"/>
        <v>2024</v>
      </c>
      <c r="Q130" s="19" t="e">
        <f>+SUMIFS(#REF!,#REF!,Planning[[#This Row],[Tarifa]],#REF!,Planning[[#This Row],[Proyectos]],#REF!,Planning[[#This Row],[Mes]],#REF!,Planning[[#This Row],[Año]])</f>
        <v>#REF!</v>
      </c>
      <c r="R130" s="19" t="str">
        <f>TEXT(Planning[[#This Row],[Mes]]*29,"mmmm")</f>
        <v>October</v>
      </c>
      <c r="S1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0" s="241"/>
      <c r="U130" s="43" t="e">
        <f>IF(Planning[[#This Row],[Horas Planificadas]]&lt;&gt;0,+K130/Planning[[#This Row],[Horas Planificadas]],0)</f>
        <v>#REF!</v>
      </c>
      <c r="V130" s="43" t="e">
        <f>IF(Planning[[#This Row],[Horas Planificadas]]&lt;&gt;0,Planning[[#This Row],[Horas utilizadas]]/Planning[[#This Row],[Horas Planificadas]],0)</f>
        <v>#REF!</v>
      </c>
      <c r="W130" s="44">
        <f>Planning[[#This Row],[Horas Planificadas]]+Planning[[#This Row],[Horas ajustadas adicionales]]</f>
        <v>80</v>
      </c>
      <c r="X130" s="142"/>
    </row>
    <row r="131" spans="1:24" ht="12.75" customHeight="1" x14ac:dyDescent="0.2">
      <c r="A131" s="7"/>
      <c r="B131" s="7"/>
      <c r="C131" s="3"/>
      <c r="D131" s="3" t="s">
        <v>63</v>
      </c>
      <c r="E131" s="33" t="s">
        <v>28</v>
      </c>
      <c r="F131" s="3"/>
      <c r="G131" s="7"/>
      <c r="H131" s="7">
        <v>504</v>
      </c>
      <c r="I131" s="12"/>
      <c r="J131" s="5" t="e">
        <f>+SUMIFS(#REF!,#REF!,Planning[[#This Row],[Tarifa]],#REF!,Planning[[#This Row],[Proyectos]])</f>
        <v>#REF!</v>
      </c>
      <c r="K131" s="5" t="e">
        <f>Planning[[#This Row],[Horas Planificadas]]+Planning[[#This Row],[Horas ajustadas adicionales]]-Planning[[#This Row],[Horas utilizadas]]</f>
        <v>#REF!</v>
      </c>
      <c r="L131" s="7"/>
      <c r="M131" s="19" t="e">
        <f>Planning[[#This Row],[Saldo]]-Planning[[#This Row],[Saldo estimado]]</f>
        <v>#REF!</v>
      </c>
      <c r="N131" s="60" t="e">
        <f>SUM(SUMIFS(#REF!,#REF!,Planning[[#This Row],[Proyectos]],#REF!,Planning[[#This Row],[Tipo de Tarea y especialidad]]),SUMIFS(#REF!,#REF!,Planning[[#This Row],[Proyectos]],#REF!,Planning[[#This Row],[Tipo de Tarea y especialidad]]))</f>
        <v>#REF!</v>
      </c>
      <c r="O131" s="19">
        <f t="shared" si="2"/>
        <v>10</v>
      </c>
      <c r="P131" s="19">
        <f t="shared" si="3"/>
        <v>2024</v>
      </c>
      <c r="Q131" s="19" t="e">
        <f>+SUMIFS(#REF!,#REF!,Planning[[#This Row],[Tarifa]],#REF!,Planning[[#This Row],[Proyectos]],#REF!,Planning[[#This Row],[Mes]],#REF!,Planning[[#This Row],[Año]])</f>
        <v>#REF!</v>
      </c>
      <c r="R131" s="19" t="str">
        <f>TEXT(Planning[[#This Row],[Mes]]*29,"mmmm")</f>
        <v>October</v>
      </c>
      <c r="S1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1" s="241"/>
      <c r="U131" s="43" t="e">
        <f>IF(Planning[[#This Row],[Horas Planificadas]]&lt;&gt;0,+K131/Planning[[#This Row],[Horas Planificadas]],0)</f>
        <v>#REF!</v>
      </c>
      <c r="V131" s="43" t="e">
        <f>IF(Planning[[#This Row],[Horas Planificadas]]&lt;&gt;0,Planning[[#This Row],[Horas utilizadas]]/Planning[[#This Row],[Horas Planificadas]],0)</f>
        <v>#REF!</v>
      </c>
      <c r="W131" s="44">
        <f>Planning[[#This Row],[Horas Planificadas]]+Planning[[#This Row],[Horas ajustadas adicionales]]</f>
        <v>504</v>
      </c>
      <c r="X131" s="142"/>
    </row>
    <row r="132" spans="1:24" ht="12.75" customHeight="1" x14ac:dyDescent="0.2">
      <c r="A132" s="7"/>
      <c r="B132" s="7"/>
      <c r="C132" s="3"/>
      <c r="D132" s="3" t="s">
        <v>63</v>
      </c>
      <c r="E132" s="33" t="s">
        <v>30</v>
      </c>
      <c r="F132" s="3"/>
      <c r="G132" s="7"/>
      <c r="H132" s="7">
        <v>426</v>
      </c>
      <c r="I132" s="12"/>
      <c r="J132" s="5" t="e">
        <f>+SUMIFS(#REF!,#REF!,Planning[[#This Row],[Tarifa]],#REF!,Planning[[#This Row],[Proyectos]])</f>
        <v>#REF!</v>
      </c>
      <c r="K132" s="5" t="e">
        <f>Planning[[#This Row],[Horas Planificadas]]+Planning[[#This Row],[Horas ajustadas adicionales]]-Planning[[#This Row],[Horas utilizadas]]</f>
        <v>#REF!</v>
      </c>
      <c r="L132" s="7"/>
      <c r="M132" s="19" t="e">
        <f>Planning[[#This Row],[Saldo]]-Planning[[#This Row],[Saldo estimado]]</f>
        <v>#REF!</v>
      </c>
      <c r="N132" s="60" t="e">
        <f>SUM(SUMIFS(#REF!,#REF!,Planning[[#This Row],[Proyectos]],#REF!,Planning[[#This Row],[Tipo de Tarea y especialidad]]),SUMIFS(#REF!,#REF!,Planning[[#This Row],[Proyectos]],#REF!,Planning[[#This Row],[Tipo de Tarea y especialidad]]))</f>
        <v>#REF!</v>
      </c>
      <c r="O132" s="19">
        <f t="shared" si="2"/>
        <v>10</v>
      </c>
      <c r="P132" s="19">
        <f t="shared" si="3"/>
        <v>2024</v>
      </c>
      <c r="Q132" s="19" t="e">
        <f>+SUMIFS(#REF!,#REF!,Planning[[#This Row],[Tarifa]],#REF!,Planning[[#This Row],[Proyectos]],#REF!,Planning[[#This Row],[Mes]],#REF!,Planning[[#This Row],[Año]])</f>
        <v>#REF!</v>
      </c>
      <c r="R132" s="19" t="str">
        <f>TEXT(Planning[[#This Row],[Mes]]*29,"mmmm")</f>
        <v>October</v>
      </c>
      <c r="S1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2" s="241"/>
      <c r="U132" s="43" t="e">
        <f>IF(Planning[[#This Row],[Horas Planificadas]]&lt;&gt;0,+K132/Planning[[#This Row],[Horas Planificadas]],0)</f>
        <v>#REF!</v>
      </c>
      <c r="V132" s="43" t="e">
        <f>IF(Planning[[#This Row],[Horas Planificadas]]&lt;&gt;0,Planning[[#This Row],[Horas utilizadas]]/Planning[[#This Row],[Horas Planificadas]],0)</f>
        <v>#REF!</v>
      </c>
      <c r="W132" s="44">
        <f>Planning[[#This Row],[Horas Planificadas]]+Planning[[#This Row],[Horas ajustadas adicionales]]</f>
        <v>426</v>
      </c>
      <c r="X132" s="142"/>
    </row>
    <row r="133" spans="1:24" ht="12.75" customHeight="1" x14ac:dyDescent="0.2">
      <c r="A133" s="7"/>
      <c r="B133" s="7"/>
      <c r="C133" s="3"/>
      <c r="D133" s="3" t="s">
        <v>63</v>
      </c>
      <c r="E133" s="33" t="s">
        <v>31</v>
      </c>
      <c r="F133" s="3"/>
      <c r="G133" s="7"/>
      <c r="H133" s="7">
        <v>70</v>
      </c>
      <c r="I133" s="12"/>
      <c r="J133" s="5" t="e">
        <f>+SUMIFS(#REF!,#REF!,Planning[[#This Row],[Tarifa]],#REF!,Planning[[#This Row],[Proyectos]])</f>
        <v>#REF!</v>
      </c>
      <c r="K133" s="5" t="e">
        <f>Planning[[#This Row],[Horas Planificadas]]+Planning[[#This Row],[Horas ajustadas adicionales]]-Planning[[#This Row],[Horas utilizadas]]</f>
        <v>#REF!</v>
      </c>
      <c r="L133" s="7"/>
      <c r="M133" s="19" t="e">
        <f>Planning[[#This Row],[Saldo]]-Planning[[#This Row],[Saldo estimado]]</f>
        <v>#REF!</v>
      </c>
      <c r="N133" s="60" t="e">
        <f>SUM(SUMIFS(#REF!,#REF!,Planning[[#This Row],[Proyectos]],#REF!,Planning[[#This Row],[Tipo de Tarea y especialidad]]),SUMIFS(#REF!,#REF!,Planning[[#This Row],[Proyectos]],#REF!,Planning[[#This Row],[Tipo de Tarea y especialidad]]))</f>
        <v>#REF!</v>
      </c>
      <c r="O133" s="19">
        <f t="shared" si="2"/>
        <v>10</v>
      </c>
      <c r="P133" s="19">
        <f t="shared" si="3"/>
        <v>2024</v>
      </c>
      <c r="Q133" s="19" t="e">
        <f>+SUMIFS(#REF!,#REF!,Planning[[#This Row],[Tarifa]],#REF!,Planning[[#This Row],[Proyectos]],#REF!,Planning[[#This Row],[Mes]],#REF!,Planning[[#This Row],[Año]])</f>
        <v>#REF!</v>
      </c>
      <c r="R133" s="19" t="str">
        <f>TEXT(Planning[[#This Row],[Mes]]*29,"mmmm")</f>
        <v>October</v>
      </c>
      <c r="S1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3" s="241"/>
      <c r="U133" s="43" t="e">
        <f>IF(Planning[[#This Row],[Horas Planificadas]]&lt;&gt;0,+K133/Planning[[#This Row],[Horas Planificadas]],0)</f>
        <v>#REF!</v>
      </c>
      <c r="V133" s="43" t="e">
        <f>IF(Planning[[#This Row],[Horas Planificadas]]&lt;&gt;0,Planning[[#This Row],[Horas utilizadas]]/Planning[[#This Row],[Horas Planificadas]],0)</f>
        <v>#REF!</v>
      </c>
      <c r="W133" s="44">
        <f>Planning[[#This Row],[Horas Planificadas]]+Planning[[#This Row],[Horas ajustadas adicionales]]</f>
        <v>70</v>
      </c>
      <c r="X133" s="142"/>
    </row>
    <row r="134" spans="1:24" ht="12.75" customHeight="1" x14ac:dyDescent="0.2">
      <c r="A134" s="7"/>
      <c r="B134" s="7"/>
      <c r="C134" s="3"/>
      <c r="D134" s="3" t="s">
        <v>63</v>
      </c>
      <c r="E134" s="33" t="s">
        <v>32</v>
      </c>
      <c r="F134" s="3"/>
      <c r="G134" s="7"/>
      <c r="H134" s="7">
        <v>153</v>
      </c>
      <c r="I134" s="12"/>
      <c r="J134" s="5" t="e">
        <f>+SUMIFS(#REF!,#REF!,Planning[[#This Row],[Tarifa]],#REF!,Planning[[#This Row],[Proyectos]])</f>
        <v>#REF!</v>
      </c>
      <c r="K134" s="5" t="e">
        <f>Planning[[#This Row],[Horas Planificadas]]+Planning[[#This Row],[Horas ajustadas adicionales]]-Planning[[#This Row],[Horas utilizadas]]</f>
        <v>#REF!</v>
      </c>
      <c r="L134" s="7"/>
      <c r="M134" s="19" t="e">
        <f>Planning[[#This Row],[Saldo]]-Planning[[#This Row],[Saldo estimado]]</f>
        <v>#REF!</v>
      </c>
      <c r="N134" s="60" t="e">
        <f>SUM(SUMIFS(#REF!,#REF!,Planning[[#This Row],[Proyectos]],#REF!,Planning[[#This Row],[Tipo de Tarea y especialidad]]),SUMIFS(#REF!,#REF!,Planning[[#This Row],[Proyectos]],#REF!,Planning[[#This Row],[Tipo de Tarea y especialidad]]))</f>
        <v>#REF!</v>
      </c>
      <c r="O134" s="19">
        <f t="shared" si="2"/>
        <v>10</v>
      </c>
      <c r="P134" s="19">
        <f t="shared" si="3"/>
        <v>2024</v>
      </c>
      <c r="Q134" s="19" t="e">
        <f>+SUMIFS(#REF!,#REF!,Planning[[#This Row],[Tarifa]],#REF!,Planning[[#This Row],[Proyectos]],#REF!,Planning[[#This Row],[Mes]],#REF!,Planning[[#This Row],[Año]])</f>
        <v>#REF!</v>
      </c>
      <c r="R134" s="19" t="str">
        <f>TEXT(Planning[[#This Row],[Mes]]*29,"mmmm")</f>
        <v>October</v>
      </c>
      <c r="S1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4" s="241"/>
      <c r="U134" s="43" t="e">
        <f>IF(Planning[[#This Row],[Horas Planificadas]]&lt;&gt;0,+K134/Planning[[#This Row],[Horas Planificadas]],0)</f>
        <v>#REF!</v>
      </c>
      <c r="V134" s="43" t="e">
        <f>IF(Planning[[#This Row],[Horas Planificadas]]&lt;&gt;0,Planning[[#This Row],[Horas utilizadas]]/Planning[[#This Row],[Horas Planificadas]],0)</f>
        <v>#REF!</v>
      </c>
      <c r="W134" s="44">
        <f>Planning[[#This Row],[Horas Planificadas]]+Planning[[#This Row],[Horas ajustadas adicionales]]</f>
        <v>153</v>
      </c>
      <c r="X134" s="142"/>
    </row>
    <row r="135" spans="1:24" ht="12.75" customHeight="1" x14ac:dyDescent="0.2">
      <c r="A135" s="7"/>
      <c r="B135" s="7"/>
      <c r="C135" s="3"/>
      <c r="D135" s="3" t="s">
        <v>64</v>
      </c>
      <c r="E135" s="33" t="s">
        <v>28</v>
      </c>
      <c r="F135" s="3"/>
      <c r="G135" s="7"/>
      <c r="H135" s="7">
        <v>120</v>
      </c>
      <c r="I135" s="12"/>
      <c r="J135" s="5" t="e">
        <f>+SUMIFS(#REF!,#REF!,Planning[[#This Row],[Tarifa]],#REF!,Planning[[#This Row],[Proyectos]])</f>
        <v>#REF!</v>
      </c>
      <c r="K135" s="5" t="e">
        <f>Planning[[#This Row],[Horas Planificadas]]+Planning[[#This Row],[Horas ajustadas adicionales]]-Planning[[#This Row],[Horas utilizadas]]</f>
        <v>#REF!</v>
      </c>
      <c r="L135" s="7"/>
      <c r="M135" s="19" t="e">
        <f>Planning[[#This Row],[Saldo]]-Planning[[#This Row],[Saldo estimado]]</f>
        <v>#REF!</v>
      </c>
      <c r="N135" s="60" t="e">
        <f>SUM(SUMIFS(#REF!,#REF!,Planning[[#This Row],[Proyectos]],#REF!,Planning[[#This Row],[Tipo de Tarea y especialidad]]),SUMIFS(#REF!,#REF!,Planning[[#This Row],[Proyectos]],#REF!,Planning[[#This Row],[Tipo de Tarea y especialidad]]))</f>
        <v>#REF!</v>
      </c>
      <c r="O135" s="19">
        <f t="shared" ref="O135:O198" si="4">$L$4</f>
        <v>10</v>
      </c>
      <c r="P135" s="19">
        <f t="shared" ref="P135:P198" si="5">$M$4</f>
        <v>2024</v>
      </c>
      <c r="Q135" s="19" t="e">
        <f>+SUMIFS(#REF!,#REF!,Planning[[#This Row],[Tarifa]],#REF!,Planning[[#This Row],[Proyectos]],#REF!,Planning[[#This Row],[Mes]],#REF!,Planning[[#This Row],[Año]])</f>
        <v>#REF!</v>
      </c>
      <c r="R135" s="19" t="str">
        <f>TEXT(Planning[[#This Row],[Mes]]*29,"mmmm")</f>
        <v>October</v>
      </c>
      <c r="S1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5" s="241"/>
      <c r="U135" s="43" t="e">
        <f>IF(Planning[[#This Row],[Horas Planificadas]]&lt;&gt;0,+K135/Planning[[#This Row],[Horas Planificadas]],0)</f>
        <v>#REF!</v>
      </c>
      <c r="V135" s="43" t="e">
        <f>IF(Planning[[#This Row],[Horas Planificadas]]&lt;&gt;0,Planning[[#This Row],[Horas utilizadas]]/Planning[[#This Row],[Horas Planificadas]],0)</f>
        <v>#REF!</v>
      </c>
      <c r="W135" s="44">
        <f>Planning[[#This Row],[Horas Planificadas]]+Planning[[#This Row],[Horas ajustadas adicionales]]</f>
        <v>120</v>
      </c>
      <c r="X135" s="142"/>
    </row>
    <row r="136" spans="1:24" ht="12.75" customHeight="1" x14ac:dyDescent="0.2">
      <c r="A136" s="7"/>
      <c r="B136" s="7"/>
      <c r="C136" s="3"/>
      <c r="D136" s="3" t="s">
        <v>64</v>
      </c>
      <c r="E136" s="33" t="s">
        <v>30</v>
      </c>
      <c r="F136" s="3"/>
      <c r="G136" s="7"/>
      <c r="H136" s="7">
        <v>96</v>
      </c>
      <c r="I136" s="12"/>
      <c r="J136" s="5" t="e">
        <f>+SUMIFS(#REF!,#REF!,Planning[[#This Row],[Tarifa]],#REF!,Planning[[#This Row],[Proyectos]])</f>
        <v>#REF!</v>
      </c>
      <c r="K136" s="5" t="e">
        <f>Planning[[#This Row],[Horas Planificadas]]+Planning[[#This Row],[Horas ajustadas adicionales]]-Planning[[#This Row],[Horas utilizadas]]</f>
        <v>#REF!</v>
      </c>
      <c r="L136" s="7"/>
      <c r="M136" s="19" t="e">
        <f>Planning[[#This Row],[Saldo]]-Planning[[#This Row],[Saldo estimado]]</f>
        <v>#REF!</v>
      </c>
      <c r="N136" s="60" t="e">
        <f>SUM(SUMIFS(#REF!,#REF!,Planning[[#This Row],[Proyectos]],#REF!,Planning[[#This Row],[Tipo de Tarea y especialidad]]),SUMIFS(#REF!,#REF!,Planning[[#This Row],[Proyectos]],#REF!,Planning[[#This Row],[Tipo de Tarea y especialidad]]))</f>
        <v>#REF!</v>
      </c>
      <c r="O136" s="19">
        <f t="shared" si="4"/>
        <v>10</v>
      </c>
      <c r="P136" s="19">
        <f t="shared" si="5"/>
        <v>2024</v>
      </c>
      <c r="Q136" s="19" t="e">
        <f>+SUMIFS(#REF!,#REF!,Planning[[#This Row],[Tarifa]],#REF!,Planning[[#This Row],[Proyectos]],#REF!,Planning[[#This Row],[Mes]],#REF!,Planning[[#This Row],[Año]])</f>
        <v>#REF!</v>
      </c>
      <c r="R136" s="19" t="str">
        <f>TEXT(Planning[[#This Row],[Mes]]*29,"mmmm")</f>
        <v>October</v>
      </c>
      <c r="S1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6" s="241"/>
      <c r="U136" s="43" t="e">
        <f>IF(Planning[[#This Row],[Horas Planificadas]]&lt;&gt;0,+K136/Planning[[#This Row],[Horas Planificadas]],0)</f>
        <v>#REF!</v>
      </c>
      <c r="V136" s="43" t="e">
        <f>IF(Planning[[#This Row],[Horas Planificadas]]&lt;&gt;0,Planning[[#This Row],[Horas utilizadas]]/Planning[[#This Row],[Horas Planificadas]],0)</f>
        <v>#REF!</v>
      </c>
      <c r="W136" s="44">
        <f>Planning[[#This Row],[Horas Planificadas]]+Planning[[#This Row],[Horas ajustadas adicionales]]</f>
        <v>96</v>
      </c>
      <c r="X136" s="142"/>
    </row>
    <row r="137" spans="1:24" ht="12.75" customHeight="1" x14ac:dyDescent="0.2">
      <c r="A137" s="7"/>
      <c r="B137" s="7"/>
      <c r="C137" s="3"/>
      <c r="D137" s="3" t="s">
        <v>64</v>
      </c>
      <c r="E137" s="33" t="s">
        <v>31</v>
      </c>
      <c r="F137" s="3"/>
      <c r="G137" s="7"/>
      <c r="H137" s="7">
        <v>100</v>
      </c>
      <c r="I137" s="12"/>
      <c r="J137" s="5" t="e">
        <f>+SUMIFS(#REF!,#REF!,Planning[[#This Row],[Tarifa]],#REF!,Planning[[#This Row],[Proyectos]])</f>
        <v>#REF!</v>
      </c>
      <c r="K137" s="5" t="e">
        <f>Planning[[#This Row],[Horas Planificadas]]+Planning[[#This Row],[Horas ajustadas adicionales]]-Planning[[#This Row],[Horas utilizadas]]</f>
        <v>#REF!</v>
      </c>
      <c r="L137" s="7"/>
      <c r="M137" s="19" t="e">
        <f>Planning[[#This Row],[Saldo]]-Planning[[#This Row],[Saldo estimado]]</f>
        <v>#REF!</v>
      </c>
      <c r="N137" s="60" t="e">
        <f>SUM(SUMIFS(#REF!,#REF!,Planning[[#This Row],[Proyectos]],#REF!,Planning[[#This Row],[Tipo de Tarea y especialidad]]),SUMIFS(#REF!,#REF!,Planning[[#This Row],[Proyectos]],#REF!,Planning[[#This Row],[Tipo de Tarea y especialidad]]))</f>
        <v>#REF!</v>
      </c>
      <c r="O137" s="19">
        <f t="shared" si="4"/>
        <v>10</v>
      </c>
      <c r="P137" s="19">
        <f t="shared" si="5"/>
        <v>2024</v>
      </c>
      <c r="Q137" s="19" t="e">
        <f>+SUMIFS(#REF!,#REF!,Planning[[#This Row],[Tarifa]],#REF!,Planning[[#This Row],[Proyectos]],#REF!,Planning[[#This Row],[Mes]],#REF!,Planning[[#This Row],[Año]])</f>
        <v>#REF!</v>
      </c>
      <c r="R137" s="19" t="str">
        <f>TEXT(Planning[[#This Row],[Mes]]*29,"mmmm")</f>
        <v>October</v>
      </c>
      <c r="S1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7" s="241"/>
      <c r="U137" s="43" t="e">
        <f>IF(Planning[[#This Row],[Horas Planificadas]]&lt;&gt;0,+K137/Planning[[#This Row],[Horas Planificadas]],0)</f>
        <v>#REF!</v>
      </c>
      <c r="V137" s="43" t="e">
        <f>IF(Planning[[#This Row],[Horas Planificadas]]&lt;&gt;0,Planning[[#This Row],[Horas utilizadas]]/Planning[[#This Row],[Horas Planificadas]],0)</f>
        <v>#REF!</v>
      </c>
      <c r="W137" s="44">
        <f>Planning[[#This Row],[Horas Planificadas]]+Planning[[#This Row],[Horas ajustadas adicionales]]</f>
        <v>100</v>
      </c>
      <c r="X137" s="142"/>
    </row>
    <row r="138" spans="1:24" ht="12.75" customHeight="1" x14ac:dyDescent="0.2">
      <c r="A138" s="7"/>
      <c r="B138" s="7"/>
      <c r="C138" s="3"/>
      <c r="D138" s="3" t="s">
        <v>64</v>
      </c>
      <c r="E138" s="33" t="s">
        <v>32</v>
      </c>
      <c r="F138" s="3"/>
      <c r="G138" s="7"/>
      <c r="H138" s="7">
        <v>60</v>
      </c>
      <c r="I138" s="12"/>
      <c r="J138" s="5" t="e">
        <f>+SUMIFS(#REF!,#REF!,Planning[[#This Row],[Tarifa]],#REF!,Planning[[#This Row],[Proyectos]])</f>
        <v>#REF!</v>
      </c>
      <c r="K138" s="5" t="e">
        <f>Planning[[#This Row],[Horas Planificadas]]+Planning[[#This Row],[Horas ajustadas adicionales]]-Planning[[#This Row],[Horas utilizadas]]</f>
        <v>#REF!</v>
      </c>
      <c r="L138" s="7"/>
      <c r="M138" s="19" t="e">
        <f>Planning[[#This Row],[Saldo]]-Planning[[#This Row],[Saldo estimado]]</f>
        <v>#REF!</v>
      </c>
      <c r="N138" s="60" t="e">
        <f>SUM(SUMIFS(#REF!,#REF!,Planning[[#This Row],[Proyectos]],#REF!,Planning[[#This Row],[Tipo de Tarea y especialidad]]),SUMIFS(#REF!,#REF!,Planning[[#This Row],[Proyectos]],#REF!,Planning[[#This Row],[Tipo de Tarea y especialidad]]))</f>
        <v>#REF!</v>
      </c>
      <c r="O138" s="19">
        <f t="shared" si="4"/>
        <v>10</v>
      </c>
      <c r="P138" s="19">
        <f t="shared" si="5"/>
        <v>2024</v>
      </c>
      <c r="Q138" s="19" t="e">
        <f>+SUMIFS(#REF!,#REF!,Planning[[#This Row],[Tarifa]],#REF!,Planning[[#This Row],[Proyectos]],#REF!,Planning[[#This Row],[Mes]],#REF!,Planning[[#This Row],[Año]])</f>
        <v>#REF!</v>
      </c>
      <c r="R138" s="19" t="str">
        <f>TEXT(Planning[[#This Row],[Mes]]*29,"mmmm")</f>
        <v>October</v>
      </c>
      <c r="S1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8" s="241"/>
      <c r="U138" s="43" t="e">
        <f>IF(Planning[[#This Row],[Horas Planificadas]]&lt;&gt;0,+K138/Planning[[#This Row],[Horas Planificadas]],0)</f>
        <v>#REF!</v>
      </c>
      <c r="V138" s="43" t="e">
        <f>IF(Planning[[#This Row],[Horas Planificadas]]&lt;&gt;0,Planning[[#This Row],[Horas utilizadas]]/Planning[[#This Row],[Horas Planificadas]],0)</f>
        <v>#REF!</v>
      </c>
      <c r="W138" s="44">
        <f>Planning[[#This Row],[Horas Planificadas]]+Planning[[#This Row],[Horas ajustadas adicionales]]</f>
        <v>60</v>
      </c>
      <c r="X138" s="142"/>
    </row>
    <row r="139" spans="1:24" ht="12.75" customHeight="1" x14ac:dyDescent="0.2">
      <c r="A139" s="7"/>
      <c r="B139" s="7"/>
      <c r="C139" s="3"/>
      <c r="D139" s="3" t="s">
        <v>65</v>
      </c>
      <c r="E139" s="33" t="s">
        <v>28</v>
      </c>
      <c r="F139" s="3"/>
      <c r="G139" s="7"/>
      <c r="H139" s="7">
        <v>2016</v>
      </c>
      <c r="I139" s="12"/>
      <c r="J139" s="5" t="e">
        <f>+SUMIFS(#REF!,#REF!,Planning[[#This Row],[Tarifa]],#REF!,Planning[[#This Row],[Proyectos]])</f>
        <v>#REF!</v>
      </c>
      <c r="K139" s="5" t="e">
        <f>Planning[[#This Row],[Horas Planificadas]]+Planning[[#This Row],[Horas ajustadas adicionales]]-Planning[[#This Row],[Horas utilizadas]]</f>
        <v>#REF!</v>
      </c>
      <c r="L139" s="7"/>
      <c r="M139" s="19" t="e">
        <f>Planning[[#This Row],[Saldo]]-Planning[[#This Row],[Saldo estimado]]</f>
        <v>#REF!</v>
      </c>
      <c r="N139" s="60" t="e">
        <f>SUM(SUMIFS(#REF!,#REF!,Planning[[#This Row],[Proyectos]],#REF!,Planning[[#This Row],[Tipo de Tarea y especialidad]]),SUMIFS(#REF!,#REF!,Planning[[#This Row],[Proyectos]],#REF!,Planning[[#This Row],[Tipo de Tarea y especialidad]]))</f>
        <v>#REF!</v>
      </c>
      <c r="O139" s="19">
        <f t="shared" si="4"/>
        <v>10</v>
      </c>
      <c r="P139" s="19">
        <f t="shared" si="5"/>
        <v>2024</v>
      </c>
      <c r="Q139" s="19" t="e">
        <f>+SUMIFS(#REF!,#REF!,Planning[[#This Row],[Tarifa]],#REF!,Planning[[#This Row],[Proyectos]],#REF!,Planning[[#This Row],[Mes]],#REF!,Planning[[#This Row],[Año]])</f>
        <v>#REF!</v>
      </c>
      <c r="R139" s="19" t="str">
        <f>TEXT(Planning[[#This Row],[Mes]]*29,"mmmm")</f>
        <v>October</v>
      </c>
      <c r="S1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9" s="241"/>
      <c r="U139" s="43" t="e">
        <f>IF(Planning[[#This Row],[Horas Planificadas]]&lt;&gt;0,+K139/Planning[[#This Row],[Horas Planificadas]],0)</f>
        <v>#REF!</v>
      </c>
      <c r="V139" s="43" t="e">
        <f>IF(Planning[[#This Row],[Horas Planificadas]]&lt;&gt;0,Planning[[#This Row],[Horas utilizadas]]/Planning[[#This Row],[Horas Planificadas]],0)</f>
        <v>#REF!</v>
      </c>
      <c r="W139" s="44">
        <f>Planning[[#This Row],[Horas Planificadas]]+Planning[[#This Row],[Horas ajustadas adicionales]]</f>
        <v>2016</v>
      </c>
      <c r="X139" s="142"/>
    </row>
    <row r="140" spans="1:24" ht="12.75" customHeight="1" x14ac:dyDescent="0.2">
      <c r="A140" s="7"/>
      <c r="B140" s="7"/>
      <c r="C140" s="3"/>
      <c r="D140" s="3" t="s">
        <v>65</v>
      </c>
      <c r="E140" s="33" t="s">
        <v>30</v>
      </c>
      <c r="F140" s="3"/>
      <c r="G140" s="7"/>
      <c r="H140" s="7">
        <v>1578</v>
      </c>
      <c r="I140" s="12"/>
      <c r="J140" s="5" t="e">
        <f>+SUMIFS(#REF!,#REF!,Planning[[#This Row],[Tarifa]],#REF!,Planning[[#This Row],[Proyectos]])</f>
        <v>#REF!</v>
      </c>
      <c r="K140" s="5" t="e">
        <f>Planning[[#This Row],[Horas Planificadas]]+Planning[[#This Row],[Horas ajustadas adicionales]]-Planning[[#This Row],[Horas utilizadas]]</f>
        <v>#REF!</v>
      </c>
      <c r="L140" s="7"/>
      <c r="M140" s="19" t="e">
        <f>Planning[[#This Row],[Saldo]]-Planning[[#This Row],[Saldo estimado]]</f>
        <v>#REF!</v>
      </c>
      <c r="N140" s="60" t="e">
        <f>SUM(SUMIFS(#REF!,#REF!,Planning[[#This Row],[Proyectos]],#REF!,Planning[[#This Row],[Tipo de Tarea y especialidad]]),SUMIFS(#REF!,#REF!,Planning[[#This Row],[Proyectos]],#REF!,Planning[[#This Row],[Tipo de Tarea y especialidad]]))</f>
        <v>#REF!</v>
      </c>
      <c r="O140" s="19">
        <f t="shared" si="4"/>
        <v>10</v>
      </c>
      <c r="P140" s="19">
        <f t="shared" si="5"/>
        <v>2024</v>
      </c>
      <c r="Q140" s="19" t="e">
        <f>+SUMIFS(#REF!,#REF!,Planning[[#This Row],[Tarifa]],#REF!,Planning[[#This Row],[Proyectos]],#REF!,Planning[[#This Row],[Mes]],#REF!,Planning[[#This Row],[Año]])</f>
        <v>#REF!</v>
      </c>
      <c r="R140" s="19" t="str">
        <f>TEXT(Planning[[#This Row],[Mes]]*29,"mmmm")</f>
        <v>October</v>
      </c>
      <c r="S1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0" s="241"/>
      <c r="U140" s="43" t="e">
        <f>IF(Planning[[#This Row],[Horas Planificadas]]&lt;&gt;0,+K140/Planning[[#This Row],[Horas Planificadas]],0)</f>
        <v>#REF!</v>
      </c>
      <c r="V140" s="43" t="e">
        <f>IF(Planning[[#This Row],[Horas Planificadas]]&lt;&gt;0,Planning[[#This Row],[Horas utilizadas]]/Planning[[#This Row],[Horas Planificadas]],0)</f>
        <v>#REF!</v>
      </c>
      <c r="W140" s="44">
        <f>Planning[[#This Row],[Horas Planificadas]]+Planning[[#This Row],[Horas ajustadas adicionales]]</f>
        <v>1578</v>
      </c>
      <c r="X140" s="142"/>
    </row>
    <row r="141" spans="1:24" ht="12.75" customHeight="1" x14ac:dyDescent="0.2">
      <c r="A141" s="7"/>
      <c r="B141" s="7"/>
      <c r="C141" s="3"/>
      <c r="D141" s="3" t="s">
        <v>65</v>
      </c>
      <c r="E141" s="33" t="s">
        <v>31</v>
      </c>
      <c r="F141" s="3"/>
      <c r="G141" s="7"/>
      <c r="H141" s="7">
        <v>333</v>
      </c>
      <c r="I141" s="12"/>
      <c r="J141" s="5" t="e">
        <f>+SUMIFS(#REF!,#REF!,Planning[[#This Row],[Tarifa]],#REF!,Planning[[#This Row],[Proyectos]])</f>
        <v>#REF!</v>
      </c>
      <c r="K141" s="5" t="e">
        <f>Planning[[#This Row],[Horas Planificadas]]+Planning[[#This Row],[Horas ajustadas adicionales]]-Planning[[#This Row],[Horas utilizadas]]</f>
        <v>#REF!</v>
      </c>
      <c r="L141" s="7"/>
      <c r="M141" s="19" t="e">
        <f>Planning[[#This Row],[Saldo]]-Planning[[#This Row],[Saldo estimado]]</f>
        <v>#REF!</v>
      </c>
      <c r="N141" s="60" t="e">
        <f>SUM(SUMIFS(#REF!,#REF!,Planning[[#This Row],[Proyectos]],#REF!,Planning[[#This Row],[Tipo de Tarea y especialidad]]),SUMIFS(#REF!,#REF!,Planning[[#This Row],[Proyectos]],#REF!,Planning[[#This Row],[Tipo de Tarea y especialidad]]))</f>
        <v>#REF!</v>
      </c>
      <c r="O141" s="19">
        <f t="shared" si="4"/>
        <v>10</v>
      </c>
      <c r="P141" s="19">
        <f t="shared" si="5"/>
        <v>2024</v>
      </c>
      <c r="Q141" s="19" t="e">
        <f>+SUMIFS(#REF!,#REF!,Planning[[#This Row],[Tarifa]],#REF!,Planning[[#This Row],[Proyectos]],#REF!,Planning[[#This Row],[Mes]],#REF!,Planning[[#This Row],[Año]])</f>
        <v>#REF!</v>
      </c>
      <c r="R141" s="19" t="str">
        <f>TEXT(Planning[[#This Row],[Mes]]*29,"mmmm")</f>
        <v>October</v>
      </c>
      <c r="S1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1" s="241"/>
      <c r="U141" s="43" t="e">
        <f>IF(Planning[[#This Row],[Horas Planificadas]]&lt;&gt;0,+K141/Planning[[#This Row],[Horas Planificadas]],0)</f>
        <v>#REF!</v>
      </c>
      <c r="V141" s="43" t="e">
        <f>IF(Planning[[#This Row],[Horas Planificadas]]&lt;&gt;0,Planning[[#This Row],[Horas utilizadas]]/Planning[[#This Row],[Horas Planificadas]],0)</f>
        <v>#REF!</v>
      </c>
      <c r="W141" s="44">
        <f>Planning[[#This Row],[Horas Planificadas]]+Planning[[#This Row],[Horas ajustadas adicionales]]</f>
        <v>333</v>
      </c>
      <c r="X141" s="142"/>
    </row>
    <row r="142" spans="1:24" ht="12.75" customHeight="1" x14ac:dyDescent="0.2">
      <c r="A142" s="7"/>
      <c r="B142" s="7"/>
      <c r="C142" s="3"/>
      <c r="D142" s="3" t="s">
        <v>65</v>
      </c>
      <c r="E142" s="33" t="s">
        <v>32</v>
      </c>
      <c r="F142" s="3"/>
      <c r="G142" s="7"/>
      <c r="H142" s="7">
        <v>477</v>
      </c>
      <c r="I142" s="12"/>
      <c r="J142" s="5" t="e">
        <f>+SUMIFS(#REF!,#REF!,Planning[[#This Row],[Tarifa]],#REF!,Planning[[#This Row],[Proyectos]])</f>
        <v>#REF!</v>
      </c>
      <c r="K142" s="5" t="e">
        <f>Planning[[#This Row],[Horas Planificadas]]+Planning[[#This Row],[Horas ajustadas adicionales]]-Planning[[#This Row],[Horas utilizadas]]</f>
        <v>#REF!</v>
      </c>
      <c r="L142" s="7"/>
      <c r="M142" s="19" t="e">
        <f>Planning[[#This Row],[Saldo]]-Planning[[#This Row],[Saldo estimado]]</f>
        <v>#REF!</v>
      </c>
      <c r="N142" s="60" t="e">
        <f>SUM(SUMIFS(#REF!,#REF!,Planning[[#This Row],[Proyectos]],#REF!,Planning[[#This Row],[Tipo de Tarea y especialidad]]),SUMIFS(#REF!,#REF!,Planning[[#This Row],[Proyectos]],#REF!,Planning[[#This Row],[Tipo de Tarea y especialidad]]))</f>
        <v>#REF!</v>
      </c>
      <c r="O142" s="19">
        <f t="shared" si="4"/>
        <v>10</v>
      </c>
      <c r="P142" s="19">
        <f t="shared" si="5"/>
        <v>2024</v>
      </c>
      <c r="Q142" s="19" t="e">
        <f>+SUMIFS(#REF!,#REF!,Planning[[#This Row],[Tarifa]],#REF!,Planning[[#This Row],[Proyectos]],#REF!,Planning[[#This Row],[Mes]],#REF!,Planning[[#This Row],[Año]])</f>
        <v>#REF!</v>
      </c>
      <c r="R142" s="19" t="str">
        <f>TEXT(Planning[[#This Row],[Mes]]*29,"mmmm")</f>
        <v>October</v>
      </c>
      <c r="S1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2" s="241"/>
      <c r="U142" s="43" t="e">
        <f>IF(Planning[[#This Row],[Horas Planificadas]]&lt;&gt;0,+K142/Planning[[#This Row],[Horas Planificadas]],0)</f>
        <v>#REF!</v>
      </c>
      <c r="V142" s="43" t="e">
        <f>IF(Planning[[#This Row],[Horas Planificadas]]&lt;&gt;0,Planning[[#This Row],[Horas utilizadas]]/Planning[[#This Row],[Horas Planificadas]],0)</f>
        <v>#REF!</v>
      </c>
      <c r="W142" s="44">
        <f>Planning[[#This Row],[Horas Planificadas]]+Planning[[#This Row],[Horas ajustadas adicionales]]</f>
        <v>477</v>
      </c>
      <c r="X142" s="142"/>
    </row>
    <row r="143" spans="1:24" ht="12.75" customHeight="1" x14ac:dyDescent="0.2">
      <c r="A143" s="7"/>
      <c r="B143" s="7"/>
      <c r="C143" s="3"/>
      <c r="D143" s="3" t="s">
        <v>66</v>
      </c>
      <c r="E143" s="33" t="s">
        <v>28</v>
      </c>
      <c r="F143" s="3"/>
      <c r="G143" s="7"/>
      <c r="H143" s="7">
        <v>680</v>
      </c>
      <c r="I143" s="12"/>
      <c r="J143" s="5" t="e">
        <f>+SUMIFS(#REF!,#REF!,Planning[[#This Row],[Tarifa]],#REF!,Planning[[#This Row],[Proyectos]])</f>
        <v>#REF!</v>
      </c>
      <c r="K143" s="5" t="e">
        <f>Planning[[#This Row],[Horas Planificadas]]+Planning[[#This Row],[Horas ajustadas adicionales]]-Planning[[#This Row],[Horas utilizadas]]</f>
        <v>#REF!</v>
      </c>
      <c r="L143" s="7"/>
      <c r="M143" s="19" t="e">
        <f>Planning[[#This Row],[Saldo]]-Planning[[#This Row],[Saldo estimado]]</f>
        <v>#REF!</v>
      </c>
      <c r="N143" s="60" t="e">
        <f>SUM(SUMIFS(#REF!,#REF!,Planning[[#This Row],[Proyectos]],#REF!,Planning[[#This Row],[Tipo de Tarea y especialidad]]),SUMIFS(#REF!,#REF!,Planning[[#This Row],[Proyectos]],#REF!,Planning[[#This Row],[Tipo de Tarea y especialidad]]))</f>
        <v>#REF!</v>
      </c>
      <c r="O143" s="19">
        <f t="shared" si="4"/>
        <v>10</v>
      </c>
      <c r="P143" s="19">
        <f t="shared" si="5"/>
        <v>2024</v>
      </c>
      <c r="Q143" s="19" t="e">
        <f>+SUMIFS(#REF!,#REF!,Planning[[#This Row],[Tarifa]],#REF!,Planning[[#This Row],[Proyectos]],#REF!,Planning[[#This Row],[Mes]],#REF!,Planning[[#This Row],[Año]])</f>
        <v>#REF!</v>
      </c>
      <c r="R143" s="19" t="str">
        <f>TEXT(Planning[[#This Row],[Mes]]*29,"mmmm")</f>
        <v>October</v>
      </c>
      <c r="S1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3" s="241"/>
      <c r="U143" s="43" t="e">
        <f>IF(Planning[[#This Row],[Horas Planificadas]]&lt;&gt;0,+K143/Planning[[#This Row],[Horas Planificadas]],0)</f>
        <v>#REF!</v>
      </c>
      <c r="V143" s="43" t="e">
        <f>IF(Planning[[#This Row],[Horas Planificadas]]&lt;&gt;0,Planning[[#This Row],[Horas utilizadas]]/Planning[[#This Row],[Horas Planificadas]],0)</f>
        <v>#REF!</v>
      </c>
      <c r="W143" s="44">
        <f>Planning[[#This Row],[Horas Planificadas]]+Planning[[#This Row],[Horas ajustadas adicionales]]</f>
        <v>680</v>
      </c>
      <c r="X143" s="142"/>
    </row>
    <row r="144" spans="1:24" ht="12.75" customHeight="1" x14ac:dyDescent="0.2">
      <c r="A144" s="7"/>
      <c r="B144" s="7"/>
      <c r="C144" s="3"/>
      <c r="D144" s="3" t="s">
        <v>66</v>
      </c>
      <c r="E144" s="33" t="s">
        <v>30</v>
      </c>
      <c r="F144" s="3"/>
      <c r="G144" s="7"/>
      <c r="H144" s="7">
        <v>500</v>
      </c>
      <c r="I144" s="12"/>
      <c r="J144" s="5" t="e">
        <f>+SUMIFS(#REF!,#REF!,Planning[[#This Row],[Tarifa]],#REF!,Planning[[#This Row],[Proyectos]])</f>
        <v>#REF!</v>
      </c>
      <c r="K144" s="5" t="e">
        <f>Planning[[#This Row],[Horas Planificadas]]+Planning[[#This Row],[Horas ajustadas adicionales]]-Planning[[#This Row],[Horas utilizadas]]</f>
        <v>#REF!</v>
      </c>
      <c r="L144" s="7"/>
      <c r="M144" s="19" t="e">
        <f>Planning[[#This Row],[Saldo]]-Planning[[#This Row],[Saldo estimado]]</f>
        <v>#REF!</v>
      </c>
      <c r="N144" s="60" t="e">
        <f>SUM(SUMIFS(#REF!,#REF!,Planning[[#This Row],[Proyectos]],#REF!,Planning[[#This Row],[Tipo de Tarea y especialidad]]),SUMIFS(#REF!,#REF!,Planning[[#This Row],[Proyectos]],#REF!,Planning[[#This Row],[Tipo de Tarea y especialidad]]))</f>
        <v>#REF!</v>
      </c>
      <c r="O144" s="19">
        <f t="shared" si="4"/>
        <v>10</v>
      </c>
      <c r="P144" s="19">
        <f t="shared" si="5"/>
        <v>2024</v>
      </c>
      <c r="Q144" s="19" t="e">
        <f>+SUMIFS(#REF!,#REF!,Planning[[#This Row],[Tarifa]],#REF!,Planning[[#This Row],[Proyectos]],#REF!,Planning[[#This Row],[Mes]],#REF!,Planning[[#This Row],[Año]])</f>
        <v>#REF!</v>
      </c>
      <c r="R144" s="19" t="str">
        <f>TEXT(Planning[[#This Row],[Mes]]*29,"mmmm")</f>
        <v>October</v>
      </c>
      <c r="S1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4" s="241"/>
      <c r="U144" s="43" t="e">
        <f>IF(Planning[[#This Row],[Horas Planificadas]]&lt;&gt;0,+K144/Planning[[#This Row],[Horas Planificadas]],0)</f>
        <v>#REF!</v>
      </c>
      <c r="V144" s="43" t="e">
        <f>IF(Planning[[#This Row],[Horas Planificadas]]&lt;&gt;0,Planning[[#This Row],[Horas utilizadas]]/Planning[[#This Row],[Horas Planificadas]],0)</f>
        <v>#REF!</v>
      </c>
      <c r="W144" s="44">
        <f>Planning[[#This Row],[Horas Planificadas]]+Planning[[#This Row],[Horas ajustadas adicionales]]</f>
        <v>500</v>
      </c>
      <c r="X144" s="142"/>
    </row>
    <row r="145" spans="1:24" ht="12.75" customHeight="1" x14ac:dyDescent="0.2">
      <c r="A145" s="7"/>
      <c r="B145" s="7"/>
      <c r="C145" s="3"/>
      <c r="D145" s="3" t="s">
        <v>66</v>
      </c>
      <c r="E145" s="33" t="s">
        <v>31</v>
      </c>
      <c r="F145" s="3"/>
      <c r="G145" s="7"/>
      <c r="H145" s="7">
        <v>320</v>
      </c>
      <c r="I145" s="12"/>
      <c r="J145" s="5" t="e">
        <f>+SUMIFS(#REF!,#REF!,Planning[[#This Row],[Tarifa]],#REF!,Planning[[#This Row],[Proyectos]])</f>
        <v>#REF!</v>
      </c>
      <c r="K145" s="5" t="e">
        <f>Planning[[#This Row],[Horas Planificadas]]+Planning[[#This Row],[Horas ajustadas adicionales]]-Planning[[#This Row],[Horas utilizadas]]</f>
        <v>#REF!</v>
      </c>
      <c r="L145" s="7"/>
      <c r="M145" s="19" t="e">
        <f>Planning[[#This Row],[Saldo]]-Planning[[#This Row],[Saldo estimado]]</f>
        <v>#REF!</v>
      </c>
      <c r="N145" s="60" t="e">
        <f>SUM(SUMIFS(#REF!,#REF!,Planning[[#This Row],[Proyectos]],#REF!,Planning[[#This Row],[Tipo de Tarea y especialidad]]),SUMIFS(#REF!,#REF!,Planning[[#This Row],[Proyectos]],#REF!,Planning[[#This Row],[Tipo de Tarea y especialidad]]))</f>
        <v>#REF!</v>
      </c>
      <c r="O145" s="19">
        <f t="shared" si="4"/>
        <v>10</v>
      </c>
      <c r="P145" s="19">
        <f t="shared" si="5"/>
        <v>2024</v>
      </c>
      <c r="Q145" s="19" t="e">
        <f>+SUMIFS(#REF!,#REF!,Planning[[#This Row],[Tarifa]],#REF!,Planning[[#This Row],[Proyectos]],#REF!,Planning[[#This Row],[Mes]],#REF!,Planning[[#This Row],[Año]])</f>
        <v>#REF!</v>
      </c>
      <c r="R145" s="19" t="str">
        <f>TEXT(Planning[[#This Row],[Mes]]*29,"mmmm")</f>
        <v>October</v>
      </c>
      <c r="S1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5" s="241"/>
      <c r="U145" s="43" t="e">
        <f>IF(Planning[[#This Row],[Horas Planificadas]]&lt;&gt;0,+K145/Planning[[#This Row],[Horas Planificadas]],0)</f>
        <v>#REF!</v>
      </c>
      <c r="V145" s="43" t="e">
        <f>IF(Planning[[#This Row],[Horas Planificadas]]&lt;&gt;0,Planning[[#This Row],[Horas utilizadas]]/Planning[[#This Row],[Horas Planificadas]],0)</f>
        <v>#REF!</v>
      </c>
      <c r="W145" s="44">
        <f>Planning[[#This Row],[Horas Planificadas]]+Planning[[#This Row],[Horas ajustadas adicionales]]</f>
        <v>320</v>
      </c>
      <c r="X145" s="142"/>
    </row>
    <row r="146" spans="1:24" ht="12.75" customHeight="1" x14ac:dyDescent="0.2">
      <c r="A146" s="7"/>
      <c r="B146" s="7"/>
      <c r="C146" s="3"/>
      <c r="D146" s="3" t="s">
        <v>66</v>
      </c>
      <c r="E146" s="33" t="s">
        <v>32</v>
      </c>
      <c r="F146" s="3"/>
      <c r="G146" s="7"/>
      <c r="H146" s="7">
        <v>250</v>
      </c>
      <c r="I146" s="12"/>
      <c r="J146" s="5" t="e">
        <f>+SUMIFS(#REF!,#REF!,Planning[[#This Row],[Tarifa]],#REF!,Planning[[#This Row],[Proyectos]])</f>
        <v>#REF!</v>
      </c>
      <c r="K146" s="5" t="e">
        <f>Planning[[#This Row],[Horas Planificadas]]+Planning[[#This Row],[Horas ajustadas adicionales]]-Planning[[#This Row],[Horas utilizadas]]</f>
        <v>#REF!</v>
      </c>
      <c r="L146" s="7"/>
      <c r="M146" s="19" t="e">
        <f>Planning[[#This Row],[Saldo]]-Planning[[#This Row],[Saldo estimado]]</f>
        <v>#REF!</v>
      </c>
      <c r="N146" s="60" t="e">
        <f>SUM(SUMIFS(#REF!,#REF!,Planning[[#This Row],[Proyectos]],#REF!,Planning[[#This Row],[Tipo de Tarea y especialidad]]),SUMIFS(#REF!,#REF!,Planning[[#This Row],[Proyectos]],#REF!,Planning[[#This Row],[Tipo de Tarea y especialidad]]))</f>
        <v>#REF!</v>
      </c>
      <c r="O146" s="19">
        <f t="shared" si="4"/>
        <v>10</v>
      </c>
      <c r="P146" s="19">
        <f t="shared" si="5"/>
        <v>2024</v>
      </c>
      <c r="Q146" s="19" t="e">
        <f>+SUMIFS(#REF!,#REF!,Planning[[#This Row],[Tarifa]],#REF!,Planning[[#This Row],[Proyectos]],#REF!,Planning[[#This Row],[Mes]],#REF!,Planning[[#This Row],[Año]])</f>
        <v>#REF!</v>
      </c>
      <c r="R146" s="19" t="str">
        <f>TEXT(Planning[[#This Row],[Mes]]*29,"mmmm")</f>
        <v>October</v>
      </c>
      <c r="S1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6" s="241"/>
      <c r="U146" s="43" t="e">
        <f>IF(Planning[[#This Row],[Horas Planificadas]]&lt;&gt;0,+K146/Planning[[#This Row],[Horas Planificadas]],0)</f>
        <v>#REF!</v>
      </c>
      <c r="V146" s="43" t="e">
        <f>IF(Planning[[#This Row],[Horas Planificadas]]&lt;&gt;0,Planning[[#This Row],[Horas utilizadas]]/Planning[[#This Row],[Horas Planificadas]],0)</f>
        <v>#REF!</v>
      </c>
      <c r="W146" s="44">
        <f>Planning[[#This Row],[Horas Planificadas]]+Planning[[#This Row],[Horas ajustadas adicionales]]</f>
        <v>250</v>
      </c>
      <c r="X146" s="142"/>
    </row>
    <row r="147" spans="1:24" ht="12.75" customHeight="1" x14ac:dyDescent="0.2">
      <c r="A147" s="7"/>
      <c r="B147" s="7"/>
      <c r="C147" s="3"/>
      <c r="D147" s="3" t="s">
        <v>67</v>
      </c>
      <c r="E147" s="33" t="s">
        <v>28</v>
      </c>
      <c r="F147" s="3"/>
      <c r="G147" s="7"/>
      <c r="H147" s="7">
        <v>120</v>
      </c>
      <c r="I147" s="12"/>
      <c r="J147" s="5" t="e">
        <f>+SUMIFS(#REF!,#REF!,Planning[[#This Row],[Tarifa]],#REF!,Planning[[#This Row],[Proyectos]])</f>
        <v>#REF!</v>
      </c>
      <c r="K147" s="5" t="e">
        <f>Planning[[#This Row],[Horas Planificadas]]+Planning[[#This Row],[Horas ajustadas adicionales]]-Planning[[#This Row],[Horas utilizadas]]</f>
        <v>#REF!</v>
      </c>
      <c r="L147" s="7"/>
      <c r="M147" s="19" t="e">
        <f>Planning[[#This Row],[Saldo]]-Planning[[#This Row],[Saldo estimado]]</f>
        <v>#REF!</v>
      </c>
      <c r="N147" s="60" t="e">
        <f>SUM(SUMIFS(#REF!,#REF!,Planning[[#This Row],[Proyectos]],#REF!,Planning[[#This Row],[Tipo de Tarea y especialidad]]),SUMIFS(#REF!,#REF!,Planning[[#This Row],[Proyectos]],#REF!,Planning[[#This Row],[Tipo de Tarea y especialidad]]))</f>
        <v>#REF!</v>
      </c>
      <c r="O147" s="19">
        <f t="shared" si="4"/>
        <v>10</v>
      </c>
      <c r="P147" s="19">
        <f t="shared" si="5"/>
        <v>2024</v>
      </c>
      <c r="Q147" s="19" t="e">
        <f>+SUMIFS(#REF!,#REF!,Planning[[#This Row],[Tarifa]],#REF!,Planning[[#This Row],[Proyectos]],#REF!,Planning[[#This Row],[Mes]],#REF!,Planning[[#This Row],[Año]])</f>
        <v>#REF!</v>
      </c>
      <c r="R147" s="19" t="str">
        <f>TEXT(Planning[[#This Row],[Mes]]*29,"mmmm")</f>
        <v>October</v>
      </c>
      <c r="S1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7" s="241"/>
      <c r="U147" s="43" t="e">
        <f>IF(Planning[[#This Row],[Horas Planificadas]]&lt;&gt;0,+K147/Planning[[#This Row],[Horas Planificadas]],0)</f>
        <v>#REF!</v>
      </c>
      <c r="V147" s="43" t="e">
        <f>IF(Planning[[#This Row],[Horas Planificadas]]&lt;&gt;0,Planning[[#This Row],[Horas utilizadas]]/Planning[[#This Row],[Horas Planificadas]],0)</f>
        <v>#REF!</v>
      </c>
      <c r="W147" s="44">
        <f>Planning[[#This Row],[Horas Planificadas]]+Planning[[#This Row],[Horas ajustadas adicionales]]</f>
        <v>120</v>
      </c>
      <c r="X147" s="142"/>
    </row>
    <row r="148" spans="1:24" ht="12.75" customHeight="1" x14ac:dyDescent="0.2">
      <c r="A148" s="7"/>
      <c r="B148" s="7"/>
      <c r="C148" s="3"/>
      <c r="D148" s="3" t="s">
        <v>67</v>
      </c>
      <c r="E148" s="33" t="s">
        <v>30</v>
      </c>
      <c r="F148" s="3"/>
      <c r="G148" s="7"/>
      <c r="H148" s="7">
        <v>160</v>
      </c>
      <c r="I148" s="12"/>
      <c r="J148" s="5" t="e">
        <f>+SUMIFS(#REF!,#REF!,Planning[[#This Row],[Tarifa]],#REF!,Planning[[#This Row],[Proyectos]])</f>
        <v>#REF!</v>
      </c>
      <c r="K148" s="5" t="e">
        <f>Planning[[#This Row],[Horas Planificadas]]+Planning[[#This Row],[Horas ajustadas adicionales]]-Planning[[#This Row],[Horas utilizadas]]</f>
        <v>#REF!</v>
      </c>
      <c r="L148" s="7"/>
      <c r="M148" s="19" t="e">
        <f>Planning[[#This Row],[Saldo]]-Planning[[#This Row],[Saldo estimado]]</f>
        <v>#REF!</v>
      </c>
      <c r="N148" s="60" t="e">
        <f>SUM(SUMIFS(#REF!,#REF!,Planning[[#This Row],[Proyectos]],#REF!,Planning[[#This Row],[Tipo de Tarea y especialidad]]),SUMIFS(#REF!,#REF!,Planning[[#This Row],[Proyectos]],#REF!,Planning[[#This Row],[Tipo de Tarea y especialidad]]))</f>
        <v>#REF!</v>
      </c>
      <c r="O148" s="19">
        <f t="shared" si="4"/>
        <v>10</v>
      </c>
      <c r="P148" s="19">
        <f t="shared" si="5"/>
        <v>2024</v>
      </c>
      <c r="Q148" s="19" t="e">
        <f>+SUMIFS(#REF!,#REF!,Planning[[#This Row],[Tarifa]],#REF!,Planning[[#This Row],[Proyectos]],#REF!,Planning[[#This Row],[Mes]],#REF!,Planning[[#This Row],[Año]])</f>
        <v>#REF!</v>
      </c>
      <c r="R148" s="19" t="str">
        <f>TEXT(Planning[[#This Row],[Mes]]*29,"mmmm")</f>
        <v>October</v>
      </c>
      <c r="S1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8" s="241"/>
      <c r="U148" s="43" t="e">
        <f>IF(Planning[[#This Row],[Horas Planificadas]]&lt;&gt;0,+K148/Planning[[#This Row],[Horas Planificadas]],0)</f>
        <v>#REF!</v>
      </c>
      <c r="V148" s="43" t="e">
        <f>IF(Planning[[#This Row],[Horas Planificadas]]&lt;&gt;0,Planning[[#This Row],[Horas utilizadas]]/Planning[[#This Row],[Horas Planificadas]],0)</f>
        <v>#REF!</v>
      </c>
      <c r="W148" s="44">
        <f>Planning[[#This Row],[Horas Planificadas]]+Planning[[#This Row],[Horas ajustadas adicionales]]</f>
        <v>160</v>
      </c>
      <c r="X148" s="142"/>
    </row>
    <row r="149" spans="1:24" ht="12.75" customHeight="1" x14ac:dyDescent="0.2">
      <c r="A149" s="7"/>
      <c r="B149" s="7"/>
      <c r="C149" s="3"/>
      <c r="D149" s="3" t="s">
        <v>67</v>
      </c>
      <c r="E149" s="33" t="s">
        <v>31</v>
      </c>
      <c r="F149" s="3"/>
      <c r="G149" s="7"/>
      <c r="H149" s="7">
        <v>160</v>
      </c>
      <c r="I149" s="12"/>
      <c r="J149" s="5" t="e">
        <f>+SUMIFS(#REF!,#REF!,Planning[[#This Row],[Tarifa]],#REF!,Planning[[#This Row],[Proyectos]])</f>
        <v>#REF!</v>
      </c>
      <c r="K149" s="5" t="e">
        <f>Planning[[#This Row],[Horas Planificadas]]+Planning[[#This Row],[Horas ajustadas adicionales]]-Planning[[#This Row],[Horas utilizadas]]</f>
        <v>#REF!</v>
      </c>
      <c r="L149" s="7"/>
      <c r="M149" s="19" t="e">
        <f>Planning[[#This Row],[Saldo]]-Planning[[#This Row],[Saldo estimado]]</f>
        <v>#REF!</v>
      </c>
      <c r="N149" s="60" t="e">
        <f>SUM(SUMIFS(#REF!,#REF!,Planning[[#This Row],[Proyectos]],#REF!,Planning[[#This Row],[Tipo de Tarea y especialidad]]),SUMIFS(#REF!,#REF!,Planning[[#This Row],[Proyectos]],#REF!,Planning[[#This Row],[Tipo de Tarea y especialidad]]))</f>
        <v>#REF!</v>
      </c>
      <c r="O149" s="19">
        <f t="shared" si="4"/>
        <v>10</v>
      </c>
      <c r="P149" s="19">
        <f t="shared" si="5"/>
        <v>2024</v>
      </c>
      <c r="Q149" s="19" t="e">
        <f>+SUMIFS(#REF!,#REF!,Planning[[#This Row],[Tarifa]],#REF!,Planning[[#This Row],[Proyectos]],#REF!,Planning[[#This Row],[Mes]],#REF!,Planning[[#This Row],[Año]])</f>
        <v>#REF!</v>
      </c>
      <c r="R149" s="19" t="str">
        <f>TEXT(Planning[[#This Row],[Mes]]*29,"mmmm")</f>
        <v>October</v>
      </c>
      <c r="S1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9" s="241"/>
      <c r="U149" s="43" t="e">
        <f>IF(Planning[[#This Row],[Horas Planificadas]]&lt;&gt;0,+K149/Planning[[#This Row],[Horas Planificadas]],0)</f>
        <v>#REF!</v>
      </c>
      <c r="V149" s="43" t="e">
        <f>IF(Planning[[#This Row],[Horas Planificadas]]&lt;&gt;0,Planning[[#This Row],[Horas utilizadas]]/Planning[[#This Row],[Horas Planificadas]],0)</f>
        <v>#REF!</v>
      </c>
      <c r="W149" s="44">
        <f>Planning[[#This Row],[Horas Planificadas]]+Planning[[#This Row],[Horas ajustadas adicionales]]</f>
        <v>160</v>
      </c>
      <c r="X149" s="142"/>
    </row>
    <row r="150" spans="1:24" ht="12.75" customHeight="1" x14ac:dyDescent="0.2">
      <c r="A150" s="7"/>
      <c r="B150" s="7"/>
      <c r="C150" s="3"/>
      <c r="D150" s="3" t="s">
        <v>67</v>
      </c>
      <c r="E150" s="33" t="s">
        <v>32</v>
      </c>
      <c r="F150" s="3"/>
      <c r="G150" s="7"/>
      <c r="H150" s="7">
        <v>0</v>
      </c>
      <c r="I150" s="12"/>
      <c r="J150" s="5" t="e">
        <f>+SUMIFS(#REF!,#REF!,Planning[[#This Row],[Tarifa]],#REF!,Planning[[#This Row],[Proyectos]])</f>
        <v>#REF!</v>
      </c>
      <c r="K150" s="5" t="e">
        <f>Planning[[#This Row],[Horas Planificadas]]+Planning[[#This Row],[Horas ajustadas adicionales]]-Planning[[#This Row],[Horas utilizadas]]</f>
        <v>#REF!</v>
      </c>
      <c r="L150" s="7"/>
      <c r="M150" s="19" t="e">
        <f>Planning[[#This Row],[Saldo]]-Planning[[#This Row],[Saldo estimado]]</f>
        <v>#REF!</v>
      </c>
      <c r="N150" s="60" t="e">
        <f>SUM(SUMIFS(#REF!,#REF!,Planning[[#This Row],[Proyectos]],#REF!,Planning[[#This Row],[Tipo de Tarea y especialidad]]),SUMIFS(#REF!,#REF!,Planning[[#This Row],[Proyectos]],#REF!,Planning[[#This Row],[Tipo de Tarea y especialidad]]))</f>
        <v>#REF!</v>
      </c>
      <c r="O150" s="19">
        <f t="shared" si="4"/>
        <v>10</v>
      </c>
      <c r="P150" s="19">
        <f t="shared" si="5"/>
        <v>2024</v>
      </c>
      <c r="Q150" s="19" t="e">
        <f>+SUMIFS(#REF!,#REF!,Planning[[#This Row],[Tarifa]],#REF!,Planning[[#This Row],[Proyectos]],#REF!,Planning[[#This Row],[Mes]],#REF!,Planning[[#This Row],[Año]])</f>
        <v>#REF!</v>
      </c>
      <c r="R150" s="19" t="str">
        <f>TEXT(Planning[[#This Row],[Mes]]*29,"mmmm")</f>
        <v>October</v>
      </c>
      <c r="S1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0" s="241"/>
      <c r="U150" s="43">
        <f>IF(Planning[[#This Row],[Horas Planificadas]]&lt;&gt;0,+K150/Planning[[#This Row],[Horas Planificadas]],0)</f>
        <v>0</v>
      </c>
      <c r="V150" s="43">
        <f>IF(Planning[[#This Row],[Horas Planificadas]]&lt;&gt;0,Planning[[#This Row],[Horas utilizadas]]/Planning[[#This Row],[Horas Planificadas]],0)</f>
        <v>0</v>
      </c>
      <c r="W150" s="44">
        <f>Planning[[#This Row],[Horas Planificadas]]+Planning[[#This Row],[Horas ajustadas adicionales]]</f>
        <v>0</v>
      </c>
      <c r="X150" s="142"/>
    </row>
    <row r="151" spans="1:24" ht="12.75" customHeight="1" x14ac:dyDescent="0.2">
      <c r="A151" s="7"/>
      <c r="B151" s="7"/>
      <c r="C151" s="3"/>
      <c r="D151" s="3" t="s">
        <v>68</v>
      </c>
      <c r="E151" s="33" t="s">
        <v>28</v>
      </c>
      <c r="F151" s="3"/>
      <c r="G151" s="7"/>
      <c r="H151" s="7">
        <v>0</v>
      </c>
      <c r="I151" s="12"/>
      <c r="J151" s="5" t="e">
        <f>+SUMIFS(#REF!,#REF!,Planning[[#This Row],[Tarifa]],#REF!,Planning[[#This Row],[Proyectos]])</f>
        <v>#REF!</v>
      </c>
      <c r="K151" s="5" t="e">
        <f>Planning[[#This Row],[Horas Planificadas]]+Planning[[#This Row],[Horas ajustadas adicionales]]-Planning[[#This Row],[Horas utilizadas]]</f>
        <v>#REF!</v>
      </c>
      <c r="L151" s="7"/>
      <c r="M151" s="19" t="e">
        <f>Planning[[#This Row],[Saldo]]-Planning[[#This Row],[Saldo estimado]]</f>
        <v>#REF!</v>
      </c>
      <c r="N151" s="60" t="e">
        <f>SUM(SUMIFS(#REF!,#REF!,Planning[[#This Row],[Proyectos]],#REF!,Planning[[#This Row],[Tipo de Tarea y especialidad]]),SUMIFS(#REF!,#REF!,Planning[[#This Row],[Proyectos]],#REF!,Planning[[#This Row],[Tipo de Tarea y especialidad]]))</f>
        <v>#REF!</v>
      </c>
      <c r="O151" s="19">
        <f t="shared" si="4"/>
        <v>10</v>
      </c>
      <c r="P151" s="19">
        <f t="shared" si="5"/>
        <v>2024</v>
      </c>
      <c r="Q151" s="19" t="e">
        <f>+SUMIFS(#REF!,#REF!,Planning[[#This Row],[Tarifa]],#REF!,Planning[[#This Row],[Proyectos]],#REF!,Planning[[#This Row],[Mes]],#REF!,Planning[[#This Row],[Año]])</f>
        <v>#REF!</v>
      </c>
      <c r="R151" s="19" t="str">
        <f>TEXT(Planning[[#This Row],[Mes]]*29,"mmmm")</f>
        <v>October</v>
      </c>
      <c r="S1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1" s="241"/>
      <c r="U151" s="43">
        <f>IF(Planning[[#This Row],[Horas Planificadas]]&lt;&gt;0,+K151/Planning[[#This Row],[Horas Planificadas]],0)</f>
        <v>0</v>
      </c>
      <c r="V151" s="43">
        <f>IF(Planning[[#This Row],[Horas Planificadas]]&lt;&gt;0,Planning[[#This Row],[Horas utilizadas]]/Planning[[#This Row],[Horas Planificadas]],0)</f>
        <v>0</v>
      </c>
      <c r="W151" s="44">
        <f>Planning[[#This Row],[Horas Planificadas]]+Planning[[#This Row],[Horas ajustadas adicionales]]</f>
        <v>0</v>
      </c>
      <c r="X151" s="142"/>
    </row>
    <row r="152" spans="1:24" ht="12.75" customHeight="1" x14ac:dyDescent="0.2">
      <c r="A152" s="7"/>
      <c r="B152" s="7"/>
      <c r="C152" s="3"/>
      <c r="D152" s="3" t="s">
        <v>68</v>
      </c>
      <c r="E152" s="33" t="s">
        <v>30</v>
      </c>
      <c r="F152" s="3"/>
      <c r="G152" s="7"/>
      <c r="H152" s="7">
        <v>18</v>
      </c>
      <c r="I152" s="12"/>
      <c r="J152" s="5" t="e">
        <f>+SUMIFS(#REF!,#REF!,Planning[[#This Row],[Tarifa]],#REF!,Planning[[#This Row],[Proyectos]])</f>
        <v>#REF!</v>
      </c>
      <c r="K152" s="5" t="e">
        <f>Planning[[#This Row],[Horas Planificadas]]+Planning[[#This Row],[Horas ajustadas adicionales]]-Planning[[#This Row],[Horas utilizadas]]</f>
        <v>#REF!</v>
      </c>
      <c r="L152" s="7"/>
      <c r="M152" s="19" t="e">
        <f>Planning[[#This Row],[Saldo]]-Planning[[#This Row],[Saldo estimado]]</f>
        <v>#REF!</v>
      </c>
      <c r="N152" s="60" t="e">
        <f>SUM(SUMIFS(#REF!,#REF!,Planning[[#This Row],[Proyectos]],#REF!,Planning[[#This Row],[Tipo de Tarea y especialidad]]),SUMIFS(#REF!,#REF!,Planning[[#This Row],[Proyectos]],#REF!,Planning[[#This Row],[Tipo de Tarea y especialidad]]))</f>
        <v>#REF!</v>
      </c>
      <c r="O152" s="19">
        <f t="shared" si="4"/>
        <v>10</v>
      </c>
      <c r="P152" s="19">
        <f t="shared" si="5"/>
        <v>2024</v>
      </c>
      <c r="Q152" s="19" t="e">
        <f>+SUMIFS(#REF!,#REF!,Planning[[#This Row],[Tarifa]],#REF!,Planning[[#This Row],[Proyectos]],#REF!,Planning[[#This Row],[Mes]],#REF!,Planning[[#This Row],[Año]])</f>
        <v>#REF!</v>
      </c>
      <c r="R152" s="19" t="str">
        <f>TEXT(Planning[[#This Row],[Mes]]*29,"mmmm")</f>
        <v>October</v>
      </c>
      <c r="S1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2" s="241"/>
      <c r="U152" s="43" t="e">
        <f>IF(Planning[[#This Row],[Horas Planificadas]]&lt;&gt;0,+K152/Planning[[#This Row],[Horas Planificadas]],0)</f>
        <v>#REF!</v>
      </c>
      <c r="V152" s="43" t="e">
        <f>IF(Planning[[#This Row],[Horas Planificadas]]&lt;&gt;0,Planning[[#This Row],[Horas utilizadas]]/Planning[[#This Row],[Horas Planificadas]],0)</f>
        <v>#REF!</v>
      </c>
      <c r="W152" s="44">
        <f>Planning[[#This Row],[Horas Planificadas]]+Planning[[#This Row],[Horas ajustadas adicionales]]</f>
        <v>18</v>
      </c>
      <c r="X152" s="142"/>
    </row>
    <row r="153" spans="1:24" ht="12.75" customHeight="1" x14ac:dyDescent="0.2">
      <c r="A153" s="7"/>
      <c r="B153" s="7"/>
      <c r="C153" s="3"/>
      <c r="D153" s="3" t="s">
        <v>68</v>
      </c>
      <c r="E153" s="33" t="s">
        <v>31</v>
      </c>
      <c r="F153" s="3"/>
      <c r="G153" s="7"/>
      <c r="H153" s="7">
        <v>0</v>
      </c>
      <c r="I153" s="12"/>
      <c r="J153" s="5" t="e">
        <f>+SUMIFS(#REF!,#REF!,Planning[[#This Row],[Tarifa]],#REF!,Planning[[#This Row],[Proyectos]])</f>
        <v>#REF!</v>
      </c>
      <c r="K153" s="5" t="e">
        <f>Planning[[#This Row],[Horas Planificadas]]+Planning[[#This Row],[Horas ajustadas adicionales]]-Planning[[#This Row],[Horas utilizadas]]</f>
        <v>#REF!</v>
      </c>
      <c r="L153" s="7"/>
      <c r="M153" s="19" t="e">
        <f>Planning[[#This Row],[Saldo]]-Planning[[#This Row],[Saldo estimado]]</f>
        <v>#REF!</v>
      </c>
      <c r="N153" s="60" t="e">
        <f>SUM(SUMIFS(#REF!,#REF!,Planning[[#This Row],[Proyectos]],#REF!,Planning[[#This Row],[Tipo de Tarea y especialidad]]),SUMIFS(#REF!,#REF!,Planning[[#This Row],[Proyectos]],#REF!,Planning[[#This Row],[Tipo de Tarea y especialidad]]))</f>
        <v>#REF!</v>
      </c>
      <c r="O153" s="19">
        <f t="shared" si="4"/>
        <v>10</v>
      </c>
      <c r="P153" s="19">
        <f t="shared" si="5"/>
        <v>2024</v>
      </c>
      <c r="Q153" s="19" t="e">
        <f>+SUMIFS(#REF!,#REF!,Planning[[#This Row],[Tarifa]],#REF!,Planning[[#This Row],[Proyectos]],#REF!,Planning[[#This Row],[Mes]],#REF!,Planning[[#This Row],[Año]])</f>
        <v>#REF!</v>
      </c>
      <c r="R153" s="19" t="str">
        <f>TEXT(Planning[[#This Row],[Mes]]*29,"mmmm")</f>
        <v>October</v>
      </c>
      <c r="S1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3" s="241"/>
      <c r="U153" s="43">
        <f>IF(Planning[[#This Row],[Horas Planificadas]]&lt;&gt;0,+K153/Planning[[#This Row],[Horas Planificadas]],0)</f>
        <v>0</v>
      </c>
      <c r="V153" s="43">
        <f>IF(Planning[[#This Row],[Horas Planificadas]]&lt;&gt;0,Planning[[#This Row],[Horas utilizadas]]/Planning[[#This Row],[Horas Planificadas]],0)</f>
        <v>0</v>
      </c>
      <c r="W153" s="44">
        <f>Planning[[#This Row],[Horas Planificadas]]+Planning[[#This Row],[Horas ajustadas adicionales]]</f>
        <v>0</v>
      </c>
      <c r="X153" s="142"/>
    </row>
    <row r="154" spans="1:24" ht="12.75" customHeight="1" x14ac:dyDescent="0.2">
      <c r="A154" s="7"/>
      <c r="B154" s="7"/>
      <c r="C154" s="3"/>
      <c r="D154" s="3" t="s">
        <v>68</v>
      </c>
      <c r="E154" s="33" t="s">
        <v>32</v>
      </c>
      <c r="F154" s="3"/>
      <c r="G154" s="7"/>
      <c r="H154" s="7">
        <v>0</v>
      </c>
      <c r="I154" s="12"/>
      <c r="J154" s="5" t="e">
        <f>+SUMIFS(#REF!,#REF!,Planning[[#This Row],[Tarifa]],#REF!,Planning[[#This Row],[Proyectos]])</f>
        <v>#REF!</v>
      </c>
      <c r="K154" s="5" t="e">
        <f>Planning[[#This Row],[Horas Planificadas]]+Planning[[#This Row],[Horas ajustadas adicionales]]-Planning[[#This Row],[Horas utilizadas]]</f>
        <v>#REF!</v>
      </c>
      <c r="L154" s="7"/>
      <c r="M154" s="19" t="e">
        <f>Planning[[#This Row],[Saldo]]-Planning[[#This Row],[Saldo estimado]]</f>
        <v>#REF!</v>
      </c>
      <c r="N154" s="60" t="e">
        <f>SUM(SUMIFS(#REF!,#REF!,Planning[[#This Row],[Proyectos]],#REF!,Planning[[#This Row],[Tipo de Tarea y especialidad]]),SUMIFS(#REF!,#REF!,Planning[[#This Row],[Proyectos]],#REF!,Planning[[#This Row],[Tipo de Tarea y especialidad]]))</f>
        <v>#REF!</v>
      </c>
      <c r="O154" s="19">
        <f t="shared" si="4"/>
        <v>10</v>
      </c>
      <c r="P154" s="19">
        <f t="shared" si="5"/>
        <v>2024</v>
      </c>
      <c r="Q154" s="19" t="e">
        <f>+SUMIFS(#REF!,#REF!,Planning[[#This Row],[Tarifa]],#REF!,Planning[[#This Row],[Proyectos]],#REF!,Planning[[#This Row],[Mes]],#REF!,Planning[[#This Row],[Año]])</f>
        <v>#REF!</v>
      </c>
      <c r="R154" s="19" t="str">
        <f>TEXT(Planning[[#This Row],[Mes]]*29,"mmmm")</f>
        <v>October</v>
      </c>
      <c r="S1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4" s="241"/>
      <c r="U154" s="43">
        <f>IF(Planning[[#This Row],[Horas Planificadas]]&lt;&gt;0,+K154/Planning[[#This Row],[Horas Planificadas]],0)</f>
        <v>0</v>
      </c>
      <c r="V154" s="43">
        <f>IF(Planning[[#This Row],[Horas Planificadas]]&lt;&gt;0,Planning[[#This Row],[Horas utilizadas]]/Planning[[#This Row],[Horas Planificadas]],0)</f>
        <v>0</v>
      </c>
      <c r="W154" s="44">
        <f>Planning[[#This Row],[Horas Planificadas]]+Planning[[#This Row],[Horas ajustadas adicionales]]</f>
        <v>0</v>
      </c>
      <c r="X154" s="142"/>
    </row>
    <row r="155" spans="1:24" ht="12.75" customHeight="1" x14ac:dyDescent="0.2">
      <c r="A155" s="7"/>
      <c r="B155" s="7"/>
      <c r="C155" s="3"/>
      <c r="D155" s="3" t="s">
        <v>69</v>
      </c>
      <c r="E155" s="33" t="s">
        <v>28</v>
      </c>
      <c r="F155" s="3"/>
      <c r="G155" s="7"/>
      <c r="H155" s="7">
        <v>0</v>
      </c>
      <c r="I155" s="12"/>
      <c r="J155" s="5" t="e">
        <f>+SUMIFS(#REF!,#REF!,Planning[[#This Row],[Tarifa]],#REF!,Planning[[#This Row],[Proyectos]])</f>
        <v>#REF!</v>
      </c>
      <c r="K155" s="5" t="e">
        <f>Planning[[#This Row],[Horas Planificadas]]+Planning[[#This Row],[Horas ajustadas adicionales]]-Planning[[#This Row],[Horas utilizadas]]</f>
        <v>#REF!</v>
      </c>
      <c r="L155" s="7"/>
      <c r="M155" s="19" t="e">
        <f>Planning[[#This Row],[Saldo]]-Planning[[#This Row],[Saldo estimado]]</f>
        <v>#REF!</v>
      </c>
      <c r="N155" s="60" t="e">
        <f>SUM(SUMIFS(#REF!,#REF!,Planning[[#This Row],[Proyectos]],#REF!,Planning[[#This Row],[Tipo de Tarea y especialidad]]),SUMIFS(#REF!,#REF!,Planning[[#This Row],[Proyectos]],#REF!,Planning[[#This Row],[Tipo de Tarea y especialidad]]))</f>
        <v>#REF!</v>
      </c>
      <c r="O155" s="19">
        <f t="shared" si="4"/>
        <v>10</v>
      </c>
      <c r="P155" s="19">
        <f t="shared" si="5"/>
        <v>2024</v>
      </c>
      <c r="Q155" s="19" t="e">
        <f>+SUMIFS(#REF!,#REF!,Planning[[#This Row],[Tarifa]],#REF!,Planning[[#This Row],[Proyectos]],#REF!,Planning[[#This Row],[Mes]],#REF!,Planning[[#This Row],[Año]])</f>
        <v>#REF!</v>
      </c>
      <c r="R155" s="19" t="str">
        <f>TEXT(Planning[[#This Row],[Mes]]*29,"mmmm")</f>
        <v>October</v>
      </c>
      <c r="S1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5" s="241"/>
      <c r="U155" s="43">
        <f>IF(Planning[[#This Row],[Horas Planificadas]]&lt;&gt;0,+K155/Planning[[#This Row],[Horas Planificadas]],0)</f>
        <v>0</v>
      </c>
      <c r="V155" s="43">
        <f>IF(Planning[[#This Row],[Horas Planificadas]]&lt;&gt;0,Planning[[#This Row],[Horas utilizadas]]/Planning[[#This Row],[Horas Planificadas]],0)</f>
        <v>0</v>
      </c>
      <c r="W155" s="44">
        <f>Planning[[#This Row],[Horas Planificadas]]+Planning[[#This Row],[Horas ajustadas adicionales]]</f>
        <v>0</v>
      </c>
      <c r="X155" s="142"/>
    </row>
    <row r="156" spans="1:24" ht="12.75" customHeight="1" x14ac:dyDescent="0.2">
      <c r="A156" s="7"/>
      <c r="B156" s="7"/>
      <c r="C156" s="3"/>
      <c r="D156" s="3" t="s">
        <v>69</v>
      </c>
      <c r="E156" s="33" t="s">
        <v>30</v>
      </c>
      <c r="F156" s="3"/>
      <c r="G156" s="7"/>
      <c r="H156" s="7">
        <v>0</v>
      </c>
      <c r="I156" s="12"/>
      <c r="J156" s="5" t="e">
        <f>+SUMIFS(#REF!,#REF!,Planning[[#This Row],[Tarifa]],#REF!,Planning[[#This Row],[Proyectos]])</f>
        <v>#REF!</v>
      </c>
      <c r="K156" s="5" t="e">
        <f>Planning[[#This Row],[Horas Planificadas]]+Planning[[#This Row],[Horas ajustadas adicionales]]-Planning[[#This Row],[Horas utilizadas]]</f>
        <v>#REF!</v>
      </c>
      <c r="L156" s="7"/>
      <c r="M156" s="19" t="e">
        <f>Planning[[#This Row],[Saldo]]-Planning[[#This Row],[Saldo estimado]]</f>
        <v>#REF!</v>
      </c>
      <c r="N156" s="60" t="e">
        <f>SUM(SUMIFS(#REF!,#REF!,Planning[[#This Row],[Proyectos]],#REF!,Planning[[#This Row],[Tipo de Tarea y especialidad]]),SUMIFS(#REF!,#REF!,Planning[[#This Row],[Proyectos]],#REF!,Planning[[#This Row],[Tipo de Tarea y especialidad]]))</f>
        <v>#REF!</v>
      </c>
      <c r="O156" s="19">
        <f t="shared" si="4"/>
        <v>10</v>
      </c>
      <c r="P156" s="19">
        <f t="shared" si="5"/>
        <v>2024</v>
      </c>
      <c r="Q156" s="19" t="e">
        <f>+SUMIFS(#REF!,#REF!,Planning[[#This Row],[Tarifa]],#REF!,Planning[[#This Row],[Proyectos]],#REF!,Planning[[#This Row],[Mes]],#REF!,Planning[[#This Row],[Año]])</f>
        <v>#REF!</v>
      </c>
      <c r="R156" s="19" t="str">
        <f>TEXT(Planning[[#This Row],[Mes]]*29,"mmmm")</f>
        <v>October</v>
      </c>
      <c r="S1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6" s="241"/>
      <c r="U156" s="43">
        <f>IF(Planning[[#This Row],[Horas Planificadas]]&lt;&gt;0,+K156/Planning[[#This Row],[Horas Planificadas]],0)</f>
        <v>0</v>
      </c>
      <c r="V156" s="43">
        <f>IF(Planning[[#This Row],[Horas Planificadas]]&lt;&gt;0,Planning[[#This Row],[Horas utilizadas]]/Planning[[#This Row],[Horas Planificadas]],0)</f>
        <v>0</v>
      </c>
      <c r="W156" s="44">
        <f>Planning[[#This Row],[Horas Planificadas]]+Planning[[#This Row],[Horas ajustadas adicionales]]</f>
        <v>0</v>
      </c>
      <c r="X156" s="142"/>
    </row>
    <row r="157" spans="1:24" ht="12.75" customHeight="1" x14ac:dyDescent="0.2">
      <c r="A157" s="7"/>
      <c r="B157" s="7"/>
      <c r="C157" s="3"/>
      <c r="D157" s="3" t="s">
        <v>69</v>
      </c>
      <c r="E157" s="33" t="s">
        <v>31</v>
      </c>
      <c r="F157" s="3"/>
      <c r="G157" s="7"/>
      <c r="H157" s="7">
        <v>0</v>
      </c>
      <c r="I157" s="12"/>
      <c r="J157" s="5" t="e">
        <f>+SUMIFS(#REF!,#REF!,Planning[[#This Row],[Tarifa]],#REF!,Planning[[#This Row],[Proyectos]])</f>
        <v>#REF!</v>
      </c>
      <c r="K157" s="5" t="e">
        <f>Planning[[#This Row],[Horas Planificadas]]+Planning[[#This Row],[Horas ajustadas adicionales]]-Planning[[#This Row],[Horas utilizadas]]</f>
        <v>#REF!</v>
      </c>
      <c r="L157" s="7"/>
      <c r="M157" s="19" t="e">
        <f>Planning[[#This Row],[Saldo]]-Planning[[#This Row],[Saldo estimado]]</f>
        <v>#REF!</v>
      </c>
      <c r="N157" s="60" t="e">
        <f>SUM(SUMIFS(#REF!,#REF!,Planning[[#This Row],[Proyectos]],#REF!,Planning[[#This Row],[Tipo de Tarea y especialidad]]),SUMIFS(#REF!,#REF!,Planning[[#This Row],[Proyectos]],#REF!,Planning[[#This Row],[Tipo de Tarea y especialidad]]))</f>
        <v>#REF!</v>
      </c>
      <c r="O157" s="19">
        <f t="shared" si="4"/>
        <v>10</v>
      </c>
      <c r="P157" s="19">
        <f t="shared" si="5"/>
        <v>2024</v>
      </c>
      <c r="Q157" s="19" t="e">
        <f>+SUMIFS(#REF!,#REF!,Planning[[#This Row],[Tarifa]],#REF!,Planning[[#This Row],[Proyectos]],#REF!,Planning[[#This Row],[Mes]],#REF!,Planning[[#This Row],[Año]])</f>
        <v>#REF!</v>
      </c>
      <c r="R157" s="19" t="str">
        <f>TEXT(Planning[[#This Row],[Mes]]*29,"mmmm")</f>
        <v>October</v>
      </c>
      <c r="S1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7" s="241"/>
      <c r="U157" s="43">
        <f>IF(Planning[[#This Row],[Horas Planificadas]]&lt;&gt;0,+K157/Planning[[#This Row],[Horas Planificadas]],0)</f>
        <v>0</v>
      </c>
      <c r="V157" s="43">
        <f>IF(Planning[[#This Row],[Horas Planificadas]]&lt;&gt;0,Planning[[#This Row],[Horas utilizadas]]/Planning[[#This Row],[Horas Planificadas]],0)</f>
        <v>0</v>
      </c>
      <c r="W157" s="44">
        <f>Planning[[#This Row],[Horas Planificadas]]+Planning[[#This Row],[Horas ajustadas adicionales]]</f>
        <v>0</v>
      </c>
      <c r="X157" s="142"/>
    </row>
    <row r="158" spans="1:24" ht="12.75" customHeight="1" x14ac:dyDescent="0.2">
      <c r="A158" s="7"/>
      <c r="B158" s="7"/>
      <c r="C158" s="3"/>
      <c r="D158" s="3" t="s">
        <v>69</v>
      </c>
      <c r="E158" s="33" t="s">
        <v>32</v>
      </c>
      <c r="F158" s="3"/>
      <c r="G158" s="7"/>
      <c r="H158" s="7">
        <v>180</v>
      </c>
      <c r="I158" s="12"/>
      <c r="J158" s="5" t="e">
        <f>+SUMIFS(#REF!,#REF!,Planning[[#This Row],[Tarifa]],#REF!,Planning[[#This Row],[Proyectos]])</f>
        <v>#REF!</v>
      </c>
      <c r="K158" s="5" t="e">
        <f>Planning[[#This Row],[Horas Planificadas]]+Planning[[#This Row],[Horas ajustadas adicionales]]-Planning[[#This Row],[Horas utilizadas]]</f>
        <v>#REF!</v>
      </c>
      <c r="L158" s="7"/>
      <c r="M158" s="19" t="e">
        <f>Planning[[#This Row],[Saldo]]-Planning[[#This Row],[Saldo estimado]]</f>
        <v>#REF!</v>
      </c>
      <c r="N158" s="60" t="e">
        <f>SUM(SUMIFS(#REF!,#REF!,Planning[[#This Row],[Proyectos]],#REF!,Planning[[#This Row],[Tipo de Tarea y especialidad]]),SUMIFS(#REF!,#REF!,Planning[[#This Row],[Proyectos]],#REF!,Planning[[#This Row],[Tipo de Tarea y especialidad]]))</f>
        <v>#REF!</v>
      </c>
      <c r="O158" s="19">
        <f t="shared" si="4"/>
        <v>10</v>
      </c>
      <c r="P158" s="19">
        <f t="shared" si="5"/>
        <v>2024</v>
      </c>
      <c r="Q158" s="19" t="e">
        <f>+SUMIFS(#REF!,#REF!,Planning[[#This Row],[Tarifa]],#REF!,Planning[[#This Row],[Proyectos]],#REF!,Planning[[#This Row],[Mes]],#REF!,Planning[[#This Row],[Año]])</f>
        <v>#REF!</v>
      </c>
      <c r="R158" s="19" t="str">
        <f>TEXT(Planning[[#This Row],[Mes]]*29,"mmmm")</f>
        <v>October</v>
      </c>
      <c r="S1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8" s="241"/>
      <c r="U158" s="43" t="e">
        <f>IF(Planning[[#This Row],[Horas Planificadas]]&lt;&gt;0,+K158/Planning[[#This Row],[Horas Planificadas]],0)</f>
        <v>#REF!</v>
      </c>
      <c r="V158" s="43" t="e">
        <f>IF(Planning[[#This Row],[Horas Planificadas]]&lt;&gt;0,Planning[[#This Row],[Horas utilizadas]]/Planning[[#This Row],[Horas Planificadas]],0)</f>
        <v>#REF!</v>
      </c>
      <c r="W158" s="44">
        <f>Planning[[#This Row],[Horas Planificadas]]+Planning[[#This Row],[Horas ajustadas adicionales]]</f>
        <v>180</v>
      </c>
      <c r="X158" s="142"/>
    </row>
    <row r="159" spans="1:24" ht="12.75" customHeight="1" x14ac:dyDescent="0.2">
      <c r="A159" s="7"/>
      <c r="B159" s="7"/>
      <c r="C159" s="3"/>
      <c r="D159" s="3" t="s">
        <v>70</v>
      </c>
      <c r="E159" s="33" t="s">
        <v>28</v>
      </c>
      <c r="F159" s="3"/>
      <c r="G159" s="7"/>
      <c r="H159" s="7">
        <v>245</v>
      </c>
      <c r="I159" s="12"/>
      <c r="J159" s="5" t="e">
        <f>+SUMIFS(#REF!,#REF!,Planning[[#This Row],[Tarifa]],#REF!,Planning[[#This Row],[Proyectos]])</f>
        <v>#REF!</v>
      </c>
      <c r="K159" s="5" t="e">
        <f>Planning[[#This Row],[Horas Planificadas]]+Planning[[#This Row],[Horas ajustadas adicionales]]-Planning[[#This Row],[Horas utilizadas]]</f>
        <v>#REF!</v>
      </c>
      <c r="L159" s="7"/>
      <c r="M159" s="19" t="e">
        <f>Planning[[#This Row],[Saldo]]-Planning[[#This Row],[Saldo estimado]]</f>
        <v>#REF!</v>
      </c>
      <c r="N159" s="60" t="e">
        <f>SUM(SUMIFS(#REF!,#REF!,Planning[[#This Row],[Proyectos]],#REF!,Planning[[#This Row],[Tipo de Tarea y especialidad]]),SUMIFS(#REF!,#REF!,Planning[[#This Row],[Proyectos]],#REF!,Planning[[#This Row],[Tipo de Tarea y especialidad]]))</f>
        <v>#REF!</v>
      </c>
      <c r="O159" s="19">
        <f t="shared" si="4"/>
        <v>10</v>
      </c>
      <c r="P159" s="19">
        <f t="shared" si="5"/>
        <v>2024</v>
      </c>
      <c r="Q159" s="19" t="e">
        <f>+SUMIFS(#REF!,#REF!,Planning[[#This Row],[Tarifa]],#REF!,Planning[[#This Row],[Proyectos]],#REF!,Planning[[#This Row],[Mes]],#REF!,Planning[[#This Row],[Año]])</f>
        <v>#REF!</v>
      </c>
      <c r="R159" s="19" t="str">
        <f>TEXT(Planning[[#This Row],[Mes]]*29,"mmmm")</f>
        <v>October</v>
      </c>
      <c r="S1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9" s="241"/>
      <c r="U159" s="43" t="e">
        <f>IF(Planning[[#This Row],[Horas Planificadas]]&lt;&gt;0,+K159/Planning[[#This Row],[Horas Planificadas]],0)</f>
        <v>#REF!</v>
      </c>
      <c r="V159" s="43" t="e">
        <f>IF(Planning[[#This Row],[Horas Planificadas]]&lt;&gt;0,Planning[[#This Row],[Horas utilizadas]]/Planning[[#This Row],[Horas Planificadas]],0)</f>
        <v>#REF!</v>
      </c>
      <c r="W159" s="44">
        <f>Planning[[#This Row],[Horas Planificadas]]+Planning[[#This Row],[Horas ajustadas adicionales]]</f>
        <v>245</v>
      </c>
      <c r="X159" s="142"/>
    </row>
    <row r="160" spans="1:24" ht="12.75" customHeight="1" x14ac:dyDescent="0.2">
      <c r="A160" s="7"/>
      <c r="B160" s="7"/>
      <c r="C160" s="3"/>
      <c r="D160" s="3" t="s">
        <v>70</v>
      </c>
      <c r="E160" s="33" t="s">
        <v>30</v>
      </c>
      <c r="F160" s="3"/>
      <c r="G160" s="7"/>
      <c r="H160" s="7">
        <v>803</v>
      </c>
      <c r="I160" s="12"/>
      <c r="J160" s="5" t="e">
        <f>+SUMIFS(#REF!,#REF!,Planning[[#This Row],[Tarifa]],#REF!,Planning[[#This Row],[Proyectos]])</f>
        <v>#REF!</v>
      </c>
      <c r="K160" s="5" t="e">
        <f>Planning[[#This Row],[Horas Planificadas]]+Planning[[#This Row],[Horas ajustadas adicionales]]-Planning[[#This Row],[Horas utilizadas]]</f>
        <v>#REF!</v>
      </c>
      <c r="L160" s="7"/>
      <c r="M160" s="19" t="e">
        <f>Planning[[#This Row],[Saldo]]-Planning[[#This Row],[Saldo estimado]]</f>
        <v>#REF!</v>
      </c>
      <c r="N160" s="60" t="e">
        <f>SUM(SUMIFS(#REF!,#REF!,Planning[[#This Row],[Proyectos]],#REF!,Planning[[#This Row],[Tipo de Tarea y especialidad]]),SUMIFS(#REF!,#REF!,Planning[[#This Row],[Proyectos]],#REF!,Planning[[#This Row],[Tipo de Tarea y especialidad]]))</f>
        <v>#REF!</v>
      </c>
      <c r="O160" s="19">
        <f t="shared" si="4"/>
        <v>10</v>
      </c>
      <c r="P160" s="19">
        <f t="shared" si="5"/>
        <v>2024</v>
      </c>
      <c r="Q160" s="19" t="e">
        <f>+SUMIFS(#REF!,#REF!,Planning[[#This Row],[Tarifa]],#REF!,Planning[[#This Row],[Proyectos]],#REF!,Planning[[#This Row],[Mes]],#REF!,Planning[[#This Row],[Año]])</f>
        <v>#REF!</v>
      </c>
      <c r="R160" s="19" t="str">
        <f>TEXT(Planning[[#This Row],[Mes]]*29,"mmmm")</f>
        <v>October</v>
      </c>
      <c r="S1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0" s="241"/>
      <c r="U160" s="43" t="e">
        <f>IF(Planning[[#This Row],[Horas Planificadas]]&lt;&gt;0,+K160/Planning[[#This Row],[Horas Planificadas]],0)</f>
        <v>#REF!</v>
      </c>
      <c r="V160" s="43" t="e">
        <f>IF(Planning[[#This Row],[Horas Planificadas]]&lt;&gt;0,Planning[[#This Row],[Horas utilizadas]]/Planning[[#This Row],[Horas Planificadas]],0)</f>
        <v>#REF!</v>
      </c>
      <c r="W160" s="44">
        <f>Planning[[#This Row],[Horas Planificadas]]+Planning[[#This Row],[Horas ajustadas adicionales]]</f>
        <v>803</v>
      </c>
      <c r="X160" s="142"/>
    </row>
    <row r="161" spans="1:24" ht="12.75" customHeight="1" x14ac:dyDescent="0.2">
      <c r="A161" s="7"/>
      <c r="B161" s="7"/>
      <c r="C161" s="3"/>
      <c r="D161" s="3" t="s">
        <v>70</v>
      </c>
      <c r="E161" s="33" t="s">
        <v>31</v>
      </c>
      <c r="F161" s="3"/>
      <c r="G161" s="7"/>
      <c r="H161" s="7">
        <v>96</v>
      </c>
      <c r="I161" s="12"/>
      <c r="J161" s="5" t="e">
        <f>+SUMIFS(#REF!,#REF!,Planning[[#This Row],[Tarifa]],#REF!,Planning[[#This Row],[Proyectos]])</f>
        <v>#REF!</v>
      </c>
      <c r="K161" s="5" t="e">
        <f>Planning[[#This Row],[Horas Planificadas]]+Planning[[#This Row],[Horas ajustadas adicionales]]-Planning[[#This Row],[Horas utilizadas]]</f>
        <v>#REF!</v>
      </c>
      <c r="L161" s="7"/>
      <c r="M161" s="19" t="e">
        <f>Planning[[#This Row],[Saldo]]-Planning[[#This Row],[Saldo estimado]]</f>
        <v>#REF!</v>
      </c>
      <c r="N161" s="60" t="e">
        <f>SUM(SUMIFS(#REF!,#REF!,Planning[[#This Row],[Proyectos]],#REF!,Planning[[#This Row],[Tipo de Tarea y especialidad]]),SUMIFS(#REF!,#REF!,Planning[[#This Row],[Proyectos]],#REF!,Planning[[#This Row],[Tipo de Tarea y especialidad]]))</f>
        <v>#REF!</v>
      </c>
      <c r="O161" s="19">
        <f t="shared" si="4"/>
        <v>10</v>
      </c>
      <c r="P161" s="19">
        <f t="shared" si="5"/>
        <v>2024</v>
      </c>
      <c r="Q161" s="19" t="e">
        <f>+SUMIFS(#REF!,#REF!,Planning[[#This Row],[Tarifa]],#REF!,Planning[[#This Row],[Proyectos]],#REF!,Planning[[#This Row],[Mes]],#REF!,Planning[[#This Row],[Año]])</f>
        <v>#REF!</v>
      </c>
      <c r="R161" s="19" t="str">
        <f>TEXT(Planning[[#This Row],[Mes]]*29,"mmmm")</f>
        <v>October</v>
      </c>
      <c r="S1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1" s="241"/>
      <c r="U161" s="43" t="e">
        <f>IF(Planning[[#This Row],[Horas Planificadas]]&lt;&gt;0,+K161/Planning[[#This Row],[Horas Planificadas]],0)</f>
        <v>#REF!</v>
      </c>
      <c r="V161" s="43" t="e">
        <f>IF(Planning[[#This Row],[Horas Planificadas]]&lt;&gt;0,Planning[[#This Row],[Horas utilizadas]]/Planning[[#This Row],[Horas Planificadas]],0)</f>
        <v>#REF!</v>
      </c>
      <c r="W161" s="44">
        <f>Planning[[#This Row],[Horas Planificadas]]+Planning[[#This Row],[Horas ajustadas adicionales]]</f>
        <v>96</v>
      </c>
      <c r="X161" s="142"/>
    </row>
    <row r="162" spans="1:24" ht="12.75" customHeight="1" x14ac:dyDescent="0.2">
      <c r="A162" s="7"/>
      <c r="B162" s="7"/>
      <c r="C162" s="3"/>
      <c r="D162" s="3" t="s">
        <v>70</v>
      </c>
      <c r="E162" s="33" t="s">
        <v>32</v>
      </c>
      <c r="F162" s="3"/>
      <c r="G162" s="7"/>
      <c r="H162" s="7">
        <v>315</v>
      </c>
      <c r="I162" s="12"/>
      <c r="J162" s="5" t="e">
        <f>+SUMIFS(#REF!,#REF!,Planning[[#This Row],[Tarifa]],#REF!,Planning[[#This Row],[Proyectos]])</f>
        <v>#REF!</v>
      </c>
      <c r="K162" s="5" t="e">
        <f>Planning[[#This Row],[Horas Planificadas]]+Planning[[#This Row],[Horas ajustadas adicionales]]-Planning[[#This Row],[Horas utilizadas]]</f>
        <v>#REF!</v>
      </c>
      <c r="L162" s="7"/>
      <c r="M162" s="19" t="e">
        <f>Planning[[#This Row],[Saldo]]-Planning[[#This Row],[Saldo estimado]]</f>
        <v>#REF!</v>
      </c>
      <c r="N162" s="60" t="e">
        <f>SUM(SUMIFS(#REF!,#REF!,Planning[[#This Row],[Proyectos]],#REF!,Planning[[#This Row],[Tipo de Tarea y especialidad]]),SUMIFS(#REF!,#REF!,Planning[[#This Row],[Proyectos]],#REF!,Planning[[#This Row],[Tipo de Tarea y especialidad]]))</f>
        <v>#REF!</v>
      </c>
      <c r="O162" s="19">
        <f t="shared" si="4"/>
        <v>10</v>
      </c>
      <c r="P162" s="19">
        <f t="shared" si="5"/>
        <v>2024</v>
      </c>
      <c r="Q162" s="19" t="e">
        <f>+SUMIFS(#REF!,#REF!,Planning[[#This Row],[Tarifa]],#REF!,Planning[[#This Row],[Proyectos]],#REF!,Planning[[#This Row],[Mes]],#REF!,Planning[[#This Row],[Año]])</f>
        <v>#REF!</v>
      </c>
      <c r="R162" s="19" t="str">
        <f>TEXT(Planning[[#This Row],[Mes]]*29,"mmmm")</f>
        <v>October</v>
      </c>
      <c r="S1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2" s="241"/>
      <c r="U162" s="43" t="e">
        <f>IF(Planning[[#This Row],[Horas Planificadas]]&lt;&gt;0,+K162/Planning[[#This Row],[Horas Planificadas]],0)</f>
        <v>#REF!</v>
      </c>
      <c r="V162" s="43" t="e">
        <f>IF(Planning[[#This Row],[Horas Planificadas]]&lt;&gt;0,Planning[[#This Row],[Horas utilizadas]]/Planning[[#This Row],[Horas Planificadas]],0)</f>
        <v>#REF!</v>
      </c>
      <c r="W162" s="44">
        <f>Planning[[#This Row],[Horas Planificadas]]+Planning[[#This Row],[Horas ajustadas adicionales]]</f>
        <v>315</v>
      </c>
      <c r="X162" s="142"/>
    </row>
    <row r="163" spans="1:24" ht="12.75" customHeight="1" x14ac:dyDescent="0.2">
      <c r="A163" s="7"/>
      <c r="B163" s="7"/>
      <c r="C163" s="3"/>
      <c r="D163" s="3" t="s">
        <v>71</v>
      </c>
      <c r="E163" s="33" t="s">
        <v>28</v>
      </c>
      <c r="F163" s="3"/>
      <c r="G163" s="7"/>
      <c r="H163" s="7">
        <v>0</v>
      </c>
      <c r="I163" s="12"/>
      <c r="J163" s="5" t="e">
        <f>+SUMIFS(#REF!,#REF!,Planning[[#This Row],[Tarifa]],#REF!,Planning[[#This Row],[Proyectos]])</f>
        <v>#REF!</v>
      </c>
      <c r="K163" s="5" t="e">
        <f>Planning[[#This Row],[Horas Planificadas]]+Planning[[#This Row],[Horas ajustadas adicionales]]-Planning[[#This Row],[Horas utilizadas]]</f>
        <v>#REF!</v>
      </c>
      <c r="L163" s="7"/>
      <c r="M163" s="19" t="e">
        <f>Planning[[#This Row],[Saldo]]-Planning[[#This Row],[Saldo estimado]]</f>
        <v>#REF!</v>
      </c>
      <c r="N163" s="60" t="e">
        <f>SUM(SUMIFS(#REF!,#REF!,Planning[[#This Row],[Proyectos]],#REF!,Planning[[#This Row],[Tipo de Tarea y especialidad]]),SUMIFS(#REF!,#REF!,Planning[[#This Row],[Proyectos]],#REF!,Planning[[#This Row],[Tipo de Tarea y especialidad]]))</f>
        <v>#REF!</v>
      </c>
      <c r="O163" s="19">
        <f t="shared" si="4"/>
        <v>10</v>
      </c>
      <c r="P163" s="19">
        <f t="shared" si="5"/>
        <v>2024</v>
      </c>
      <c r="Q163" s="19" t="e">
        <f>+SUMIFS(#REF!,#REF!,Planning[[#This Row],[Tarifa]],#REF!,Planning[[#This Row],[Proyectos]],#REF!,Planning[[#This Row],[Mes]],#REF!,Planning[[#This Row],[Año]])</f>
        <v>#REF!</v>
      </c>
      <c r="R163" s="19" t="str">
        <f>TEXT(Planning[[#This Row],[Mes]]*29,"mmmm")</f>
        <v>October</v>
      </c>
      <c r="S1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3" s="241"/>
      <c r="U163" s="43">
        <f>IF(Planning[[#This Row],[Horas Planificadas]]&lt;&gt;0,+K163/Planning[[#This Row],[Horas Planificadas]],0)</f>
        <v>0</v>
      </c>
      <c r="V163" s="43">
        <f>IF(Planning[[#This Row],[Horas Planificadas]]&lt;&gt;0,Planning[[#This Row],[Horas utilizadas]]/Planning[[#This Row],[Horas Planificadas]],0)</f>
        <v>0</v>
      </c>
      <c r="W163" s="44">
        <f>Planning[[#This Row],[Horas Planificadas]]+Planning[[#This Row],[Horas ajustadas adicionales]]</f>
        <v>0</v>
      </c>
      <c r="X163" s="142"/>
    </row>
    <row r="164" spans="1:24" ht="12.75" customHeight="1" x14ac:dyDescent="0.2">
      <c r="A164" s="7"/>
      <c r="B164" s="7"/>
      <c r="C164" s="3"/>
      <c r="D164" s="3" t="s">
        <v>71</v>
      </c>
      <c r="E164" s="33" t="s">
        <v>30</v>
      </c>
      <c r="F164" s="3"/>
      <c r="G164" s="7"/>
      <c r="H164" s="7">
        <v>153</v>
      </c>
      <c r="I164" s="12"/>
      <c r="J164" s="5" t="e">
        <f>+SUMIFS(#REF!,#REF!,Planning[[#This Row],[Tarifa]],#REF!,Planning[[#This Row],[Proyectos]])</f>
        <v>#REF!</v>
      </c>
      <c r="K164" s="5" t="e">
        <f>Planning[[#This Row],[Horas Planificadas]]+Planning[[#This Row],[Horas ajustadas adicionales]]-Planning[[#This Row],[Horas utilizadas]]</f>
        <v>#REF!</v>
      </c>
      <c r="L164" s="7"/>
      <c r="M164" s="19" t="e">
        <f>Planning[[#This Row],[Saldo]]-Planning[[#This Row],[Saldo estimado]]</f>
        <v>#REF!</v>
      </c>
      <c r="N164" s="60" t="e">
        <f>SUM(SUMIFS(#REF!,#REF!,Planning[[#This Row],[Proyectos]],#REF!,Planning[[#This Row],[Tipo de Tarea y especialidad]]),SUMIFS(#REF!,#REF!,Planning[[#This Row],[Proyectos]],#REF!,Planning[[#This Row],[Tipo de Tarea y especialidad]]))</f>
        <v>#REF!</v>
      </c>
      <c r="O164" s="19">
        <f t="shared" si="4"/>
        <v>10</v>
      </c>
      <c r="P164" s="19">
        <f t="shared" si="5"/>
        <v>2024</v>
      </c>
      <c r="Q164" s="19" t="e">
        <f>+SUMIFS(#REF!,#REF!,Planning[[#This Row],[Tarifa]],#REF!,Planning[[#This Row],[Proyectos]],#REF!,Planning[[#This Row],[Mes]],#REF!,Planning[[#This Row],[Año]])</f>
        <v>#REF!</v>
      </c>
      <c r="R164" s="19" t="str">
        <f>TEXT(Planning[[#This Row],[Mes]]*29,"mmmm")</f>
        <v>October</v>
      </c>
      <c r="S1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4" s="241"/>
      <c r="U164" s="43" t="e">
        <f>IF(Planning[[#This Row],[Horas Planificadas]]&lt;&gt;0,+K164/Planning[[#This Row],[Horas Planificadas]],0)</f>
        <v>#REF!</v>
      </c>
      <c r="V164" s="43" t="e">
        <f>IF(Planning[[#This Row],[Horas Planificadas]]&lt;&gt;0,Planning[[#This Row],[Horas utilizadas]]/Planning[[#This Row],[Horas Planificadas]],0)</f>
        <v>#REF!</v>
      </c>
      <c r="W164" s="44">
        <f>Planning[[#This Row],[Horas Planificadas]]+Planning[[#This Row],[Horas ajustadas adicionales]]</f>
        <v>153</v>
      </c>
      <c r="X164" s="142"/>
    </row>
    <row r="165" spans="1:24" ht="12.75" customHeight="1" x14ac:dyDescent="0.2">
      <c r="A165" s="7"/>
      <c r="B165" s="7"/>
      <c r="C165" s="3"/>
      <c r="D165" s="3" t="s">
        <v>71</v>
      </c>
      <c r="E165" s="33" t="s">
        <v>31</v>
      </c>
      <c r="F165" s="3"/>
      <c r="G165" s="7"/>
      <c r="H165" s="7">
        <v>32</v>
      </c>
      <c r="I165" s="12"/>
      <c r="J165" s="5" t="e">
        <f>+SUMIFS(#REF!,#REF!,Planning[[#This Row],[Tarifa]],#REF!,Planning[[#This Row],[Proyectos]])</f>
        <v>#REF!</v>
      </c>
      <c r="K165" s="5" t="e">
        <f>Planning[[#This Row],[Horas Planificadas]]+Planning[[#This Row],[Horas ajustadas adicionales]]-Planning[[#This Row],[Horas utilizadas]]</f>
        <v>#REF!</v>
      </c>
      <c r="L165" s="7"/>
      <c r="M165" s="19" t="e">
        <f>Planning[[#This Row],[Saldo]]-Planning[[#This Row],[Saldo estimado]]</f>
        <v>#REF!</v>
      </c>
      <c r="N165" s="60" t="e">
        <f>SUM(SUMIFS(#REF!,#REF!,Planning[[#This Row],[Proyectos]],#REF!,Planning[[#This Row],[Tipo de Tarea y especialidad]]),SUMIFS(#REF!,#REF!,Planning[[#This Row],[Proyectos]],#REF!,Planning[[#This Row],[Tipo de Tarea y especialidad]]))</f>
        <v>#REF!</v>
      </c>
      <c r="O165" s="19">
        <f t="shared" si="4"/>
        <v>10</v>
      </c>
      <c r="P165" s="19">
        <f t="shared" si="5"/>
        <v>2024</v>
      </c>
      <c r="Q165" s="19" t="e">
        <f>+SUMIFS(#REF!,#REF!,Planning[[#This Row],[Tarifa]],#REF!,Planning[[#This Row],[Proyectos]],#REF!,Planning[[#This Row],[Mes]],#REF!,Planning[[#This Row],[Año]])</f>
        <v>#REF!</v>
      </c>
      <c r="R165" s="19" t="str">
        <f>TEXT(Planning[[#This Row],[Mes]]*29,"mmmm")</f>
        <v>October</v>
      </c>
      <c r="S1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5" s="241"/>
      <c r="U165" s="43" t="e">
        <f>IF(Planning[[#This Row],[Horas Planificadas]]&lt;&gt;0,+K165/Planning[[#This Row],[Horas Planificadas]],0)</f>
        <v>#REF!</v>
      </c>
      <c r="V165" s="43" t="e">
        <f>IF(Planning[[#This Row],[Horas Planificadas]]&lt;&gt;0,Planning[[#This Row],[Horas utilizadas]]/Planning[[#This Row],[Horas Planificadas]],0)</f>
        <v>#REF!</v>
      </c>
      <c r="W165" s="44">
        <f>Planning[[#This Row],[Horas Planificadas]]+Planning[[#This Row],[Horas ajustadas adicionales]]</f>
        <v>32</v>
      </c>
      <c r="X165" s="142"/>
    </row>
    <row r="166" spans="1:24" ht="12.75" customHeight="1" x14ac:dyDescent="0.2">
      <c r="A166" s="7"/>
      <c r="B166" s="7"/>
      <c r="C166" s="3"/>
      <c r="D166" s="3" t="s">
        <v>71</v>
      </c>
      <c r="E166" s="33" t="s">
        <v>32</v>
      </c>
      <c r="F166" s="3"/>
      <c r="G166" s="7"/>
      <c r="H166" s="7">
        <v>18</v>
      </c>
      <c r="I166" s="12"/>
      <c r="J166" s="5" t="e">
        <f>+SUMIFS(#REF!,#REF!,Planning[[#This Row],[Tarifa]],#REF!,Planning[[#This Row],[Proyectos]])</f>
        <v>#REF!</v>
      </c>
      <c r="K166" s="5" t="e">
        <f>Planning[[#This Row],[Horas Planificadas]]+Planning[[#This Row],[Horas ajustadas adicionales]]-Planning[[#This Row],[Horas utilizadas]]</f>
        <v>#REF!</v>
      </c>
      <c r="L166" s="7"/>
      <c r="M166" s="19" t="e">
        <f>Planning[[#This Row],[Saldo]]-Planning[[#This Row],[Saldo estimado]]</f>
        <v>#REF!</v>
      </c>
      <c r="N166" s="60" t="e">
        <f>SUM(SUMIFS(#REF!,#REF!,Planning[[#This Row],[Proyectos]],#REF!,Planning[[#This Row],[Tipo de Tarea y especialidad]]),SUMIFS(#REF!,#REF!,Planning[[#This Row],[Proyectos]],#REF!,Planning[[#This Row],[Tipo de Tarea y especialidad]]))</f>
        <v>#REF!</v>
      </c>
      <c r="O166" s="19">
        <f t="shared" si="4"/>
        <v>10</v>
      </c>
      <c r="P166" s="19">
        <f t="shared" si="5"/>
        <v>2024</v>
      </c>
      <c r="Q166" s="19" t="e">
        <f>+SUMIFS(#REF!,#REF!,Planning[[#This Row],[Tarifa]],#REF!,Planning[[#This Row],[Proyectos]],#REF!,Planning[[#This Row],[Mes]],#REF!,Planning[[#This Row],[Año]])</f>
        <v>#REF!</v>
      </c>
      <c r="R166" s="19" t="str">
        <f>TEXT(Planning[[#This Row],[Mes]]*29,"mmmm")</f>
        <v>October</v>
      </c>
      <c r="S1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6" s="241"/>
      <c r="U166" s="43" t="e">
        <f>IF(Planning[[#This Row],[Horas Planificadas]]&lt;&gt;0,+K166/Planning[[#This Row],[Horas Planificadas]],0)</f>
        <v>#REF!</v>
      </c>
      <c r="V166" s="43" t="e">
        <f>IF(Planning[[#This Row],[Horas Planificadas]]&lt;&gt;0,Planning[[#This Row],[Horas utilizadas]]/Planning[[#This Row],[Horas Planificadas]],0)</f>
        <v>#REF!</v>
      </c>
      <c r="W166" s="44">
        <f>Planning[[#This Row],[Horas Planificadas]]+Planning[[#This Row],[Horas ajustadas adicionales]]</f>
        <v>18</v>
      </c>
      <c r="X166" s="142"/>
    </row>
    <row r="167" spans="1:24" ht="12.75" customHeight="1" x14ac:dyDescent="0.2">
      <c r="A167" s="7"/>
      <c r="B167" s="7"/>
      <c r="C167" s="3"/>
      <c r="D167" s="3" t="s">
        <v>72</v>
      </c>
      <c r="E167" s="33" t="s">
        <v>28</v>
      </c>
      <c r="F167" s="3"/>
      <c r="G167" s="7"/>
      <c r="H167" s="7">
        <v>1004</v>
      </c>
      <c r="I167" s="12"/>
      <c r="J167" s="5" t="e">
        <f>+SUMIFS(#REF!,#REF!,Planning[[#This Row],[Tarifa]],#REF!,Planning[[#This Row],[Proyectos]])</f>
        <v>#REF!</v>
      </c>
      <c r="K167" s="5" t="e">
        <f>Planning[[#This Row],[Horas Planificadas]]+Planning[[#This Row],[Horas ajustadas adicionales]]-Planning[[#This Row],[Horas utilizadas]]</f>
        <v>#REF!</v>
      </c>
      <c r="L167" s="7"/>
      <c r="M167" s="19" t="e">
        <f>Planning[[#This Row],[Saldo]]-Planning[[#This Row],[Saldo estimado]]</f>
        <v>#REF!</v>
      </c>
      <c r="N167" s="60" t="e">
        <f>SUM(SUMIFS(#REF!,#REF!,Planning[[#This Row],[Proyectos]],#REF!,Planning[[#This Row],[Tipo de Tarea y especialidad]]),SUMIFS(#REF!,#REF!,Planning[[#This Row],[Proyectos]],#REF!,Planning[[#This Row],[Tipo de Tarea y especialidad]]))</f>
        <v>#REF!</v>
      </c>
      <c r="O167" s="19">
        <f t="shared" si="4"/>
        <v>10</v>
      </c>
      <c r="P167" s="19">
        <f t="shared" si="5"/>
        <v>2024</v>
      </c>
      <c r="Q167" s="19" t="e">
        <f>+SUMIFS(#REF!,#REF!,Planning[[#This Row],[Tarifa]],#REF!,Planning[[#This Row],[Proyectos]],#REF!,Planning[[#This Row],[Mes]],#REF!,Planning[[#This Row],[Año]])</f>
        <v>#REF!</v>
      </c>
      <c r="R167" s="19" t="str">
        <f>TEXT(Planning[[#This Row],[Mes]]*29,"mmmm")</f>
        <v>October</v>
      </c>
      <c r="S1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7" s="241"/>
      <c r="U167" s="43" t="e">
        <f>IF(Planning[[#This Row],[Horas Planificadas]]&lt;&gt;0,+K167/Planning[[#This Row],[Horas Planificadas]],0)</f>
        <v>#REF!</v>
      </c>
      <c r="V167" s="43" t="e">
        <f>IF(Planning[[#This Row],[Horas Planificadas]]&lt;&gt;0,Planning[[#This Row],[Horas utilizadas]]/Planning[[#This Row],[Horas Planificadas]],0)</f>
        <v>#REF!</v>
      </c>
      <c r="W167" s="44">
        <f>Planning[[#This Row],[Horas Planificadas]]+Planning[[#This Row],[Horas ajustadas adicionales]]</f>
        <v>1004</v>
      </c>
      <c r="X167" s="142"/>
    </row>
    <row r="168" spans="1:24" ht="12.75" customHeight="1" x14ac:dyDescent="0.2">
      <c r="A168" s="7"/>
      <c r="B168" s="7"/>
      <c r="C168" s="3"/>
      <c r="D168" s="3" t="s">
        <v>72</v>
      </c>
      <c r="E168" s="33" t="s">
        <v>30</v>
      </c>
      <c r="F168" s="3"/>
      <c r="G168" s="7"/>
      <c r="H168" s="7">
        <v>813</v>
      </c>
      <c r="I168" s="12"/>
      <c r="J168" s="5" t="e">
        <f>+SUMIFS(#REF!,#REF!,Planning[[#This Row],[Tarifa]],#REF!,Planning[[#This Row],[Proyectos]])</f>
        <v>#REF!</v>
      </c>
      <c r="K168" s="5" t="e">
        <f>Planning[[#This Row],[Horas Planificadas]]+Planning[[#This Row],[Horas ajustadas adicionales]]-Planning[[#This Row],[Horas utilizadas]]</f>
        <v>#REF!</v>
      </c>
      <c r="L168" s="7"/>
      <c r="M168" s="19" t="e">
        <f>Planning[[#This Row],[Saldo]]-Planning[[#This Row],[Saldo estimado]]</f>
        <v>#REF!</v>
      </c>
      <c r="N168" s="60" t="e">
        <f>SUM(SUMIFS(#REF!,#REF!,Planning[[#This Row],[Proyectos]],#REF!,Planning[[#This Row],[Tipo de Tarea y especialidad]]),SUMIFS(#REF!,#REF!,Planning[[#This Row],[Proyectos]],#REF!,Planning[[#This Row],[Tipo de Tarea y especialidad]]))</f>
        <v>#REF!</v>
      </c>
      <c r="O168" s="19">
        <f t="shared" si="4"/>
        <v>10</v>
      </c>
      <c r="P168" s="19">
        <f t="shared" si="5"/>
        <v>2024</v>
      </c>
      <c r="Q168" s="19" t="e">
        <f>+SUMIFS(#REF!,#REF!,Planning[[#This Row],[Tarifa]],#REF!,Planning[[#This Row],[Proyectos]],#REF!,Planning[[#This Row],[Mes]],#REF!,Planning[[#This Row],[Año]])</f>
        <v>#REF!</v>
      </c>
      <c r="R168" s="19" t="str">
        <f>TEXT(Planning[[#This Row],[Mes]]*29,"mmmm")</f>
        <v>October</v>
      </c>
      <c r="S1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8" s="241"/>
      <c r="U168" s="43" t="e">
        <f>IF(Planning[[#This Row],[Horas Planificadas]]&lt;&gt;0,+K168/Planning[[#This Row],[Horas Planificadas]],0)</f>
        <v>#REF!</v>
      </c>
      <c r="V168" s="43" t="e">
        <f>IF(Planning[[#This Row],[Horas Planificadas]]&lt;&gt;0,Planning[[#This Row],[Horas utilizadas]]/Planning[[#This Row],[Horas Planificadas]],0)</f>
        <v>#REF!</v>
      </c>
      <c r="W168" s="44">
        <f>Planning[[#This Row],[Horas Planificadas]]+Planning[[#This Row],[Horas ajustadas adicionales]]</f>
        <v>813</v>
      </c>
      <c r="X168" s="142"/>
    </row>
    <row r="169" spans="1:24" ht="12.75" customHeight="1" x14ac:dyDescent="0.2">
      <c r="A169" s="7"/>
      <c r="B169" s="7"/>
      <c r="C169" s="3"/>
      <c r="D169" s="3" t="s">
        <v>72</v>
      </c>
      <c r="E169" s="33" t="s">
        <v>31</v>
      </c>
      <c r="F169" s="3"/>
      <c r="G169" s="7"/>
      <c r="H169" s="7">
        <v>163</v>
      </c>
      <c r="I169" s="12"/>
      <c r="J169" s="5" t="e">
        <f>+SUMIFS(#REF!,#REF!,Planning[[#This Row],[Tarifa]],#REF!,Planning[[#This Row],[Proyectos]])</f>
        <v>#REF!</v>
      </c>
      <c r="K169" s="5" t="e">
        <f>Planning[[#This Row],[Horas Planificadas]]+Planning[[#This Row],[Horas ajustadas adicionales]]-Planning[[#This Row],[Horas utilizadas]]</f>
        <v>#REF!</v>
      </c>
      <c r="L169" s="7"/>
      <c r="M169" s="19" t="e">
        <f>Planning[[#This Row],[Saldo]]-Planning[[#This Row],[Saldo estimado]]</f>
        <v>#REF!</v>
      </c>
      <c r="N169" s="60" t="e">
        <f>SUM(SUMIFS(#REF!,#REF!,Planning[[#This Row],[Proyectos]],#REF!,Planning[[#This Row],[Tipo de Tarea y especialidad]]),SUMIFS(#REF!,#REF!,Planning[[#This Row],[Proyectos]],#REF!,Planning[[#This Row],[Tipo de Tarea y especialidad]]))</f>
        <v>#REF!</v>
      </c>
      <c r="O169" s="19">
        <f t="shared" si="4"/>
        <v>10</v>
      </c>
      <c r="P169" s="19">
        <f t="shared" si="5"/>
        <v>2024</v>
      </c>
      <c r="Q169" s="19" t="e">
        <f>+SUMIFS(#REF!,#REF!,Planning[[#This Row],[Tarifa]],#REF!,Planning[[#This Row],[Proyectos]],#REF!,Planning[[#This Row],[Mes]],#REF!,Planning[[#This Row],[Año]])</f>
        <v>#REF!</v>
      </c>
      <c r="R169" s="19" t="str">
        <f>TEXT(Planning[[#This Row],[Mes]]*29,"mmmm")</f>
        <v>October</v>
      </c>
      <c r="S1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9" s="241"/>
      <c r="U169" s="43" t="e">
        <f>IF(Planning[[#This Row],[Horas Planificadas]]&lt;&gt;0,+K169/Planning[[#This Row],[Horas Planificadas]],0)</f>
        <v>#REF!</v>
      </c>
      <c r="V169" s="43" t="e">
        <f>IF(Planning[[#This Row],[Horas Planificadas]]&lt;&gt;0,Planning[[#This Row],[Horas utilizadas]]/Planning[[#This Row],[Horas Planificadas]],0)</f>
        <v>#REF!</v>
      </c>
      <c r="W169" s="44">
        <f>Planning[[#This Row],[Horas Planificadas]]+Planning[[#This Row],[Horas ajustadas adicionales]]</f>
        <v>163</v>
      </c>
      <c r="X169" s="142"/>
    </row>
    <row r="170" spans="1:24" ht="12.75" customHeight="1" x14ac:dyDescent="0.2">
      <c r="A170" s="7"/>
      <c r="B170" s="7"/>
      <c r="C170" s="3"/>
      <c r="D170" s="3" t="s">
        <v>72</v>
      </c>
      <c r="E170" s="33" t="s">
        <v>32</v>
      </c>
      <c r="F170" s="3"/>
      <c r="G170" s="7"/>
      <c r="H170" s="7">
        <v>432</v>
      </c>
      <c r="I170" s="12"/>
      <c r="J170" s="5" t="e">
        <f>+SUMIFS(#REF!,#REF!,Planning[[#This Row],[Tarifa]],#REF!,Planning[[#This Row],[Proyectos]])</f>
        <v>#REF!</v>
      </c>
      <c r="K170" s="5" t="e">
        <f>Planning[[#This Row],[Horas Planificadas]]+Planning[[#This Row],[Horas ajustadas adicionales]]-Planning[[#This Row],[Horas utilizadas]]</f>
        <v>#REF!</v>
      </c>
      <c r="L170" s="7"/>
      <c r="M170" s="19" t="e">
        <f>Planning[[#This Row],[Saldo]]-Planning[[#This Row],[Saldo estimado]]</f>
        <v>#REF!</v>
      </c>
      <c r="N170" s="60" t="e">
        <f>SUM(SUMIFS(#REF!,#REF!,Planning[[#This Row],[Proyectos]],#REF!,Planning[[#This Row],[Tipo de Tarea y especialidad]]),SUMIFS(#REF!,#REF!,Planning[[#This Row],[Proyectos]],#REF!,Planning[[#This Row],[Tipo de Tarea y especialidad]]))</f>
        <v>#REF!</v>
      </c>
      <c r="O170" s="19">
        <f t="shared" si="4"/>
        <v>10</v>
      </c>
      <c r="P170" s="19">
        <f t="shared" si="5"/>
        <v>2024</v>
      </c>
      <c r="Q170" s="19" t="e">
        <f>+SUMIFS(#REF!,#REF!,Planning[[#This Row],[Tarifa]],#REF!,Planning[[#This Row],[Proyectos]],#REF!,Planning[[#This Row],[Mes]],#REF!,Planning[[#This Row],[Año]])</f>
        <v>#REF!</v>
      </c>
      <c r="R170" s="19" t="str">
        <f>TEXT(Planning[[#This Row],[Mes]]*29,"mmmm")</f>
        <v>October</v>
      </c>
      <c r="S1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0" s="241"/>
      <c r="U170" s="43" t="e">
        <f>IF(Planning[[#This Row],[Horas Planificadas]]&lt;&gt;0,+K170/Planning[[#This Row],[Horas Planificadas]],0)</f>
        <v>#REF!</v>
      </c>
      <c r="V170" s="43" t="e">
        <f>IF(Planning[[#This Row],[Horas Planificadas]]&lt;&gt;0,Planning[[#This Row],[Horas utilizadas]]/Planning[[#This Row],[Horas Planificadas]],0)</f>
        <v>#REF!</v>
      </c>
      <c r="W170" s="44">
        <f>Planning[[#This Row],[Horas Planificadas]]+Planning[[#This Row],[Horas ajustadas adicionales]]</f>
        <v>432</v>
      </c>
      <c r="X170" s="142"/>
    </row>
    <row r="171" spans="1:24" ht="12.75" customHeight="1" x14ac:dyDescent="0.2">
      <c r="A171" s="7"/>
      <c r="B171" s="7"/>
      <c r="C171" s="3"/>
      <c r="D171" s="3" t="s">
        <v>73</v>
      </c>
      <c r="E171" s="33" t="s">
        <v>28</v>
      </c>
      <c r="F171" s="3"/>
      <c r="G171" s="7"/>
      <c r="H171" s="7">
        <v>1402</v>
      </c>
      <c r="I171" s="12"/>
      <c r="J171" s="5" t="e">
        <f>+SUMIFS(#REF!,#REF!,Planning[[#This Row],[Tarifa]],#REF!,Planning[[#This Row],[Proyectos]])</f>
        <v>#REF!</v>
      </c>
      <c r="K171" s="5" t="e">
        <f>Planning[[#This Row],[Horas Planificadas]]+Planning[[#This Row],[Horas ajustadas adicionales]]-Planning[[#This Row],[Horas utilizadas]]</f>
        <v>#REF!</v>
      </c>
      <c r="L171" s="7"/>
      <c r="M171" s="19" t="e">
        <f>Planning[[#This Row],[Saldo]]-Planning[[#This Row],[Saldo estimado]]</f>
        <v>#REF!</v>
      </c>
      <c r="N171" s="60" t="e">
        <f>SUM(SUMIFS(#REF!,#REF!,Planning[[#This Row],[Proyectos]],#REF!,Planning[[#This Row],[Tipo de Tarea y especialidad]]),SUMIFS(#REF!,#REF!,Planning[[#This Row],[Proyectos]],#REF!,Planning[[#This Row],[Tipo de Tarea y especialidad]]))</f>
        <v>#REF!</v>
      </c>
      <c r="O171" s="19">
        <f t="shared" si="4"/>
        <v>10</v>
      </c>
      <c r="P171" s="19">
        <f t="shared" si="5"/>
        <v>2024</v>
      </c>
      <c r="Q171" s="19" t="e">
        <f>+SUMIFS(#REF!,#REF!,Planning[[#This Row],[Tarifa]],#REF!,Planning[[#This Row],[Proyectos]],#REF!,Planning[[#This Row],[Mes]],#REF!,Planning[[#This Row],[Año]])</f>
        <v>#REF!</v>
      </c>
      <c r="R171" s="19" t="str">
        <f>TEXT(Planning[[#This Row],[Mes]]*29,"mmmm")</f>
        <v>October</v>
      </c>
      <c r="S1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1" s="241"/>
      <c r="U171" s="43" t="e">
        <f>IF(Planning[[#This Row],[Horas Planificadas]]&lt;&gt;0,+K171/Planning[[#This Row],[Horas Planificadas]],0)</f>
        <v>#REF!</v>
      </c>
      <c r="V171" s="43" t="e">
        <f>IF(Planning[[#This Row],[Horas Planificadas]]&lt;&gt;0,Planning[[#This Row],[Horas utilizadas]]/Planning[[#This Row],[Horas Planificadas]],0)</f>
        <v>#REF!</v>
      </c>
      <c r="W171" s="44">
        <f>Planning[[#This Row],[Horas Planificadas]]+Planning[[#This Row],[Horas ajustadas adicionales]]</f>
        <v>1402</v>
      </c>
      <c r="X171" s="142"/>
    </row>
    <row r="172" spans="1:24" ht="12.75" customHeight="1" x14ac:dyDescent="0.2">
      <c r="A172" s="7"/>
      <c r="B172" s="7"/>
      <c r="C172" s="3"/>
      <c r="D172" s="3" t="s">
        <v>73</v>
      </c>
      <c r="E172" s="33" t="s">
        <v>30</v>
      </c>
      <c r="F172" s="3"/>
      <c r="G172" s="7"/>
      <c r="H172" s="7">
        <v>1026</v>
      </c>
      <c r="I172" s="12"/>
      <c r="J172" s="5" t="e">
        <f>+SUMIFS(#REF!,#REF!,Planning[[#This Row],[Tarifa]],#REF!,Planning[[#This Row],[Proyectos]])</f>
        <v>#REF!</v>
      </c>
      <c r="K172" s="5" t="e">
        <f>Planning[[#This Row],[Horas Planificadas]]+Planning[[#This Row],[Horas ajustadas adicionales]]-Planning[[#This Row],[Horas utilizadas]]</f>
        <v>#REF!</v>
      </c>
      <c r="L172" s="7"/>
      <c r="M172" s="19" t="e">
        <f>Planning[[#This Row],[Saldo]]-Planning[[#This Row],[Saldo estimado]]</f>
        <v>#REF!</v>
      </c>
      <c r="N172" s="60" t="e">
        <f>SUM(SUMIFS(#REF!,#REF!,Planning[[#This Row],[Proyectos]],#REF!,Planning[[#This Row],[Tipo de Tarea y especialidad]]),SUMIFS(#REF!,#REF!,Planning[[#This Row],[Proyectos]],#REF!,Planning[[#This Row],[Tipo de Tarea y especialidad]]))</f>
        <v>#REF!</v>
      </c>
      <c r="O172" s="19">
        <f t="shared" si="4"/>
        <v>10</v>
      </c>
      <c r="P172" s="19">
        <f t="shared" si="5"/>
        <v>2024</v>
      </c>
      <c r="Q172" s="19" t="e">
        <f>+SUMIFS(#REF!,#REF!,Planning[[#This Row],[Tarifa]],#REF!,Planning[[#This Row],[Proyectos]],#REF!,Planning[[#This Row],[Mes]],#REF!,Planning[[#This Row],[Año]])</f>
        <v>#REF!</v>
      </c>
      <c r="R172" s="19" t="str">
        <f>TEXT(Planning[[#This Row],[Mes]]*29,"mmmm")</f>
        <v>October</v>
      </c>
      <c r="S1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2" s="241"/>
      <c r="U172" s="43" t="e">
        <f>IF(Planning[[#This Row],[Horas Planificadas]]&lt;&gt;0,+K172/Planning[[#This Row],[Horas Planificadas]],0)</f>
        <v>#REF!</v>
      </c>
      <c r="V172" s="43" t="e">
        <f>IF(Planning[[#This Row],[Horas Planificadas]]&lt;&gt;0,Planning[[#This Row],[Horas utilizadas]]/Planning[[#This Row],[Horas Planificadas]],0)</f>
        <v>#REF!</v>
      </c>
      <c r="W172" s="44">
        <f>Planning[[#This Row],[Horas Planificadas]]+Planning[[#This Row],[Horas ajustadas adicionales]]</f>
        <v>1026</v>
      </c>
      <c r="X172" s="142"/>
    </row>
    <row r="173" spans="1:24" ht="12.75" customHeight="1" x14ac:dyDescent="0.2">
      <c r="A173" s="7"/>
      <c r="B173" s="7"/>
      <c r="C173" s="3"/>
      <c r="D173" s="3" t="s">
        <v>73</v>
      </c>
      <c r="E173" s="33" t="s">
        <v>31</v>
      </c>
      <c r="F173" s="3"/>
      <c r="G173" s="7"/>
      <c r="H173" s="7">
        <v>144</v>
      </c>
      <c r="I173" s="12"/>
      <c r="J173" s="5" t="e">
        <f>+SUMIFS(#REF!,#REF!,Planning[[#This Row],[Tarifa]],#REF!,Planning[[#This Row],[Proyectos]])</f>
        <v>#REF!</v>
      </c>
      <c r="K173" s="5" t="e">
        <f>Planning[[#This Row],[Horas Planificadas]]+Planning[[#This Row],[Horas ajustadas adicionales]]-Planning[[#This Row],[Horas utilizadas]]</f>
        <v>#REF!</v>
      </c>
      <c r="L173" s="7"/>
      <c r="M173" s="19" t="e">
        <f>Planning[[#This Row],[Saldo]]-Planning[[#This Row],[Saldo estimado]]</f>
        <v>#REF!</v>
      </c>
      <c r="N173" s="60" t="e">
        <f>SUM(SUMIFS(#REF!,#REF!,Planning[[#This Row],[Proyectos]],#REF!,Planning[[#This Row],[Tipo de Tarea y especialidad]]),SUMIFS(#REF!,#REF!,Planning[[#This Row],[Proyectos]],#REF!,Planning[[#This Row],[Tipo de Tarea y especialidad]]))</f>
        <v>#REF!</v>
      </c>
      <c r="O173" s="19">
        <f t="shared" si="4"/>
        <v>10</v>
      </c>
      <c r="P173" s="19">
        <f t="shared" si="5"/>
        <v>2024</v>
      </c>
      <c r="Q173" s="19" t="e">
        <f>+SUMIFS(#REF!,#REF!,Planning[[#This Row],[Tarifa]],#REF!,Planning[[#This Row],[Proyectos]],#REF!,Planning[[#This Row],[Mes]],#REF!,Planning[[#This Row],[Año]])</f>
        <v>#REF!</v>
      </c>
      <c r="R173" s="19" t="str">
        <f>TEXT(Planning[[#This Row],[Mes]]*29,"mmmm")</f>
        <v>October</v>
      </c>
      <c r="S1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3" s="241"/>
      <c r="U173" s="43" t="e">
        <f>IF(Planning[[#This Row],[Horas Planificadas]]&lt;&gt;0,+K173/Planning[[#This Row],[Horas Planificadas]],0)</f>
        <v>#REF!</v>
      </c>
      <c r="V173" s="43" t="e">
        <f>IF(Planning[[#This Row],[Horas Planificadas]]&lt;&gt;0,Planning[[#This Row],[Horas utilizadas]]/Planning[[#This Row],[Horas Planificadas]],0)</f>
        <v>#REF!</v>
      </c>
      <c r="W173" s="44">
        <f>Planning[[#This Row],[Horas Planificadas]]+Planning[[#This Row],[Horas ajustadas adicionales]]</f>
        <v>144</v>
      </c>
      <c r="X173" s="142"/>
    </row>
    <row r="174" spans="1:24" ht="12.75" customHeight="1" x14ac:dyDescent="0.2">
      <c r="A174" s="7"/>
      <c r="B174" s="7"/>
      <c r="C174" s="3"/>
      <c r="D174" s="3" t="s">
        <v>73</v>
      </c>
      <c r="E174" s="33" t="s">
        <v>32</v>
      </c>
      <c r="F174" s="3"/>
      <c r="G174" s="7"/>
      <c r="H174" s="7">
        <v>360</v>
      </c>
      <c r="I174" s="12"/>
      <c r="J174" s="5" t="e">
        <f>+SUMIFS(#REF!,#REF!,Planning[[#This Row],[Tarifa]],#REF!,Planning[[#This Row],[Proyectos]])</f>
        <v>#REF!</v>
      </c>
      <c r="K174" s="5" t="e">
        <f>Planning[[#This Row],[Horas Planificadas]]+Planning[[#This Row],[Horas ajustadas adicionales]]-Planning[[#This Row],[Horas utilizadas]]</f>
        <v>#REF!</v>
      </c>
      <c r="L174" s="7"/>
      <c r="M174" s="19" t="e">
        <f>Planning[[#This Row],[Saldo]]-Planning[[#This Row],[Saldo estimado]]</f>
        <v>#REF!</v>
      </c>
      <c r="N174" s="60" t="e">
        <f>SUM(SUMIFS(#REF!,#REF!,Planning[[#This Row],[Proyectos]],#REF!,Planning[[#This Row],[Tipo de Tarea y especialidad]]),SUMIFS(#REF!,#REF!,Planning[[#This Row],[Proyectos]],#REF!,Planning[[#This Row],[Tipo de Tarea y especialidad]]))</f>
        <v>#REF!</v>
      </c>
      <c r="O174" s="19">
        <f t="shared" si="4"/>
        <v>10</v>
      </c>
      <c r="P174" s="19">
        <f t="shared" si="5"/>
        <v>2024</v>
      </c>
      <c r="Q174" s="19" t="e">
        <f>+SUMIFS(#REF!,#REF!,Planning[[#This Row],[Tarifa]],#REF!,Planning[[#This Row],[Proyectos]],#REF!,Planning[[#This Row],[Mes]],#REF!,Planning[[#This Row],[Año]])</f>
        <v>#REF!</v>
      </c>
      <c r="R174" s="19" t="str">
        <f>TEXT(Planning[[#This Row],[Mes]]*29,"mmmm")</f>
        <v>October</v>
      </c>
      <c r="S1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4" s="241"/>
      <c r="U174" s="43" t="e">
        <f>IF(Planning[[#This Row],[Horas Planificadas]]&lt;&gt;0,+K174/Planning[[#This Row],[Horas Planificadas]],0)</f>
        <v>#REF!</v>
      </c>
      <c r="V174" s="43" t="e">
        <f>IF(Planning[[#This Row],[Horas Planificadas]]&lt;&gt;0,Planning[[#This Row],[Horas utilizadas]]/Planning[[#This Row],[Horas Planificadas]],0)</f>
        <v>#REF!</v>
      </c>
      <c r="W174" s="44">
        <f>Planning[[#This Row],[Horas Planificadas]]+Planning[[#This Row],[Horas ajustadas adicionales]]</f>
        <v>360</v>
      </c>
      <c r="X174" s="142"/>
    </row>
    <row r="175" spans="1:24" ht="12.75" customHeight="1" x14ac:dyDescent="0.2">
      <c r="A175" s="7"/>
      <c r="B175" s="7"/>
      <c r="C175" s="3"/>
      <c r="D175" s="3" t="s">
        <v>74</v>
      </c>
      <c r="E175" s="33" t="s">
        <v>28</v>
      </c>
      <c r="F175" s="3"/>
      <c r="G175" s="7"/>
      <c r="H175" s="7">
        <v>240</v>
      </c>
      <c r="I175" s="12"/>
      <c r="J175" s="5" t="e">
        <f>+SUMIFS(#REF!,#REF!,Planning[[#This Row],[Tarifa]],#REF!,Planning[[#This Row],[Proyectos]])</f>
        <v>#REF!</v>
      </c>
      <c r="K175" s="5" t="e">
        <f>Planning[[#This Row],[Horas Planificadas]]+Planning[[#This Row],[Horas ajustadas adicionales]]-Planning[[#This Row],[Horas utilizadas]]</f>
        <v>#REF!</v>
      </c>
      <c r="L175" s="7"/>
      <c r="M175" s="19" t="e">
        <f>Planning[[#This Row],[Saldo]]-Planning[[#This Row],[Saldo estimado]]</f>
        <v>#REF!</v>
      </c>
      <c r="N175" s="60" t="e">
        <f>SUM(SUMIFS(#REF!,#REF!,Planning[[#This Row],[Proyectos]],#REF!,Planning[[#This Row],[Tipo de Tarea y especialidad]]),SUMIFS(#REF!,#REF!,Planning[[#This Row],[Proyectos]],#REF!,Planning[[#This Row],[Tipo de Tarea y especialidad]]))</f>
        <v>#REF!</v>
      </c>
      <c r="O175" s="19">
        <f t="shared" si="4"/>
        <v>10</v>
      </c>
      <c r="P175" s="19">
        <f t="shared" si="5"/>
        <v>2024</v>
      </c>
      <c r="Q175" s="19" t="e">
        <f>+SUMIFS(#REF!,#REF!,Planning[[#This Row],[Tarifa]],#REF!,Planning[[#This Row],[Proyectos]],#REF!,Planning[[#This Row],[Mes]],#REF!,Planning[[#This Row],[Año]])</f>
        <v>#REF!</v>
      </c>
      <c r="R175" s="19" t="str">
        <f>TEXT(Planning[[#This Row],[Mes]]*29,"mmmm")</f>
        <v>October</v>
      </c>
      <c r="S1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5" s="241"/>
      <c r="U175" s="43" t="e">
        <f>IF(Planning[[#This Row],[Horas Planificadas]]&lt;&gt;0,+K175/Planning[[#This Row],[Horas Planificadas]],0)</f>
        <v>#REF!</v>
      </c>
      <c r="V175" s="43" t="e">
        <f>IF(Planning[[#This Row],[Horas Planificadas]]&lt;&gt;0,Planning[[#This Row],[Horas utilizadas]]/Planning[[#This Row],[Horas Planificadas]],0)</f>
        <v>#REF!</v>
      </c>
      <c r="W175" s="44">
        <f>Planning[[#This Row],[Horas Planificadas]]+Planning[[#This Row],[Horas ajustadas adicionales]]</f>
        <v>240</v>
      </c>
      <c r="X175" s="142"/>
    </row>
    <row r="176" spans="1:24" ht="12.75" customHeight="1" x14ac:dyDescent="0.2">
      <c r="A176" s="7"/>
      <c r="B176" s="7"/>
      <c r="C176" s="3"/>
      <c r="D176" s="3" t="s">
        <v>74</v>
      </c>
      <c r="E176" s="33" t="s">
        <v>30</v>
      </c>
      <c r="F176" s="3"/>
      <c r="G176" s="7"/>
      <c r="H176" s="7">
        <v>320</v>
      </c>
      <c r="I176" s="12"/>
      <c r="J176" s="5" t="e">
        <f>+SUMIFS(#REF!,#REF!,Planning[[#This Row],[Tarifa]],#REF!,Planning[[#This Row],[Proyectos]])</f>
        <v>#REF!</v>
      </c>
      <c r="K176" s="5" t="e">
        <f>Planning[[#This Row],[Horas Planificadas]]+Planning[[#This Row],[Horas ajustadas adicionales]]-Planning[[#This Row],[Horas utilizadas]]</f>
        <v>#REF!</v>
      </c>
      <c r="L176" s="7"/>
      <c r="M176" s="19" t="e">
        <f>Planning[[#This Row],[Saldo]]-Planning[[#This Row],[Saldo estimado]]</f>
        <v>#REF!</v>
      </c>
      <c r="N176" s="60" t="e">
        <f>SUM(SUMIFS(#REF!,#REF!,Planning[[#This Row],[Proyectos]],#REF!,Planning[[#This Row],[Tipo de Tarea y especialidad]]),SUMIFS(#REF!,#REF!,Planning[[#This Row],[Proyectos]],#REF!,Planning[[#This Row],[Tipo de Tarea y especialidad]]))</f>
        <v>#REF!</v>
      </c>
      <c r="O176" s="19">
        <f t="shared" si="4"/>
        <v>10</v>
      </c>
      <c r="P176" s="19">
        <f t="shared" si="5"/>
        <v>2024</v>
      </c>
      <c r="Q176" s="19" t="e">
        <f>+SUMIFS(#REF!,#REF!,Planning[[#This Row],[Tarifa]],#REF!,Planning[[#This Row],[Proyectos]],#REF!,Planning[[#This Row],[Mes]],#REF!,Planning[[#This Row],[Año]])</f>
        <v>#REF!</v>
      </c>
      <c r="R176" s="19" t="str">
        <f>TEXT(Planning[[#This Row],[Mes]]*29,"mmmm")</f>
        <v>October</v>
      </c>
      <c r="S1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6" s="241"/>
      <c r="U176" s="43" t="e">
        <f>IF(Planning[[#This Row],[Horas Planificadas]]&lt;&gt;0,+K176/Planning[[#This Row],[Horas Planificadas]],0)</f>
        <v>#REF!</v>
      </c>
      <c r="V176" s="43" t="e">
        <f>IF(Planning[[#This Row],[Horas Planificadas]]&lt;&gt;0,Planning[[#This Row],[Horas utilizadas]]/Planning[[#This Row],[Horas Planificadas]],0)</f>
        <v>#REF!</v>
      </c>
      <c r="W176" s="44">
        <f>Planning[[#This Row],[Horas Planificadas]]+Planning[[#This Row],[Horas ajustadas adicionales]]</f>
        <v>320</v>
      </c>
      <c r="X176" s="142"/>
    </row>
    <row r="177" spans="1:24" ht="12.75" customHeight="1" x14ac:dyDescent="0.2">
      <c r="A177" s="7"/>
      <c r="B177" s="7"/>
      <c r="C177" s="3"/>
      <c r="D177" s="3" t="s">
        <v>74</v>
      </c>
      <c r="E177" s="33" t="s">
        <v>31</v>
      </c>
      <c r="F177" s="3"/>
      <c r="G177" s="7"/>
      <c r="H177" s="7">
        <v>320</v>
      </c>
      <c r="I177" s="12"/>
      <c r="J177" s="5" t="e">
        <f>+SUMIFS(#REF!,#REF!,Planning[[#This Row],[Tarifa]],#REF!,Planning[[#This Row],[Proyectos]])</f>
        <v>#REF!</v>
      </c>
      <c r="K177" s="5" t="e">
        <f>Planning[[#This Row],[Horas Planificadas]]+Planning[[#This Row],[Horas ajustadas adicionales]]-Planning[[#This Row],[Horas utilizadas]]</f>
        <v>#REF!</v>
      </c>
      <c r="L177" s="7"/>
      <c r="M177" s="19" t="e">
        <f>Planning[[#This Row],[Saldo]]-Planning[[#This Row],[Saldo estimado]]</f>
        <v>#REF!</v>
      </c>
      <c r="N177" s="60" t="e">
        <f>SUM(SUMIFS(#REF!,#REF!,Planning[[#This Row],[Proyectos]],#REF!,Planning[[#This Row],[Tipo de Tarea y especialidad]]),SUMIFS(#REF!,#REF!,Planning[[#This Row],[Proyectos]],#REF!,Planning[[#This Row],[Tipo de Tarea y especialidad]]))</f>
        <v>#REF!</v>
      </c>
      <c r="O177" s="19">
        <f t="shared" si="4"/>
        <v>10</v>
      </c>
      <c r="P177" s="19">
        <f t="shared" si="5"/>
        <v>2024</v>
      </c>
      <c r="Q177" s="19" t="e">
        <f>+SUMIFS(#REF!,#REF!,Planning[[#This Row],[Tarifa]],#REF!,Planning[[#This Row],[Proyectos]],#REF!,Planning[[#This Row],[Mes]],#REF!,Planning[[#This Row],[Año]])</f>
        <v>#REF!</v>
      </c>
      <c r="R177" s="19" t="str">
        <f>TEXT(Planning[[#This Row],[Mes]]*29,"mmmm")</f>
        <v>October</v>
      </c>
      <c r="S1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7" s="241"/>
      <c r="U177" s="43" t="e">
        <f>IF(Planning[[#This Row],[Horas Planificadas]]&lt;&gt;0,+K177/Planning[[#This Row],[Horas Planificadas]],0)</f>
        <v>#REF!</v>
      </c>
      <c r="V177" s="43" t="e">
        <f>IF(Planning[[#This Row],[Horas Planificadas]]&lt;&gt;0,Planning[[#This Row],[Horas utilizadas]]/Planning[[#This Row],[Horas Planificadas]],0)</f>
        <v>#REF!</v>
      </c>
      <c r="W177" s="44">
        <f>Planning[[#This Row],[Horas Planificadas]]+Planning[[#This Row],[Horas ajustadas adicionales]]</f>
        <v>320</v>
      </c>
      <c r="X177" s="142"/>
    </row>
    <row r="178" spans="1:24" ht="12.75" customHeight="1" x14ac:dyDescent="0.2">
      <c r="A178" s="7"/>
      <c r="B178" s="7"/>
      <c r="C178" s="3"/>
      <c r="D178" s="3" t="s">
        <v>74</v>
      </c>
      <c r="E178" s="33" t="s">
        <v>32</v>
      </c>
      <c r="F178" s="3"/>
      <c r="G178" s="7"/>
      <c r="H178" s="7">
        <v>80</v>
      </c>
      <c r="I178" s="12"/>
      <c r="J178" s="5" t="e">
        <f>+SUMIFS(#REF!,#REF!,Planning[[#This Row],[Tarifa]],#REF!,Planning[[#This Row],[Proyectos]])</f>
        <v>#REF!</v>
      </c>
      <c r="K178" s="5" t="e">
        <f>Planning[[#This Row],[Horas Planificadas]]+Planning[[#This Row],[Horas ajustadas adicionales]]-Planning[[#This Row],[Horas utilizadas]]</f>
        <v>#REF!</v>
      </c>
      <c r="L178" s="7"/>
      <c r="M178" s="19" t="e">
        <f>Planning[[#This Row],[Saldo]]-Planning[[#This Row],[Saldo estimado]]</f>
        <v>#REF!</v>
      </c>
      <c r="N178" s="60" t="e">
        <f>SUM(SUMIFS(#REF!,#REF!,Planning[[#This Row],[Proyectos]],#REF!,Planning[[#This Row],[Tipo de Tarea y especialidad]]),SUMIFS(#REF!,#REF!,Planning[[#This Row],[Proyectos]],#REF!,Planning[[#This Row],[Tipo de Tarea y especialidad]]))</f>
        <v>#REF!</v>
      </c>
      <c r="O178" s="19">
        <f t="shared" si="4"/>
        <v>10</v>
      </c>
      <c r="P178" s="19">
        <f t="shared" si="5"/>
        <v>2024</v>
      </c>
      <c r="Q178" s="19" t="e">
        <f>+SUMIFS(#REF!,#REF!,Planning[[#This Row],[Tarifa]],#REF!,Planning[[#This Row],[Proyectos]],#REF!,Planning[[#This Row],[Mes]],#REF!,Planning[[#This Row],[Año]])</f>
        <v>#REF!</v>
      </c>
      <c r="R178" s="19" t="str">
        <f>TEXT(Planning[[#This Row],[Mes]]*29,"mmmm")</f>
        <v>October</v>
      </c>
      <c r="S1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8" s="241"/>
      <c r="U178" s="43" t="e">
        <f>IF(Planning[[#This Row],[Horas Planificadas]]&lt;&gt;0,+K178/Planning[[#This Row],[Horas Planificadas]],0)</f>
        <v>#REF!</v>
      </c>
      <c r="V178" s="43" t="e">
        <f>IF(Planning[[#This Row],[Horas Planificadas]]&lt;&gt;0,Planning[[#This Row],[Horas utilizadas]]/Planning[[#This Row],[Horas Planificadas]],0)</f>
        <v>#REF!</v>
      </c>
      <c r="W178" s="44">
        <f>Planning[[#This Row],[Horas Planificadas]]+Planning[[#This Row],[Horas ajustadas adicionales]]</f>
        <v>80</v>
      </c>
      <c r="X178" s="142"/>
    </row>
    <row r="179" spans="1:24" ht="12.75" customHeight="1" x14ac:dyDescent="0.2">
      <c r="A179" s="7"/>
      <c r="B179" s="7"/>
      <c r="C179" s="3"/>
      <c r="D179" s="3" t="s">
        <v>75</v>
      </c>
      <c r="E179" s="33" t="s">
        <v>28</v>
      </c>
      <c r="F179" s="3"/>
      <c r="G179" s="7"/>
      <c r="H179" s="7">
        <v>80</v>
      </c>
      <c r="I179" s="12"/>
      <c r="J179" s="5" t="e">
        <f>+SUMIFS(#REF!,#REF!,Planning[[#This Row],[Tarifa]],#REF!,Planning[[#This Row],[Proyectos]])</f>
        <v>#REF!</v>
      </c>
      <c r="K179" s="5" t="e">
        <f>Planning[[#This Row],[Horas Planificadas]]+Planning[[#This Row],[Horas ajustadas adicionales]]-Planning[[#This Row],[Horas utilizadas]]</f>
        <v>#REF!</v>
      </c>
      <c r="L179" s="7"/>
      <c r="M179" s="19" t="e">
        <f>Planning[[#This Row],[Saldo]]-Planning[[#This Row],[Saldo estimado]]</f>
        <v>#REF!</v>
      </c>
      <c r="N179" s="60" t="e">
        <f>SUM(SUMIFS(#REF!,#REF!,Planning[[#This Row],[Proyectos]],#REF!,Planning[[#This Row],[Tipo de Tarea y especialidad]]),SUMIFS(#REF!,#REF!,Planning[[#This Row],[Proyectos]],#REF!,Planning[[#This Row],[Tipo de Tarea y especialidad]]))</f>
        <v>#REF!</v>
      </c>
      <c r="O179" s="19">
        <f t="shared" si="4"/>
        <v>10</v>
      </c>
      <c r="P179" s="19">
        <f t="shared" si="5"/>
        <v>2024</v>
      </c>
      <c r="Q179" s="19" t="e">
        <f>+SUMIFS(#REF!,#REF!,Planning[[#This Row],[Tarifa]],#REF!,Planning[[#This Row],[Proyectos]],#REF!,Planning[[#This Row],[Mes]],#REF!,Planning[[#This Row],[Año]])</f>
        <v>#REF!</v>
      </c>
      <c r="R179" s="19" t="str">
        <f>TEXT(Planning[[#This Row],[Mes]]*29,"mmmm")</f>
        <v>October</v>
      </c>
      <c r="S1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9" s="241"/>
      <c r="U179" s="43" t="e">
        <f>IF(Planning[[#This Row],[Horas Planificadas]]&lt;&gt;0,+K179/Planning[[#This Row],[Horas Planificadas]],0)</f>
        <v>#REF!</v>
      </c>
      <c r="V179" s="43" t="e">
        <f>IF(Planning[[#This Row],[Horas Planificadas]]&lt;&gt;0,Planning[[#This Row],[Horas utilizadas]]/Planning[[#This Row],[Horas Planificadas]],0)</f>
        <v>#REF!</v>
      </c>
      <c r="W179" s="44">
        <f>Planning[[#This Row],[Horas Planificadas]]+Planning[[#This Row],[Horas ajustadas adicionales]]</f>
        <v>80</v>
      </c>
      <c r="X179" s="142"/>
    </row>
    <row r="180" spans="1:24" ht="12.75" customHeight="1" x14ac:dyDescent="0.2">
      <c r="A180" s="7"/>
      <c r="B180" s="7"/>
      <c r="C180" s="3"/>
      <c r="D180" s="3" t="s">
        <v>75</v>
      </c>
      <c r="E180" s="33" t="s">
        <v>30</v>
      </c>
      <c r="F180" s="3"/>
      <c r="G180" s="7"/>
      <c r="H180" s="7">
        <v>160</v>
      </c>
      <c r="I180" s="12"/>
      <c r="J180" s="5" t="e">
        <f>+SUMIFS(#REF!,#REF!,Planning[[#This Row],[Tarifa]],#REF!,Planning[[#This Row],[Proyectos]])</f>
        <v>#REF!</v>
      </c>
      <c r="K180" s="5" t="e">
        <f>Planning[[#This Row],[Horas Planificadas]]+Planning[[#This Row],[Horas ajustadas adicionales]]-Planning[[#This Row],[Horas utilizadas]]</f>
        <v>#REF!</v>
      </c>
      <c r="L180" s="7"/>
      <c r="M180" s="19" t="e">
        <f>Planning[[#This Row],[Saldo]]-Planning[[#This Row],[Saldo estimado]]</f>
        <v>#REF!</v>
      </c>
      <c r="N180" s="60" t="e">
        <f>SUM(SUMIFS(#REF!,#REF!,Planning[[#This Row],[Proyectos]],#REF!,Planning[[#This Row],[Tipo de Tarea y especialidad]]),SUMIFS(#REF!,#REF!,Planning[[#This Row],[Proyectos]],#REF!,Planning[[#This Row],[Tipo de Tarea y especialidad]]))</f>
        <v>#REF!</v>
      </c>
      <c r="O180" s="19">
        <f t="shared" si="4"/>
        <v>10</v>
      </c>
      <c r="P180" s="19">
        <f t="shared" si="5"/>
        <v>2024</v>
      </c>
      <c r="Q180" s="19" t="e">
        <f>+SUMIFS(#REF!,#REF!,Planning[[#This Row],[Tarifa]],#REF!,Planning[[#This Row],[Proyectos]],#REF!,Planning[[#This Row],[Mes]],#REF!,Planning[[#This Row],[Año]])</f>
        <v>#REF!</v>
      </c>
      <c r="R180" s="19" t="str">
        <f>TEXT(Planning[[#This Row],[Mes]]*29,"mmmm")</f>
        <v>October</v>
      </c>
      <c r="S1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0" s="241"/>
      <c r="U180" s="43" t="e">
        <f>IF(Planning[[#This Row],[Horas Planificadas]]&lt;&gt;0,+K180/Planning[[#This Row],[Horas Planificadas]],0)</f>
        <v>#REF!</v>
      </c>
      <c r="V180" s="43" t="e">
        <f>IF(Planning[[#This Row],[Horas Planificadas]]&lt;&gt;0,Planning[[#This Row],[Horas utilizadas]]/Planning[[#This Row],[Horas Planificadas]],0)</f>
        <v>#REF!</v>
      </c>
      <c r="W180" s="44">
        <f>Planning[[#This Row],[Horas Planificadas]]+Planning[[#This Row],[Horas ajustadas adicionales]]</f>
        <v>160</v>
      </c>
      <c r="X180" s="142"/>
    </row>
    <row r="181" spans="1:24" ht="12.75" customHeight="1" x14ac:dyDescent="0.2">
      <c r="A181" s="7"/>
      <c r="B181" s="7"/>
      <c r="C181" s="3"/>
      <c r="D181" s="3" t="s">
        <v>75</v>
      </c>
      <c r="E181" s="33" t="s">
        <v>31</v>
      </c>
      <c r="F181" s="3"/>
      <c r="G181" s="7"/>
      <c r="H181" s="7">
        <v>160</v>
      </c>
      <c r="I181" s="12"/>
      <c r="J181" s="5" t="e">
        <f>+SUMIFS(#REF!,#REF!,Planning[[#This Row],[Tarifa]],#REF!,Planning[[#This Row],[Proyectos]])</f>
        <v>#REF!</v>
      </c>
      <c r="K181" s="5" t="e">
        <f>Planning[[#This Row],[Horas Planificadas]]+Planning[[#This Row],[Horas ajustadas adicionales]]-Planning[[#This Row],[Horas utilizadas]]</f>
        <v>#REF!</v>
      </c>
      <c r="L181" s="7"/>
      <c r="M181" s="19" t="e">
        <f>Planning[[#This Row],[Saldo]]-Planning[[#This Row],[Saldo estimado]]</f>
        <v>#REF!</v>
      </c>
      <c r="N181" s="60" t="e">
        <f>SUM(SUMIFS(#REF!,#REF!,Planning[[#This Row],[Proyectos]],#REF!,Planning[[#This Row],[Tipo de Tarea y especialidad]]),SUMIFS(#REF!,#REF!,Planning[[#This Row],[Proyectos]],#REF!,Planning[[#This Row],[Tipo de Tarea y especialidad]]))</f>
        <v>#REF!</v>
      </c>
      <c r="O181" s="19">
        <f t="shared" si="4"/>
        <v>10</v>
      </c>
      <c r="P181" s="19">
        <f t="shared" si="5"/>
        <v>2024</v>
      </c>
      <c r="Q181" s="19" t="e">
        <f>+SUMIFS(#REF!,#REF!,Planning[[#This Row],[Tarifa]],#REF!,Planning[[#This Row],[Proyectos]],#REF!,Planning[[#This Row],[Mes]],#REF!,Planning[[#This Row],[Año]])</f>
        <v>#REF!</v>
      </c>
      <c r="R181" s="19" t="str">
        <f>TEXT(Planning[[#This Row],[Mes]]*29,"mmmm")</f>
        <v>October</v>
      </c>
      <c r="S1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1" s="241"/>
      <c r="U181" s="43" t="e">
        <f>IF(Planning[[#This Row],[Horas Planificadas]]&lt;&gt;0,+K181/Planning[[#This Row],[Horas Planificadas]],0)</f>
        <v>#REF!</v>
      </c>
      <c r="V181" s="43" t="e">
        <f>IF(Planning[[#This Row],[Horas Planificadas]]&lt;&gt;0,Planning[[#This Row],[Horas utilizadas]]/Planning[[#This Row],[Horas Planificadas]],0)</f>
        <v>#REF!</v>
      </c>
      <c r="W181" s="44">
        <f>Planning[[#This Row],[Horas Planificadas]]+Planning[[#This Row],[Horas ajustadas adicionales]]</f>
        <v>160</v>
      </c>
      <c r="X181" s="142"/>
    </row>
    <row r="182" spans="1:24" ht="12.75" customHeight="1" x14ac:dyDescent="0.2">
      <c r="A182" s="7"/>
      <c r="B182" s="7"/>
      <c r="C182" s="3"/>
      <c r="D182" s="3" t="s">
        <v>75</v>
      </c>
      <c r="E182" s="33" t="s">
        <v>32</v>
      </c>
      <c r="F182" s="3"/>
      <c r="G182" s="7"/>
      <c r="H182" s="7">
        <v>40</v>
      </c>
      <c r="I182" s="12"/>
      <c r="J182" s="5" t="e">
        <f>+SUMIFS(#REF!,#REF!,Planning[[#This Row],[Tarifa]],#REF!,Planning[[#This Row],[Proyectos]])</f>
        <v>#REF!</v>
      </c>
      <c r="K182" s="5" t="e">
        <f>Planning[[#This Row],[Horas Planificadas]]+Planning[[#This Row],[Horas ajustadas adicionales]]-Planning[[#This Row],[Horas utilizadas]]</f>
        <v>#REF!</v>
      </c>
      <c r="L182" s="7"/>
      <c r="M182" s="19" t="e">
        <f>Planning[[#This Row],[Saldo]]-Planning[[#This Row],[Saldo estimado]]</f>
        <v>#REF!</v>
      </c>
      <c r="N182" s="60" t="e">
        <f>SUM(SUMIFS(#REF!,#REF!,Planning[[#This Row],[Proyectos]],#REF!,Planning[[#This Row],[Tipo de Tarea y especialidad]]),SUMIFS(#REF!,#REF!,Planning[[#This Row],[Proyectos]],#REF!,Planning[[#This Row],[Tipo de Tarea y especialidad]]))</f>
        <v>#REF!</v>
      </c>
      <c r="O182" s="19">
        <f t="shared" si="4"/>
        <v>10</v>
      </c>
      <c r="P182" s="19">
        <f t="shared" si="5"/>
        <v>2024</v>
      </c>
      <c r="Q182" s="19" t="e">
        <f>+SUMIFS(#REF!,#REF!,Planning[[#This Row],[Tarifa]],#REF!,Planning[[#This Row],[Proyectos]],#REF!,Planning[[#This Row],[Mes]],#REF!,Planning[[#This Row],[Año]])</f>
        <v>#REF!</v>
      </c>
      <c r="R182" s="19" t="str">
        <f>TEXT(Planning[[#This Row],[Mes]]*29,"mmmm")</f>
        <v>October</v>
      </c>
      <c r="S1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2" s="241"/>
      <c r="U182" s="43" t="e">
        <f>IF(Planning[[#This Row],[Horas Planificadas]]&lt;&gt;0,+K182/Planning[[#This Row],[Horas Planificadas]],0)</f>
        <v>#REF!</v>
      </c>
      <c r="V182" s="43" t="e">
        <f>IF(Planning[[#This Row],[Horas Planificadas]]&lt;&gt;0,Planning[[#This Row],[Horas utilizadas]]/Planning[[#This Row],[Horas Planificadas]],0)</f>
        <v>#REF!</v>
      </c>
      <c r="W182" s="44">
        <f>Planning[[#This Row],[Horas Planificadas]]+Planning[[#This Row],[Horas ajustadas adicionales]]</f>
        <v>40</v>
      </c>
      <c r="X182" s="142"/>
    </row>
    <row r="183" spans="1:24" ht="12.75" customHeight="1" x14ac:dyDescent="0.2">
      <c r="A183" s="7"/>
      <c r="B183" s="7"/>
      <c r="C183" s="3"/>
      <c r="D183" s="3" t="s">
        <v>76</v>
      </c>
      <c r="E183" s="33" t="s">
        <v>28</v>
      </c>
      <c r="F183" s="3"/>
      <c r="G183" s="7"/>
      <c r="H183" s="7">
        <v>420</v>
      </c>
      <c r="I183" s="12"/>
      <c r="J183" s="5" t="e">
        <f>+SUMIFS(#REF!,#REF!,Planning[[#This Row],[Tarifa]],#REF!,Planning[[#This Row],[Proyectos]])</f>
        <v>#REF!</v>
      </c>
      <c r="K183" s="5" t="e">
        <f>Planning[[#This Row],[Horas Planificadas]]+Planning[[#This Row],[Horas ajustadas adicionales]]-Planning[[#This Row],[Horas utilizadas]]</f>
        <v>#REF!</v>
      </c>
      <c r="L183" s="7"/>
      <c r="M183" s="19" t="e">
        <f>Planning[[#This Row],[Saldo]]-Planning[[#This Row],[Saldo estimado]]</f>
        <v>#REF!</v>
      </c>
      <c r="N183" s="60" t="e">
        <f>SUM(SUMIFS(#REF!,#REF!,Planning[[#This Row],[Proyectos]],#REF!,Planning[[#This Row],[Tipo de Tarea y especialidad]]),SUMIFS(#REF!,#REF!,Planning[[#This Row],[Proyectos]],#REF!,Planning[[#This Row],[Tipo de Tarea y especialidad]]))</f>
        <v>#REF!</v>
      </c>
      <c r="O183" s="19">
        <f t="shared" si="4"/>
        <v>10</v>
      </c>
      <c r="P183" s="19">
        <f t="shared" si="5"/>
        <v>2024</v>
      </c>
      <c r="Q183" s="19" t="e">
        <f>+SUMIFS(#REF!,#REF!,Planning[[#This Row],[Tarifa]],#REF!,Planning[[#This Row],[Proyectos]],#REF!,Planning[[#This Row],[Mes]],#REF!,Planning[[#This Row],[Año]])</f>
        <v>#REF!</v>
      </c>
      <c r="R183" s="19" t="str">
        <f>TEXT(Planning[[#This Row],[Mes]]*29,"mmmm")</f>
        <v>October</v>
      </c>
      <c r="S1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3" s="241"/>
      <c r="U183" s="43" t="e">
        <f>IF(Planning[[#This Row],[Horas Planificadas]]&lt;&gt;0,+K183/Planning[[#This Row],[Horas Planificadas]],0)</f>
        <v>#REF!</v>
      </c>
      <c r="V183" s="43" t="e">
        <f>IF(Planning[[#This Row],[Horas Planificadas]]&lt;&gt;0,Planning[[#This Row],[Horas utilizadas]]/Planning[[#This Row],[Horas Planificadas]],0)</f>
        <v>#REF!</v>
      </c>
      <c r="W183" s="44">
        <f>Planning[[#This Row],[Horas Planificadas]]+Planning[[#This Row],[Horas ajustadas adicionales]]</f>
        <v>420</v>
      </c>
      <c r="X183" s="142"/>
    </row>
    <row r="184" spans="1:24" ht="12.75" customHeight="1" x14ac:dyDescent="0.2">
      <c r="A184" s="7"/>
      <c r="B184" s="7"/>
      <c r="C184" s="3"/>
      <c r="D184" s="3" t="s">
        <v>76</v>
      </c>
      <c r="E184" s="33" t="s">
        <v>30</v>
      </c>
      <c r="F184" s="3"/>
      <c r="G184" s="7"/>
      <c r="H184" s="7">
        <v>440</v>
      </c>
      <c r="I184" s="12"/>
      <c r="J184" s="5" t="e">
        <f>+SUMIFS(#REF!,#REF!,Planning[[#This Row],[Tarifa]],#REF!,Planning[[#This Row],[Proyectos]])</f>
        <v>#REF!</v>
      </c>
      <c r="K184" s="5" t="e">
        <f>Planning[[#This Row],[Horas Planificadas]]+Planning[[#This Row],[Horas ajustadas adicionales]]-Planning[[#This Row],[Horas utilizadas]]</f>
        <v>#REF!</v>
      </c>
      <c r="L184" s="7"/>
      <c r="M184" s="19" t="e">
        <f>Planning[[#This Row],[Saldo]]-Planning[[#This Row],[Saldo estimado]]</f>
        <v>#REF!</v>
      </c>
      <c r="N184" s="60" t="e">
        <f>SUM(SUMIFS(#REF!,#REF!,Planning[[#This Row],[Proyectos]],#REF!,Planning[[#This Row],[Tipo de Tarea y especialidad]]),SUMIFS(#REF!,#REF!,Planning[[#This Row],[Proyectos]],#REF!,Planning[[#This Row],[Tipo de Tarea y especialidad]]))</f>
        <v>#REF!</v>
      </c>
      <c r="O184" s="19">
        <f t="shared" si="4"/>
        <v>10</v>
      </c>
      <c r="P184" s="19">
        <f t="shared" si="5"/>
        <v>2024</v>
      </c>
      <c r="Q184" s="19" t="e">
        <f>+SUMIFS(#REF!,#REF!,Planning[[#This Row],[Tarifa]],#REF!,Planning[[#This Row],[Proyectos]],#REF!,Planning[[#This Row],[Mes]],#REF!,Planning[[#This Row],[Año]])</f>
        <v>#REF!</v>
      </c>
      <c r="R184" s="19" t="str">
        <f>TEXT(Planning[[#This Row],[Mes]]*29,"mmmm")</f>
        <v>October</v>
      </c>
      <c r="S1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4" s="241"/>
      <c r="U184" s="43" t="e">
        <f>IF(Planning[[#This Row],[Horas Planificadas]]&lt;&gt;0,+K184/Planning[[#This Row],[Horas Planificadas]],0)</f>
        <v>#REF!</v>
      </c>
      <c r="V184" s="43" t="e">
        <f>IF(Planning[[#This Row],[Horas Planificadas]]&lt;&gt;0,Planning[[#This Row],[Horas utilizadas]]/Planning[[#This Row],[Horas Planificadas]],0)</f>
        <v>#REF!</v>
      </c>
      <c r="W184" s="44">
        <f>Planning[[#This Row],[Horas Planificadas]]+Planning[[#This Row],[Horas ajustadas adicionales]]</f>
        <v>440</v>
      </c>
      <c r="X184" s="142"/>
    </row>
    <row r="185" spans="1:24" ht="12.75" customHeight="1" x14ac:dyDescent="0.2">
      <c r="A185" s="7"/>
      <c r="B185" s="7"/>
      <c r="C185" s="3"/>
      <c r="D185" s="3" t="s">
        <v>76</v>
      </c>
      <c r="E185" s="33" t="s">
        <v>31</v>
      </c>
      <c r="F185" s="3"/>
      <c r="G185" s="7"/>
      <c r="H185" s="7">
        <v>400</v>
      </c>
      <c r="I185" s="12"/>
      <c r="J185" s="5" t="e">
        <f>+SUMIFS(#REF!,#REF!,Planning[[#This Row],[Tarifa]],#REF!,Planning[[#This Row],[Proyectos]])</f>
        <v>#REF!</v>
      </c>
      <c r="K185" s="5" t="e">
        <f>Planning[[#This Row],[Horas Planificadas]]+Planning[[#This Row],[Horas ajustadas adicionales]]-Planning[[#This Row],[Horas utilizadas]]</f>
        <v>#REF!</v>
      </c>
      <c r="L185" s="7"/>
      <c r="M185" s="19" t="e">
        <f>Planning[[#This Row],[Saldo]]-Planning[[#This Row],[Saldo estimado]]</f>
        <v>#REF!</v>
      </c>
      <c r="N185" s="60" t="e">
        <f>SUM(SUMIFS(#REF!,#REF!,Planning[[#This Row],[Proyectos]],#REF!,Planning[[#This Row],[Tipo de Tarea y especialidad]]),SUMIFS(#REF!,#REF!,Planning[[#This Row],[Proyectos]],#REF!,Planning[[#This Row],[Tipo de Tarea y especialidad]]))</f>
        <v>#REF!</v>
      </c>
      <c r="O185" s="19">
        <f t="shared" si="4"/>
        <v>10</v>
      </c>
      <c r="P185" s="19">
        <f t="shared" si="5"/>
        <v>2024</v>
      </c>
      <c r="Q185" s="19" t="e">
        <f>+SUMIFS(#REF!,#REF!,Planning[[#This Row],[Tarifa]],#REF!,Planning[[#This Row],[Proyectos]],#REF!,Planning[[#This Row],[Mes]],#REF!,Planning[[#This Row],[Año]])</f>
        <v>#REF!</v>
      </c>
      <c r="R185" s="19" t="str">
        <f>TEXT(Planning[[#This Row],[Mes]]*29,"mmmm")</f>
        <v>October</v>
      </c>
      <c r="S1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5" s="241"/>
      <c r="U185" s="43" t="e">
        <f>IF(Planning[[#This Row],[Horas Planificadas]]&lt;&gt;0,+K185/Planning[[#This Row],[Horas Planificadas]],0)</f>
        <v>#REF!</v>
      </c>
      <c r="V185" s="43" t="e">
        <f>IF(Planning[[#This Row],[Horas Planificadas]]&lt;&gt;0,Planning[[#This Row],[Horas utilizadas]]/Planning[[#This Row],[Horas Planificadas]],0)</f>
        <v>#REF!</v>
      </c>
      <c r="W185" s="44">
        <f>Planning[[#This Row],[Horas Planificadas]]+Planning[[#This Row],[Horas ajustadas adicionales]]</f>
        <v>400</v>
      </c>
      <c r="X185" s="142"/>
    </row>
    <row r="186" spans="1:24" ht="12.75" customHeight="1" x14ac:dyDescent="0.2">
      <c r="A186" s="7"/>
      <c r="B186" s="7"/>
      <c r="C186" s="3"/>
      <c r="D186" s="3" t="s">
        <v>76</v>
      </c>
      <c r="E186" s="33" t="s">
        <v>32</v>
      </c>
      <c r="F186" s="3"/>
      <c r="G186" s="7"/>
      <c r="H186" s="7">
        <v>480</v>
      </c>
      <c r="I186" s="12"/>
      <c r="J186" s="5" t="e">
        <f>+SUMIFS(#REF!,#REF!,Planning[[#This Row],[Tarifa]],#REF!,Planning[[#This Row],[Proyectos]])</f>
        <v>#REF!</v>
      </c>
      <c r="K186" s="5" t="e">
        <f>Planning[[#This Row],[Horas Planificadas]]+Planning[[#This Row],[Horas ajustadas adicionales]]-Planning[[#This Row],[Horas utilizadas]]</f>
        <v>#REF!</v>
      </c>
      <c r="L186" s="7"/>
      <c r="M186" s="19" t="e">
        <f>Planning[[#This Row],[Saldo]]-Planning[[#This Row],[Saldo estimado]]</f>
        <v>#REF!</v>
      </c>
      <c r="N186" s="60" t="e">
        <f>SUM(SUMIFS(#REF!,#REF!,Planning[[#This Row],[Proyectos]],#REF!,Planning[[#This Row],[Tipo de Tarea y especialidad]]),SUMIFS(#REF!,#REF!,Planning[[#This Row],[Proyectos]],#REF!,Planning[[#This Row],[Tipo de Tarea y especialidad]]))</f>
        <v>#REF!</v>
      </c>
      <c r="O186" s="19">
        <f t="shared" si="4"/>
        <v>10</v>
      </c>
      <c r="P186" s="19">
        <f t="shared" si="5"/>
        <v>2024</v>
      </c>
      <c r="Q186" s="19" t="e">
        <f>+SUMIFS(#REF!,#REF!,Planning[[#This Row],[Tarifa]],#REF!,Planning[[#This Row],[Proyectos]],#REF!,Planning[[#This Row],[Mes]],#REF!,Planning[[#This Row],[Año]])</f>
        <v>#REF!</v>
      </c>
      <c r="R186" s="19" t="str">
        <f>TEXT(Planning[[#This Row],[Mes]]*29,"mmmm")</f>
        <v>October</v>
      </c>
      <c r="S1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6" s="241"/>
      <c r="U186" s="43" t="e">
        <f>IF(Planning[[#This Row],[Horas Planificadas]]&lt;&gt;0,+K186/Planning[[#This Row],[Horas Planificadas]],0)</f>
        <v>#REF!</v>
      </c>
      <c r="V186" s="43" t="e">
        <f>IF(Planning[[#This Row],[Horas Planificadas]]&lt;&gt;0,Planning[[#This Row],[Horas utilizadas]]/Planning[[#This Row],[Horas Planificadas]],0)</f>
        <v>#REF!</v>
      </c>
      <c r="W186" s="44">
        <f>Planning[[#This Row],[Horas Planificadas]]+Planning[[#This Row],[Horas ajustadas adicionales]]</f>
        <v>480</v>
      </c>
      <c r="X186" s="142"/>
    </row>
    <row r="187" spans="1:24" ht="12.75" customHeight="1" x14ac:dyDescent="0.2">
      <c r="A187" s="7"/>
      <c r="B187" s="7"/>
      <c r="C187" s="3"/>
      <c r="D187" s="3" t="s">
        <v>77</v>
      </c>
      <c r="E187" s="33" t="s">
        <v>28</v>
      </c>
      <c r="F187" s="3"/>
      <c r="G187" s="7"/>
      <c r="H187" s="7">
        <v>40</v>
      </c>
      <c r="I187" s="12"/>
      <c r="J187" s="5" t="e">
        <f>+SUMIFS(#REF!,#REF!,Planning[[#This Row],[Tarifa]],#REF!,Planning[[#This Row],[Proyectos]])</f>
        <v>#REF!</v>
      </c>
      <c r="K187" s="5" t="e">
        <f>Planning[[#This Row],[Horas Planificadas]]+Planning[[#This Row],[Horas ajustadas adicionales]]-Planning[[#This Row],[Horas utilizadas]]</f>
        <v>#REF!</v>
      </c>
      <c r="L187" s="7"/>
      <c r="M187" s="19" t="e">
        <f>Planning[[#This Row],[Saldo]]-Planning[[#This Row],[Saldo estimado]]</f>
        <v>#REF!</v>
      </c>
      <c r="N187" s="60" t="e">
        <f>SUM(SUMIFS(#REF!,#REF!,Planning[[#This Row],[Proyectos]],#REF!,Planning[[#This Row],[Tipo de Tarea y especialidad]]),SUMIFS(#REF!,#REF!,Planning[[#This Row],[Proyectos]],#REF!,Planning[[#This Row],[Tipo de Tarea y especialidad]]))</f>
        <v>#REF!</v>
      </c>
      <c r="O187" s="19">
        <f t="shared" si="4"/>
        <v>10</v>
      </c>
      <c r="P187" s="19">
        <f t="shared" si="5"/>
        <v>2024</v>
      </c>
      <c r="Q187" s="19" t="e">
        <f>+SUMIFS(#REF!,#REF!,Planning[[#This Row],[Tarifa]],#REF!,Planning[[#This Row],[Proyectos]],#REF!,Planning[[#This Row],[Mes]],#REF!,Planning[[#This Row],[Año]])</f>
        <v>#REF!</v>
      </c>
      <c r="R187" s="19" t="str">
        <f>TEXT(Planning[[#This Row],[Mes]]*29,"mmmm")</f>
        <v>October</v>
      </c>
      <c r="S1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7" s="241"/>
      <c r="U187" s="43" t="e">
        <f>IF(Planning[[#This Row],[Horas Planificadas]]&lt;&gt;0,+K187/Planning[[#This Row],[Horas Planificadas]],0)</f>
        <v>#REF!</v>
      </c>
      <c r="V187" s="43" t="e">
        <f>IF(Planning[[#This Row],[Horas Planificadas]]&lt;&gt;0,Planning[[#This Row],[Horas utilizadas]]/Planning[[#This Row],[Horas Planificadas]],0)</f>
        <v>#REF!</v>
      </c>
      <c r="W187" s="44">
        <f>Planning[[#This Row],[Horas Planificadas]]+Planning[[#This Row],[Horas ajustadas adicionales]]</f>
        <v>40</v>
      </c>
      <c r="X187" s="142"/>
    </row>
    <row r="188" spans="1:24" ht="12.75" customHeight="1" x14ac:dyDescent="0.2">
      <c r="A188" s="7"/>
      <c r="B188" s="7"/>
      <c r="C188" s="3"/>
      <c r="D188" s="3" t="s">
        <v>77</v>
      </c>
      <c r="E188" s="33" t="s">
        <v>30</v>
      </c>
      <c r="F188" s="3"/>
      <c r="G188" s="7"/>
      <c r="H188" s="7">
        <v>80</v>
      </c>
      <c r="I188" s="12"/>
      <c r="J188" s="5" t="e">
        <f>+SUMIFS(#REF!,#REF!,Planning[[#This Row],[Tarifa]],#REF!,Planning[[#This Row],[Proyectos]])</f>
        <v>#REF!</v>
      </c>
      <c r="K188" s="5" t="e">
        <f>Planning[[#This Row],[Horas Planificadas]]+Planning[[#This Row],[Horas ajustadas adicionales]]-Planning[[#This Row],[Horas utilizadas]]</f>
        <v>#REF!</v>
      </c>
      <c r="L188" s="7"/>
      <c r="M188" s="19" t="e">
        <f>Planning[[#This Row],[Saldo]]-Planning[[#This Row],[Saldo estimado]]</f>
        <v>#REF!</v>
      </c>
      <c r="N188" s="60" t="e">
        <f>SUM(SUMIFS(#REF!,#REF!,Planning[[#This Row],[Proyectos]],#REF!,Planning[[#This Row],[Tipo de Tarea y especialidad]]),SUMIFS(#REF!,#REF!,Planning[[#This Row],[Proyectos]],#REF!,Planning[[#This Row],[Tipo de Tarea y especialidad]]))</f>
        <v>#REF!</v>
      </c>
      <c r="O188" s="19">
        <f t="shared" si="4"/>
        <v>10</v>
      </c>
      <c r="P188" s="19">
        <f t="shared" si="5"/>
        <v>2024</v>
      </c>
      <c r="Q188" s="19" t="e">
        <f>+SUMIFS(#REF!,#REF!,Planning[[#This Row],[Tarifa]],#REF!,Planning[[#This Row],[Proyectos]],#REF!,Planning[[#This Row],[Mes]],#REF!,Planning[[#This Row],[Año]])</f>
        <v>#REF!</v>
      </c>
      <c r="R188" s="19" t="str">
        <f>TEXT(Planning[[#This Row],[Mes]]*29,"mmmm")</f>
        <v>October</v>
      </c>
      <c r="S1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8" s="241"/>
      <c r="U188" s="43" t="e">
        <f>IF(Planning[[#This Row],[Horas Planificadas]]&lt;&gt;0,+K188/Planning[[#This Row],[Horas Planificadas]],0)</f>
        <v>#REF!</v>
      </c>
      <c r="V188" s="43" t="e">
        <f>IF(Planning[[#This Row],[Horas Planificadas]]&lt;&gt;0,Planning[[#This Row],[Horas utilizadas]]/Planning[[#This Row],[Horas Planificadas]],0)</f>
        <v>#REF!</v>
      </c>
      <c r="W188" s="44">
        <f>Planning[[#This Row],[Horas Planificadas]]+Planning[[#This Row],[Horas ajustadas adicionales]]</f>
        <v>80</v>
      </c>
      <c r="X188" s="142"/>
    </row>
    <row r="189" spans="1:24" ht="12.75" customHeight="1" x14ac:dyDescent="0.2">
      <c r="A189" s="7"/>
      <c r="B189" s="7"/>
      <c r="C189" s="3"/>
      <c r="D189" s="3" t="s">
        <v>77</v>
      </c>
      <c r="E189" s="33" t="s">
        <v>31</v>
      </c>
      <c r="F189" s="3"/>
      <c r="G189" s="7"/>
      <c r="H189" s="7">
        <v>60</v>
      </c>
      <c r="I189" s="12"/>
      <c r="J189" s="5" t="e">
        <f>+SUMIFS(#REF!,#REF!,Planning[[#This Row],[Tarifa]],#REF!,Planning[[#This Row],[Proyectos]])</f>
        <v>#REF!</v>
      </c>
      <c r="K189" s="5" t="e">
        <f>Planning[[#This Row],[Horas Planificadas]]+Planning[[#This Row],[Horas ajustadas adicionales]]-Planning[[#This Row],[Horas utilizadas]]</f>
        <v>#REF!</v>
      </c>
      <c r="L189" s="7"/>
      <c r="M189" s="19" t="e">
        <f>Planning[[#This Row],[Saldo]]-Planning[[#This Row],[Saldo estimado]]</f>
        <v>#REF!</v>
      </c>
      <c r="N189" s="60" t="e">
        <f>SUM(SUMIFS(#REF!,#REF!,Planning[[#This Row],[Proyectos]],#REF!,Planning[[#This Row],[Tipo de Tarea y especialidad]]),SUMIFS(#REF!,#REF!,Planning[[#This Row],[Proyectos]],#REF!,Planning[[#This Row],[Tipo de Tarea y especialidad]]))</f>
        <v>#REF!</v>
      </c>
      <c r="O189" s="19">
        <f t="shared" si="4"/>
        <v>10</v>
      </c>
      <c r="P189" s="19">
        <f t="shared" si="5"/>
        <v>2024</v>
      </c>
      <c r="Q189" s="19" t="e">
        <f>+SUMIFS(#REF!,#REF!,Planning[[#This Row],[Tarifa]],#REF!,Planning[[#This Row],[Proyectos]],#REF!,Planning[[#This Row],[Mes]],#REF!,Planning[[#This Row],[Año]])</f>
        <v>#REF!</v>
      </c>
      <c r="R189" s="19" t="str">
        <f>TEXT(Planning[[#This Row],[Mes]]*29,"mmmm")</f>
        <v>October</v>
      </c>
      <c r="S1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9" s="241"/>
      <c r="U189" s="43" t="e">
        <f>IF(Planning[[#This Row],[Horas Planificadas]]&lt;&gt;0,+K189/Planning[[#This Row],[Horas Planificadas]],0)</f>
        <v>#REF!</v>
      </c>
      <c r="V189" s="43" t="e">
        <f>IF(Planning[[#This Row],[Horas Planificadas]]&lt;&gt;0,Planning[[#This Row],[Horas utilizadas]]/Planning[[#This Row],[Horas Planificadas]],0)</f>
        <v>#REF!</v>
      </c>
      <c r="W189" s="44">
        <f>Planning[[#This Row],[Horas Planificadas]]+Planning[[#This Row],[Horas ajustadas adicionales]]</f>
        <v>60</v>
      </c>
      <c r="X189" s="142"/>
    </row>
    <row r="190" spans="1:24" ht="12.75" customHeight="1" x14ac:dyDescent="0.2">
      <c r="A190" s="7"/>
      <c r="B190" s="7"/>
      <c r="C190" s="3"/>
      <c r="D190" s="3" t="s">
        <v>77</v>
      </c>
      <c r="E190" s="33" t="s">
        <v>32</v>
      </c>
      <c r="F190" s="3"/>
      <c r="G190" s="7"/>
      <c r="H190" s="7">
        <v>60</v>
      </c>
      <c r="I190" s="12"/>
      <c r="J190" s="5" t="e">
        <f>+SUMIFS(#REF!,#REF!,Planning[[#This Row],[Tarifa]],#REF!,Planning[[#This Row],[Proyectos]])</f>
        <v>#REF!</v>
      </c>
      <c r="K190" s="5" t="e">
        <f>Planning[[#This Row],[Horas Planificadas]]+Planning[[#This Row],[Horas ajustadas adicionales]]-Planning[[#This Row],[Horas utilizadas]]</f>
        <v>#REF!</v>
      </c>
      <c r="L190" s="7"/>
      <c r="M190" s="19" t="e">
        <f>Planning[[#This Row],[Saldo]]-Planning[[#This Row],[Saldo estimado]]</f>
        <v>#REF!</v>
      </c>
      <c r="N190" s="60" t="e">
        <f>SUM(SUMIFS(#REF!,#REF!,Planning[[#This Row],[Proyectos]],#REF!,Planning[[#This Row],[Tipo de Tarea y especialidad]]),SUMIFS(#REF!,#REF!,Planning[[#This Row],[Proyectos]],#REF!,Planning[[#This Row],[Tipo de Tarea y especialidad]]))</f>
        <v>#REF!</v>
      </c>
      <c r="O190" s="19">
        <f t="shared" si="4"/>
        <v>10</v>
      </c>
      <c r="P190" s="19">
        <f t="shared" si="5"/>
        <v>2024</v>
      </c>
      <c r="Q190" s="19" t="e">
        <f>+SUMIFS(#REF!,#REF!,Planning[[#This Row],[Tarifa]],#REF!,Planning[[#This Row],[Proyectos]],#REF!,Planning[[#This Row],[Mes]],#REF!,Planning[[#This Row],[Año]])</f>
        <v>#REF!</v>
      </c>
      <c r="R190" s="19" t="str">
        <f>TEXT(Planning[[#This Row],[Mes]]*29,"mmmm")</f>
        <v>October</v>
      </c>
      <c r="S1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0" s="241"/>
      <c r="U190" s="43" t="e">
        <f>IF(Planning[[#This Row],[Horas Planificadas]]&lt;&gt;0,+K190/Planning[[#This Row],[Horas Planificadas]],0)</f>
        <v>#REF!</v>
      </c>
      <c r="V190" s="43" t="e">
        <f>IF(Planning[[#This Row],[Horas Planificadas]]&lt;&gt;0,Planning[[#This Row],[Horas utilizadas]]/Planning[[#This Row],[Horas Planificadas]],0)</f>
        <v>#REF!</v>
      </c>
      <c r="W190" s="44">
        <f>Planning[[#This Row],[Horas Planificadas]]+Planning[[#This Row],[Horas ajustadas adicionales]]</f>
        <v>60</v>
      </c>
      <c r="X190" s="142"/>
    </row>
    <row r="191" spans="1:24" ht="12.75" customHeight="1" x14ac:dyDescent="0.2">
      <c r="A191" s="7"/>
      <c r="B191" s="7"/>
      <c r="C191" s="3"/>
      <c r="D191" s="3" t="s">
        <v>78</v>
      </c>
      <c r="E191" s="33" t="s">
        <v>28</v>
      </c>
      <c r="F191" s="3"/>
      <c r="G191" s="7"/>
      <c r="H191" s="7">
        <v>420</v>
      </c>
      <c r="I191" s="12"/>
      <c r="J191" s="5" t="e">
        <f>+SUMIFS(#REF!,#REF!,Planning[[#This Row],[Tarifa]],#REF!,Planning[[#This Row],[Proyectos]])</f>
        <v>#REF!</v>
      </c>
      <c r="K191" s="5" t="e">
        <f>Planning[[#This Row],[Horas Planificadas]]+Planning[[#This Row],[Horas ajustadas adicionales]]-Planning[[#This Row],[Horas utilizadas]]</f>
        <v>#REF!</v>
      </c>
      <c r="L191" s="7"/>
      <c r="M191" s="19" t="e">
        <f>Planning[[#This Row],[Saldo]]-Planning[[#This Row],[Saldo estimado]]</f>
        <v>#REF!</v>
      </c>
      <c r="N191" s="60" t="e">
        <f>SUM(SUMIFS(#REF!,#REF!,Planning[[#This Row],[Proyectos]],#REF!,Planning[[#This Row],[Tipo de Tarea y especialidad]]),SUMIFS(#REF!,#REF!,Planning[[#This Row],[Proyectos]],#REF!,Planning[[#This Row],[Tipo de Tarea y especialidad]]))</f>
        <v>#REF!</v>
      </c>
      <c r="O191" s="19">
        <f t="shared" si="4"/>
        <v>10</v>
      </c>
      <c r="P191" s="19">
        <f t="shared" si="5"/>
        <v>2024</v>
      </c>
      <c r="Q191" s="19" t="e">
        <f>+SUMIFS(#REF!,#REF!,Planning[[#This Row],[Tarifa]],#REF!,Planning[[#This Row],[Proyectos]],#REF!,Planning[[#This Row],[Mes]],#REF!,Planning[[#This Row],[Año]])</f>
        <v>#REF!</v>
      </c>
      <c r="R191" s="19" t="str">
        <f>TEXT(Planning[[#This Row],[Mes]]*29,"mmmm")</f>
        <v>October</v>
      </c>
      <c r="S1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1" s="241"/>
      <c r="U191" s="43" t="e">
        <f>IF(Planning[[#This Row],[Horas Planificadas]]&lt;&gt;0,+K191/Planning[[#This Row],[Horas Planificadas]],0)</f>
        <v>#REF!</v>
      </c>
      <c r="V191" s="43" t="e">
        <f>IF(Planning[[#This Row],[Horas Planificadas]]&lt;&gt;0,Planning[[#This Row],[Horas utilizadas]]/Planning[[#This Row],[Horas Planificadas]],0)</f>
        <v>#REF!</v>
      </c>
      <c r="W191" s="44">
        <f>Planning[[#This Row],[Horas Planificadas]]+Planning[[#This Row],[Horas ajustadas adicionales]]</f>
        <v>420</v>
      </c>
      <c r="X191" s="142"/>
    </row>
    <row r="192" spans="1:24" ht="12.75" customHeight="1" x14ac:dyDescent="0.2">
      <c r="A192" s="7"/>
      <c r="B192" s="7"/>
      <c r="C192" s="3"/>
      <c r="D192" s="3" t="s">
        <v>78</v>
      </c>
      <c r="E192" s="33" t="s">
        <v>30</v>
      </c>
      <c r="F192" s="3"/>
      <c r="G192" s="7"/>
      <c r="H192" s="7">
        <v>1152</v>
      </c>
      <c r="I192" s="12"/>
      <c r="J192" s="5" t="e">
        <f>+SUMIFS(#REF!,#REF!,Planning[[#This Row],[Tarifa]],#REF!,Planning[[#This Row],[Proyectos]])</f>
        <v>#REF!</v>
      </c>
      <c r="K192" s="5" t="e">
        <f>Planning[[#This Row],[Horas Planificadas]]+Planning[[#This Row],[Horas ajustadas adicionales]]-Planning[[#This Row],[Horas utilizadas]]</f>
        <v>#REF!</v>
      </c>
      <c r="L192" s="7"/>
      <c r="M192" s="19" t="e">
        <f>Planning[[#This Row],[Saldo]]-Planning[[#This Row],[Saldo estimado]]</f>
        <v>#REF!</v>
      </c>
      <c r="N192" s="60" t="e">
        <f>SUM(SUMIFS(#REF!,#REF!,Planning[[#This Row],[Proyectos]],#REF!,Planning[[#This Row],[Tipo de Tarea y especialidad]]),SUMIFS(#REF!,#REF!,Planning[[#This Row],[Proyectos]],#REF!,Planning[[#This Row],[Tipo de Tarea y especialidad]]))</f>
        <v>#REF!</v>
      </c>
      <c r="O192" s="19">
        <f t="shared" si="4"/>
        <v>10</v>
      </c>
      <c r="P192" s="19">
        <f t="shared" si="5"/>
        <v>2024</v>
      </c>
      <c r="Q192" s="19" t="e">
        <f>+SUMIFS(#REF!,#REF!,Planning[[#This Row],[Tarifa]],#REF!,Planning[[#This Row],[Proyectos]],#REF!,Planning[[#This Row],[Mes]],#REF!,Planning[[#This Row],[Año]])</f>
        <v>#REF!</v>
      </c>
      <c r="R192" s="19" t="str">
        <f>TEXT(Planning[[#This Row],[Mes]]*29,"mmmm")</f>
        <v>October</v>
      </c>
      <c r="S1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2" s="241"/>
      <c r="U192" s="43" t="e">
        <f>IF(Planning[[#This Row],[Horas Planificadas]]&lt;&gt;0,+K192/Planning[[#This Row],[Horas Planificadas]],0)</f>
        <v>#REF!</v>
      </c>
      <c r="V192" s="43" t="e">
        <f>IF(Planning[[#This Row],[Horas Planificadas]]&lt;&gt;0,Planning[[#This Row],[Horas utilizadas]]/Planning[[#This Row],[Horas Planificadas]],0)</f>
        <v>#REF!</v>
      </c>
      <c r="W192" s="44">
        <f>Planning[[#This Row],[Horas Planificadas]]+Planning[[#This Row],[Horas ajustadas adicionales]]</f>
        <v>1152</v>
      </c>
      <c r="X192" s="142"/>
    </row>
    <row r="193" spans="1:24" ht="12.75" customHeight="1" x14ac:dyDescent="0.2">
      <c r="A193" s="7"/>
      <c r="B193" s="7"/>
      <c r="C193" s="3"/>
      <c r="D193" s="3" t="s">
        <v>78</v>
      </c>
      <c r="E193" s="33" t="s">
        <v>31</v>
      </c>
      <c r="F193" s="3"/>
      <c r="G193" s="7"/>
      <c r="H193" s="7">
        <v>224</v>
      </c>
      <c r="I193" s="12"/>
      <c r="J193" s="5" t="e">
        <f>+SUMIFS(#REF!,#REF!,Planning[[#This Row],[Tarifa]],#REF!,Planning[[#This Row],[Proyectos]])</f>
        <v>#REF!</v>
      </c>
      <c r="K193" s="5" t="e">
        <f>Planning[[#This Row],[Horas Planificadas]]+Planning[[#This Row],[Horas ajustadas adicionales]]-Planning[[#This Row],[Horas utilizadas]]</f>
        <v>#REF!</v>
      </c>
      <c r="L193" s="7"/>
      <c r="M193" s="19" t="e">
        <f>Planning[[#This Row],[Saldo]]-Planning[[#This Row],[Saldo estimado]]</f>
        <v>#REF!</v>
      </c>
      <c r="N193" s="60" t="e">
        <f>SUM(SUMIFS(#REF!,#REF!,Planning[[#This Row],[Proyectos]],#REF!,Planning[[#This Row],[Tipo de Tarea y especialidad]]),SUMIFS(#REF!,#REF!,Planning[[#This Row],[Proyectos]],#REF!,Planning[[#This Row],[Tipo de Tarea y especialidad]]))</f>
        <v>#REF!</v>
      </c>
      <c r="O193" s="19">
        <f t="shared" si="4"/>
        <v>10</v>
      </c>
      <c r="P193" s="19">
        <f t="shared" si="5"/>
        <v>2024</v>
      </c>
      <c r="Q193" s="19" t="e">
        <f>+SUMIFS(#REF!,#REF!,Planning[[#This Row],[Tarifa]],#REF!,Planning[[#This Row],[Proyectos]],#REF!,Planning[[#This Row],[Mes]],#REF!,Planning[[#This Row],[Año]])</f>
        <v>#REF!</v>
      </c>
      <c r="R193" s="19" t="str">
        <f>TEXT(Planning[[#This Row],[Mes]]*29,"mmmm")</f>
        <v>October</v>
      </c>
      <c r="S1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3" s="241"/>
      <c r="U193" s="43" t="e">
        <f>IF(Planning[[#This Row],[Horas Planificadas]]&lt;&gt;0,+K193/Planning[[#This Row],[Horas Planificadas]],0)</f>
        <v>#REF!</v>
      </c>
      <c r="V193" s="43" t="e">
        <f>IF(Planning[[#This Row],[Horas Planificadas]]&lt;&gt;0,Planning[[#This Row],[Horas utilizadas]]/Planning[[#This Row],[Horas Planificadas]],0)</f>
        <v>#REF!</v>
      </c>
      <c r="W193" s="44">
        <f>Planning[[#This Row],[Horas Planificadas]]+Planning[[#This Row],[Horas ajustadas adicionales]]</f>
        <v>224</v>
      </c>
      <c r="X193" s="142"/>
    </row>
    <row r="194" spans="1:24" ht="12.75" customHeight="1" x14ac:dyDescent="0.2">
      <c r="A194" s="7"/>
      <c r="B194" s="7"/>
      <c r="C194" s="3"/>
      <c r="D194" s="3" t="s">
        <v>78</v>
      </c>
      <c r="E194" s="33" t="s">
        <v>32</v>
      </c>
      <c r="F194" s="3"/>
      <c r="G194" s="7"/>
      <c r="H194" s="7">
        <v>396</v>
      </c>
      <c r="I194" s="12"/>
      <c r="J194" s="5" t="e">
        <f>+SUMIFS(#REF!,#REF!,Planning[[#This Row],[Tarifa]],#REF!,Planning[[#This Row],[Proyectos]])</f>
        <v>#REF!</v>
      </c>
      <c r="K194" s="5" t="e">
        <f>Planning[[#This Row],[Horas Planificadas]]+Planning[[#This Row],[Horas ajustadas adicionales]]-Planning[[#This Row],[Horas utilizadas]]</f>
        <v>#REF!</v>
      </c>
      <c r="L194" s="7"/>
      <c r="M194" s="19" t="e">
        <f>Planning[[#This Row],[Saldo]]-Planning[[#This Row],[Saldo estimado]]</f>
        <v>#REF!</v>
      </c>
      <c r="N194" s="60" t="e">
        <f>SUM(SUMIFS(#REF!,#REF!,Planning[[#This Row],[Proyectos]],#REF!,Planning[[#This Row],[Tipo de Tarea y especialidad]]),SUMIFS(#REF!,#REF!,Planning[[#This Row],[Proyectos]],#REF!,Planning[[#This Row],[Tipo de Tarea y especialidad]]))</f>
        <v>#REF!</v>
      </c>
      <c r="O194" s="19">
        <f t="shared" si="4"/>
        <v>10</v>
      </c>
      <c r="P194" s="19">
        <f t="shared" si="5"/>
        <v>2024</v>
      </c>
      <c r="Q194" s="19" t="e">
        <f>+SUMIFS(#REF!,#REF!,Planning[[#This Row],[Tarifa]],#REF!,Planning[[#This Row],[Proyectos]],#REF!,Planning[[#This Row],[Mes]],#REF!,Planning[[#This Row],[Año]])</f>
        <v>#REF!</v>
      </c>
      <c r="R194" s="19" t="str">
        <f>TEXT(Planning[[#This Row],[Mes]]*29,"mmmm")</f>
        <v>October</v>
      </c>
      <c r="S1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4" s="241"/>
      <c r="U194" s="43" t="e">
        <f>IF(Planning[[#This Row],[Horas Planificadas]]&lt;&gt;0,+K194/Planning[[#This Row],[Horas Planificadas]],0)</f>
        <v>#REF!</v>
      </c>
      <c r="V194" s="43" t="e">
        <f>IF(Planning[[#This Row],[Horas Planificadas]]&lt;&gt;0,Planning[[#This Row],[Horas utilizadas]]/Planning[[#This Row],[Horas Planificadas]],0)</f>
        <v>#REF!</v>
      </c>
      <c r="W194" s="44">
        <f>Planning[[#This Row],[Horas Planificadas]]+Planning[[#This Row],[Horas ajustadas adicionales]]</f>
        <v>396</v>
      </c>
      <c r="X194" s="142"/>
    </row>
    <row r="195" spans="1:24" ht="12.75" customHeight="1" x14ac:dyDescent="0.2">
      <c r="A195" s="7"/>
      <c r="B195" s="7"/>
      <c r="C195" s="3"/>
      <c r="D195" s="3" t="s">
        <v>79</v>
      </c>
      <c r="E195" s="33" t="s">
        <v>28</v>
      </c>
      <c r="F195" s="3"/>
      <c r="G195" s="7"/>
      <c r="H195" s="7">
        <v>550</v>
      </c>
      <c r="I195" s="12"/>
      <c r="J195" s="5" t="e">
        <f>+SUMIFS(#REF!,#REF!,Planning[[#This Row],[Tarifa]],#REF!,Planning[[#This Row],[Proyectos]])</f>
        <v>#REF!</v>
      </c>
      <c r="K195" s="5" t="e">
        <f>Planning[[#This Row],[Horas Planificadas]]+Planning[[#This Row],[Horas ajustadas adicionales]]-Planning[[#This Row],[Horas utilizadas]]</f>
        <v>#REF!</v>
      </c>
      <c r="L195" s="7"/>
      <c r="M195" s="19" t="e">
        <f>Planning[[#This Row],[Saldo]]-Planning[[#This Row],[Saldo estimado]]</f>
        <v>#REF!</v>
      </c>
      <c r="N195" s="60" t="e">
        <f>SUM(SUMIFS(#REF!,#REF!,Planning[[#This Row],[Proyectos]],#REF!,Planning[[#This Row],[Tipo de Tarea y especialidad]]),SUMIFS(#REF!,#REF!,Planning[[#This Row],[Proyectos]],#REF!,Planning[[#This Row],[Tipo de Tarea y especialidad]]))</f>
        <v>#REF!</v>
      </c>
      <c r="O195" s="19">
        <f t="shared" si="4"/>
        <v>10</v>
      </c>
      <c r="P195" s="19">
        <f t="shared" si="5"/>
        <v>2024</v>
      </c>
      <c r="Q195" s="19" t="e">
        <f>+SUMIFS(#REF!,#REF!,Planning[[#This Row],[Tarifa]],#REF!,Planning[[#This Row],[Proyectos]],#REF!,Planning[[#This Row],[Mes]],#REF!,Planning[[#This Row],[Año]])</f>
        <v>#REF!</v>
      </c>
      <c r="R195" s="19" t="str">
        <f>TEXT(Planning[[#This Row],[Mes]]*29,"mmmm")</f>
        <v>October</v>
      </c>
      <c r="S1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5" s="241"/>
      <c r="U195" s="43" t="e">
        <f>IF(Planning[[#This Row],[Horas Planificadas]]&lt;&gt;0,+K195/Planning[[#This Row],[Horas Planificadas]],0)</f>
        <v>#REF!</v>
      </c>
      <c r="V195" s="43" t="e">
        <f>IF(Planning[[#This Row],[Horas Planificadas]]&lt;&gt;0,Planning[[#This Row],[Horas utilizadas]]/Planning[[#This Row],[Horas Planificadas]],0)</f>
        <v>#REF!</v>
      </c>
      <c r="W195" s="44">
        <f>Planning[[#This Row],[Horas Planificadas]]+Planning[[#This Row],[Horas ajustadas adicionales]]</f>
        <v>550</v>
      </c>
      <c r="X195" s="142"/>
    </row>
    <row r="196" spans="1:24" ht="12.75" customHeight="1" x14ac:dyDescent="0.2">
      <c r="A196" s="7"/>
      <c r="B196" s="7"/>
      <c r="C196" s="3"/>
      <c r="D196" s="3" t="s">
        <v>79</v>
      </c>
      <c r="E196" s="33" t="s">
        <v>30</v>
      </c>
      <c r="F196" s="3"/>
      <c r="G196" s="7"/>
      <c r="H196" s="7">
        <v>480</v>
      </c>
      <c r="I196" s="12"/>
      <c r="J196" s="5" t="e">
        <f>+SUMIFS(#REF!,#REF!,Planning[[#This Row],[Tarifa]],#REF!,Planning[[#This Row],[Proyectos]])</f>
        <v>#REF!</v>
      </c>
      <c r="K196" s="5" t="e">
        <f>Planning[[#This Row],[Horas Planificadas]]+Planning[[#This Row],[Horas ajustadas adicionales]]-Planning[[#This Row],[Horas utilizadas]]</f>
        <v>#REF!</v>
      </c>
      <c r="L196" s="7"/>
      <c r="M196" s="19" t="e">
        <f>Planning[[#This Row],[Saldo]]-Planning[[#This Row],[Saldo estimado]]</f>
        <v>#REF!</v>
      </c>
      <c r="N196" s="60" t="e">
        <f>SUM(SUMIFS(#REF!,#REF!,Planning[[#This Row],[Proyectos]],#REF!,Planning[[#This Row],[Tipo de Tarea y especialidad]]),SUMIFS(#REF!,#REF!,Planning[[#This Row],[Proyectos]],#REF!,Planning[[#This Row],[Tipo de Tarea y especialidad]]))</f>
        <v>#REF!</v>
      </c>
      <c r="O196" s="19">
        <f t="shared" si="4"/>
        <v>10</v>
      </c>
      <c r="P196" s="19">
        <f t="shared" si="5"/>
        <v>2024</v>
      </c>
      <c r="Q196" s="19" t="e">
        <f>+SUMIFS(#REF!,#REF!,Planning[[#This Row],[Tarifa]],#REF!,Planning[[#This Row],[Proyectos]],#REF!,Planning[[#This Row],[Mes]],#REF!,Planning[[#This Row],[Año]])</f>
        <v>#REF!</v>
      </c>
      <c r="R196" s="19" t="str">
        <f>TEXT(Planning[[#This Row],[Mes]]*29,"mmmm")</f>
        <v>October</v>
      </c>
      <c r="S1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6" s="241"/>
      <c r="U196" s="43" t="e">
        <f>IF(Planning[[#This Row],[Horas Planificadas]]&lt;&gt;0,+K196/Planning[[#This Row],[Horas Planificadas]],0)</f>
        <v>#REF!</v>
      </c>
      <c r="V196" s="43" t="e">
        <f>IF(Planning[[#This Row],[Horas Planificadas]]&lt;&gt;0,Planning[[#This Row],[Horas utilizadas]]/Planning[[#This Row],[Horas Planificadas]],0)</f>
        <v>#REF!</v>
      </c>
      <c r="W196" s="44">
        <f>Planning[[#This Row],[Horas Planificadas]]+Planning[[#This Row],[Horas ajustadas adicionales]]</f>
        <v>480</v>
      </c>
      <c r="X196" s="142"/>
    </row>
    <row r="197" spans="1:24" ht="12.75" customHeight="1" x14ac:dyDescent="0.2">
      <c r="A197" s="7"/>
      <c r="B197" s="7"/>
      <c r="C197" s="3"/>
      <c r="D197" s="3" t="s">
        <v>79</v>
      </c>
      <c r="E197" s="33" t="s">
        <v>31</v>
      </c>
      <c r="F197" s="3"/>
      <c r="G197" s="7"/>
      <c r="H197" s="7">
        <v>320</v>
      </c>
      <c r="I197" s="12"/>
      <c r="J197" s="5" t="e">
        <f>+SUMIFS(#REF!,#REF!,Planning[[#This Row],[Tarifa]],#REF!,Planning[[#This Row],[Proyectos]])</f>
        <v>#REF!</v>
      </c>
      <c r="K197" s="5" t="e">
        <f>Planning[[#This Row],[Horas Planificadas]]+Planning[[#This Row],[Horas ajustadas adicionales]]-Planning[[#This Row],[Horas utilizadas]]</f>
        <v>#REF!</v>
      </c>
      <c r="L197" s="7"/>
      <c r="M197" s="19" t="e">
        <f>Planning[[#This Row],[Saldo]]-Planning[[#This Row],[Saldo estimado]]</f>
        <v>#REF!</v>
      </c>
      <c r="N197" s="60" t="e">
        <f>SUM(SUMIFS(#REF!,#REF!,Planning[[#This Row],[Proyectos]],#REF!,Planning[[#This Row],[Tipo de Tarea y especialidad]]),SUMIFS(#REF!,#REF!,Planning[[#This Row],[Proyectos]],#REF!,Planning[[#This Row],[Tipo de Tarea y especialidad]]))</f>
        <v>#REF!</v>
      </c>
      <c r="O197" s="19">
        <f t="shared" si="4"/>
        <v>10</v>
      </c>
      <c r="P197" s="19">
        <f t="shared" si="5"/>
        <v>2024</v>
      </c>
      <c r="Q197" s="19" t="e">
        <f>+SUMIFS(#REF!,#REF!,Planning[[#This Row],[Tarifa]],#REF!,Planning[[#This Row],[Proyectos]],#REF!,Planning[[#This Row],[Mes]],#REF!,Planning[[#This Row],[Año]])</f>
        <v>#REF!</v>
      </c>
      <c r="R197" s="19" t="str">
        <f>TEXT(Planning[[#This Row],[Mes]]*29,"mmmm")</f>
        <v>October</v>
      </c>
      <c r="S1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7" s="241"/>
      <c r="U197" s="43" t="e">
        <f>IF(Planning[[#This Row],[Horas Planificadas]]&lt;&gt;0,+K197/Planning[[#This Row],[Horas Planificadas]],0)</f>
        <v>#REF!</v>
      </c>
      <c r="V197" s="43" t="e">
        <f>IF(Planning[[#This Row],[Horas Planificadas]]&lt;&gt;0,Planning[[#This Row],[Horas utilizadas]]/Planning[[#This Row],[Horas Planificadas]],0)</f>
        <v>#REF!</v>
      </c>
      <c r="W197" s="44">
        <f>Planning[[#This Row],[Horas Planificadas]]+Planning[[#This Row],[Horas ajustadas adicionales]]</f>
        <v>320</v>
      </c>
      <c r="X197" s="142"/>
    </row>
    <row r="198" spans="1:24" ht="12.75" customHeight="1" x14ac:dyDescent="0.2">
      <c r="A198" s="7"/>
      <c r="B198" s="7"/>
      <c r="C198" s="3"/>
      <c r="D198" s="3" t="s">
        <v>79</v>
      </c>
      <c r="E198" s="33" t="s">
        <v>32</v>
      </c>
      <c r="F198" s="3"/>
      <c r="G198" s="7"/>
      <c r="H198" s="7">
        <v>400</v>
      </c>
      <c r="I198" s="12"/>
      <c r="J198" s="5" t="e">
        <f>+SUMIFS(#REF!,#REF!,Planning[[#This Row],[Tarifa]],#REF!,Planning[[#This Row],[Proyectos]])</f>
        <v>#REF!</v>
      </c>
      <c r="K198" s="5" t="e">
        <f>Planning[[#This Row],[Horas Planificadas]]+Planning[[#This Row],[Horas ajustadas adicionales]]-Planning[[#This Row],[Horas utilizadas]]</f>
        <v>#REF!</v>
      </c>
      <c r="L198" s="7"/>
      <c r="M198" s="19" t="e">
        <f>Planning[[#This Row],[Saldo]]-Planning[[#This Row],[Saldo estimado]]</f>
        <v>#REF!</v>
      </c>
      <c r="N198" s="60" t="e">
        <f>SUM(SUMIFS(#REF!,#REF!,Planning[[#This Row],[Proyectos]],#REF!,Planning[[#This Row],[Tipo de Tarea y especialidad]]),SUMIFS(#REF!,#REF!,Planning[[#This Row],[Proyectos]],#REF!,Planning[[#This Row],[Tipo de Tarea y especialidad]]))</f>
        <v>#REF!</v>
      </c>
      <c r="O198" s="19">
        <f t="shared" si="4"/>
        <v>10</v>
      </c>
      <c r="P198" s="19">
        <f t="shared" si="5"/>
        <v>2024</v>
      </c>
      <c r="Q198" s="19" t="e">
        <f>+SUMIFS(#REF!,#REF!,Planning[[#This Row],[Tarifa]],#REF!,Planning[[#This Row],[Proyectos]],#REF!,Planning[[#This Row],[Mes]],#REF!,Planning[[#This Row],[Año]])</f>
        <v>#REF!</v>
      </c>
      <c r="R198" s="19" t="str">
        <f>TEXT(Planning[[#This Row],[Mes]]*29,"mmmm")</f>
        <v>October</v>
      </c>
      <c r="S1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8" s="241"/>
      <c r="U198" s="43" t="e">
        <f>IF(Planning[[#This Row],[Horas Planificadas]]&lt;&gt;0,+K198/Planning[[#This Row],[Horas Planificadas]],0)</f>
        <v>#REF!</v>
      </c>
      <c r="V198" s="43" t="e">
        <f>IF(Planning[[#This Row],[Horas Planificadas]]&lt;&gt;0,Planning[[#This Row],[Horas utilizadas]]/Planning[[#This Row],[Horas Planificadas]],0)</f>
        <v>#REF!</v>
      </c>
      <c r="W198" s="44">
        <f>Planning[[#This Row],[Horas Planificadas]]+Planning[[#This Row],[Horas ajustadas adicionales]]</f>
        <v>400</v>
      </c>
      <c r="X198" s="142"/>
    </row>
    <row r="199" spans="1:24" ht="12.75" customHeight="1" x14ac:dyDescent="0.2">
      <c r="A199" s="7"/>
      <c r="B199" s="7"/>
      <c r="C199" s="3"/>
      <c r="D199" s="3" t="s">
        <v>80</v>
      </c>
      <c r="E199" s="33" t="s">
        <v>28</v>
      </c>
      <c r="F199" s="3"/>
      <c r="G199" s="7"/>
      <c r="H199" s="7">
        <v>6222</v>
      </c>
      <c r="I199" s="12"/>
      <c r="J199" s="5" t="e">
        <f>+SUMIFS(#REF!,#REF!,Planning[[#This Row],[Tarifa]],#REF!,Planning[[#This Row],[Proyectos]])</f>
        <v>#REF!</v>
      </c>
      <c r="K199" s="5" t="e">
        <f>Planning[[#This Row],[Horas Planificadas]]+Planning[[#This Row],[Horas ajustadas adicionales]]-Planning[[#This Row],[Horas utilizadas]]</f>
        <v>#REF!</v>
      </c>
      <c r="L199" s="7"/>
      <c r="M199" s="19" t="e">
        <f>Planning[[#This Row],[Saldo]]-Planning[[#This Row],[Saldo estimado]]</f>
        <v>#REF!</v>
      </c>
      <c r="N199" s="60" t="e">
        <f>SUM(SUMIFS(#REF!,#REF!,Planning[[#This Row],[Proyectos]],#REF!,Planning[[#This Row],[Tipo de Tarea y especialidad]]),SUMIFS(#REF!,#REF!,Planning[[#This Row],[Proyectos]],#REF!,Planning[[#This Row],[Tipo de Tarea y especialidad]]))</f>
        <v>#REF!</v>
      </c>
      <c r="O199" s="19">
        <f t="shared" ref="O199:O262" si="6">$L$4</f>
        <v>10</v>
      </c>
      <c r="P199" s="19">
        <f t="shared" ref="P199:P262" si="7">$M$4</f>
        <v>2024</v>
      </c>
      <c r="Q199" s="19" t="e">
        <f>+SUMIFS(#REF!,#REF!,Planning[[#This Row],[Tarifa]],#REF!,Planning[[#This Row],[Proyectos]],#REF!,Planning[[#This Row],[Mes]],#REF!,Planning[[#This Row],[Año]])</f>
        <v>#REF!</v>
      </c>
      <c r="R199" s="19" t="str">
        <f>TEXT(Planning[[#This Row],[Mes]]*29,"mmmm")</f>
        <v>October</v>
      </c>
      <c r="S1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9" s="241"/>
      <c r="U199" s="43" t="e">
        <f>IF(Planning[[#This Row],[Horas Planificadas]]&lt;&gt;0,+K199/Planning[[#This Row],[Horas Planificadas]],0)</f>
        <v>#REF!</v>
      </c>
      <c r="V199" s="43" t="e">
        <f>IF(Planning[[#This Row],[Horas Planificadas]]&lt;&gt;0,Planning[[#This Row],[Horas utilizadas]]/Planning[[#This Row],[Horas Planificadas]],0)</f>
        <v>#REF!</v>
      </c>
      <c r="W199" s="44">
        <f>Planning[[#This Row],[Horas Planificadas]]+Planning[[#This Row],[Horas ajustadas adicionales]]</f>
        <v>6222</v>
      </c>
      <c r="X199" s="142"/>
    </row>
    <row r="200" spans="1:24" ht="12.75" customHeight="1" x14ac:dyDescent="0.2">
      <c r="A200" s="7"/>
      <c r="B200" s="7"/>
      <c r="C200" s="3"/>
      <c r="D200" s="3" t="s">
        <v>80</v>
      </c>
      <c r="E200" s="33" t="s">
        <v>30</v>
      </c>
      <c r="F200" s="3"/>
      <c r="G200" s="7"/>
      <c r="H200" s="7">
        <v>3664</v>
      </c>
      <c r="I200" s="12"/>
      <c r="J200" s="5" t="e">
        <f>+SUMIFS(#REF!,#REF!,Planning[[#This Row],[Tarifa]],#REF!,Planning[[#This Row],[Proyectos]])</f>
        <v>#REF!</v>
      </c>
      <c r="K200" s="5" t="e">
        <f>Planning[[#This Row],[Horas Planificadas]]+Planning[[#This Row],[Horas ajustadas adicionales]]-Planning[[#This Row],[Horas utilizadas]]</f>
        <v>#REF!</v>
      </c>
      <c r="L200" s="7"/>
      <c r="M200" s="19" t="e">
        <f>Planning[[#This Row],[Saldo]]-Planning[[#This Row],[Saldo estimado]]</f>
        <v>#REF!</v>
      </c>
      <c r="N200" s="60" t="e">
        <f>SUM(SUMIFS(#REF!,#REF!,Planning[[#This Row],[Proyectos]],#REF!,Planning[[#This Row],[Tipo de Tarea y especialidad]]),SUMIFS(#REF!,#REF!,Planning[[#This Row],[Proyectos]],#REF!,Planning[[#This Row],[Tipo de Tarea y especialidad]]))</f>
        <v>#REF!</v>
      </c>
      <c r="O200" s="19">
        <f t="shared" si="6"/>
        <v>10</v>
      </c>
      <c r="P200" s="19">
        <f t="shared" si="7"/>
        <v>2024</v>
      </c>
      <c r="Q200" s="19" t="e">
        <f>+SUMIFS(#REF!,#REF!,Planning[[#This Row],[Tarifa]],#REF!,Planning[[#This Row],[Proyectos]],#REF!,Planning[[#This Row],[Mes]],#REF!,Planning[[#This Row],[Año]])</f>
        <v>#REF!</v>
      </c>
      <c r="R200" s="19" t="str">
        <f>TEXT(Planning[[#This Row],[Mes]]*29,"mmmm")</f>
        <v>October</v>
      </c>
      <c r="S2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0" s="241"/>
      <c r="U200" s="43" t="e">
        <f>IF(Planning[[#This Row],[Horas Planificadas]]&lt;&gt;0,+K200/Planning[[#This Row],[Horas Planificadas]],0)</f>
        <v>#REF!</v>
      </c>
      <c r="V200" s="43" t="e">
        <f>IF(Planning[[#This Row],[Horas Planificadas]]&lt;&gt;0,Planning[[#This Row],[Horas utilizadas]]/Planning[[#This Row],[Horas Planificadas]],0)</f>
        <v>#REF!</v>
      </c>
      <c r="W200" s="44">
        <f>Planning[[#This Row],[Horas Planificadas]]+Planning[[#This Row],[Horas ajustadas adicionales]]</f>
        <v>3664</v>
      </c>
      <c r="X200" s="142"/>
    </row>
    <row r="201" spans="1:24" ht="12.75" customHeight="1" x14ac:dyDescent="0.2">
      <c r="A201" s="7"/>
      <c r="B201" s="7"/>
      <c r="C201" s="3"/>
      <c r="D201" s="3" t="s">
        <v>80</v>
      </c>
      <c r="E201" s="33" t="s">
        <v>31</v>
      </c>
      <c r="F201" s="3"/>
      <c r="G201" s="7"/>
      <c r="H201" s="7">
        <v>719</v>
      </c>
      <c r="I201" s="12"/>
      <c r="J201" s="5" t="e">
        <f>+SUMIFS(#REF!,#REF!,Planning[[#This Row],[Tarifa]],#REF!,Planning[[#This Row],[Proyectos]])</f>
        <v>#REF!</v>
      </c>
      <c r="K201" s="5" t="e">
        <f>Planning[[#This Row],[Horas Planificadas]]+Planning[[#This Row],[Horas ajustadas adicionales]]-Planning[[#This Row],[Horas utilizadas]]</f>
        <v>#REF!</v>
      </c>
      <c r="L201" s="7"/>
      <c r="M201" s="19" t="e">
        <f>Planning[[#This Row],[Saldo]]-Planning[[#This Row],[Saldo estimado]]</f>
        <v>#REF!</v>
      </c>
      <c r="N201" s="60" t="e">
        <f>SUM(SUMIFS(#REF!,#REF!,Planning[[#This Row],[Proyectos]],#REF!,Planning[[#This Row],[Tipo de Tarea y especialidad]]),SUMIFS(#REF!,#REF!,Planning[[#This Row],[Proyectos]],#REF!,Planning[[#This Row],[Tipo de Tarea y especialidad]]))</f>
        <v>#REF!</v>
      </c>
      <c r="O201" s="19">
        <f t="shared" si="6"/>
        <v>10</v>
      </c>
      <c r="P201" s="19">
        <f t="shared" si="7"/>
        <v>2024</v>
      </c>
      <c r="Q201" s="19" t="e">
        <f>+SUMIFS(#REF!,#REF!,Planning[[#This Row],[Tarifa]],#REF!,Planning[[#This Row],[Proyectos]],#REF!,Planning[[#This Row],[Mes]],#REF!,Planning[[#This Row],[Año]])</f>
        <v>#REF!</v>
      </c>
      <c r="R201" s="19" t="str">
        <f>TEXT(Planning[[#This Row],[Mes]]*29,"mmmm")</f>
        <v>October</v>
      </c>
      <c r="S2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1" s="241"/>
      <c r="U201" s="43" t="e">
        <f>IF(Planning[[#This Row],[Horas Planificadas]]&lt;&gt;0,+K201/Planning[[#This Row],[Horas Planificadas]],0)</f>
        <v>#REF!</v>
      </c>
      <c r="V201" s="43" t="e">
        <f>IF(Planning[[#This Row],[Horas Planificadas]]&lt;&gt;0,Planning[[#This Row],[Horas utilizadas]]/Planning[[#This Row],[Horas Planificadas]],0)</f>
        <v>#REF!</v>
      </c>
      <c r="W201" s="44">
        <f>Planning[[#This Row],[Horas Planificadas]]+Planning[[#This Row],[Horas ajustadas adicionales]]</f>
        <v>719</v>
      </c>
      <c r="X201" s="142"/>
    </row>
    <row r="202" spans="1:24" ht="12.75" customHeight="1" x14ac:dyDescent="0.2">
      <c r="A202" s="7"/>
      <c r="B202" s="7"/>
      <c r="C202" s="3"/>
      <c r="D202" s="3" t="s">
        <v>80</v>
      </c>
      <c r="E202" s="33" t="s">
        <v>32</v>
      </c>
      <c r="F202" s="3"/>
      <c r="G202" s="7"/>
      <c r="H202" s="7">
        <v>1484</v>
      </c>
      <c r="I202" s="12"/>
      <c r="J202" s="5" t="e">
        <f>+SUMIFS(#REF!,#REF!,Planning[[#This Row],[Tarifa]],#REF!,Planning[[#This Row],[Proyectos]])</f>
        <v>#REF!</v>
      </c>
      <c r="K202" s="5" t="e">
        <f>Planning[[#This Row],[Horas Planificadas]]+Planning[[#This Row],[Horas ajustadas adicionales]]-Planning[[#This Row],[Horas utilizadas]]</f>
        <v>#REF!</v>
      </c>
      <c r="L202" s="7"/>
      <c r="M202" s="19" t="e">
        <f>Planning[[#This Row],[Saldo]]-Planning[[#This Row],[Saldo estimado]]</f>
        <v>#REF!</v>
      </c>
      <c r="N202" s="60" t="e">
        <f>SUM(SUMIFS(#REF!,#REF!,Planning[[#This Row],[Proyectos]],#REF!,Planning[[#This Row],[Tipo de Tarea y especialidad]]),SUMIFS(#REF!,#REF!,Planning[[#This Row],[Proyectos]],#REF!,Planning[[#This Row],[Tipo de Tarea y especialidad]]))</f>
        <v>#REF!</v>
      </c>
      <c r="O202" s="19">
        <f t="shared" si="6"/>
        <v>10</v>
      </c>
      <c r="P202" s="19">
        <f t="shared" si="7"/>
        <v>2024</v>
      </c>
      <c r="Q202" s="19" t="e">
        <f>+SUMIFS(#REF!,#REF!,Planning[[#This Row],[Tarifa]],#REF!,Planning[[#This Row],[Proyectos]],#REF!,Planning[[#This Row],[Mes]],#REF!,Planning[[#This Row],[Año]])</f>
        <v>#REF!</v>
      </c>
      <c r="R202" s="19" t="str">
        <f>TEXT(Planning[[#This Row],[Mes]]*29,"mmmm")</f>
        <v>October</v>
      </c>
      <c r="S2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2" s="241"/>
      <c r="U202" s="43" t="e">
        <f>IF(Planning[[#This Row],[Horas Planificadas]]&lt;&gt;0,+K202/Planning[[#This Row],[Horas Planificadas]],0)</f>
        <v>#REF!</v>
      </c>
      <c r="V202" s="43" t="e">
        <f>IF(Planning[[#This Row],[Horas Planificadas]]&lt;&gt;0,Planning[[#This Row],[Horas utilizadas]]/Planning[[#This Row],[Horas Planificadas]],0)</f>
        <v>#REF!</v>
      </c>
      <c r="W202" s="44">
        <f>Planning[[#This Row],[Horas Planificadas]]+Planning[[#This Row],[Horas ajustadas adicionales]]</f>
        <v>1484</v>
      </c>
      <c r="X202" s="142"/>
    </row>
    <row r="203" spans="1:24" ht="12.75" customHeight="1" x14ac:dyDescent="0.2">
      <c r="A203" s="7"/>
      <c r="B203" s="7"/>
      <c r="C203" s="3"/>
      <c r="D203" s="3" t="s">
        <v>81</v>
      </c>
      <c r="E203" s="33" t="s">
        <v>28</v>
      </c>
      <c r="F203" s="3"/>
      <c r="G203" s="7"/>
      <c r="H203" s="7">
        <v>4430</v>
      </c>
      <c r="I203" s="12"/>
      <c r="J203" s="5" t="e">
        <f>+SUMIFS(#REF!,#REF!,Planning[[#This Row],[Tarifa]],#REF!,Planning[[#This Row],[Proyectos]])</f>
        <v>#REF!</v>
      </c>
      <c r="K203" s="5" t="e">
        <f>Planning[[#This Row],[Horas Planificadas]]+Planning[[#This Row],[Horas ajustadas adicionales]]-Planning[[#This Row],[Horas utilizadas]]</f>
        <v>#REF!</v>
      </c>
      <c r="L203" s="7"/>
      <c r="M203" s="19" t="e">
        <f>Planning[[#This Row],[Saldo]]-Planning[[#This Row],[Saldo estimado]]</f>
        <v>#REF!</v>
      </c>
      <c r="N203" s="60" t="e">
        <f>SUM(SUMIFS(#REF!,#REF!,Planning[[#This Row],[Proyectos]],#REF!,Planning[[#This Row],[Tipo de Tarea y especialidad]]),SUMIFS(#REF!,#REF!,Planning[[#This Row],[Proyectos]],#REF!,Planning[[#This Row],[Tipo de Tarea y especialidad]]))</f>
        <v>#REF!</v>
      </c>
      <c r="O203" s="19">
        <f t="shared" si="6"/>
        <v>10</v>
      </c>
      <c r="P203" s="19">
        <f t="shared" si="7"/>
        <v>2024</v>
      </c>
      <c r="Q203" s="19" t="e">
        <f>+SUMIFS(#REF!,#REF!,Planning[[#This Row],[Tarifa]],#REF!,Planning[[#This Row],[Proyectos]],#REF!,Planning[[#This Row],[Mes]],#REF!,Planning[[#This Row],[Año]])</f>
        <v>#REF!</v>
      </c>
      <c r="R203" s="19" t="str">
        <f>TEXT(Planning[[#This Row],[Mes]]*29,"mmmm")</f>
        <v>October</v>
      </c>
      <c r="S2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3" s="241"/>
      <c r="U203" s="43" t="e">
        <f>IF(Planning[[#This Row],[Horas Planificadas]]&lt;&gt;0,+K203/Planning[[#This Row],[Horas Planificadas]],0)</f>
        <v>#REF!</v>
      </c>
      <c r="V203" s="43" t="e">
        <f>IF(Planning[[#This Row],[Horas Planificadas]]&lt;&gt;0,Planning[[#This Row],[Horas utilizadas]]/Planning[[#This Row],[Horas Planificadas]],0)</f>
        <v>#REF!</v>
      </c>
      <c r="W203" s="44">
        <f>Planning[[#This Row],[Horas Planificadas]]+Planning[[#This Row],[Horas ajustadas adicionales]]</f>
        <v>4430</v>
      </c>
      <c r="X203" s="142"/>
    </row>
    <row r="204" spans="1:24" ht="12.75" customHeight="1" x14ac:dyDescent="0.2">
      <c r="A204" s="7"/>
      <c r="B204" s="7"/>
      <c r="C204" s="3"/>
      <c r="D204" s="3" t="s">
        <v>81</v>
      </c>
      <c r="E204" s="33" t="s">
        <v>30</v>
      </c>
      <c r="F204" s="3"/>
      <c r="G204" s="7"/>
      <c r="H204" s="7">
        <v>3824</v>
      </c>
      <c r="I204" s="12"/>
      <c r="J204" s="5" t="e">
        <f>+SUMIFS(#REF!,#REF!,Planning[[#This Row],[Tarifa]],#REF!,Planning[[#This Row],[Proyectos]])</f>
        <v>#REF!</v>
      </c>
      <c r="K204" s="5" t="e">
        <f>Planning[[#This Row],[Horas Planificadas]]+Planning[[#This Row],[Horas ajustadas adicionales]]-Planning[[#This Row],[Horas utilizadas]]</f>
        <v>#REF!</v>
      </c>
      <c r="L204" s="7"/>
      <c r="M204" s="19" t="e">
        <f>Planning[[#This Row],[Saldo]]-Planning[[#This Row],[Saldo estimado]]</f>
        <v>#REF!</v>
      </c>
      <c r="N204" s="60" t="e">
        <f>SUM(SUMIFS(#REF!,#REF!,Planning[[#This Row],[Proyectos]],#REF!,Planning[[#This Row],[Tipo de Tarea y especialidad]]),SUMIFS(#REF!,#REF!,Planning[[#This Row],[Proyectos]],#REF!,Planning[[#This Row],[Tipo de Tarea y especialidad]]))</f>
        <v>#REF!</v>
      </c>
      <c r="O204" s="19">
        <f t="shared" si="6"/>
        <v>10</v>
      </c>
      <c r="P204" s="19">
        <f t="shared" si="7"/>
        <v>2024</v>
      </c>
      <c r="Q204" s="19" t="e">
        <f>+SUMIFS(#REF!,#REF!,Planning[[#This Row],[Tarifa]],#REF!,Planning[[#This Row],[Proyectos]],#REF!,Planning[[#This Row],[Mes]],#REF!,Planning[[#This Row],[Año]])</f>
        <v>#REF!</v>
      </c>
      <c r="R204" s="19" t="str">
        <f>TEXT(Planning[[#This Row],[Mes]]*29,"mmmm")</f>
        <v>October</v>
      </c>
      <c r="S2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4" s="241"/>
      <c r="U204" s="43" t="e">
        <f>IF(Planning[[#This Row],[Horas Planificadas]]&lt;&gt;0,+K204/Planning[[#This Row],[Horas Planificadas]],0)</f>
        <v>#REF!</v>
      </c>
      <c r="V204" s="43" t="e">
        <f>IF(Planning[[#This Row],[Horas Planificadas]]&lt;&gt;0,Planning[[#This Row],[Horas utilizadas]]/Planning[[#This Row],[Horas Planificadas]],0)</f>
        <v>#REF!</v>
      </c>
      <c r="W204" s="44">
        <f>Planning[[#This Row],[Horas Planificadas]]+Planning[[#This Row],[Horas ajustadas adicionales]]</f>
        <v>3824</v>
      </c>
      <c r="X204" s="142"/>
    </row>
    <row r="205" spans="1:24" ht="12.75" customHeight="1" x14ac:dyDescent="0.2">
      <c r="A205" s="7"/>
      <c r="B205" s="7"/>
      <c r="C205" s="3"/>
      <c r="D205" s="3" t="s">
        <v>81</v>
      </c>
      <c r="E205" s="33" t="s">
        <v>31</v>
      </c>
      <c r="F205" s="3"/>
      <c r="G205" s="7"/>
      <c r="H205" s="7">
        <v>488</v>
      </c>
      <c r="I205" s="12"/>
      <c r="J205" s="5" t="e">
        <f>+SUMIFS(#REF!,#REF!,Planning[[#This Row],[Tarifa]],#REF!,Planning[[#This Row],[Proyectos]])</f>
        <v>#REF!</v>
      </c>
      <c r="K205" s="5" t="e">
        <f>Planning[[#This Row],[Horas Planificadas]]+Planning[[#This Row],[Horas ajustadas adicionales]]-Planning[[#This Row],[Horas utilizadas]]</f>
        <v>#REF!</v>
      </c>
      <c r="L205" s="7"/>
      <c r="M205" s="19" t="e">
        <f>Planning[[#This Row],[Saldo]]-Planning[[#This Row],[Saldo estimado]]</f>
        <v>#REF!</v>
      </c>
      <c r="N205" s="60" t="e">
        <f>SUM(SUMIFS(#REF!,#REF!,Planning[[#This Row],[Proyectos]],#REF!,Planning[[#This Row],[Tipo de Tarea y especialidad]]),SUMIFS(#REF!,#REF!,Planning[[#This Row],[Proyectos]],#REF!,Planning[[#This Row],[Tipo de Tarea y especialidad]]))</f>
        <v>#REF!</v>
      </c>
      <c r="O205" s="19">
        <f t="shared" si="6"/>
        <v>10</v>
      </c>
      <c r="P205" s="19">
        <f t="shared" si="7"/>
        <v>2024</v>
      </c>
      <c r="Q205" s="19" t="e">
        <f>+SUMIFS(#REF!,#REF!,Planning[[#This Row],[Tarifa]],#REF!,Planning[[#This Row],[Proyectos]],#REF!,Planning[[#This Row],[Mes]],#REF!,Planning[[#This Row],[Año]])</f>
        <v>#REF!</v>
      </c>
      <c r="R205" s="19" t="str">
        <f>TEXT(Planning[[#This Row],[Mes]]*29,"mmmm")</f>
        <v>October</v>
      </c>
      <c r="S2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5" s="241"/>
      <c r="U205" s="43" t="e">
        <f>IF(Planning[[#This Row],[Horas Planificadas]]&lt;&gt;0,+K205/Planning[[#This Row],[Horas Planificadas]],0)</f>
        <v>#REF!</v>
      </c>
      <c r="V205" s="43" t="e">
        <f>IF(Planning[[#This Row],[Horas Planificadas]]&lt;&gt;0,Planning[[#This Row],[Horas utilizadas]]/Planning[[#This Row],[Horas Planificadas]],0)</f>
        <v>#REF!</v>
      </c>
      <c r="W205" s="44">
        <f>Planning[[#This Row],[Horas Planificadas]]+Planning[[#This Row],[Horas ajustadas adicionales]]</f>
        <v>488</v>
      </c>
      <c r="X205" s="142"/>
    </row>
    <row r="206" spans="1:24" ht="12.75" customHeight="1" x14ac:dyDescent="0.2">
      <c r="A206" s="7"/>
      <c r="B206" s="7"/>
      <c r="C206" s="3"/>
      <c r="D206" s="3" t="s">
        <v>81</v>
      </c>
      <c r="E206" s="33" t="s">
        <v>32</v>
      </c>
      <c r="F206" s="3"/>
      <c r="G206" s="7"/>
      <c r="H206" s="7">
        <v>1193</v>
      </c>
      <c r="I206" s="12"/>
      <c r="J206" s="5" t="e">
        <f>+SUMIFS(#REF!,#REF!,Planning[[#This Row],[Tarifa]],#REF!,Planning[[#This Row],[Proyectos]])</f>
        <v>#REF!</v>
      </c>
      <c r="K206" s="5" t="e">
        <f>Planning[[#This Row],[Horas Planificadas]]+Planning[[#This Row],[Horas ajustadas adicionales]]-Planning[[#This Row],[Horas utilizadas]]</f>
        <v>#REF!</v>
      </c>
      <c r="L206" s="7"/>
      <c r="M206" s="19" t="e">
        <f>Planning[[#This Row],[Saldo]]-Planning[[#This Row],[Saldo estimado]]</f>
        <v>#REF!</v>
      </c>
      <c r="N206" s="60" t="e">
        <f>SUM(SUMIFS(#REF!,#REF!,Planning[[#This Row],[Proyectos]],#REF!,Planning[[#This Row],[Tipo de Tarea y especialidad]]),SUMIFS(#REF!,#REF!,Planning[[#This Row],[Proyectos]],#REF!,Planning[[#This Row],[Tipo de Tarea y especialidad]]))</f>
        <v>#REF!</v>
      </c>
      <c r="O206" s="19">
        <f t="shared" si="6"/>
        <v>10</v>
      </c>
      <c r="P206" s="19">
        <f t="shared" si="7"/>
        <v>2024</v>
      </c>
      <c r="Q206" s="19" t="e">
        <f>+SUMIFS(#REF!,#REF!,Planning[[#This Row],[Tarifa]],#REF!,Planning[[#This Row],[Proyectos]],#REF!,Planning[[#This Row],[Mes]],#REF!,Planning[[#This Row],[Año]])</f>
        <v>#REF!</v>
      </c>
      <c r="R206" s="19" t="str">
        <f>TEXT(Planning[[#This Row],[Mes]]*29,"mmmm")</f>
        <v>October</v>
      </c>
      <c r="S2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6" s="241"/>
      <c r="U206" s="43" t="e">
        <f>IF(Planning[[#This Row],[Horas Planificadas]]&lt;&gt;0,+K206/Planning[[#This Row],[Horas Planificadas]],0)</f>
        <v>#REF!</v>
      </c>
      <c r="V206" s="43" t="e">
        <f>IF(Planning[[#This Row],[Horas Planificadas]]&lt;&gt;0,Planning[[#This Row],[Horas utilizadas]]/Planning[[#This Row],[Horas Planificadas]],0)</f>
        <v>#REF!</v>
      </c>
      <c r="W206" s="44">
        <f>Planning[[#This Row],[Horas Planificadas]]+Planning[[#This Row],[Horas ajustadas adicionales]]</f>
        <v>1193</v>
      </c>
      <c r="X206" s="142"/>
    </row>
    <row r="207" spans="1:24" ht="12.75" customHeight="1" x14ac:dyDescent="0.2">
      <c r="A207" s="7"/>
      <c r="B207" s="7"/>
      <c r="C207" s="3"/>
      <c r="D207" s="3" t="s">
        <v>82</v>
      </c>
      <c r="E207" s="33" t="s">
        <v>28</v>
      </c>
      <c r="F207" s="3"/>
      <c r="G207" s="7"/>
      <c r="H207" s="7">
        <v>0</v>
      </c>
      <c r="I207" s="12"/>
      <c r="J207" s="5" t="e">
        <f>+SUMIFS(#REF!,#REF!,Planning[[#This Row],[Tarifa]],#REF!,Planning[[#This Row],[Proyectos]])</f>
        <v>#REF!</v>
      </c>
      <c r="K207" s="5" t="e">
        <f>Planning[[#This Row],[Horas Planificadas]]+Planning[[#This Row],[Horas ajustadas adicionales]]-Planning[[#This Row],[Horas utilizadas]]</f>
        <v>#REF!</v>
      </c>
      <c r="L207" s="7"/>
      <c r="M207" s="19" t="e">
        <f>Planning[[#This Row],[Saldo]]-Planning[[#This Row],[Saldo estimado]]</f>
        <v>#REF!</v>
      </c>
      <c r="N207" s="60" t="e">
        <f>SUM(SUMIFS(#REF!,#REF!,Planning[[#This Row],[Proyectos]],#REF!,Planning[[#This Row],[Tipo de Tarea y especialidad]]),SUMIFS(#REF!,#REF!,Planning[[#This Row],[Proyectos]],#REF!,Planning[[#This Row],[Tipo de Tarea y especialidad]]))</f>
        <v>#REF!</v>
      </c>
      <c r="O207" s="19">
        <f t="shared" si="6"/>
        <v>10</v>
      </c>
      <c r="P207" s="19">
        <f t="shared" si="7"/>
        <v>2024</v>
      </c>
      <c r="Q207" s="19" t="e">
        <f>+SUMIFS(#REF!,#REF!,Planning[[#This Row],[Tarifa]],#REF!,Planning[[#This Row],[Proyectos]],#REF!,Planning[[#This Row],[Mes]],#REF!,Planning[[#This Row],[Año]])</f>
        <v>#REF!</v>
      </c>
      <c r="R207" s="19" t="str">
        <f>TEXT(Planning[[#This Row],[Mes]]*29,"mmmm")</f>
        <v>October</v>
      </c>
      <c r="S2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7" s="241"/>
      <c r="U207" s="43">
        <f>IF(Planning[[#This Row],[Horas Planificadas]]&lt;&gt;0,+K207/Planning[[#This Row],[Horas Planificadas]],0)</f>
        <v>0</v>
      </c>
      <c r="V207" s="43">
        <f>IF(Planning[[#This Row],[Horas Planificadas]]&lt;&gt;0,Planning[[#This Row],[Horas utilizadas]]/Planning[[#This Row],[Horas Planificadas]],0)</f>
        <v>0</v>
      </c>
      <c r="W207" s="44">
        <f>Planning[[#This Row],[Horas Planificadas]]+Planning[[#This Row],[Horas ajustadas adicionales]]</f>
        <v>0</v>
      </c>
      <c r="X207" s="142"/>
    </row>
    <row r="208" spans="1:24" ht="12.75" customHeight="1" x14ac:dyDescent="0.2">
      <c r="A208" s="7"/>
      <c r="B208" s="7"/>
      <c r="C208" s="3"/>
      <c r="D208" s="3" t="s">
        <v>82</v>
      </c>
      <c r="E208" s="33" t="s">
        <v>30</v>
      </c>
      <c r="F208" s="3"/>
      <c r="G208" s="7"/>
      <c r="H208" s="7">
        <v>0</v>
      </c>
      <c r="I208" s="12"/>
      <c r="J208" s="5" t="e">
        <f>+SUMIFS(#REF!,#REF!,Planning[[#This Row],[Tarifa]],#REF!,Planning[[#This Row],[Proyectos]])</f>
        <v>#REF!</v>
      </c>
      <c r="K208" s="5" t="e">
        <f>Planning[[#This Row],[Horas Planificadas]]+Planning[[#This Row],[Horas ajustadas adicionales]]-Planning[[#This Row],[Horas utilizadas]]</f>
        <v>#REF!</v>
      </c>
      <c r="L208" s="7"/>
      <c r="M208" s="19" t="e">
        <f>Planning[[#This Row],[Saldo]]-Planning[[#This Row],[Saldo estimado]]</f>
        <v>#REF!</v>
      </c>
      <c r="N208" s="60" t="e">
        <f>SUM(SUMIFS(#REF!,#REF!,Planning[[#This Row],[Proyectos]],#REF!,Planning[[#This Row],[Tipo de Tarea y especialidad]]),SUMIFS(#REF!,#REF!,Planning[[#This Row],[Proyectos]],#REF!,Planning[[#This Row],[Tipo de Tarea y especialidad]]))</f>
        <v>#REF!</v>
      </c>
      <c r="O208" s="19">
        <f t="shared" si="6"/>
        <v>10</v>
      </c>
      <c r="P208" s="19">
        <f t="shared" si="7"/>
        <v>2024</v>
      </c>
      <c r="Q208" s="19" t="e">
        <f>+SUMIFS(#REF!,#REF!,Planning[[#This Row],[Tarifa]],#REF!,Planning[[#This Row],[Proyectos]],#REF!,Planning[[#This Row],[Mes]],#REF!,Planning[[#This Row],[Año]])</f>
        <v>#REF!</v>
      </c>
      <c r="R208" s="19" t="str">
        <f>TEXT(Planning[[#This Row],[Mes]]*29,"mmmm")</f>
        <v>October</v>
      </c>
      <c r="S2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8" s="241"/>
      <c r="U208" s="43">
        <f>IF(Planning[[#This Row],[Horas Planificadas]]&lt;&gt;0,+K208/Planning[[#This Row],[Horas Planificadas]],0)</f>
        <v>0</v>
      </c>
      <c r="V208" s="43">
        <f>IF(Planning[[#This Row],[Horas Planificadas]]&lt;&gt;0,Planning[[#This Row],[Horas utilizadas]]/Planning[[#This Row],[Horas Planificadas]],0)</f>
        <v>0</v>
      </c>
      <c r="W208" s="44">
        <f>Planning[[#This Row],[Horas Planificadas]]+Planning[[#This Row],[Horas ajustadas adicionales]]</f>
        <v>0</v>
      </c>
      <c r="X208" s="142"/>
    </row>
    <row r="209" spans="1:24" ht="12.75" customHeight="1" x14ac:dyDescent="0.2">
      <c r="A209" s="7"/>
      <c r="B209" s="7"/>
      <c r="C209" s="3"/>
      <c r="D209" s="3" t="s">
        <v>82</v>
      </c>
      <c r="E209" s="33" t="s">
        <v>31</v>
      </c>
      <c r="F209" s="3"/>
      <c r="G209" s="7"/>
      <c r="H209" s="7">
        <v>24</v>
      </c>
      <c r="I209" s="12"/>
      <c r="J209" s="5" t="e">
        <f>+SUMIFS(#REF!,#REF!,Planning[[#This Row],[Tarifa]],#REF!,Planning[[#This Row],[Proyectos]])</f>
        <v>#REF!</v>
      </c>
      <c r="K209" s="5" t="e">
        <f>Planning[[#This Row],[Horas Planificadas]]+Planning[[#This Row],[Horas ajustadas adicionales]]-Planning[[#This Row],[Horas utilizadas]]</f>
        <v>#REF!</v>
      </c>
      <c r="L209" s="7"/>
      <c r="M209" s="19" t="e">
        <f>Planning[[#This Row],[Saldo]]-Planning[[#This Row],[Saldo estimado]]</f>
        <v>#REF!</v>
      </c>
      <c r="N209" s="60" t="e">
        <f>SUM(SUMIFS(#REF!,#REF!,Planning[[#This Row],[Proyectos]],#REF!,Planning[[#This Row],[Tipo de Tarea y especialidad]]),SUMIFS(#REF!,#REF!,Planning[[#This Row],[Proyectos]],#REF!,Planning[[#This Row],[Tipo de Tarea y especialidad]]))</f>
        <v>#REF!</v>
      </c>
      <c r="O209" s="19">
        <f t="shared" si="6"/>
        <v>10</v>
      </c>
      <c r="P209" s="19">
        <f t="shared" si="7"/>
        <v>2024</v>
      </c>
      <c r="Q209" s="19" t="e">
        <f>+SUMIFS(#REF!,#REF!,Planning[[#This Row],[Tarifa]],#REF!,Planning[[#This Row],[Proyectos]],#REF!,Planning[[#This Row],[Mes]],#REF!,Planning[[#This Row],[Año]])</f>
        <v>#REF!</v>
      </c>
      <c r="R209" s="19" t="str">
        <f>TEXT(Planning[[#This Row],[Mes]]*29,"mmmm")</f>
        <v>October</v>
      </c>
      <c r="S2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9" s="241"/>
      <c r="U209" s="43" t="e">
        <f>IF(Planning[[#This Row],[Horas Planificadas]]&lt;&gt;0,+K209/Planning[[#This Row],[Horas Planificadas]],0)</f>
        <v>#REF!</v>
      </c>
      <c r="V209" s="43" t="e">
        <f>IF(Planning[[#This Row],[Horas Planificadas]]&lt;&gt;0,Planning[[#This Row],[Horas utilizadas]]/Planning[[#This Row],[Horas Planificadas]],0)</f>
        <v>#REF!</v>
      </c>
      <c r="W209" s="44">
        <f>Planning[[#This Row],[Horas Planificadas]]+Planning[[#This Row],[Horas ajustadas adicionales]]</f>
        <v>24</v>
      </c>
      <c r="X209" s="142"/>
    </row>
    <row r="210" spans="1:24" ht="12.75" customHeight="1" x14ac:dyDescent="0.2">
      <c r="A210" s="7"/>
      <c r="B210" s="7"/>
      <c r="C210" s="3"/>
      <c r="D210" s="3" t="s">
        <v>82</v>
      </c>
      <c r="E210" s="33" t="s">
        <v>32</v>
      </c>
      <c r="F210" s="3"/>
      <c r="G210" s="7"/>
      <c r="H210" s="7">
        <v>24</v>
      </c>
      <c r="I210" s="12"/>
      <c r="J210" s="5" t="e">
        <f>+SUMIFS(#REF!,#REF!,Planning[[#This Row],[Tarifa]],#REF!,Planning[[#This Row],[Proyectos]])</f>
        <v>#REF!</v>
      </c>
      <c r="K210" s="5" t="e">
        <f>Planning[[#This Row],[Horas Planificadas]]+Planning[[#This Row],[Horas ajustadas adicionales]]-Planning[[#This Row],[Horas utilizadas]]</f>
        <v>#REF!</v>
      </c>
      <c r="L210" s="7"/>
      <c r="M210" s="19" t="e">
        <f>Planning[[#This Row],[Saldo]]-Planning[[#This Row],[Saldo estimado]]</f>
        <v>#REF!</v>
      </c>
      <c r="N210" s="60" t="e">
        <f>SUM(SUMIFS(#REF!,#REF!,Planning[[#This Row],[Proyectos]],#REF!,Planning[[#This Row],[Tipo de Tarea y especialidad]]),SUMIFS(#REF!,#REF!,Planning[[#This Row],[Proyectos]],#REF!,Planning[[#This Row],[Tipo de Tarea y especialidad]]))</f>
        <v>#REF!</v>
      </c>
      <c r="O210" s="19">
        <f t="shared" si="6"/>
        <v>10</v>
      </c>
      <c r="P210" s="19">
        <f t="shared" si="7"/>
        <v>2024</v>
      </c>
      <c r="Q210" s="19" t="e">
        <f>+SUMIFS(#REF!,#REF!,Planning[[#This Row],[Tarifa]],#REF!,Planning[[#This Row],[Proyectos]],#REF!,Planning[[#This Row],[Mes]],#REF!,Planning[[#This Row],[Año]])</f>
        <v>#REF!</v>
      </c>
      <c r="R210" s="19" t="str">
        <f>TEXT(Planning[[#This Row],[Mes]]*29,"mmmm")</f>
        <v>October</v>
      </c>
      <c r="S2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0" s="241"/>
      <c r="U210" s="43" t="e">
        <f>IF(Planning[[#This Row],[Horas Planificadas]]&lt;&gt;0,+K210/Planning[[#This Row],[Horas Planificadas]],0)</f>
        <v>#REF!</v>
      </c>
      <c r="V210" s="43" t="e">
        <f>IF(Planning[[#This Row],[Horas Planificadas]]&lt;&gt;0,Planning[[#This Row],[Horas utilizadas]]/Planning[[#This Row],[Horas Planificadas]],0)</f>
        <v>#REF!</v>
      </c>
      <c r="W210" s="44">
        <f>Planning[[#This Row],[Horas Planificadas]]+Planning[[#This Row],[Horas ajustadas adicionales]]</f>
        <v>24</v>
      </c>
      <c r="X210" s="142"/>
    </row>
    <row r="211" spans="1:24" ht="12.75" customHeight="1" x14ac:dyDescent="0.2">
      <c r="A211" s="7"/>
      <c r="B211" s="7"/>
      <c r="C211" s="3"/>
      <c r="D211" s="3" t="s">
        <v>83</v>
      </c>
      <c r="E211" s="33" t="s">
        <v>28</v>
      </c>
      <c r="F211" s="3"/>
      <c r="G211" s="7"/>
      <c r="H211" s="7">
        <v>363</v>
      </c>
      <c r="I211" s="12"/>
      <c r="J211" s="5" t="e">
        <f>+SUMIFS(#REF!,#REF!,Planning[[#This Row],[Tarifa]],#REF!,Planning[[#This Row],[Proyectos]])</f>
        <v>#REF!</v>
      </c>
      <c r="K211" s="5" t="e">
        <f>Planning[[#This Row],[Horas Planificadas]]+Planning[[#This Row],[Horas ajustadas adicionales]]-Planning[[#This Row],[Horas utilizadas]]</f>
        <v>#REF!</v>
      </c>
      <c r="L211" s="7"/>
      <c r="M211" s="19" t="e">
        <f>Planning[[#This Row],[Saldo]]-Planning[[#This Row],[Saldo estimado]]</f>
        <v>#REF!</v>
      </c>
      <c r="N211" s="60" t="e">
        <f>SUM(SUMIFS(#REF!,#REF!,Planning[[#This Row],[Proyectos]],#REF!,Planning[[#This Row],[Tipo de Tarea y especialidad]]),SUMIFS(#REF!,#REF!,Planning[[#This Row],[Proyectos]],#REF!,Planning[[#This Row],[Tipo de Tarea y especialidad]]))</f>
        <v>#REF!</v>
      </c>
      <c r="O211" s="19">
        <f t="shared" si="6"/>
        <v>10</v>
      </c>
      <c r="P211" s="19">
        <f t="shared" si="7"/>
        <v>2024</v>
      </c>
      <c r="Q211" s="19" t="e">
        <f>+SUMIFS(#REF!,#REF!,Planning[[#This Row],[Tarifa]],#REF!,Planning[[#This Row],[Proyectos]],#REF!,Planning[[#This Row],[Mes]],#REF!,Planning[[#This Row],[Año]])</f>
        <v>#REF!</v>
      </c>
      <c r="R211" s="19" t="str">
        <f>TEXT(Planning[[#This Row],[Mes]]*29,"mmmm")</f>
        <v>October</v>
      </c>
      <c r="S2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1" s="241"/>
      <c r="U211" s="43" t="e">
        <f>IF(Planning[[#This Row],[Horas Planificadas]]&lt;&gt;0,+K211/Planning[[#This Row],[Horas Planificadas]],0)</f>
        <v>#REF!</v>
      </c>
      <c r="V211" s="43" t="e">
        <f>IF(Planning[[#This Row],[Horas Planificadas]]&lt;&gt;0,Planning[[#This Row],[Horas utilizadas]]/Planning[[#This Row],[Horas Planificadas]],0)</f>
        <v>#REF!</v>
      </c>
      <c r="W211" s="44">
        <f>Planning[[#This Row],[Horas Planificadas]]+Planning[[#This Row],[Horas ajustadas adicionales]]</f>
        <v>363</v>
      </c>
      <c r="X211" s="142"/>
    </row>
    <row r="212" spans="1:24" ht="12.75" customHeight="1" x14ac:dyDescent="0.2">
      <c r="A212" s="7"/>
      <c r="B212" s="7"/>
      <c r="C212" s="3"/>
      <c r="D212" s="3" t="s">
        <v>83</v>
      </c>
      <c r="E212" s="33" t="s">
        <v>30</v>
      </c>
      <c r="F212" s="3"/>
      <c r="G212" s="7"/>
      <c r="H212" s="7">
        <v>1135</v>
      </c>
      <c r="I212" s="12"/>
      <c r="J212" s="5" t="e">
        <f>+SUMIFS(#REF!,#REF!,Planning[[#This Row],[Tarifa]],#REF!,Planning[[#This Row],[Proyectos]])</f>
        <v>#REF!</v>
      </c>
      <c r="K212" s="5" t="e">
        <f>Planning[[#This Row],[Horas Planificadas]]+Planning[[#This Row],[Horas ajustadas adicionales]]-Planning[[#This Row],[Horas utilizadas]]</f>
        <v>#REF!</v>
      </c>
      <c r="L212" s="7"/>
      <c r="M212" s="19" t="e">
        <f>Planning[[#This Row],[Saldo]]-Planning[[#This Row],[Saldo estimado]]</f>
        <v>#REF!</v>
      </c>
      <c r="N212" s="60" t="e">
        <f>SUM(SUMIFS(#REF!,#REF!,Planning[[#This Row],[Proyectos]],#REF!,Planning[[#This Row],[Tipo de Tarea y especialidad]]),SUMIFS(#REF!,#REF!,Planning[[#This Row],[Proyectos]],#REF!,Planning[[#This Row],[Tipo de Tarea y especialidad]]))</f>
        <v>#REF!</v>
      </c>
      <c r="O212" s="19">
        <f t="shared" si="6"/>
        <v>10</v>
      </c>
      <c r="P212" s="19">
        <f t="shared" si="7"/>
        <v>2024</v>
      </c>
      <c r="Q212" s="19" t="e">
        <f>+SUMIFS(#REF!,#REF!,Planning[[#This Row],[Tarifa]],#REF!,Planning[[#This Row],[Proyectos]],#REF!,Planning[[#This Row],[Mes]],#REF!,Planning[[#This Row],[Año]])</f>
        <v>#REF!</v>
      </c>
      <c r="R212" s="19" t="str">
        <f>TEXT(Planning[[#This Row],[Mes]]*29,"mmmm")</f>
        <v>October</v>
      </c>
      <c r="S2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2" s="241"/>
      <c r="U212" s="43" t="e">
        <f>IF(Planning[[#This Row],[Horas Planificadas]]&lt;&gt;0,+K212/Planning[[#This Row],[Horas Planificadas]],0)</f>
        <v>#REF!</v>
      </c>
      <c r="V212" s="43" t="e">
        <f>IF(Planning[[#This Row],[Horas Planificadas]]&lt;&gt;0,Planning[[#This Row],[Horas utilizadas]]/Planning[[#This Row],[Horas Planificadas]],0)</f>
        <v>#REF!</v>
      </c>
      <c r="W212" s="44">
        <f>Planning[[#This Row],[Horas Planificadas]]+Planning[[#This Row],[Horas ajustadas adicionales]]</f>
        <v>1135</v>
      </c>
      <c r="X212" s="142"/>
    </row>
    <row r="213" spans="1:24" ht="12.75" customHeight="1" x14ac:dyDescent="0.2">
      <c r="A213" s="7"/>
      <c r="B213" s="7"/>
      <c r="C213" s="3"/>
      <c r="D213" s="3" t="s">
        <v>83</v>
      </c>
      <c r="E213" s="33" t="s">
        <v>31</v>
      </c>
      <c r="F213" s="3"/>
      <c r="G213" s="7"/>
      <c r="H213" s="7">
        <v>211</v>
      </c>
      <c r="I213" s="12"/>
      <c r="J213" s="5" t="e">
        <f>+SUMIFS(#REF!,#REF!,Planning[[#This Row],[Tarifa]],#REF!,Planning[[#This Row],[Proyectos]])</f>
        <v>#REF!</v>
      </c>
      <c r="K213" s="5" t="e">
        <f>Planning[[#This Row],[Horas Planificadas]]+Planning[[#This Row],[Horas ajustadas adicionales]]-Planning[[#This Row],[Horas utilizadas]]</f>
        <v>#REF!</v>
      </c>
      <c r="L213" s="7"/>
      <c r="M213" s="19" t="e">
        <f>Planning[[#This Row],[Saldo]]-Planning[[#This Row],[Saldo estimado]]</f>
        <v>#REF!</v>
      </c>
      <c r="N213" s="60" t="e">
        <f>SUM(SUMIFS(#REF!,#REF!,Planning[[#This Row],[Proyectos]],#REF!,Planning[[#This Row],[Tipo de Tarea y especialidad]]),SUMIFS(#REF!,#REF!,Planning[[#This Row],[Proyectos]],#REF!,Planning[[#This Row],[Tipo de Tarea y especialidad]]))</f>
        <v>#REF!</v>
      </c>
      <c r="O213" s="19">
        <f t="shared" si="6"/>
        <v>10</v>
      </c>
      <c r="P213" s="19">
        <f t="shared" si="7"/>
        <v>2024</v>
      </c>
      <c r="Q213" s="19" t="e">
        <f>+SUMIFS(#REF!,#REF!,Planning[[#This Row],[Tarifa]],#REF!,Planning[[#This Row],[Proyectos]],#REF!,Planning[[#This Row],[Mes]],#REF!,Planning[[#This Row],[Año]])</f>
        <v>#REF!</v>
      </c>
      <c r="R213" s="19" t="str">
        <f>TEXT(Planning[[#This Row],[Mes]]*29,"mmmm")</f>
        <v>October</v>
      </c>
      <c r="S2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3" s="241"/>
      <c r="U213" s="43" t="e">
        <f>IF(Planning[[#This Row],[Horas Planificadas]]&lt;&gt;0,+K213/Planning[[#This Row],[Horas Planificadas]],0)</f>
        <v>#REF!</v>
      </c>
      <c r="V213" s="43" t="e">
        <f>IF(Planning[[#This Row],[Horas Planificadas]]&lt;&gt;0,Planning[[#This Row],[Horas utilizadas]]/Planning[[#This Row],[Horas Planificadas]],0)</f>
        <v>#REF!</v>
      </c>
      <c r="W213" s="44">
        <f>Planning[[#This Row],[Horas Planificadas]]+Planning[[#This Row],[Horas ajustadas adicionales]]</f>
        <v>211</v>
      </c>
      <c r="X213" s="142"/>
    </row>
    <row r="214" spans="1:24" ht="12.75" customHeight="1" x14ac:dyDescent="0.2">
      <c r="A214" s="7"/>
      <c r="B214" s="7"/>
      <c r="C214" s="3"/>
      <c r="D214" s="3" t="s">
        <v>83</v>
      </c>
      <c r="E214" s="33" t="s">
        <v>32</v>
      </c>
      <c r="F214" s="3"/>
      <c r="G214" s="7"/>
      <c r="H214" s="7">
        <v>838</v>
      </c>
      <c r="I214" s="12"/>
      <c r="J214" s="5" t="e">
        <f>+SUMIFS(#REF!,#REF!,Planning[[#This Row],[Tarifa]],#REF!,Planning[[#This Row],[Proyectos]])</f>
        <v>#REF!</v>
      </c>
      <c r="K214" s="5" t="e">
        <f>Planning[[#This Row],[Horas Planificadas]]+Planning[[#This Row],[Horas ajustadas adicionales]]-Planning[[#This Row],[Horas utilizadas]]</f>
        <v>#REF!</v>
      </c>
      <c r="L214" s="7"/>
      <c r="M214" s="19" t="e">
        <f>Planning[[#This Row],[Saldo]]-Planning[[#This Row],[Saldo estimado]]</f>
        <v>#REF!</v>
      </c>
      <c r="N214" s="60" t="e">
        <f>SUM(SUMIFS(#REF!,#REF!,Planning[[#This Row],[Proyectos]],#REF!,Planning[[#This Row],[Tipo de Tarea y especialidad]]),SUMIFS(#REF!,#REF!,Planning[[#This Row],[Proyectos]],#REF!,Planning[[#This Row],[Tipo de Tarea y especialidad]]))</f>
        <v>#REF!</v>
      </c>
      <c r="O214" s="19">
        <f t="shared" si="6"/>
        <v>10</v>
      </c>
      <c r="P214" s="19">
        <f t="shared" si="7"/>
        <v>2024</v>
      </c>
      <c r="Q214" s="19" t="e">
        <f>+SUMIFS(#REF!,#REF!,Planning[[#This Row],[Tarifa]],#REF!,Planning[[#This Row],[Proyectos]],#REF!,Planning[[#This Row],[Mes]],#REF!,Planning[[#This Row],[Año]])</f>
        <v>#REF!</v>
      </c>
      <c r="R214" s="19" t="str">
        <f>TEXT(Planning[[#This Row],[Mes]]*29,"mmmm")</f>
        <v>October</v>
      </c>
      <c r="S2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4" s="241"/>
      <c r="U214" s="43" t="e">
        <f>IF(Planning[[#This Row],[Horas Planificadas]]&lt;&gt;0,+K214/Planning[[#This Row],[Horas Planificadas]],0)</f>
        <v>#REF!</v>
      </c>
      <c r="V214" s="43" t="e">
        <f>IF(Planning[[#This Row],[Horas Planificadas]]&lt;&gt;0,Planning[[#This Row],[Horas utilizadas]]/Planning[[#This Row],[Horas Planificadas]],0)</f>
        <v>#REF!</v>
      </c>
      <c r="W214" s="44">
        <f>Planning[[#This Row],[Horas Planificadas]]+Planning[[#This Row],[Horas ajustadas adicionales]]</f>
        <v>838</v>
      </c>
      <c r="X214" s="142"/>
    </row>
    <row r="215" spans="1:24" ht="12.75" customHeight="1" x14ac:dyDescent="0.2">
      <c r="A215" s="7"/>
      <c r="B215" s="7"/>
      <c r="C215" s="3"/>
      <c r="D215" s="3" t="s">
        <v>84</v>
      </c>
      <c r="E215" s="33" t="s">
        <v>28</v>
      </c>
      <c r="F215" s="3"/>
      <c r="G215" s="7"/>
      <c r="H215" s="7">
        <v>1376</v>
      </c>
      <c r="I215" s="12"/>
      <c r="J215" s="5" t="e">
        <f>+SUMIFS(#REF!,#REF!,Planning[[#This Row],[Tarifa]],#REF!,Planning[[#This Row],[Proyectos]])</f>
        <v>#REF!</v>
      </c>
      <c r="K215" s="5" t="e">
        <f>Planning[[#This Row],[Horas Planificadas]]+Planning[[#This Row],[Horas ajustadas adicionales]]-Planning[[#This Row],[Horas utilizadas]]</f>
        <v>#REF!</v>
      </c>
      <c r="L215" s="7"/>
      <c r="M215" s="19" t="e">
        <f>Planning[[#This Row],[Saldo]]-Planning[[#This Row],[Saldo estimado]]</f>
        <v>#REF!</v>
      </c>
      <c r="N215" s="60" t="e">
        <f>SUM(SUMIFS(#REF!,#REF!,Planning[[#This Row],[Proyectos]],#REF!,Planning[[#This Row],[Tipo de Tarea y especialidad]]),SUMIFS(#REF!,#REF!,Planning[[#This Row],[Proyectos]],#REF!,Planning[[#This Row],[Tipo de Tarea y especialidad]]))</f>
        <v>#REF!</v>
      </c>
      <c r="O215" s="19">
        <f t="shared" si="6"/>
        <v>10</v>
      </c>
      <c r="P215" s="19">
        <f t="shared" si="7"/>
        <v>2024</v>
      </c>
      <c r="Q215" s="19" t="e">
        <f>+SUMIFS(#REF!,#REF!,Planning[[#This Row],[Tarifa]],#REF!,Planning[[#This Row],[Proyectos]],#REF!,Planning[[#This Row],[Mes]],#REF!,Planning[[#This Row],[Año]])</f>
        <v>#REF!</v>
      </c>
      <c r="R215" s="19" t="str">
        <f>TEXT(Planning[[#This Row],[Mes]]*29,"mmmm")</f>
        <v>October</v>
      </c>
      <c r="S2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5" s="241"/>
      <c r="U215" s="43" t="e">
        <f>IF(Planning[[#This Row],[Horas Planificadas]]&lt;&gt;0,+K215/Planning[[#This Row],[Horas Planificadas]],0)</f>
        <v>#REF!</v>
      </c>
      <c r="V215" s="43" t="e">
        <f>IF(Planning[[#This Row],[Horas Planificadas]]&lt;&gt;0,Planning[[#This Row],[Horas utilizadas]]/Planning[[#This Row],[Horas Planificadas]],0)</f>
        <v>#REF!</v>
      </c>
      <c r="W215" s="44">
        <f>Planning[[#This Row],[Horas Planificadas]]+Planning[[#This Row],[Horas ajustadas adicionales]]</f>
        <v>1376</v>
      </c>
      <c r="X215" s="142"/>
    </row>
    <row r="216" spans="1:24" ht="12.75" customHeight="1" x14ac:dyDescent="0.2">
      <c r="A216" s="7"/>
      <c r="B216" s="7"/>
      <c r="C216" s="3"/>
      <c r="D216" s="3" t="s">
        <v>84</v>
      </c>
      <c r="E216" s="33" t="s">
        <v>30</v>
      </c>
      <c r="F216" s="3"/>
      <c r="G216" s="7"/>
      <c r="H216" s="7">
        <v>834</v>
      </c>
      <c r="I216" s="12"/>
      <c r="J216" s="5" t="e">
        <f>+SUMIFS(#REF!,#REF!,Planning[[#This Row],[Tarifa]],#REF!,Planning[[#This Row],[Proyectos]])</f>
        <v>#REF!</v>
      </c>
      <c r="K216" s="5" t="e">
        <f>Planning[[#This Row],[Horas Planificadas]]+Planning[[#This Row],[Horas ajustadas adicionales]]-Planning[[#This Row],[Horas utilizadas]]</f>
        <v>#REF!</v>
      </c>
      <c r="L216" s="7"/>
      <c r="M216" s="19" t="e">
        <f>Planning[[#This Row],[Saldo]]-Planning[[#This Row],[Saldo estimado]]</f>
        <v>#REF!</v>
      </c>
      <c r="N216" s="60" t="e">
        <f>SUM(SUMIFS(#REF!,#REF!,Planning[[#This Row],[Proyectos]],#REF!,Planning[[#This Row],[Tipo de Tarea y especialidad]]),SUMIFS(#REF!,#REF!,Planning[[#This Row],[Proyectos]],#REF!,Planning[[#This Row],[Tipo de Tarea y especialidad]]))</f>
        <v>#REF!</v>
      </c>
      <c r="O216" s="19">
        <f t="shared" si="6"/>
        <v>10</v>
      </c>
      <c r="P216" s="19">
        <f t="shared" si="7"/>
        <v>2024</v>
      </c>
      <c r="Q216" s="19" t="e">
        <f>+SUMIFS(#REF!,#REF!,Planning[[#This Row],[Tarifa]],#REF!,Planning[[#This Row],[Proyectos]],#REF!,Planning[[#This Row],[Mes]],#REF!,Planning[[#This Row],[Año]])</f>
        <v>#REF!</v>
      </c>
      <c r="R216" s="19" t="str">
        <f>TEXT(Planning[[#This Row],[Mes]]*29,"mmmm")</f>
        <v>October</v>
      </c>
      <c r="S2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6" s="241"/>
      <c r="U216" s="43" t="e">
        <f>IF(Planning[[#This Row],[Horas Planificadas]]&lt;&gt;0,+K216/Planning[[#This Row],[Horas Planificadas]],0)</f>
        <v>#REF!</v>
      </c>
      <c r="V216" s="43" t="e">
        <f>IF(Planning[[#This Row],[Horas Planificadas]]&lt;&gt;0,Planning[[#This Row],[Horas utilizadas]]/Planning[[#This Row],[Horas Planificadas]],0)</f>
        <v>#REF!</v>
      </c>
      <c r="W216" s="44">
        <f>Planning[[#This Row],[Horas Planificadas]]+Planning[[#This Row],[Horas ajustadas adicionales]]</f>
        <v>834</v>
      </c>
      <c r="X216" s="142"/>
    </row>
    <row r="217" spans="1:24" ht="12.75" customHeight="1" x14ac:dyDescent="0.2">
      <c r="A217" s="7"/>
      <c r="B217" s="7"/>
      <c r="C217" s="3"/>
      <c r="D217" s="3" t="s">
        <v>84</v>
      </c>
      <c r="E217" s="33" t="s">
        <v>31</v>
      </c>
      <c r="F217" s="3"/>
      <c r="G217" s="7"/>
      <c r="H217" s="7">
        <v>120</v>
      </c>
      <c r="I217" s="12"/>
      <c r="J217" s="5" t="e">
        <f>+SUMIFS(#REF!,#REF!,Planning[[#This Row],[Tarifa]],#REF!,Planning[[#This Row],[Proyectos]])</f>
        <v>#REF!</v>
      </c>
      <c r="K217" s="5" t="e">
        <f>Planning[[#This Row],[Horas Planificadas]]+Planning[[#This Row],[Horas ajustadas adicionales]]-Planning[[#This Row],[Horas utilizadas]]</f>
        <v>#REF!</v>
      </c>
      <c r="L217" s="7"/>
      <c r="M217" s="19" t="e">
        <f>Planning[[#This Row],[Saldo]]-Planning[[#This Row],[Saldo estimado]]</f>
        <v>#REF!</v>
      </c>
      <c r="N217" s="60" t="e">
        <f>SUM(SUMIFS(#REF!,#REF!,Planning[[#This Row],[Proyectos]],#REF!,Planning[[#This Row],[Tipo de Tarea y especialidad]]),SUMIFS(#REF!,#REF!,Planning[[#This Row],[Proyectos]],#REF!,Planning[[#This Row],[Tipo de Tarea y especialidad]]))</f>
        <v>#REF!</v>
      </c>
      <c r="O217" s="19">
        <f t="shared" si="6"/>
        <v>10</v>
      </c>
      <c r="P217" s="19">
        <f t="shared" si="7"/>
        <v>2024</v>
      </c>
      <c r="Q217" s="19" t="e">
        <f>+SUMIFS(#REF!,#REF!,Planning[[#This Row],[Tarifa]],#REF!,Planning[[#This Row],[Proyectos]],#REF!,Planning[[#This Row],[Mes]],#REF!,Planning[[#This Row],[Año]])</f>
        <v>#REF!</v>
      </c>
      <c r="R217" s="19" t="str">
        <f>TEXT(Planning[[#This Row],[Mes]]*29,"mmmm")</f>
        <v>October</v>
      </c>
      <c r="S2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7" s="241"/>
      <c r="U217" s="43" t="e">
        <f>IF(Planning[[#This Row],[Horas Planificadas]]&lt;&gt;0,+K217/Planning[[#This Row],[Horas Planificadas]],0)</f>
        <v>#REF!</v>
      </c>
      <c r="V217" s="43" t="e">
        <f>IF(Planning[[#This Row],[Horas Planificadas]]&lt;&gt;0,Planning[[#This Row],[Horas utilizadas]]/Planning[[#This Row],[Horas Planificadas]],0)</f>
        <v>#REF!</v>
      </c>
      <c r="W217" s="44">
        <f>Planning[[#This Row],[Horas Planificadas]]+Planning[[#This Row],[Horas ajustadas adicionales]]</f>
        <v>120</v>
      </c>
      <c r="X217" s="142"/>
    </row>
    <row r="218" spans="1:24" ht="12.75" customHeight="1" x14ac:dyDescent="0.2">
      <c r="A218" s="7"/>
      <c r="B218" s="7"/>
      <c r="C218" s="3"/>
      <c r="D218" s="3" t="s">
        <v>84</v>
      </c>
      <c r="E218" s="33" t="s">
        <v>32</v>
      </c>
      <c r="F218" s="3"/>
      <c r="G218" s="7"/>
      <c r="H218" s="7">
        <v>720</v>
      </c>
      <c r="I218" s="12"/>
      <c r="J218" s="5" t="e">
        <f>+SUMIFS(#REF!,#REF!,Planning[[#This Row],[Tarifa]],#REF!,Planning[[#This Row],[Proyectos]])</f>
        <v>#REF!</v>
      </c>
      <c r="K218" s="5" t="e">
        <f>Planning[[#This Row],[Horas Planificadas]]+Planning[[#This Row],[Horas ajustadas adicionales]]-Planning[[#This Row],[Horas utilizadas]]</f>
        <v>#REF!</v>
      </c>
      <c r="L218" s="7"/>
      <c r="M218" s="19" t="e">
        <f>Planning[[#This Row],[Saldo]]-Planning[[#This Row],[Saldo estimado]]</f>
        <v>#REF!</v>
      </c>
      <c r="N218" s="60" t="e">
        <f>SUM(SUMIFS(#REF!,#REF!,Planning[[#This Row],[Proyectos]],#REF!,Planning[[#This Row],[Tipo de Tarea y especialidad]]),SUMIFS(#REF!,#REF!,Planning[[#This Row],[Proyectos]],#REF!,Planning[[#This Row],[Tipo de Tarea y especialidad]]))</f>
        <v>#REF!</v>
      </c>
      <c r="O218" s="19">
        <f t="shared" si="6"/>
        <v>10</v>
      </c>
      <c r="P218" s="19">
        <f t="shared" si="7"/>
        <v>2024</v>
      </c>
      <c r="Q218" s="19" t="e">
        <f>+SUMIFS(#REF!,#REF!,Planning[[#This Row],[Tarifa]],#REF!,Planning[[#This Row],[Proyectos]],#REF!,Planning[[#This Row],[Mes]],#REF!,Planning[[#This Row],[Año]])</f>
        <v>#REF!</v>
      </c>
      <c r="R218" s="19" t="str">
        <f>TEXT(Planning[[#This Row],[Mes]]*29,"mmmm")</f>
        <v>October</v>
      </c>
      <c r="S2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8" s="241"/>
      <c r="U218" s="43" t="e">
        <f>IF(Planning[[#This Row],[Horas Planificadas]]&lt;&gt;0,+K218/Planning[[#This Row],[Horas Planificadas]],0)</f>
        <v>#REF!</v>
      </c>
      <c r="V218" s="43" t="e">
        <f>IF(Planning[[#This Row],[Horas Planificadas]]&lt;&gt;0,Planning[[#This Row],[Horas utilizadas]]/Planning[[#This Row],[Horas Planificadas]],0)</f>
        <v>#REF!</v>
      </c>
      <c r="W218" s="44">
        <f>Planning[[#This Row],[Horas Planificadas]]+Planning[[#This Row],[Horas ajustadas adicionales]]</f>
        <v>720</v>
      </c>
      <c r="X218" s="142"/>
    </row>
    <row r="219" spans="1:24" ht="12.75" customHeight="1" x14ac:dyDescent="0.2">
      <c r="A219" s="7"/>
      <c r="B219" s="7"/>
      <c r="C219" s="3"/>
      <c r="D219" s="3" t="s">
        <v>85</v>
      </c>
      <c r="E219" s="33" t="s">
        <v>28</v>
      </c>
      <c r="F219" s="3"/>
      <c r="G219" s="7"/>
      <c r="H219" s="7">
        <v>1200</v>
      </c>
      <c r="I219" s="12"/>
      <c r="J219" s="5" t="e">
        <f>+SUMIFS(#REF!,#REF!,Planning[[#This Row],[Tarifa]],#REF!,Planning[[#This Row],[Proyectos]])</f>
        <v>#REF!</v>
      </c>
      <c r="K219" s="5" t="e">
        <f>Planning[[#This Row],[Horas Planificadas]]+Planning[[#This Row],[Horas ajustadas adicionales]]-Planning[[#This Row],[Horas utilizadas]]</f>
        <v>#REF!</v>
      </c>
      <c r="L219" s="7"/>
      <c r="M219" s="19" t="e">
        <f>Planning[[#This Row],[Saldo]]-Planning[[#This Row],[Saldo estimado]]</f>
        <v>#REF!</v>
      </c>
      <c r="N219" s="60" t="e">
        <f>SUM(SUMIFS(#REF!,#REF!,Planning[[#This Row],[Proyectos]],#REF!,Planning[[#This Row],[Tipo de Tarea y especialidad]]),SUMIFS(#REF!,#REF!,Planning[[#This Row],[Proyectos]],#REF!,Planning[[#This Row],[Tipo de Tarea y especialidad]]))</f>
        <v>#REF!</v>
      </c>
      <c r="O219" s="19">
        <f t="shared" si="6"/>
        <v>10</v>
      </c>
      <c r="P219" s="19">
        <f t="shared" si="7"/>
        <v>2024</v>
      </c>
      <c r="Q219" s="19" t="e">
        <f>+SUMIFS(#REF!,#REF!,Planning[[#This Row],[Tarifa]],#REF!,Planning[[#This Row],[Proyectos]],#REF!,Planning[[#This Row],[Mes]],#REF!,Planning[[#This Row],[Año]])</f>
        <v>#REF!</v>
      </c>
      <c r="R219" s="19" t="str">
        <f>TEXT(Planning[[#This Row],[Mes]]*29,"mmmm")</f>
        <v>October</v>
      </c>
      <c r="S2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9" s="241"/>
      <c r="U219" s="43" t="e">
        <f>IF(Planning[[#This Row],[Horas Planificadas]]&lt;&gt;0,+K219/Planning[[#This Row],[Horas Planificadas]],0)</f>
        <v>#REF!</v>
      </c>
      <c r="V219" s="43" t="e">
        <f>IF(Planning[[#This Row],[Horas Planificadas]]&lt;&gt;0,Planning[[#This Row],[Horas utilizadas]]/Planning[[#This Row],[Horas Planificadas]],0)</f>
        <v>#REF!</v>
      </c>
      <c r="W219" s="44">
        <f>Planning[[#This Row],[Horas Planificadas]]+Planning[[#This Row],[Horas ajustadas adicionales]]</f>
        <v>1200</v>
      </c>
      <c r="X219" s="142"/>
    </row>
    <row r="220" spans="1:24" ht="12.75" customHeight="1" x14ac:dyDescent="0.2">
      <c r="A220" s="7"/>
      <c r="B220" s="7"/>
      <c r="C220" s="3"/>
      <c r="D220" s="3" t="s">
        <v>85</v>
      </c>
      <c r="E220" s="33" t="s">
        <v>30</v>
      </c>
      <c r="F220" s="3"/>
      <c r="G220" s="7"/>
      <c r="H220" s="7">
        <v>2830</v>
      </c>
      <c r="I220" s="12"/>
      <c r="J220" s="5" t="e">
        <f>+SUMIFS(#REF!,#REF!,Planning[[#This Row],[Tarifa]],#REF!,Planning[[#This Row],[Proyectos]])</f>
        <v>#REF!</v>
      </c>
      <c r="K220" s="5" t="e">
        <f>Planning[[#This Row],[Horas Planificadas]]+Planning[[#This Row],[Horas ajustadas adicionales]]-Planning[[#This Row],[Horas utilizadas]]</f>
        <v>#REF!</v>
      </c>
      <c r="L220" s="7"/>
      <c r="M220" s="19" t="e">
        <f>Planning[[#This Row],[Saldo]]-Planning[[#This Row],[Saldo estimado]]</f>
        <v>#REF!</v>
      </c>
      <c r="N220" s="60" t="e">
        <f>SUM(SUMIFS(#REF!,#REF!,Planning[[#This Row],[Proyectos]],#REF!,Planning[[#This Row],[Tipo de Tarea y especialidad]]),SUMIFS(#REF!,#REF!,Planning[[#This Row],[Proyectos]],#REF!,Planning[[#This Row],[Tipo de Tarea y especialidad]]))</f>
        <v>#REF!</v>
      </c>
      <c r="O220" s="19">
        <f t="shared" si="6"/>
        <v>10</v>
      </c>
      <c r="P220" s="19">
        <f t="shared" si="7"/>
        <v>2024</v>
      </c>
      <c r="Q220" s="19" t="e">
        <f>+SUMIFS(#REF!,#REF!,Planning[[#This Row],[Tarifa]],#REF!,Planning[[#This Row],[Proyectos]],#REF!,Planning[[#This Row],[Mes]],#REF!,Planning[[#This Row],[Año]])</f>
        <v>#REF!</v>
      </c>
      <c r="R220" s="19" t="str">
        <f>TEXT(Planning[[#This Row],[Mes]]*29,"mmmm")</f>
        <v>October</v>
      </c>
      <c r="S2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0" s="241"/>
      <c r="U220" s="43" t="e">
        <f>IF(Planning[[#This Row],[Horas Planificadas]]&lt;&gt;0,+K220/Planning[[#This Row],[Horas Planificadas]],0)</f>
        <v>#REF!</v>
      </c>
      <c r="V220" s="43" t="e">
        <f>IF(Planning[[#This Row],[Horas Planificadas]]&lt;&gt;0,Planning[[#This Row],[Horas utilizadas]]/Planning[[#This Row],[Horas Planificadas]],0)</f>
        <v>#REF!</v>
      </c>
      <c r="W220" s="44">
        <f>Planning[[#This Row],[Horas Planificadas]]+Planning[[#This Row],[Horas ajustadas adicionales]]</f>
        <v>2830</v>
      </c>
      <c r="X220" s="142"/>
    </row>
    <row r="221" spans="1:24" ht="12.75" customHeight="1" x14ac:dyDescent="0.2">
      <c r="A221" s="7"/>
      <c r="B221" s="7"/>
      <c r="C221" s="3"/>
      <c r="D221" s="3" t="s">
        <v>85</v>
      </c>
      <c r="E221" s="33" t="s">
        <v>31</v>
      </c>
      <c r="F221" s="3"/>
      <c r="G221" s="7"/>
      <c r="H221" s="7">
        <v>336</v>
      </c>
      <c r="I221" s="12"/>
      <c r="J221" s="5" t="e">
        <f>+SUMIFS(#REF!,#REF!,Planning[[#This Row],[Tarifa]],#REF!,Planning[[#This Row],[Proyectos]])</f>
        <v>#REF!</v>
      </c>
      <c r="K221" s="5" t="e">
        <f>Planning[[#This Row],[Horas Planificadas]]+Planning[[#This Row],[Horas ajustadas adicionales]]-Planning[[#This Row],[Horas utilizadas]]</f>
        <v>#REF!</v>
      </c>
      <c r="L221" s="7"/>
      <c r="M221" s="19" t="e">
        <f>Planning[[#This Row],[Saldo]]-Planning[[#This Row],[Saldo estimado]]</f>
        <v>#REF!</v>
      </c>
      <c r="N221" s="60" t="e">
        <f>SUM(SUMIFS(#REF!,#REF!,Planning[[#This Row],[Proyectos]],#REF!,Planning[[#This Row],[Tipo de Tarea y especialidad]]),SUMIFS(#REF!,#REF!,Planning[[#This Row],[Proyectos]],#REF!,Planning[[#This Row],[Tipo de Tarea y especialidad]]))</f>
        <v>#REF!</v>
      </c>
      <c r="O221" s="19">
        <f t="shared" si="6"/>
        <v>10</v>
      </c>
      <c r="P221" s="19">
        <f t="shared" si="7"/>
        <v>2024</v>
      </c>
      <c r="Q221" s="19" t="e">
        <f>+SUMIFS(#REF!,#REF!,Planning[[#This Row],[Tarifa]],#REF!,Planning[[#This Row],[Proyectos]],#REF!,Planning[[#This Row],[Mes]],#REF!,Planning[[#This Row],[Año]])</f>
        <v>#REF!</v>
      </c>
      <c r="R221" s="19" t="str">
        <f>TEXT(Planning[[#This Row],[Mes]]*29,"mmmm")</f>
        <v>October</v>
      </c>
      <c r="S2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1" s="241"/>
      <c r="U221" s="43" t="e">
        <f>IF(Planning[[#This Row],[Horas Planificadas]]&lt;&gt;0,+K221/Planning[[#This Row],[Horas Planificadas]],0)</f>
        <v>#REF!</v>
      </c>
      <c r="V221" s="43" t="e">
        <f>IF(Planning[[#This Row],[Horas Planificadas]]&lt;&gt;0,Planning[[#This Row],[Horas utilizadas]]/Planning[[#This Row],[Horas Planificadas]],0)</f>
        <v>#REF!</v>
      </c>
      <c r="W221" s="44">
        <f>Planning[[#This Row],[Horas Planificadas]]+Planning[[#This Row],[Horas ajustadas adicionales]]</f>
        <v>336</v>
      </c>
      <c r="X221" s="142"/>
    </row>
    <row r="222" spans="1:24" ht="12.75" customHeight="1" x14ac:dyDescent="0.2">
      <c r="A222" s="7"/>
      <c r="B222" s="7"/>
      <c r="C222" s="3"/>
      <c r="D222" s="3" t="s">
        <v>85</v>
      </c>
      <c r="E222" s="33" t="s">
        <v>32</v>
      </c>
      <c r="F222" s="3"/>
      <c r="G222" s="7"/>
      <c r="H222" s="7">
        <v>855</v>
      </c>
      <c r="I222" s="12"/>
      <c r="J222" s="5" t="e">
        <f>+SUMIFS(#REF!,#REF!,Planning[[#This Row],[Tarifa]],#REF!,Planning[[#This Row],[Proyectos]])</f>
        <v>#REF!</v>
      </c>
      <c r="K222" s="5" t="e">
        <f>Planning[[#This Row],[Horas Planificadas]]+Planning[[#This Row],[Horas ajustadas adicionales]]-Planning[[#This Row],[Horas utilizadas]]</f>
        <v>#REF!</v>
      </c>
      <c r="L222" s="7"/>
      <c r="M222" s="19" t="e">
        <f>Planning[[#This Row],[Saldo]]-Planning[[#This Row],[Saldo estimado]]</f>
        <v>#REF!</v>
      </c>
      <c r="N222" s="60" t="e">
        <f>SUM(SUMIFS(#REF!,#REF!,Planning[[#This Row],[Proyectos]],#REF!,Planning[[#This Row],[Tipo de Tarea y especialidad]]),SUMIFS(#REF!,#REF!,Planning[[#This Row],[Proyectos]],#REF!,Planning[[#This Row],[Tipo de Tarea y especialidad]]))</f>
        <v>#REF!</v>
      </c>
      <c r="O222" s="19">
        <f t="shared" si="6"/>
        <v>10</v>
      </c>
      <c r="P222" s="19">
        <f t="shared" si="7"/>
        <v>2024</v>
      </c>
      <c r="Q222" s="19" t="e">
        <f>+SUMIFS(#REF!,#REF!,Planning[[#This Row],[Tarifa]],#REF!,Planning[[#This Row],[Proyectos]],#REF!,Planning[[#This Row],[Mes]],#REF!,Planning[[#This Row],[Año]])</f>
        <v>#REF!</v>
      </c>
      <c r="R222" s="19" t="str">
        <f>TEXT(Planning[[#This Row],[Mes]]*29,"mmmm")</f>
        <v>October</v>
      </c>
      <c r="S2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2" s="241"/>
      <c r="U222" s="43" t="e">
        <f>IF(Planning[[#This Row],[Horas Planificadas]]&lt;&gt;0,+K222/Planning[[#This Row],[Horas Planificadas]],0)</f>
        <v>#REF!</v>
      </c>
      <c r="V222" s="43" t="e">
        <f>IF(Planning[[#This Row],[Horas Planificadas]]&lt;&gt;0,Planning[[#This Row],[Horas utilizadas]]/Planning[[#This Row],[Horas Planificadas]],0)</f>
        <v>#REF!</v>
      </c>
      <c r="W222" s="44">
        <f>Planning[[#This Row],[Horas Planificadas]]+Planning[[#This Row],[Horas ajustadas adicionales]]</f>
        <v>855</v>
      </c>
      <c r="X222" s="142"/>
    </row>
    <row r="223" spans="1:24" ht="12.75" customHeight="1" x14ac:dyDescent="0.2">
      <c r="A223" s="7"/>
      <c r="B223" s="7"/>
      <c r="C223" s="3"/>
      <c r="D223" s="3" t="s">
        <v>86</v>
      </c>
      <c r="E223" s="33" t="s">
        <v>28</v>
      </c>
      <c r="F223" s="3"/>
      <c r="G223" s="7"/>
      <c r="H223" s="7">
        <v>420</v>
      </c>
      <c r="I223" s="12"/>
      <c r="J223" s="5" t="e">
        <f>+SUMIFS(#REF!,#REF!,Planning[[#This Row],[Tarifa]],#REF!,Planning[[#This Row],[Proyectos]])</f>
        <v>#REF!</v>
      </c>
      <c r="K223" s="5" t="e">
        <f>Planning[[#This Row],[Horas Planificadas]]+Planning[[#This Row],[Horas ajustadas adicionales]]-Planning[[#This Row],[Horas utilizadas]]</f>
        <v>#REF!</v>
      </c>
      <c r="L223" s="7"/>
      <c r="M223" s="19" t="e">
        <f>Planning[[#This Row],[Saldo]]-Planning[[#This Row],[Saldo estimado]]</f>
        <v>#REF!</v>
      </c>
      <c r="N223" s="60" t="e">
        <f>SUM(SUMIFS(#REF!,#REF!,Planning[[#This Row],[Proyectos]],#REF!,Planning[[#This Row],[Tipo de Tarea y especialidad]]),SUMIFS(#REF!,#REF!,Planning[[#This Row],[Proyectos]],#REF!,Planning[[#This Row],[Tipo de Tarea y especialidad]]))</f>
        <v>#REF!</v>
      </c>
      <c r="O223" s="19">
        <f t="shared" si="6"/>
        <v>10</v>
      </c>
      <c r="P223" s="19">
        <f t="shared" si="7"/>
        <v>2024</v>
      </c>
      <c r="Q223" s="19" t="e">
        <f>+SUMIFS(#REF!,#REF!,Planning[[#This Row],[Tarifa]],#REF!,Planning[[#This Row],[Proyectos]],#REF!,Planning[[#This Row],[Mes]],#REF!,Planning[[#This Row],[Año]])</f>
        <v>#REF!</v>
      </c>
      <c r="R223" s="19" t="str">
        <f>TEXT(Planning[[#This Row],[Mes]]*29,"mmmm")</f>
        <v>October</v>
      </c>
      <c r="S2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3" s="241"/>
      <c r="U223" s="43" t="e">
        <f>IF(Planning[[#This Row],[Horas Planificadas]]&lt;&gt;0,+K223/Planning[[#This Row],[Horas Planificadas]],0)</f>
        <v>#REF!</v>
      </c>
      <c r="V223" s="43" t="e">
        <f>IF(Planning[[#This Row],[Horas Planificadas]]&lt;&gt;0,Planning[[#This Row],[Horas utilizadas]]/Planning[[#This Row],[Horas Planificadas]],0)</f>
        <v>#REF!</v>
      </c>
      <c r="W223" s="44">
        <f>Planning[[#This Row],[Horas Planificadas]]+Planning[[#This Row],[Horas ajustadas adicionales]]</f>
        <v>420</v>
      </c>
      <c r="X223" s="142"/>
    </row>
    <row r="224" spans="1:24" ht="12.75" customHeight="1" x14ac:dyDescent="0.2">
      <c r="A224" s="7"/>
      <c r="B224" s="7"/>
      <c r="C224" s="3"/>
      <c r="D224" s="3" t="s">
        <v>86</v>
      </c>
      <c r="E224" s="33" t="s">
        <v>30</v>
      </c>
      <c r="F224" s="3"/>
      <c r="G224" s="7"/>
      <c r="H224" s="7">
        <v>440</v>
      </c>
      <c r="I224" s="12"/>
      <c r="J224" s="5" t="e">
        <f>+SUMIFS(#REF!,#REF!,Planning[[#This Row],[Tarifa]],#REF!,Planning[[#This Row],[Proyectos]])</f>
        <v>#REF!</v>
      </c>
      <c r="K224" s="5" t="e">
        <f>Planning[[#This Row],[Horas Planificadas]]+Planning[[#This Row],[Horas ajustadas adicionales]]-Planning[[#This Row],[Horas utilizadas]]</f>
        <v>#REF!</v>
      </c>
      <c r="L224" s="7"/>
      <c r="M224" s="19" t="e">
        <f>Planning[[#This Row],[Saldo]]-Planning[[#This Row],[Saldo estimado]]</f>
        <v>#REF!</v>
      </c>
      <c r="N224" s="60" t="e">
        <f>SUM(SUMIFS(#REF!,#REF!,Planning[[#This Row],[Proyectos]],#REF!,Planning[[#This Row],[Tipo de Tarea y especialidad]]),SUMIFS(#REF!,#REF!,Planning[[#This Row],[Proyectos]],#REF!,Planning[[#This Row],[Tipo de Tarea y especialidad]]))</f>
        <v>#REF!</v>
      </c>
      <c r="O224" s="19">
        <f t="shared" si="6"/>
        <v>10</v>
      </c>
      <c r="P224" s="19">
        <f t="shared" si="7"/>
        <v>2024</v>
      </c>
      <c r="Q224" s="19" t="e">
        <f>+SUMIFS(#REF!,#REF!,Planning[[#This Row],[Tarifa]],#REF!,Planning[[#This Row],[Proyectos]],#REF!,Planning[[#This Row],[Mes]],#REF!,Planning[[#This Row],[Año]])</f>
        <v>#REF!</v>
      </c>
      <c r="R224" s="19" t="str">
        <f>TEXT(Planning[[#This Row],[Mes]]*29,"mmmm")</f>
        <v>October</v>
      </c>
      <c r="S2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4" s="241"/>
      <c r="U224" s="43" t="e">
        <f>IF(Planning[[#This Row],[Horas Planificadas]]&lt;&gt;0,+K224/Planning[[#This Row],[Horas Planificadas]],0)</f>
        <v>#REF!</v>
      </c>
      <c r="V224" s="43" t="e">
        <f>IF(Planning[[#This Row],[Horas Planificadas]]&lt;&gt;0,Planning[[#This Row],[Horas utilizadas]]/Planning[[#This Row],[Horas Planificadas]],0)</f>
        <v>#REF!</v>
      </c>
      <c r="W224" s="44">
        <f>Planning[[#This Row],[Horas Planificadas]]+Planning[[#This Row],[Horas ajustadas adicionales]]</f>
        <v>440</v>
      </c>
      <c r="X224" s="142"/>
    </row>
    <row r="225" spans="1:24" ht="12.75" customHeight="1" x14ac:dyDescent="0.2">
      <c r="A225" s="7"/>
      <c r="B225" s="7"/>
      <c r="C225" s="3"/>
      <c r="D225" s="3" t="s">
        <v>86</v>
      </c>
      <c r="E225" s="33" t="s">
        <v>31</v>
      </c>
      <c r="F225" s="3"/>
      <c r="G225" s="7"/>
      <c r="H225" s="7">
        <v>400</v>
      </c>
      <c r="I225" s="12"/>
      <c r="J225" s="5" t="e">
        <f>+SUMIFS(#REF!,#REF!,Planning[[#This Row],[Tarifa]],#REF!,Planning[[#This Row],[Proyectos]])</f>
        <v>#REF!</v>
      </c>
      <c r="K225" s="5" t="e">
        <f>Planning[[#This Row],[Horas Planificadas]]+Planning[[#This Row],[Horas ajustadas adicionales]]-Planning[[#This Row],[Horas utilizadas]]</f>
        <v>#REF!</v>
      </c>
      <c r="L225" s="7"/>
      <c r="M225" s="19" t="e">
        <f>Planning[[#This Row],[Saldo]]-Planning[[#This Row],[Saldo estimado]]</f>
        <v>#REF!</v>
      </c>
      <c r="N225" s="60" t="e">
        <f>SUM(SUMIFS(#REF!,#REF!,Planning[[#This Row],[Proyectos]],#REF!,Planning[[#This Row],[Tipo de Tarea y especialidad]]),SUMIFS(#REF!,#REF!,Planning[[#This Row],[Proyectos]],#REF!,Planning[[#This Row],[Tipo de Tarea y especialidad]]))</f>
        <v>#REF!</v>
      </c>
      <c r="O225" s="19">
        <f t="shared" si="6"/>
        <v>10</v>
      </c>
      <c r="P225" s="19">
        <f t="shared" si="7"/>
        <v>2024</v>
      </c>
      <c r="Q225" s="19" t="e">
        <f>+SUMIFS(#REF!,#REF!,Planning[[#This Row],[Tarifa]],#REF!,Planning[[#This Row],[Proyectos]],#REF!,Planning[[#This Row],[Mes]],#REF!,Planning[[#This Row],[Año]])</f>
        <v>#REF!</v>
      </c>
      <c r="R225" s="19" t="str">
        <f>TEXT(Planning[[#This Row],[Mes]]*29,"mmmm")</f>
        <v>October</v>
      </c>
      <c r="S2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5" s="241"/>
      <c r="U225" s="43" t="e">
        <f>IF(Planning[[#This Row],[Horas Planificadas]]&lt;&gt;0,+K225/Planning[[#This Row],[Horas Planificadas]],0)</f>
        <v>#REF!</v>
      </c>
      <c r="V225" s="43" t="e">
        <f>IF(Planning[[#This Row],[Horas Planificadas]]&lt;&gt;0,Planning[[#This Row],[Horas utilizadas]]/Planning[[#This Row],[Horas Planificadas]],0)</f>
        <v>#REF!</v>
      </c>
      <c r="W225" s="44">
        <f>Planning[[#This Row],[Horas Planificadas]]+Planning[[#This Row],[Horas ajustadas adicionales]]</f>
        <v>400</v>
      </c>
      <c r="X225" s="142"/>
    </row>
    <row r="226" spans="1:24" ht="12.75" customHeight="1" x14ac:dyDescent="0.2">
      <c r="A226" s="7"/>
      <c r="B226" s="7"/>
      <c r="C226" s="3"/>
      <c r="D226" s="3" t="s">
        <v>86</v>
      </c>
      <c r="E226" s="33" t="s">
        <v>32</v>
      </c>
      <c r="F226" s="3"/>
      <c r="G226" s="7"/>
      <c r="H226" s="7">
        <v>480</v>
      </c>
      <c r="I226" s="12"/>
      <c r="J226" s="5" t="e">
        <f>+SUMIFS(#REF!,#REF!,Planning[[#This Row],[Tarifa]],#REF!,Planning[[#This Row],[Proyectos]])</f>
        <v>#REF!</v>
      </c>
      <c r="K226" s="5" t="e">
        <f>Planning[[#This Row],[Horas Planificadas]]+Planning[[#This Row],[Horas ajustadas adicionales]]-Planning[[#This Row],[Horas utilizadas]]</f>
        <v>#REF!</v>
      </c>
      <c r="L226" s="7"/>
      <c r="M226" s="19" t="e">
        <f>Planning[[#This Row],[Saldo]]-Planning[[#This Row],[Saldo estimado]]</f>
        <v>#REF!</v>
      </c>
      <c r="N226" s="60" t="e">
        <f>SUM(SUMIFS(#REF!,#REF!,Planning[[#This Row],[Proyectos]],#REF!,Planning[[#This Row],[Tipo de Tarea y especialidad]]),SUMIFS(#REF!,#REF!,Planning[[#This Row],[Proyectos]],#REF!,Planning[[#This Row],[Tipo de Tarea y especialidad]]))</f>
        <v>#REF!</v>
      </c>
      <c r="O226" s="19">
        <f t="shared" si="6"/>
        <v>10</v>
      </c>
      <c r="P226" s="19">
        <f t="shared" si="7"/>
        <v>2024</v>
      </c>
      <c r="Q226" s="19" t="e">
        <f>+SUMIFS(#REF!,#REF!,Planning[[#This Row],[Tarifa]],#REF!,Planning[[#This Row],[Proyectos]],#REF!,Planning[[#This Row],[Mes]],#REF!,Planning[[#This Row],[Año]])</f>
        <v>#REF!</v>
      </c>
      <c r="R226" s="19" t="str">
        <f>TEXT(Planning[[#This Row],[Mes]]*29,"mmmm")</f>
        <v>October</v>
      </c>
      <c r="S2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6" s="241"/>
      <c r="U226" s="43" t="e">
        <f>IF(Planning[[#This Row],[Horas Planificadas]]&lt;&gt;0,+K226/Planning[[#This Row],[Horas Planificadas]],0)</f>
        <v>#REF!</v>
      </c>
      <c r="V226" s="43" t="e">
        <f>IF(Planning[[#This Row],[Horas Planificadas]]&lt;&gt;0,Planning[[#This Row],[Horas utilizadas]]/Planning[[#This Row],[Horas Planificadas]],0)</f>
        <v>#REF!</v>
      </c>
      <c r="W226" s="44">
        <f>Planning[[#This Row],[Horas Planificadas]]+Planning[[#This Row],[Horas ajustadas adicionales]]</f>
        <v>480</v>
      </c>
      <c r="X226" s="142"/>
    </row>
    <row r="227" spans="1:24" ht="12.75" customHeight="1" x14ac:dyDescent="0.2">
      <c r="A227" s="7"/>
      <c r="B227" s="7"/>
      <c r="C227" s="3"/>
      <c r="D227" s="3" t="s">
        <v>87</v>
      </c>
      <c r="E227" s="33" t="s">
        <v>28</v>
      </c>
      <c r="F227" s="3"/>
      <c r="G227" s="7"/>
      <c r="H227" s="7">
        <v>345</v>
      </c>
      <c r="I227" s="12"/>
      <c r="J227" s="5" t="e">
        <f>+SUMIFS(#REF!,#REF!,Planning[[#This Row],[Tarifa]],#REF!,Planning[[#This Row],[Proyectos]])</f>
        <v>#REF!</v>
      </c>
      <c r="K227" s="5" t="e">
        <f>Planning[[#This Row],[Horas Planificadas]]+Planning[[#This Row],[Horas ajustadas adicionales]]-Planning[[#This Row],[Horas utilizadas]]</f>
        <v>#REF!</v>
      </c>
      <c r="L227" s="7"/>
      <c r="M227" s="19" t="e">
        <f>Planning[[#This Row],[Saldo]]-Planning[[#This Row],[Saldo estimado]]</f>
        <v>#REF!</v>
      </c>
      <c r="N227" s="60" t="e">
        <f>SUM(SUMIFS(#REF!,#REF!,Planning[[#This Row],[Proyectos]],#REF!,Planning[[#This Row],[Tipo de Tarea y especialidad]]),SUMIFS(#REF!,#REF!,Planning[[#This Row],[Proyectos]],#REF!,Planning[[#This Row],[Tipo de Tarea y especialidad]]))</f>
        <v>#REF!</v>
      </c>
      <c r="O227" s="19">
        <f t="shared" si="6"/>
        <v>10</v>
      </c>
      <c r="P227" s="19">
        <f t="shared" si="7"/>
        <v>2024</v>
      </c>
      <c r="Q227" s="19" t="e">
        <f>+SUMIFS(#REF!,#REF!,Planning[[#This Row],[Tarifa]],#REF!,Planning[[#This Row],[Proyectos]],#REF!,Planning[[#This Row],[Mes]],#REF!,Planning[[#This Row],[Año]])</f>
        <v>#REF!</v>
      </c>
      <c r="R227" s="19" t="str">
        <f>TEXT(Planning[[#This Row],[Mes]]*29,"mmmm")</f>
        <v>October</v>
      </c>
      <c r="S2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7" s="241"/>
      <c r="U227" s="43" t="e">
        <f>IF(Planning[[#This Row],[Horas Planificadas]]&lt;&gt;0,+K227/Planning[[#This Row],[Horas Planificadas]],0)</f>
        <v>#REF!</v>
      </c>
      <c r="V227" s="43" t="e">
        <f>IF(Planning[[#This Row],[Horas Planificadas]]&lt;&gt;0,Planning[[#This Row],[Horas utilizadas]]/Planning[[#This Row],[Horas Planificadas]],0)</f>
        <v>#REF!</v>
      </c>
      <c r="W227" s="44">
        <f>Planning[[#This Row],[Horas Planificadas]]+Planning[[#This Row],[Horas ajustadas adicionales]]</f>
        <v>345</v>
      </c>
      <c r="X227" s="142"/>
    </row>
    <row r="228" spans="1:24" ht="12.75" customHeight="1" x14ac:dyDescent="0.2">
      <c r="A228" s="7"/>
      <c r="B228" s="7"/>
      <c r="C228" s="3"/>
      <c r="D228" s="3" t="s">
        <v>87</v>
      </c>
      <c r="E228" s="33" t="s">
        <v>30</v>
      </c>
      <c r="F228" s="3"/>
      <c r="G228" s="7"/>
      <c r="H228" s="7">
        <v>245</v>
      </c>
      <c r="I228" s="12"/>
      <c r="J228" s="5" t="e">
        <f>+SUMIFS(#REF!,#REF!,Planning[[#This Row],[Tarifa]],#REF!,Planning[[#This Row],[Proyectos]])</f>
        <v>#REF!</v>
      </c>
      <c r="K228" s="5" t="e">
        <f>Planning[[#This Row],[Horas Planificadas]]+Planning[[#This Row],[Horas ajustadas adicionales]]-Planning[[#This Row],[Horas utilizadas]]</f>
        <v>#REF!</v>
      </c>
      <c r="L228" s="7"/>
      <c r="M228" s="19" t="e">
        <f>Planning[[#This Row],[Saldo]]-Planning[[#This Row],[Saldo estimado]]</f>
        <v>#REF!</v>
      </c>
      <c r="N228" s="60" t="e">
        <f>SUM(SUMIFS(#REF!,#REF!,Planning[[#This Row],[Proyectos]],#REF!,Planning[[#This Row],[Tipo de Tarea y especialidad]]),SUMIFS(#REF!,#REF!,Planning[[#This Row],[Proyectos]],#REF!,Planning[[#This Row],[Tipo de Tarea y especialidad]]))</f>
        <v>#REF!</v>
      </c>
      <c r="O228" s="19">
        <f t="shared" si="6"/>
        <v>10</v>
      </c>
      <c r="P228" s="19">
        <f t="shared" si="7"/>
        <v>2024</v>
      </c>
      <c r="Q228" s="19" t="e">
        <f>+SUMIFS(#REF!,#REF!,Planning[[#This Row],[Tarifa]],#REF!,Planning[[#This Row],[Proyectos]],#REF!,Planning[[#This Row],[Mes]],#REF!,Planning[[#This Row],[Año]])</f>
        <v>#REF!</v>
      </c>
      <c r="R228" s="19" t="str">
        <f>TEXT(Planning[[#This Row],[Mes]]*29,"mmmm")</f>
        <v>October</v>
      </c>
      <c r="S2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8" s="241"/>
      <c r="U228" s="43" t="e">
        <f>IF(Planning[[#This Row],[Horas Planificadas]]&lt;&gt;0,+K228/Planning[[#This Row],[Horas Planificadas]],0)</f>
        <v>#REF!</v>
      </c>
      <c r="V228" s="43" t="e">
        <f>IF(Planning[[#This Row],[Horas Planificadas]]&lt;&gt;0,Planning[[#This Row],[Horas utilizadas]]/Planning[[#This Row],[Horas Planificadas]],0)</f>
        <v>#REF!</v>
      </c>
      <c r="W228" s="44">
        <f>Planning[[#This Row],[Horas Planificadas]]+Planning[[#This Row],[Horas ajustadas adicionales]]</f>
        <v>245</v>
      </c>
      <c r="X228" s="142"/>
    </row>
    <row r="229" spans="1:24" ht="12.75" customHeight="1" x14ac:dyDescent="0.2">
      <c r="A229" s="7"/>
      <c r="B229" s="7"/>
      <c r="C229" s="3"/>
      <c r="D229" s="3" t="s">
        <v>87</v>
      </c>
      <c r="E229" s="33" t="s">
        <v>31</v>
      </c>
      <c r="F229" s="3"/>
      <c r="G229" s="7"/>
      <c r="H229" s="7">
        <v>42</v>
      </c>
      <c r="I229" s="12"/>
      <c r="J229" s="5" t="e">
        <f>+SUMIFS(#REF!,#REF!,Planning[[#This Row],[Tarifa]],#REF!,Planning[[#This Row],[Proyectos]])</f>
        <v>#REF!</v>
      </c>
      <c r="K229" s="5" t="e">
        <f>Planning[[#This Row],[Horas Planificadas]]+Planning[[#This Row],[Horas ajustadas adicionales]]-Planning[[#This Row],[Horas utilizadas]]</f>
        <v>#REF!</v>
      </c>
      <c r="L229" s="7"/>
      <c r="M229" s="19" t="e">
        <f>Planning[[#This Row],[Saldo]]-Planning[[#This Row],[Saldo estimado]]</f>
        <v>#REF!</v>
      </c>
      <c r="N229" s="60" t="e">
        <f>SUM(SUMIFS(#REF!,#REF!,Planning[[#This Row],[Proyectos]],#REF!,Planning[[#This Row],[Tipo de Tarea y especialidad]]),SUMIFS(#REF!,#REF!,Planning[[#This Row],[Proyectos]],#REF!,Planning[[#This Row],[Tipo de Tarea y especialidad]]))</f>
        <v>#REF!</v>
      </c>
      <c r="O229" s="19">
        <f t="shared" si="6"/>
        <v>10</v>
      </c>
      <c r="P229" s="19">
        <f t="shared" si="7"/>
        <v>2024</v>
      </c>
      <c r="Q229" s="19" t="e">
        <f>+SUMIFS(#REF!,#REF!,Planning[[#This Row],[Tarifa]],#REF!,Planning[[#This Row],[Proyectos]],#REF!,Planning[[#This Row],[Mes]],#REF!,Planning[[#This Row],[Año]])</f>
        <v>#REF!</v>
      </c>
      <c r="R229" s="19" t="str">
        <f>TEXT(Planning[[#This Row],[Mes]]*29,"mmmm")</f>
        <v>October</v>
      </c>
      <c r="S2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9" s="241"/>
      <c r="U229" s="43" t="e">
        <f>IF(Planning[[#This Row],[Horas Planificadas]]&lt;&gt;0,+K229/Planning[[#This Row],[Horas Planificadas]],0)</f>
        <v>#REF!</v>
      </c>
      <c r="V229" s="43" t="e">
        <f>IF(Planning[[#This Row],[Horas Planificadas]]&lt;&gt;0,Planning[[#This Row],[Horas utilizadas]]/Planning[[#This Row],[Horas Planificadas]],0)</f>
        <v>#REF!</v>
      </c>
      <c r="W229" s="44">
        <f>Planning[[#This Row],[Horas Planificadas]]+Planning[[#This Row],[Horas ajustadas adicionales]]</f>
        <v>42</v>
      </c>
      <c r="X229" s="142"/>
    </row>
    <row r="230" spans="1:24" ht="12.75" customHeight="1" x14ac:dyDescent="0.2">
      <c r="A230" s="7"/>
      <c r="B230" s="7"/>
      <c r="C230" s="3"/>
      <c r="D230" s="3" t="s">
        <v>87</v>
      </c>
      <c r="E230" s="33" t="s">
        <v>32</v>
      </c>
      <c r="F230" s="3"/>
      <c r="G230" s="7"/>
      <c r="H230" s="7">
        <v>180</v>
      </c>
      <c r="I230" s="12"/>
      <c r="J230" s="5" t="e">
        <f>+SUMIFS(#REF!,#REF!,Planning[[#This Row],[Tarifa]],#REF!,Planning[[#This Row],[Proyectos]])</f>
        <v>#REF!</v>
      </c>
      <c r="K230" s="5" t="e">
        <f>Planning[[#This Row],[Horas Planificadas]]+Planning[[#This Row],[Horas ajustadas adicionales]]-Planning[[#This Row],[Horas utilizadas]]</f>
        <v>#REF!</v>
      </c>
      <c r="L230" s="7"/>
      <c r="M230" s="19" t="e">
        <f>Planning[[#This Row],[Saldo]]-Planning[[#This Row],[Saldo estimado]]</f>
        <v>#REF!</v>
      </c>
      <c r="N230" s="60" t="e">
        <f>SUM(SUMIFS(#REF!,#REF!,Planning[[#This Row],[Proyectos]],#REF!,Planning[[#This Row],[Tipo de Tarea y especialidad]]),SUMIFS(#REF!,#REF!,Planning[[#This Row],[Proyectos]],#REF!,Planning[[#This Row],[Tipo de Tarea y especialidad]]))</f>
        <v>#REF!</v>
      </c>
      <c r="O230" s="19">
        <f t="shared" si="6"/>
        <v>10</v>
      </c>
      <c r="P230" s="19">
        <f t="shared" si="7"/>
        <v>2024</v>
      </c>
      <c r="Q230" s="19" t="e">
        <f>+SUMIFS(#REF!,#REF!,Planning[[#This Row],[Tarifa]],#REF!,Planning[[#This Row],[Proyectos]],#REF!,Planning[[#This Row],[Mes]],#REF!,Planning[[#This Row],[Año]])</f>
        <v>#REF!</v>
      </c>
      <c r="R230" s="19" t="str">
        <f>TEXT(Planning[[#This Row],[Mes]]*29,"mmmm")</f>
        <v>October</v>
      </c>
      <c r="S2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0" s="241"/>
      <c r="U230" s="43" t="e">
        <f>IF(Planning[[#This Row],[Horas Planificadas]]&lt;&gt;0,+K230/Planning[[#This Row],[Horas Planificadas]],0)</f>
        <v>#REF!</v>
      </c>
      <c r="V230" s="43" t="e">
        <f>IF(Planning[[#This Row],[Horas Planificadas]]&lt;&gt;0,Planning[[#This Row],[Horas utilizadas]]/Planning[[#This Row],[Horas Planificadas]],0)</f>
        <v>#REF!</v>
      </c>
      <c r="W230" s="44">
        <f>Planning[[#This Row],[Horas Planificadas]]+Planning[[#This Row],[Horas ajustadas adicionales]]</f>
        <v>180</v>
      </c>
      <c r="X230" s="142"/>
    </row>
    <row r="231" spans="1:24" ht="12.75" customHeight="1" x14ac:dyDescent="0.2">
      <c r="A231" s="7"/>
      <c r="B231" s="7"/>
      <c r="C231" s="3"/>
      <c r="D231" s="3" t="s">
        <v>88</v>
      </c>
      <c r="E231" s="33" t="s">
        <v>28</v>
      </c>
      <c r="F231" s="3"/>
      <c r="G231" s="7"/>
      <c r="H231" s="7">
        <v>45</v>
      </c>
      <c r="I231" s="12"/>
      <c r="J231" s="5" t="e">
        <f>+SUMIFS(#REF!,#REF!,Planning[[#This Row],[Tarifa]],#REF!,Planning[[#This Row],[Proyectos]])</f>
        <v>#REF!</v>
      </c>
      <c r="K231" s="5" t="e">
        <f>Planning[[#This Row],[Horas Planificadas]]+Planning[[#This Row],[Horas ajustadas adicionales]]-Planning[[#This Row],[Horas utilizadas]]</f>
        <v>#REF!</v>
      </c>
      <c r="L231" s="7"/>
      <c r="M231" s="19" t="e">
        <f>Planning[[#This Row],[Saldo]]-Planning[[#This Row],[Saldo estimado]]</f>
        <v>#REF!</v>
      </c>
      <c r="N231" s="60" t="e">
        <f>SUM(SUMIFS(#REF!,#REF!,Planning[[#This Row],[Proyectos]],#REF!,Planning[[#This Row],[Tipo de Tarea y especialidad]]),SUMIFS(#REF!,#REF!,Planning[[#This Row],[Proyectos]],#REF!,Planning[[#This Row],[Tipo de Tarea y especialidad]]))</f>
        <v>#REF!</v>
      </c>
      <c r="O231" s="19">
        <f t="shared" si="6"/>
        <v>10</v>
      </c>
      <c r="P231" s="19">
        <f t="shared" si="7"/>
        <v>2024</v>
      </c>
      <c r="Q231" s="19" t="e">
        <f>+SUMIFS(#REF!,#REF!,Planning[[#This Row],[Tarifa]],#REF!,Planning[[#This Row],[Proyectos]],#REF!,Planning[[#This Row],[Mes]],#REF!,Planning[[#This Row],[Año]])</f>
        <v>#REF!</v>
      </c>
      <c r="R231" s="19" t="str">
        <f>TEXT(Planning[[#This Row],[Mes]]*29,"mmmm")</f>
        <v>October</v>
      </c>
      <c r="S2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1" s="241"/>
      <c r="U231" s="43" t="e">
        <f>IF(Planning[[#This Row],[Horas Planificadas]]&lt;&gt;0,+K231/Planning[[#This Row],[Horas Planificadas]],0)</f>
        <v>#REF!</v>
      </c>
      <c r="V231" s="43" t="e">
        <f>IF(Planning[[#This Row],[Horas Planificadas]]&lt;&gt;0,Planning[[#This Row],[Horas utilizadas]]/Planning[[#This Row],[Horas Planificadas]],0)</f>
        <v>#REF!</v>
      </c>
      <c r="W231" s="44">
        <f>Planning[[#This Row],[Horas Planificadas]]+Planning[[#This Row],[Horas ajustadas adicionales]]</f>
        <v>45</v>
      </c>
      <c r="X231" s="142"/>
    </row>
    <row r="232" spans="1:24" ht="12.75" customHeight="1" x14ac:dyDescent="0.2">
      <c r="A232" s="7"/>
      <c r="B232" s="7"/>
      <c r="C232" s="3"/>
      <c r="D232" s="3" t="s">
        <v>88</v>
      </c>
      <c r="E232" s="33" t="s">
        <v>30</v>
      </c>
      <c r="F232" s="3"/>
      <c r="G232" s="7"/>
      <c r="H232" s="7">
        <v>50</v>
      </c>
      <c r="I232" s="12"/>
      <c r="J232" s="5" t="e">
        <f>+SUMIFS(#REF!,#REF!,Planning[[#This Row],[Tarifa]],#REF!,Planning[[#This Row],[Proyectos]])</f>
        <v>#REF!</v>
      </c>
      <c r="K232" s="5" t="e">
        <f>Planning[[#This Row],[Horas Planificadas]]+Planning[[#This Row],[Horas ajustadas adicionales]]-Planning[[#This Row],[Horas utilizadas]]</f>
        <v>#REF!</v>
      </c>
      <c r="L232" s="7"/>
      <c r="M232" s="19" t="e">
        <f>Planning[[#This Row],[Saldo]]-Planning[[#This Row],[Saldo estimado]]</f>
        <v>#REF!</v>
      </c>
      <c r="N232" s="60" t="e">
        <f>SUM(SUMIFS(#REF!,#REF!,Planning[[#This Row],[Proyectos]],#REF!,Planning[[#This Row],[Tipo de Tarea y especialidad]]),SUMIFS(#REF!,#REF!,Planning[[#This Row],[Proyectos]],#REF!,Planning[[#This Row],[Tipo de Tarea y especialidad]]))</f>
        <v>#REF!</v>
      </c>
      <c r="O232" s="19">
        <f t="shared" si="6"/>
        <v>10</v>
      </c>
      <c r="P232" s="19">
        <f t="shared" si="7"/>
        <v>2024</v>
      </c>
      <c r="Q232" s="19" t="e">
        <f>+SUMIFS(#REF!,#REF!,Planning[[#This Row],[Tarifa]],#REF!,Planning[[#This Row],[Proyectos]],#REF!,Planning[[#This Row],[Mes]],#REF!,Planning[[#This Row],[Año]])</f>
        <v>#REF!</v>
      </c>
      <c r="R232" s="19" t="str">
        <f>TEXT(Planning[[#This Row],[Mes]]*29,"mmmm")</f>
        <v>October</v>
      </c>
      <c r="S2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2" s="241"/>
      <c r="U232" s="43" t="e">
        <f>IF(Planning[[#This Row],[Horas Planificadas]]&lt;&gt;0,+K232/Planning[[#This Row],[Horas Planificadas]],0)</f>
        <v>#REF!</v>
      </c>
      <c r="V232" s="43" t="e">
        <f>IF(Planning[[#This Row],[Horas Planificadas]]&lt;&gt;0,Planning[[#This Row],[Horas utilizadas]]/Planning[[#This Row],[Horas Planificadas]],0)</f>
        <v>#REF!</v>
      </c>
      <c r="W232" s="44">
        <f>Planning[[#This Row],[Horas Planificadas]]+Planning[[#This Row],[Horas ajustadas adicionales]]</f>
        <v>50</v>
      </c>
      <c r="X232" s="142"/>
    </row>
    <row r="233" spans="1:24" ht="12.75" customHeight="1" x14ac:dyDescent="0.2">
      <c r="A233" s="7"/>
      <c r="B233" s="7"/>
      <c r="C233" s="3"/>
      <c r="D233" s="3" t="s">
        <v>88</v>
      </c>
      <c r="E233" s="33" t="s">
        <v>31</v>
      </c>
      <c r="F233" s="3"/>
      <c r="G233" s="7"/>
      <c r="H233" s="7">
        <v>50</v>
      </c>
      <c r="I233" s="12"/>
      <c r="J233" s="5" t="e">
        <f>+SUMIFS(#REF!,#REF!,Planning[[#This Row],[Tarifa]],#REF!,Planning[[#This Row],[Proyectos]])</f>
        <v>#REF!</v>
      </c>
      <c r="K233" s="5" t="e">
        <f>Planning[[#This Row],[Horas Planificadas]]+Planning[[#This Row],[Horas ajustadas adicionales]]-Planning[[#This Row],[Horas utilizadas]]</f>
        <v>#REF!</v>
      </c>
      <c r="L233" s="7"/>
      <c r="M233" s="19" t="e">
        <f>Planning[[#This Row],[Saldo]]-Planning[[#This Row],[Saldo estimado]]</f>
        <v>#REF!</v>
      </c>
      <c r="N233" s="60" t="e">
        <f>SUM(SUMIFS(#REF!,#REF!,Planning[[#This Row],[Proyectos]],#REF!,Planning[[#This Row],[Tipo de Tarea y especialidad]]),SUMIFS(#REF!,#REF!,Planning[[#This Row],[Proyectos]],#REF!,Planning[[#This Row],[Tipo de Tarea y especialidad]]))</f>
        <v>#REF!</v>
      </c>
      <c r="O233" s="19">
        <f t="shared" si="6"/>
        <v>10</v>
      </c>
      <c r="P233" s="19">
        <f t="shared" si="7"/>
        <v>2024</v>
      </c>
      <c r="Q233" s="19" t="e">
        <f>+SUMIFS(#REF!,#REF!,Planning[[#This Row],[Tarifa]],#REF!,Planning[[#This Row],[Proyectos]],#REF!,Planning[[#This Row],[Mes]],#REF!,Planning[[#This Row],[Año]])</f>
        <v>#REF!</v>
      </c>
      <c r="R233" s="19" t="str">
        <f>TEXT(Planning[[#This Row],[Mes]]*29,"mmmm")</f>
        <v>October</v>
      </c>
      <c r="S2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3" s="241"/>
      <c r="U233" s="43" t="e">
        <f>IF(Planning[[#This Row],[Horas Planificadas]]&lt;&gt;0,+K233/Planning[[#This Row],[Horas Planificadas]],0)</f>
        <v>#REF!</v>
      </c>
      <c r="V233" s="43" t="e">
        <f>IF(Planning[[#This Row],[Horas Planificadas]]&lt;&gt;0,Planning[[#This Row],[Horas utilizadas]]/Planning[[#This Row],[Horas Planificadas]],0)</f>
        <v>#REF!</v>
      </c>
      <c r="W233" s="44">
        <f>Planning[[#This Row],[Horas Planificadas]]+Planning[[#This Row],[Horas ajustadas adicionales]]</f>
        <v>50</v>
      </c>
      <c r="X233" s="142"/>
    </row>
    <row r="234" spans="1:24" ht="12.75" customHeight="1" x14ac:dyDescent="0.2">
      <c r="A234" s="7"/>
      <c r="B234" s="7"/>
      <c r="C234" s="3"/>
      <c r="D234" s="3" t="s">
        <v>88</v>
      </c>
      <c r="E234" s="33" t="s">
        <v>32</v>
      </c>
      <c r="F234" s="3"/>
      <c r="G234" s="7"/>
      <c r="H234" s="7">
        <v>50</v>
      </c>
      <c r="I234" s="12"/>
      <c r="J234" s="5" t="e">
        <f>+SUMIFS(#REF!,#REF!,Planning[[#This Row],[Tarifa]],#REF!,Planning[[#This Row],[Proyectos]])</f>
        <v>#REF!</v>
      </c>
      <c r="K234" s="5" t="e">
        <f>Planning[[#This Row],[Horas Planificadas]]+Planning[[#This Row],[Horas ajustadas adicionales]]-Planning[[#This Row],[Horas utilizadas]]</f>
        <v>#REF!</v>
      </c>
      <c r="L234" s="7"/>
      <c r="M234" s="19" t="e">
        <f>Planning[[#This Row],[Saldo]]-Planning[[#This Row],[Saldo estimado]]</f>
        <v>#REF!</v>
      </c>
      <c r="N234" s="60" t="e">
        <f>SUM(SUMIFS(#REF!,#REF!,Planning[[#This Row],[Proyectos]],#REF!,Planning[[#This Row],[Tipo de Tarea y especialidad]]),SUMIFS(#REF!,#REF!,Planning[[#This Row],[Proyectos]],#REF!,Planning[[#This Row],[Tipo de Tarea y especialidad]]))</f>
        <v>#REF!</v>
      </c>
      <c r="O234" s="19">
        <f t="shared" si="6"/>
        <v>10</v>
      </c>
      <c r="P234" s="19">
        <f t="shared" si="7"/>
        <v>2024</v>
      </c>
      <c r="Q234" s="19" t="e">
        <f>+SUMIFS(#REF!,#REF!,Planning[[#This Row],[Tarifa]],#REF!,Planning[[#This Row],[Proyectos]],#REF!,Planning[[#This Row],[Mes]],#REF!,Planning[[#This Row],[Año]])</f>
        <v>#REF!</v>
      </c>
      <c r="R234" s="19" t="str">
        <f>TEXT(Planning[[#This Row],[Mes]]*29,"mmmm")</f>
        <v>October</v>
      </c>
      <c r="S2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4" s="241"/>
      <c r="U234" s="43" t="e">
        <f>IF(Planning[[#This Row],[Horas Planificadas]]&lt;&gt;0,+K234/Planning[[#This Row],[Horas Planificadas]],0)</f>
        <v>#REF!</v>
      </c>
      <c r="V234" s="43" t="e">
        <f>IF(Planning[[#This Row],[Horas Planificadas]]&lt;&gt;0,Planning[[#This Row],[Horas utilizadas]]/Planning[[#This Row],[Horas Planificadas]],0)</f>
        <v>#REF!</v>
      </c>
      <c r="W234" s="44">
        <f>Planning[[#This Row],[Horas Planificadas]]+Planning[[#This Row],[Horas ajustadas adicionales]]</f>
        <v>50</v>
      </c>
      <c r="X234" s="142"/>
    </row>
    <row r="235" spans="1:24" ht="12.75" customHeight="1" x14ac:dyDescent="0.2">
      <c r="A235" s="7"/>
      <c r="B235" s="7"/>
      <c r="C235" s="3"/>
      <c r="D235" s="3" t="s">
        <v>89</v>
      </c>
      <c r="E235" s="33" t="s">
        <v>28</v>
      </c>
      <c r="F235" s="3"/>
      <c r="G235" s="7"/>
      <c r="H235" s="7">
        <v>0</v>
      </c>
      <c r="I235" s="12"/>
      <c r="J235" s="5" t="e">
        <f>+SUMIFS(#REF!,#REF!,Planning[[#This Row],[Tarifa]],#REF!,Planning[[#This Row],[Proyectos]])</f>
        <v>#REF!</v>
      </c>
      <c r="K235" s="5" t="e">
        <f>Planning[[#This Row],[Horas Planificadas]]+Planning[[#This Row],[Horas ajustadas adicionales]]-Planning[[#This Row],[Horas utilizadas]]</f>
        <v>#REF!</v>
      </c>
      <c r="L235" s="7"/>
      <c r="M235" s="19" t="e">
        <f>Planning[[#This Row],[Saldo]]-Planning[[#This Row],[Saldo estimado]]</f>
        <v>#REF!</v>
      </c>
      <c r="N235" s="60" t="e">
        <f>SUM(SUMIFS(#REF!,#REF!,Planning[[#This Row],[Proyectos]],#REF!,Planning[[#This Row],[Tipo de Tarea y especialidad]]),SUMIFS(#REF!,#REF!,Planning[[#This Row],[Proyectos]],#REF!,Planning[[#This Row],[Tipo de Tarea y especialidad]]))</f>
        <v>#REF!</v>
      </c>
      <c r="O235" s="19">
        <f t="shared" si="6"/>
        <v>10</v>
      </c>
      <c r="P235" s="19">
        <f t="shared" si="7"/>
        <v>2024</v>
      </c>
      <c r="Q235" s="19" t="e">
        <f>+SUMIFS(#REF!,#REF!,Planning[[#This Row],[Tarifa]],#REF!,Planning[[#This Row],[Proyectos]],#REF!,Planning[[#This Row],[Mes]],#REF!,Planning[[#This Row],[Año]])</f>
        <v>#REF!</v>
      </c>
      <c r="R235" s="19" t="str">
        <f>TEXT(Planning[[#This Row],[Mes]]*29,"mmmm")</f>
        <v>October</v>
      </c>
      <c r="S2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5" s="241"/>
      <c r="U235" s="43">
        <f>IF(Planning[[#This Row],[Horas Planificadas]]&lt;&gt;0,+K235/Planning[[#This Row],[Horas Planificadas]],0)</f>
        <v>0</v>
      </c>
      <c r="V235" s="43">
        <f>IF(Planning[[#This Row],[Horas Planificadas]]&lt;&gt;0,Planning[[#This Row],[Horas utilizadas]]/Planning[[#This Row],[Horas Planificadas]],0)</f>
        <v>0</v>
      </c>
      <c r="W235" s="44">
        <f>Planning[[#This Row],[Horas Planificadas]]+Planning[[#This Row],[Horas ajustadas adicionales]]</f>
        <v>0</v>
      </c>
      <c r="X235" s="142"/>
    </row>
    <row r="236" spans="1:24" ht="12.75" customHeight="1" x14ac:dyDescent="0.2">
      <c r="A236" s="7"/>
      <c r="B236" s="7"/>
      <c r="C236" s="3"/>
      <c r="D236" s="3" t="s">
        <v>89</v>
      </c>
      <c r="E236" s="33" t="s">
        <v>30</v>
      </c>
      <c r="F236" s="3"/>
      <c r="G236" s="7"/>
      <c r="H236" s="7">
        <v>45</v>
      </c>
      <c r="I236" s="12"/>
      <c r="J236" s="5" t="e">
        <f>+SUMIFS(#REF!,#REF!,Planning[[#This Row],[Tarifa]],#REF!,Planning[[#This Row],[Proyectos]])</f>
        <v>#REF!</v>
      </c>
      <c r="K236" s="5" t="e">
        <f>Planning[[#This Row],[Horas Planificadas]]+Planning[[#This Row],[Horas ajustadas adicionales]]-Planning[[#This Row],[Horas utilizadas]]</f>
        <v>#REF!</v>
      </c>
      <c r="L236" s="7"/>
      <c r="M236" s="19" t="e">
        <f>Planning[[#This Row],[Saldo]]-Planning[[#This Row],[Saldo estimado]]</f>
        <v>#REF!</v>
      </c>
      <c r="N236" s="60" t="e">
        <f>SUM(SUMIFS(#REF!,#REF!,Planning[[#This Row],[Proyectos]],#REF!,Planning[[#This Row],[Tipo de Tarea y especialidad]]),SUMIFS(#REF!,#REF!,Planning[[#This Row],[Proyectos]],#REF!,Planning[[#This Row],[Tipo de Tarea y especialidad]]))</f>
        <v>#REF!</v>
      </c>
      <c r="O236" s="19">
        <f t="shared" si="6"/>
        <v>10</v>
      </c>
      <c r="P236" s="19">
        <f t="shared" si="7"/>
        <v>2024</v>
      </c>
      <c r="Q236" s="19" t="e">
        <f>+SUMIFS(#REF!,#REF!,Planning[[#This Row],[Tarifa]],#REF!,Planning[[#This Row],[Proyectos]],#REF!,Planning[[#This Row],[Mes]],#REF!,Planning[[#This Row],[Año]])</f>
        <v>#REF!</v>
      </c>
      <c r="R236" s="19" t="str">
        <f>TEXT(Planning[[#This Row],[Mes]]*29,"mmmm")</f>
        <v>October</v>
      </c>
      <c r="S2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6" s="241"/>
      <c r="U236" s="43" t="e">
        <f>IF(Planning[[#This Row],[Horas Planificadas]]&lt;&gt;0,+K236/Planning[[#This Row],[Horas Planificadas]],0)</f>
        <v>#REF!</v>
      </c>
      <c r="V236" s="43" t="e">
        <f>IF(Planning[[#This Row],[Horas Planificadas]]&lt;&gt;0,Planning[[#This Row],[Horas utilizadas]]/Planning[[#This Row],[Horas Planificadas]],0)</f>
        <v>#REF!</v>
      </c>
      <c r="W236" s="44">
        <f>Planning[[#This Row],[Horas Planificadas]]+Planning[[#This Row],[Horas ajustadas adicionales]]</f>
        <v>45</v>
      </c>
      <c r="X236" s="142"/>
    </row>
    <row r="237" spans="1:24" ht="12.75" customHeight="1" x14ac:dyDescent="0.2">
      <c r="A237" s="7"/>
      <c r="B237" s="7"/>
      <c r="C237" s="3"/>
      <c r="D237" s="3" t="s">
        <v>89</v>
      </c>
      <c r="E237" s="33" t="s">
        <v>31</v>
      </c>
      <c r="F237" s="3"/>
      <c r="G237" s="7"/>
      <c r="H237" s="7">
        <v>27</v>
      </c>
      <c r="I237" s="12"/>
      <c r="J237" s="5" t="e">
        <f>+SUMIFS(#REF!,#REF!,Planning[[#This Row],[Tarifa]],#REF!,Planning[[#This Row],[Proyectos]])</f>
        <v>#REF!</v>
      </c>
      <c r="K237" s="5" t="e">
        <f>Planning[[#This Row],[Horas Planificadas]]+Planning[[#This Row],[Horas ajustadas adicionales]]-Planning[[#This Row],[Horas utilizadas]]</f>
        <v>#REF!</v>
      </c>
      <c r="L237" s="7"/>
      <c r="M237" s="19" t="e">
        <f>Planning[[#This Row],[Saldo]]-Planning[[#This Row],[Saldo estimado]]</f>
        <v>#REF!</v>
      </c>
      <c r="N237" s="60" t="e">
        <f>SUM(SUMIFS(#REF!,#REF!,Planning[[#This Row],[Proyectos]],#REF!,Planning[[#This Row],[Tipo de Tarea y especialidad]]),SUMIFS(#REF!,#REF!,Planning[[#This Row],[Proyectos]],#REF!,Planning[[#This Row],[Tipo de Tarea y especialidad]]))</f>
        <v>#REF!</v>
      </c>
      <c r="O237" s="19">
        <f t="shared" si="6"/>
        <v>10</v>
      </c>
      <c r="P237" s="19">
        <f t="shared" si="7"/>
        <v>2024</v>
      </c>
      <c r="Q237" s="19" t="e">
        <f>+SUMIFS(#REF!,#REF!,Planning[[#This Row],[Tarifa]],#REF!,Planning[[#This Row],[Proyectos]],#REF!,Planning[[#This Row],[Mes]],#REF!,Planning[[#This Row],[Año]])</f>
        <v>#REF!</v>
      </c>
      <c r="R237" s="19" t="str">
        <f>TEXT(Planning[[#This Row],[Mes]]*29,"mmmm")</f>
        <v>October</v>
      </c>
      <c r="S2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7" s="241"/>
      <c r="U237" s="43" t="e">
        <f>IF(Planning[[#This Row],[Horas Planificadas]]&lt;&gt;0,+K237/Planning[[#This Row],[Horas Planificadas]],0)</f>
        <v>#REF!</v>
      </c>
      <c r="V237" s="43" t="e">
        <f>IF(Planning[[#This Row],[Horas Planificadas]]&lt;&gt;0,Planning[[#This Row],[Horas utilizadas]]/Planning[[#This Row],[Horas Planificadas]],0)</f>
        <v>#REF!</v>
      </c>
      <c r="W237" s="44">
        <f>Planning[[#This Row],[Horas Planificadas]]+Planning[[#This Row],[Horas ajustadas adicionales]]</f>
        <v>27</v>
      </c>
      <c r="X237" s="142"/>
    </row>
    <row r="238" spans="1:24" ht="12.75" customHeight="1" x14ac:dyDescent="0.2">
      <c r="A238" s="7"/>
      <c r="B238" s="7"/>
      <c r="C238" s="3"/>
      <c r="D238" s="3" t="s">
        <v>89</v>
      </c>
      <c r="E238" s="33" t="s">
        <v>32</v>
      </c>
      <c r="F238" s="3"/>
      <c r="G238" s="7"/>
      <c r="H238" s="7">
        <v>9</v>
      </c>
      <c r="I238" s="12"/>
      <c r="J238" s="5" t="e">
        <f>+SUMIFS(#REF!,#REF!,Planning[[#This Row],[Tarifa]],#REF!,Planning[[#This Row],[Proyectos]])</f>
        <v>#REF!</v>
      </c>
      <c r="K238" s="5" t="e">
        <f>Planning[[#This Row],[Horas Planificadas]]+Planning[[#This Row],[Horas ajustadas adicionales]]-Planning[[#This Row],[Horas utilizadas]]</f>
        <v>#REF!</v>
      </c>
      <c r="L238" s="7"/>
      <c r="M238" s="19" t="e">
        <f>Planning[[#This Row],[Saldo]]-Planning[[#This Row],[Saldo estimado]]</f>
        <v>#REF!</v>
      </c>
      <c r="N238" s="60" t="e">
        <f>SUM(SUMIFS(#REF!,#REF!,Planning[[#This Row],[Proyectos]],#REF!,Planning[[#This Row],[Tipo de Tarea y especialidad]]),SUMIFS(#REF!,#REF!,Planning[[#This Row],[Proyectos]],#REF!,Planning[[#This Row],[Tipo de Tarea y especialidad]]))</f>
        <v>#REF!</v>
      </c>
      <c r="O238" s="19">
        <f t="shared" si="6"/>
        <v>10</v>
      </c>
      <c r="P238" s="19">
        <f t="shared" si="7"/>
        <v>2024</v>
      </c>
      <c r="Q238" s="19" t="e">
        <f>+SUMIFS(#REF!,#REF!,Planning[[#This Row],[Tarifa]],#REF!,Planning[[#This Row],[Proyectos]],#REF!,Planning[[#This Row],[Mes]],#REF!,Planning[[#This Row],[Año]])</f>
        <v>#REF!</v>
      </c>
      <c r="R238" s="19" t="str">
        <f>TEXT(Planning[[#This Row],[Mes]]*29,"mmmm")</f>
        <v>October</v>
      </c>
      <c r="S2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8" s="241"/>
      <c r="U238" s="43" t="e">
        <f>IF(Planning[[#This Row],[Horas Planificadas]]&lt;&gt;0,+K238/Planning[[#This Row],[Horas Planificadas]],0)</f>
        <v>#REF!</v>
      </c>
      <c r="V238" s="43" t="e">
        <f>IF(Planning[[#This Row],[Horas Planificadas]]&lt;&gt;0,Planning[[#This Row],[Horas utilizadas]]/Planning[[#This Row],[Horas Planificadas]],0)</f>
        <v>#REF!</v>
      </c>
      <c r="W238" s="44">
        <f>Planning[[#This Row],[Horas Planificadas]]+Planning[[#This Row],[Horas ajustadas adicionales]]</f>
        <v>9</v>
      </c>
      <c r="X238" s="142"/>
    </row>
    <row r="239" spans="1:24" ht="12.75" customHeight="1" x14ac:dyDescent="0.2">
      <c r="A239" s="7"/>
      <c r="B239" s="7"/>
      <c r="C239" s="3"/>
      <c r="D239" s="3" t="s">
        <v>90</v>
      </c>
      <c r="E239" s="33" t="s">
        <v>28</v>
      </c>
      <c r="F239" s="3"/>
      <c r="G239" s="7"/>
      <c r="H239" s="7">
        <v>140</v>
      </c>
      <c r="I239" s="12"/>
      <c r="J239" s="5" t="e">
        <f>+SUMIFS(#REF!,#REF!,Planning[[#This Row],[Tarifa]],#REF!,Planning[[#This Row],[Proyectos]])</f>
        <v>#REF!</v>
      </c>
      <c r="K239" s="5" t="e">
        <f>Planning[[#This Row],[Horas Planificadas]]+Planning[[#This Row],[Horas ajustadas adicionales]]-Planning[[#This Row],[Horas utilizadas]]</f>
        <v>#REF!</v>
      </c>
      <c r="L239" s="7"/>
      <c r="M239" s="19" t="e">
        <f>Planning[[#This Row],[Saldo]]-Planning[[#This Row],[Saldo estimado]]</f>
        <v>#REF!</v>
      </c>
      <c r="N239" s="60" t="e">
        <f>SUM(SUMIFS(#REF!,#REF!,Planning[[#This Row],[Proyectos]],#REF!,Planning[[#This Row],[Tipo de Tarea y especialidad]]),SUMIFS(#REF!,#REF!,Planning[[#This Row],[Proyectos]],#REF!,Planning[[#This Row],[Tipo de Tarea y especialidad]]))</f>
        <v>#REF!</v>
      </c>
      <c r="O239" s="19">
        <f t="shared" si="6"/>
        <v>10</v>
      </c>
      <c r="P239" s="19">
        <f t="shared" si="7"/>
        <v>2024</v>
      </c>
      <c r="Q239" s="19" t="e">
        <f>+SUMIFS(#REF!,#REF!,Planning[[#This Row],[Tarifa]],#REF!,Planning[[#This Row],[Proyectos]],#REF!,Planning[[#This Row],[Mes]],#REF!,Planning[[#This Row],[Año]])</f>
        <v>#REF!</v>
      </c>
      <c r="R239" s="19" t="str">
        <f>TEXT(Planning[[#This Row],[Mes]]*29,"mmmm")</f>
        <v>October</v>
      </c>
      <c r="S2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9" s="241"/>
      <c r="U239" s="43" t="e">
        <f>IF(Planning[[#This Row],[Horas Planificadas]]&lt;&gt;0,+K239/Planning[[#This Row],[Horas Planificadas]],0)</f>
        <v>#REF!</v>
      </c>
      <c r="V239" s="43" t="e">
        <f>IF(Planning[[#This Row],[Horas Planificadas]]&lt;&gt;0,Planning[[#This Row],[Horas utilizadas]]/Planning[[#This Row],[Horas Planificadas]],0)</f>
        <v>#REF!</v>
      </c>
      <c r="W239" s="44">
        <f>Planning[[#This Row],[Horas Planificadas]]+Planning[[#This Row],[Horas ajustadas adicionales]]</f>
        <v>140</v>
      </c>
      <c r="X239" s="142"/>
    </row>
    <row r="240" spans="1:24" ht="12.75" customHeight="1" x14ac:dyDescent="0.2">
      <c r="A240" s="7"/>
      <c r="B240" s="7"/>
      <c r="C240" s="3"/>
      <c r="D240" s="3" t="s">
        <v>90</v>
      </c>
      <c r="E240" s="33" t="s">
        <v>30</v>
      </c>
      <c r="F240" s="3"/>
      <c r="G240" s="7"/>
      <c r="H240" s="7">
        <v>350</v>
      </c>
      <c r="I240" s="12"/>
      <c r="J240" s="5" t="e">
        <f>+SUMIFS(#REF!,#REF!,Planning[[#This Row],[Tarifa]],#REF!,Planning[[#This Row],[Proyectos]])</f>
        <v>#REF!</v>
      </c>
      <c r="K240" s="5" t="e">
        <f>Planning[[#This Row],[Horas Planificadas]]+Planning[[#This Row],[Horas ajustadas adicionales]]-Planning[[#This Row],[Horas utilizadas]]</f>
        <v>#REF!</v>
      </c>
      <c r="L240" s="7"/>
      <c r="M240" s="19" t="e">
        <f>Planning[[#This Row],[Saldo]]-Planning[[#This Row],[Saldo estimado]]</f>
        <v>#REF!</v>
      </c>
      <c r="N240" s="60" t="e">
        <f>SUM(SUMIFS(#REF!,#REF!,Planning[[#This Row],[Proyectos]],#REF!,Planning[[#This Row],[Tipo de Tarea y especialidad]]),SUMIFS(#REF!,#REF!,Planning[[#This Row],[Proyectos]],#REF!,Planning[[#This Row],[Tipo de Tarea y especialidad]]))</f>
        <v>#REF!</v>
      </c>
      <c r="O240" s="19">
        <f t="shared" si="6"/>
        <v>10</v>
      </c>
      <c r="P240" s="19">
        <f t="shared" si="7"/>
        <v>2024</v>
      </c>
      <c r="Q240" s="19" t="e">
        <f>+SUMIFS(#REF!,#REF!,Planning[[#This Row],[Tarifa]],#REF!,Planning[[#This Row],[Proyectos]],#REF!,Planning[[#This Row],[Mes]],#REF!,Planning[[#This Row],[Año]])</f>
        <v>#REF!</v>
      </c>
      <c r="R240" s="19" t="str">
        <f>TEXT(Planning[[#This Row],[Mes]]*29,"mmmm")</f>
        <v>October</v>
      </c>
      <c r="S2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0" s="241"/>
      <c r="U240" s="43" t="e">
        <f>IF(Planning[[#This Row],[Horas Planificadas]]&lt;&gt;0,+K240/Planning[[#This Row],[Horas Planificadas]],0)</f>
        <v>#REF!</v>
      </c>
      <c r="V240" s="43" t="e">
        <f>IF(Planning[[#This Row],[Horas Planificadas]]&lt;&gt;0,Planning[[#This Row],[Horas utilizadas]]/Planning[[#This Row],[Horas Planificadas]],0)</f>
        <v>#REF!</v>
      </c>
      <c r="W240" s="44">
        <f>Planning[[#This Row],[Horas Planificadas]]+Planning[[#This Row],[Horas ajustadas adicionales]]</f>
        <v>350</v>
      </c>
      <c r="X240" s="142"/>
    </row>
    <row r="241" spans="1:24" ht="12.75" customHeight="1" x14ac:dyDescent="0.2">
      <c r="A241" s="7"/>
      <c r="B241" s="7"/>
      <c r="C241" s="3"/>
      <c r="D241" s="3" t="s">
        <v>90</v>
      </c>
      <c r="E241" s="33" t="s">
        <v>31</v>
      </c>
      <c r="F241" s="3"/>
      <c r="G241" s="7"/>
      <c r="H241" s="7">
        <v>72</v>
      </c>
      <c r="I241" s="12"/>
      <c r="J241" s="5" t="e">
        <f>+SUMIFS(#REF!,#REF!,Planning[[#This Row],[Tarifa]],#REF!,Planning[[#This Row],[Proyectos]])</f>
        <v>#REF!</v>
      </c>
      <c r="K241" s="5" t="e">
        <f>Planning[[#This Row],[Horas Planificadas]]+Planning[[#This Row],[Horas ajustadas adicionales]]-Planning[[#This Row],[Horas utilizadas]]</f>
        <v>#REF!</v>
      </c>
      <c r="L241" s="7"/>
      <c r="M241" s="19" t="e">
        <f>Planning[[#This Row],[Saldo]]-Planning[[#This Row],[Saldo estimado]]</f>
        <v>#REF!</v>
      </c>
      <c r="N241" s="60" t="e">
        <f>SUM(SUMIFS(#REF!,#REF!,Planning[[#This Row],[Proyectos]],#REF!,Planning[[#This Row],[Tipo de Tarea y especialidad]]),SUMIFS(#REF!,#REF!,Planning[[#This Row],[Proyectos]],#REF!,Planning[[#This Row],[Tipo de Tarea y especialidad]]))</f>
        <v>#REF!</v>
      </c>
      <c r="O241" s="19">
        <f t="shared" si="6"/>
        <v>10</v>
      </c>
      <c r="P241" s="19">
        <f t="shared" si="7"/>
        <v>2024</v>
      </c>
      <c r="Q241" s="19" t="e">
        <f>+SUMIFS(#REF!,#REF!,Planning[[#This Row],[Tarifa]],#REF!,Planning[[#This Row],[Proyectos]],#REF!,Planning[[#This Row],[Mes]],#REF!,Planning[[#This Row],[Año]])</f>
        <v>#REF!</v>
      </c>
      <c r="R241" s="19" t="str">
        <f>TEXT(Planning[[#This Row],[Mes]]*29,"mmmm")</f>
        <v>October</v>
      </c>
      <c r="S2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1" s="241"/>
      <c r="U241" s="43" t="e">
        <f>IF(Planning[[#This Row],[Horas Planificadas]]&lt;&gt;0,+K241/Planning[[#This Row],[Horas Planificadas]],0)</f>
        <v>#REF!</v>
      </c>
      <c r="V241" s="43" t="e">
        <f>IF(Planning[[#This Row],[Horas Planificadas]]&lt;&gt;0,Planning[[#This Row],[Horas utilizadas]]/Planning[[#This Row],[Horas Planificadas]],0)</f>
        <v>#REF!</v>
      </c>
      <c r="W241" s="44">
        <f>Planning[[#This Row],[Horas Planificadas]]+Planning[[#This Row],[Horas ajustadas adicionales]]</f>
        <v>72</v>
      </c>
      <c r="X241" s="142"/>
    </row>
    <row r="242" spans="1:24" ht="12.75" customHeight="1" x14ac:dyDescent="0.2">
      <c r="A242" s="7"/>
      <c r="B242" s="7"/>
      <c r="C242" s="3"/>
      <c r="D242" s="3" t="s">
        <v>90</v>
      </c>
      <c r="E242" s="33" t="s">
        <v>32</v>
      </c>
      <c r="F242" s="3"/>
      <c r="G242" s="7"/>
      <c r="H242" s="7">
        <v>117</v>
      </c>
      <c r="I242" s="12"/>
      <c r="J242" s="5" t="e">
        <f>+SUMIFS(#REF!,#REF!,Planning[[#This Row],[Tarifa]],#REF!,Planning[[#This Row],[Proyectos]])</f>
        <v>#REF!</v>
      </c>
      <c r="K242" s="5" t="e">
        <f>Planning[[#This Row],[Horas Planificadas]]+Planning[[#This Row],[Horas ajustadas adicionales]]-Planning[[#This Row],[Horas utilizadas]]</f>
        <v>#REF!</v>
      </c>
      <c r="L242" s="7"/>
      <c r="M242" s="19" t="e">
        <f>Planning[[#This Row],[Saldo]]-Planning[[#This Row],[Saldo estimado]]</f>
        <v>#REF!</v>
      </c>
      <c r="N242" s="60" t="e">
        <f>SUM(SUMIFS(#REF!,#REF!,Planning[[#This Row],[Proyectos]],#REF!,Planning[[#This Row],[Tipo de Tarea y especialidad]]),SUMIFS(#REF!,#REF!,Planning[[#This Row],[Proyectos]],#REF!,Planning[[#This Row],[Tipo de Tarea y especialidad]]))</f>
        <v>#REF!</v>
      </c>
      <c r="O242" s="19">
        <f t="shared" si="6"/>
        <v>10</v>
      </c>
      <c r="P242" s="19">
        <f t="shared" si="7"/>
        <v>2024</v>
      </c>
      <c r="Q242" s="19" t="e">
        <f>+SUMIFS(#REF!,#REF!,Planning[[#This Row],[Tarifa]],#REF!,Planning[[#This Row],[Proyectos]],#REF!,Planning[[#This Row],[Mes]],#REF!,Planning[[#This Row],[Año]])</f>
        <v>#REF!</v>
      </c>
      <c r="R242" s="19" t="str">
        <f>TEXT(Planning[[#This Row],[Mes]]*29,"mmmm")</f>
        <v>October</v>
      </c>
      <c r="S2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2" s="241"/>
      <c r="U242" s="43" t="e">
        <f>IF(Planning[[#This Row],[Horas Planificadas]]&lt;&gt;0,+K242/Planning[[#This Row],[Horas Planificadas]],0)</f>
        <v>#REF!</v>
      </c>
      <c r="V242" s="43" t="e">
        <f>IF(Planning[[#This Row],[Horas Planificadas]]&lt;&gt;0,Planning[[#This Row],[Horas utilizadas]]/Planning[[#This Row],[Horas Planificadas]],0)</f>
        <v>#REF!</v>
      </c>
      <c r="W242" s="44">
        <f>Planning[[#This Row],[Horas Planificadas]]+Planning[[#This Row],[Horas ajustadas adicionales]]</f>
        <v>117</v>
      </c>
      <c r="X242" s="142"/>
    </row>
    <row r="243" spans="1:24" ht="12.75" customHeight="1" x14ac:dyDescent="0.2">
      <c r="A243" s="7"/>
      <c r="B243" s="7"/>
      <c r="C243" s="3"/>
      <c r="D243" s="3" t="s">
        <v>91</v>
      </c>
      <c r="E243" s="33" t="s">
        <v>28</v>
      </c>
      <c r="F243" s="3"/>
      <c r="G243" s="7"/>
      <c r="H243" s="7">
        <v>0</v>
      </c>
      <c r="I243" s="12"/>
      <c r="J243" s="5" t="e">
        <f>+SUMIFS(#REF!,#REF!,Planning[[#This Row],[Tarifa]],#REF!,Planning[[#This Row],[Proyectos]])</f>
        <v>#REF!</v>
      </c>
      <c r="K243" s="5" t="e">
        <f>Planning[[#This Row],[Horas Planificadas]]+Planning[[#This Row],[Horas ajustadas adicionales]]-Planning[[#This Row],[Horas utilizadas]]</f>
        <v>#REF!</v>
      </c>
      <c r="L243" s="7"/>
      <c r="M243" s="19" t="e">
        <f>Planning[[#This Row],[Saldo]]-Planning[[#This Row],[Saldo estimado]]</f>
        <v>#REF!</v>
      </c>
      <c r="N243" s="60" t="e">
        <f>SUM(SUMIFS(#REF!,#REF!,Planning[[#This Row],[Proyectos]],#REF!,Planning[[#This Row],[Tipo de Tarea y especialidad]]),SUMIFS(#REF!,#REF!,Planning[[#This Row],[Proyectos]],#REF!,Planning[[#This Row],[Tipo de Tarea y especialidad]]))</f>
        <v>#REF!</v>
      </c>
      <c r="O243" s="19">
        <f t="shared" si="6"/>
        <v>10</v>
      </c>
      <c r="P243" s="19">
        <f t="shared" si="7"/>
        <v>2024</v>
      </c>
      <c r="Q243" s="19" t="e">
        <f>+SUMIFS(#REF!,#REF!,Planning[[#This Row],[Tarifa]],#REF!,Planning[[#This Row],[Proyectos]],#REF!,Planning[[#This Row],[Mes]],#REF!,Planning[[#This Row],[Año]])</f>
        <v>#REF!</v>
      </c>
      <c r="R243" s="19" t="str">
        <f>TEXT(Planning[[#This Row],[Mes]]*29,"mmmm")</f>
        <v>October</v>
      </c>
      <c r="S2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3" s="241"/>
      <c r="U243" s="43">
        <f>IF(Planning[[#This Row],[Horas Planificadas]]&lt;&gt;0,+K243/Planning[[#This Row],[Horas Planificadas]],0)</f>
        <v>0</v>
      </c>
      <c r="V243" s="43">
        <f>IF(Planning[[#This Row],[Horas Planificadas]]&lt;&gt;0,Planning[[#This Row],[Horas utilizadas]]/Planning[[#This Row],[Horas Planificadas]],0)</f>
        <v>0</v>
      </c>
      <c r="W243" s="44">
        <f>Planning[[#This Row],[Horas Planificadas]]+Planning[[#This Row],[Horas ajustadas adicionales]]</f>
        <v>0</v>
      </c>
      <c r="X243" s="142"/>
    </row>
    <row r="244" spans="1:24" ht="12.75" customHeight="1" x14ac:dyDescent="0.2">
      <c r="A244" s="7"/>
      <c r="B244" s="7"/>
      <c r="C244" s="3"/>
      <c r="D244" s="3" t="s">
        <v>91</v>
      </c>
      <c r="E244" s="33" t="s">
        <v>30</v>
      </c>
      <c r="F244" s="3"/>
      <c r="G244" s="7"/>
      <c r="H244" s="7">
        <v>153</v>
      </c>
      <c r="I244" s="12"/>
      <c r="J244" s="5" t="e">
        <f>+SUMIFS(#REF!,#REF!,Planning[[#This Row],[Tarifa]],#REF!,Planning[[#This Row],[Proyectos]])</f>
        <v>#REF!</v>
      </c>
      <c r="K244" s="5" t="e">
        <f>Planning[[#This Row],[Horas Planificadas]]+Planning[[#This Row],[Horas ajustadas adicionales]]-Planning[[#This Row],[Horas utilizadas]]</f>
        <v>#REF!</v>
      </c>
      <c r="L244" s="7"/>
      <c r="M244" s="19" t="e">
        <f>Planning[[#This Row],[Saldo]]-Planning[[#This Row],[Saldo estimado]]</f>
        <v>#REF!</v>
      </c>
      <c r="N244" s="60" t="e">
        <f>SUM(SUMIFS(#REF!,#REF!,Planning[[#This Row],[Proyectos]],#REF!,Planning[[#This Row],[Tipo de Tarea y especialidad]]),SUMIFS(#REF!,#REF!,Planning[[#This Row],[Proyectos]],#REF!,Planning[[#This Row],[Tipo de Tarea y especialidad]]))</f>
        <v>#REF!</v>
      </c>
      <c r="O244" s="19">
        <f t="shared" si="6"/>
        <v>10</v>
      </c>
      <c r="P244" s="19">
        <f t="shared" si="7"/>
        <v>2024</v>
      </c>
      <c r="Q244" s="19" t="e">
        <f>+SUMIFS(#REF!,#REF!,Planning[[#This Row],[Tarifa]],#REF!,Planning[[#This Row],[Proyectos]],#REF!,Planning[[#This Row],[Mes]],#REF!,Planning[[#This Row],[Año]])</f>
        <v>#REF!</v>
      </c>
      <c r="R244" s="19" t="str">
        <f>TEXT(Planning[[#This Row],[Mes]]*29,"mmmm")</f>
        <v>October</v>
      </c>
      <c r="S2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4" s="241"/>
      <c r="U244" s="43" t="e">
        <f>IF(Planning[[#This Row],[Horas Planificadas]]&lt;&gt;0,+K244/Planning[[#This Row],[Horas Planificadas]],0)</f>
        <v>#REF!</v>
      </c>
      <c r="V244" s="43" t="e">
        <f>IF(Planning[[#This Row],[Horas Planificadas]]&lt;&gt;0,Planning[[#This Row],[Horas utilizadas]]/Planning[[#This Row],[Horas Planificadas]],0)</f>
        <v>#REF!</v>
      </c>
      <c r="W244" s="44">
        <f>Planning[[#This Row],[Horas Planificadas]]+Planning[[#This Row],[Horas ajustadas adicionales]]</f>
        <v>153</v>
      </c>
      <c r="X244" s="142"/>
    </row>
    <row r="245" spans="1:24" ht="12.75" customHeight="1" x14ac:dyDescent="0.2">
      <c r="A245" s="7"/>
      <c r="B245" s="7"/>
      <c r="C245" s="3"/>
      <c r="D245" s="3" t="s">
        <v>91</v>
      </c>
      <c r="E245" s="33" t="s">
        <v>31</v>
      </c>
      <c r="F245" s="3"/>
      <c r="G245" s="7"/>
      <c r="H245" s="7">
        <v>9</v>
      </c>
      <c r="I245" s="12"/>
      <c r="J245" s="5" t="e">
        <f>+SUMIFS(#REF!,#REF!,Planning[[#This Row],[Tarifa]],#REF!,Planning[[#This Row],[Proyectos]])</f>
        <v>#REF!</v>
      </c>
      <c r="K245" s="5" t="e">
        <f>Planning[[#This Row],[Horas Planificadas]]+Planning[[#This Row],[Horas ajustadas adicionales]]-Planning[[#This Row],[Horas utilizadas]]</f>
        <v>#REF!</v>
      </c>
      <c r="L245" s="7"/>
      <c r="M245" s="19" t="e">
        <f>Planning[[#This Row],[Saldo]]-Planning[[#This Row],[Saldo estimado]]</f>
        <v>#REF!</v>
      </c>
      <c r="N245" s="60" t="e">
        <f>SUM(SUMIFS(#REF!,#REF!,Planning[[#This Row],[Proyectos]],#REF!,Planning[[#This Row],[Tipo de Tarea y especialidad]]),SUMIFS(#REF!,#REF!,Planning[[#This Row],[Proyectos]],#REF!,Planning[[#This Row],[Tipo de Tarea y especialidad]]))</f>
        <v>#REF!</v>
      </c>
      <c r="O245" s="19">
        <f t="shared" si="6"/>
        <v>10</v>
      </c>
      <c r="P245" s="19">
        <f t="shared" si="7"/>
        <v>2024</v>
      </c>
      <c r="Q245" s="19" t="e">
        <f>+SUMIFS(#REF!,#REF!,Planning[[#This Row],[Tarifa]],#REF!,Planning[[#This Row],[Proyectos]],#REF!,Planning[[#This Row],[Mes]],#REF!,Planning[[#This Row],[Año]])</f>
        <v>#REF!</v>
      </c>
      <c r="R245" s="19" t="str">
        <f>TEXT(Planning[[#This Row],[Mes]]*29,"mmmm")</f>
        <v>October</v>
      </c>
      <c r="S2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5" s="241"/>
      <c r="U245" s="43" t="e">
        <f>IF(Planning[[#This Row],[Horas Planificadas]]&lt;&gt;0,+K245/Planning[[#This Row],[Horas Planificadas]],0)</f>
        <v>#REF!</v>
      </c>
      <c r="V245" s="43" t="e">
        <f>IF(Planning[[#This Row],[Horas Planificadas]]&lt;&gt;0,Planning[[#This Row],[Horas utilizadas]]/Planning[[#This Row],[Horas Planificadas]],0)</f>
        <v>#REF!</v>
      </c>
      <c r="W245" s="44">
        <f>Planning[[#This Row],[Horas Planificadas]]+Planning[[#This Row],[Horas ajustadas adicionales]]</f>
        <v>9</v>
      </c>
      <c r="X245" s="142"/>
    </row>
    <row r="246" spans="1:24" ht="12.75" customHeight="1" x14ac:dyDescent="0.2">
      <c r="A246" s="7"/>
      <c r="B246" s="7"/>
      <c r="C246" s="3"/>
      <c r="D246" s="3" t="s">
        <v>91</v>
      </c>
      <c r="E246" s="33" t="s">
        <v>32</v>
      </c>
      <c r="F246" s="3"/>
      <c r="G246" s="7"/>
      <c r="H246" s="7">
        <v>0</v>
      </c>
      <c r="I246" s="12"/>
      <c r="J246" s="5" t="e">
        <f>+SUMIFS(#REF!,#REF!,Planning[[#This Row],[Tarifa]],#REF!,Planning[[#This Row],[Proyectos]])</f>
        <v>#REF!</v>
      </c>
      <c r="K246" s="5" t="e">
        <f>Planning[[#This Row],[Horas Planificadas]]+Planning[[#This Row],[Horas ajustadas adicionales]]-Planning[[#This Row],[Horas utilizadas]]</f>
        <v>#REF!</v>
      </c>
      <c r="L246" s="7"/>
      <c r="M246" s="19" t="e">
        <f>Planning[[#This Row],[Saldo]]-Planning[[#This Row],[Saldo estimado]]</f>
        <v>#REF!</v>
      </c>
      <c r="N246" s="60" t="e">
        <f>SUM(SUMIFS(#REF!,#REF!,Planning[[#This Row],[Proyectos]],#REF!,Planning[[#This Row],[Tipo de Tarea y especialidad]]),SUMIFS(#REF!,#REF!,Planning[[#This Row],[Proyectos]],#REF!,Planning[[#This Row],[Tipo de Tarea y especialidad]]))</f>
        <v>#REF!</v>
      </c>
      <c r="O246" s="19">
        <f t="shared" si="6"/>
        <v>10</v>
      </c>
      <c r="P246" s="19">
        <f t="shared" si="7"/>
        <v>2024</v>
      </c>
      <c r="Q246" s="19" t="e">
        <f>+SUMIFS(#REF!,#REF!,Planning[[#This Row],[Tarifa]],#REF!,Planning[[#This Row],[Proyectos]],#REF!,Planning[[#This Row],[Mes]],#REF!,Planning[[#This Row],[Año]])</f>
        <v>#REF!</v>
      </c>
      <c r="R246" s="19" t="str">
        <f>TEXT(Planning[[#This Row],[Mes]]*29,"mmmm")</f>
        <v>October</v>
      </c>
      <c r="S2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6" s="241"/>
      <c r="U246" s="43">
        <f>IF(Planning[[#This Row],[Horas Planificadas]]&lt;&gt;0,+K246/Planning[[#This Row],[Horas Planificadas]],0)</f>
        <v>0</v>
      </c>
      <c r="V246" s="43">
        <f>IF(Planning[[#This Row],[Horas Planificadas]]&lt;&gt;0,Planning[[#This Row],[Horas utilizadas]]/Planning[[#This Row],[Horas Planificadas]],0)</f>
        <v>0</v>
      </c>
      <c r="W246" s="44">
        <f>Planning[[#This Row],[Horas Planificadas]]+Planning[[#This Row],[Horas ajustadas adicionales]]</f>
        <v>0</v>
      </c>
      <c r="X246" s="142"/>
    </row>
    <row r="247" spans="1:24" ht="12.75" customHeight="1" x14ac:dyDescent="0.2">
      <c r="A247" s="7"/>
      <c r="B247" s="7"/>
      <c r="C247" s="3"/>
      <c r="D247" s="3" t="s">
        <v>92</v>
      </c>
      <c r="E247" s="33" t="s">
        <v>28</v>
      </c>
      <c r="F247" s="3"/>
      <c r="G247" s="7"/>
      <c r="H247" s="7">
        <v>64</v>
      </c>
      <c r="I247" s="12"/>
      <c r="J247" s="5" t="e">
        <f>+SUMIFS(#REF!,#REF!,Planning[[#This Row],[Tarifa]],#REF!,Planning[[#This Row],[Proyectos]])</f>
        <v>#REF!</v>
      </c>
      <c r="K247" s="5" t="e">
        <f>Planning[[#This Row],[Horas Planificadas]]+Planning[[#This Row],[Horas ajustadas adicionales]]-Planning[[#This Row],[Horas utilizadas]]</f>
        <v>#REF!</v>
      </c>
      <c r="L247" s="7"/>
      <c r="M247" s="19" t="e">
        <f>Planning[[#This Row],[Saldo]]-Planning[[#This Row],[Saldo estimado]]</f>
        <v>#REF!</v>
      </c>
      <c r="N247" s="60" t="e">
        <f>SUM(SUMIFS(#REF!,#REF!,Planning[[#This Row],[Proyectos]],#REF!,Planning[[#This Row],[Tipo de Tarea y especialidad]]),SUMIFS(#REF!,#REF!,Planning[[#This Row],[Proyectos]],#REF!,Planning[[#This Row],[Tipo de Tarea y especialidad]]))</f>
        <v>#REF!</v>
      </c>
      <c r="O247" s="19">
        <f t="shared" si="6"/>
        <v>10</v>
      </c>
      <c r="P247" s="19">
        <f t="shared" si="7"/>
        <v>2024</v>
      </c>
      <c r="Q247" s="19" t="e">
        <f>+SUMIFS(#REF!,#REF!,Planning[[#This Row],[Tarifa]],#REF!,Planning[[#This Row],[Proyectos]],#REF!,Planning[[#This Row],[Mes]],#REF!,Planning[[#This Row],[Año]])</f>
        <v>#REF!</v>
      </c>
      <c r="R247" s="19" t="str">
        <f>TEXT(Planning[[#This Row],[Mes]]*29,"mmmm")</f>
        <v>October</v>
      </c>
      <c r="S2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7" s="241"/>
      <c r="U247" s="43" t="e">
        <f>IF(Planning[[#This Row],[Horas Planificadas]]&lt;&gt;0,+K247/Planning[[#This Row],[Horas Planificadas]],0)</f>
        <v>#REF!</v>
      </c>
      <c r="V247" s="43" t="e">
        <f>IF(Planning[[#This Row],[Horas Planificadas]]&lt;&gt;0,Planning[[#This Row],[Horas utilizadas]]/Planning[[#This Row],[Horas Planificadas]],0)</f>
        <v>#REF!</v>
      </c>
      <c r="W247" s="44">
        <f>Planning[[#This Row],[Horas Planificadas]]+Planning[[#This Row],[Horas ajustadas adicionales]]</f>
        <v>64</v>
      </c>
      <c r="X247" s="142"/>
    </row>
    <row r="248" spans="1:24" ht="12.75" customHeight="1" x14ac:dyDescent="0.2">
      <c r="A248" s="7"/>
      <c r="B248" s="7"/>
      <c r="C248" s="3"/>
      <c r="D248" s="3" t="s">
        <v>92</v>
      </c>
      <c r="E248" s="33" t="s">
        <v>30</v>
      </c>
      <c r="F248" s="3"/>
      <c r="G248" s="7"/>
      <c r="H248" s="7">
        <v>436</v>
      </c>
      <c r="I248" s="12"/>
      <c r="J248" s="5" t="e">
        <f>+SUMIFS(#REF!,#REF!,Planning[[#This Row],[Tarifa]],#REF!,Planning[[#This Row],[Proyectos]])</f>
        <v>#REF!</v>
      </c>
      <c r="K248" s="5" t="e">
        <f>Planning[[#This Row],[Horas Planificadas]]+Planning[[#This Row],[Horas ajustadas adicionales]]-Planning[[#This Row],[Horas utilizadas]]</f>
        <v>#REF!</v>
      </c>
      <c r="L248" s="7"/>
      <c r="M248" s="19" t="e">
        <f>Planning[[#This Row],[Saldo]]-Planning[[#This Row],[Saldo estimado]]</f>
        <v>#REF!</v>
      </c>
      <c r="N248" s="60" t="e">
        <f>SUM(SUMIFS(#REF!,#REF!,Planning[[#This Row],[Proyectos]],#REF!,Planning[[#This Row],[Tipo de Tarea y especialidad]]),SUMIFS(#REF!,#REF!,Planning[[#This Row],[Proyectos]],#REF!,Planning[[#This Row],[Tipo de Tarea y especialidad]]))</f>
        <v>#REF!</v>
      </c>
      <c r="O248" s="19">
        <f t="shared" si="6"/>
        <v>10</v>
      </c>
      <c r="P248" s="19">
        <f t="shared" si="7"/>
        <v>2024</v>
      </c>
      <c r="Q248" s="19" t="e">
        <f>+SUMIFS(#REF!,#REF!,Planning[[#This Row],[Tarifa]],#REF!,Planning[[#This Row],[Proyectos]],#REF!,Planning[[#This Row],[Mes]],#REF!,Planning[[#This Row],[Año]])</f>
        <v>#REF!</v>
      </c>
      <c r="R248" s="19" t="str">
        <f>TEXT(Planning[[#This Row],[Mes]]*29,"mmmm")</f>
        <v>October</v>
      </c>
      <c r="S2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8" s="241"/>
      <c r="U248" s="43" t="e">
        <f>IF(Planning[[#This Row],[Horas Planificadas]]&lt;&gt;0,+K248/Planning[[#This Row],[Horas Planificadas]],0)</f>
        <v>#REF!</v>
      </c>
      <c r="V248" s="43" t="e">
        <f>IF(Planning[[#This Row],[Horas Planificadas]]&lt;&gt;0,Planning[[#This Row],[Horas utilizadas]]/Planning[[#This Row],[Horas Planificadas]],0)</f>
        <v>#REF!</v>
      </c>
      <c r="W248" s="44">
        <f>Planning[[#This Row],[Horas Planificadas]]+Planning[[#This Row],[Horas ajustadas adicionales]]</f>
        <v>436</v>
      </c>
      <c r="X248" s="142"/>
    </row>
    <row r="249" spans="1:24" ht="12.75" customHeight="1" x14ac:dyDescent="0.2">
      <c r="A249" s="7"/>
      <c r="B249" s="7"/>
      <c r="C249" s="3"/>
      <c r="D249" s="3" t="s">
        <v>92</v>
      </c>
      <c r="E249" s="33" t="s">
        <v>31</v>
      </c>
      <c r="F249" s="3"/>
      <c r="G249" s="7"/>
      <c r="H249" s="7">
        <v>44</v>
      </c>
      <c r="I249" s="12"/>
      <c r="J249" s="5" t="e">
        <f>+SUMIFS(#REF!,#REF!,Planning[[#This Row],[Tarifa]],#REF!,Planning[[#This Row],[Proyectos]])</f>
        <v>#REF!</v>
      </c>
      <c r="K249" s="5" t="e">
        <f>Planning[[#This Row],[Horas Planificadas]]+Planning[[#This Row],[Horas ajustadas adicionales]]-Planning[[#This Row],[Horas utilizadas]]</f>
        <v>#REF!</v>
      </c>
      <c r="L249" s="7"/>
      <c r="M249" s="19" t="e">
        <f>Planning[[#This Row],[Saldo]]-Planning[[#This Row],[Saldo estimado]]</f>
        <v>#REF!</v>
      </c>
      <c r="N249" s="60" t="e">
        <f>SUM(SUMIFS(#REF!,#REF!,Planning[[#This Row],[Proyectos]],#REF!,Planning[[#This Row],[Tipo de Tarea y especialidad]]),SUMIFS(#REF!,#REF!,Planning[[#This Row],[Proyectos]],#REF!,Planning[[#This Row],[Tipo de Tarea y especialidad]]))</f>
        <v>#REF!</v>
      </c>
      <c r="O249" s="19">
        <f t="shared" si="6"/>
        <v>10</v>
      </c>
      <c r="P249" s="19">
        <f t="shared" si="7"/>
        <v>2024</v>
      </c>
      <c r="Q249" s="19" t="e">
        <f>+SUMIFS(#REF!,#REF!,Planning[[#This Row],[Tarifa]],#REF!,Planning[[#This Row],[Proyectos]],#REF!,Planning[[#This Row],[Mes]],#REF!,Planning[[#This Row],[Año]])</f>
        <v>#REF!</v>
      </c>
      <c r="R249" s="19" t="str">
        <f>TEXT(Planning[[#This Row],[Mes]]*29,"mmmm")</f>
        <v>October</v>
      </c>
      <c r="S2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9" s="241"/>
      <c r="U249" s="43" t="e">
        <f>IF(Planning[[#This Row],[Horas Planificadas]]&lt;&gt;0,+K249/Planning[[#This Row],[Horas Planificadas]],0)</f>
        <v>#REF!</v>
      </c>
      <c r="V249" s="43" t="e">
        <f>IF(Planning[[#This Row],[Horas Planificadas]]&lt;&gt;0,Planning[[#This Row],[Horas utilizadas]]/Planning[[#This Row],[Horas Planificadas]],0)</f>
        <v>#REF!</v>
      </c>
      <c r="W249" s="44">
        <f>Planning[[#This Row],[Horas Planificadas]]+Planning[[#This Row],[Horas ajustadas adicionales]]</f>
        <v>44</v>
      </c>
      <c r="X249" s="142"/>
    </row>
    <row r="250" spans="1:24" ht="12.75" customHeight="1" x14ac:dyDescent="0.2">
      <c r="A250" s="7"/>
      <c r="B250" s="7"/>
      <c r="C250" s="3"/>
      <c r="D250" s="3" t="s">
        <v>92</v>
      </c>
      <c r="E250" s="33" t="s">
        <v>32</v>
      </c>
      <c r="F250" s="3"/>
      <c r="G250" s="7"/>
      <c r="H250" s="7">
        <v>126</v>
      </c>
      <c r="I250" s="12"/>
      <c r="J250" s="5" t="e">
        <f>+SUMIFS(#REF!,#REF!,Planning[[#This Row],[Tarifa]],#REF!,Planning[[#This Row],[Proyectos]])</f>
        <v>#REF!</v>
      </c>
      <c r="K250" s="5" t="e">
        <f>Planning[[#This Row],[Horas Planificadas]]+Planning[[#This Row],[Horas ajustadas adicionales]]-Planning[[#This Row],[Horas utilizadas]]</f>
        <v>#REF!</v>
      </c>
      <c r="L250" s="7"/>
      <c r="M250" s="19" t="e">
        <f>Planning[[#This Row],[Saldo]]-Planning[[#This Row],[Saldo estimado]]</f>
        <v>#REF!</v>
      </c>
      <c r="N250" s="60" t="e">
        <f>SUM(SUMIFS(#REF!,#REF!,Planning[[#This Row],[Proyectos]],#REF!,Planning[[#This Row],[Tipo de Tarea y especialidad]]),SUMIFS(#REF!,#REF!,Planning[[#This Row],[Proyectos]],#REF!,Planning[[#This Row],[Tipo de Tarea y especialidad]]))</f>
        <v>#REF!</v>
      </c>
      <c r="O250" s="19">
        <f t="shared" si="6"/>
        <v>10</v>
      </c>
      <c r="P250" s="19">
        <f t="shared" si="7"/>
        <v>2024</v>
      </c>
      <c r="Q250" s="19" t="e">
        <f>+SUMIFS(#REF!,#REF!,Planning[[#This Row],[Tarifa]],#REF!,Planning[[#This Row],[Proyectos]],#REF!,Planning[[#This Row],[Mes]],#REF!,Planning[[#This Row],[Año]])</f>
        <v>#REF!</v>
      </c>
      <c r="R250" s="19" t="str">
        <f>TEXT(Planning[[#This Row],[Mes]]*29,"mmmm")</f>
        <v>October</v>
      </c>
      <c r="S2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0" s="241"/>
      <c r="U250" s="43" t="e">
        <f>IF(Planning[[#This Row],[Horas Planificadas]]&lt;&gt;0,+K250/Planning[[#This Row],[Horas Planificadas]],0)</f>
        <v>#REF!</v>
      </c>
      <c r="V250" s="43" t="e">
        <f>IF(Planning[[#This Row],[Horas Planificadas]]&lt;&gt;0,Planning[[#This Row],[Horas utilizadas]]/Planning[[#This Row],[Horas Planificadas]],0)</f>
        <v>#REF!</v>
      </c>
      <c r="W250" s="44">
        <f>Planning[[#This Row],[Horas Planificadas]]+Planning[[#This Row],[Horas ajustadas adicionales]]</f>
        <v>126</v>
      </c>
      <c r="X250" s="142"/>
    </row>
    <row r="251" spans="1:24" ht="12.75" customHeight="1" x14ac:dyDescent="0.2">
      <c r="A251" s="7"/>
      <c r="B251" s="7"/>
      <c r="C251" s="3"/>
      <c r="D251" s="3" t="s">
        <v>93</v>
      </c>
      <c r="E251" s="33" t="s">
        <v>28</v>
      </c>
      <c r="F251" s="3"/>
      <c r="G251" s="7"/>
      <c r="H251" s="7">
        <v>80</v>
      </c>
      <c r="I251" s="12"/>
      <c r="J251" s="5" t="e">
        <f>+SUMIFS(#REF!,#REF!,Planning[[#This Row],[Tarifa]],#REF!,Planning[[#This Row],[Proyectos]])</f>
        <v>#REF!</v>
      </c>
      <c r="K251" s="5" t="e">
        <f>Planning[[#This Row],[Horas Planificadas]]+Planning[[#This Row],[Horas ajustadas adicionales]]-Planning[[#This Row],[Horas utilizadas]]</f>
        <v>#REF!</v>
      </c>
      <c r="L251" s="7"/>
      <c r="M251" s="19" t="e">
        <f>Planning[[#This Row],[Saldo]]-Planning[[#This Row],[Saldo estimado]]</f>
        <v>#REF!</v>
      </c>
      <c r="N251" s="60" t="e">
        <f>SUM(SUMIFS(#REF!,#REF!,Planning[[#This Row],[Proyectos]],#REF!,Planning[[#This Row],[Tipo de Tarea y especialidad]]),SUMIFS(#REF!,#REF!,Planning[[#This Row],[Proyectos]],#REF!,Planning[[#This Row],[Tipo de Tarea y especialidad]]))</f>
        <v>#REF!</v>
      </c>
      <c r="O251" s="19">
        <f t="shared" si="6"/>
        <v>10</v>
      </c>
      <c r="P251" s="19">
        <f t="shared" si="7"/>
        <v>2024</v>
      </c>
      <c r="Q251" s="19" t="e">
        <f>+SUMIFS(#REF!,#REF!,Planning[[#This Row],[Tarifa]],#REF!,Planning[[#This Row],[Proyectos]],#REF!,Planning[[#This Row],[Mes]],#REF!,Planning[[#This Row],[Año]])</f>
        <v>#REF!</v>
      </c>
      <c r="R251" s="19" t="str">
        <f>TEXT(Planning[[#This Row],[Mes]]*29,"mmmm")</f>
        <v>October</v>
      </c>
      <c r="S2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1" s="241"/>
      <c r="U251" s="43" t="e">
        <f>IF(Planning[[#This Row],[Horas Planificadas]]&lt;&gt;0,+K251/Planning[[#This Row],[Horas Planificadas]],0)</f>
        <v>#REF!</v>
      </c>
      <c r="V251" s="43" t="e">
        <f>IF(Planning[[#This Row],[Horas Planificadas]]&lt;&gt;0,Planning[[#This Row],[Horas utilizadas]]/Planning[[#This Row],[Horas Planificadas]],0)</f>
        <v>#REF!</v>
      </c>
      <c r="W251" s="44">
        <f>Planning[[#This Row],[Horas Planificadas]]+Planning[[#This Row],[Horas ajustadas adicionales]]</f>
        <v>80</v>
      </c>
      <c r="X251" s="142"/>
    </row>
    <row r="252" spans="1:24" ht="12.75" customHeight="1" x14ac:dyDescent="0.2">
      <c r="A252" s="7"/>
      <c r="B252" s="7"/>
      <c r="C252" s="3"/>
      <c r="D252" s="3" t="s">
        <v>93</v>
      </c>
      <c r="E252" s="33" t="s">
        <v>30</v>
      </c>
      <c r="F252" s="3"/>
      <c r="G252" s="7"/>
      <c r="H252" s="7">
        <v>320</v>
      </c>
      <c r="I252" s="12"/>
      <c r="J252" s="5" t="e">
        <f>+SUMIFS(#REF!,#REF!,Planning[[#This Row],[Tarifa]],#REF!,Planning[[#This Row],[Proyectos]])</f>
        <v>#REF!</v>
      </c>
      <c r="K252" s="5" t="e">
        <f>Planning[[#This Row],[Horas Planificadas]]+Planning[[#This Row],[Horas ajustadas adicionales]]-Planning[[#This Row],[Horas utilizadas]]</f>
        <v>#REF!</v>
      </c>
      <c r="L252" s="7"/>
      <c r="M252" s="19" t="e">
        <f>Planning[[#This Row],[Saldo]]-Planning[[#This Row],[Saldo estimado]]</f>
        <v>#REF!</v>
      </c>
      <c r="N252" s="60" t="e">
        <f>SUM(SUMIFS(#REF!,#REF!,Planning[[#This Row],[Proyectos]],#REF!,Planning[[#This Row],[Tipo de Tarea y especialidad]]),SUMIFS(#REF!,#REF!,Planning[[#This Row],[Proyectos]],#REF!,Planning[[#This Row],[Tipo de Tarea y especialidad]]))</f>
        <v>#REF!</v>
      </c>
      <c r="O252" s="19">
        <f t="shared" si="6"/>
        <v>10</v>
      </c>
      <c r="P252" s="19">
        <f t="shared" si="7"/>
        <v>2024</v>
      </c>
      <c r="Q252" s="19" t="e">
        <f>+SUMIFS(#REF!,#REF!,Planning[[#This Row],[Tarifa]],#REF!,Planning[[#This Row],[Proyectos]],#REF!,Planning[[#This Row],[Mes]],#REF!,Planning[[#This Row],[Año]])</f>
        <v>#REF!</v>
      </c>
      <c r="R252" s="19" t="str">
        <f>TEXT(Planning[[#This Row],[Mes]]*29,"mmmm")</f>
        <v>October</v>
      </c>
      <c r="S2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2" s="241"/>
      <c r="U252" s="43" t="e">
        <f>IF(Planning[[#This Row],[Horas Planificadas]]&lt;&gt;0,+K252/Planning[[#This Row],[Horas Planificadas]],0)</f>
        <v>#REF!</v>
      </c>
      <c r="V252" s="43" t="e">
        <f>IF(Planning[[#This Row],[Horas Planificadas]]&lt;&gt;0,Planning[[#This Row],[Horas utilizadas]]/Planning[[#This Row],[Horas Planificadas]],0)</f>
        <v>#REF!</v>
      </c>
      <c r="W252" s="44">
        <f>Planning[[#This Row],[Horas Planificadas]]+Planning[[#This Row],[Horas ajustadas adicionales]]</f>
        <v>320</v>
      </c>
      <c r="X252" s="142"/>
    </row>
    <row r="253" spans="1:24" ht="12.75" customHeight="1" x14ac:dyDescent="0.2">
      <c r="A253" s="7"/>
      <c r="B253" s="7"/>
      <c r="C253" s="3"/>
      <c r="D253" s="3" t="s">
        <v>93</v>
      </c>
      <c r="E253" s="33" t="s">
        <v>31</v>
      </c>
      <c r="F253" s="3"/>
      <c r="G253" s="7"/>
      <c r="H253" s="7">
        <v>160</v>
      </c>
      <c r="I253" s="12"/>
      <c r="J253" s="5" t="e">
        <f>+SUMIFS(#REF!,#REF!,Planning[[#This Row],[Tarifa]],#REF!,Planning[[#This Row],[Proyectos]])</f>
        <v>#REF!</v>
      </c>
      <c r="K253" s="5" t="e">
        <f>Planning[[#This Row],[Horas Planificadas]]+Planning[[#This Row],[Horas ajustadas adicionales]]-Planning[[#This Row],[Horas utilizadas]]</f>
        <v>#REF!</v>
      </c>
      <c r="L253" s="7"/>
      <c r="M253" s="19" t="e">
        <f>Planning[[#This Row],[Saldo]]-Planning[[#This Row],[Saldo estimado]]</f>
        <v>#REF!</v>
      </c>
      <c r="N253" s="60" t="e">
        <f>SUM(SUMIFS(#REF!,#REF!,Planning[[#This Row],[Proyectos]],#REF!,Planning[[#This Row],[Tipo de Tarea y especialidad]]),SUMIFS(#REF!,#REF!,Planning[[#This Row],[Proyectos]],#REF!,Planning[[#This Row],[Tipo de Tarea y especialidad]]))</f>
        <v>#REF!</v>
      </c>
      <c r="O253" s="19">
        <f t="shared" si="6"/>
        <v>10</v>
      </c>
      <c r="P253" s="19">
        <f t="shared" si="7"/>
        <v>2024</v>
      </c>
      <c r="Q253" s="19" t="e">
        <f>+SUMIFS(#REF!,#REF!,Planning[[#This Row],[Tarifa]],#REF!,Planning[[#This Row],[Proyectos]],#REF!,Planning[[#This Row],[Mes]],#REF!,Planning[[#This Row],[Año]])</f>
        <v>#REF!</v>
      </c>
      <c r="R253" s="19" t="str">
        <f>TEXT(Planning[[#This Row],[Mes]]*29,"mmmm")</f>
        <v>October</v>
      </c>
      <c r="S2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3" s="241"/>
      <c r="U253" s="43" t="e">
        <f>IF(Planning[[#This Row],[Horas Planificadas]]&lt;&gt;0,+K253/Planning[[#This Row],[Horas Planificadas]],0)</f>
        <v>#REF!</v>
      </c>
      <c r="V253" s="43" t="e">
        <f>IF(Planning[[#This Row],[Horas Planificadas]]&lt;&gt;0,Planning[[#This Row],[Horas utilizadas]]/Planning[[#This Row],[Horas Planificadas]],0)</f>
        <v>#REF!</v>
      </c>
      <c r="W253" s="44">
        <f>Planning[[#This Row],[Horas Planificadas]]+Planning[[#This Row],[Horas ajustadas adicionales]]</f>
        <v>160</v>
      </c>
      <c r="X253" s="142"/>
    </row>
    <row r="254" spans="1:24" ht="12.75" customHeight="1" x14ac:dyDescent="0.2">
      <c r="A254" s="7"/>
      <c r="B254" s="7"/>
      <c r="C254" s="3"/>
      <c r="D254" s="3" t="s">
        <v>93</v>
      </c>
      <c r="E254" s="33" t="s">
        <v>32</v>
      </c>
      <c r="F254" s="3"/>
      <c r="G254" s="7"/>
      <c r="H254" s="7">
        <v>40</v>
      </c>
      <c r="I254" s="12"/>
      <c r="J254" s="5" t="e">
        <f>+SUMIFS(#REF!,#REF!,Planning[[#This Row],[Tarifa]],#REF!,Planning[[#This Row],[Proyectos]])</f>
        <v>#REF!</v>
      </c>
      <c r="K254" s="5" t="e">
        <f>Planning[[#This Row],[Horas Planificadas]]+Planning[[#This Row],[Horas ajustadas adicionales]]-Planning[[#This Row],[Horas utilizadas]]</f>
        <v>#REF!</v>
      </c>
      <c r="L254" s="7"/>
      <c r="M254" s="19" t="e">
        <f>Planning[[#This Row],[Saldo]]-Planning[[#This Row],[Saldo estimado]]</f>
        <v>#REF!</v>
      </c>
      <c r="N254" s="60" t="e">
        <f>SUM(SUMIFS(#REF!,#REF!,Planning[[#This Row],[Proyectos]],#REF!,Planning[[#This Row],[Tipo de Tarea y especialidad]]),SUMIFS(#REF!,#REF!,Planning[[#This Row],[Proyectos]],#REF!,Planning[[#This Row],[Tipo de Tarea y especialidad]]))</f>
        <v>#REF!</v>
      </c>
      <c r="O254" s="19">
        <f t="shared" si="6"/>
        <v>10</v>
      </c>
      <c r="P254" s="19">
        <f t="shared" si="7"/>
        <v>2024</v>
      </c>
      <c r="Q254" s="19" t="e">
        <f>+SUMIFS(#REF!,#REF!,Planning[[#This Row],[Tarifa]],#REF!,Planning[[#This Row],[Proyectos]],#REF!,Planning[[#This Row],[Mes]],#REF!,Planning[[#This Row],[Año]])</f>
        <v>#REF!</v>
      </c>
      <c r="R254" s="19" t="str">
        <f>TEXT(Planning[[#This Row],[Mes]]*29,"mmmm")</f>
        <v>October</v>
      </c>
      <c r="S2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4" s="241"/>
      <c r="U254" s="43" t="e">
        <f>IF(Planning[[#This Row],[Horas Planificadas]]&lt;&gt;0,+K254/Planning[[#This Row],[Horas Planificadas]],0)</f>
        <v>#REF!</v>
      </c>
      <c r="V254" s="43" t="e">
        <f>IF(Planning[[#This Row],[Horas Planificadas]]&lt;&gt;0,Planning[[#This Row],[Horas utilizadas]]/Planning[[#This Row],[Horas Planificadas]],0)</f>
        <v>#REF!</v>
      </c>
      <c r="W254" s="44">
        <f>Planning[[#This Row],[Horas Planificadas]]+Planning[[#This Row],[Horas ajustadas adicionales]]</f>
        <v>40</v>
      </c>
      <c r="X254" s="142"/>
    </row>
    <row r="255" spans="1:24" ht="12.75" customHeight="1" x14ac:dyDescent="0.2">
      <c r="A255" s="7"/>
      <c r="B255" s="7"/>
      <c r="C255" s="3"/>
      <c r="D255" s="3" t="s">
        <v>94</v>
      </c>
      <c r="E255" s="33" t="s">
        <v>28</v>
      </c>
      <c r="F255" s="3"/>
      <c r="G255" s="7"/>
      <c r="H255" s="7">
        <v>0</v>
      </c>
      <c r="I255" s="12"/>
      <c r="J255" s="5" t="e">
        <f>+SUMIFS(#REF!,#REF!,Planning[[#This Row],[Tarifa]],#REF!,Planning[[#This Row],[Proyectos]])</f>
        <v>#REF!</v>
      </c>
      <c r="K255" s="5" t="e">
        <f>Planning[[#This Row],[Horas Planificadas]]+Planning[[#This Row],[Horas ajustadas adicionales]]-Planning[[#This Row],[Horas utilizadas]]</f>
        <v>#REF!</v>
      </c>
      <c r="L255" s="7"/>
      <c r="M255" s="19" t="e">
        <f>Planning[[#This Row],[Saldo]]-Planning[[#This Row],[Saldo estimado]]</f>
        <v>#REF!</v>
      </c>
      <c r="N255" s="60" t="e">
        <f>SUM(SUMIFS(#REF!,#REF!,Planning[[#This Row],[Proyectos]],#REF!,Planning[[#This Row],[Tipo de Tarea y especialidad]]),SUMIFS(#REF!,#REF!,Planning[[#This Row],[Proyectos]],#REF!,Planning[[#This Row],[Tipo de Tarea y especialidad]]))</f>
        <v>#REF!</v>
      </c>
      <c r="O255" s="19">
        <f t="shared" si="6"/>
        <v>10</v>
      </c>
      <c r="P255" s="19">
        <f t="shared" si="7"/>
        <v>2024</v>
      </c>
      <c r="Q255" s="19" t="e">
        <f>+SUMIFS(#REF!,#REF!,Planning[[#This Row],[Tarifa]],#REF!,Planning[[#This Row],[Proyectos]],#REF!,Planning[[#This Row],[Mes]],#REF!,Planning[[#This Row],[Año]])</f>
        <v>#REF!</v>
      </c>
      <c r="R255" s="19" t="str">
        <f>TEXT(Planning[[#This Row],[Mes]]*29,"mmmm")</f>
        <v>October</v>
      </c>
      <c r="S2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5" s="241"/>
      <c r="U255" s="43">
        <f>IF(Planning[[#This Row],[Horas Planificadas]]&lt;&gt;0,+K255/Planning[[#This Row],[Horas Planificadas]],0)</f>
        <v>0</v>
      </c>
      <c r="V255" s="43">
        <f>IF(Planning[[#This Row],[Horas Planificadas]]&lt;&gt;0,Planning[[#This Row],[Horas utilizadas]]/Planning[[#This Row],[Horas Planificadas]],0)</f>
        <v>0</v>
      </c>
      <c r="W255" s="44">
        <f>Planning[[#This Row],[Horas Planificadas]]+Planning[[#This Row],[Horas ajustadas adicionales]]</f>
        <v>0</v>
      </c>
      <c r="X255" s="142"/>
    </row>
    <row r="256" spans="1:24" ht="12.75" customHeight="1" x14ac:dyDescent="0.2">
      <c r="A256" s="7"/>
      <c r="B256" s="7"/>
      <c r="C256" s="3"/>
      <c r="D256" s="3" t="s">
        <v>94</v>
      </c>
      <c r="E256" s="33" t="s">
        <v>30</v>
      </c>
      <c r="F256" s="3"/>
      <c r="G256" s="7"/>
      <c r="H256" s="7">
        <v>0</v>
      </c>
      <c r="I256" s="12"/>
      <c r="J256" s="5" t="e">
        <f>+SUMIFS(#REF!,#REF!,Planning[[#This Row],[Tarifa]],#REF!,Planning[[#This Row],[Proyectos]])</f>
        <v>#REF!</v>
      </c>
      <c r="K256" s="5" t="e">
        <f>Planning[[#This Row],[Horas Planificadas]]+Planning[[#This Row],[Horas ajustadas adicionales]]-Planning[[#This Row],[Horas utilizadas]]</f>
        <v>#REF!</v>
      </c>
      <c r="L256" s="7"/>
      <c r="M256" s="19" t="e">
        <f>Planning[[#This Row],[Saldo]]-Planning[[#This Row],[Saldo estimado]]</f>
        <v>#REF!</v>
      </c>
      <c r="N256" s="60" t="e">
        <f>SUM(SUMIFS(#REF!,#REF!,Planning[[#This Row],[Proyectos]],#REF!,Planning[[#This Row],[Tipo de Tarea y especialidad]]),SUMIFS(#REF!,#REF!,Planning[[#This Row],[Proyectos]],#REF!,Planning[[#This Row],[Tipo de Tarea y especialidad]]))</f>
        <v>#REF!</v>
      </c>
      <c r="O256" s="19">
        <f t="shared" si="6"/>
        <v>10</v>
      </c>
      <c r="P256" s="19">
        <f t="shared" si="7"/>
        <v>2024</v>
      </c>
      <c r="Q256" s="19" t="e">
        <f>+SUMIFS(#REF!,#REF!,Planning[[#This Row],[Tarifa]],#REF!,Planning[[#This Row],[Proyectos]],#REF!,Planning[[#This Row],[Mes]],#REF!,Planning[[#This Row],[Año]])</f>
        <v>#REF!</v>
      </c>
      <c r="R256" s="19" t="str">
        <f>TEXT(Planning[[#This Row],[Mes]]*29,"mmmm")</f>
        <v>October</v>
      </c>
      <c r="S2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6" s="241"/>
      <c r="U256" s="43">
        <f>IF(Planning[[#This Row],[Horas Planificadas]]&lt;&gt;0,+K256/Planning[[#This Row],[Horas Planificadas]],0)</f>
        <v>0</v>
      </c>
      <c r="V256" s="43">
        <f>IF(Planning[[#This Row],[Horas Planificadas]]&lt;&gt;0,Planning[[#This Row],[Horas utilizadas]]/Planning[[#This Row],[Horas Planificadas]],0)</f>
        <v>0</v>
      </c>
      <c r="W256" s="44">
        <f>Planning[[#This Row],[Horas Planificadas]]+Planning[[#This Row],[Horas ajustadas adicionales]]</f>
        <v>0</v>
      </c>
      <c r="X256" s="142"/>
    </row>
    <row r="257" spans="1:24" ht="12.75" customHeight="1" x14ac:dyDescent="0.2">
      <c r="A257" s="7"/>
      <c r="B257" s="7"/>
      <c r="C257" s="3"/>
      <c r="D257" s="3" t="s">
        <v>94</v>
      </c>
      <c r="E257" s="33" t="s">
        <v>31</v>
      </c>
      <c r="F257" s="3"/>
      <c r="G257" s="7"/>
      <c r="H257" s="7">
        <v>10</v>
      </c>
      <c r="I257" s="12"/>
      <c r="J257" s="5" t="e">
        <f>+SUMIFS(#REF!,#REF!,Planning[[#This Row],[Tarifa]],#REF!,Planning[[#This Row],[Proyectos]])</f>
        <v>#REF!</v>
      </c>
      <c r="K257" s="5" t="e">
        <f>Planning[[#This Row],[Horas Planificadas]]+Planning[[#This Row],[Horas ajustadas adicionales]]-Planning[[#This Row],[Horas utilizadas]]</f>
        <v>#REF!</v>
      </c>
      <c r="L257" s="7"/>
      <c r="M257" s="19" t="e">
        <f>Planning[[#This Row],[Saldo]]-Planning[[#This Row],[Saldo estimado]]</f>
        <v>#REF!</v>
      </c>
      <c r="N257" s="60" t="e">
        <f>SUM(SUMIFS(#REF!,#REF!,Planning[[#This Row],[Proyectos]],#REF!,Planning[[#This Row],[Tipo de Tarea y especialidad]]),SUMIFS(#REF!,#REF!,Planning[[#This Row],[Proyectos]],#REF!,Planning[[#This Row],[Tipo de Tarea y especialidad]]))</f>
        <v>#REF!</v>
      </c>
      <c r="O257" s="19">
        <f t="shared" si="6"/>
        <v>10</v>
      </c>
      <c r="P257" s="19">
        <f t="shared" si="7"/>
        <v>2024</v>
      </c>
      <c r="Q257" s="19" t="e">
        <f>+SUMIFS(#REF!,#REF!,Planning[[#This Row],[Tarifa]],#REF!,Planning[[#This Row],[Proyectos]],#REF!,Planning[[#This Row],[Mes]],#REF!,Planning[[#This Row],[Año]])</f>
        <v>#REF!</v>
      </c>
      <c r="R257" s="19" t="str">
        <f>TEXT(Planning[[#This Row],[Mes]]*29,"mmmm")</f>
        <v>October</v>
      </c>
      <c r="S2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7" s="241"/>
      <c r="U257" s="43" t="e">
        <f>IF(Planning[[#This Row],[Horas Planificadas]]&lt;&gt;0,+K257/Planning[[#This Row],[Horas Planificadas]],0)</f>
        <v>#REF!</v>
      </c>
      <c r="V257" s="43" t="e">
        <f>IF(Planning[[#This Row],[Horas Planificadas]]&lt;&gt;0,Planning[[#This Row],[Horas utilizadas]]/Planning[[#This Row],[Horas Planificadas]],0)</f>
        <v>#REF!</v>
      </c>
      <c r="W257" s="44">
        <f>Planning[[#This Row],[Horas Planificadas]]+Planning[[#This Row],[Horas ajustadas adicionales]]</f>
        <v>10</v>
      </c>
      <c r="X257" s="142"/>
    </row>
    <row r="258" spans="1:24" ht="12.75" customHeight="1" x14ac:dyDescent="0.2">
      <c r="A258" s="7"/>
      <c r="B258" s="7"/>
      <c r="C258" s="3"/>
      <c r="D258" s="3" t="s">
        <v>94</v>
      </c>
      <c r="E258" s="33" t="s">
        <v>32</v>
      </c>
      <c r="F258" s="3"/>
      <c r="G258" s="7"/>
      <c r="H258" s="7">
        <v>24</v>
      </c>
      <c r="I258" s="12"/>
      <c r="J258" s="5" t="e">
        <f>+SUMIFS(#REF!,#REF!,Planning[[#This Row],[Tarifa]],#REF!,Planning[[#This Row],[Proyectos]])</f>
        <v>#REF!</v>
      </c>
      <c r="K258" s="5" t="e">
        <f>Planning[[#This Row],[Horas Planificadas]]+Planning[[#This Row],[Horas ajustadas adicionales]]-Planning[[#This Row],[Horas utilizadas]]</f>
        <v>#REF!</v>
      </c>
      <c r="L258" s="7"/>
      <c r="M258" s="19" t="e">
        <f>Planning[[#This Row],[Saldo]]-Planning[[#This Row],[Saldo estimado]]</f>
        <v>#REF!</v>
      </c>
      <c r="N258" s="60" t="e">
        <f>SUM(SUMIFS(#REF!,#REF!,Planning[[#This Row],[Proyectos]],#REF!,Planning[[#This Row],[Tipo de Tarea y especialidad]]),SUMIFS(#REF!,#REF!,Planning[[#This Row],[Proyectos]],#REF!,Planning[[#This Row],[Tipo de Tarea y especialidad]]))</f>
        <v>#REF!</v>
      </c>
      <c r="O258" s="19">
        <f t="shared" si="6"/>
        <v>10</v>
      </c>
      <c r="P258" s="19">
        <f t="shared" si="7"/>
        <v>2024</v>
      </c>
      <c r="Q258" s="19" t="e">
        <f>+SUMIFS(#REF!,#REF!,Planning[[#This Row],[Tarifa]],#REF!,Planning[[#This Row],[Proyectos]],#REF!,Planning[[#This Row],[Mes]],#REF!,Planning[[#This Row],[Año]])</f>
        <v>#REF!</v>
      </c>
      <c r="R258" s="19" t="str">
        <f>TEXT(Planning[[#This Row],[Mes]]*29,"mmmm")</f>
        <v>October</v>
      </c>
      <c r="S2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8" s="241"/>
      <c r="U258" s="43" t="e">
        <f>IF(Planning[[#This Row],[Horas Planificadas]]&lt;&gt;0,+K258/Planning[[#This Row],[Horas Planificadas]],0)</f>
        <v>#REF!</v>
      </c>
      <c r="V258" s="43" t="e">
        <f>IF(Planning[[#This Row],[Horas Planificadas]]&lt;&gt;0,Planning[[#This Row],[Horas utilizadas]]/Planning[[#This Row],[Horas Planificadas]],0)</f>
        <v>#REF!</v>
      </c>
      <c r="W258" s="44">
        <f>Planning[[#This Row],[Horas Planificadas]]+Planning[[#This Row],[Horas ajustadas adicionales]]</f>
        <v>24</v>
      </c>
      <c r="X258" s="142"/>
    </row>
    <row r="259" spans="1:24" ht="12.75" customHeight="1" x14ac:dyDescent="0.2">
      <c r="A259" s="7"/>
      <c r="B259" s="7"/>
      <c r="C259" s="3"/>
      <c r="D259" s="3" t="s">
        <v>95</v>
      </c>
      <c r="E259" s="33" t="s">
        <v>28</v>
      </c>
      <c r="F259" s="3"/>
      <c r="G259" s="7"/>
      <c r="H259" s="7">
        <v>810</v>
      </c>
      <c r="I259" s="12"/>
      <c r="J259" s="5" t="e">
        <f>+SUMIFS(#REF!,#REF!,Planning[[#This Row],[Tarifa]],#REF!,Planning[[#This Row],[Proyectos]])</f>
        <v>#REF!</v>
      </c>
      <c r="K259" s="5" t="e">
        <f>Planning[[#This Row],[Horas Planificadas]]+Planning[[#This Row],[Horas ajustadas adicionales]]-Planning[[#This Row],[Horas utilizadas]]</f>
        <v>#REF!</v>
      </c>
      <c r="L259" s="7"/>
      <c r="M259" s="19" t="e">
        <f>Planning[[#This Row],[Saldo]]-Planning[[#This Row],[Saldo estimado]]</f>
        <v>#REF!</v>
      </c>
      <c r="N259" s="60" t="e">
        <f>SUM(SUMIFS(#REF!,#REF!,Planning[[#This Row],[Proyectos]],#REF!,Planning[[#This Row],[Tipo de Tarea y especialidad]]),SUMIFS(#REF!,#REF!,Planning[[#This Row],[Proyectos]],#REF!,Planning[[#This Row],[Tipo de Tarea y especialidad]]))</f>
        <v>#REF!</v>
      </c>
      <c r="O259" s="19">
        <f t="shared" si="6"/>
        <v>10</v>
      </c>
      <c r="P259" s="19">
        <f t="shared" si="7"/>
        <v>2024</v>
      </c>
      <c r="Q259" s="19" t="e">
        <f>+SUMIFS(#REF!,#REF!,Planning[[#This Row],[Tarifa]],#REF!,Planning[[#This Row],[Proyectos]],#REF!,Planning[[#This Row],[Mes]],#REF!,Planning[[#This Row],[Año]])</f>
        <v>#REF!</v>
      </c>
      <c r="R259" s="19" t="str">
        <f>TEXT(Planning[[#This Row],[Mes]]*29,"mmmm")</f>
        <v>October</v>
      </c>
      <c r="S2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9" s="241"/>
      <c r="U259" s="43" t="e">
        <f>IF(Planning[[#This Row],[Horas Planificadas]]&lt;&gt;0,+K259/Planning[[#This Row],[Horas Planificadas]],0)</f>
        <v>#REF!</v>
      </c>
      <c r="V259" s="43" t="e">
        <f>IF(Planning[[#This Row],[Horas Planificadas]]&lt;&gt;0,Planning[[#This Row],[Horas utilizadas]]/Planning[[#This Row],[Horas Planificadas]],0)</f>
        <v>#REF!</v>
      </c>
      <c r="W259" s="44">
        <f>Planning[[#This Row],[Horas Planificadas]]+Planning[[#This Row],[Horas ajustadas adicionales]]</f>
        <v>810</v>
      </c>
      <c r="X259" s="142"/>
    </row>
    <row r="260" spans="1:24" ht="12.75" customHeight="1" x14ac:dyDescent="0.2">
      <c r="A260" s="7"/>
      <c r="B260" s="7"/>
      <c r="C260" s="3"/>
      <c r="D260" s="3" t="s">
        <v>95</v>
      </c>
      <c r="E260" s="33" t="s">
        <v>30</v>
      </c>
      <c r="F260" s="3"/>
      <c r="G260" s="7"/>
      <c r="H260" s="7">
        <v>1055</v>
      </c>
      <c r="I260" s="12"/>
      <c r="J260" s="5" t="e">
        <f>+SUMIFS(#REF!,#REF!,Planning[[#This Row],[Tarifa]],#REF!,Planning[[#This Row],[Proyectos]])</f>
        <v>#REF!</v>
      </c>
      <c r="K260" s="5" t="e">
        <f>Planning[[#This Row],[Horas Planificadas]]+Planning[[#This Row],[Horas ajustadas adicionales]]-Planning[[#This Row],[Horas utilizadas]]</f>
        <v>#REF!</v>
      </c>
      <c r="L260" s="7"/>
      <c r="M260" s="19" t="e">
        <f>Planning[[#This Row],[Saldo]]-Planning[[#This Row],[Saldo estimado]]</f>
        <v>#REF!</v>
      </c>
      <c r="N260" s="60" t="e">
        <f>SUM(SUMIFS(#REF!,#REF!,Planning[[#This Row],[Proyectos]],#REF!,Planning[[#This Row],[Tipo de Tarea y especialidad]]),SUMIFS(#REF!,#REF!,Planning[[#This Row],[Proyectos]],#REF!,Planning[[#This Row],[Tipo de Tarea y especialidad]]))</f>
        <v>#REF!</v>
      </c>
      <c r="O260" s="19">
        <f t="shared" si="6"/>
        <v>10</v>
      </c>
      <c r="P260" s="19">
        <f t="shared" si="7"/>
        <v>2024</v>
      </c>
      <c r="Q260" s="19" t="e">
        <f>+SUMIFS(#REF!,#REF!,Planning[[#This Row],[Tarifa]],#REF!,Planning[[#This Row],[Proyectos]],#REF!,Planning[[#This Row],[Mes]],#REF!,Planning[[#This Row],[Año]])</f>
        <v>#REF!</v>
      </c>
      <c r="R260" s="19" t="str">
        <f>TEXT(Planning[[#This Row],[Mes]]*29,"mmmm")</f>
        <v>October</v>
      </c>
      <c r="S2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0" s="241"/>
      <c r="U260" s="43" t="e">
        <f>IF(Planning[[#This Row],[Horas Planificadas]]&lt;&gt;0,+K260/Planning[[#This Row],[Horas Planificadas]],0)</f>
        <v>#REF!</v>
      </c>
      <c r="V260" s="43" t="e">
        <f>IF(Planning[[#This Row],[Horas Planificadas]]&lt;&gt;0,Planning[[#This Row],[Horas utilizadas]]/Planning[[#This Row],[Horas Planificadas]],0)</f>
        <v>#REF!</v>
      </c>
      <c r="W260" s="44">
        <f>Planning[[#This Row],[Horas Planificadas]]+Planning[[#This Row],[Horas ajustadas adicionales]]</f>
        <v>1055</v>
      </c>
      <c r="X260" s="142"/>
    </row>
    <row r="261" spans="1:24" ht="12.75" customHeight="1" x14ac:dyDescent="0.2">
      <c r="A261" s="7"/>
      <c r="B261" s="7"/>
      <c r="C261" s="3"/>
      <c r="D261" s="3" t="s">
        <v>95</v>
      </c>
      <c r="E261" s="33" t="s">
        <v>31</v>
      </c>
      <c r="F261" s="3"/>
      <c r="G261" s="7"/>
      <c r="H261" s="7">
        <v>164</v>
      </c>
      <c r="I261" s="12"/>
      <c r="J261" s="5" t="e">
        <f>+SUMIFS(#REF!,#REF!,Planning[[#This Row],[Tarifa]],#REF!,Planning[[#This Row],[Proyectos]])</f>
        <v>#REF!</v>
      </c>
      <c r="K261" s="5" t="e">
        <f>Planning[[#This Row],[Horas Planificadas]]+Planning[[#This Row],[Horas ajustadas adicionales]]-Planning[[#This Row],[Horas utilizadas]]</f>
        <v>#REF!</v>
      </c>
      <c r="L261" s="7"/>
      <c r="M261" s="19" t="e">
        <f>Planning[[#This Row],[Saldo]]-Planning[[#This Row],[Saldo estimado]]</f>
        <v>#REF!</v>
      </c>
      <c r="N261" s="60" t="e">
        <f>SUM(SUMIFS(#REF!,#REF!,Planning[[#This Row],[Proyectos]],#REF!,Planning[[#This Row],[Tipo de Tarea y especialidad]]),SUMIFS(#REF!,#REF!,Planning[[#This Row],[Proyectos]],#REF!,Planning[[#This Row],[Tipo de Tarea y especialidad]]))</f>
        <v>#REF!</v>
      </c>
      <c r="O261" s="19">
        <f t="shared" si="6"/>
        <v>10</v>
      </c>
      <c r="P261" s="19">
        <f t="shared" si="7"/>
        <v>2024</v>
      </c>
      <c r="Q261" s="19" t="e">
        <f>+SUMIFS(#REF!,#REF!,Planning[[#This Row],[Tarifa]],#REF!,Planning[[#This Row],[Proyectos]],#REF!,Planning[[#This Row],[Mes]],#REF!,Planning[[#This Row],[Año]])</f>
        <v>#REF!</v>
      </c>
      <c r="R261" s="19" t="str">
        <f>TEXT(Planning[[#This Row],[Mes]]*29,"mmmm")</f>
        <v>October</v>
      </c>
      <c r="S2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1" s="241"/>
      <c r="U261" s="43" t="e">
        <f>IF(Planning[[#This Row],[Horas Planificadas]]&lt;&gt;0,+K261/Planning[[#This Row],[Horas Planificadas]],0)</f>
        <v>#REF!</v>
      </c>
      <c r="V261" s="43" t="e">
        <f>IF(Planning[[#This Row],[Horas Planificadas]]&lt;&gt;0,Planning[[#This Row],[Horas utilizadas]]/Planning[[#This Row],[Horas Planificadas]],0)</f>
        <v>#REF!</v>
      </c>
      <c r="W261" s="44">
        <f>Planning[[#This Row],[Horas Planificadas]]+Planning[[#This Row],[Horas ajustadas adicionales]]</f>
        <v>164</v>
      </c>
      <c r="X261" s="142"/>
    </row>
    <row r="262" spans="1:24" ht="12.75" customHeight="1" x14ac:dyDescent="0.2">
      <c r="A262" s="7"/>
      <c r="B262" s="7"/>
      <c r="C262" s="3"/>
      <c r="D262" s="3" t="s">
        <v>95</v>
      </c>
      <c r="E262" s="33" t="s">
        <v>32</v>
      </c>
      <c r="F262" s="3"/>
      <c r="G262" s="7"/>
      <c r="H262" s="7">
        <v>387</v>
      </c>
      <c r="I262" s="12"/>
      <c r="J262" s="5" t="e">
        <f>+SUMIFS(#REF!,#REF!,Planning[[#This Row],[Tarifa]],#REF!,Planning[[#This Row],[Proyectos]])</f>
        <v>#REF!</v>
      </c>
      <c r="K262" s="5" t="e">
        <f>Planning[[#This Row],[Horas Planificadas]]+Planning[[#This Row],[Horas ajustadas adicionales]]-Planning[[#This Row],[Horas utilizadas]]</f>
        <v>#REF!</v>
      </c>
      <c r="L262" s="7"/>
      <c r="M262" s="19" t="e">
        <f>Planning[[#This Row],[Saldo]]-Planning[[#This Row],[Saldo estimado]]</f>
        <v>#REF!</v>
      </c>
      <c r="N262" s="60" t="e">
        <f>SUM(SUMIFS(#REF!,#REF!,Planning[[#This Row],[Proyectos]],#REF!,Planning[[#This Row],[Tipo de Tarea y especialidad]]),SUMIFS(#REF!,#REF!,Planning[[#This Row],[Proyectos]],#REF!,Planning[[#This Row],[Tipo de Tarea y especialidad]]))</f>
        <v>#REF!</v>
      </c>
      <c r="O262" s="19">
        <f t="shared" si="6"/>
        <v>10</v>
      </c>
      <c r="P262" s="19">
        <f t="shared" si="7"/>
        <v>2024</v>
      </c>
      <c r="Q262" s="19" t="e">
        <f>+SUMIFS(#REF!,#REF!,Planning[[#This Row],[Tarifa]],#REF!,Planning[[#This Row],[Proyectos]],#REF!,Planning[[#This Row],[Mes]],#REF!,Planning[[#This Row],[Año]])</f>
        <v>#REF!</v>
      </c>
      <c r="R262" s="19" t="str">
        <f>TEXT(Planning[[#This Row],[Mes]]*29,"mmmm")</f>
        <v>October</v>
      </c>
      <c r="S2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2" s="241"/>
      <c r="U262" s="43" t="e">
        <f>IF(Planning[[#This Row],[Horas Planificadas]]&lt;&gt;0,+K262/Planning[[#This Row],[Horas Planificadas]],0)</f>
        <v>#REF!</v>
      </c>
      <c r="V262" s="43" t="e">
        <f>IF(Planning[[#This Row],[Horas Planificadas]]&lt;&gt;0,Planning[[#This Row],[Horas utilizadas]]/Planning[[#This Row],[Horas Planificadas]],0)</f>
        <v>#REF!</v>
      </c>
      <c r="W262" s="44">
        <f>Planning[[#This Row],[Horas Planificadas]]+Planning[[#This Row],[Horas ajustadas adicionales]]</f>
        <v>387</v>
      </c>
      <c r="X262" s="142"/>
    </row>
    <row r="263" spans="1:24" ht="12.75" customHeight="1" x14ac:dyDescent="0.2">
      <c r="A263" s="7"/>
      <c r="B263" s="7"/>
      <c r="C263" s="3"/>
      <c r="D263" s="3" t="s">
        <v>96</v>
      </c>
      <c r="E263" s="33" t="s">
        <v>28</v>
      </c>
      <c r="F263" s="3"/>
      <c r="G263" s="7"/>
      <c r="H263" s="7">
        <v>80</v>
      </c>
      <c r="I263" s="12"/>
      <c r="J263" s="5" t="e">
        <f>+SUMIFS(#REF!,#REF!,Planning[[#This Row],[Tarifa]],#REF!,Planning[[#This Row],[Proyectos]])</f>
        <v>#REF!</v>
      </c>
      <c r="K263" s="5" t="e">
        <f>Planning[[#This Row],[Horas Planificadas]]+Planning[[#This Row],[Horas ajustadas adicionales]]-Planning[[#This Row],[Horas utilizadas]]</f>
        <v>#REF!</v>
      </c>
      <c r="L263" s="7"/>
      <c r="M263" s="19" t="e">
        <f>Planning[[#This Row],[Saldo]]-Planning[[#This Row],[Saldo estimado]]</f>
        <v>#REF!</v>
      </c>
      <c r="N263" s="60" t="e">
        <f>SUM(SUMIFS(#REF!,#REF!,Planning[[#This Row],[Proyectos]],#REF!,Planning[[#This Row],[Tipo de Tarea y especialidad]]),SUMIFS(#REF!,#REF!,Planning[[#This Row],[Proyectos]],#REF!,Planning[[#This Row],[Tipo de Tarea y especialidad]]))</f>
        <v>#REF!</v>
      </c>
      <c r="O263" s="19">
        <f t="shared" ref="O263:O326" si="8">$L$4</f>
        <v>10</v>
      </c>
      <c r="P263" s="19">
        <f t="shared" ref="P263:P326" si="9">$M$4</f>
        <v>2024</v>
      </c>
      <c r="Q263" s="19" t="e">
        <f>+SUMIFS(#REF!,#REF!,Planning[[#This Row],[Tarifa]],#REF!,Planning[[#This Row],[Proyectos]],#REF!,Planning[[#This Row],[Mes]],#REF!,Planning[[#This Row],[Año]])</f>
        <v>#REF!</v>
      </c>
      <c r="R263" s="19" t="str">
        <f>TEXT(Planning[[#This Row],[Mes]]*29,"mmmm")</f>
        <v>October</v>
      </c>
      <c r="S2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3" s="241"/>
      <c r="U263" s="43" t="e">
        <f>IF(Planning[[#This Row],[Horas Planificadas]]&lt;&gt;0,+K263/Planning[[#This Row],[Horas Planificadas]],0)</f>
        <v>#REF!</v>
      </c>
      <c r="V263" s="43" t="e">
        <f>IF(Planning[[#This Row],[Horas Planificadas]]&lt;&gt;0,Planning[[#This Row],[Horas utilizadas]]/Planning[[#This Row],[Horas Planificadas]],0)</f>
        <v>#REF!</v>
      </c>
      <c r="W263" s="44">
        <f>Planning[[#This Row],[Horas Planificadas]]+Planning[[#This Row],[Horas ajustadas adicionales]]</f>
        <v>80</v>
      </c>
      <c r="X263" s="142"/>
    </row>
    <row r="264" spans="1:24" ht="12.75" customHeight="1" x14ac:dyDescent="0.2">
      <c r="A264" s="7"/>
      <c r="B264" s="7"/>
      <c r="C264" s="3"/>
      <c r="D264" s="3" t="s">
        <v>96</v>
      </c>
      <c r="E264" s="33" t="s">
        <v>30</v>
      </c>
      <c r="F264" s="3"/>
      <c r="G264" s="7"/>
      <c r="H264" s="7">
        <v>160</v>
      </c>
      <c r="I264" s="12"/>
      <c r="J264" s="5" t="e">
        <f>+SUMIFS(#REF!,#REF!,Planning[[#This Row],[Tarifa]],#REF!,Planning[[#This Row],[Proyectos]])</f>
        <v>#REF!</v>
      </c>
      <c r="K264" s="5" t="e">
        <f>Planning[[#This Row],[Horas Planificadas]]+Planning[[#This Row],[Horas ajustadas adicionales]]-Planning[[#This Row],[Horas utilizadas]]</f>
        <v>#REF!</v>
      </c>
      <c r="L264" s="7"/>
      <c r="M264" s="19" t="e">
        <f>Planning[[#This Row],[Saldo]]-Planning[[#This Row],[Saldo estimado]]</f>
        <v>#REF!</v>
      </c>
      <c r="N264" s="60" t="e">
        <f>SUM(SUMIFS(#REF!,#REF!,Planning[[#This Row],[Proyectos]],#REF!,Planning[[#This Row],[Tipo de Tarea y especialidad]]),SUMIFS(#REF!,#REF!,Planning[[#This Row],[Proyectos]],#REF!,Planning[[#This Row],[Tipo de Tarea y especialidad]]))</f>
        <v>#REF!</v>
      </c>
      <c r="O264" s="19">
        <f t="shared" si="8"/>
        <v>10</v>
      </c>
      <c r="P264" s="19">
        <f t="shared" si="9"/>
        <v>2024</v>
      </c>
      <c r="Q264" s="19" t="e">
        <f>+SUMIFS(#REF!,#REF!,Planning[[#This Row],[Tarifa]],#REF!,Planning[[#This Row],[Proyectos]],#REF!,Planning[[#This Row],[Mes]],#REF!,Planning[[#This Row],[Año]])</f>
        <v>#REF!</v>
      </c>
      <c r="R264" s="19" t="str">
        <f>TEXT(Planning[[#This Row],[Mes]]*29,"mmmm")</f>
        <v>October</v>
      </c>
      <c r="S2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4" s="241"/>
      <c r="U264" s="43" t="e">
        <f>IF(Planning[[#This Row],[Horas Planificadas]]&lt;&gt;0,+K264/Planning[[#This Row],[Horas Planificadas]],0)</f>
        <v>#REF!</v>
      </c>
      <c r="V264" s="43" t="e">
        <f>IF(Planning[[#This Row],[Horas Planificadas]]&lt;&gt;0,Planning[[#This Row],[Horas utilizadas]]/Planning[[#This Row],[Horas Planificadas]],0)</f>
        <v>#REF!</v>
      </c>
      <c r="W264" s="44">
        <f>Planning[[#This Row],[Horas Planificadas]]+Planning[[#This Row],[Horas ajustadas adicionales]]</f>
        <v>160</v>
      </c>
      <c r="X264" s="142"/>
    </row>
    <row r="265" spans="1:24" ht="12.75" customHeight="1" x14ac:dyDescent="0.2">
      <c r="A265" s="7"/>
      <c r="B265" s="7"/>
      <c r="C265" s="3"/>
      <c r="D265" s="3" t="s">
        <v>96</v>
      </c>
      <c r="E265" s="33" t="s">
        <v>31</v>
      </c>
      <c r="F265" s="3"/>
      <c r="G265" s="7"/>
      <c r="H265" s="7">
        <v>120</v>
      </c>
      <c r="I265" s="12"/>
      <c r="J265" s="5" t="e">
        <f>+SUMIFS(#REF!,#REF!,Planning[[#This Row],[Tarifa]],#REF!,Planning[[#This Row],[Proyectos]])</f>
        <v>#REF!</v>
      </c>
      <c r="K265" s="5" t="e">
        <f>Planning[[#This Row],[Horas Planificadas]]+Planning[[#This Row],[Horas ajustadas adicionales]]-Planning[[#This Row],[Horas utilizadas]]</f>
        <v>#REF!</v>
      </c>
      <c r="L265" s="7"/>
      <c r="M265" s="19" t="e">
        <f>Planning[[#This Row],[Saldo]]-Planning[[#This Row],[Saldo estimado]]</f>
        <v>#REF!</v>
      </c>
      <c r="N265" s="60" t="e">
        <f>SUM(SUMIFS(#REF!,#REF!,Planning[[#This Row],[Proyectos]],#REF!,Planning[[#This Row],[Tipo de Tarea y especialidad]]),SUMIFS(#REF!,#REF!,Planning[[#This Row],[Proyectos]],#REF!,Planning[[#This Row],[Tipo de Tarea y especialidad]]))</f>
        <v>#REF!</v>
      </c>
      <c r="O265" s="19">
        <f t="shared" si="8"/>
        <v>10</v>
      </c>
      <c r="P265" s="19">
        <f t="shared" si="9"/>
        <v>2024</v>
      </c>
      <c r="Q265" s="19" t="e">
        <f>+SUMIFS(#REF!,#REF!,Planning[[#This Row],[Tarifa]],#REF!,Planning[[#This Row],[Proyectos]],#REF!,Planning[[#This Row],[Mes]],#REF!,Planning[[#This Row],[Año]])</f>
        <v>#REF!</v>
      </c>
      <c r="R265" s="19" t="str">
        <f>TEXT(Planning[[#This Row],[Mes]]*29,"mmmm")</f>
        <v>October</v>
      </c>
      <c r="S2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5" s="241"/>
      <c r="U265" s="43" t="e">
        <f>IF(Planning[[#This Row],[Horas Planificadas]]&lt;&gt;0,+K265/Planning[[#This Row],[Horas Planificadas]],0)</f>
        <v>#REF!</v>
      </c>
      <c r="V265" s="43" t="e">
        <f>IF(Planning[[#This Row],[Horas Planificadas]]&lt;&gt;0,Planning[[#This Row],[Horas utilizadas]]/Planning[[#This Row],[Horas Planificadas]],0)</f>
        <v>#REF!</v>
      </c>
      <c r="W265" s="44">
        <f>Planning[[#This Row],[Horas Planificadas]]+Planning[[#This Row],[Horas ajustadas adicionales]]</f>
        <v>120</v>
      </c>
      <c r="X265" s="142"/>
    </row>
    <row r="266" spans="1:24" ht="12.75" customHeight="1" x14ac:dyDescent="0.2">
      <c r="A266" s="7"/>
      <c r="B266" s="7"/>
      <c r="C266" s="3"/>
      <c r="D266" s="3" t="s">
        <v>96</v>
      </c>
      <c r="E266" s="33" t="s">
        <v>32</v>
      </c>
      <c r="F266" s="3"/>
      <c r="G266" s="7"/>
      <c r="H266" s="7">
        <v>40</v>
      </c>
      <c r="I266" s="12"/>
      <c r="J266" s="5" t="e">
        <f>+SUMIFS(#REF!,#REF!,Planning[[#This Row],[Tarifa]],#REF!,Planning[[#This Row],[Proyectos]])</f>
        <v>#REF!</v>
      </c>
      <c r="K266" s="5" t="e">
        <f>Planning[[#This Row],[Horas Planificadas]]+Planning[[#This Row],[Horas ajustadas adicionales]]-Planning[[#This Row],[Horas utilizadas]]</f>
        <v>#REF!</v>
      </c>
      <c r="L266" s="7"/>
      <c r="M266" s="19" t="e">
        <f>Planning[[#This Row],[Saldo]]-Planning[[#This Row],[Saldo estimado]]</f>
        <v>#REF!</v>
      </c>
      <c r="N266" s="60" t="e">
        <f>SUM(SUMIFS(#REF!,#REF!,Planning[[#This Row],[Proyectos]],#REF!,Planning[[#This Row],[Tipo de Tarea y especialidad]]),SUMIFS(#REF!,#REF!,Planning[[#This Row],[Proyectos]],#REF!,Planning[[#This Row],[Tipo de Tarea y especialidad]]))</f>
        <v>#REF!</v>
      </c>
      <c r="O266" s="19">
        <f t="shared" si="8"/>
        <v>10</v>
      </c>
      <c r="P266" s="19">
        <f t="shared" si="9"/>
        <v>2024</v>
      </c>
      <c r="Q266" s="19" t="e">
        <f>+SUMIFS(#REF!,#REF!,Planning[[#This Row],[Tarifa]],#REF!,Planning[[#This Row],[Proyectos]],#REF!,Planning[[#This Row],[Mes]],#REF!,Planning[[#This Row],[Año]])</f>
        <v>#REF!</v>
      </c>
      <c r="R266" s="19" t="str">
        <f>TEXT(Planning[[#This Row],[Mes]]*29,"mmmm")</f>
        <v>October</v>
      </c>
      <c r="S2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6" s="241"/>
      <c r="U266" s="43" t="e">
        <f>IF(Planning[[#This Row],[Horas Planificadas]]&lt;&gt;0,+K266/Planning[[#This Row],[Horas Planificadas]],0)</f>
        <v>#REF!</v>
      </c>
      <c r="V266" s="43" t="e">
        <f>IF(Planning[[#This Row],[Horas Planificadas]]&lt;&gt;0,Planning[[#This Row],[Horas utilizadas]]/Planning[[#This Row],[Horas Planificadas]],0)</f>
        <v>#REF!</v>
      </c>
      <c r="W266" s="44">
        <f>Planning[[#This Row],[Horas Planificadas]]+Planning[[#This Row],[Horas ajustadas adicionales]]</f>
        <v>40</v>
      </c>
      <c r="X266" s="142"/>
    </row>
    <row r="267" spans="1:24" ht="12.75" customHeight="1" x14ac:dyDescent="0.2">
      <c r="A267" s="7"/>
      <c r="B267" s="7"/>
      <c r="C267" s="3"/>
      <c r="D267" s="3" t="s">
        <v>97</v>
      </c>
      <c r="E267" s="33" t="s">
        <v>28</v>
      </c>
      <c r="F267" s="3"/>
      <c r="G267" s="7"/>
      <c r="H267" s="7">
        <v>0</v>
      </c>
      <c r="I267" s="12"/>
      <c r="J267" s="5" t="e">
        <f>+SUMIFS(#REF!,#REF!,Planning[[#This Row],[Tarifa]],#REF!,Planning[[#This Row],[Proyectos]])</f>
        <v>#REF!</v>
      </c>
      <c r="K267" s="5" t="e">
        <f>Planning[[#This Row],[Horas Planificadas]]+Planning[[#This Row],[Horas ajustadas adicionales]]-Planning[[#This Row],[Horas utilizadas]]</f>
        <v>#REF!</v>
      </c>
      <c r="L267" s="7"/>
      <c r="M267" s="19" t="e">
        <f>Planning[[#This Row],[Saldo]]-Planning[[#This Row],[Saldo estimado]]</f>
        <v>#REF!</v>
      </c>
      <c r="N267" s="60" t="e">
        <f>SUM(SUMIFS(#REF!,#REF!,Planning[[#This Row],[Proyectos]],#REF!,Planning[[#This Row],[Tipo de Tarea y especialidad]]),SUMIFS(#REF!,#REF!,Planning[[#This Row],[Proyectos]],#REF!,Planning[[#This Row],[Tipo de Tarea y especialidad]]))</f>
        <v>#REF!</v>
      </c>
      <c r="O267" s="19">
        <f t="shared" si="8"/>
        <v>10</v>
      </c>
      <c r="P267" s="19">
        <f t="shared" si="9"/>
        <v>2024</v>
      </c>
      <c r="Q267" s="19" t="e">
        <f>+SUMIFS(#REF!,#REF!,Planning[[#This Row],[Tarifa]],#REF!,Planning[[#This Row],[Proyectos]],#REF!,Planning[[#This Row],[Mes]],#REF!,Planning[[#This Row],[Año]])</f>
        <v>#REF!</v>
      </c>
      <c r="R267" s="19" t="str">
        <f>TEXT(Planning[[#This Row],[Mes]]*29,"mmmm")</f>
        <v>October</v>
      </c>
      <c r="S2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7" s="241"/>
      <c r="U267" s="43">
        <f>IF(Planning[[#This Row],[Horas Planificadas]]&lt;&gt;0,+K267/Planning[[#This Row],[Horas Planificadas]],0)</f>
        <v>0</v>
      </c>
      <c r="V267" s="43">
        <f>IF(Planning[[#This Row],[Horas Planificadas]]&lt;&gt;0,Planning[[#This Row],[Horas utilizadas]]/Planning[[#This Row],[Horas Planificadas]],0)</f>
        <v>0</v>
      </c>
      <c r="W267" s="44">
        <f>Planning[[#This Row],[Horas Planificadas]]+Planning[[#This Row],[Horas ajustadas adicionales]]</f>
        <v>0</v>
      </c>
      <c r="X267" s="142"/>
    </row>
    <row r="268" spans="1:24" ht="12.75" customHeight="1" x14ac:dyDescent="0.2">
      <c r="A268" s="7"/>
      <c r="B268" s="7"/>
      <c r="C268" s="3"/>
      <c r="D268" s="3" t="s">
        <v>97</v>
      </c>
      <c r="E268" s="33" t="s">
        <v>30</v>
      </c>
      <c r="F268" s="3"/>
      <c r="G268" s="7"/>
      <c r="H268" s="7">
        <v>325</v>
      </c>
      <c r="I268" s="12"/>
      <c r="J268" s="5" t="e">
        <f>+SUMIFS(#REF!,#REF!,Planning[[#This Row],[Tarifa]],#REF!,Planning[[#This Row],[Proyectos]])</f>
        <v>#REF!</v>
      </c>
      <c r="K268" s="5" t="e">
        <f>Planning[[#This Row],[Horas Planificadas]]+Planning[[#This Row],[Horas ajustadas adicionales]]-Planning[[#This Row],[Horas utilizadas]]</f>
        <v>#REF!</v>
      </c>
      <c r="L268" s="7"/>
      <c r="M268" s="19" t="e">
        <f>Planning[[#This Row],[Saldo]]-Planning[[#This Row],[Saldo estimado]]</f>
        <v>#REF!</v>
      </c>
      <c r="N268" s="60" t="e">
        <f>SUM(SUMIFS(#REF!,#REF!,Planning[[#This Row],[Proyectos]],#REF!,Planning[[#This Row],[Tipo de Tarea y especialidad]]),SUMIFS(#REF!,#REF!,Planning[[#This Row],[Proyectos]],#REF!,Planning[[#This Row],[Tipo de Tarea y especialidad]]))</f>
        <v>#REF!</v>
      </c>
      <c r="O268" s="19">
        <f t="shared" si="8"/>
        <v>10</v>
      </c>
      <c r="P268" s="19">
        <f t="shared" si="9"/>
        <v>2024</v>
      </c>
      <c r="Q268" s="19" t="e">
        <f>+SUMIFS(#REF!,#REF!,Planning[[#This Row],[Tarifa]],#REF!,Planning[[#This Row],[Proyectos]],#REF!,Planning[[#This Row],[Mes]],#REF!,Planning[[#This Row],[Año]])</f>
        <v>#REF!</v>
      </c>
      <c r="R268" s="19" t="str">
        <f>TEXT(Planning[[#This Row],[Mes]]*29,"mmmm")</f>
        <v>October</v>
      </c>
      <c r="S2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8" s="241"/>
      <c r="U268" s="43" t="e">
        <f>IF(Planning[[#This Row],[Horas Planificadas]]&lt;&gt;0,+K268/Planning[[#This Row],[Horas Planificadas]],0)</f>
        <v>#REF!</v>
      </c>
      <c r="V268" s="43" t="e">
        <f>IF(Planning[[#This Row],[Horas Planificadas]]&lt;&gt;0,Planning[[#This Row],[Horas utilizadas]]/Planning[[#This Row],[Horas Planificadas]],0)</f>
        <v>#REF!</v>
      </c>
      <c r="W268" s="44">
        <f>Planning[[#This Row],[Horas Planificadas]]+Planning[[#This Row],[Horas ajustadas adicionales]]</f>
        <v>325</v>
      </c>
      <c r="X268" s="142"/>
    </row>
    <row r="269" spans="1:24" ht="12.75" customHeight="1" x14ac:dyDescent="0.2">
      <c r="A269" s="7"/>
      <c r="B269" s="7"/>
      <c r="C269" s="3"/>
      <c r="D269" s="3" t="s">
        <v>97</v>
      </c>
      <c r="E269" s="33" t="s">
        <v>31</v>
      </c>
      <c r="F269" s="3"/>
      <c r="G269" s="7"/>
      <c r="H269" s="7">
        <v>16</v>
      </c>
      <c r="I269" s="12"/>
      <c r="J269" s="5" t="e">
        <f>+SUMIFS(#REF!,#REF!,Planning[[#This Row],[Tarifa]],#REF!,Planning[[#This Row],[Proyectos]])</f>
        <v>#REF!</v>
      </c>
      <c r="K269" s="5" t="e">
        <f>Planning[[#This Row],[Horas Planificadas]]+Planning[[#This Row],[Horas ajustadas adicionales]]-Planning[[#This Row],[Horas utilizadas]]</f>
        <v>#REF!</v>
      </c>
      <c r="L269" s="7"/>
      <c r="M269" s="19" t="e">
        <f>Planning[[#This Row],[Saldo]]-Planning[[#This Row],[Saldo estimado]]</f>
        <v>#REF!</v>
      </c>
      <c r="N269" s="60" t="e">
        <f>SUM(SUMIFS(#REF!,#REF!,Planning[[#This Row],[Proyectos]],#REF!,Planning[[#This Row],[Tipo de Tarea y especialidad]]),SUMIFS(#REF!,#REF!,Planning[[#This Row],[Proyectos]],#REF!,Planning[[#This Row],[Tipo de Tarea y especialidad]]))</f>
        <v>#REF!</v>
      </c>
      <c r="O269" s="19">
        <f t="shared" si="8"/>
        <v>10</v>
      </c>
      <c r="P269" s="19">
        <f t="shared" si="9"/>
        <v>2024</v>
      </c>
      <c r="Q269" s="19" t="e">
        <f>+SUMIFS(#REF!,#REF!,Planning[[#This Row],[Tarifa]],#REF!,Planning[[#This Row],[Proyectos]],#REF!,Planning[[#This Row],[Mes]],#REF!,Planning[[#This Row],[Año]])</f>
        <v>#REF!</v>
      </c>
      <c r="R269" s="19" t="str">
        <f>TEXT(Planning[[#This Row],[Mes]]*29,"mmmm")</f>
        <v>October</v>
      </c>
      <c r="S2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9" s="241"/>
      <c r="U269" s="43" t="e">
        <f>IF(Planning[[#This Row],[Horas Planificadas]]&lt;&gt;0,+K269/Planning[[#This Row],[Horas Planificadas]],0)</f>
        <v>#REF!</v>
      </c>
      <c r="V269" s="43" t="e">
        <f>IF(Planning[[#This Row],[Horas Planificadas]]&lt;&gt;0,Planning[[#This Row],[Horas utilizadas]]/Planning[[#This Row],[Horas Planificadas]],0)</f>
        <v>#REF!</v>
      </c>
      <c r="W269" s="44">
        <f>Planning[[#This Row],[Horas Planificadas]]+Planning[[#This Row],[Horas ajustadas adicionales]]</f>
        <v>16</v>
      </c>
      <c r="X269" s="142"/>
    </row>
    <row r="270" spans="1:24" ht="12.75" customHeight="1" x14ac:dyDescent="0.2">
      <c r="A270" s="7"/>
      <c r="B270" s="7"/>
      <c r="C270" s="3"/>
      <c r="D270" s="3" t="s">
        <v>97</v>
      </c>
      <c r="E270" s="33" t="s">
        <v>32</v>
      </c>
      <c r="F270" s="3"/>
      <c r="G270" s="7"/>
      <c r="H270" s="7">
        <v>27</v>
      </c>
      <c r="I270" s="12"/>
      <c r="J270" s="5" t="e">
        <f>+SUMIFS(#REF!,#REF!,Planning[[#This Row],[Tarifa]],#REF!,Planning[[#This Row],[Proyectos]])</f>
        <v>#REF!</v>
      </c>
      <c r="K270" s="5" t="e">
        <f>Planning[[#This Row],[Horas Planificadas]]+Planning[[#This Row],[Horas ajustadas adicionales]]-Planning[[#This Row],[Horas utilizadas]]</f>
        <v>#REF!</v>
      </c>
      <c r="L270" s="7"/>
      <c r="M270" s="19" t="e">
        <f>Planning[[#This Row],[Saldo]]-Planning[[#This Row],[Saldo estimado]]</f>
        <v>#REF!</v>
      </c>
      <c r="N270" s="60" t="e">
        <f>SUM(SUMIFS(#REF!,#REF!,Planning[[#This Row],[Proyectos]],#REF!,Planning[[#This Row],[Tipo de Tarea y especialidad]]),SUMIFS(#REF!,#REF!,Planning[[#This Row],[Proyectos]],#REF!,Planning[[#This Row],[Tipo de Tarea y especialidad]]))</f>
        <v>#REF!</v>
      </c>
      <c r="O270" s="19">
        <f t="shared" si="8"/>
        <v>10</v>
      </c>
      <c r="P270" s="19">
        <f t="shared" si="9"/>
        <v>2024</v>
      </c>
      <c r="Q270" s="19" t="e">
        <f>+SUMIFS(#REF!,#REF!,Planning[[#This Row],[Tarifa]],#REF!,Planning[[#This Row],[Proyectos]],#REF!,Planning[[#This Row],[Mes]],#REF!,Planning[[#This Row],[Año]])</f>
        <v>#REF!</v>
      </c>
      <c r="R270" s="19" t="str">
        <f>TEXT(Planning[[#This Row],[Mes]]*29,"mmmm")</f>
        <v>October</v>
      </c>
      <c r="S2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0" s="241"/>
      <c r="U270" s="43" t="e">
        <f>IF(Planning[[#This Row],[Horas Planificadas]]&lt;&gt;0,+K270/Planning[[#This Row],[Horas Planificadas]],0)</f>
        <v>#REF!</v>
      </c>
      <c r="V270" s="43" t="e">
        <f>IF(Planning[[#This Row],[Horas Planificadas]]&lt;&gt;0,Planning[[#This Row],[Horas utilizadas]]/Planning[[#This Row],[Horas Planificadas]],0)</f>
        <v>#REF!</v>
      </c>
      <c r="W270" s="44">
        <f>Planning[[#This Row],[Horas Planificadas]]+Planning[[#This Row],[Horas ajustadas adicionales]]</f>
        <v>27</v>
      </c>
      <c r="X270" s="142"/>
    </row>
    <row r="271" spans="1:24" ht="12.75" customHeight="1" x14ac:dyDescent="0.2">
      <c r="A271" s="7"/>
      <c r="B271" s="7"/>
      <c r="C271" s="3"/>
      <c r="D271" s="3" t="s">
        <v>98</v>
      </c>
      <c r="E271" s="33" t="s">
        <v>28</v>
      </c>
      <c r="F271" s="3"/>
      <c r="G271" s="7"/>
      <c r="H271" s="7">
        <v>1382</v>
      </c>
      <c r="I271" s="12"/>
      <c r="J271" s="5" t="e">
        <f>+SUMIFS(#REF!,#REF!,Planning[[#This Row],[Tarifa]],#REF!,Planning[[#This Row],[Proyectos]])</f>
        <v>#REF!</v>
      </c>
      <c r="K271" s="5" t="e">
        <f>Planning[[#This Row],[Horas Planificadas]]+Planning[[#This Row],[Horas ajustadas adicionales]]-Planning[[#This Row],[Horas utilizadas]]</f>
        <v>#REF!</v>
      </c>
      <c r="L271" s="7"/>
      <c r="M271" s="19" t="e">
        <f>Planning[[#This Row],[Saldo]]-Planning[[#This Row],[Saldo estimado]]</f>
        <v>#REF!</v>
      </c>
      <c r="N271" s="60" t="e">
        <f>SUM(SUMIFS(#REF!,#REF!,Planning[[#This Row],[Proyectos]],#REF!,Planning[[#This Row],[Tipo de Tarea y especialidad]]),SUMIFS(#REF!,#REF!,Planning[[#This Row],[Proyectos]],#REF!,Planning[[#This Row],[Tipo de Tarea y especialidad]]))</f>
        <v>#REF!</v>
      </c>
      <c r="O271" s="19">
        <f t="shared" si="8"/>
        <v>10</v>
      </c>
      <c r="P271" s="19">
        <f t="shared" si="9"/>
        <v>2024</v>
      </c>
      <c r="Q271" s="19" t="e">
        <f>+SUMIFS(#REF!,#REF!,Planning[[#This Row],[Tarifa]],#REF!,Planning[[#This Row],[Proyectos]],#REF!,Planning[[#This Row],[Mes]],#REF!,Planning[[#This Row],[Año]])</f>
        <v>#REF!</v>
      </c>
      <c r="R271" s="19" t="str">
        <f>TEXT(Planning[[#This Row],[Mes]]*29,"mmmm")</f>
        <v>October</v>
      </c>
      <c r="S2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1" s="241"/>
      <c r="U271" s="43" t="e">
        <f>IF(Planning[[#This Row],[Horas Planificadas]]&lt;&gt;0,+K271/Planning[[#This Row],[Horas Planificadas]],0)</f>
        <v>#REF!</v>
      </c>
      <c r="V271" s="43" t="e">
        <f>IF(Planning[[#This Row],[Horas Planificadas]]&lt;&gt;0,Planning[[#This Row],[Horas utilizadas]]/Planning[[#This Row],[Horas Planificadas]],0)</f>
        <v>#REF!</v>
      </c>
      <c r="W271" s="44">
        <f>Planning[[#This Row],[Horas Planificadas]]+Planning[[#This Row],[Horas ajustadas adicionales]]</f>
        <v>1382</v>
      </c>
      <c r="X271" s="142"/>
    </row>
    <row r="272" spans="1:24" ht="12.75" customHeight="1" x14ac:dyDescent="0.2">
      <c r="A272" s="7"/>
      <c r="B272" s="7"/>
      <c r="C272" s="3"/>
      <c r="D272" s="3" t="s">
        <v>98</v>
      </c>
      <c r="E272" s="33" t="s">
        <v>30</v>
      </c>
      <c r="F272" s="3"/>
      <c r="G272" s="7"/>
      <c r="H272" s="7">
        <v>2002</v>
      </c>
      <c r="I272" s="12"/>
      <c r="J272" s="5" t="e">
        <f>+SUMIFS(#REF!,#REF!,Planning[[#This Row],[Tarifa]],#REF!,Planning[[#This Row],[Proyectos]])</f>
        <v>#REF!</v>
      </c>
      <c r="K272" s="5" t="e">
        <f>Planning[[#This Row],[Horas Planificadas]]+Planning[[#This Row],[Horas ajustadas adicionales]]-Planning[[#This Row],[Horas utilizadas]]</f>
        <v>#REF!</v>
      </c>
      <c r="L272" s="7"/>
      <c r="M272" s="19" t="e">
        <f>Planning[[#This Row],[Saldo]]-Planning[[#This Row],[Saldo estimado]]</f>
        <v>#REF!</v>
      </c>
      <c r="N272" s="60" t="e">
        <f>SUM(SUMIFS(#REF!,#REF!,Planning[[#This Row],[Proyectos]],#REF!,Planning[[#This Row],[Tipo de Tarea y especialidad]]),SUMIFS(#REF!,#REF!,Planning[[#This Row],[Proyectos]],#REF!,Planning[[#This Row],[Tipo de Tarea y especialidad]]))</f>
        <v>#REF!</v>
      </c>
      <c r="O272" s="19">
        <f t="shared" si="8"/>
        <v>10</v>
      </c>
      <c r="P272" s="19">
        <f t="shared" si="9"/>
        <v>2024</v>
      </c>
      <c r="Q272" s="19" t="e">
        <f>+SUMIFS(#REF!,#REF!,Planning[[#This Row],[Tarifa]],#REF!,Planning[[#This Row],[Proyectos]],#REF!,Planning[[#This Row],[Mes]],#REF!,Planning[[#This Row],[Año]])</f>
        <v>#REF!</v>
      </c>
      <c r="R272" s="19" t="str">
        <f>TEXT(Planning[[#This Row],[Mes]]*29,"mmmm")</f>
        <v>October</v>
      </c>
      <c r="S2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2" s="241"/>
      <c r="U272" s="43" t="e">
        <f>IF(Planning[[#This Row],[Horas Planificadas]]&lt;&gt;0,+K272/Planning[[#This Row],[Horas Planificadas]],0)</f>
        <v>#REF!</v>
      </c>
      <c r="V272" s="43" t="e">
        <f>IF(Planning[[#This Row],[Horas Planificadas]]&lt;&gt;0,Planning[[#This Row],[Horas utilizadas]]/Planning[[#This Row],[Horas Planificadas]],0)</f>
        <v>#REF!</v>
      </c>
      <c r="W272" s="44">
        <f>Planning[[#This Row],[Horas Planificadas]]+Planning[[#This Row],[Horas ajustadas adicionales]]</f>
        <v>2002</v>
      </c>
      <c r="X272" s="142"/>
    </row>
    <row r="273" spans="1:24" ht="12.75" customHeight="1" x14ac:dyDescent="0.2">
      <c r="A273" s="7"/>
      <c r="B273" s="7"/>
      <c r="C273" s="3"/>
      <c r="D273" s="3" t="s">
        <v>98</v>
      </c>
      <c r="E273" s="33" t="s">
        <v>31</v>
      </c>
      <c r="F273" s="3"/>
      <c r="G273" s="7"/>
      <c r="H273" s="7">
        <v>371</v>
      </c>
      <c r="I273" s="12"/>
      <c r="J273" s="5" t="e">
        <f>+SUMIFS(#REF!,#REF!,Planning[[#This Row],[Tarifa]],#REF!,Planning[[#This Row],[Proyectos]])</f>
        <v>#REF!</v>
      </c>
      <c r="K273" s="5" t="e">
        <f>Planning[[#This Row],[Horas Planificadas]]+Planning[[#This Row],[Horas ajustadas adicionales]]-Planning[[#This Row],[Horas utilizadas]]</f>
        <v>#REF!</v>
      </c>
      <c r="L273" s="7"/>
      <c r="M273" s="19" t="e">
        <f>Planning[[#This Row],[Saldo]]-Planning[[#This Row],[Saldo estimado]]</f>
        <v>#REF!</v>
      </c>
      <c r="N273" s="60" t="e">
        <f>SUM(SUMIFS(#REF!,#REF!,Planning[[#This Row],[Proyectos]],#REF!,Planning[[#This Row],[Tipo de Tarea y especialidad]]),SUMIFS(#REF!,#REF!,Planning[[#This Row],[Proyectos]],#REF!,Planning[[#This Row],[Tipo de Tarea y especialidad]]))</f>
        <v>#REF!</v>
      </c>
      <c r="O273" s="19">
        <f t="shared" si="8"/>
        <v>10</v>
      </c>
      <c r="P273" s="19">
        <f t="shared" si="9"/>
        <v>2024</v>
      </c>
      <c r="Q273" s="19" t="e">
        <f>+SUMIFS(#REF!,#REF!,Planning[[#This Row],[Tarifa]],#REF!,Planning[[#This Row],[Proyectos]],#REF!,Planning[[#This Row],[Mes]],#REF!,Planning[[#This Row],[Año]])</f>
        <v>#REF!</v>
      </c>
      <c r="R273" s="19" t="str">
        <f>TEXT(Planning[[#This Row],[Mes]]*29,"mmmm")</f>
        <v>October</v>
      </c>
      <c r="S2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3" s="241"/>
      <c r="U273" s="43" t="e">
        <f>IF(Planning[[#This Row],[Horas Planificadas]]&lt;&gt;0,+K273/Planning[[#This Row],[Horas Planificadas]],0)</f>
        <v>#REF!</v>
      </c>
      <c r="V273" s="43" t="e">
        <f>IF(Planning[[#This Row],[Horas Planificadas]]&lt;&gt;0,Planning[[#This Row],[Horas utilizadas]]/Planning[[#This Row],[Horas Planificadas]],0)</f>
        <v>#REF!</v>
      </c>
      <c r="W273" s="44">
        <f>Planning[[#This Row],[Horas Planificadas]]+Planning[[#This Row],[Horas ajustadas adicionales]]</f>
        <v>371</v>
      </c>
      <c r="X273" s="142"/>
    </row>
    <row r="274" spans="1:24" ht="12.75" customHeight="1" x14ac:dyDescent="0.2">
      <c r="A274" s="7"/>
      <c r="B274" s="7"/>
      <c r="C274" s="3"/>
      <c r="D274" s="3" t="s">
        <v>98</v>
      </c>
      <c r="E274" s="33" t="s">
        <v>32</v>
      </c>
      <c r="F274" s="3"/>
      <c r="G274" s="7"/>
      <c r="H274" s="7">
        <v>776</v>
      </c>
      <c r="I274" s="12"/>
      <c r="J274" s="5" t="e">
        <f>+SUMIFS(#REF!,#REF!,Planning[[#This Row],[Tarifa]],#REF!,Planning[[#This Row],[Proyectos]])</f>
        <v>#REF!</v>
      </c>
      <c r="K274" s="5" t="e">
        <f>Planning[[#This Row],[Horas Planificadas]]+Planning[[#This Row],[Horas ajustadas adicionales]]-Planning[[#This Row],[Horas utilizadas]]</f>
        <v>#REF!</v>
      </c>
      <c r="L274" s="7"/>
      <c r="M274" s="19" t="e">
        <f>Planning[[#This Row],[Saldo]]-Planning[[#This Row],[Saldo estimado]]</f>
        <v>#REF!</v>
      </c>
      <c r="N274" s="60" t="e">
        <f>SUM(SUMIFS(#REF!,#REF!,Planning[[#This Row],[Proyectos]],#REF!,Planning[[#This Row],[Tipo de Tarea y especialidad]]),SUMIFS(#REF!,#REF!,Planning[[#This Row],[Proyectos]],#REF!,Planning[[#This Row],[Tipo de Tarea y especialidad]]))</f>
        <v>#REF!</v>
      </c>
      <c r="O274" s="19">
        <f t="shared" si="8"/>
        <v>10</v>
      </c>
      <c r="P274" s="19">
        <f t="shared" si="9"/>
        <v>2024</v>
      </c>
      <c r="Q274" s="19" t="e">
        <f>+SUMIFS(#REF!,#REF!,Planning[[#This Row],[Tarifa]],#REF!,Planning[[#This Row],[Proyectos]],#REF!,Planning[[#This Row],[Mes]],#REF!,Planning[[#This Row],[Año]])</f>
        <v>#REF!</v>
      </c>
      <c r="R274" s="19" t="str">
        <f>TEXT(Planning[[#This Row],[Mes]]*29,"mmmm")</f>
        <v>October</v>
      </c>
      <c r="S2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4" s="241"/>
      <c r="U274" s="43" t="e">
        <f>IF(Planning[[#This Row],[Horas Planificadas]]&lt;&gt;0,+K274/Planning[[#This Row],[Horas Planificadas]],0)</f>
        <v>#REF!</v>
      </c>
      <c r="V274" s="43" t="e">
        <f>IF(Planning[[#This Row],[Horas Planificadas]]&lt;&gt;0,Planning[[#This Row],[Horas utilizadas]]/Planning[[#This Row],[Horas Planificadas]],0)</f>
        <v>#REF!</v>
      </c>
      <c r="W274" s="44">
        <f>Planning[[#This Row],[Horas Planificadas]]+Planning[[#This Row],[Horas ajustadas adicionales]]</f>
        <v>776</v>
      </c>
      <c r="X274" s="142"/>
    </row>
    <row r="275" spans="1:24" ht="12.75" customHeight="1" x14ac:dyDescent="0.2">
      <c r="A275" s="7"/>
      <c r="B275" s="7"/>
      <c r="C275" s="3"/>
      <c r="D275" s="3" t="s">
        <v>99</v>
      </c>
      <c r="E275" s="33" t="s">
        <v>28</v>
      </c>
      <c r="F275" s="3"/>
      <c r="G275" s="7"/>
      <c r="H275" s="7">
        <v>221</v>
      </c>
      <c r="I275" s="12"/>
      <c r="J275" s="5" t="e">
        <f>+SUMIFS(#REF!,#REF!,Planning[[#This Row],[Tarifa]],#REF!,Planning[[#This Row],[Proyectos]])</f>
        <v>#REF!</v>
      </c>
      <c r="K275" s="5" t="e">
        <f>Planning[[#This Row],[Horas Planificadas]]+Planning[[#This Row],[Horas ajustadas adicionales]]-Planning[[#This Row],[Horas utilizadas]]</f>
        <v>#REF!</v>
      </c>
      <c r="L275" s="7"/>
      <c r="M275" s="19" t="e">
        <f>Planning[[#This Row],[Saldo]]-Planning[[#This Row],[Saldo estimado]]</f>
        <v>#REF!</v>
      </c>
      <c r="N275" s="60" t="e">
        <f>SUM(SUMIFS(#REF!,#REF!,Planning[[#This Row],[Proyectos]],#REF!,Planning[[#This Row],[Tipo de Tarea y especialidad]]),SUMIFS(#REF!,#REF!,Planning[[#This Row],[Proyectos]],#REF!,Planning[[#This Row],[Tipo de Tarea y especialidad]]))</f>
        <v>#REF!</v>
      </c>
      <c r="O275" s="19">
        <f t="shared" si="8"/>
        <v>10</v>
      </c>
      <c r="P275" s="19">
        <f t="shared" si="9"/>
        <v>2024</v>
      </c>
      <c r="Q275" s="19" t="e">
        <f>+SUMIFS(#REF!,#REF!,Planning[[#This Row],[Tarifa]],#REF!,Planning[[#This Row],[Proyectos]],#REF!,Planning[[#This Row],[Mes]],#REF!,Planning[[#This Row],[Año]])</f>
        <v>#REF!</v>
      </c>
      <c r="R275" s="19" t="str">
        <f>TEXT(Planning[[#This Row],[Mes]]*29,"mmmm")</f>
        <v>October</v>
      </c>
      <c r="S2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5" s="241"/>
      <c r="U275" s="43" t="e">
        <f>IF(Planning[[#This Row],[Horas Planificadas]]&lt;&gt;0,+K275/Planning[[#This Row],[Horas Planificadas]],0)</f>
        <v>#REF!</v>
      </c>
      <c r="V275" s="43" t="e">
        <f>IF(Planning[[#This Row],[Horas Planificadas]]&lt;&gt;0,Planning[[#This Row],[Horas utilizadas]]/Planning[[#This Row],[Horas Planificadas]],0)</f>
        <v>#REF!</v>
      </c>
      <c r="W275" s="44">
        <f>Planning[[#This Row],[Horas Planificadas]]+Planning[[#This Row],[Horas ajustadas adicionales]]</f>
        <v>221</v>
      </c>
      <c r="X275" s="142"/>
    </row>
    <row r="276" spans="1:24" ht="12.75" customHeight="1" x14ac:dyDescent="0.2">
      <c r="A276" s="7"/>
      <c r="B276" s="7"/>
      <c r="C276" s="3"/>
      <c r="D276" s="3" t="s">
        <v>99</v>
      </c>
      <c r="E276" s="33" t="s">
        <v>30</v>
      </c>
      <c r="F276" s="3"/>
      <c r="G276" s="7"/>
      <c r="H276" s="7">
        <v>389</v>
      </c>
      <c r="I276" s="12"/>
      <c r="J276" s="5" t="e">
        <f>+SUMIFS(#REF!,#REF!,Planning[[#This Row],[Tarifa]],#REF!,Planning[[#This Row],[Proyectos]])</f>
        <v>#REF!</v>
      </c>
      <c r="K276" s="5" t="e">
        <f>Planning[[#This Row],[Horas Planificadas]]+Planning[[#This Row],[Horas ajustadas adicionales]]-Planning[[#This Row],[Horas utilizadas]]</f>
        <v>#REF!</v>
      </c>
      <c r="L276" s="7"/>
      <c r="M276" s="19" t="e">
        <f>Planning[[#This Row],[Saldo]]-Planning[[#This Row],[Saldo estimado]]</f>
        <v>#REF!</v>
      </c>
      <c r="N276" s="60" t="e">
        <f>SUM(SUMIFS(#REF!,#REF!,Planning[[#This Row],[Proyectos]],#REF!,Planning[[#This Row],[Tipo de Tarea y especialidad]]),SUMIFS(#REF!,#REF!,Planning[[#This Row],[Proyectos]],#REF!,Planning[[#This Row],[Tipo de Tarea y especialidad]]))</f>
        <v>#REF!</v>
      </c>
      <c r="O276" s="19">
        <f t="shared" si="8"/>
        <v>10</v>
      </c>
      <c r="P276" s="19">
        <f t="shared" si="9"/>
        <v>2024</v>
      </c>
      <c r="Q276" s="19" t="e">
        <f>+SUMIFS(#REF!,#REF!,Planning[[#This Row],[Tarifa]],#REF!,Planning[[#This Row],[Proyectos]],#REF!,Planning[[#This Row],[Mes]],#REF!,Planning[[#This Row],[Año]])</f>
        <v>#REF!</v>
      </c>
      <c r="R276" s="19" t="str">
        <f>TEXT(Planning[[#This Row],[Mes]]*29,"mmmm")</f>
        <v>October</v>
      </c>
      <c r="S2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6" s="241"/>
      <c r="U276" s="43" t="e">
        <f>IF(Planning[[#This Row],[Horas Planificadas]]&lt;&gt;0,+K276/Planning[[#This Row],[Horas Planificadas]],0)</f>
        <v>#REF!</v>
      </c>
      <c r="V276" s="43" t="e">
        <f>IF(Planning[[#This Row],[Horas Planificadas]]&lt;&gt;0,Planning[[#This Row],[Horas utilizadas]]/Planning[[#This Row],[Horas Planificadas]],0)</f>
        <v>#REF!</v>
      </c>
      <c r="W276" s="44">
        <f>Planning[[#This Row],[Horas Planificadas]]+Planning[[#This Row],[Horas ajustadas adicionales]]</f>
        <v>389</v>
      </c>
      <c r="X276" s="142"/>
    </row>
    <row r="277" spans="1:24" ht="12.75" customHeight="1" x14ac:dyDescent="0.2">
      <c r="A277" s="7"/>
      <c r="B277" s="7"/>
      <c r="C277" s="3"/>
      <c r="D277" s="3" t="s">
        <v>99</v>
      </c>
      <c r="E277" s="33" t="s">
        <v>31</v>
      </c>
      <c r="F277" s="3"/>
      <c r="G277" s="7"/>
      <c r="H277" s="7">
        <v>275</v>
      </c>
      <c r="I277" s="12"/>
      <c r="J277" s="5" t="e">
        <f>+SUMIFS(#REF!,#REF!,Planning[[#This Row],[Tarifa]],#REF!,Planning[[#This Row],[Proyectos]])</f>
        <v>#REF!</v>
      </c>
      <c r="K277" s="5" t="e">
        <f>Planning[[#This Row],[Horas Planificadas]]+Planning[[#This Row],[Horas ajustadas adicionales]]-Planning[[#This Row],[Horas utilizadas]]</f>
        <v>#REF!</v>
      </c>
      <c r="L277" s="7"/>
      <c r="M277" s="19" t="e">
        <f>Planning[[#This Row],[Saldo]]-Planning[[#This Row],[Saldo estimado]]</f>
        <v>#REF!</v>
      </c>
      <c r="N277" s="60" t="e">
        <f>SUM(SUMIFS(#REF!,#REF!,Planning[[#This Row],[Proyectos]],#REF!,Planning[[#This Row],[Tipo de Tarea y especialidad]]),SUMIFS(#REF!,#REF!,Planning[[#This Row],[Proyectos]],#REF!,Planning[[#This Row],[Tipo de Tarea y especialidad]]))</f>
        <v>#REF!</v>
      </c>
      <c r="O277" s="19">
        <f t="shared" si="8"/>
        <v>10</v>
      </c>
      <c r="P277" s="19">
        <f t="shared" si="9"/>
        <v>2024</v>
      </c>
      <c r="Q277" s="19" t="e">
        <f>+SUMIFS(#REF!,#REF!,Planning[[#This Row],[Tarifa]],#REF!,Planning[[#This Row],[Proyectos]],#REF!,Planning[[#This Row],[Mes]],#REF!,Planning[[#This Row],[Año]])</f>
        <v>#REF!</v>
      </c>
      <c r="R277" s="19" t="str">
        <f>TEXT(Planning[[#This Row],[Mes]]*29,"mmmm")</f>
        <v>October</v>
      </c>
      <c r="S2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7" s="241"/>
      <c r="U277" s="43" t="e">
        <f>IF(Planning[[#This Row],[Horas Planificadas]]&lt;&gt;0,+K277/Planning[[#This Row],[Horas Planificadas]],0)</f>
        <v>#REF!</v>
      </c>
      <c r="V277" s="43" t="e">
        <f>IF(Planning[[#This Row],[Horas Planificadas]]&lt;&gt;0,Planning[[#This Row],[Horas utilizadas]]/Planning[[#This Row],[Horas Planificadas]],0)</f>
        <v>#REF!</v>
      </c>
      <c r="W277" s="44">
        <f>Planning[[#This Row],[Horas Planificadas]]+Planning[[#This Row],[Horas ajustadas adicionales]]</f>
        <v>275</v>
      </c>
      <c r="X277" s="142"/>
    </row>
    <row r="278" spans="1:24" ht="12.75" customHeight="1" x14ac:dyDescent="0.2">
      <c r="A278" s="7"/>
      <c r="B278" s="7"/>
      <c r="C278" s="3"/>
      <c r="D278" s="3" t="s">
        <v>99</v>
      </c>
      <c r="E278" s="33" t="s">
        <v>32</v>
      </c>
      <c r="F278" s="3"/>
      <c r="G278" s="7"/>
      <c r="H278" s="7">
        <v>130</v>
      </c>
      <c r="I278" s="12"/>
      <c r="J278" s="5" t="e">
        <f>+SUMIFS(#REF!,#REF!,Planning[[#This Row],[Tarifa]],#REF!,Planning[[#This Row],[Proyectos]])</f>
        <v>#REF!</v>
      </c>
      <c r="K278" s="5" t="e">
        <f>Planning[[#This Row],[Horas Planificadas]]+Planning[[#This Row],[Horas ajustadas adicionales]]-Planning[[#This Row],[Horas utilizadas]]</f>
        <v>#REF!</v>
      </c>
      <c r="L278" s="7"/>
      <c r="M278" s="19" t="e">
        <f>Planning[[#This Row],[Saldo]]-Planning[[#This Row],[Saldo estimado]]</f>
        <v>#REF!</v>
      </c>
      <c r="N278" s="60" t="e">
        <f>SUM(SUMIFS(#REF!,#REF!,Planning[[#This Row],[Proyectos]],#REF!,Planning[[#This Row],[Tipo de Tarea y especialidad]]),SUMIFS(#REF!,#REF!,Planning[[#This Row],[Proyectos]],#REF!,Planning[[#This Row],[Tipo de Tarea y especialidad]]))</f>
        <v>#REF!</v>
      </c>
      <c r="O278" s="19">
        <f t="shared" si="8"/>
        <v>10</v>
      </c>
      <c r="P278" s="19">
        <f t="shared" si="9"/>
        <v>2024</v>
      </c>
      <c r="Q278" s="19" t="e">
        <f>+SUMIFS(#REF!,#REF!,Planning[[#This Row],[Tarifa]],#REF!,Planning[[#This Row],[Proyectos]],#REF!,Planning[[#This Row],[Mes]],#REF!,Planning[[#This Row],[Año]])</f>
        <v>#REF!</v>
      </c>
      <c r="R278" s="19" t="str">
        <f>TEXT(Planning[[#This Row],[Mes]]*29,"mmmm")</f>
        <v>October</v>
      </c>
      <c r="S2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8" s="241"/>
      <c r="U278" s="43" t="e">
        <f>IF(Planning[[#This Row],[Horas Planificadas]]&lt;&gt;0,+K278/Planning[[#This Row],[Horas Planificadas]],0)</f>
        <v>#REF!</v>
      </c>
      <c r="V278" s="43" t="e">
        <f>IF(Planning[[#This Row],[Horas Planificadas]]&lt;&gt;0,Planning[[#This Row],[Horas utilizadas]]/Planning[[#This Row],[Horas Planificadas]],0)</f>
        <v>#REF!</v>
      </c>
      <c r="W278" s="44">
        <f>Planning[[#This Row],[Horas Planificadas]]+Planning[[#This Row],[Horas ajustadas adicionales]]</f>
        <v>130</v>
      </c>
      <c r="X278" s="142"/>
    </row>
    <row r="279" spans="1:24" ht="12.75" customHeight="1" x14ac:dyDescent="0.2">
      <c r="A279" s="7"/>
      <c r="B279" s="7"/>
      <c r="C279" s="3"/>
      <c r="D279" s="3" t="s">
        <v>100</v>
      </c>
      <c r="E279" s="33" t="s">
        <v>28</v>
      </c>
      <c r="F279" s="3"/>
      <c r="G279" s="7"/>
      <c r="H279" s="7">
        <v>0</v>
      </c>
      <c r="I279" s="12"/>
      <c r="J279" s="5" t="e">
        <f>+SUMIFS(#REF!,#REF!,Planning[[#This Row],[Tarifa]],#REF!,Planning[[#This Row],[Proyectos]])</f>
        <v>#REF!</v>
      </c>
      <c r="K279" s="5" t="e">
        <f>Planning[[#This Row],[Horas Planificadas]]+Planning[[#This Row],[Horas ajustadas adicionales]]-Planning[[#This Row],[Horas utilizadas]]</f>
        <v>#REF!</v>
      </c>
      <c r="L279" s="7"/>
      <c r="M279" s="19" t="e">
        <f>Planning[[#This Row],[Saldo]]-Planning[[#This Row],[Saldo estimado]]</f>
        <v>#REF!</v>
      </c>
      <c r="N279" s="60" t="e">
        <f>SUM(SUMIFS(#REF!,#REF!,Planning[[#This Row],[Proyectos]],#REF!,Planning[[#This Row],[Tipo de Tarea y especialidad]]),SUMIFS(#REF!,#REF!,Planning[[#This Row],[Proyectos]],#REF!,Planning[[#This Row],[Tipo de Tarea y especialidad]]))</f>
        <v>#REF!</v>
      </c>
      <c r="O279" s="19">
        <f t="shared" si="8"/>
        <v>10</v>
      </c>
      <c r="P279" s="19">
        <f t="shared" si="9"/>
        <v>2024</v>
      </c>
      <c r="Q279" s="19" t="e">
        <f>+SUMIFS(#REF!,#REF!,Planning[[#This Row],[Tarifa]],#REF!,Planning[[#This Row],[Proyectos]],#REF!,Planning[[#This Row],[Mes]],#REF!,Planning[[#This Row],[Año]])</f>
        <v>#REF!</v>
      </c>
      <c r="R279" s="19" t="str">
        <f>TEXT(Planning[[#This Row],[Mes]]*29,"mmmm")</f>
        <v>October</v>
      </c>
      <c r="S2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9" s="241"/>
      <c r="U279" s="43">
        <f>IF(Planning[[#This Row],[Horas Planificadas]]&lt;&gt;0,+K279/Planning[[#This Row],[Horas Planificadas]],0)</f>
        <v>0</v>
      </c>
      <c r="V279" s="43">
        <f>IF(Planning[[#This Row],[Horas Planificadas]]&lt;&gt;0,Planning[[#This Row],[Horas utilizadas]]/Planning[[#This Row],[Horas Planificadas]],0)</f>
        <v>0</v>
      </c>
      <c r="W279" s="44">
        <f>Planning[[#This Row],[Horas Planificadas]]+Planning[[#This Row],[Horas ajustadas adicionales]]</f>
        <v>0</v>
      </c>
      <c r="X279" s="142"/>
    </row>
    <row r="280" spans="1:24" ht="12.75" customHeight="1" x14ac:dyDescent="0.2">
      <c r="A280" s="7"/>
      <c r="B280" s="7"/>
      <c r="C280" s="3"/>
      <c r="D280" s="3" t="s">
        <v>100</v>
      </c>
      <c r="E280" s="33" t="s">
        <v>30</v>
      </c>
      <c r="F280" s="3"/>
      <c r="G280" s="7"/>
      <c r="H280" s="7">
        <v>0</v>
      </c>
      <c r="I280" s="12"/>
      <c r="J280" s="5" t="e">
        <f>+SUMIFS(#REF!,#REF!,Planning[[#This Row],[Tarifa]],#REF!,Planning[[#This Row],[Proyectos]])</f>
        <v>#REF!</v>
      </c>
      <c r="K280" s="5" t="e">
        <f>Planning[[#This Row],[Horas Planificadas]]+Planning[[#This Row],[Horas ajustadas adicionales]]-Planning[[#This Row],[Horas utilizadas]]</f>
        <v>#REF!</v>
      </c>
      <c r="L280" s="7"/>
      <c r="M280" s="19" t="e">
        <f>Planning[[#This Row],[Saldo]]-Planning[[#This Row],[Saldo estimado]]</f>
        <v>#REF!</v>
      </c>
      <c r="N280" s="60" t="e">
        <f>SUM(SUMIFS(#REF!,#REF!,Planning[[#This Row],[Proyectos]],#REF!,Planning[[#This Row],[Tipo de Tarea y especialidad]]),SUMIFS(#REF!,#REF!,Planning[[#This Row],[Proyectos]],#REF!,Planning[[#This Row],[Tipo de Tarea y especialidad]]))</f>
        <v>#REF!</v>
      </c>
      <c r="O280" s="19">
        <f t="shared" si="8"/>
        <v>10</v>
      </c>
      <c r="P280" s="19">
        <f t="shared" si="9"/>
        <v>2024</v>
      </c>
      <c r="Q280" s="19" t="e">
        <f>+SUMIFS(#REF!,#REF!,Planning[[#This Row],[Tarifa]],#REF!,Planning[[#This Row],[Proyectos]],#REF!,Planning[[#This Row],[Mes]],#REF!,Planning[[#This Row],[Año]])</f>
        <v>#REF!</v>
      </c>
      <c r="R280" s="19" t="str">
        <f>TEXT(Planning[[#This Row],[Mes]]*29,"mmmm")</f>
        <v>October</v>
      </c>
      <c r="S2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0" s="241"/>
      <c r="U280" s="43">
        <f>IF(Planning[[#This Row],[Horas Planificadas]]&lt;&gt;0,+K280/Planning[[#This Row],[Horas Planificadas]],0)</f>
        <v>0</v>
      </c>
      <c r="V280" s="43">
        <f>IF(Planning[[#This Row],[Horas Planificadas]]&lt;&gt;0,Planning[[#This Row],[Horas utilizadas]]/Planning[[#This Row],[Horas Planificadas]],0)</f>
        <v>0</v>
      </c>
      <c r="W280" s="44">
        <f>Planning[[#This Row],[Horas Planificadas]]+Planning[[#This Row],[Horas ajustadas adicionales]]</f>
        <v>0</v>
      </c>
      <c r="X280" s="142"/>
    </row>
    <row r="281" spans="1:24" ht="12.75" customHeight="1" x14ac:dyDescent="0.2">
      <c r="A281" s="7"/>
      <c r="B281" s="7"/>
      <c r="C281" s="3"/>
      <c r="D281" s="3" t="s">
        <v>100</v>
      </c>
      <c r="E281" s="33" t="s">
        <v>31</v>
      </c>
      <c r="F281" s="3"/>
      <c r="G281" s="7"/>
      <c r="H281" s="7">
        <v>20</v>
      </c>
      <c r="I281" s="12"/>
      <c r="J281" s="5" t="e">
        <f>+SUMIFS(#REF!,#REF!,Planning[[#This Row],[Tarifa]],#REF!,Planning[[#This Row],[Proyectos]])</f>
        <v>#REF!</v>
      </c>
      <c r="K281" s="5" t="e">
        <f>Planning[[#This Row],[Horas Planificadas]]+Planning[[#This Row],[Horas ajustadas adicionales]]-Planning[[#This Row],[Horas utilizadas]]</f>
        <v>#REF!</v>
      </c>
      <c r="L281" s="7"/>
      <c r="M281" s="19" t="e">
        <f>Planning[[#This Row],[Saldo]]-Planning[[#This Row],[Saldo estimado]]</f>
        <v>#REF!</v>
      </c>
      <c r="N281" s="60" t="e">
        <f>SUM(SUMIFS(#REF!,#REF!,Planning[[#This Row],[Proyectos]],#REF!,Planning[[#This Row],[Tipo de Tarea y especialidad]]),SUMIFS(#REF!,#REF!,Planning[[#This Row],[Proyectos]],#REF!,Planning[[#This Row],[Tipo de Tarea y especialidad]]))</f>
        <v>#REF!</v>
      </c>
      <c r="O281" s="19">
        <f t="shared" si="8"/>
        <v>10</v>
      </c>
      <c r="P281" s="19">
        <f t="shared" si="9"/>
        <v>2024</v>
      </c>
      <c r="Q281" s="19" t="e">
        <f>+SUMIFS(#REF!,#REF!,Planning[[#This Row],[Tarifa]],#REF!,Planning[[#This Row],[Proyectos]],#REF!,Planning[[#This Row],[Mes]],#REF!,Planning[[#This Row],[Año]])</f>
        <v>#REF!</v>
      </c>
      <c r="R281" s="19" t="str">
        <f>TEXT(Planning[[#This Row],[Mes]]*29,"mmmm")</f>
        <v>October</v>
      </c>
      <c r="S2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1" s="241"/>
      <c r="U281" s="43" t="e">
        <f>IF(Planning[[#This Row],[Horas Planificadas]]&lt;&gt;0,+K281/Planning[[#This Row],[Horas Planificadas]],0)</f>
        <v>#REF!</v>
      </c>
      <c r="V281" s="43" t="e">
        <f>IF(Planning[[#This Row],[Horas Planificadas]]&lt;&gt;0,Planning[[#This Row],[Horas utilizadas]]/Planning[[#This Row],[Horas Planificadas]],0)</f>
        <v>#REF!</v>
      </c>
      <c r="W281" s="44">
        <f>Planning[[#This Row],[Horas Planificadas]]+Planning[[#This Row],[Horas ajustadas adicionales]]</f>
        <v>20</v>
      </c>
      <c r="X281" s="142"/>
    </row>
    <row r="282" spans="1:24" ht="12.75" customHeight="1" x14ac:dyDescent="0.2">
      <c r="A282" s="7"/>
      <c r="B282" s="7"/>
      <c r="C282" s="3"/>
      <c r="D282" s="3" t="s">
        <v>100</v>
      </c>
      <c r="E282" s="33" t="s">
        <v>32</v>
      </c>
      <c r="F282" s="3"/>
      <c r="G282" s="7"/>
      <c r="H282" s="7">
        <v>40</v>
      </c>
      <c r="I282" s="12"/>
      <c r="J282" s="5" t="e">
        <f>+SUMIFS(#REF!,#REF!,Planning[[#This Row],[Tarifa]],#REF!,Planning[[#This Row],[Proyectos]])</f>
        <v>#REF!</v>
      </c>
      <c r="K282" s="5" t="e">
        <f>Planning[[#This Row],[Horas Planificadas]]+Planning[[#This Row],[Horas ajustadas adicionales]]-Planning[[#This Row],[Horas utilizadas]]</f>
        <v>#REF!</v>
      </c>
      <c r="L282" s="7"/>
      <c r="M282" s="19" t="e">
        <f>Planning[[#This Row],[Saldo]]-Planning[[#This Row],[Saldo estimado]]</f>
        <v>#REF!</v>
      </c>
      <c r="N282" s="60" t="e">
        <f>SUM(SUMIFS(#REF!,#REF!,Planning[[#This Row],[Proyectos]],#REF!,Planning[[#This Row],[Tipo de Tarea y especialidad]]),SUMIFS(#REF!,#REF!,Planning[[#This Row],[Proyectos]],#REF!,Planning[[#This Row],[Tipo de Tarea y especialidad]]))</f>
        <v>#REF!</v>
      </c>
      <c r="O282" s="19">
        <f t="shared" si="8"/>
        <v>10</v>
      </c>
      <c r="P282" s="19">
        <f t="shared" si="9"/>
        <v>2024</v>
      </c>
      <c r="Q282" s="19" t="e">
        <f>+SUMIFS(#REF!,#REF!,Planning[[#This Row],[Tarifa]],#REF!,Planning[[#This Row],[Proyectos]],#REF!,Planning[[#This Row],[Mes]],#REF!,Planning[[#This Row],[Año]])</f>
        <v>#REF!</v>
      </c>
      <c r="R282" s="19" t="str">
        <f>TEXT(Planning[[#This Row],[Mes]]*29,"mmmm")</f>
        <v>October</v>
      </c>
      <c r="S2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2" s="241"/>
      <c r="U282" s="43" t="e">
        <f>IF(Planning[[#This Row],[Horas Planificadas]]&lt;&gt;0,+K282/Planning[[#This Row],[Horas Planificadas]],0)</f>
        <v>#REF!</v>
      </c>
      <c r="V282" s="43" t="e">
        <f>IF(Planning[[#This Row],[Horas Planificadas]]&lt;&gt;0,Planning[[#This Row],[Horas utilizadas]]/Planning[[#This Row],[Horas Planificadas]],0)</f>
        <v>#REF!</v>
      </c>
      <c r="W282" s="44">
        <f>Planning[[#This Row],[Horas Planificadas]]+Planning[[#This Row],[Horas ajustadas adicionales]]</f>
        <v>40</v>
      </c>
      <c r="X282" s="142"/>
    </row>
    <row r="283" spans="1:24" ht="12.75" customHeight="1" x14ac:dyDescent="0.2">
      <c r="A283" s="7"/>
      <c r="B283" s="7"/>
      <c r="C283" s="3"/>
      <c r="D283" s="3" t="s">
        <v>101</v>
      </c>
      <c r="E283" s="33" t="s">
        <v>28</v>
      </c>
      <c r="F283" s="3"/>
      <c r="G283" s="7"/>
      <c r="H283" s="7">
        <v>240</v>
      </c>
      <c r="I283" s="12"/>
      <c r="J283" s="5" t="e">
        <f>+SUMIFS(#REF!,#REF!,Planning[[#This Row],[Tarifa]],#REF!,Planning[[#This Row],[Proyectos]])</f>
        <v>#REF!</v>
      </c>
      <c r="K283" s="5" t="e">
        <f>Planning[[#This Row],[Horas Planificadas]]+Planning[[#This Row],[Horas ajustadas adicionales]]-Planning[[#This Row],[Horas utilizadas]]</f>
        <v>#REF!</v>
      </c>
      <c r="L283" s="7"/>
      <c r="M283" s="19" t="e">
        <f>Planning[[#This Row],[Saldo]]-Planning[[#This Row],[Saldo estimado]]</f>
        <v>#REF!</v>
      </c>
      <c r="N283" s="60" t="e">
        <f>SUM(SUMIFS(#REF!,#REF!,Planning[[#This Row],[Proyectos]],#REF!,Planning[[#This Row],[Tipo de Tarea y especialidad]]),SUMIFS(#REF!,#REF!,Planning[[#This Row],[Proyectos]],#REF!,Planning[[#This Row],[Tipo de Tarea y especialidad]]))</f>
        <v>#REF!</v>
      </c>
      <c r="O283" s="19">
        <f t="shared" si="8"/>
        <v>10</v>
      </c>
      <c r="P283" s="19">
        <f t="shared" si="9"/>
        <v>2024</v>
      </c>
      <c r="Q283" s="19" t="e">
        <f>+SUMIFS(#REF!,#REF!,Planning[[#This Row],[Tarifa]],#REF!,Planning[[#This Row],[Proyectos]],#REF!,Planning[[#This Row],[Mes]],#REF!,Planning[[#This Row],[Año]])</f>
        <v>#REF!</v>
      </c>
      <c r="R283" s="19" t="str">
        <f>TEXT(Planning[[#This Row],[Mes]]*29,"mmmm")</f>
        <v>October</v>
      </c>
      <c r="S2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3" s="241"/>
      <c r="U283" s="43" t="e">
        <f>IF(Planning[[#This Row],[Horas Planificadas]]&lt;&gt;0,+K283/Planning[[#This Row],[Horas Planificadas]],0)</f>
        <v>#REF!</v>
      </c>
      <c r="V283" s="43" t="e">
        <f>IF(Planning[[#This Row],[Horas Planificadas]]&lt;&gt;0,Planning[[#This Row],[Horas utilizadas]]/Planning[[#This Row],[Horas Planificadas]],0)</f>
        <v>#REF!</v>
      </c>
      <c r="W283" s="44">
        <f>Planning[[#This Row],[Horas Planificadas]]+Planning[[#This Row],[Horas ajustadas adicionales]]</f>
        <v>240</v>
      </c>
      <c r="X283" s="142"/>
    </row>
    <row r="284" spans="1:24" ht="12.75" customHeight="1" x14ac:dyDescent="0.2">
      <c r="A284" s="7"/>
      <c r="B284" s="7"/>
      <c r="C284" s="3"/>
      <c r="D284" s="3" t="s">
        <v>101</v>
      </c>
      <c r="E284" s="33" t="s">
        <v>30</v>
      </c>
      <c r="F284" s="3"/>
      <c r="G284" s="7"/>
      <c r="H284" s="7">
        <v>320</v>
      </c>
      <c r="I284" s="12"/>
      <c r="J284" s="5" t="e">
        <f>+SUMIFS(#REF!,#REF!,Planning[[#This Row],[Tarifa]],#REF!,Planning[[#This Row],[Proyectos]])</f>
        <v>#REF!</v>
      </c>
      <c r="K284" s="5" t="e">
        <f>Planning[[#This Row],[Horas Planificadas]]+Planning[[#This Row],[Horas ajustadas adicionales]]-Planning[[#This Row],[Horas utilizadas]]</f>
        <v>#REF!</v>
      </c>
      <c r="L284" s="7"/>
      <c r="M284" s="19" t="e">
        <f>Planning[[#This Row],[Saldo]]-Planning[[#This Row],[Saldo estimado]]</f>
        <v>#REF!</v>
      </c>
      <c r="N284" s="60" t="e">
        <f>SUM(SUMIFS(#REF!,#REF!,Planning[[#This Row],[Proyectos]],#REF!,Planning[[#This Row],[Tipo de Tarea y especialidad]]),SUMIFS(#REF!,#REF!,Planning[[#This Row],[Proyectos]],#REF!,Planning[[#This Row],[Tipo de Tarea y especialidad]]))</f>
        <v>#REF!</v>
      </c>
      <c r="O284" s="19">
        <f t="shared" si="8"/>
        <v>10</v>
      </c>
      <c r="P284" s="19">
        <f t="shared" si="9"/>
        <v>2024</v>
      </c>
      <c r="Q284" s="19" t="e">
        <f>+SUMIFS(#REF!,#REF!,Planning[[#This Row],[Tarifa]],#REF!,Planning[[#This Row],[Proyectos]],#REF!,Planning[[#This Row],[Mes]],#REF!,Planning[[#This Row],[Año]])</f>
        <v>#REF!</v>
      </c>
      <c r="R284" s="19" t="str">
        <f>TEXT(Planning[[#This Row],[Mes]]*29,"mmmm")</f>
        <v>October</v>
      </c>
      <c r="S2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4" s="241"/>
      <c r="U284" s="43" t="e">
        <f>IF(Planning[[#This Row],[Horas Planificadas]]&lt;&gt;0,+K284/Planning[[#This Row],[Horas Planificadas]],0)</f>
        <v>#REF!</v>
      </c>
      <c r="V284" s="43" t="e">
        <f>IF(Planning[[#This Row],[Horas Planificadas]]&lt;&gt;0,Planning[[#This Row],[Horas utilizadas]]/Planning[[#This Row],[Horas Planificadas]],0)</f>
        <v>#REF!</v>
      </c>
      <c r="W284" s="44">
        <f>Planning[[#This Row],[Horas Planificadas]]+Planning[[#This Row],[Horas ajustadas adicionales]]</f>
        <v>320</v>
      </c>
      <c r="X284" s="142"/>
    </row>
    <row r="285" spans="1:24" ht="12.75" customHeight="1" x14ac:dyDescent="0.2">
      <c r="A285" s="7"/>
      <c r="B285" s="7"/>
      <c r="C285" s="3"/>
      <c r="D285" s="3" t="s">
        <v>101</v>
      </c>
      <c r="E285" s="33" t="s">
        <v>31</v>
      </c>
      <c r="F285" s="3"/>
      <c r="G285" s="7"/>
      <c r="H285" s="7">
        <v>160</v>
      </c>
      <c r="I285" s="12"/>
      <c r="J285" s="5" t="e">
        <f>+SUMIFS(#REF!,#REF!,Planning[[#This Row],[Tarifa]],#REF!,Planning[[#This Row],[Proyectos]])</f>
        <v>#REF!</v>
      </c>
      <c r="K285" s="5" t="e">
        <f>Planning[[#This Row],[Horas Planificadas]]+Planning[[#This Row],[Horas ajustadas adicionales]]-Planning[[#This Row],[Horas utilizadas]]</f>
        <v>#REF!</v>
      </c>
      <c r="L285" s="7"/>
      <c r="M285" s="19" t="e">
        <f>Planning[[#This Row],[Saldo]]-Planning[[#This Row],[Saldo estimado]]</f>
        <v>#REF!</v>
      </c>
      <c r="N285" s="60" t="e">
        <f>SUM(SUMIFS(#REF!,#REF!,Planning[[#This Row],[Proyectos]],#REF!,Planning[[#This Row],[Tipo de Tarea y especialidad]]),SUMIFS(#REF!,#REF!,Planning[[#This Row],[Proyectos]],#REF!,Planning[[#This Row],[Tipo de Tarea y especialidad]]))</f>
        <v>#REF!</v>
      </c>
      <c r="O285" s="19">
        <f t="shared" si="8"/>
        <v>10</v>
      </c>
      <c r="P285" s="19">
        <f t="shared" si="9"/>
        <v>2024</v>
      </c>
      <c r="Q285" s="19" t="e">
        <f>+SUMIFS(#REF!,#REF!,Planning[[#This Row],[Tarifa]],#REF!,Planning[[#This Row],[Proyectos]],#REF!,Planning[[#This Row],[Mes]],#REF!,Planning[[#This Row],[Año]])</f>
        <v>#REF!</v>
      </c>
      <c r="R285" s="19" t="str">
        <f>TEXT(Planning[[#This Row],[Mes]]*29,"mmmm")</f>
        <v>October</v>
      </c>
      <c r="S2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5" s="241"/>
      <c r="U285" s="43" t="e">
        <f>IF(Planning[[#This Row],[Horas Planificadas]]&lt;&gt;0,+K285/Planning[[#This Row],[Horas Planificadas]],0)</f>
        <v>#REF!</v>
      </c>
      <c r="V285" s="43" t="e">
        <f>IF(Planning[[#This Row],[Horas Planificadas]]&lt;&gt;0,Planning[[#This Row],[Horas utilizadas]]/Planning[[#This Row],[Horas Planificadas]],0)</f>
        <v>#REF!</v>
      </c>
      <c r="W285" s="44">
        <f>Planning[[#This Row],[Horas Planificadas]]+Planning[[#This Row],[Horas ajustadas adicionales]]</f>
        <v>160</v>
      </c>
      <c r="X285" s="142"/>
    </row>
    <row r="286" spans="1:24" ht="12.75" customHeight="1" x14ac:dyDescent="0.2">
      <c r="A286" s="7"/>
      <c r="B286" s="7"/>
      <c r="C286" s="3"/>
      <c r="D286" s="3" t="s">
        <v>101</v>
      </c>
      <c r="E286" s="33" t="s">
        <v>32</v>
      </c>
      <c r="F286" s="3"/>
      <c r="G286" s="7"/>
      <c r="H286" s="7">
        <v>120</v>
      </c>
      <c r="I286" s="12"/>
      <c r="J286" s="5" t="e">
        <f>+SUMIFS(#REF!,#REF!,Planning[[#This Row],[Tarifa]],#REF!,Planning[[#This Row],[Proyectos]])</f>
        <v>#REF!</v>
      </c>
      <c r="K286" s="5" t="e">
        <f>Planning[[#This Row],[Horas Planificadas]]+Planning[[#This Row],[Horas ajustadas adicionales]]-Planning[[#This Row],[Horas utilizadas]]</f>
        <v>#REF!</v>
      </c>
      <c r="L286" s="7"/>
      <c r="M286" s="19" t="e">
        <f>Planning[[#This Row],[Saldo]]-Planning[[#This Row],[Saldo estimado]]</f>
        <v>#REF!</v>
      </c>
      <c r="N286" s="60" t="e">
        <f>SUM(SUMIFS(#REF!,#REF!,Planning[[#This Row],[Proyectos]],#REF!,Planning[[#This Row],[Tipo de Tarea y especialidad]]),SUMIFS(#REF!,#REF!,Planning[[#This Row],[Proyectos]],#REF!,Planning[[#This Row],[Tipo de Tarea y especialidad]]))</f>
        <v>#REF!</v>
      </c>
      <c r="O286" s="19">
        <f t="shared" si="8"/>
        <v>10</v>
      </c>
      <c r="P286" s="19">
        <f t="shared" si="9"/>
        <v>2024</v>
      </c>
      <c r="Q286" s="19" t="e">
        <f>+SUMIFS(#REF!,#REF!,Planning[[#This Row],[Tarifa]],#REF!,Planning[[#This Row],[Proyectos]],#REF!,Planning[[#This Row],[Mes]],#REF!,Planning[[#This Row],[Año]])</f>
        <v>#REF!</v>
      </c>
      <c r="R286" s="19" t="str">
        <f>TEXT(Planning[[#This Row],[Mes]]*29,"mmmm")</f>
        <v>October</v>
      </c>
      <c r="S2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6" s="241"/>
      <c r="U286" s="43" t="e">
        <f>IF(Planning[[#This Row],[Horas Planificadas]]&lt;&gt;0,+K286/Planning[[#This Row],[Horas Planificadas]],0)</f>
        <v>#REF!</v>
      </c>
      <c r="V286" s="43" t="e">
        <f>IF(Planning[[#This Row],[Horas Planificadas]]&lt;&gt;0,Planning[[#This Row],[Horas utilizadas]]/Planning[[#This Row],[Horas Planificadas]],0)</f>
        <v>#REF!</v>
      </c>
      <c r="W286" s="44">
        <f>Planning[[#This Row],[Horas Planificadas]]+Planning[[#This Row],[Horas ajustadas adicionales]]</f>
        <v>120</v>
      </c>
      <c r="X286" s="142"/>
    </row>
    <row r="287" spans="1:24" ht="12.75" customHeight="1" x14ac:dyDescent="0.2">
      <c r="A287" s="7"/>
      <c r="B287" s="7"/>
      <c r="C287" s="3"/>
      <c r="D287" s="3" t="s">
        <v>102</v>
      </c>
      <c r="E287" s="33" t="s">
        <v>28</v>
      </c>
      <c r="F287" s="3"/>
      <c r="G287" s="7"/>
      <c r="H287" s="7">
        <v>208</v>
      </c>
      <c r="I287" s="12"/>
      <c r="J287" s="5" t="e">
        <f>+SUMIFS(#REF!,#REF!,Planning[[#This Row],[Tarifa]],#REF!,Planning[[#This Row],[Proyectos]])</f>
        <v>#REF!</v>
      </c>
      <c r="K287" s="5" t="e">
        <f>Planning[[#This Row],[Horas Planificadas]]+Planning[[#This Row],[Horas ajustadas adicionales]]-Planning[[#This Row],[Horas utilizadas]]</f>
        <v>#REF!</v>
      </c>
      <c r="L287" s="7"/>
      <c r="M287" s="19" t="e">
        <f>Planning[[#This Row],[Saldo]]-Planning[[#This Row],[Saldo estimado]]</f>
        <v>#REF!</v>
      </c>
      <c r="N287" s="60" t="e">
        <f>SUM(SUMIFS(#REF!,#REF!,Planning[[#This Row],[Proyectos]],#REF!,Planning[[#This Row],[Tipo de Tarea y especialidad]]),SUMIFS(#REF!,#REF!,Planning[[#This Row],[Proyectos]],#REF!,Planning[[#This Row],[Tipo de Tarea y especialidad]]))</f>
        <v>#REF!</v>
      </c>
      <c r="O287" s="19">
        <f t="shared" si="8"/>
        <v>10</v>
      </c>
      <c r="P287" s="19">
        <f t="shared" si="9"/>
        <v>2024</v>
      </c>
      <c r="Q287" s="19" t="e">
        <f>+SUMIFS(#REF!,#REF!,Planning[[#This Row],[Tarifa]],#REF!,Planning[[#This Row],[Proyectos]],#REF!,Planning[[#This Row],[Mes]],#REF!,Planning[[#This Row],[Año]])</f>
        <v>#REF!</v>
      </c>
      <c r="R287" s="19" t="str">
        <f>TEXT(Planning[[#This Row],[Mes]]*29,"mmmm")</f>
        <v>October</v>
      </c>
      <c r="S2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7" s="241"/>
      <c r="U287" s="43" t="e">
        <f>IF(Planning[[#This Row],[Horas Planificadas]]&lt;&gt;0,+K287/Planning[[#This Row],[Horas Planificadas]],0)</f>
        <v>#REF!</v>
      </c>
      <c r="V287" s="43" t="e">
        <f>IF(Planning[[#This Row],[Horas Planificadas]]&lt;&gt;0,Planning[[#This Row],[Horas utilizadas]]/Planning[[#This Row],[Horas Planificadas]],0)</f>
        <v>#REF!</v>
      </c>
      <c r="W287" s="44">
        <f>Planning[[#This Row],[Horas Planificadas]]+Planning[[#This Row],[Horas ajustadas adicionales]]</f>
        <v>208</v>
      </c>
      <c r="X287" s="142"/>
    </row>
    <row r="288" spans="1:24" ht="12.75" customHeight="1" x14ac:dyDescent="0.2">
      <c r="A288" s="7"/>
      <c r="B288" s="7"/>
      <c r="C288" s="3"/>
      <c r="D288" s="3" t="s">
        <v>102</v>
      </c>
      <c r="E288" s="33" t="s">
        <v>30</v>
      </c>
      <c r="F288" s="3"/>
      <c r="G288" s="7"/>
      <c r="H288" s="7">
        <v>156</v>
      </c>
      <c r="I288" s="12"/>
      <c r="J288" s="5" t="e">
        <f>+SUMIFS(#REF!,#REF!,Planning[[#This Row],[Tarifa]],#REF!,Planning[[#This Row],[Proyectos]])</f>
        <v>#REF!</v>
      </c>
      <c r="K288" s="5" t="e">
        <f>Planning[[#This Row],[Horas Planificadas]]+Planning[[#This Row],[Horas ajustadas adicionales]]-Planning[[#This Row],[Horas utilizadas]]</f>
        <v>#REF!</v>
      </c>
      <c r="L288" s="7"/>
      <c r="M288" s="19" t="e">
        <f>Planning[[#This Row],[Saldo]]-Planning[[#This Row],[Saldo estimado]]</f>
        <v>#REF!</v>
      </c>
      <c r="N288" s="60" t="e">
        <f>SUM(SUMIFS(#REF!,#REF!,Planning[[#This Row],[Proyectos]],#REF!,Planning[[#This Row],[Tipo de Tarea y especialidad]]),SUMIFS(#REF!,#REF!,Planning[[#This Row],[Proyectos]],#REF!,Planning[[#This Row],[Tipo de Tarea y especialidad]]))</f>
        <v>#REF!</v>
      </c>
      <c r="O288" s="19">
        <f t="shared" si="8"/>
        <v>10</v>
      </c>
      <c r="P288" s="19">
        <f t="shared" si="9"/>
        <v>2024</v>
      </c>
      <c r="Q288" s="19" t="e">
        <f>+SUMIFS(#REF!,#REF!,Planning[[#This Row],[Tarifa]],#REF!,Planning[[#This Row],[Proyectos]],#REF!,Planning[[#This Row],[Mes]],#REF!,Planning[[#This Row],[Año]])</f>
        <v>#REF!</v>
      </c>
      <c r="R288" s="19" t="str">
        <f>TEXT(Planning[[#This Row],[Mes]]*29,"mmmm")</f>
        <v>October</v>
      </c>
      <c r="S2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8" s="241"/>
      <c r="U288" s="43" t="e">
        <f>IF(Planning[[#This Row],[Horas Planificadas]]&lt;&gt;0,+K288/Planning[[#This Row],[Horas Planificadas]],0)</f>
        <v>#REF!</v>
      </c>
      <c r="V288" s="43" t="e">
        <f>IF(Planning[[#This Row],[Horas Planificadas]]&lt;&gt;0,Planning[[#This Row],[Horas utilizadas]]/Planning[[#This Row],[Horas Planificadas]],0)</f>
        <v>#REF!</v>
      </c>
      <c r="W288" s="44">
        <f>Planning[[#This Row],[Horas Planificadas]]+Planning[[#This Row],[Horas ajustadas adicionales]]</f>
        <v>156</v>
      </c>
      <c r="X288" s="142"/>
    </row>
    <row r="289" spans="1:24" ht="12.75" customHeight="1" x14ac:dyDescent="0.2">
      <c r="A289" s="7"/>
      <c r="B289" s="7"/>
      <c r="C289" s="3"/>
      <c r="D289" s="3" t="s">
        <v>102</v>
      </c>
      <c r="E289" s="33" t="s">
        <v>31</v>
      </c>
      <c r="F289" s="3"/>
      <c r="G289" s="7"/>
      <c r="H289" s="7">
        <v>64</v>
      </c>
      <c r="I289" s="12"/>
      <c r="J289" s="5" t="e">
        <f>+SUMIFS(#REF!,#REF!,Planning[[#This Row],[Tarifa]],#REF!,Planning[[#This Row],[Proyectos]])</f>
        <v>#REF!</v>
      </c>
      <c r="K289" s="5" t="e">
        <f>Planning[[#This Row],[Horas Planificadas]]+Planning[[#This Row],[Horas ajustadas adicionales]]-Planning[[#This Row],[Horas utilizadas]]</f>
        <v>#REF!</v>
      </c>
      <c r="L289" s="7"/>
      <c r="M289" s="19" t="e">
        <f>Planning[[#This Row],[Saldo]]-Planning[[#This Row],[Saldo estimado]]</f>
        <v>#REF!</v>
      </c>
      <c r="N289" s="60" t="e">
        <f>SUM(SUMIFS(#REF!,#REF!,Planning[[#This Row],[Proyectos]],#REF!,Planning[[#This Row],[Tipo de Tarea y especialidad]]),SUMIFS(#REF!,#REF!,Planning[[#This Row],[Proyectos]],#REF!,Planning[[#This Row],[Tipo de Tarea y especialidad]]))</f>
        <v>#REF!</v>
      </c>
      <c r="O289" s="19">
        <f t="shared" si="8"/>
        <v>10</v>
      </c>
      <c r="P289" s="19">
        <f t="shared" si="9"/>
        <v>2024</v>
      </c>
      <c r="Q289" s="19" t="e">
        <f>+SUMIFS(#REF!,#REF!,Planning[[#This Row],[Tarifa]],#REF!,Planning[[#This Row],[Proyectos]],#REF!,Planning[[#This Row],[Mes]],#REF!,Planning[[#This Row],[Año]])</f>
        <v>#REF!</v>
      </c>
      <c r="R289" s="19" t="str">
        <f>TEXT(Planning[[#This Row],[Mes]]*29,"mmmm")</f>
        <v>October</v>
      </c>
      <c r="S2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9" s="241"/>
      <c r="U289" s="43" t="e">
        <f>IF(Planning[[#This Row],[Horas Planificadas]]&lt;&gt;0,+K289/Planning[[#This Row],[Horas Planificadas]],0)</f>
        <v>#REF!</v>
      </c>
      <c r="V289" s="43" t="e">
        <f>IF(Planning[[#This Row],[Horas Planificadas]]&lt;&gt;0,Planning[[#This Row],[Horas utilizadas]]/Planning[[#This Row],[Horas Planificadas]],0)</f>
        <v>#REF!</v>
      </c>
      <c r="W289" s="44">
        <f>Planning[[#This Row],[Horas Planificadas]]+Planning[[#This Row],[Horas ajustadas adicionales]]</f>
        <v>64</v>
      </c>
      <c r="X289" s="142"/>
    </row>
    <row r="290" spans="1:24" ht="12.75" customHeight="1" x14ac:dyDescent="0.2">
      <c r="A290" s="7"/>
      <c r="B290" s="7"/>
      <c r="C290" s="3"/>
      <c r="D290" s="3" t="s">
        <v>102</v>
      </c>
      <c r="E290" s="33" t="s">
        <v>32</v>
      </c>
      <c r="F290" s="3"/>
      <c r="G290" s="7"/>
      <c r="H290" s="7">
        <v>90</v>
      </c>
      <c r="I290" s="12"/>
      <c r="J290" s="5" t="e">
        <f>+SUMIFS(#REF!,#REF!,Planning[[#This Row],[Tarifa]],#REF!,Planning[[#This Row],[Proyectos]])</f>
        <v>#REF!</v>
      </c>
      <c r="K290" s="5" t="e">
        <f>Planning[[#This Row],[Horas Planificadas]]+Planning[[#This Row],[Horas ajustadas adicionales]]-Planning[[#This Row],[Horas utilizadas]]</f>
        <v>#REF!</v>
      </c>
      <c r="L290" s="7"/>
      <c r="M290" s="19" t="e">
        <f>Planning[[#This Row],[Saldo]]-Planning[[#This Row],[Saldo estimado]]</f>
        <v>#REF!</v>
      </c>
      <c r="N290" s="60" t="e">
        <f>SUM(SUMIFS(#REF!,#REF!,Planning[[#This Row],[Proyectos]],#REF!,Planning[[#This Row],[Tipo de Tarea y especialidad]]),SUMIFS(#REF!,#REF!,Planning[[#This Row],[Proyectos]],#REF!,Planning[[#This Row],[Tipo de Tarea y especialidad]]))</f>
        <v>#REF!</v>
      </c>
      <c r="O290" s="19">
        <f t="shared" si="8"/>
        <v>10</v>
      </c>
      <c r="P290" s="19">
        <f t="shared" si="9"/>
        <v>2024</v>
      </c>
      <c r="Q290" s="19" t="e">
        <f>+SUMIFS(#REF!,#REF!,Planning[[#This Row],[Tarifa]],#REF!,Planning[[#This Row],[Proyectos]],#REF!,Planning[[#This Row],[Mes]],#REF!,Planning[[#This Row],[Año]])</f>
        <v>#REF!</v>
      </c>
      <c r="R290" s="19" t="str">
        <f>TEXT(Planning[[#This Row],[Mes]]*29,"mmmm")</f>
        <v>October</v>
      </c>
      <c r="S2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0" s="241"/>
      <c r="U290" s="43" t="e">
        <f>IF(Planning[[#This Row],[Horas Planificadas]]&lt;&gt;0,+K290/Planning[[#This Row],[Horas Planificadas]],0)</f>
        <v>#REF!</v>
      </c>
      <c r="V290" s="43" t="e">
        <f>IF(Planning[[#This Row],[Horas Planificadas]]&lt;&gt;0,Planning[[#This Row],[Horas utilizadas]]/Planning[[#This Row],[Horas Planificadas]],0)</f>
        <v>#REF!</v>
      </c>
      <c r="W290" s="44">
        <f>Planning[[#This Row],[Horas Planificadas]]+Planning[[#This Row],[Horas ajustadas adicionales]]</f>
        <v>90</v>
      </c>
      <c r="X290" s="142"/>
    </row>
    <row r="291" spans="1:24" ht="12.75" customHeight="1" x14ac:dyDescent="0.2">
      <c r="A291" s="7"/>
      <c r="B291" s="7"/>
      <c r="C291" s="3"/>
      <c r="D291" s="3" t="s">
        <v>103</v>
      </c>
      <c r="E291" s="33" t="s">
        <v>28</v>
      </c>
      <c r="F291" s="3"/>
      <c r="G291" s="7"/>
      <c r="H291" s="7">
        <v>288</v>
      </c>
      <c r="I291" s="12"/>
      <c r="J291" s="5" t="e">
        <f>+SUMIFS(#REF!,#REF!,Planning[[#This Row],[Tarifa]],#REF!,Planning[[#This Row],[Proyectos]])</f>
        <v>#REF!</v>
      </c>
      <c r="K291" s="5" t="e">
        <f>Planning[[#This Row],[Horas Planificadas]]+Planning[[#This Row],[Horas ajustadas adicionales]]-Planning[[#This Row],[Horas utilizadas]]</f>
        <v>#REF!</v>
      </c>
      <c r="L291" s="7"/>
      <c r="M291" s="19" t="e">
        <f>Planning[[#This Row],[Saldo]]-Planning[[#This Row],[Saldo estimado]]</f>
        <v>#REF!</v>
      </c>
      <c r="N291" s="60" t="e">
        <f>SUM(SUMIFS(#REF!,#REF!,Planning[[#This Row],[Proyectos]],#REF!,Planning[[#This Row],[Tipo de Tarea y especialidad]]),SUMIFS(#REF!,#REF!,Planning[[#This Row],[Proyectos]],#REF!,Planning[[#This Row],[Tipo de Tarea y especialidad]]))</f>
        <v>#REF!</v>
      </c>
      <c r="O291" s="19">
        <f t="shared" si="8"/>
        <v>10</v>
      </c>
      <c r="P291" s="19">
        <f t="shared" si="9"/>
        <v>2024</v>
      </c>
      <c r="Q291" s="19" t="e">
        <f>+SUMIFS(#REF!,#REF!,Planning[[#This Row],[Tarifa]],#REF!,Planning[[#This Row],[Proyectos]],#REF!,Planning[[#This Row],[Mes]],#REF!,Planning[[#This Row],[Año]])</f>
        <v>#REF!</v>
      </c>
      <c r="R291" s="19" t="str">
        <f>TEXT(Planning[[#This Row],[Mes]]*29,"mmmm")</f>
        <v>October</v>
      </c>
      <c r="S2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1" s="241"/>
      <c r="U291" s="43" t="e">
        <f>IF(Planning[[#This Row],[Horas Planificadas]]&lt;&gt;0,+K291/Planning[[#This Row],[Horas Planificadas]],0)</f>
        <v>#REF!</v>
      </c>
      <c r="V291" s="43" t="e">
        <f>IF(Planning[[#This Row],[Horas Planificadas]]&lt;&gt;0,Planning[[#This Row],[Horas utilizadas]]/Planning[[#This Row],[Horas Planificadas]],0)</f>
        <v>#REF!</v>
      </c>
      <c r="W291" s="44">
        <f>Planning[[#This Row],[Horas Planificadas]]+Planning[[#This Row],[Horas ajustadas adicionales]]</f>
        <v>288</v>
      </c>
      <c r="X291" s="142"/>
    </row>
    <row r="292" spans="1:24" ht="12.75" customHeight="1" x14ac:dyDescent="0.2">
      <c r="A292" s="7"/>
      <c r="B292" s="7"/>
      <c r="C292" s="3"/>
      <c r="D292" s="3" t="s">
        <v>103</v>
      </c>
      <c r="E292" s="33" t="s">
        <v>30</v>
      </c>
      <c r="F292" s="3"/>
      <c r="G292" s="7"/>
      <c r="H292" s="7">
        <v>81</v>
      </c>
      <c r="I292" s="12"/>
      <c r="J292" s="5" t="e">
        <f>+SUMIFS(#REF!,#REF!,Planning[[#This Row],[Tarifa]],#REF!,Planning[[#This Row],[Proyectos]])</f>
        <v>#REF!</v>
      </c>
      <c r="K292" s="5" t="e">
        <f>Planning[[#This Row],[Horas Planificadas]]+Planning[[#This Row],[Horas ajustadas adicionales]]-Planning[[#This Row],[Horas utilizadas]]</f>
        <v>#REF!</v>
      </c>
      <c r="L292" s="7"/>
      <c r="M292" s="19" t="e">
        <f>Planning[[#This Row],[Saldo]]-Planning[[#This Row],[Saldo estimado]]</f>
        <v>#REF!</v>
      </c>
      <c r="N292" s="60" t="e">
        <f>SUM(SUMIFS(#REF!,#REF!,Planning[[#This Row],[Proyectos]],#REF!,Planning[[#This Row],[Tipo de Tarea y especialidad]]),SUMIFS(#REF!,#REF!,Planning[[#This Row],[Proyectos]],#REF!,Planning[[#This Row],[Tipo de Tarea y especialidad]]))</f>
        <v>#REF!</v>
      </c>
      <c r="O292" s="19">
        <f t="shared" si="8"/>
        <v>10</v>
      </c>
      <c r="P292" s="19">
        <f t="shared" si="9"/>
        <v>2024</v>
      </c>
      <c r="Q292" s="19" t="e">
        <f>+SUMIFS(#REF!,#REF!,Planning[[#This Row],[Tarifa]],#REF!,Planning[[#This Row],[Proyectos]],#REF!,Planning[[#This Row],[Mes]],#REF!,Planning[[#This Row],[Año]])</f>
        <v>#REF!</v>
      </c>
      <c r="R292" s="19" t="str">
        <f>TEXT(Planning[[#This Row],[Mes]]*29,"mmmm")</f>
        <v>October</v>
      </c>
      <c r="S2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2" s="241"/>
      <c r="U292" s="43" t="e">
        <f>IF(Planning[[#This Row],[Horas Planificadas]]&lt;&gt;0,+K292/Planning[[#This Row],[Horas Planificadas]],0)</f>
        <v>#REF!</v>
      </c>
      <c r="V292" s="43" t="e">
        <f>IF(Planning[[#This Row],[Horas Planificadas]]&lt;&gt;0,Planning[[#This Row],[Horas utilizadas]]/Planning[[#This Row],[Horas Planificadas]],0)</f>
        <v>#REF!</v>
      </c>
      <c r="W292" s="44">
        <f>Planning[[#This Row],[Horas Planificadas]]+Planning[[#This Row],[Horas ajustadas adicionales]]</f>
        <v>81</v>
      </c>
      <c r="X292" s="142"/>
    </row>
    <row r="293" spans="1:24" ht="12.75" customHeight="1" x14ac:dyDescent="0.2">
      <c r="A293" s="7"/>
      <c r="B293" s="7"/>
      <c r="C293" s="3"/>
      <c r="D293" s="3" t="s">
        <v>103</v>
      </c>
      <c r="E293" s="33" t="s">
        <v>31</v>
      </c>
      <c r="F293" s="3"/>
      <c r="G293" s="7"/>
      <c r="H293" s="7">
        <v>36</v>
      </c>
      <c r="I293" s="12"/>
      <c r="J293" s="5" t="e">
        <f>+SUMIFS(#REF!,#REF!,Planning[[#This Row],[Tarifa]],#REF!,Planning[[#This Row],[Proyectos]])</f>
        <v>#REF!</v>
      </c>
      <c r="K293" s="5" t="e">
        <f>Planning[[#This Row],[Horas Planificadas]]+Planning[[#This Row],[Horas ajustadas adicionales]]-Planning[[#This Row],[Horas utilizadas]]</f>
        <v>#REF!</v>
      </c>
      <c r="L293" s="7"/>
      <c r="M293" s="19" t="e">
        <f>Planning[[#This Row],[Saldo]]-Planning[[#This Row],[Saldo estimado]]</f>
        <v>#REF!</v>
      </c>
      <c r="N293" s="60" t="e">
        <f>SUM(SUMIFS(#REF!,#REF!,Planning[[#This Row],[Proyectos]],#REF!,Planning[[#This Row],[Tipo de Tarea y especialidad]]),SUMIFS(#REF!,#REF!,Planning[[#This Row],[Proyectos]],#REF!,Planning[[#This Row],[Tipo de Tarea y especialidad]]))</f>
        <v>#REF!</v>
      </c>
      <c r="O293" s="19">
        <f t="shared" si="8"/>
        <v>10</v>
      </c>
      <c r="P293" s="19">
        <f t="shared" si="9"/>
        <v>2024</v>
      </c>
      <c r="Q293" s="19" t="e">
        <f>+SUMIFS(#REF!,#REF!,Planning[[#This Row],[Tarifa]],#REF!,Planning[[#This Row],[Proyectos]],#REF!,Planning[[#This Row],[Mes]],#REF!,Planning[[#This Row],[Año]])</f>
        <v>#REF!</v>
      </c>
      <c r="R293" s="19" t="str">
        <f>TEXT(Planning[[#This Row],[Mes]]*29,"mmmm")</f>
        <v>October</v>
      </c>
      <c r="S2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3" s="241"/>
      <c r="U293" s="43" t="e">
        <f>IF(Planning[[#This Row],[Horas Planificadas]]&lt;&gt;0,+K293/Planning[[#This Row],[Horas Planificadas]],0)</f>
        <v>#REF!</v>
      </c>
      <c r="V293" s="43" t="e">
        <f>IF(Planning[[#This Row],[Horas Planificadas]]&lt;&gt;0,Planning[[#This Row],[Horas utilizadas]]/Planning[[#This Row],[Horas Planificadas]],0)</f>
        <v>#REF!</v>
      </c>
      <c r="W293" s="44">
        <f>Planning[[#This Row],[Horas Planificadas]]+Planning[[#This Row],[Horas ajustadas adicionales]]</f>
        <v>36</v>
      </c>
      <c r="X293" s="142"/>
    </row>
    <row r="294" spans="1:24" ht="12.75" customHeight="1" x14ac:dyDescent="0.2">
      <c r="A294" s="7"/>
      <c r="B294" s="7"/>
      <c r="C294" s="3"/>
      <c r="D294" s="3" t="s">
        <v>103</v>
      </c>
      <c r="E294" s="33" t="s">
        <v>32</v>
      </c>
      <c r="F294" s="3"/>
      <c r="G294" s="7"/>
      <c r="H294" s="7">
        <v>144</v>
      </c>
      <c r="I294" s="12"/>
      <c r="J294" s="5" t="e">
        <f>+SUMIFS(#REF!,#REF!,Planning[[#This Row],[Tarifa]],#REF!,Planning[[#This Row],[Proyectos]])</f>
        <v>#REF!</v>
      </c>
      <c r="K294" s="5" t="e">
        <f>Planning[[#This Row],[Horas Planificadas]]+Planning[[#This Row],[Horas ajustadas adicionales]]-Planning[[#This Row],[Horas utilizadas]]</f>
        <v>#REF!</v>
      </c>
      <c r="L294" s="7"/>
      <c r="M294" s="19" t="e">
        <f>Planning[[#This Row],[Saldo]]-Planning[[#This Row],[Saldo estimado]]</f>
        <v>#REF!</v>
      </c>
      <c r="N294" s="60" t="e">
        <f>SUM(SUMIFS(#REF!,#REF!,Planning[[#This Row],[Proyectos]],#REF!,Planning[[#This Row],[Tipo de Tarea y especialidad]]),SUMIFS(#REF!,#REF!,Planning[[#This Row],[Proyectos]],#REF!,Planning[[#This Row],[Tipo de Tarea y especialidad]]))</f>
        <v>#REF!</v>
      </c>
      <c r="O294" s="19">
        <f t="shared" si="8"/>
        <v>10</v>
      </c>
      <c r="P294" s="19">
        <f t="shared" si="9"/>
        <v>2024</v>
      </c>
      <c r="Q294" s="19" t="e">
        <f>+SUMIFS(#REF!,#REF!,Planning[[#This Row],[Tarifa]],#REF!,Planning[[#This Row],[Proyectos]],#REF!,Planning[[#This Row],[Mes]],#REF!,Planning[[#This Row],[Año]])</f>
        <v>#REF!</v>
      </c>
      <c r="R294" s="19" t="str">
        <f>TEXT(Planning[[#This Row],[Mes]]*29,"mmmm")</f>
        <v>October</v>
      </c>
      <c r="S2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4" s="241"/>
      <c r="U294" s="43" t="e">
        <f>IF(Planning[[#This Row],[Horas Planificadas]]&lt;&gt;0,+K294/Planning[[#This Row],[Horas Planificadas]],0)</f>
        <v>#REF!</v>
      </c>
      <c r="V294" s="43" t="e">
        <f>IF(Planning[[#This Row],[Horas Planificadas]]&lt;&gt;0,Planning[[#This Row],[Horas utilizadas]]/Planning[[#This Row],[Horas Planificadas]],0)</f>
        <v>#REF!</v>
      </c>
      <c r="W294" s="44">
        <f>Planning[[#This Row],[Horas Planificadas]]+Planning[[#This Row],[Horas ajustadas adicionales]]</f>
        <v>144</v>
      </c>
      <c r="X294" s="142"/>
    </row>
    <row r="295" spans="1:24" ht="12.75" customHeight="1" x14ac:dyDescent="0.2">
      <c r="A295" s="7"/>
      <c r="B295" s="7"/>
      <c r="C295" s="3"/>
      <c r="D295" s="3" t="s">
        <v>104</v>
      </c>
      <c r="E295" s="33" t="s">
        <v>28</v>
      </c>
      <c r="F295" s="3"/>
      <c r="G295" s="7"/>
      <c r="H295" s="7">
        <v>0</v>
      </c>
      <c r="I295" s="12"/>
      <c r="J295" s="5" t="e">
        <f>+SUMIFS(#REF!,#REF!,Planning[[#This Row],[Tarifa]],#REF!,Planning[[#This Row],[Proyectos]])</f>
        <v>#REF!</v>
      </c>
      <c r="K295" s="5" t="e">
        <f>Planning[[#This Row],[Horas Planificadas]]+Planning[[#This Row],[Horas ajustadas adicionales]]-Planning[[#This Row],[Horas utilizadas]]</f>
        <v>#REF!</v>
      </c>
      <c r="L295" s="7"/>
      <c r="M295" s="19" t="e">
        <f>Planning[[#This Row],[Saldo]]-Planning[[#This Row],[Saldo estimado]]</f>
        <v>#REF!</v>
      </c>
      <c r="N295" s="60" t="e">
        <f>SUM(SUMIFS(#REF!,#REF!,Planning[[#This Row],[Proyectos]],#REF!,Planning[[#This Row],[Tipo de Tarea y especialidad]]),SUMIFS(#REF!,#REF!,Planning[[#This Row],[Proyectos]],#REF!,Planning[[#This Row],[Tipo de Tarea y especialidad]]))</f>
        <v>#REF!</v>
      </c>
      <c r="O295" s="19">
        <f t="shared" si="8"/>
        <v>10</v>
      </c>
      <c r="P295" s="19">
        <f t="shared" si="9"/>
        <v>2024</v>
      </c>
      <c r="Q295" s="19" t="e">
        <f>+SUMIFS(#REF!,#REF!,Planning[[#This Row],[Tarifa]],#REF!,Planning[[#This Row],[Proyectos]],#REF!,Planning[[#This Row],[Mes]],#REF!,Planning[[#This Row],[Año]])</f>
        <v>#REF!</v>
      </c>
      <c r="R295" s="19" t="str">
        <f>TEXT(Planning[[#This Row],[Mes]]*29,"mmmm")</f>
        <v>October</v>
      </c>
      <c r="S2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5" s="241"/>
      <c r="U295" s="43">
        <f>IF(Planning[[#This Row],[Horas Planificadas]]&lt;&gt;0,+K295/Planning[[#This Row],[Horas Planificadas]],0)</f>
        <v>0</v>
      </c>
      <c r="V295" s="43">
        <f>IF(Planning[[#This Row],[Horas Planificadas]]&lt;&gt;0,Planning[[#This Row],[Horas utilizadas]]/Planning[[#This Row],[Horas Planificadas]],0)</f>
        <v>0</v>
      </c>
      <c r="W295" s="44">
        <f>Planning[[#This Row],[Horas Planificadas]]+Planning[[#This Row],[Horas ajustadas adicionales]]</f>
        <v>0</v>
      </c>
      <c r="X295" s="142"/>
    </row>
    <row r="296" spans="1:24" ht="12.75" customHeight="1" x14ac:dyDescent="0.2">
      <c r="A296" s="7"/>
      <c r="B296" s="7"/>
      <c r="C296" s="3"/>
      <c r="D296" s="3" t="s">
        <v>104</v>
      </c>
      <c r="E296" s="33" t="s">
        <v>30</v>
      </c>
      <c r="F296" s="3"/>
      <c r="G296" s="7"/>
      <c r="H296" s="7">
        <v>0</v>
      </c>
      <c r="I296" s="12"/>
      <c r="J296" s="5" t="e">
        <f>+SUMIFS(#REF!,#REF!,Planning[[#This Row],[Tarifa]],#REF!,Planning[[#This Row],[Proyectos]])</f>
        <v>#REF!</v>
      </c>
      <c r="K296" s="5" t="e">
        <f>Planning[[#This Row],[Horas Planificadas]]+Planning[[#This Row],[Horas ajustadas adicionales]]-Planning[[#This Row],[Horas utilizadas]]</f>
        <v>#REF!</v>
      </c>
      <c r="L296" s="7"/>
      <c r="M296" s="19" t="e">
        <f>Planning[[#This Row],[Saldo]]-Planning[[#This Row],[Saldo estimado]]</f>
        <v>#REF!</v>
      </c>
      <c r="N296" s="60" t="e">
        <f>SUM(SUMIFS(#REF!,#REF!,Planning[[#This Row],[Proyectos]],#REF!,Planning[[#This Row],[Tipo de Tarea y especialidad]]),SUMIFS(#REF!,#REF!,Planning[[#This Row],[Proyectos]],#REF!,Planning[[#This Row],[Tipo de Tarea y especialidad]]))</f>
        <v>#REF!</v>
      </c>
      <c r="O296" s="19">
        <f t="shared" si="8"/>
        <v>10</v>
      </c>
      <c r="P296" s="19">
        <f t="shared" si="9"/>
        <v>2024</v>
      </c>
      <c r="Q296" s="19" t="e">
        <f>+SUMIFS(#REF!,#REF!,Planning[[#This Row],[Tarifa]],#REF!,Planning[[#This Row],[Proyectos]],#REF!,Planning[[#This Row],[Mes]],#REF!,Planning[[#This Row],[Año]])</f>
        <v>#REF!</v>
      </c>
      <c r="R296" s="19" t="str">
        <f>TEXT(Planning[[#This Row],[Mes]]*29,"mmmm")</f>
        <v>October</v>
      </c>
      <c r="S2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6" s="241"/>
      <c r="U296" s="43">
        <f>IF(Planning[[#This Row],[Horas Planificadas]]&lt;&gt;0,+K296/Planning[[#This Row],[Horas Planificadas]],0)</f>
        <v>0</v>
      </c>
      <c r="V296" s="43">
        <f>IF(Planning[[#This Row],[Horas Planificadas]]&lt;&gt;0,Planning[[#This Row],[Horas utilizadas]]/Planning[[#This Row],[Horas Planificadas]],0)</f>
        <v>0</v>
      </c>
      <c r="W296" s="44">
        <f>Planning[[#This Row],[Horas Planificadas]]+Planning[[#This Row],[Horas ajustadas adicionales]]</f>
        <v>0</v>
      </c>
      <c r="X296" s="142"/>
    </row>
    <row r="297" spans="1:24" ht="12.75" customHeight="1" x14ac:dyDescent="0.2">
      <c r="A297" s="7"/>
      <c r="B297" s="7"/>
      <c r="C297" s="3"/>
      <c r="D297" s="3" t="s">
        <v>104</v>
      </c>
      <c r="E297" s="33" t="s">
        <v>31</v>
      </c>
      <c r="F297" s="3"/>
      <c r="G297" s="7"/>
      <c r="H297" s="7">
        <v>80</v>
      </c>
      <c r="I297" s="12"/>
      <c r="J297" s="5" t="e">
        <f>+SUMIFS(#REF!,#REF!,Planning[[#This Row],[Tarifa]],#REF!,Planning[[#This Row],[Proyectos]])</f>
        <v>#REF!</v>
      </c>
      <c r="K297" s="5" t="e">
        <f>Planning[[#This Row],[Horas Planificadas]]+Planning[[#This Row],[Horas ajustadas adicionales]]-Planning[[#This Row],[Horas utilizadas]]</f>
        <v>#REF!</v>
      </c>
      <c r="L297" s="7"/>
      <c r="M297" s="19" t="e">
        <f>Planning[[#This Row],[Saldo]]-Planning[[#This Row],[Saldo estimado]]</f>
        <v>#REF!</v>
      </c>
      <c r="N297" s="60" t="e">
        <f>SUM(SUMIFS(#REF!,#REF!,Planning[[#This Row],[Proyectos]],#REF!,Planning[[#This Row],[Tipo de Tarea y especialidad]]),SUMIFS(#REF!,#REF!,Planning[[#This Row],[Proyectos]],#REF!,Planning[[#This Row],[Tipo de Tarea y especialidad]]))</f>
        <v>#REF!</v>
      </c>
      <c r="O297" s="19">
        <f t="shared" si="8"/>
        <v>10</v>
      </c>
      <c r="P297" s="19">
        <f t="shared" si="9"/>
        <v>2024</v>
      </c>
      <c r="Q297" s="19" t="e">
        <f>+SUMIFS(#REF!,#REF!,Planning[[#This Row],[Tarifa]],#REF!,Planning[[#This Row],[Proyectos]],#REF!,Planning[[#This Row],[Mes]],#REF!,Planning[[#This Row],[Año]])</f>
        <v>#REF!</v>
      </c>
      <c r="R297" s="19" t="str">
        <f>TEXT(Planning[[#This Row],[Mes]]*29,"mmmm")</f>
        <v>October</v>
      </c>
      <c r="S2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7" s="241"/>
      <c r="U297" s="43" t="e">
        <f>IF(Planning[[#This Row],[Horas Planificadas]]&lt;&gt;0,+K297/Planning[[#This Row],[Horas Planificadas]],0)</f>
        <v>#REF!</v>
      </c>
      <c r="V297" s="43" t="e">
        <f>IF(Planning[[#This Row],[Horas Planificadas]]&lt;&gt;0,Planning[[#This Row],[Horas utilizadas]]/Planning[[#This Row],[Horas Planificadas]],0)</f>
        <v>#REF!</v>
      </c>
      <c r="W297" s="44">
        <f>Planning[[#This Row],[Horas Planificadas]]+Planning[[#This Row],[Horas ajustadas adicionales]]</f>
        <v>80</v>
      </c>
      <c r="X297" s="142"/>
    </row>
    <row r="298" spans="1:24" ht="12.75" customHeight="1" x14ac:dyDescent="0.2">
      <c r="A298" s="7"/>
      <c r="B298" s="7"/>
      <c r="C298" s="3"/>
      <c r="D298" s="3" t="s">
        <v>104</v>
      </c>
      <c r="E298" s="33" t="s">
        <v>32</v>
      </c>
      <c r="F298" s="3"/>
      <c r="G298" s="7"/>
      <c r="H298" s="7">
        <v>80</v>
      </c>
      <c r="I298" s="12"/>
      <c r="J298" s="5" t="e">
        <f>+SUMIFS(#REF!,#REF!,Planning[[#This Row],[Tarifa]],#REF!,Planning[[#This Row],[Proyectos]])</f>
        <v>#REF!</v>
      </c>
      <c r="K298" s="5" t="e">
        <f>Planning[[#This Row],[Horas Planificadas]]+Planning[[#This Row],[Horas ajustadas adicionales]]-Planning[[#This Row],[Horas utilizadas]]</f>
        <v>#REF!</v>
      </c>
      <c r="L298" s="7"/>
      <c r="M298" s="19" t="e">
        <f>Planning[[#This Row],[Saldo]]-Planning[[#This Row],[Saldo estimado]]</f>
        <v>#REF!</v>
      </c>
      <c r="N298" s="60" t="e">
        <f>SUM(SUMIFS(#REF!,#REF!,Planning[[#This Row],[Proyectos]],#REF!,Planning[[#This Row],[Tipo de Tarea y especialidad]]),SUMIFS(#REF!,#REF!,Planning[[#This Row],[Proyectos]],#REF!,Planning[[#This Row],[Tipo de Tarea y especialidad]]))</f>
        <v>#REF!</v>
      </c>
      <c r="O298" s="19">
        <f t="shared" si="8"/>
        <v>10</v>
      </c>
      <c r="P298" s="19">
        <f t="shared" si="9"/>
        <v>2024</v>
      </c>
      <c r="Q298" s="19" t="e">
        <f>+SUMIFS(#REF!,#REF!,Planning[[#This Row],[Tarifa]],#REF!,Planning[[#This Row],[Proyectos]],#REF!,Planning[[#This Row],[Mes]],#REF!,Planning[[#This Row],[Año]])</f>
        <v>#REF!</v>
      </c>
      <c r="R298" s="19" t="str">
        <f>TEXT(Planning[[#This Row],[Mes]]*29,"mmmm")</f>
        <v>October</v>
      </c>
      <c r="S2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8" s="241"/>
      <c r="U298" s="43" t="e">
        <f>IF(Planning[[#This Row],[Horas Planificadas]]&lt;&gt;0,+K298/Planning[[#This Row],[Horas Planificadas]],0)</f>
        <v>#REF!</v>
      </c>
      <c r="V298" s="43" t="e">
        <f>IF(Planning[[#This Row],[Horas Planificadas]]&lt;&gt;0,Planning[[#This Row],[Horas utilizadas]]/Planning[[#This Row],[Horas Planificadas]],0)</f>
        <v>#REF!</v>
      </c>
      <c r="W298" s="44">
        <f>Planning[[#This Row],[Horas Planificadas]]+Planning[[#This Row],[Horas ajustadas adicionales]]</f>
        <v>80</v>
      </c>
      <c r="X298" s="142"/>
    </row>
    <row r="299" spans="1:24" ht="12.75" customHeight="1" x14ac:dyDescent="0.2">
      <c r="A299" s="7"/>
      <c r="B299" s="7"/>
      <c r="C299" s="3"/>
      <c r="D299" s="3" t="s">
        <v>105</v>
      </c>
      <c r="E299" s="33" t="s">
        <v>28</v>
      </c>
      <c r="F299" s="3"/>
      <c r="G299" s="7"/>
      <c r="H299" s="7">
        <v>200</v>
      </c>
      <c r="I299" s="12"/>
      <c r="J299" s="5" t="e">
        <f>+SUMIFS(#REF!,#REF!,Planning[[#This Row],[Tarifa]],#REF!,Planning[[#This Row],[Proyectos]])</f>
        <v>#REF!</v>
      </c>
      <c r="K299" s="5" t="e">
        <f>Planning[[#This Row],[Horas Planificadas]]+Planning[[#This Row],[Horas ajustadas adicionales]]-Planning[[#This Row],[Horas utilizadas]]</f>
        <v>#REF!</v>
      </c>
      <c r="L299" s="7"/>
      <c r="M299" s="19" t="e">
        <f>Planning[[#This Row],[Saldo]]-Planning[[#This Row],[Saldo estimado]]</f>
        <v>#REF!</v>
      </c>
      <c r="N299" s="60" t="e">
        <f>SUM(SUMIFS(#REF!,#REF!,Planning[[#This Row],[Proyectos]],#REF!,Planning[[#This Row],[Tipo de Tarea y especialidad]]),SUMIFS(#REF!,#REF!,Planning[[#This Row],[Proyectos]],#REF!,Planning[[#This Row],[Tipo de Tarea y especialidad]]))</f>
        <v>#REF!</v>
      </c>
      <c r="O299" s="19">
        <f t="shared" si="8"/>
        <v>10</v>
      </c>
      <c r="P299" s="19">
        <f t="shared" si="9"/>
        <v>2024</v>
      </c>
      <c r="Q299" s="19" t="e">
        <f>+SUMIFS(#REF!,#REF!,Planning[[#This Row],[Tarifa]],#REF!,Planning[[#This Row],[Proyectos]],#REF!,Planning[[#This Row],[Mes]],#REF!,Planning[[#This Row],[Año]])</f>
        <v>#REF!</v>
      </c>
      <c r="R299" s="19" t="str">
        <f>TEXT(Planning[[#This Row],[Mes]]*29,"mmmm")</f>
        <v>October</v>
      </c>
      <c r="S2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9" s="241"/>
      <c r="U299" s="43" t="e">
        <f>IF(Planning[[#This Row],[Horas Planificadas]]&lt;&gt;0,+K299/Planning[[#This Row],[Horas Planificadas]],0)</f>
        <v>#REF!</v>
      </c>
      <c r="V299" s="43" t="e">
        <f>IF(Planning[[#This Row],[Horas Planificadas]]&lt;&gt;0,Planning[[#This Row],[Horas utilizadas]]/Planning[[#This Row],[Horas Planificadas]],0)</f>
        <v>#REF!</v>
      </c>
      <c r="W299" s="44">
        <f>Planning[[#This Row],[Horas Planificadas]]+Planning[[#This Row],[Horas ajustadas adicionales]]</f>
        <v>200</v>
      </c>
      <c r="X299" s="142"/>
    </row>
    <row r="300" spans="1:24" ht="12.75" customHeight="1" x14ac:dyDescent="0.2">
      <c r="A300" s="7"/>
      <c r="B300" s="7"/>
      <c r="C300" s="3"/>
      <c r="D300" s="3" t="s">
        <v>105</v>
      </c>
      <c r="E300" s="33" t="s">
        <v>30</v>
      </c>
      <c r="F300" s="3"/>
      <c r="G300" s="7"/>
      <c r="H300" s="7">
        <v>320</v>
      </c>
      <c r="I300" s="12"/>
      <c r="J300" s="5" t="e">
        <f>+SUMIFS(#REF!,#REF!,Planning[[#This Row],[Tarifa]],#REF!,Planning[[#This Row],[Proyectos]])</f>
        <v>#REF!</v>
      </c>
      <c r="K300" s="5" t="e">
        <f>Planning[[#This Row],[Horas Planificadas]]+Planning[[#This Row],[Horas ajustadas adicionales]]-Planning[[#This Row],[Horas utilizadas]]</f>
        <v>#REF!</v>
      </c>
      <c r="L300" s="7"/>
      <c r="M300" s="19" t="e">
        <f>Planning[[#This Row],[Saldo]]-Planning[[#This Row],[Saldo estimado]]</f>
        <v>#REF!</v>
      </c>
      <c r="N300" s="60" t="e">
        <f>SUM(SUMIFS(#REF!,#REF!,Planning[[#This Row],[Proyectos]],#REF!,Planning[[#This Row],[Tipo de Tarea y especialidad]]),SUMIFS(#REF!,#REF!,Planning[[#This Row],[Proyectos]],#REF!,Planning[[#This Row],[Tipo de Tarea y especialidad]]))</f>
        <v>#REF!</v>
      </c>
      <c r="O300" s="19">
        <f t="shared" si="8"/>
        <v>10</v>
      </c>
      <c r="P300" s="19">
        <f t="shared" si="9"/>
        <v>2024</v>
      </c>
      <c r="Q300" s="19" t="e">
        <f>+SUMIFS(#REF!,#REF!,Planning[[#This Row],[Tarifa]],#REF!,Planning[[#This Row],[Proyectos]],#REF!,Planning[[#This Row],[Mes]],#REF!,Planning[[#This Row],[Año]])</f>
        <v>#REF!</v>
      </c>
      <c r="R300" s="19" t="str">
        <f>TEXT(Planning[[#This Row],[Mes]]*29,"mmmm")</f>
        <v>October</v>
      </c>
      <c r="S3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0" s="241"/>
      <c r="U300" s="43" t="e">
        <f>IF(Planning[[#This Row],[Horas Planificadas]]&lt;&gt;0,+K300/Planning[[#This Row],[Horas Planificadas]],0)</f>
        <v>#REF!</v>
      </c>
      <c r="V300" s="43" t="e">
        <f>IF(Planning[[#This Row],[Horas Planificadas]]&lt;&gt;0,Planning[[#This Row],[Horas utilizadas]]/Planning[[#This Row],[Horas Planificadas]],0)</f>
        <v>#REF!</v>
      </c>
      <c r="W300" s="44">
        <f>Planning[[#This Row],[Horas Planificadas]]+Planning[[#This Row],[Horas ajustadas adicionales]]</f>
        <v>320</v>
      </c>
      <c r="X300" s="142"/>
    </row>
    <row r="301" spans="1:24" ht="12.75" customHeight="1" x14ac:dyDescent="0.2">
      <c r="A301" s="7"/>
      <c r="B301" s="7"/>
      <c r="C301" s="3"/>
      <c r="D301" s="3" t="s">
        <v>105</v>
      </c>
      <c r="E301" s="33" t="s">
        <v>31</v>
      </c>
      <c r="F301" s="3"/>
      <c r="G301" s="7"/>
      <c r="H301" s="7">
        <v>320</v>
      </c>
      <c r="I301" s="12"/>
      <c r="J301" s="5" t="e">
        <f>+SUMIFS(#REF!,#REF!,Planning[[#This Row],[Tarifa]],#REF!,Planning[[#This Row],[Proyectos]])</f>
        <v>#REF!</v>
      </c>
      <c r="K301" s="5" t="e">
        <f>Planning[[#This Row],[Horas Planificadas]]+Planning[[#This Row],[Horas ajustadas adicionales]]-Planning[[#This Row],[Horas utilizadas]]</f>
        <v>#REF!</v>
      </c>
      <c r="L301" s="7"/>
      <c r="M301" s="19" t="e">
        <f>Planning[[#This Row],[Saldo]]-Planning[[#This Row],[Saldo estimado]]</f>
        <v>#REF!</v>
      </c>
      <c r="N301" s="60" t="e">
        <f>SUM(SUMIFS(#REF!,#REF!,Planning[[#This Row],[Proyectos]],#REF!,Planning[[#This Row],[Tipo de Tarea y especialidad]]),SUMIFS(#REF!,#REF!,Planning[[#This Row],[Proyectos]],#REF!,Planning[[#This Row],[Tipo de Tarea y especialidad]]))</f>
        <v>#REF!</v>
      </c>
      <c r="O301" s="19">
        <f t="shared" si="8"/>
        <v>10</v>
      </c>
      <c r="P301" s="19">
        <f t="shared" si="9"/>
        <v>2024</v>
      </c>
      <c r="Q301" s="19" t="e">
        <f>+SUMIFS(#REF!,#REF!,Planning[[#This Row],[Tarifa]],#REF!,Planning[[#This Row],[Proyectos]],#REF!,Planning[[#This Row],[Mes]],#REF!,Planning[[#This Row],[Año]])</f>
        <v>#REF!</v>
      </c>
      <c r="R301" s="19" t="str">
        <f>TEXT(Planning[[#This Row],[Mes]]*29,"mmmm")</f>
        <v>October</v>
      </c>
      <c r="S3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1" s="241"/>
      <c r="U301" s="43" t="e">
        <f>IF(Planning[[#This Row],[Horas Planificadas]]&lt;&gt;0,+K301/Planning[[#This Row],[Horas Planificadas]],0)</f>
        <v>#REF!</v>
      </c>
      <c r="V301" s="43" t="e">
        <f>IF(Planning[[#This Row],[Horas Planificadas]]&lt;&gt;0,Planning[[#This Row],[Horas utilizadas]]/Planning[[#This Row],[Horas Planificadas]],0)</f>
        <v>#REF!</v>
      </c>
      <c r="W301" s="44">
        <f>Planning[[#This Row],[Horas Planificadas]]+Planning[[#This Row],[Horas ajustadas adicionales]]</f>
        <v>320</v>
      </c>
      <c r="X301" s="142"/>
    </row>
    <row r="302" spans="1:24" ht="12.75" customHeight="1" x14ac:dyDescent="0.2">
      <c r="A302" s="7"/>
      <c r="B302" s="7"/>
      <c r="C302" s="3"/>
      <c r="D302" s="3" t="s">
        <v>105</v>
      </c>
      <c r="E302" s="33" t="s">
        <v>32</v>
      </c>
      <c r="F302" s="3"/>
      <c r="G302" s="7"/>
      <c r="H302" s="7">
        <v>120</v>
      </c>
      <c r="I302" s="12"/>
      <c r="J302" s="5" t="e">
        <f>+SUMIFS(#REF!,#REF!,Planning[[#This Row],[Tarifa]],#REF!,Planning[[#This Row],[Proyectos]])</f>
        <v>#REF!</v>
      </c>
      <c r="K302" s="5" t="e">
        <f>Planning[[#This Row],[Horas Planificadas]]+Planning[[#This Row],[Horas ajustadas adicionales]]-Planning[[#This Row],[Horas utilizadas]]</f>
        <v>#REF!</v>
      </c>
      <c r="L302" s="7"/>
      <c r="M302" s="19" t="e">
        <f>Planning[[#This Row],[Saldo]]-Planning[[#This Row],[Saldo estimado]]</f>
        <v>#REF!</v>
      </c>
      <c r="N302" s="60" t="e">
        <f>SUM(SUMIFS(#REF!,#REF!,Planning[[#This Row],[Proyectos]],#REF!,Planning[[#This Row],[Tipo de Tarea y especialidad]]),SUMIFS(#REF!,#REF!,Planning[[#This Row],[Proyectos]],#REF!,Planning[[#This Row],[Tipo de Tarea y especialidad]]))</f>
        <v>#REF!</v>
      </c>
      <c r="O302" s="19">
        <f t="shared" si="8"/>
        <v>10</v>
      </c>
      <c r="P302" s="19">
        <f t="shared" si="9"/>
        <v>2024</v>
      </c>
      <c r="Q302" s="19" t="e">
        <f>+SUMIFS(#REF!,#REF!,Planning[[#This Row],[Tarifa]],#REF!,Planning[[#This Row],[Proyectos]],#REF!,Planning[[#This Row],[Mes]],#REF!,Planning[[#This Row],[Año]])</f>
        <v>#REF!</v>
      </c>
      <c r="R302" s="19" t="str">
        <f>TEXT(Planning[[#This Row],[Mes]]*29,"mmmm")</f>
        <v>October</v>
      </c>
      <c r="S3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2" s="241"/>
      <c r="U302" s="43" t="e">
        <f>IF(Planning[[#This Row],[Horas Planificadas]]&lt;&gt;0,+K302/Planning[[#This Row],[Horas Planificadas]],0)</f>
        <v>#REF!</v>
      </c>
      <c r="V302" s="43" t="e">
        <f>IF(Planning[[#This Row],[Horas Planificadas]]&lt;&gt;0,Planning[[#This Row],[Horas utilizadas]]/Planning[[#This Row],[Horas Planificadas]],0)</f>
        <v>#REF!</v>
      </c>
      <c r="W302" s="44">
        <f>Planning[[#This Row],[Horas Planificadas]]+Planning[[#This Row],[Horas ajustadas adicionales]]</f>
        <v>120</v>
      </c>
      <c r="X302" s="142"/>
    </row>
    <row r="303" spans="1:24" ht="12.75" customHeight="1" x14ac:dyDescent="0.2">
      <c r="A303" s="7"/>
      <c r="B303" s="7"/>
      <c r="C303" s="3"/>
      <c r="D303" s="3" t="s">
        <v>106</v>
      </c>
      <c r="E303" s="33" t="s">
        <v>28</v>
      </c>
      <c r="F303" s="3"/>
      <c r="G303" s="7"/>
      <c r="H303" s="7">
        <v>277</v>
      </c>
      <c r="I303" s="12"/>
      <c r="J303" s="5" t="e">
        <f>+SUMIFS(#REF!,#REF!,Planning[[#This Row],[Tarifa]],#REF!,Planning[[#This Row],[Proyectos]])</f>
        <v>#REF!</v>
      </c>
      <c r="K303" s="5" t="e">
        <f>Planning[[#This Row],[Horas Planificadas]]+Planning[[#This Row],[Horas ajustadas adicionales]]-Planning[[#This Row],[Horas utilizadas]]</f>
        <v>#REF!</v>
      </c>
      <c r="L303" s="7"/>
      <c r="M303" s="19" t="e">
        <f>Planning[[#This Row],[Saldo]]-Planning[[#This Row],[Saldo estimado]]</f>
        <v>#REF!</v>
      </c>
      <c r="N303" s="60" t="e">
        <f>SUM(SUMIFS(#REF!,#REF!,Planning[[#This Row],[Proyectos]],#REF!,Planning[[#This Row],[Tipo de Tarea y especialidad]]),SUMIFS(#REF!,#REF!,Planning[[#This Row],[Proyectos]],#REF!,Planning[[#This Row],[Tipo de Tarea y especialidad]]))</f>
        <v>#REF!</v>
      </c>
      <c r="O303" s="19">
        <f t="shared" si="8"/>
        <v>10</v>
      </c>
      <c r="P303" s="19">
        <f t="shared" si="9"/>
        <v>2024</v>
      </c>
      <c r="Q303" s="19" t="e">
        <f>+SUMIFS(#REF!,#REF!,Planning[[#This Row],[Tarifa]],#REF!,Planning[[#This Row],[Proyectos]],#REF!,Planning[[#This Row],[Mes]],#REF!,Planning[[#This Row],[Año]])</f>
        <v>#REF!</v>
      </c>
      <c r="R303" s="19" t="str">
        <f>TEXT(Planning[[#This Row],[Mes]]*29,"mmmm")</f>
        <v>October</v>
      </c>
      <c r="S3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3" s="241"/>
      <c r="U303" s="43" t="e">
        <f>IF(Planning[[#This Row],[Horas Planificadas]]&lt;&gt;0,+K303/Planning[[#This Row],[Horas Planificadas]],0)</f>
        <v>#REF!</v>
      </c>
      <c r="V303" s="43" t="e">
        <f>IF(Planning[[#This Row],[Horas Planificadas]]&lt;&gt;0,Planning[[#This Row],[Horas utilizadas]]/Planning[[#This Row],[Horas Planificadas]],0)</f>
        <v>#REF!</v>
      </c>
      <c r="W303" s="44">
        <f>Planning[[#This Row],[Horas Planificadas]]+Planning[[#This Row],[Horas ajustadas adicionales]]</f>
        <v>277</v>
      </c>
      <c r="X303" s="142"/>
    </row>
    <row r="304" spans="1:24" ht="12.75" customHeight="1" x14ac:dyDescent="0.2">
      <c r="A304" s="7"/>
      <c r="B304" s="7"/>
      <c r="C304" s="3"/>
      <c r="D304" s="3" t="s">
        <v>106</v>
      </c>
      <c r="E304" s="33" t="s">
        <v>30</v>
      </c>
      <c r="F304" s="3"/>
      <c r="G304" s="7"/>
      <c r="H304" s="7">
        <v>158</v>
      </c>
      <c r="I304" s="12"/>
      <c r="J304" s="5" t="e">
        <f>+SUMIFS(#REF!,#REF!,Planning[[#This Row],[Tarifa]],#REF!,Planning[[#This Row],[Proyectos]])</f>
        <v>#REF!</v>
      </c>
      <c r="K304" s="5" t="e">
        <f>Planning[[#This Row],[Horas Planificadas]]+Planning[[#This Row],[Horas ajustadas adicionales]]-Planning[[#This Row],[Horas utilizadas]]</f>
        <v>#REF!</v>
      </c>
      <c r="L304" s="7"/>
      <c r="M304" s="19" t="e">
        <f>Planning[[#This Row],[Saldo]]-Planning[[#This Row],[Saldo estimado]]</f>
        <v>#REF!</v>
      </c>
      <c r="N304" s="60" t="e">
        <f>SUM(SUMIFS(#REF!,#REF!,Planning[[#This Row],[Proyectos]],#REF!,Planning[[#This Row],[Tipo de Tarea y especialidad]]),SUMIFS(#REF!,#REF!,Planning[[#This Row],[Proyectos]],#REF!,Planning[[#This Row],[Tipo de Tarea y especialidad]]))</f>
        <v>#REF!</v>
      </c>
      <c r="O304" s="19">
        <f t="shared" si="8"/>
        <v>10</v>
      </c>
      <c r="P304" s="19">
        <f t="shared" si="9"/>
        <v>2024</v>
      </c>
      <c r="Q304" s="19" t="e">
        <f>+SUMIFS(#REF!,#REF!,Planning[[#This Row],[Tarifa]],#REF!,Planning[[#This Row],[Proyectos]],#REF!,Planning[[#This Row],[Mes]],#REF!,Planning[[#This Row],[Año]])</f>
        <v>#REF!</v>
      </c>
      <c r="R304" s="19" t="str">
        <f>TEXT(Planning[[#This Row],[Mes]]*29,"mmmm")</f>
        <v>October</v>
      </c>
      <c r="S3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4" s="241"/>
      <c r="U304" s="43" t="e">
        <f>IF(Planning[[#This Row],[Horas Planificadas]]&lt;&gt;0,+K304/Planning[[#This Row],[Horas Planificadas]],0)</f>
        <v>#REF!</v>
      </c>
      <c r="V304" s="43" t="e">
        <f>IF(Planning[[#This Row],[Horas Planificadas]]&lt;&gt;0,Planning[[#This Row],[Horas utilizadas]]/Planning[[#This Row],[Horas Planificadas]],0)</f>
        <v>#REF!</v>
      </c>
      <c r="W304" s="44">
        <f>Planning[[#This Row],[Horas Planificadas]]+Planning[[#This Row],[Horas ajustadas adicionales]]</f>
        <v>158</v>
      </c>
      <c r="X304" s="142"/>
    </row>
    <row r="305" spans="1:24" ht="12.75" customHeight="1" x14ac:dyDescent="0.2">
      <c r="A305" s="7"/>
      <c r="B305" s="7"/>
      <c r="C305" s="3"/>
      <c r="D305" s="3" t="s">
        <v>106</v>
      </c>
      <c r="E305" s="33" t="s">
        <v>31</v>
      </c>
      <c r="F305" s="3"/>
      <c r="G305" s="7"/>
      <c r="H305" s="7">
        <v>158</v>
      </c>
      <c r="I305" s="12"/>
      <c r="J305" s="5" t="e">
        <f>+SUMIFS(#REF!,#REF!,Planning[[#This Row],[Tarifa]],#REF!,Planning[[#This Row],[Proyectos]])</f>
        <v>#REF!</v>
      </c>
      <c r="K305" s="5" t="e">
        <f>Planning[[#This Row],[Horas Planificadas]]+Planning[[#This Row],[Horas ajustadas adicionales]]-Planning[[#This Row],[Horas utilizadas]]</f>
        <v>#REF!</v>
      </c>
      <c r="L305" s="7"/>
      <c r="M305" s="19" t="e">
        <f>Planning[[#This Row],[Saldo]]-Planning[[#This Row],[Saldo estimado]]</f>
        <v>#REF!</v>
      </c>
      <c r="N305" s="60" t="e">
        <f>SUM(SUMIFS(#REF!,#REF!,Planning[[#This Row],[Proyectos]],#REF!,Planning[[#This Row],[Tipo de Tarea y especialidad]]),SUMIFS(#REF!,#REF!,Planning[[#This Row],[Proyectos]],#REF!,Planning[[#This Row],[Tipo de Tarea y especialidad]]))</f>
        <v>#REF!</v>
      </c>
      <c r="O305" s="19">
        <f t="shared" si="8"/>
        <v>10</v>
      </c>
      <c r="P305" s="19">
        <f t="shared" si="9"/>
        <v>2024</v>
      </c>
      <c r="Q305" s="19" t="e">
        <f>+SUMIFS(#REF!,#REF!,Planning[[#This Row],[Tarifa]],#REF!,Planning[[#This Row],[Proyectos]],#REF!,Planning[[#This Row],[Mes]],#REF!,Planning[[#This Row],[Año]])</f>
        <v>#REF!</v>
      </c>
      <c r="R305" s="19" t="str">
        <f>TEXT(Planning[[#This Row],[Mes]]*29,"mmmm")</f>
        <v>October</v>
      </c>
      <c r="S3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5" s="241"/>
      <c r="U305" s="43" t="e">
        <f>IF(Planning[[#This Row],[Horas Planificadas]]&lt;&gt;0,+K305/Planning[[#This Row],[Horas Planificadas]],0)</f>
        <v>#REF!</v>
      </c>
      <c r="V305" s="43" t="e">
        <f>IF(Planning[[#This Row],[Horas Planificadas]]&lt;&gt;0,Planning[[#This Row],[Horas utilizadas]]/Planning[[#This Row],[Horas Planificadas]],0)</f>
        <v>#REF!</v>
      </c>
      <c r="W305" s="44">
        <f>Planning[[#This Row],[Horas Planificadas]]+Planning[[#This Row],[Horas ajustadas adicionales]]</f>
        <v>158</v>
      </c>
      <c r="X305" s="142"/>
    </row>
    <row r="306" spans="1:24" ht="12.75" customHeight="1" x14ac:dyDescent="0.2">
      <c r="A306" s="7"/>
      <c r="B306" s="7"/>
      <c r="C306" s="3"/>
      <c r="D306" s="3" t="s">
        <v>106</v>
      </c>
      <c r="E306" s="33" t="s">
        <v>32</v>
      </c>
      <c r="F306" s="3"/>
      <c r="G306" s="7"/>
      <c r="H306" s="7">
        <v>119</v>
      </c>
      <c r="I306" s="12"/>
      <c r="J306" s="5" t="e">
        <f>+SUMIFS(#REF!,#REF!,Planning[[#This Row],[Tarifa]],#REF!,Planning[[#This Row],[Proyectos]])</f>
        <v>#REF!</v>
      </c>
      <c r="K306" s="5" t="e">
        <f>Planning[[#This Row],[Horas Planificadas]]+Planning[[#This Row],[Horas ajustadas adicionales]]-Planning[[#This Row],[Horas utilizadas]]</f>
        <v>#REF!</v>
      </c>
      <c r="L306" s="7"/>
      <c r="M306" s="19" t="e">
        <f>Planning[[#This Row],[Saldo]]-Planning[[#This Row],[Saldo estimado]]</f>
        <v>#REF!</v>
      </c>
      <c r="N306" s="60" t="e">
        <f>SUM(SUMIFS(#REF!,#REF!,Planning[[#This Row],[Proyectos]],#REF!,Planning[[#This Row],[Tipo de Tarea y especialidad]]),SUMIFS(#REF!,#REF!,Planning[[#This Row],[Proyectos]],#REF!,Planning[[#This Row],[Tipo de Tarea y especialidad]]))</f>
        <v>#REF!</v>
      </c>
      <c r="O306" s="19">
        <f t="shared" si="8"/>
        <v>10</v>
      </c>
      <c r="P306" s="19">
        <f t="shared" si="9"/>
        <v>2024</v>
      </c>
      <c r="Q306" s="19" t="e">
        <f>+SUMIFS(#REF!,#REF!,Planning[[#This Row],[Tarifa]],#REF!,Planning[[#This Row],[Proyectos]],#REF!,Planning[[#This Row],[Mes]],#REF!,Planning[[#This Row],[Año]])</f>
        <v>#REF!</v>
      </c>
      <c r="R306" s="19" t="str">
        <f>TEXT(Planning[[#This Row],[Mes]]*29,"mmmm")</f>
        <v>October</v>
      </c>
      <c r="S3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6" s="241"/>
      <c r="U306" s="43" t="e">
        <f>IF(Planning[[#This Row],[Horas Planificadas]]&lt;&gt;0,+K306/Planning[[#This Row],[Horas Planificadas]],0)</f>
        <v>#REF!</v>
      </c>
      <c r="V306" s="43" t="e">
        <f>IF(Planning[[#This Row],[Horas Planificadas]]&lt;&gt;0,Planning[[#This Row],[Horas utilizadas]]/Planning[[#This Row],[Horas Planificadas]],0)</f>
        <v>#REF!</v>
      </c>
      <c r="W306" s="44">
        <f>Planning[[#This Row],[Horas Planificadas]]+Planning[[#This Row],[Horas ajustadas adicionales]]</f>
        <v>119</v>
      </c>
      <c r="X306" s="142"/>
    </row>
    <row r="307" spans="1:24" ht="12.75" customHeight="1" x14ac:dyDescent="0.2">
      <c r="A307" s="7"/>
      <c r="B307" s="7"/>
      <c r="C307" s="3"/>
      <c r="D307" s="3" t="s">
        <v>107</v>
      </c>
      <c r="E307" s="33" t="s">
        <v>28</v>
      </c>
      <c r="F307" s="3"/>
      <c r="G307" s="7"/>
      <c r="H307" s="7">
        <v>185</v>
      </c>
      <c r="I307" s="12"/>
      <c r="J307" s="5" t="e">
        <f>+SUMIFS(#REF!,#REF!,Planning[[#This Row],[Tarifa]],#REF!,Planning[[#This Row],[Proyectos]])</f>
        <v>#REF!</v>
      </c>
      <c r="K307" s="5" t="e">
        <f>Planning[[#This Row],[Horas Planificadas]]+Planning[[#This Row],[Horas ajustadas adicionales]]-Planning[[#This Row],[Horas utilizadas]]</f>
        <v>#REF!</v>
      </c>
      <c r="L307" s="7"/>
      <c r="M307" s="19" t="e">
        <f>Planning[[#This Row],[Saldo]]-Planning[[#This Row],[Saldo estimado]]</f>
        <v>#REF!</v>
      </c>
      <c r="N307" s="60" t="e">
        <f>SUM(SUMIFS(#REF!,#REF!,Planning[[#This Row],[Proyectos]],#REF!,Planning[[#This Row],[Tipo de Tarea y especialidad]]),SUMIFS(#REF!,#REF!,Planning[[#This Row],[Proyectos]],#REF!,Planning[[#This Row],[Tipo de Tarea y especialidad]]))</f>
        <v>#REF!</v>
      </c>
      <c r="O307" s="19">
        <f t="shared" si="8"/>
        <v>10</v>
      </c>
      <c r="P307" s="19">
        <f t="shared" si="9"/>
        <v>2024</v>
      </c>
      <c r="Q307" s="19" t="e">
        <f>+SUMIFS(#REF!,#REF!,Planning[[#This Row],[Tarifa]],#REF!,Planning[[#This Row],[Proyectos]],#REF!,Planning[[#This Row],[Mes]],#REF!,Planning[[#This Row],[Año]])</f>
        <v>#REF!</v>
      </c>
      <c r="R307" s="19" t="str">
        <f>TEXT(Planning[[#This Row],[Mes]]*29,"mmmm")</f>
        <v>October</v>
      </c>
      <c r="S3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7" s="241"/>
      <c r="U307" s="43" t="e">
        <f>IF(Planning[[#This Row],[Horas Planificadas]]&lt;&gt;0,+K307/Planning[[#This Row],[Horas Planificadas]],0)</f>
        <v>#REF!</v>
      </c>
      <c r="V307" s="43" t="e">
        <f>IF(Planning[[#This Row],[Horas Planificadas]]&lt;&gt;0,Planning[[#This Row],[Horas utilizadas]]/Planning[[#This Row],[Horas Planificadas]],0)</f>
        <v>#REF!</v>
      </c>
      <c r="W307" s="44">
        <f>Planning[[#This Row],[Horas Planificadas]]+Planning[[#This Row],[Horas ajustadas adicionales]]</f>
        <v>185</v>
      </c>
      <c r="X307" s="142"/>
    </row>
    <row r="308" spans="1:24" ht="12.75" customHeight="1" x14ac:dyDescent="0.2">
      <c r="A308" s="7"/>
      <c r="B308" s="7"/>
      <c r="C308" s="3"/>
      <c r="D308" s="3" t="s">
        <v>107</v>
      </c>
      <c r="E308" s="33" t="s">
        <v>30</v>
      </c>
      <c r="F308" s="3"/>
      <c r="G308" s="7"/>
      <c r="H308" s="7">
        <v>477</v>
      </c>
      <c r="I308" s="12"/>
      <c r="J308" s="5" t="e">
        <f>+SUMIFS(#REF!,#REF!,Planning[[#This Row],[Tarifa]],#REF!,Planning[[#This Row],[Proyectos]])</f>
        <v>#REF!</v>
      </c>
      <c r="K308" s="5" t="e">
        <f>Planning[[#This Row],[Horas Planificadas]]+Planning[[#This Row],[Horas ajustadas adicionales]]-Planning[[#This Row],[Horas utilizadas]]</f>
        <v>#REF!</v>
      </c>
      <c r="L308" s="7"/>
      <c r="M308" s="19" t="e">
        <f>Planning[[#This Row],[Saldo]]-Planning[[#This Row],[Saldo estimado]]</f>
        <v>#REF!</v>
      </c>
      <c r="N308" s="60" t="e">
        <f>SUM(SUMIFS(#REF!,#REF!,Planning[[#This Row],[Proyectos]],#REF!,Planning[[#This Row],[Tipo de Tarea y especialidad]]),SUMIFS(#REF!,#REF!,Planning[[#This Row],[Proyectos]],#REF!,Planning[[#This Row],[Tipo de Tarea y especialidad]]))</f>
        <v>#REF!</v>
      </c>
      <c r="O308" s="19">
        <f t="shared" si="8"/>
        <v>10</v>
      </c>
      <c r="P308" s="19">
        <f t="shared" si="9"/>
        <v>2024</v>
      </c>
      <c r="Q308" s="19" t="e">
        <f>+SUMIFS(#REF!,#REF!,Planning[[#This Row],[Tarifa]],#REF!,Planning[[#This Row],[Proyectos]],#REF!,Planning[[#This Row],[Mes]],#REF!,Planning[[#This Row],[Año]])</f>
        <v>#REF!</v>
      </c>
      <c r="R308" s="19" t="str">
        <f>TEXT(Planning[[#This Row],[Mes]]*29,"mmmm")</f>
        <v>October</v>
      </c>
      <c r="S3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8" s="241"/>
      <c r="U308" s="43" t="e">
        <f>IF(Planning[[#This Row],[Horas Planificadas]]&lt;&gt;0,+K308/Planning[[#This Row],[Horas Planificadas]],0)</f>
        <v>#REF!</v>
      </c>
      <c r="V308" s="43" t="e">
        <f>IF(Planning[[#This Row],[Horas Planificadas]]&lt;&gt;0,Planning[[#This Row],[Horas utilizadas]]/Planning[[#This Row],[Horas Planificadas]],0)</f>
        <v>#REF!</v>
      </c>
      <c r="W308" s="44">
        <f>Planning[[#This Row],[Horas Planificadas]]+Planning[[#This Row],[Horas ajustadas adicionales]]</f>
        <v>477</v>
      </c>
      <c r="X308" s="142"/>
    </row>
    <row r="309" spans="1:24" ht="12.75" customHeight="1" x14ac:dyDescent="0.2">
      <c r="A309" s="7"/>
      <c r="B309" s="7"/>
      <c r="C309" s="3"/>
      <c r="D309" s="3" t="s">
        <v>107</v>
      </c>
      <c r="E309" s="33" t="s">
        <v>31</v>
      </c>
      <c r="F309" s="3"/>
      <c r="G309" s="7"/>
      <c r="H309" s="7">
        <v>40</v>
      </c>
      <c r="I309" s="12"/>
      <c r="J309" s="5" t="e">
        <f>+SUMIFS(#REF!,#REF!,Planning[[#This Row],[Tarifa]],#REF!,Planning[[#This Row],[Proyectos]])</f>
        <v>#REF!</v>
      </c>
      <c r="K309" s="5" t="e">
        <f>Planning[[#This Row],[Horas Planificadas]]+Planning[[#This Row],[Horas ajustadas adicionales]]-Planning[[#This Row],[Horas utilizadas]]</f>
        <v>#REF!</v>
      </c>
      <c r="L309" s="7"/>
      <c r="M309" s="19" t="e">
        <f>Planning[[#This Row],[Saldo]]-Planning[[#This Row],[Saldo estimado]]</f>
        <v>#REF!</v>
      </c>
      <c r="N309" s="60" t="e">
        <f>SUM(SUMIFS(#REF!,#REF!,Planning[[#This Row],[Proyectos]],#REF!,Planning[[#This Row],[Tipo de Tarea y especialidad]]),SUMIFS(#REF!,#REF!,Planning[[#This Row],[Proyectos]],#REF!,Planning[[#This Row],[Tipo de Tarea y especialidad]]))</f>
        <v>#REF!</v>
      </c>
      <c r="O309" s="19">
        <f t="shared" si="8"/>
        <v>10</v>
      </c>
      <c r="P309" s="19">
        <f t="shared" si="9"/>
        <v>2024</v>
      </c>
      <c r="Q309" s="19" t="e">
        <f>+SUMIFS(#REF!,#REF!,Planning[[#This Row],[Tarifa]],#REF!,Planning[[#This Row],[Proyectos]],#REF!,Planning[[#This Row],[Mes]],#REF!,Planning[[#This Row],[Año]])</f>
        <v>#REF!</v>
      </c>
      <c r="R309" s="19" t="str">
        <f>TEXT(Planning[[#This Row],[Mes]]*29,"mmmm")</f>
        <v>October</v>
      </c>
      <c r="S3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9" s="241"/>
      <c r="U309" s="43" t="e">
        <f>IF(Planning[[#This Row],[Horas Planificadas]]&lt;&gt;0,+K309/Planning[[#This Row],[Horas Planificadas]],0)</f>
        <v>#REF!</v>
      </c>
      <c r="V309" s="43" t="e">
        <f>IF(Planning[[#This Row],[Horas Planificadas]]&lt;&gt;0,Planning[[#This Row],[Horas utilizadas]]/Planning[[#This Row],[Horas Planificadas]],0)</f>
        <v>#REF!</v>
      </c>
      <c r="W309" s="44">
        <f>Planning[[#This Row],[Horas Planificadas]]+Planning[[#This Row],[Horas ajustadas adicionales]]</f>
        <v>40</v>
      </c>
      <c r="X309" s="142"/>
    </row>
    <row r="310" spans="1:24" ht="12.75" customHeight="1" x14ac:dyDescent="0.2">
      <c r="A310" s="7"/>
      <c r="B310" s="7"/>
      <c r="C310" s="3"/>
      <c r="D310" s="3" t="s">
        <v>107</v>
      </c>
      <c r="E310" s="33" t="s">
        <v>32</v>
      </c>
      <c r="F310" s="3"/>
      <c r="G310" s="7"/>
      <c r="H310" s="7">
        <v>108</v>
      </c>
      <c r="I310" s="12"/>
      <c r="J310" s="5" t="e">
        <f>+SUMIFS(#REF!,#REF!,Planning[[#This Row],[Tarifa]],#REF!,Planning[[#This Row],[Proyectos]])</f>
        <v>#REF!</v>
      </c>
      <c r="K310" s="5" t="e">
        <f>Planning[[#This Row],[Horas Planificadas]]+Planning[[#This Row],[Horas ajustadas adicionales]]-Planning[[#This Row],[Horas utilizadas]]</f>
        <v>#REF!</v>
      </c>
      <c r="L310" s="7"/>
      <c r="M310" s="19" t="e">
        <f>Planning[[#This Row],[Saldo]]-Planning[[#This Row],[Saldo estimado]]</f>
        <v>#REF!</v>
      </c>
      <c r="N310" s="60" t="e">
        <f>SUM(SUMIFS(#REF!,#REF!,Planning[[#This Row],[Proyectos]],#REF!,Planning[[#This Row],[Tipo de Tarea y especialidad]]),SUMIFS(#REF!,#REF!,Planning[[#This Row],[Proyectos]],#REF!,Planning[[#This Row],[Tipo de Tarea y especialidad]]))</f>
        <v>#REF!</v>
      </c>
      <c r="O310" s="19">
        <f t="shared" si="8"/>
        <v>10</v>
      </c>
      <c r="P310" s="19">
        <f t="shared" si="9"/>
        <v>2024</v>
      </c>
      <c r="Q310" s="19" t="e">
        <f>+SUMIFS(#REF!,#REF!,Planning[[#This Row],[Tarifa]],#REF!,Planning[[#This Row],[Proyectos]],#REF!,Planning[[#This Row],[Mes]],#REF!,Planning[[#This Row],[Año]])</f>
        <v>#REF!</v>
      </c>
      <c r="R310" s="19" t="str">
        <f>TEXT(Planning[[#This Row],[Mes]]*29,"mmmm")</f>
        <v>October</v>
      </c>
      <c r="S3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0" s="241"/>
      <c r="U310" s="43" t="e">
        <f>IF(Planning[[#This Row],[Horas Planificadas]]&lt;&gt;0,+K310/Planning[[#This Row],[Horas Planificadas]],0)</f>
        <v>#REF!</v>
      </c>
      <c r="V310" s="43" t="e">
        <f>IF(Planning[[#This Row],[Horas Planificadas]]&lt;&gt;0,Planning[[#This Row],[Horas utilizadas]]/Planning[[#This Row],[Horas Planificadas]],0)</f>
        <v>#REF!</v>
      </c>
      <c r="W310" s="44">
        <f>Planning[[#This Row],[Horas Planificadas]]+Planning[[#This Row],[Horas ajustadas adicionales]]</f>
        <v>108</v>
      </c>
      <c r="X310" s="142"/>
    </row>
    <row r="311" spans="1:24" ht="12.75" customHeight="1" x14ac:dyDescent="0.2">
      <c r="A311" s="7"/>
      <c r="B311" s="7"/>
      <c r="C311" s="3"/>
      <c r="D311" s="3" t="s">
        <v>108</v>
      </c>
      <c r="E311" s="33" t="s">
        <v>28</v>
      </c>
      <c r="F311" s="3"/>
      <c r="G311" s="7"/>
      <c r="H311" s="7">
        <v>0</v>
      </c>
      <c r="I311" s="12"/>
      <c r="J311" s="5" t="e">
        <f>+SUMIFS(#REF!,#REF!,Planning[[#This Row],[Tarifa]],#REF!,Planning[[#This Row],[Proyectos]])</f>
        <v>#REF!</v>
      </c>
      <c r="K311" s="5" t="e">
        <f>Planning[[#This Row],[Horas Planificadas]]+Planning[[#This Row],[Horas ajustadas adicionales]]-Planning[[#This Row],[Horas utilizadas]]</f>
        <v>#REF!</v>
      </c>
      <c r="L311" s="7"/>
      <c r="M311" s="19" t="e">
        <f>Planning[[#This Row],[Saldo]]-Planning[[#This Row],[Saldo estimado]]</f>
        <v>#REF!</v>
      </c>
      <c r="N311" s="60" t="e">
        <f>SUM(SUMIFS(#REF!,#REF!,Planning[[#This Row],[Proyectos]],#REF!,Planning[[#This Row],[Tipo de Tarea y especialidad]]),SUMIFS(#REF!,#REF!,Planning[[#This Row],[Proyectos]],#REF!,Planning[[#This Row],[Tipo de Tarea y especialidad]]))</f>
        <v>#REF!</v>
      </c>
      <c r="O311" s="19">
        <f t="shared" si="8"/>
        <v>10</v>
      </c>
      <c r="P311" s="19">
        <f t="shared" si="9"/>
        <v>2024</v>
      </c>
      <c r="Q311" s="19" t="e">
        <f>+SUMIFS(#REF!,#REF!,Planning[[#This Row],[Tarifa]],#REF!,Planning[[#This Row],[Proyectos]],#REF!,Planning[[#This Row],[Mes]],#REF!,Planning[[#This Row],[Año]])</f>
        <v>#REF!</v>
      </c>
      <c r="R311" s="19" t="str">
        <f>TEXT(Planning[[#This Row],[Mes]]*29,"mmmm")</f>
        <v>October</v>
      </c>
      <c r="S3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1" s="241"/>
      <c r="U311" s="43">
        <f>IF(Planning[[#This Row],[Horas Planificadas]]&lt;&gt;0,+K311/Planning[[#This Row],[Horas Planificadas]],0)</f>
        <v>0</v>
      </c>
      <c r="V311" s="43">
        <f>IF(Planning[[#This Row],[Horas Planificadas]]&lt;&gt;0,Planning[[#This Row],[Horas utilizadas]]/Planning[[#This Row],[Horas Planificadas]],0)</f>
        <v>0</v>
      </c>
      <c r="W311" s="44">
        <f>Planning[[#This Row],[Horas Planificadas]]+Planning[[#This Row],[Horas ajustadas adicionales]]</f>
        <v>0</v>
      </c>
      <c r="X311" s="142"/>
    </row>
    <row r="312" spans="1:24" ht="12.75" customHeight="1" x14ac:dyDescent="0.2">
      <c r="A312" s="7"/>
      <c r="B312" s="7"/>
      <c r="C312" s="3"/>
      <c r="D312" s="3" t="s">
        <v>108</v>
      </c>
      <c r="E312" s="33" t="s">
        <v>30</v>
      </c>
      <c r="F312" s="3"/>
      <c r="G312" s="7"/>
      <c r="H312" s="7">
        <v>0</v>
      </c>
      <c r="I312" s="12"/>
      <c r="J312" s="5" t="e">
        <f>+SUMIFS(#REF!,#REF!,Planning[[#This Row],[Tarifa]],#REF!,Planning[[#This Row],[Proyectos]])</f>
        <v>#REF!</v>
      </c>
      <c r="K312" s="5" t="e">
        <f>Planning[[#This Row],[Horas Planificadas]]+Planning[[#This Row],[Horas ajustadas adicionales]]-Planning[[#This Row],[Horas utilizadas]]</f>
        <v>#REF!</v>
      </c>
      <c r="L312" s="7"/>
      <c r="M312" s="19" t="e">
        <f>Planning[[#This Row],[Saldo]]-Planning[[#This Row],[Saldo estimado]]</f>
        <v>#REF!</v>
      </c>
      <c r="N312" s="60" t="e">
        <f>SUM(SUMIFS(#REF!,#REF!,Planning[[#This Row],[Proyectos]],#REF!,Planning[[#This Row],[Tipo de Tarea y especialidad]]),SUMIFS(#REF!,#REF!,Planning[[#This Row],[Proyectos]],#REF!,Planning[[#This Row],[Tipo de Tarea y especialidad]]))</f>
        <v>#REF!</v>
      </c>
      <c r="O312" s="19">
        <f t="shared" si="8"/>
        <v>10</v>
      </c>
      <c r="P312" s="19">
        <f t="shared" si="9"/>
        <v>2024</v>
      </c>
      <c r="Q312" s="19" t="e">
        <f>+SUMIFS(#REF!,#REF!,Planning[[#This Row],[Tarifa]],#REF!,Planning[[#This Row],[Proyectos]],#REF!,Planning[[#This Row],[Mes]],#REF!,Planning[[#This Row],[Año]])</f>
        <v>#REF!</v>
      </c>
      <c r="R312" s="19" t="str">
        <f>TEXT(Planning[[#This Row],[Mes]]*29,"mmmm")</f>
        <v>October</v>
      </c>
      <c r="S3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2" s="241"/>
      <c r="U312" s="43">
        <f>IF(Planning[[#This Row],[Horas Planificadas]]&lt;&gt;0,+K312/Planning[[#This Row],[Horas Planificadas]],0)</f>
        <v>0</v>
      </c>
      <c r="V312" s="43">
        <f>IF(Planning[[#This Row],[Horas Planificadas]]&lt;&gt;0,Planning[[#This Row],[Horas utilizadas]]/Planning[[#This Row],[Horas Planificadas]],0)</f>
        <v>0</v>
      </c>
      <c r="W312" s="44">
        <f>Planning[[#This Row],[Horas Planificadas]]+Planning[[#This Row],[Horas ajustadas adicionales]]</f>
        <v>0</v>
      </c>
      <c r="X312" s="142"/>
    </row>
    <row r="313" spans="1:24" ht="12.75" customHeight="1" x14ac:dyDescent="0.2">
      <c r="A313" s="7"/>
      <c r="B313" s="7"/>
      <c r="C313" s="3"/>
      <c r="D313" s="3" t="s">
        <v>108</v>
      </c>
      <c r="E313" s="33" t="s">
        <v>31</v>
      </c>
      <c r="F313" s="3"/>
      <c r="G313" s="7"/>
      <c r="H313" s="7">
        <v>16</v>
      </c>
      <c r="I313" s="12"/>
      <c r="J313" s="5" t="e">
        <f>+SUMIFS(#REF!,#REF!,Planning[[#This Row],[Tarifa]],#REF!,Planning[[#This Row],[Proyectos]])</f>
        <v>#REF!</v>
      </c>
      <c r="K313" s="5" t="e">
        <f>Planning[[#This Row],[Horas Planificadas]]+Planning[[#This Row],[Horas ajustadas adicionales]]-Planning[[#This Row],[Horas utilizadas]]</f>
        <v>#REF!</v>
      </c>
      <c r="L313" s="7"/>
      <c r="M313" s="19" t="e">
        <f>Planning[[#This Row],[Saldo]]-Planning[[#This Row],[Saldo estimado]]</f>
        <v>#REF!</v>
      </c>
      <c r="N313" s="60" t="e">
        <f>SUM(SUMIFS(#REF!,#REF!,Planning[[#This Row],[Proyectos]],#REF!,Planning[[#This Row],[Tipo de Tarea y especialidad]]),SUMIFS(#REF!,#REF!,Planning[[#This Row],[Proyectos]],#REF!,Planning[[#This Row],[Tipo de Tarea y especialidad]]))</f>
        <v>#REF!</v>
      </c>
      <c r="O313" s="19">
        <f t="shared" si="8"/>
        <v>10</v>
      </c>
      <c r="P313" s="19">
        <f t="shared" si="9"/>
        <v>2024</v>
      </c>
      <c r="Q313" s="19" t="e">
        <f>+SUMIFS(#REF!,#REF!,Planning[[#This Row],[Tarifa]],#REF!,Planning[[#This Row],[Proyectos]],#REF!,Planning[[#This Row],[Mes]],#REF!,Planning[[#This Row],[Año]])</f>
        <v>#REF!</v>
      </c>
      <c r="R313" s="19" t="str">
        <f>TEXT(Planning[[#This Row],[Mes]]*29,"mmmm")</f>
        <v>October</v>
      </c>
      <c r="S3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3" s="241"/>
      <c r="U313" s="43" t="e">
        <f>IF(Planning[[#This Row],[Horas Planificadas]]&lt;&gt;0,+K313/Planning[[#This Row],[Horas Planificadas]],0)</f>
        <v>#REF!</v>
      </c>
      <c r="V313" s="43" t="e">
        <f>IF(Planning[[#This Row],[Horas Planificadas]]&lt;&gt;0,Planning[[#This Row],[Horas utilizadas]]/Planning[[#This Row],[Horas Planificadas]],0)</f>
        <v>#REF!</v>
      </c>
      <c r="W313" s="44">
        <f>Planning[[#This Row],[Horas Planificadas]]+Planning[[#This Row],[Horas ajustadas adicionales]]</f>
        <v>16</v>
      </c>
      <c r="X313" s="142"/>
    </row>
    <row r="314" spans="1:24" ht="12.75" customHeight="1" x14ac:dyDescent="0.2">
      <c r="A314" s="7"/>
      <c r="B314" s="7"/>
      <c r="C314" s="3"/>
      <c r="D314" s="3" t="s">
        <v>108</v>
      </c>
      <c r="E314" s="33" t="s">
        <v>32</v>
      </c>
      <c r="F314" s="3"/>
      <c r="G314" s="7"/>
      <c r="H314" s="7">
        <v>80</v>
      </c>
      <c r="I314" s="12"/>
      <c r="J314" s="5" t="e">
        <f>+SUMIFS(#REF!,#REF!,Planning[[#This Row],[Tarifa]],#REF!,Planning[[#This Row],[Proyectos]])</f>
        <v>#REF!</v>
      </c>
      <c r="K314" s="5" t="e">
        <f>Planning[[#This Row],[Horas Planificadas]]+Planning[[#This Row],[Horas ajustadas adicionales]]-Planning[[#This Row],[Horas utilizadas]]</f>
        <v>#REF!</v>
      </c>
      <c r="L314" s="7"/>
      <c r="M314" s="19" t="e">
        <f>Planning[[#This Row],[Saldo]]-Planning[[#This Row],[Saldo estimado]]</f>
        <v>#REF!</v>
      </c>
      <c r="N314" s="60" t="e">
        <f>SUM(SUMIFS(#REF!,#REF!,Planning[[#This Row],[Proyectos]],#REF!,Planning[[#This Row],[Tipo de Tarea y especialidad]]),SUMIFS(#REF!,#REF!,Planning[[#This Row],[Proyectos]],#REF!,Planning[[#This Row],[Tipo de Tarea y especialidad]]))</f>
        <v>#REF!</v>
      </c>
      <c r="O314" s="19">
        <f t="shared" si="8"/>
        <v>10</v>
      </c>
      <c r="P314" s="19">
        <f t="shared" si="9"/>
        <v>2024</v>
      </c>
      <c r="Q314" s="19" t="e">
        <f>+SUMIFS(#REF!,#REF!,Planning[[#This Row],[Tarifa]],#REF!,Planning[[#This Row],[Proyectos]],#REF!,Planning[[#This Row],[Mes]],#REF!,Planning[[#This Row],[Año]])</f>
        <v>#REF!</v>
      </c>
      <c r="R314" s="19" t="str">
        <f>TEXT(Planning[[#This Row],[Mes]]*29,"mmmm")</f>
        <v>October</v>
      </c>
      <c r="S3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4" s="241"/>
      <c r="U314" s="43" t="e">
        <f>IF(Planning[[#This Row],[Horas Planificadas]]&lt;&gt;0,+K314/Planning[[#This Row],[Horas Planificadas]],0)</f>
        <v>#REF!</v>
      </c>
      <c r="V314" s="43" t="e">
        <f>IF(Planning[[#This Row],[Horas Planificadas]]&lt;&gt;0,Planning[[#This Row],[Horas utilizadas]]/Planning[[#This Row],[Horas Planificadas]],0)</f>
        <v>#REF!</v>
      </c>
      <c r="W314" s="44">
        <f>Planning[[#This Row],[Horas Planificadas]]+Planning[[#This Row],[Horas ajustadas adicionales]]</f>
        <v>80</v>
      </c>
      <c r="X314" s="142"/>
    </row>
    <row r="315" spans="1:24" ht="12.75" customHeight="1" x14ac:dyDescent="0.2">
      <c r="A315" s="7"/>
      <c r="B315" s="7"/>
      <c r="C315" s="3"/>
      <c r="D315" s="3" t="s">
        <v>109</v>
      </c>
      <c r="E315" s="33" t="s">
        <v>28</v>
      </c>
      <c r="F315" s="3"/>
      <c r="G315" s="7"/>
      <c r="H315" s="7">
        <v>24</v>
      </c>
      <c r="I315" s="12"/>
      <c r="J315" s="5" t="e">
        <f>+SUMIFS(#REF!,#REF!,Planning[[#This Row],[Tarifa]],#REF!,Planning[[#This Row],[Proyectos]])</f>
        <v>#REF!</v>
      </c>
      <c r="K315" s="5" t="e">
        <f>Planning[[#This Row],[Horas Planificadas]]+Planning[[#This Row],[Horas ajustadas adicionales]]-Planning[[#This Row],[Horas utilizadas]]</f>
        <v>#REF!</v>
      </c>
      <c r="L315" s="7"/>
      <c r="M315" s="19" t="e">
        <f>Planning[[#This Row],[Saldo]]-Planning[[#This Row],[Saldo estimado]]</f>
        <v>#REF!</v>
      </c>
      <c r="N315" s="60" t="e">
        <f>SUM(SUMIFS(#REF!,#REF!,Planning[[#This Row],[Proyectos]],#REF!,Planning[[#This Row],[Tipo de Tarea y especialidad]]),SUMIFS(#REF!,#REF!,Planning[[#This Row],[Proyectos]],#REF!,Planning[[#This Row],[Tipo de Tarea y especialidad]]))</f>
        <v>#REF!</v>
      </c>
      <c r="O315" s="19">
        <f t="shared" si="8"/>
        <v>10</v>
      </c>
      <c r="P315" s="19">
        <f t="shared" si="9"/>
        <v>2024</v>
      </c>
      <c r="Q315" s="19" t="e">
        <f>+SUMIFS(#REF!,#REF!,Planning[[#This Row],[Tarifa]],#REF!,Planning[[#This Row],[Proyectos]],#REF!,Planning[[#This Row],[Mes]],#REF!,Planning[[#This Row],[Año]])</f>
        <v>#REF!</v>
      </c>
      <c r="R315" s="19" t="str">
        <f>TEXT(Planning[[#This Row],[Mes]]*29,"mmmm")</f>
        <v>October</v>
      </c>
      <c r="S3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5" s="241"/>
      <c r="U315" s="43" t="e">
        <f>IF(Planning[[#This Row],[Horas Planificadas]]&lt;&gt;0,+K315/Planning[[#This Row],[Horas Planificadas]],0)</f>
        <v>#REF!</v>
      </c>
      <c r="V315" s="43" t="e">
        <f>IF(Planning[[#This Row],[Horas Planificadas]]&lt;&gt;0,Planning[[#This Row],[Horas utilizadas]]/Planning[[#This Row],[Horas Planificadas]],0)</f>
        <v>#REF!</v>
      </c>
      <c r="W315" s="44">
        <f>Planning[[#This Row],[Horas Planificadas]]+Planning[[#This Row],[Horas ajustadas adicionales]]</f>
        <v>24</v>
      </c>
      <c r="X315" s="142"/>
    </row>
    <row r="316" spans="1:24" ht="12.75" customHeight="1" x14ac:dyDescent="0.2">
      <c r="A316" s="7"/>
      <c r="B316" s="7"/>
      <c r="C316" s="3"/>
      <c r="D316" s="3" t="s">
        <v>109</v>
      </c>
      <c r="E316" s="33" t="s">
        <v>30</v>
      </c>
      <c r="F316" s="3"/>
      <c r="G316" s="7"/>
      <c r="H316" s="7">
        <v>30</v>
      </c>
      <c r="I316" s="12"/>
      <c r="J316" s="5" t="e">
        <f>+SUMIFS(#REF!,#REF!,Planning[[#This Row],[Tarifa]],#REF!,Planning[[#This Row],[Proyectos]])</f>
        <v>#REF!</v>
      </c>
      <c r="K316" s="5" t="e">
        <f>Planning[[#This Row],[Horas Planificadas]]+Planning[[#This Row],[Horas ajustadas adicionales]]-Planning[[#This Row],[Horas utilizadas]]</f>
        <v>#REF!</v>
      </c>
      <c r="L316" s="7"/>
      <c r="M316" s="19" t="e">
        <f>Planning[[#This Row],[Saldo]]-Planning[[#This Row],[Saldo estimado]]</f>
        <v>#REF!</v>
      </c>
      <c r="N316" s="60" t="e">
        <f>SUM(SUMIFS(#REF!,#REF!,Planning[[#This Row],[Proyectos]],#REF!,Planning[[#This Row],[Tipo de Tarea y especialidad]]),SUMIFS(#REF!,#REF!,Planning[[#This Row],[Proyectos]],#REF!,Planning[[#This Row],[Tipo de Tarea y especialidad]]))</f>
        <v>#REF!</v>
      </c>
      <c r="O316" s="19">
        <f t="shared" si="8"/>
        <v>10</v>
      </c>
      <c r="P316" s="19">
        <f t="shared" si="9"/>
        <v>2024</v>
      </c>
      <c r="Q316" s="19" t="e">
        <f>+SUMIFS(#REF!,#REF!,Planning[[#This Row],[Tarifa]],#REF!,Planning[[#This Row],[Proyectos]],#REF!,Planning[[#This Row],[Mes]],#REF!,Planning[[#This Row],[Año]])</f>
        <v>#REF!</v>
      </c>
      <c r="R316" s="19" t="str">
        <f>TEXT(Planning[[#This Row],[Mes]]*29,"mmmm")</f>
        <v>October</v>
      </c>
      <c r="S3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6" s="241"/>
      <c r="U316" s="43" t="e">
        <f>IF(Planning[[#This Row],[Horas Planificadas]]&lt;&gt;0,+K316/Planning[[#This Row],[Horas Planificadas]],0)</f>
        <v>#REF!</v>
      </c>
      <c r="V316" s="43" t="e">
        <f>IF(Planning[[#This Row],[Horas Planificadas]]&lt;&gt;0,Planning[[#This Row],[Horas utilizadas]]/Planning[[#This Row],[Horas Planificadas]],0)</f>
        <v>#REF!</v>
      </c>
      <c r="W316" s="44">
        <f>Planning[[#This Row],[Horas Planificadas]]+Planning[[#This Row],[Horas ajustadas adicionales]]</f>
        <v>30</v>
      </c>
      <c r="X316" s="142"/>
    </row>
    <row r="317" spans="1:24" ht="12.75" customHeight="1" x14ac:dyDescent="0.2">
      <c r="A317" s="7"/>
      <c r="B317" s="7"/>
      <c r="C317" s="3"/>
      <c r="D317" s="3" t="s">
        <v>109</v>
      </c>
      <c r="E317" s="33" t="s">
        <v>31</v>
      </c>
      <c r="F317" s="3"/>
      <c r="G317" s="7"/>
      <c r="H317" s="7">
        <v>20</v>
      </c>
      <c r="I317" s="12"/>
      <c r="J317" s="5" t="e">
        <f>+SUMIFS(#REF!,#REF!,Planning[[#This Row],[Tarifa]],#REF!,Planning[[#This Row],[Proyectos]])</f>
        <v>#REF!</v>
      </c>
      <c r="K317" s="5" t="e">
        <f>Planning[[#This Row],[Horas Planificadas]]+Planning[[#This Row],[Horas ajustadas adicionales]]-Planning[[#This Row],[Horas utilizadas]]</f>
        <v>#REF!</v>
      </c>
      <c r="L317" s="7"/>
      <c r="M317" s="19" t="e">
        <f>Planning[[#This Row],[Saldo]]-Planning[[#This Row],[Saldo estimado]]</f>
        <v>#REF!</v>
      </c>
      <c r="N317" s="60" t="e">
        <f>SUM(SUMIFS(#REF!,#REF!,Planning[[#This Row],[Proyectos]],#REF!,Planning[[#This Row],[Tipo de Tarea y especialidad]]),SUMIFS(#REF!,#REF!,Planning[[#This Row],[Proyectos]],#REF!,Planning[[#This Row],[Tipo de Tarea y especialidad]]))</f>
        <v>#REF!</v>
      </c>
      <c r="O317" s="19">
        <f t="shared" si="8"/>
        <v>10</v>
      </c>
      <c r="P317" s="19">
        <f t="shared" si="9"/>
        <v>2024</v>
      </c>
      <c r="Q317" s="19" t="e">
        <f>+SUMIFS(#REF!,#REF!,Planning[[#This Row],[Tarifa]],#REF!,Planning[[#This Row],[Proyectos]],#REF!,Planning[[#This Row],[Mes]],#REF!,Planning[[#This Row],[Año]])</f>
        <v>#REF!</v>
      </c>
      <c r="R317" s="19" t="str">
        <f>TEXT(Planning[[#This Row],[Mes]]*29,"mmmm")</f>
        <v>October</v>
      </c>
      <c r="S3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7" s="241"/>
      <c r="U317" s="43" t="e">
        <f>IF(Planning[[#This Row],[Horas Planificadas]]&lt;&gt;0,+K317/Planning[[#This Row],[Horas Planificadas]],0)</f>
        <v>#REF!</v>
      </c>
      <c r="V317" s="43" t="e">
        <f>IF(Planning[[#This Row],[Horas Planificadas]]&lt;&gt;0,Planning[[#This Row],[Horas utilizadas]]/Planning[[#This Row],[Horas Planificadas]],0)</f>
        <v>#REF!</v>
      </c>
      <c r="W317" s="44">
        <f>Planning[[#This Row],[Horas Planificadas]]+Planning[[#This Row],[Horas ajustadas adicionales]]</f>
        <v>20</v>
      </c>
      <c r="X317" s="142"/>
    </row>
    <row r="318" spans="1:24" ht="12.75" customHeight="1" x14ac:dyDescent="0.2">
      <c r="A318" s="7"/>
      <c r="B318" s="7"/>
      <c r="C318" s="3"/>
      <c r="D318" s="3" t="s">
        <v>109</v>
      </c>
      <c r="E318" s="33" t="s">
        <v>32</v>
      </c>
      <c r="F318" s="3"/>
      <c r="G318" s="7"/>
      <c r="H318" s="7">
        <v>34</v>
      </c>
      <c r="I318" s="12"/>
      <c r="J318" s="5" t="e">
        <f>+SUMIFS(#REF!,#REF!,Planning[[#This Row],[Tarifa]],#REF!,Planning[[#This Row],[Proyectos]])</f>
        <v>#REF!</v>
      </c>
      <c r="K318" s="5" t="e">
        <f>Planning[[#This Row],[Horas Planificadas]]+Planning[[#This Row],[Horas ajustadas adicionales]]-Planning[[#This Row],[Horas utilizadas]]</f>
        <v>#REF!</v>
      </c>
      <c r="L318" s="7"/>
      <c r="M318" s="19" t="e">
        <f>Planning[[#This Row],[Saldo]]-Planning[[#This Row],[Saldo estimado]]</f>
        <v>#REF!</v>
      </c>
      <c r="N318" s="60" t="e">
        <f>SUM(SUMIFS(#REF!,#REF!,Planning[[#This Row],[Proyectos]],#REF!,Planning[[#This Row],[Tipo de Tarea y especialidad]]),SUMIFS(#REF!,#REF!,Planning[[#This Row],[Proyectos]],#REF!,Planning[[#This Row],[Tipo de Tarea y especialidad]]))</f>
        <v>#REF!</v>
      </c>
      <c r="O318" s="19">
        <f t="shared" si="8"/>
        <v>10</v>
      </c>
      <c r="P318" s="19">
        <f t="shared" si="9"/>
        <v>2024</v>
      </c>
      <c r="Q318" s="19" t="e">
        <f>+SUMIFS(#REF!,#REF!,Planning[[#This Row],[Tarifa]],#REF!,Planning[[#This Row],[Proyectos]],#REF!,Planning[[#This Row],[Mes]],#REF!,Planning[[#This Row],[Año]])</f>
        <v>#REF!</v>
      </c>
      <c r="R318" s="19" t="str">
        <f>TEXT(Planning[[#This Row],[Mes]]*29,"mmmm")</f>
        <v>October</v>
      </c>
      <c r="S3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8" s="241"/>
      <c r="U318" s="43" t="e">
        <f>IF(Planning[[#This Row],[Horas Planificadas]]&lt;&gt;0,+K318/Planning[[#This Row],[Horas Planificadas]],0)</f>
        <v>#REF!</v>
      </c>
      <c r="V318" s="43" t="e">
        <f>IF(Planning[[#This Row],[Horas Planificadas]]&lt;&gt;0,Planning[[#This Row],[Horas utilizadas]]/Planning[[#This Row],[Horas Planificadas]],0)</f>
        <v>#REF!</v>
      </c>
      <c r="W318" s="44">
        <f>Planning[[#This Row],[Horas Planificadas]]+Planning[[#This Row],[Horas ajustadas adicionales]]</f>
        <v>34</v>
      </c>
      <c r="X318" s="142"/>
    </row>
    <row r="319" spans="1:24" ht="12.75" customHeight="1" x14ac:dyDescent="0.2">
      <c r="A319" s="7"/>
      <c r="B319" s="7"/>
      <c r="C319" s="3"/>
      <c r="D319" s="3" t="s">
        <v>110</v>
      </c>
      <c r="E319" s="33" t="s">
        <v>28</v>
      </c>
      <c r="F319" s="3"/>
      <c r="G319" s="7"/>
      <c r="H319" s="7">
        <v>160</v>
      </c>
      <c r="I319" s="12"/>
      <c r="J319" s="5" t="e">
        <f>+SUMIFS(#REF!,#REF!,Planning[[#This Row],[Tarifa]],#REF!,Planning[[#This Row],[Proyectos]])</f>
        <v>#REF!</v>
      </c>
      <c r="K319" s="5" t="e">
        <f>Planning[[#This Row],[Horas Planificadas]]+Planning[[#This Row],[Horas ajustadas adicionales]]-Planning[[#This Row],[Horas utilizadas]]</f>
        <v>#REF!</v>
      </c>
      <c r="L319" s="7"/>
      <c r="M319" s="19" t="e">
        <f>Planning[[#This Row],[Saldo]]-Planning[[#This Row],[Saldo estimado]]</f>
        <v>#REF!</v>
      </c>
      <c r="N319" s="60" t="e">
        <f>SUM(SUMIFS(#REF!,#REF!,Planning[[#This Row],[Proyectos]],#REF!,Planning[[#This Row],[Tipo de Tarea y especialidad]]),SUMIFS(#REF!,#REF!,Planning[[#This Row],[Proyectos]],#REF!,Planning[[#This Row],[Tipo de Tarea y especialidad]]))</f>
        <v>#REF!</v>
      </c>
      <c r="O319" s="19">
        <f t="shared" si="8"/>
        <v>10</v>
      </c>
      <c r="P319" s="19">
        <f t="shared" si="9"/>
        <v>2024</v>
      </c>
      <c r="Q319" s="19" t="e">
        <f>+SUMIFS(#REF!,#REF!,Planning[[#This Row],[Tarifa]],#REF!,Planning[[#This Row],[Proyectos]],#REF!,Planning[[#This Row],[Mes]],#REF!,Planning[[#This Row],[Año]])</f>
        <v>#REF!</v>
      </c>
      <c r="R319" s="19" t="str">
        <f>TEXT(Planning[[#This Row],[Mes]]*29,"mmmm")</f>
        <v>October</v>
      </c>
      <c r="S3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9" s="241"/>
      <c r="U319" s="43" t="e">
        <f>IF(Planning[[#This Row],[Horas Planificadas]]&lt;&gt;0,+K319/Planning[[#This Row],[Horas Planificadas]],0)</f>
        <v>#REF!</v>
      </c>
      <c r="V319" s="43" t="e">
        <f>IF(Planning[[#This Row],[Horas Planificadas]]&lt;&gt;0,Planning[[#This Row],[Horas utilizadas]]/Planning[[#This Row],[Horas Planificadas]],0)</f>
        <v>#REF!</v>
      </c>
      <c r="W319" s="44">
        <f>Planning[[#This Row],[Horas Planificadas]]+Planning[[#This Row],[Horas ajustadas adicionales]]</f>
        <v>160</v>
      </c>
      <c r="X319" s="142"/>
    </row>
    <row r="320" spans="1:24" ht="12.75" customHeight="1" x14ac:dyDescent="0.2">
      <c r="A320" s="7"/>
      <c r="B320" s="7"/>
      <c r="C320" s="3"/>
      <c r="D320" s="3" t="s">
        <v>110</v>
      </c>
      <c r="E320" s="33" t="s">
        <v>30</v>
      </c>
      <c r="F320" s="3"/>
      <c r="G320" s="7"/>
      <c r="H320" s="7">
        <v>240</v>
      </c>
      <c r="I320" s="12"/>
      <c r="J320" s="5" t="e">
        <f>+SUMIFS(#REF!,#REF!,Planning[[#This Row],[Tarifa]],#REF!,Planning[[#This Row],[Proyectos]])</f>
        <v>#REF!</v>
      </c>
      <c r="K320" s="5" t="e">
        <f>Planning[[#This Row],[Horas Planificadas]]+Planning[[#This Row],[Horas ajustadas adicionales]]-Planning[[#This Row],[Horas utilizadas]]</f>
        <v>#REF!</v>
      </c>
      <c r="L320" s="7"/>
      <c r="M320" s="19" t="e">
        <f>Planning[[#This Row],[Saldo]]-Planning[[#This Row],[Saldo estimado]]</f>
        <v>#REF!</v>
      </c>
      <c r="N320" s="60" t="e">
        <f>SUM(SUMIFS(#REF!,#REF!,Planning[[#This Row],[Proyectos]],#REF!,Planning[[#This Row],[Tipo de Tarea y especialidad]]),SUMIFS(#REF!,#REF!,Planning[[#This Row],[Proyectos]],#REF!,Planning[[#This Row],[Tipo de Tarea y especialidad]]))</f>
        <v>#REF!</v>
      </c>
      <c r="O320" s="19">
        <f t="shared" si="8"/>
        <v>10</v>
      </c>
      <c r="P320" s="19">
        <f t="shared" si="9"/>
        <v>2024</v>
      </c>
      <c r="Q320" s="19" t="e">
        <f>+SUMIFS(#REF!,#REF!,Planning[[#This Row],[Tarifa]],#REF!,Planning[[#This Row],[Proyectos]],#REF!,Planning[[#This Row],[Mes]],#REF!,Planning[[#This Row],[Año]])</f>
        <v>#REF!</v>
      </c>
      <c r="R320" s="19" t="str">
        <f>TEXT(Planning[[#This Row],[Mes]]*29,"mmmm")</f>
        <v>October</v>
      </c>
      <c r="S3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0" s="241"/>
      <c r="U320" s="43" t="e">
        <f>IF(Planning[[#This Row],[Horas Planificadas]]&lt;&gt;0,+K320/Planning[[#This Row],[Horas Planificadas]],0)</f>
        <v>#REF!</v>
      </c>
      <c r="V320" s="43" t="e">
        <f>IF(Planning[[#This Row],[Horas Planificadas]]&lt;&gt;0,Planning[[#This Row],[Horas utilizadas]]/Planning[[#This Row],[Horas Planificadas]],0)</f>
        <v>#REF!</v>
      </c>
      <c r="W320" s="44">
        <f>Planning[[#This Row],[Horas Planificadas]]+Planning[[#This Row],[Horas ajustadas adicionales]]</f>
        <v>240</v>
      </c>
      <c r="X320" s="142"/>
    </row>
    <row r="321" spans="1:24" ht="12.75" customHeight="1" x14ac:dyDescent="0.2">
      <c r="A321" s="7"/>
      <c r="B321" s="7"/>
      <c r="C321" s="3"/>
      <c r="D321" s="3" t="s">
        <v>110</v>
      </c>
      <c r="E321" s="33" t="s">
        <v>31</v>
      </c>
      <c r="F321" s="3"/>
      <c r="G321" s="7"/>
      <c r="H321" s="7">
        <v>200</v>
      </c>
      <c r="I321" s="12"/>
      <c r="J321" s="5" t="e">
        <f>+SUMIFS(#REF!,#REF!,Planning[[#This Row],[Tarifa]],#REF!,Planning[[#This Row],[Proyectos]])</f>
        <v>#REF!</v>
      </c>
      <c r="K321" s="5" t="e">
        <f>Planning[[#This Row],[Horas Planificadas]]+Planning[[#This Row],[Horas ajustadas adicionales]]-Planning[[#This Row],[Horas utilizadas]]</f>
        <v>#REF!</v>
      </c>
      <c r="L321" s="7"/>
      <c r="M321" s="19" t="e">
        <f>Planning[[#This Row],[Saldo]]-Planning[[#This Row],[Saldo estimado]]</f>
        <v>#REF!</v>
      </c>
      <c r="N321" s="60" t="e">
        <f>SUM(SUMIFS(#REF!,#REF!,Planning[[#This Row],[Proyectos]],#REF!,Planning[[#This Row],[Tipo de Tarea y especialidad]]),SUMIFS(#REF!,#REF!,Planning[[#This Row],[Proyectos]],#REF!,Planning[[#This Row],[Tipo de Tarea y especialidad]]))</f>
        <v>#REF!</v>
      </c>
      <c r="O321" s="19">
        <f t="shared" si="8"/>
        <v>10</v>
      </c>
      <c r="P321" s="19">
        <f t="shared" si="9"/>
        <v>2024</v>
      </c>
      <c r="Q321" s="19" t="e">
        <f>+SUMIFS(#REF!,#REF!,Planning[[#This Row],[Tarifa]],#REF!,Planning[[#This Row],[Proyectos]],#REF!,Planning[[#This Row],[Mes]],#REF!,Planning[[#This Row],[Año]])</f>
        <v>#REF!</v>
      </c>
      <c r="R321" s="19" t="str">
        <f>TEXT(Planning[[#This Row],[Mes]]*29,"mmmm")</f>
        <v>October</v>
      </c>
      <c r="S3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1" s="241"/>
      <c r="U321" s="43" t="e">
        <f>IF(Planning[[#This Row],[Horas Planificadas]]&lt;&gt;0,+K321/Planning[[#This Row],[Horas Planificadas]],0)</f>
        <v>#REF!</v>
      </c>
      <c r="V321" s="43" t="e">
        <f>IF(Planning[[#This Row],[Horas Planificadas]]&lt;&gt;0,Planning[[#This Row],[Horas utilizadas]]/Planning[[#This Row],[Horas Planificadas]],0)</f>
        <v>#REF!</v>
      </c>
      <c r="W321" s="44">
        <f>Planning[[#This Row],[Horas Planificadas]]+Planning[[#This Row],[Horas ajustadas adicionales]]</f>
        <v>200</v>
      </c>
      <c r="X321" s="142"/>
    </row>
    <row r="322" spans="1:24" ht="12.75" customHeight="1" x14ac:dyDescent="0.2">
      <c r="A322" s="7"/>
      <c r="B322" s="7"/>
      <c r="C322" s="3"/>
      <c r="D322" s="3" t="s">
        <v>110</v>
      </c>
      <c r="E322" s="33" t="s">
        <v>32</v>
      </c>
      <c r="F322" s="3"/>
      <c r="G322" s="7"/>
      <c r="H322" s="7">
        <v>0</v>
      </c>
      <c r="I322" s="12"/>
      <c r="J322" s="5" t="e">
        <f>+SUMIFS(#REF!,#REF!,Planning[[#This Row],[Tarifa]],#REF!,Planning[[#This Row],[Proyectos]])</f>
        <v>#REF!</v>
      </c>
      <c r="K322" s="5" t="e">
        <f>Planning[[#This Row],[Horas Planificadas]]+Planning[[#This Row],[Horas ajustadas adicionales]]-Planning[[#This Row],[Horas utilizadas]]</f>
        <v>#REF!</v>
      </c>
      <c r="L322" s="7"/>
      <c r="M322" s="19" t="e">
        <f>Planning[[#This Row],[Saldo]]-Planning[[#This Row],[Saldo estimado]]</f>
        <v>#REF!</v>
      </c>
      <c r="N322" s="60" t="e">
        <f>SUM(SUMIFS(#REF!,#REF!,Planning[[#This Row],[Proyectos]],#REF!,Planning[[#This Row],[Tipo de Tarea y especialidad]]),SUMIFS(#REF!,#REF!,Planning[[#This Row],[Proyectos]],#REF!,Planning[[#This Row],[Tipo de Tarea y especialidad]]))</f>
        <v>#REF!</v>
      </c>
      <c r="O322" s="19">
        <f t="shared" si="8"/>
        <v>10</v>
      </c>
      <c r="P322" s="19">
        <f t="shared" si="9"/>
        <v>2024</v>
      </c>
      <c r="Q322" s="19" t="e">
        <f>+SUMIFS(#REF!,#REF!,Planning[[#This Row],[Tarifa]],#REF!,Planning[[#This Row],[Proyectos]],#REF!,Planning[[#This Row],[Mes]],#REF!,Planning[[#This Row],[Año]])</f>
        <v>#REF!</v>
      </c>
      <c r="R322" s="19" t="str">
        <f>TEXT(Planning[[#This Row],[Mes]]*29,"mmmm")</f>
        <v>October</v>
      </c>
      <c r="S3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2" s="241"/>
      <c r="U322" s="43">
        <f>IF(Planning[[#This Row],[Horas Planificadas]]&lt;&gt;0,+K322/Planning[[#This Row],[Horas Planificadas]],0)</f>
        <v>0</v>
      </c>
      <c r="V322" s="43">
        <f>IF(Planning[[#This Row],[Horas Planificadas]]&lt;&gt;0,Planning[[#This Row],[Horas utilizadas]]/Planning[[#This Row],[Horas Planificadas]],0)</f>
        <v>0</v>
      </c>
      <c r="W322" s="44">
        <f>Planning[[#This Row],[Horas Planificadas]]+Planning[[#This Row],[Horas ajustadas adicionales]]</f>
        <v>0</v>
      </c>
      <c r="X322" s="142"/>
    </row>
    <row r="323" spans="1:24" ht="12.75" customHeight="1" x14ac:dyDescent="0.2">
      <c r="A323" s="7"/>
      <c r="B323" s="7"/>
      <c r="C323" s="3"/>
      <c r="D323" s="3" t="s">
        <v>111</v>
      </c>
      <c r="E323" s="33" t="s">
        <v>28</v>
      </c>
      <c r="F323" s="3"/>
      <c r="G323" s="7"/>
      <c r="H323" s="7">
        <v>80</v>
      </c>
      <c r="I323" s="12"/>
      <c r="J323" s="5" t="e">
        <f>+SUMIFS(#REF!,#REF!,Planning[[#This Row],[Tarifa]],#REF!,Planning[[#This Row],[Proyectos]])</f>
        <v>#REF!</v>
      </c>
      <c r="K323" s="5" t="e">
        <f>Planning[[#This Row],[Horas Planificadas]]+Planning[[#This Row],[Horas ajustadas adicionales]]-Planning[[#This Row],[Horas utilizadas]]</f>
        <v>#REF!</v>
      </c>
      <c r="L323" s="7"/>
      <c r="M323" s="19" t="e">
        <f>Planning[[#This Row],[Saldo]]-Planning[[#This Row],[Saldo estimado]]</f>
        <v>#REF!</v>
      </c>
      <c r="N323" s="60" t="e">
        <f>SUM(SUMIFS(#REF!,#REF!,Planning[[#This Row],[Proyectos]],#REF!,Planning[[#This Row],[Tipo de Tarea y especialidad]]),SUMIFS(#REF!,#REF!,Planning[[#This Row],[Proyectos]],#REF!,Planning[[#This Row],[Tipo de Tarea y especialidad]]))</f>
        <v>#REF!</v>
      </c>
      <c r="O323" s="19">
        <f t="shared" si="8"/>
        <v>10</v>
      </c>
      <c r="P323" s="19">
        <f t="shared" si="9"/>
        <v>2024</v>
      </c>
      <c r="Q323" s="19" t="e">
        <f>+SUMIFS(#REF!,#REF!,Planning[[#This Row],[Tarifa]],#REF!,Planning[[#This Row],[Proyectos]],#REF!,Planning[[#This Row],[Mes]],#REF!,Planning[[#This Row],[Año]])</f>
        <v>#REF!</v>
      </c>
      <c r="R323" s="19" t="str">
        <f>TEXT(Planning[[#This Row],[Mes]]*29,"mmmm")</f>
        <v>October</v>
      </c>
      <c r="S3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3" s="241"/>
      <c r="U323" s="43" t="e">
        <f>IF(Planning[[#This Row],[Horas Planificadas]]&lt;&gt;0,+K323/Planning[[#This Row],[Horas Planificadas]],0)</f>
        <v>#REF!</v>
      </c>
      <c r="V323" s="43" t="e">
        <f>IF(Planning[[#This Row],[Horas Planificadas]]&lt;&gt;0,Planning[[#This Row],[Horas utilizadas]]/Planning[[#This Row],[Horas Planificadas]],0)</f>
        <v>#REF!</v>
      </c>
      <c r="W323" s="44">
        <f>Planning[[#This Row],[Horas Planificadas]]+Planning[[#This Row],[Horas ajustadas adicionales]]</f>
        <v>80</v>
      </c>
      <c r="X323" s="142"/>
    </row>
    <row r="324" spans="1:24" ht="12.75" customHeight="1" x14ac:dyDescent="0.2">
      <c r="A324" s="7"/>
      <c r="B324" s="7"/>
      <c r="C324" s="3"/>
      <c r="D324" s="3" t="s">
        <v>111</v>
      </c>
      <c r="E324" s="33" t="s">
        <v>30</v>
      </c>
      <c r="F324" s="3"/>
      <c r="G324" s="7"/>
      <c r="H324" s="7">
        <v>120</v>
      </c>
      <c r="I324" s="12"/>
      <c r="J324" s="5" t="e">
        <f>+SUMIFS(#REF!,#REF!,Planning[[#This Row],[Tarifa]],#REF!,Planning[[#This Row],[Proyectos]])</f>
        <v>#REF!</v>
      </c>
      <c r="K324" s="5" t="e">
        <f>Planning[[#This Row],[Horas Planificadas]]+Planning[[#This Row],[Horas ajustadas adicionales]]-Planning[[#This Row],[Horas utilizadas]]</f>
        <v>#REF!</v>
      </c>
      <c r="L324" s="7"/>
      <c r="M324" s="19" t="e">
        <f>Planning[[#This Row],[Saldo]]-Planning[[#This Row],[Saldo estimado]]</f>
        <v>#REF!</v>
      </c>
      <c r="N324" s="60" t="e">
        <f>SUM(SUMIFS(#REF!,#REF!,Planning[[#This Row],[Proyectos]],#REF!,Planning[[#This Row],[Tipo de Tarea y especialidad]]),SUMIFS(#REF!,#REF!,Planning[[#This Row],[Proyectos]],#REF!,Planning[[#This Row],[Tipo de Tarea y especialidad]]))</f>
        <v>#REF!</v>
      </c>
      <c r="O324" s="19">
        <f t="shared" si="8"/>
        <v>10</v>
      </c>
      <c r="P324" s="19">
        <f t="shared" si="9"/>
        <v>2024</v>
      </c>
      <c r="Q324" s="19" t="e">
        <f>+SUMIFS(#REF!,#REF!,Planning[[#This Row],[Tarifa]],#REF!,Planning[[#This Row],[Proyectos]],#REF!,Planning[[#This Row],[Mes]],#REF!,Planning[[#This Row],[Año]])</f>
        <v>#REF!</v>
      </c>
      <c r="R324" s="19" t="str">
        <f>TEXT(Planning[[#This Row],[Mes]]*29,"mmmm")</f>
        <v>October</v>
      </c>
      <c r="S3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4" s="241"/>
      <c r="U324" s="43" t="e">
        <f>IF(Planning[[#This Row],[Horas Planificadas]]&lt;&gt;0,+K324/Planning[[#This Row],[Horas Planificadas]],0)</f>
        <v>#REF!</v>
      </c>
      <c r="V324" s="43" t="e">
        <f>IF(Planning[[#This Row],[Horas Planificadas]]&lt;&gt;0,Planning[[#This Row],[Horas utilizadas]]/Planning[[#This Row],[Horas Planificadas]],0)</f>
        <v>#REF!</v>
      </c>
      <c r="W324" s="44">
        <f>Planning[[#This Row],[Horas Planificadas]]+Planning[[#This Row],[Horas ajustadas adicionales]]</f>
        <v>120</v>
      </c>
      <c r="X324" s="142"/>
    </row>
    <row r="325" spans="1:24" ht="12.75" customHeight="1" x14ac:dyDescent="0.2">
      <c r="A325" s="7"/>
      <c r="B325" s="7"/>
      <c r="C325" s="3"/>
      <c r="D325" s="3" t="s">
        <v>111</v>
      </c>
      <c r="E325" s="33" t="s">
        <v>31</v>
      </c>
      <c r="F325" s="3"/>
      <c r="G325" s="7"/>
      <c r="H325" s="7">
        <v>120</v>
      </c>
      <c r="I325" s="12"/>
      <c r="J325" s="5" t="e">
        <f>+SUMIFS(#REF!,#REF!,Planning[[#This Row],[Tarifa]],#REF!,Planning[[#This Row],[Proyectos]])</f>
        <v>#REF!</v>
      </c>
      <c r="K325" s="5" t="e">
        <f>Planning[[#This Row],[Horas Planificadas]]+Planning[[#This Row],[Horas ajustadas adicionales]]-Planning[[#This Row],[Horas utilizadas]]</f>
        <v>#REF!</v>
      </c>
      <c r="L325" s="7"/>
      <c r="M325" s="19" t="e">
        <f>Planning[[#This Row],[Saldo]]-Planning[[#This Row],[Saldo estimado]]</f>
        <v>#REF!</v>
      </c>
      <c r="N325" s="60" t="e">
        <f>SUM(SUMIFS(#REF!,#REF!,Planning[[#This Row],[Proyectos]],#REF!,Planning[[#This Row],[Tipo de Tarea y especialidad]]),SUMIFS(#REF!,#REF!,Planning[[#This Row],[Proyectos]],#REF!,Planning[[#This Row],[Tipo de Tarea y especialidad]]))</f>
        <v>#REF!</v>
      </c>
      <c r="O325" s="19">
        <f t="shared" si="8"/>
        <v>10</v>
      </c>
      <c r="P325" s="19">
        <f t="shared" si="9"/>
        <v>2024</v>
      </c>
      <c r="Q325" s="19" t="e">
        <f>+SUMIFS(#REF!,#REF!,Planning[[#This Row],[Tarifa]],#REF!,Planning[[#This Row],[Proyectos]],#REF!,Planning[[#This Row],[Mes]],#REF!,Planning[[#This Row],[Año]])</f>
        <v>#REF!</v>
      </c>
      <c r="R325" s="19" t="str">
        <f>TEXT(Planning[[#This Row],[Mes]]*29,"mmmm")</f>
        <v>October</v>
      </c>
      <c r="S3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5" s="241"/>
      <c r="U325" s="43" t="e">
        <f>IF(Planning[[#This Row],[Horas Planificadas]]&lt;&gt;0,+K325/Planning[[#This Row],[Horas Planificadas]],0)</f>
        <v>#REF!</v>
      </c>
      <c r="V325" s="43" t="e">
        <f>IF(Planning[[#This Row],[Horas Planificadas]]&lt;&gt;0,Planning[[#This Row],[Horas utilizadas]]/Planning[[#This Row],[Horas Planificadas]],0)</f>
        <v>#REF!</v>
      </c>
      <c r="W325" s="44">
        <f>Planning[[#This Row],[Horas Planificadas]]+Planning[[#This Row],[Horas ajustadas adicionales]]</f>
        <v>120</v>
      </c>
      <c r="X325" s="142"/>
    </row>
    <row r="326" spans="1:24" ht="12.75" customHeight="1" x14ac:dyDescent="0.2">
      <c r="A326" s="7"/>
      <c r="B326" s="7"/>
      <c r="C326" s="3"/>
      <c r="D326" s="3" t="s">
        <v>111</v>
      </c>
      <c r="E326" s="33" t="s">
        <v>32</v>
      </c>
      <c r="F326" s="3"/>
      <c r="G326" s="7"/>
      <c r="H326" s="7">
        <v>40</v>
      </c>
      <c r="I326" s="12"/>
      <c r="J326" s="5" t="e">
        <f>+SUMIFS(#REF!,#REF!,Planning[[#This Row],[Tarifa]],#REF!,Planning[[#This Row],[Proyectos]])</f>
        <v>#REF!</v>
      </c>
      <c r="K326" s="5" t="e">
        <f>Planning[[#This Row],[Horas Planificadas]]+Planning[[#This Row],[Horas ajustadas adicionales]]-Planning[[#This Row],[Horas utilizadas]]</f>
        <v>#REF!</v>
      </c>
      <c r="L326" s="7"/>
      <c r="M326" s="19" t="e">
        <f>Planning[[#This Row],[Saldo]]-Planning[[#This Row],[Saldo estimado]]</f>
        <v>#REF!</v>
      </c>
      <c r="N326" s="60" t="e">
        <f>SUM(SUMIFS(#REF!,#REF!,Planning[[#This Row],[Proyectos]],#REF!,Planning[[#This Row],[Tipo de Tarea y especialidad]]),SUMIFS(#REF!,#REF!,Planning[[#This Row],[Proyectos]],#REF!,Planning[[#This Row],[Tipo de Tarea y especialidad]]))</f>
        <v>#REF!</v>
      </c>
      <c r="O326" s="19">
        <f t="shared" si="8"/>
        <v>10</v>
      </c>
      <c r="P326" s="19">
        <f t="shared" si="9"/>
        <v>2024</v>
      </c>
      <c r="Q326" s="19" t="e">
        <f>+SUMIFS(#REF!,#REF!,Planning[[#This Row],[Tarifa]],#REF!,Planning[[#This Row],[Proyectos]],#REF!,Planning[[#This Row],[Mes]],#REF!,Planning[[#This Row],[Año]])</f>
        <v>#REF!</v>
      </c>
      <c r="R326" s="19" t="str">
        <f>TEXT(Planning[[#This Row],[Mes]]*29,"mmmm")</f>
        <v>October</v>
      </c>
      <c r="S3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6" s="241"/>
      <c r="U326" s="43" t="e">
        <f>IF(Planning[[#This Row],[Horas Planificadas]]&lt;&gt;0,+K326/Planning[[#This Row],[Horas Planificadas]],0)</f>
        <v>#REF!</v>
      </c>
      <c r="V326" s="43" t="e">
        <f>IF(Planning[[#This Row],[Horas Planificadas]]&lt;&gt;0,Planning[[#This Row],[Horas utilizadas]]/Planning[[#This Row],[Horas Planificadas]],0)</f>
        <v>#REF!</v>
      </c>
      <c r="W326" s="44">
        <f>Planning[[#This Row],[Horas Planificadas]]+Planning[[#This Row],[Horas ajustadas adicionales]]</f>
        <v>40</v>
      </c>
      <c r="X326" s="142"/>
    </row>
    <row r="327" spans="1:24" ht="12.75" customHeight="1" x14ac:dyDescent="0.2">
      <c r="A327" s="7"/>
      <c r="B327" s="7"/>
      <c r="C327" s="3"/>
      <c r="D327" s="3" t="s">
        <v>112</v>
      </c>
      <c r="E327" s="33" t="s">
        <v>28</v>
      </c>
      <c r="F327" s="3"/>
      <c r="G327" s="7"/>
      <c r="H327" s="7">
        <v>155</v>
      </c>
      <c r="I327" s="12"/>
      <c r="J327" s="5" t="e">
        <f>+SUMIFS(#REF!,#REF!,Planning[[#This Row],[Tarifa]],#REF!,Planning[[#This Row],[Proyectos]])</f>
        <v>#REF!</v>
      </c>
      <c r="K327" s="5" t="e">
        <f>Planning[[#This Row],[Horas Planificadas]]+Planning[[#This Row],[Horas ajustadas adicionales]]-Planning[[#This Row],[Horas utilizadas]]</f>
        <v>#REF!</v>
      </c>
      <c r="L327" s="7"/>
      <c r="M327" s="19" t="e">
        <f>Planning[[#This Row],[Saldo]]-Planning[[#This Row],[Saldo estimado]]</f>
        <v>#REF!</v>
      </c>
      <c r="N327" s="60" t="e">
        <f>SUM(SUMIFS(#REF!,#REF!,Planning[[#This Row],[Proyectos]],#REF!,Planning[[#This Row],[Tipo de Tarea y especialidad]]),SUMIFS(#REF!,#REF!,Planning[[#This Row],[Proyectos]],#REF!,Planning[[#This Row],[Tipo de Tarea y especialidad]]))</f>
        <v>#REF!</v>
      </c>
      <c r="O327" s="19">
        <f t="shared" ref="O327:O390" si="10">$L$4</f>
        <v>10</v>
      </c>
      <c r="P327" s="19">
        <f t="shared" ref="P327:P390" si="11">$M$4</f>
        <v>2024</v>
      </c>
      <c r="Q327" s="19" t="e">
        <f>+SUMIFS(#REF!,#REF!,Planning[[#This Row],[Tarifa]],#REF!,Planning[[#This Row],[Proyectos]],#REF!,Planning[[#This Row],[Mes]],#REF!,Planning[[#This Row],[Año]])</f>
        <v>#REF!</v>
      </c>
      <c r="R327" s="19" t="str">
        <f>TEXT(Planning[[#This Row],[Mes]]*29,"mmmm")</f>
        <v>October</v>
      </c>
      <c r="S3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7" s="241"/>
      <c r="U327" s="43" t="e">
        <f>IF(Planning[[#This Row],[Horas Planificadas]]&lt;&gt;0,+K327/Planning[[#This Row],[Horas Planificadas]],0)</f>
        <v>#REF!</v>
      </c>
      <c r="V327" s="43" t="e">
        <f>IF(Planning[[#This Row],[Horas Planificadas]]&lt;&gt;0,Planning[[#This Row],[Horas utilizadas]]/Planning[[#This Row],[Horas Planificadas]],0)</f>
        <v>#REF!</v>
      </c>
      <c r="W327" s="44">
        <f>Planning[[#This Row],[Horas Planificadas]]+Planning[[#This Row],[Horas ajustadas adicionales]]</f>
        <v>155</v>
      </c>
      <c r="X327" s="142"/>
    </row>
    <row r="328" spans="1:24" ht="12.75" customHeight="1" x14ac:dyDescent="0.2">
      <c r="A328" s="7"/>
      <c r="B328" s="7"/>
      <c r="C328" s="3"/>
      <c r="D328" s="3" t="s">
        <v>112</v>
      </c>
      <c r="E328" s="33" t="s">
        <v>30</v>
      </c>
      <c r="F328" s="3"/>
      <c r="G328" s="7"/>
      <c r="H328" s="7">
        <v>79</v>
      </c>
      <c r="I328" s="12"/>
      <c r="J328" s="5" t="e">
        <f>+SUMIFS(#REF!,#REF!,Planning[[#This Row],[Tarifa]],#REF!,Planning[[#This Row],[Proyectos]])</f>
        <v>#REF!</v>
      </c>
      <c r="K328" s="5" t="e">
        <f>Planning[[#This Row],[Horas Planificadas]]+Planning[[#This Row],[Horas ajustadas adicionales]]-Planning[[#This Row],[Horas utilizadas]]</f>
        <v>#REF!</v>
      </c>
      <c r="L328" s="7"/>
      <c r="M328" s="19" t="e">
        <f>Planning[[#This Row],[Saldo]]-Planning[[#This Row],[Saldo estimado]]</f>
        <v>#REF!</v>
      </c>
      <c r="N328" s="60" t="e">
        <f>SUM(SUMIFS(#REF!,#REF!,Planning[[#This Row],[Proyectos]],#REF!,Planning[[#This Row],[Tipo de Tarea y especialidad]]),SUMIFS(#REF!,#REF!,Planning[[#This Row],[Proyectos]],#REF!,Planning[[#This Row],[Tipo de Tarea y especialidad]]))</f>
        <v>#REF!</v>
      </c>
      <c r="O328" s="19">
        <f t="shared" si="10"/>
        <v>10</v>
      </c>
      <c r="P328" s="19">
        <f t="shared" si="11"/>
        <v>2024</v>
      </c>
      <c r="Q328" s="19" t="e">
        <f>+SUMIFS(#REF!,#REF!,Planning[[#This Row],[Tarifa]],#REF!,Planning[[#This Row],[Proyectos]],#REF!,Planning[[#This Row],[Mes]],#REF!,Planning[[#This Row],[Año]])</f>
        <v>#REF!</v>
      </c>
      <c r="R328" s="19" t="str">
        <f>TEXT(Planning[[#This Row],[Mes]]*29,"mmmm")</f>
        <v>October</v>
      </c>
      <c r="S3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8" s="241"/>
      <c r="U328" s="43" t="e">
        <f>IF(Planning[[#This Row],[Horas Planificadas]]&lt;&gt;0,+K328/Planning[[#This Row],[Horas Planificadas]],0)</f>
        <v>#REF!</v>
      </c>
      <c r="V328" s="43" t="e">
        <f>IF(Planning[[#This Row],[Horas Planificadas]]&lt;&gt;0,Planning[[#This Row],[Horas utilizadas]]/Planning[[#This Row],[Horas Planificadas]],0)</f>
        <v>#REF!</v>
      </c>
      <c r="W328" s="44">
        <f>Planning[[#This Row],[Horas Planificadas]]+Planning[[#This Row],[Horas ajustadas adicionales]]</f>
        <v>79</v>
      </c>
      <c r="X328" s="142"/>
    </row>
    <row r="329" spans="1:24" ht="12.75" customHeight="1" x14ac:dyDescent="0.2">
      <c r="A329" s="7"/>
      <c r="B329" s="7"/>
      <c r="C329" s="3"/>
      <c r="D329" s="3" t="s">
        <v>112</v>
      </c>
      <c r="E329" s="33" t="s">
        <v>31</v>
      </c>
      <c r="F329" s="3"/>
      <c r="G329" s="7"/>
      <c r="H329" s="7">
        <v>81</v>
      </c>
      <c r="I329" s="12"/>
      <c r="J329" s="5" t="e">
        <f>+SUMIFS(#REF!,#REF!,Planning[[#This Row],[Tarifa]],#REF!,Planning[[#This Row],[Proyectos]])</f>
        <v>#REF!</v>
      </c>
      <c r="K329" s="5" t="e">
        <f>Planning[[#This Row],[Horas Planificadas]]+Planning[[#This Row],[Horas ajustadas adicionales]]-Planning[[#This Row],[Horas utilizadas]]</f>
        <v>#REF!</v>
      </c>
      <c r="L329" s="7"/>
      <c r="M329" s="19" t="e">
        <f>Planning[[#This Row],[Saldo]]-Planning[[#This Row],[Saldo estimado]]</f>
        <v>#REF!</v>
      </c>
      <c r="N329" s="60" t="e">
        <f>SUM(SUMIFS(#REF!,#REF!,Planning[[#This Row],[Proyectos]],#REF!,Planning[[#This Row],[Tipo de Tarea y especialidad]]),SUMIFS(#REF!,#REF!,Planning[[#This Row],[Proyectos]],#REF!,Planning[[#This Row],[Tipo de Tarea y especialidad]]))</f>
        <v>#REF!</v>
      </c>
      <c r="O329" s="19">
        <f t="shared" si="10"/>
        <v>10</v>
      </c>
      <c r="P329" s="19">
        <f t="shared" si="11"/>
        <v>2024</v>
      </c>
      <c r="Q329" s="19" t="e">
        <f>+SUMIFS(#REF!,#REF!,Planning[[#This Row],[Tarifa]],#REF!,Planning[[#This Row],[Proyectos]],#REF!,Planning[[#This Row],[Mes]],#REF!,Planning[[#This Row],[Año]])</f>
        <v>#REF!</v>
      </c>
      <c r="R329" s="19" t="str">
        <f>TEXT(Planning[[#This Row],[Mes]]*29,"mmmm")</f>
        <v>October</v>
      </c>
      <c r="S3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9" s="241"/>
      <c r="U329" s="43" t="e">
        <f>IF(Planning[[#This Row],[Horas Planificadas]]&lt;&gt;0,+K329/Planning[[#This Row],[Horas Planificadas]],0)</f>
        <v>#REF!</v>
      </c>
      <c r="V329" s="43" t="e">
        <f>IF(Planning[[#This Row],[Horas Planificadas]]&lt;&gt;0,Planning[[#This Row],[Horas utilizadas]]/Planning[[#This Row],[Horas Planificadas]],0)</f>
        <v>#REF!</v>
      </c>
      <c r="W329" s="44">
        <f>Planning[[#This Row],[Horas Planificadas]]+Planning[[#This Row],[Horas ajustadas adicionales]]</f>
        <v>81</v>
      </c>
      <c r="X329" s="142"/>
    </row>
    <row r="330" spans="1:24" ht="12.75" customHeight="1" x14ac:dyDescent="0.2">
      <c r="A330" s="7"/>
      <c r="B330" s="7"/>
      <c r="C330" s="3"/>
      <c r="D330" s="3" t="s">
        <v>112</v>
      </c>
      <c r="E330" s="33" t="s">
        <v>32</v>
      </c>
      <c r="F330" s="3"/>
      <c r="G330" s="7"/>
      <c r="H330" s="7">
        <v>40</v>
      </c>
      <c r="I330" s="12"/>
      <c r="J330" s="5" t="e">
        <f>+SUMIFS(#REF!,#REF!,Planning[[#This Row],[Tarifa]],#REF!,Planning[[#This Row],[Proyectos]])</f>
        <v>#REF!</v>
      </c>
      <c r="K330" s="5" t="e">
        <f>Planning[[#This Row],[Horas Planificadas]]+Planning[[#This Row],[Horas ajustadas adicionales]]-Planning[[#This Row],[Horas utilizadas]]</f>
        <v>#REF!</v>
      </c>
      <c r="L330" s="7"/>
      <c r="M330" s="19" t="e">
        <f>Planning[[#This Row],[Saldo]]-Planning[[#This Row],[Saldo estimado]]</f>
        <v>#REF!</v>
      </c>
      <c r="N330" s="60" t="e">
        <f>SUM(SUMIFS(#REF!,#REF!,Planning[[#This Row],[Proyectos]],#REF!,Planning[[#This Row],[Tipo de Tarea y especialidad]]),SUMIFS(#REF!,#REF!,Planning[[#This Row],[Proyectos]],#REF!,Planning[[#This Row],[Tipo de Tarea y especialidad]]))</f>
        <v>#REF!</v>
      </c>
      <c r="O330" s="19">
        <f t="shared" si="10"/>
        <v>10</v>
      </c>
      <c r="P330" s="19">
        <f t="shared" si="11"/>
        <v>2024</v>
      </c>
      <c r="Q330" s="19" t="e">
        <f>+SUMIFS(#REF!,#REF!,Planning[[#This Row],[Tarifa]],#REF!,Planning[[#This Row],[Proyectos]],#REF!,Planning[[#This Row],[Mes]],#REF!,Planning[[#This Row],[Año]])</f>
        <v>#REF!</v>
      </c>
      <c r="R330" s="19" t="str">
        <f>TEXT(Planning[[#This Row],[Mes]]*29,"mmmm")</f>
        <v>October</v>
      </c>
      <c r="S3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0" s="241"/>
      <c r="U330" s="43" t="e">
        <f>IF(Planning[[#This Row],[Horas Planificadas]]&lt;&gt;0,+K330/Planning[[#This Row],[Horas Planificadas]],0)</f>
        <v>#REF!</v>
      </c>
      <c r="V330" s="43" t="e">
        <f>IF(Planning[[#This Row],[Horas Planificadas]]&lt;&gt;0,Planning[[#This Row],[Horas utilizadas]]/Planning[[#This Row],[Horas Planificadas]],0)</f>
        <v>#REF!</v>
      </c>
      <c r="W330" s="44">
        <f>Planning[[#This Row],[Horas Planificadas]]+Planning[[#This Row],[Horas ajustadas adicionales]]</f>
        <v>40</v>
      </c>
      <c r="X330" s="142"/>
    </row>
    <row r="331" spans="1:24" ht="12.75" customHeight="1" x14ac:dyDescent="0.2">
      <c r="A331" s="7"/>
      <c r="B331" s="7"/>
      <c r="C331" s="3"/>
      <c r="D331" s="3" t="s">
        <v>113</v>
      </c>
      <c r="E331" s="33" t="s">
        <v>28</v>
      </c>
      <c r="F331" s="3"/>
      <c r="G331" s="7"/>
      <c r="H331" s="7">
        <v>200</v>
      </c>
      <c r="I331" s="12"/>
      <c r="J331" s="5" t="e">
        <f>+SUMIFS(#REF!,#REF!,Planning[[#This Row],[Tarifa]],#REF!,Planning[[#This Row],[Proyectos]])</f>
        <v>#REF!</v>
      </c>
      <c r="K331" s="5" t="e">
        <f>Planning[[#This Row],[Horas Planificadas]]+Planning[[#This Row],[Horas ajustadas adicionales]]-Planning[[#This Row],[Horas utilizadas]]</f>
        <v>#REF!</v>
      </c>
      <c r="L331" s="7"/>
      <c r="M331" s="19" t="e">
        <f>Planning[[#This Row],[Saldo]]-Planning[[#This Row],[Saldo estimado]]</f>
        <v>#REF!</v>
      </c>
      <c r="N331" s="60" t="e">
        <f>SUM(SUMIFS(#REF!,#REF!,Planning[[#This Row],[Proyectos]],#REF!,Planning[[#This Row],[Tipo de Tarea y especialidad]]),SUMIFS(#REF!,#REF!,Planning[[#This Row],[Proyectos]],#REF!,Planning[[#This Row],[Tipo de Tarea y especialidad]]))</f>
        <v>#REF!</v>
      </c>
      <c r="O331" s="19">
        <f t="shared" si="10"/>
        <v>10</v>
      </c>
      <c r="P331" s="19">
        <f t="shared" si="11"/>
        <v>2024</v>
      </c>
      <c r="Q331" s="19" t="e">
        <f>+SUMIFS(#REF!,#REF!,Planning[[#This Row],[Tarifa]],#REF!,Planning[[#This Row],[Proyectos]],#REF!,Planning[[#This Row],[Mes]],#REF!,Planning[[#This Row],[Año]])</f>
        <v>#REF!</v>
      </c>
      <c r="R331" s="19" t="str">
        <f>TEXT(Planning[[#This Row],[Mes]]*29,"mmmm")</f>
        <v>October</v>
      </c>
      <c r="S3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1" s="241"/>
      <c r="U331" s="43" t="e">
        <f>IF(Planning[[#This Row],[Horas Planificadas]]&lt;&gt;0,+K331/Planning[[#This Row],[Horas Planificadas]],0)</f>
        <v>#REF!</v>
      </c>
      <c r="V331" s="43" t="e">
        <f>IF(Planning[[#This Row],[Horas Planificadas]]&lt;&gt;0,Planning[[#This Row],[Horas utilizadas]]/Planning[[#This Row],[Horas Planificadas]],0)</f>
        <v>#REF!</v>
      </c>
      <c r="W331" s="44">
        <f>Planning[[#This Row],[Horas Planificadas]]+Planning[[#This Row],[Horas ajustadas adicionales]]</f>
        <v>200</v>
      </c>
      <c r="X331" s="142"/>
    </row>
    <row r="332" spans="1:24" ht="12.75" customHeight="1" x14ac:dyDescent="0.2">
      <c r="A332" s="7"/>
      <c r="B332" s="7"/>
      <c r="C332" s="3"/>
      <c r="D332" s="3" t="s">
        <v>113</v>
      </c>
      <c r="E332" s="33" t="s">
        <v>30</v>
      </c>
      <c r="F332" s="3"/>
      <c r="G332" s="7"/>
      <c r="H332" s="7">
        <v>240</v>
      </c>
      <c r="I332" s="12"/>
      <c r="J332" s="5" t="e">
        <f>+SUMIFS(#REF!,#REF!,Planning[[#This Row],[Tarifa]],#REF!,Planning[[#This Row],[Proyectos]])</f>
        <v>#REF!</v>
      </c>
      <c r="K332" s="5" t="e">
        <f>Planning[[#This Row],[Horas Planificadas]]+Planning[[#This Row],[Horas ajustadas adicionales]]-Planning[[#This Row],[Horas utilizadas]]</f>
        <v>#REF!</v>
      </c>
      <c r="L332" s="7"/>
      <c r="M332" s="19" t="e">
        <f>Planning[[#This Row],[Saldo]]-Planning[[#This Row],[Saldo estimado]]</f>
        <v>#REF!</v>
      </c>
      <c r="N332" s="60" t="e">
        <f>SUM(SUMIFS(#REF!,#REF!,Planning[[#This Row],[Proyectos]],#REF!,Planning[[#This Row],[Tipo de Tarea y especialidad]]),SUMIFS(#REF!,#REF!,Planning[[#This Row],[Proyectos]],#REF!,Planning[[#This Row],[Tipo de Tarea y especialidad]]))</f>
        <v>#REF!</v>
      </c>
      <c r="O332" s="19">
        <f t="shared" si="10"/>
        <v>10</v>
      </c>
      <c r="P332" s="19">
        <f t="shared" si="11"/>
        <v>2024</v>
      </c>
      <c r="Q332" s="19" t="e">
        <f>+SUMIFS(#REF!,#REF!,Planning[[#This Row],[Tarifa]],#REF!,Planning[[#This Row],[Proyectos]],#REF!,Planning[[#This Row],[Mes]],#REF!,Planning[[#This Row],[Año]])</f>
        <v>#REF!</v>
      </c>
      <c r="R332" s="19" t="str">
        <f>TEXT(Planning[[#This Row],[Mes]]*29,"mmmm")</f>
        <v>October</v>
      </c>
      <c r="S3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2" s="241"/>
      <c r="U332" s="43" t="e">
        <f>IF(Planning[[#This Row],[Horas Planificadas]]&lt;&gt;0,+K332/Planning[[#This Row],[Horas Planificadas]],0)</f>
        <v>#REF!</v>
      </c>
      <c r="V332" s="43" t="e">
        <f>IF(Planning[[#This Row],[Horas Planificadas]]&lt;&gt;0,Planning[[#This Row],[Horas utilizadas]]/Planning[[#This Row],[Horas Planificadas]],0)</f>
        <v>#REF!</v>
      </c>
      <c r="W332" s="44">
        <f>Planning[[#This Row],[Horas Planificadas]]+Planning[[#This Row],[Horas ajustadas adicionales]]</f>
        <v>240</v>
      </c>
      <c r="X332" s="142"/>
    </row>
    <row r="333" spans="1:24" ht="12.75" customHeight="1" x14ac:dyDescent="0.2">
      <c r="A333" s="7"/>
      <c r="B333" s="7"/>
      <c r="C333" s="3"/>
      <c r="D333" s="3" t="s">
        <v>113</v>
      </c>
      <c r="E333" s="33" t="s">
        <v>31</v>
      </c>
      <c r="F333" s="3"/>
      <c r="G333" s="7"/>
      <c r="H333" s="7">
        <v>160</v>
      </c>
      <c r="I333" s="12"/>
      <c r="J333" s="5" t="e">
        <f>+SUMIFS(#REF!,#REF!,Planning[[#This Row],[Tarifa]],#REF!,Planning[[#This Row],[Proyectos]])</f>
        <v>#REF!</v>
      </c>
      <c r="K333" s="5" t="e">
        <f>Planning[[#This Row],[Horas Planificadas]]+Planning[[#This Row],[Horas ajustadas adicionales]]-Planning[[#This Row],[Horas utilizadas]]</f>
        <v>#REF!</v>
      </c>
      <c r="L333" s="7"/>
      <c r="M333" s="19" t="e">
        <f>Planning[[#This Row],[Saldo]]-Planning[[#This Row],[Saldo estimado]]</f>
        <v>#REF!</v>
      </c>
      <c r="N333" s="60" t="e">
        <f>SUM(SUMIFS(#REF!,#REF!,Planning[[#This Row],[Proyectos]],#REF!,Planning[[#This Row],[Tipo de Tarea y especialidad]]),SUMIFS(#REF!,#REF!,Planning[[#This Row],[Proyectos]],#REF!,Planning[[#This Row],[Tipo de Tarea y especialidad]]))</f>
        <v>#REF!</v>
      </c>
      <c r="O333" s="19">
        <f t="shared" si="10"/>
        <v>10</v>
      </c>
      <c r="P333" s="19">
        <f t="shared" si="11"/>
        <v>2024</v>
      </c>
      <c r="Q333" s="19" t="e">
        <f>+SUMIFS(#REF!,#REF!,Planning[[#This Row],[Tarifa]],#REF!,Planning[[#This Row],[Proyectos]],#REF!,Planning[[#This Row],[Mes]],#REF!,Planning[[#This Row],[Año]])</f>
        <v>#REF!</v>
      </c>
      <c r="R333" s="19" t="str">
        <f>TEXT(Planning[[#This Row],[Mes]]*29,"mmmm")</f>
        <v>October</v>
      </c>
      <c r="S3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3" s="241"/>
      <c r="U333" s="43" t="e">
        <f>IF(Planning[[#This Row],[Horas Planificadas]]&lt;&gt;0,+K333/Planning[[#This Row],[Horas Planificadas]],0)</f>
        <v>#REF!</v>
      </c>
      <c r="V333" s="43" t="e">
        <f>IF(Planning[[#This Row],[Horas Planificadas]]&lt;&gt;0,Planning[[#This Row],[Horas utilizadas]]/Planning[[#This Row],[Horas Planificadas]],0)</f>
        <v>#REF!</v>
      </c>
      <c r="W333" s="44">
        <f>Planning[[#This Row],[Horas Planificadas]]+Planning[[#This Row],[Horas ajustadas adicionales]]</f>
        <v>160</v>
      </c>
      <c r="X333" s="142"/>
    </row>
    <row r="334" spans="1:24" ht="12.75" customHeight="1" x14ac:dyDescent="0.2">
      <c r="A334" s="7"/>
      <c r="B334" s="7"/>
      <c r="C334" s="3"/>
      <c r="D334" s="3" t="s">
        <v>113</v>
      </c>
      <c r="E334" s="33" t="s">
        <v>32</v>
      </c>
      <c r="F334" s="3"/>
      <c r="G334" s="7"/>
      <c r="H334" s="7">
        <v>80</v>
      </c>
      <c r="I334" s="12"/>
      <c r="J334" s="5" t="e">
        <f>+SUMIFS(#REF!,#REF!,Planning[[#This Row],[Tarifa]],#REF!,Planning[[#This Row],[Proyectos]])</f>
        <v>#REF!</v>
      </c>
      <c r="K334" s="5" t="e">
        <f>Planning[[#This Row],[Horas Planificadas]]+Planning[[#This Row],[Horas ajustadas adicionales]]-Planning[[#This Row],[Horas utilizadas]]</f>
        <v>#REF!</v>
      </c>
      <c r="L334" s="7"/>
      <c r="M334" s="19" t="e">
        <f>Planning[[#This Row],[Saldo]]-Planning[[#This Row],[Saldo estimado]]</f>
        <v>#REF!</v>
      </c>
      <c r="N334" s="60" t="e">
        <f>SUM(SUMIFS(#REF!,#REF!,Planning[[#This Row],[Proyectos]],#REF!,Planning[[#This Row],[Tipo de Tarea y especialidad]]),SUMIFS(#REF!,#REF!,Planning[[#This Row],[Proyectos]],#REF!,Planning[[#This Row],[Tipo de Tarea y especialidad]]))</f>
        <v>#REF!</v>
      </c>
      <c r="O334" s="19">
        <f t="shared" si="10"/>
        <v>10</v>
      </c>
      <c r="P334" s="19">
        <f t="shared" si="11"/>
        <v>2024</v>
      </c>
      <c r="Q334" s="19" t="e">
        <f>+SUMIFS(#REF!,#REF!,Planning[[#This Row],[Tarifa]],#REF!,Planning[[#This Row],[Proyectos]],#REF!,Planning[[#This Row],[Mes]],#REF!,Planning[[#This Row],[Año]])</f>
        <v>#REF!</v>
      </c>
      <c r="R334" s="19" t="str">
        <f>TEXT(Planning[[#This Row],[Mes]]*29,"mmmm")</f>
        <v>October</v>
      </c>
      <c r="S3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4" s="241"/>
      <c r="U334" s="43" t="e">
        <f>IF(Planning[[#This Row],[Horas Planificadas]]&lt;&gt;0,+K334/Planning[[#This Row],[Horas Planificadas]],0)</f>
        <v>#REF!</v>
      </c>
      <c r="V334" s="43" t="e">
        <f>IF(Planning[[#This Row],[Horas Planificadas]]&lt;&gt;0,Planning[[#This Row],[Horas utilizadas]]/Planning[[#This Row],[Horas Planificadas]],0)</f>
        <v>#REF!</v>
      </c>
      <c r="W334" s="44">
        <f>Planning[[#This Row],[Horas Planificadas]]+Planning[[#This Row],[Horas ajustadas adicionales]]</f>
        <v>80</v>
      </c>
      <c r="X334" s="142"/>
    </row>
    <row r="335" spans="1:24" ht="12.75" customHeight="1" x14ac:dyDescent="0.2">
      <c r="A335" s="7"/>
      <c r="B335" s="7"/>
      <c r="C335" s="3"/>
      <c r="D335" s="3" t="s">
        <v>114</v>
      </c>
      <c r="E335" s="33" t="s">
        <v>28</v>
      </c>
      <c r="F335" s="3"/>
      <c r="G335" s="7"/>
      <c r="H335" s="7">
        <v>1895</v>
      </c>
      <c r="I335" s="12"/>
      <c r="J335" s="5" t="e">
        <f>+SUMIFS(#REF!,#REF!,Planning[[#This Row],[Tarifa]],#REF!,Planning[[#This Row],[Proyectos]])</f>
        <v>#REF!</v>
      </c>
      <c r="K335" s="5" t="e">
        <f>Planning[[#This Row],[Horas Planificadas]]+Planning[[#This Row],[Horas ajustadas adicionales]]-Planning[[#This Row],[Horas utilizadas]]</f>
        <v>#REF!</v>
      </c>
      <c r="L335" s="7"/>
      <c r="M335" s="19" t="e">
        <f>Planning[[#This Row],[Saldo]]-Planning[[#This Row],[Saldo estimado]]</f>
        <v>#REF!</v>
      </c>
      <c r="N335" s="60" t="e">
        <f>SUM(SUMIFS(#REF!,#REF!,Planning[[#This Row],[Proyectos]],#REF!,Planning[[#This Row],[Tipo de Tarea y especialidad]]),SUMIFS(#REF!,#REF!,Planning[[#This Row],[Proyectos]],#REF!,Planning[[#This Row],[Tipo de Tarea y especialidad]]))</f>
        <v>#REF!</v>
      </c>
      <c r="O335" s="19">
        <f t="shared" si="10"/>
        <v>10</v>
      </c>
      <c r="P335" s="19">
        <f t="shared" si="11"/>
        <v>2024</v>
      </c>
      <c r="Q335" s="19" t="e">
        <f>+SUMIFS(#REF!,#REF!,Planning[[#This Row],[Tarifa]],#REF!,Planning[[#This Row],[Proyectos]],#REF!,Planning[[#This Row],[Mes]],#REF!,Planning[[#This Row],[Año]])</f>
        <v>#REF!</v>
      </c>
      <c r="R335" s="19" t="str">
        <f>TEXT(Planning[[#This Row],[Mes]]*29,"mmmm")</f>
        <v>October</v>
      </c>
      <c r="S3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5" s="241"/>
      <c r="U335" s="43" t="e">
        <f>IF(Planning[[#This Row],[Horas Planificadas]]&lt;&gt;0,+K335/Planning[[#This Row],[Horas Planificadas]],0)</f>
        <v>#REF!</v>
      </c>
      <c r="V335" s="43" t="e">
        <f>IF(Planning[[#This Row],[Horas Planificadas]]&lt;&gt;0,Planning[[#This Row],[Horas utilizadas]]/Planning[[#This Row],[Horas Planificadas]],0)</f>
        <v>#REF!</v>
      </c>
      <c r="W335" s="44">
        <f>Planning[[#This Row],[Horas Planificadas]]+Planning[[#This Row],[Horas ajustadas adicionales]]</f>
        <v>1895</v>
      </c>
      <c r="X335" s="142"/>
    </row>
    <row r="336" spans="1:24" ht="12.75" customHeight="1" x14ac:dyDescent="0.2">
      <c r="A336" s="7"/>
      <c r="B336" s="7"/>
      <c r="C336" s="3"/>
      <c r="D336" s="3" t="s">
        <v>114</v>
      </c>
      <c r="E336" s="33" t="s">
        <v>30</v>
      </c>
      <c r="F336" s="3"/>
      <c r="G336" s="7"/>
      <c r="H336" s="7">
        <v>1794</v>
      </c>
      <c r="I336" s="12"/>
      <c r="J336" s="5" t="e">
        <f>+SUMIFS(#REF!,#REF!,Planning[[#This Row],[Tarifa]],#REF!,Planning[[#This Row],[Proyectos]])</f>
        <v>#REF!</v>
      </c>
      <c r="K336" s="5" t="e">
        <f>Planning[[#This Row],[Horas Planificadas]]+Planning[[#This Row],[Horas ajustadas adicionales]]-Planning[[#This Row],[Horas utilizadas]]</f>
        <v>#REF!</v>
      </c>
      <c r="L336" s="7"/>
      <c r="M336" s="19" t="e">
        <f>Planning[[#This Row],[Saldo]]-Planning[[#This Row],[Saldo estimado]]</f>
        <v>#REF!</v>
      </c>
      <c r="N336" s="60" t="e">
        <f>SUM(SUMIFS(#REF!,#REF!,Planning[[#This Row],[Proyectos]],#REF!,Planning[[#This Row],[Tipo de Tarea y especialidad]]),SUMIFS(#REF!,#REF!,Planning[[#This Row],[Proyectos]],#REF!,Planning[[#This Row],[Tipo de Tarea y especialidad]]))</f>
        <v>#REF!</v>
      </c>
      <c r="O336" s="19">
        <f t="shared" si="10"/>
        <v>10</v>
      </c>
      <c r="P336" s="19">
        <f t="shared" si="11"/>
        <v>2024</v>
      </c>
      <c r="Q336" s="19" t="e">
        <f>+SUMIFS(#REF!,#REF!,Planning[[#This Row],[Tarifa]],#REF!,Planning[[#This Row],[Proyectos]],#REF!,Planning[[#This Row],[Mes]],#REF!,Planning[[#This Row],[Año]])</f>
        <v>#REF!</v>
      </c>
      <c r="R336" s="19" t="str">
        <f>TEXT(Planning[[#This Row],[Mes]]*29,"mmmm")</f>
        <v>October</v>
      </c>
      <c r="S3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6" s="241"/>
      <c r="U336" s="43" t="e">
        <f>IF(Planning[[#This Row],[Horas Planificadas]]&lt;&gt;0,+K336/Planning[[#This Row],[Horas Planificadas]],0)</f>
        <v>#REF!</v>
      </c>
      <c r="V336" s="43" t="e">
        <f>IF(Planning[[#This Row],[Horas Planificadas]]&lt;&gt;0,Planning[[#This Row],[Horas utilizadas]]/Planning[[#This Row],[Horas Planificadas]],0)</f>
        <v>#REF!</v>
      </c>
      <c r="W336" s="44">
        <f>Planning[[#This Row],[Horas Planificadas]]+Planning[[#This Row],[Horas ajustadas adicionales]]</f>
        <v>1794</v>
      </c>
      <c r="X336" s="142"/>
    </row>
    <row r="337" spans="1:24" ht="12.75" customHeight="1" x14ac:dyDescent="0.2">
      <c r="A337" s="7"/>
      <c r="B337" s="7"/>
      <c r="C337" s="3"/>
      <c r="D337" s="3" t="s">
        <v>114</v>
      </c>
      <c r="E337" s="33" t="s">
        <v>31</v>
      </c>
      <c r="F337" s="3"/>
      <c r="G337" s="7"/>
      <c r="H337" s="7">
        <v>236</v>
      </c>
      <c r="I337" s="12"/>
      <c r="J337" s="5" t="e">
        <f>+SUMIFS(#REF!,#REF!,Planning[[#This Row],[Tarifa]],#REF!,Planning[[#This Row],[Proyectos]])</f>
        <v>#REF!</v>
      </c>
      <c r="K337" s="5" t="e">
        <f>Planning[[#This Row],[Horas Planificadas]]+Planning[[#This Row],[Horas ajustadas adicionales]]-Planning[[#This Row],[Horas utilizadas]]</f>
        <v>#REF!</v>
      </c>
      <c r="L337" s="7"/>
      <c r="M337" s="19" t="e">
        <f>Planning[[#This Row],[Saldo]]-Planning[[#This Row],[Saldo estimado]]</f>
        <v>#REF!</v>
      </c>
      <c r="N337" s="60" t="e">
        <f>SUM(SUMIFS(#REF!,#REF!,Planning[[#This Row],[Proyectos]],#REF!,Planning[[#This Row],[Tipo de Tarea y especialidad]]),SUMIFS(#REF!,#REF!,Planning[[#This Row],[Proyectos]],#REF!,Planning[[#This Row],[Tipo de Tarea y especialidad]]))</f>
        <v>#REF!</v>
      </c>
      <c r="O337" s="19">
        <f t="shared" si="10"/>
        <v>10</v>
      </c>
      <c r="P337" s="19">
        <f t="shared" si="11"/>
        <v>2024</v>
      </c>
      <c r="Q337" s="19" t="e">
        <f>+SUMIFS(#REF!,#REF!,Planning[[#This Row],[Tarifa]],#REF!,Planning[[#This Row],[Proyectos]],#REF!,Planning[[#This Row],[Mes]],#REF!,Planning[[#This Row],[Año]])</f>
        <v>#REF!</v>
      </c>
      <c r="R337" s="19" t="str">
        <f>TEXT(Planning[[#This Row],[Mes]]*29,"mmmm")</f>
        <v>October</v>
      </c>
      <c r="S3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7" s="241"/>
      <c r="U337" s="43" t="e">
        <f>IF(Planning[[#This Row],[Horas Planificadas]]&lt;&gt;0,+K337/Planning[[#This Row],[Horas Planificadas]],0)</f>
        <v>#REF!</v>
      </c>
      <c r="V337" s="43" t="e">
        <f>IF(Planning[[#This Row],[Horas Planificadas]]&lt;&gt;0,Planning[[#This Row],[Horas utilizadas]]/Planning[[#This Row],[Horas Planificadas]],0)</f>
        <v>#REF!</v>
      </c>
      <c r="W337" s="44">
        <f>Planning[[#This Row],[Horas Planificadas]]+Planning[[#This Row],[Horas ajustadas adicionales]]</f>
        <v>236</v>
      </c>
      <c r="X337" s="142"/>
    </row>
    <row r="338" spans="1:24" ht="12.75" customHeight="1" x14ac:dyDescent="0.2">
      <c r="A338" s="7"/>
      <c r="B338" s="7"/>
      <c r="C338" s="3"/>
      <c r="D338" s="3" t="s">
        <v>114</v>
      </c>
      <c r="E338" s="33" t="s">
        <v>32</v>
      </c>
      <c r="F338" s="3"/>
      <c r="G338" s="7"/>
      <c r="H338" s="7">
        <v>690</v>
      </c>
      <c r="I338" s="12"/>
      <c r="J338" s="5" t="e">
        <f>+SUMIFS(#REF!,#REF!,Planning[[#This Row],[Tarifa]],#REF!,Planning[[#This Row],[Proyectos]])</f>
        <v>#REF!</v>
      </c>
      <c r="K338" s="5" t="e">
        <f>Planning[[#This Row],[Horas Planificadas]]+Planning[[#This Row],[Horas ajustadas adicionales]]-Planning[[#This Row],[Horas utilizadas]]</f>
        <v>#REF!</v>
      </c>
      <c r="L338" s="7"/>
      <c r="M338" s="19" t="e">
        <f>Planning[[#This Row],[Saldo]]-Planning[[#This Row],[Saldo estimado]]</f>
        <v>#REF!</v>
      </c>
      <c r="N338" s="60" t="e">
        <f>SUM(SUMIFS(#REF!,#REF!,Planning[[#This Row],[Proyectos]],#REF!,Planning[[#This Row],[Tipo de Tarea y especialidad]]),SUMIFS(#REF!,#REF!,Planning[[#This Row],[Proyectos]],#REF!,Planning[[#This Row],[Tipo de Tarea y especialidad]]))</f>
        <v>#REF!</v>
      </c>
      <c r="O338" s="19">
        <f t="shared" si="10"/>
        <v>10</v>
      </c>
      <c r="P338" s="19">
        <f t="shared" si="11"/>
        <v>2024</v>
      </c>
      <c r="Q338" s="19" t="e">
        <f>+SUMIFS(#REF!,#REF!,Planning[[#This Row],[Tarifa]],#REF!,Planning[[#This Row],[Proyectos]],#REF!,Planning[[#This Row],[Mes]],#REF!,Planning[[#This Row],[Año]])</f>
        <v>#REF!</v>
      </c>
      <c r="R338" s="19" t="str">
        <f>TEXT(Planning[[#This Row],[Mes]]*29,"mmmm")</f>
        <v>October</v>
      </c>
      <c r="S3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8" s="241"/>
      <c r="U338" s="43" t="e">
        <f>IF(Planning[[#This Row],[Horas Planificadas]]&lt;&gt;0,+K338/Planning[[#This Row],[Horas Planificadas]],0)</f>
        <v>#REF!</v>
      </c>
      <c r="V338" s="43" t="e">
        <f>IF(Planning[[#This Row],[Horas Planificadas]]&lt;&gt;0,Planning[[#This Row],[Horas utilizadas]]/Planning[[#This Row],[Horas Planificadas]],0)</f>
        <v>#REF!</v>
      </c>
      <c r="W338" s="44">
        <f>Planning[[#This Row],[Horas Planificadas]]+Planning[[#This Row],[Horas ajustadas adicionales]]</f>
        <v>690</v>
      </c>
      <c r="X338" s="142"/>
    </row>
    <row r="339" spans="1:24" ht="12.75" customHeight="1" x14ac:dyDescent="0.2">
      <c r="A339" s="7"/>
      <c r="B339" s="7"/>
      <c r="C339" s="3"/>
      <c r="D339" s="3" t="s">
        <v>115</v>
      </c>
      <c r="E339" s="33" t="s">
        <v>28</v>
      </c>
      <c r="F339" s="3"/>
      <c r="G339" s="7"/>
      <c r="H339" s="7">
        <v>1521</v>
      </c>
      <c r="I339" s="12"/>
      <c r="J339" s="5" t="e">
        <f>+SUMIFS(#REF!,#REF!,Planning[[#This Row],[Tarifa]],#REF!,Planning[[#This Row],[Proyectos]])</f>
        <v>#REF!</v>
      </c>
      <c r="K339" s="5" t="e">
        <f>Planning[[#This Row],[Horas Planificadas]]+Planning[[#This Row],[Horas ajustadas adicionales]]-Planning[[#This Row],[Horas utilizadas]]</f>
        <v>#REF!</v>
      </c>
      <c r="L339" s="7"/>
      <c r="M339" s="19" t="e">
        <f>Planning[[#This Row],[Saldo]]-Planning[[#This Row],[Saldo estimado]]</f>
        <v>#REF!</v>
      </c>
      <c r="N339" s="60" t="e">
        <f>SUM(SUMIFS(#REF!,#REF!,Planning[[#This Row],[Proyectos]],#REF!,Planning[[#This Row],[Tipo de Tarea y especialidad]]),SUMIFS(#REF!,#REF!,Planning[[#This Row],[Proyectos]],#REF!,Planning[[#This Row],[Tipo de Tarea y especialidad]]))</f>
        <v>#REF!</v>
      </c>
      <c r="O339" s="19">
        <f t="shared" si="10"/>
        <v>10</v>
      </c>
      <c r="P339" s="19">
        <f t="shared" si="11"/>
        <v>2024</v>
      </c>
      <c r="Q339" s="19" t="e">
        <f>+SUMIFS(#REF!,#REF!,Planning[[#This Row],[Tarifa]],#REF!,Planning[[#This Row],[Proyectos]],#REF!,Planning[[#This Row],[Mes]],#REF!,Planning[[#This Row],[Año]])</f>
        <v>#REF!</v>
      </c>
      <c r="R339" s="19" t="str">
        <f>TEXT(Planning[[#This Row],[Mes]]*29,"mmmm")</f>
        <v>October</v>
      </c>
      <c r="S3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9" s="241"/>
      <c r="U339" s="43" t="e">
        <f>IF(Planning[[#This Row],[Horas Planificadas]]&lt;&gt;0,+K339/Planning[[#This Row],[Horas Planificadas]],0)</f>
        <v>#REF!</v>
      </c>
      <c r="V339" s="43" t="e">
        <f>IF(Planning[[#This Row],[Horas Planificadas]]&lt;&gt;0,Planning[[#This Row],[Horas utilizadas]]/Planning[[#This Row],[Horas Planificadas]],0)</f>
        <v>#REF!</v>
      </c>
      <c r="W339" s="44">
        <f>Planning[[#This Row],[Horas Planificadas]]+Planning[[#This Row],[Horas ajustadas adicionales]]</f>
        <v>1521</v>
      </c>
      <c r="X339" s="142"/>
    </row>
    <row r="340" spans="1:24" ht="12.75" customHeight="1" x14ac:dyDescent="0.2">
      <c r="A340" s="7"/>
      <c r="B340" s="7"/>
      <c r="C340" s="3"/>
      <c r="D340" s="3" t="s">
        <v>115</v>
      </c>
      <c r="E340" s="33" t="s">
        <v>30</v>
      </c>
      <c r="F340" s="3"/>
      <c r="G340" s="7"/>
      <c r="H340" s="7">
        <v>1054</v>
      </c>
      <c r="I340" s="12"/>
      <c r="J340" s="5" t="e">
        <f>+SUMIFS(#REF!,#REF!,Planning[[#This Row],[Tarifa]],#REF!,Planning[[#This Row],[Proyectos]])</f>
        <v>#REF!</v>
      </c>
      <c r="K340" s="5" t="e">
        <f>Planning[[#This Row],[Horas Planificadas]]+Planning[[#This Row],[Horas ajustadas adicionales]]-Planning[[#This Row],[Horas utilizadas]]</f>
        <v>#REF!</v>
      </c>
      <c r="L340" s="7"/>
      <c r="M340" s="19" t="e">
        <f>Planning[[#This Row],[Saldo]]-Planning[[#This Row],[Saldo estimado]]</f>
        <v>#REF!</v>
      </c>
      <c r="N340" s="60" t="e">
        <f>SUM(SUMIFS(#REF!,#REF!,Planning[[#This Row],[Proyectos]],#REF!,Planning[[#This Row],[Tipo de Tarea y especialidad]]),SUMIFS(#REF!,#REF!,Planning[[#This Row],[Proyectos]],#REF!,Planning[[#This Row],[Tipo de Tarea y especialidad]]))</f>
        <v>#REF!</v>
      </c>
      <c r="O340" s="19">
        <f t="shared" si="10"/>
        <v>10</v>
      </c>
      <c r="P340" s="19">
        <f t="shared" si="11"/>
        <v>2024</v>
      </c>
      <c r="Q340" s="19" t="e">
        <f>+SUMIFS(#REF!,#REF!,Planning[[#This Row],[Tarifa]],#REF!,Planning[[#This Row],[Proyectos]],#REF!,Planning[[#This Row],[Mes]],#REF!,Planning[[#This Row],[Año]])</f>
        <v>#REF!</v>
      </c>
      <c r="R340" s="19" t="str">
        <f>TEXT(Planning[[#This Row],[Mes]]*29,"mmmm")</f>
        <v>October</v>
      </c>
      <c r="S3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0" s="241"/>
      <c r="U340" s="43" t="e">
        <f>IF(Planning[[#This Row],[Horas Planificadas]]&lt;&gt;0,+K340/Planning[[#This Row],[Horas Planificadas]],0)</f>
        <v>#REF!</v>
      </c>
      <c r="V340" s="43" t="e">
        <f>IF(Planning[[#This Row],[Horas Planificadas]]&lt;&gt;0,Planning[[#This Row],[Horas utilizadas]]/Planning[[#This Row],[Horas Planificadas]],0)</f>
        <v>#REF!</v>
      </c>
      <c r="W340" s="44">
        <f>Planning[[#This Row],[Horas Planificadas]]+Planning[[#This Row],[Horas ajustadas adicionales]]</f>
        <v>1054</v>
      </c>
      <c r="X340" s="142"/>
    </row>
    <row r="341" spans="1:24" ht="12.75" customHeight="1" x14ac:dyDescent="0.2">
      <c r="A341" s="7"/>
      <c r="B341" s="7"/>
      <c r="C341" s="3"/>
      <c r="D341" s="3" t="s">
        <v>115</v>
      </c>
      <c r="E341" s="33" t="s">
        <v>31</v>
      </c>
      <c r="F341" s="3"/>
      <c r="G341" s="7"/>
      <c r="H341" s="7">
        <v>130</v>
      </c>
      <c r="I341" s="12"/>
      <c r="J341" s="5" t="e">
        <f>+SUMIFS(#REF!,#REF!,Planning[[#This Row],[Tarifa]],#REF!,Planning[[#This Row],[Proyectos]])</f>
        <v>#REF!</v>
      </c>
      <c r="K341" s="5" t="e">
        <f>Planning[[#This Row],[Horas Planificadas]]+Planning[[#This Row],[Horas ajustadas adicionales]]-Planning[[#This Row],[Horas utilizadas]]</f>
        <v>#REF!</v>
      </c>
      <c r="L341" s="7"/>
      <c r="M341" s="19" t="e">
        <f>Planning[[#This Row],[Saldo]]-Planning[[#This Row],[Saldo estimado]]</f>
        <v>#REF!</v>
      </c>
      <c r="N341" s="60" t="e">
        <f>SUM(SUMIFS(#REF!,#REF!,Planning[[#This Row],[Proyectos]],#REF!,Planning[[#This Row],[Tipo de Tarea y especialidad]]),SUMIFS(#REF!,#REF!,Planning[[#This Row],[Proyectos]],#REF!,Planning[[#This Row],[Tipo de Tarea y especialidad]]))</f>
        <v>#REF!</v>
      </c>
      <c r="O341" s="19">
        <f t="shared" si="10"/>
        <v>10</v>
      </c>
      <c r="P341" s="19">
        <f t="shared" si="11"/>
        <v>2024</v>
      </c>
      <c r="Q341" s="19" t="e">
        <f>+SUMIFS(#REF!,#REF!,Planning[[#This Row],[Tarifa]],#REF!,Planning[[#This Row],[Proyectos]],#REF!,Planning[[#This Row],[Mes]],#REF!,Planning[[#This Row],[Año]])</f>
        <v>#REF!</v>
      </c>
      <c r="R341" s="19" t="str">
        <f>TEXT(Planning[[#This Row],[Mes]]*29,"mmmm")</f>
        <v>October</v>
      </c>
      <c r="S3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1" s="241"/>
      <c r="U341" s="43" t="e">
        <f>IF(Planning[[#This Row],[Horas Planificadas]]&lt;&gt;0,+K341/Planning[[#This Row],[Horas Planificadas]],0)</f>
        <v>#REF!</v>
      </c>
      <c r="V341" s="43" t="e">
        <f>IF(Planning[[#This Row],[Horas Planificadas]]&lt;&gt;0,Planning[[#This Row],[Horas utilizadas]]/Planning[[#This Row],[Horas Planificadas]],0)</f>
        <v>#REF!</v>
      </c>
      <c r="W341" s="44">
        <f>Planning[[#This Row],[Horas Planificadas]]+Planning[[#This Row],[Horas ajustadas adicionales]]</f>
        <v>130</v>
      </c>
      <c r="X341" s="142"/>
    </row>
    <row r="342" spans="1:24" ht="12.75" customHeight="1" x14ac:dyDescent="0.2">
      <c r="A342" s="7"/>
      <c r="B342" s="7"/>
      <c r="C342" s="3"/>
      <c r="D342" s="3" t="s">
        <v>115</v>
      </c>
      <c r="E342" s="33" t="s">
        <v>32</v>
      </c>
      <c r="F342" s="3"/>
      <c r="G342" s="7"/>
      <c r="H342" s="7">
        <v>434</v>
      </c>
      <c r="I342" s="12"/>
      <c r="J342" s="5" t="e">
        <f>+SUMIFS(#REF!,#REF!,Planning[[#This Row],[Tarifa]],#REF!,Planning[[#This Row],[Proyectos]])</f>
        <v>#REF!</v>
      </c>
      <c r="K342" s="5" t="e">
        <f>Planning[[#This Row],[Horas Planificadas]]+Planning[[#This Row],[Horas ajustadas adicionales]]-Planning[[#This Row],[Horas utilizadas]]</f>
        <v>#REF!</v>
      </c>
      <c r="L342" s="7"/>
      <c r="M342" s="19" t="e">
        <f>Planning[[#This Row],[Saldo]]-Planning[[#This Row],[Saldo estimado]]</f>
        <v>#REF!</v>
      </c>
      <c r="N342" s="60" t="e">
        <f>SUM(SUMIFS(#REF!,#REF!,Planning[[#This Row],[Proyectos]],#REF!,Planning[[#This Row],[Tipo de Tarea y especialidad]]),SUMIFS(#REF!,#REF!,Planning[[#This Row],[Proyectos]],#REF!,Planning[[#This Row],[Tipo de Tarea y especialidad]]))</f>
        <v>#REF!</v>
      </c>
      <c r="O342" s="19">
        <f t="shared" si="10"/>
        <v>10</v>
      </c>
      <c r="P342" s="19">
        <f t="shared" si="11"/>
        <v>2024</v>
      </c>
      <c r="Q342" s="19" t="e">
        <f>+SUMIFS(#REF!,#REF!,Planning[[#This Row],[Tarifa]],#REF!,Planning[[#This Row],[Proyectos]],#REF!,Planning[[#This Row],[Mes]],#REF!,Planning[[#This Row],[Año]])</f>
        <v>#REF!</v>
      </c>
      <c r="R342" s="19" t="str">
        <f>TEXT(Planning[[#This Row],[Mes]]*29,"mmmm")</f>
        <v>October</v>
      </c>
      <c r="S3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2" s="241"/>
      <c r="U342" s="43" t="e">
        <f>IF(Planning[[#This Row],[Horas Planificadas]]&lt;&gt;0,+K342/Planning[[#This Row],[Horas Planificadas]],0)</f>
        <v>#REF!</v>
      </c>
      <c r="V342" s="43" t="e">
        <f>IF(Planning[[#This Row],[Horas Planificadas]]&lt;&gt;0,Planning[[#This Row],[Horas utilizadas]]/Planning[[#This Row],[Horas Planificadas]],0)</f>
        <v>#REF!</v>
      </c>
      <c r="W342" s="44">
        <f>Planning[[#This Row],[Horas Planificadas]]+Planning[[#This Row],[Horas ajustadas adicionales]]</f>
        <v>434</v>
      </c>
      <c r="X342" s="142"/>
    </row>
    <row r="343" spans="1:24" ht="12.75" customHeight="1" x14ac:dyDescent="0.2">
      <c r="A343" s="7"/>
      <c r="B343" s="7"/>
      <c r="C343" s="3"/>
      <c r="D343" s="3" t="s">
        <v>116</v>
      </c>
      <c r="E343" s="33" t="s">
        <v>28</v>
      </c>
      <c r="F343" s="3"/>
      <c r="G343" s="7"/>
      <c r="H343" s="7">
        <v>1137</v>
      </c>
      <c r="I343" s="12"/>
      <c r="J343" s="5" t="e">
        <f>+SUMIFS(#REF!,#REF!,Planning[[#This Row],[Tarifa]],#REF!,Planning[[#This Row],[Proyectos]])</f>
        <v>#REF!</v>
      </c>
      <c r="K343" s="5" t="e">
        <f>Planning[[#This Row],[Horas Planificadas]]+Planning[[#This Row],[Horas ajustadas adicionales]]-Planning[[#This Row],[Horas utilizadas]]</f>
        <v>#REF!</v>
      </c>
      <c r="L343" s="7"/>
      <c r="M343" s="19" t="e">
        <f>Planning[[#This Row],[Saldo]]-Planning[[#This Row],[Saldo estimado]]</f>
        <v>#REF!</v>
      </c>
      <c r="N343" s="60" t="e">
        <f>SUM(SUMIFS(#REF!,#REF!,Planning[[#This Row],[Proyectos]],#REF!,Planning[[#This Row],[Tipo de Tarea y especialidad]]),SUMIFS(#REF!,#REF!,Planning[[#This Row],[Proyectos]],#REF!,Planning[[#This Row],[Tipo de Tarea y especialidad]]))</f>
        <v>#REF!</v>
      </c>
      <c r="O343" s="19">
        <f t="shared" si="10"/>
        <v>10</v>
      </c>
      <c r="P343" s="19">
        <f t="shared" si="11"/>
        <v>2024</v>
      </c>
      <c r="Q343" s="19" t="e">
        <f>+SUMIFS(#REF!,#REF!,Planning[[#This Row],[Tarifa]],#REF!,Planning[[#This Row],[Proyectos]],#REF!,Planning[[#This Row],[Mes]],#REF!,Planning[[#This Row],[Año]])</f>
        <v>#REF!</v>
      </c>
      <c r="R343" s="19" t="str">
        <f>TEXT(Planning[[#This Row],[Mes]]*29,"mmmm")</f>
        <v>October</v>
      </c>
      <c r="S3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3" s="241"/>
      <c r="U343" s="43" t="e">
        <f>IF(Planning[[#This Row],[Horas Planificadas]]&lt;&gt;0,+K343/Planning[[#This Row],[Horas Planificadas]],0)</f>
        <v>#REF!</v>
      </c>
      <c r="V343" s="43" t="e">
        <f>IF(Planning[[#This Row],[Horas Planificadas]]&lt;&gt;0,Planning[[#This Row],[Horas utilizadas]]/Planning[[#This Row],[Horas Planificadas]],0)</f>
        <v>#REF!</v>
      </c>
      <c r="W343" s="44">
        <f>Planning[[#This Row],[Horas Planificadas]]+Planning[[#This Row],[Horas ajustadas adicionales]]</f>
        <v>1137</v>
      </c>
      <c r="X343" s="142"/>
    </row>
    <row r="344" spans="1:24" ht="12.75" customHeight="1" x14ac:dyDescent="0.2">
      <c r="A344" s="7"/>
      <c r="B344" s="7"/>
      <c r="C344" s="3"/>
      <c r="D344" s="3" t="s">
        <v>116</v>
      </c>
      <c r="E344" s="33" t="s">
        <v>30</v>
      </c>
      <c r="F344" s="3"/>
      <c r="G344" s="7"/>
      <c r="H344" s="7">
        <v>2168</v>
      </c>
      <c r="I344" s="12"/>
      <c r="J344" s="5" t="e">
        <f>+SUMIFS(#REF!,#REF!,Planning[[#This Row],[Tarifa]],#REF!,Planning[[#This Row],[Proyectos]])</f>
        <v>#REF!</v>
      </c>
      <c r="K344" s="5" t="e">
        <f>Planning[[#This Row],[Horas Planificadas]]+Planning[[#This Row],[Horas ajustadas adicionales]]-Planning[[#This Row],[Horas utilizadas]]</f>
        <v>#REF!</v>
      </c>
      <c r="L344" s="7"/>
      <c r="M344" s="19" t="e">
        <f>Planning[[#This Row],[Saldo]]-Planning[[#This Row],[Saldo estimado]]</f>
        <v>#REF!</v>
      </c>
      <c r="N344" s="60" t="e">
        <f>SUM(SUMIFS(#REF!,#REF!,Planning[[#This Row],[Proyectos]],#REF!,Planning[[#This Row],[Tipo de Tarea y especialidad]]),SUMIFS(#REF!,#REF!,Planning[[#This Row],[Proyectos]],#REF!,Planning[[#This Row],[Tipo de Tarea y especialidad]]))</f>
        <v>#REF!</v>
      </c>
      <c r="O344" s="19">
        <f t="shared" si="10"/>
        <v>10</v>
      </c>
      <c r="P344" s="19">
        <f t="shared" si="11"/>
        <v>2024</v>
      </c>
      <c r="Q344" s="19" t="e">
        <f>+SUMIFS(#REF!,#REF!,Planning[[#This Row],[Tarifa]],#REF!,Planning[[#This Row],[Proyectos]],#REF!,Planning[[#This Row],[Mes]],#REF!,Planning[[#This Row],[Año]])</f>
        <v>#REF!</v>
      </c>
      <c r="R344" s="19" t="str">
        <f>TEXT(Planning[[#This Row],[Mes]]*29,"mmmm")</f>
        <v>October</v>
      </c>
      <c r="S3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4" s="241"/>
      <c r="U344" s="43" t="e">
        <f>IF(Planning[[#This Row],[Horas Planificadas]]&lt;&gt;0,+K344/Planning[[#This Row],[Horas Planificadas]],0)</f>
        <v>#REF!</v>
      </c>
      <c r="V344" s="43" t="e">
        <f>IF(Planning[[#This Row],[Horas Planificadas]]&lt;&gt;0,Planning[[#This Row],[Horas utilizadas]]/Planning[[#This Row],[Horas Planificadas]],0)</f>
        <v>#REF!</v>
      </c>
      <c r="W344" s="44">
        <f>Planning[[#This Row],[Horas Planificadas]]+Planning[[#This Row],[Horas ajustadas adicionales]]</f>
        <v>2168</v>
      </c>
      <c r="X344" s="142"/>
    </row>
    <row r="345" spans="1:24" ht="12.75" customHeight="1" x14ac:dyDescent="0.2">
      <c r="A345" s="7"/>
      <c r="B345" s="7"/>
      <c r="C345" s="3"/>
      <c r="D345" s="3" t="s">
        <v>116</v>
      </c>
      <c r="E345" s="33" t="s">
        <v>31</v>
      </c>
      <c r="F345" s="3"/>
      <c r="G345" s="7"/>
      <c r="H345" s="7">
        <v>249</v>
      </c>
      <c r="I345" s="12"/>
      <c r="J345" s="5" t="e">
        <f>+SUMIFS(#REF!,#REF!,Planning[[#This Row],[Tarifa]],#REF!,Planning[[#This Row],[Proyectos]])</f>
        <v>#REF!</v>
      </c>
      <c r="K345" s="5" t="e">
        <f>Planning[[#This Row],[Horas Planificadas]]+Planning[[#This Row],[Horas ajustadas adicionales]]-Planning[[#This Row],[Horas utilizadas]]</f>
        <v>#REF!</v>
      </c>
      <c r="L345" s="7"/>
      <c r="M345" s="19" t="e">
        <f>Planning[[#This Row],[Saldo]]-Planning[[#This Row],[Saldo estimado]]</f>
        <v>#REF!</v>
      </c>
      <c r="N345" s="60" t="e">
        <f>SUM(SUMIFS(#REF!,#REF!,Planning[[#This Row],[Proyectos]],#REF!,Planning[[#This Row],[Tipo de Tarea y especialidad]]),SUMIFS(#REF!,#REF!,Planning[[#This Row],[Proyectos]],#REF!,Planning[[#This Row],[Tipo de Tarea y especialidad]]))</f>
        <v>#REF!</v>
      </c>
      <c r="O345" s="19">
        <f t="shared" si="10"/>
        <v>10</v>
      </c>
      <c r="P345" s="19">
        <f t="shared" si="11"/>
        <v>2024</v>
      </c>
      <c r="Q345" s="19" t="e">
        <f>+SUMIFS(#REF!,#REF!,Planning[[#This Row],[Tarifa]],#REF!,Planning[[#This Row],[Proyectos]],#REF!,Planning[[#This Row],[Mes]],#REF!,Planning[[#This Row],[Año]])</f>
        <v>#REF!</v>
      </c>
      <c r="R345" s="19" t="str">
        <f>TEXT(Planning[[#This Row],[Mes]]*29,"mmmm")</f>
        <v>October</v>
      </c>
      <c r="S3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5" s="241"/>
      <c r="U345" s="43" t="e">
        <f>IF(Planning[[#This Row],[Horas Planificadas]]&lt;&gt;0,+K345/Planning[[#This Row],[Horas Planificadas]],0)</f>
        <v>#REF!</v>
      </c>
      <c r="V345" s="43" t="e">
        <f>IF(Planning[[#This Row],[Horas Planificadas]]&lt;&gt;0,Planning[[#This Row],[Horas utilizadas]]/Planning[[#This Row],[Horas Planificadas]],0)</f>
        <v>#REF!</v>
      </c>
      <c r="W345" s="44">
        <f>Planning[[#This Row],[Horas Planificadas]]+Planning[[#This Row],[Horas ajustadas adicionales]]</f>
        <v>249</v>
      </c>
      <c r="X345" s="142"/>
    </row>
    <row r="346" spans="1:24" ht="12.75" customHeight="1" x14ac:dyDescent="0.2">
      <c r="A346" s="7"/>
      <c r="B346" s="7"/>
      <c r="C346" s="3"/>
      <c r="D346" s="3" t="s">
        <v>116</v>
      </c>
      <c r="E346" s="33" t="s">
        <v>32</v>
      </c>
      <c r="F346" s="3"/>
      <c r="G346" s="7"/>
      <c r="H346" s="7">
        <v>576</v>
      </c>
      <c r="I346" s="12"/>
      <c r="J346" s="5" t="e">
        <f>+SUMIFS(#REF!,#REF!,Planning[[#This Row],[Tarifa]],#REF!,Planning[[#This Row],[Proyectos]])</f>
        <v>#REF!</v>
      </c>
      <c r="K346" s="5" t="e">
        <f>Planning[[#This Row],[Horas Planificadas]]+Planning[[#This Row],[Horas ajustadas adicionales]]-Planning[[#This Row],[Horas utilizadas]]</f>
        <v>#REF!</v>
      </c>
      <c r="L346" s="7"/>
      <c r="M346" s="19" t="e">
        <f>Planning[[#This Row],[Saldo]]-Planning[[#This Row],[Saldo estimado]]</f>
        <v>#REF!</v>
      </c>
      <c r="N346" s="60" t="e">
        <f>SUM(SUMIFS(#REF!,#REF!,Planning[[#This Row],[Proyectos]],#REF!,Planning[[#This Row],[Tipo de Tarea y especialidad]]),SUMIFS(#REF!,#REF!,Planning[[#This Row],[Proyectos]],#REF!,Planning[[#This Row],[Tipo de Tarea y especialidad]]))</f>
        <v>#REF!</v>
      </c>
      <c r="O346" s="19">
        <f t="shared" si="10"/>
        <v>10</v>
      </c>
      <c r="P346" s="19">
        <f t="shared" si="11"/>
        <v>2024</v>
      </c>
      <c r="Q346" s="19" t="e">
        <f>+SUMIFS(#REF!,#REF!,Planning[[#This Row],[Tarifa]],#REF!,Planning[[#This Row],[Proyectos]],#REF!,Planning[[#This Row],[Mes]],#REF!,Planning[[#This Row],[Año]])</f>
        <v>#REF!</v>
      </c>
      <c r="R346" s="19" t="str">
        <f>TEXT(Planning[[#This Row],[Mes]]*29,"mmmm")</f>
        <v>October</v>
      </c>
      <c r="S3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6" s="241"/>
      <c r="U346" s="43" t="e">
        <f>IF(Planning[[#This Row],[Horas Planificadas]]&lt;&gt;0,+K346/Planning[[#This Row],[Horas Planificadas]],0)</f>
        <v>#REF!</v>
      </c>
      <c r="V346" s="43" t="e">
        <f>IF(Planning[[#This Row],[Horas Planificadas]]&lt;&gt;0,Planning[[#This Row],[Horas utilizadas]]/Planning[[#This Row],[Horas Planificadas]],0)</f>
        <v>#REF!</v>
      </c>
      <c r="W346" s="44">
        <f>Planning[[#This Row],[Horas Planificadas]]+Planning[[#This Row],[Horas ajustadas adicionales]]</f>
        <v>576</v>
      </c>
      <c r="X346" s="142"/>
    </row>
    <row r="347" spans="1:24" ht="12.75" customHeight="1" x14ac:dyDescent="0.2">
      <c r="A347" s="7" t="s">
        <v>117</v>
      </c>
      <c r="B347" s="7" t="s">
        <v>118</v>
      </c>
      <c r="C347" s="3"/>
      <c r="D347" s="3" t="s">
        <v>116</v>
      </c>
      <c r="E347" s="33" t="s">
        <v>28</v>
      </c>
      <c r="F347" s="3"/>
      <c r="G347" s="7">
        <v>1233</v>
      </c>
      <c r="H347" s="24">
        <f>SUM(H348:H349)</f>
        <v>1374</v>
      </c>
      <c r="I347" s="14"/>
      <c r="J347" s="14" t="e">
        <f>SUM(J348:J349)</f>
        <v>#REF!</v>
      </c>
      <c r="K347" s="14" t="e">
        <f>+Planning[[#This Row],[Horas Planificadas]]+Planning[[#This Row],[Horas ajustadas adicionales]]-Planning[[#This Row],[Horas utilizadas]]</f>
        <v>#REF!</v>
      </c>
      <c r="L347" s="15">
        <f>SUM(L348:L349)</f>
        <v>0</v>
      </c>
      <c r="M347" s="28" t="e">
        <f>SUM(M348:M349)</f>
        <v>#REF!</v>
      </c>
      <c r="N347" s="61"/>
      <c r="O347" s="28">
        <f t="shared" si="10"/>
        <v>10</v>
      </c>
      <c r="P347" s="28">
        <f t="shared" si="11"/>
        <v>2024</v>
      </c>
      <c r="Q347" s="28" t="e">
        <f>SUM(Q348:Q349)</f>
        <v>#REF!</v>
      </c>
      <c r="R347" s="28" t="str">
        <f>TEXT(Planning[[#This Row],[Mes]]*29,"mmmm")</f>
        <v>October</v>
      </c>
      <c r="S3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7" s="192" t="s">
        <v>119</v>
      </c>
      <c r="U347" s="43" t="e">
        <f>IF(Planning[[#This Row],[Horas Planificadas]]&lt;&gt;0,+K347/Planning[[#This Row],[Horas Planificadas]],0)</f>
        <v>#REF!</v>
      </c>
      <c r="V347" s="43" t="e">
        <f>IF(Planning[[#This Row],[Horas Planificadas]]&lt;&gt;0,Planning[[#This Row],[Horas utilizadas]]/Planning[[#This Row],[Horas Planificadas]],0)</f>
        <v>#REF!</v>
      </c>
      <c r="W347" s="44">
        <f>Planning[[#This Row],[Horas Planificadas]]+Planning[[#This Row],[Horas ajustadas adicionales]]</f>
        <v>1374</v>
      </c>
      <c r="X347" s="142"/>
    </row>
    <row r="348" spans="1:24" ht="12.75" customHeight="1" x14ac:dyDescent="0.2">
      <c r="A348" s="7" t="s">
        <v>117</v>
      </c>
      <c r="B348" s="7" t="s">
        <v>118</v>
      </c>
      <c r="C348" s="3"/>
      <c r="D348" s="3" t="s">
        <v>116</v>
      </c>
      <c r="E348" s="33"/>
      <c r="F348" s="3" t="s">
        <v>120</v>
      </c>
      <c r="G348" s="7"/>
      <c r="H348" s="7">
        <v>788</v>
      </c>
      <c r="I348" s="12"/>
      <c r="J348" s="5" t="e">
        <f>SUM(SUMIFS(#REF!,#REF!,Planning[[#This Row],[Tipo de Tarea y especialidad]],#REF!,Planning[[#This Row],[Proyectos Reiwa]]),SUMIFS(#REF!,#REF!,Planning[[#This Row],[Tipo de Tarea y especialidad]],#REF!,Planning[[#This Row],[Proyectos]]))</f>
        <v>#REF!</v>
      </c>
      <c r="K348" s="5" t="e">
        <f>+Planning[[#This Row],[Horas Planificadas]]+Planning[[#This Row],[Horas ajustadas adicionales]]-Planning[[#This Row],[Horas utilizadas]]</f>
        <v>#REF!</v>
      </c>
      <c r="L348" s="7">
        <v>0</v>
      </c>
      <c r="M348" s="19" t="e">
        <f>Planning[[#This Row],[Saldo]]-Planning[[#This Row],[Saldo estimado]]</f>
        <v>#REF!</v>
      </c>
      <c r="N348" s="60" t="e">
        <f>+SUMIFS(#REF!,#REF!,Planning[[#This Row],[Proyectos]],#REF!,Planning[[#This Row],[Tipo de Tarea y especialidad]])</f>
        <v>#REF!</v>
      </c>
      <c r="O348" s="19">
        <f t="shared" si="10"/>
        <v>10</v>
      </c>
      <c r="P348" s="19">
        <f t="shared" si="11"/>
        <v>2024</v>
      </c>
      <c r="Q3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8" s="19" t="str">
        <f>TEXT(Planning[[#This Row],[Mes]]*29,"mmmm")</f>
        <v>October</v>
      </c>
      <c r="S3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8" s="193"/>
      <c r="U348" s="43" t="e">
        <f>IF(Planning[[#This Row],[Horas Planificadas]]&lt;&gt;0,+K348/Planning[[#This Row],[Horas Planificadas]],0)</f>
        <v>#REF!</v>
      </c>
      <c r="V348" s="43" t="e">
        <f>IF(Planning[[#This Row],[Horas Planificadas]]&lt;&gt;0,Planning[[#This Row],[Horas utilizadas]]/Planning[[#This Row],[Horas Planificadas]],0)</f>
        <v>#REF!</v>
      </c>
      <c r="W348" s="44">
        <f>Planning[[#This Row],[Horas Planificadas]]+Planning[[#This Row],[Horas ajustadas adicionales]]</f>
        <v>788</v>
      </c>
      <c r="X348" s="142"/>
    </row>
    <row r="349" spans="1:24" ht="12.75" customHeight="1" x14ac:dyDescent="0.2">
      <c r="A349" s="7" t="s">
        <v>117</v>
      </c>
      <c r="B349" s="7" t="s">
        <v>118</v>
      </c>
      <c r="C349" s="3"/>
      <c r="D349" s="3" t="s">
        <v>116</v>
      </c>
      <c r="E349" s="33"/>
      <c r="F349" s="3" t="s">
        <v>121</v>
      </c>
      <c r="G349" s="7"/>
      <c r="H349" s="7">
        <v>586</v>
      </c>
      <c r="I349" s="12">
        <v>120</v>
      </c>
      <c r="J349" s="5" t="e">
        <f>SUM(SUMIFS(#REF!,#REF!,Planning[[#This Row],[Tipo de Tarea y especialidad]],#REF!,Planning[[#This Row],[Proyectos Reiwa]]),SUMIFS(#REF!,#REF!,Planning[[#This Row],[Tipo de Tarea y especialidad]],#REF!,Planning[[#This Row],[Proyectos]]))</f>
        <v>#REF!</v>
      </c>
      <c r="K349" s="5" t="e">
        <f>+Planning[[#This Row],[Horas Planificadas]]+Planning[[#This Row],[Horas ajustadas adicionales]]-Planning[[#This Row],[Horas utilizadas]]</f>
        <v>#REF!</v>
      </c>
      <c r="L349" s="7"/>
      <c r="M349" s="19" t="e">
        <f>Planning[[#This Row],[Saldo]]-Planning[[#This Row],[Saldo estimado]]</f>
        <v>#REF!</v>
      </c>
      <c r="N349" s="60" t="e">
        <f>+SUMIFS(#REF!,#REF!,Planning[[#This Row],[Proyectos]],#REF!,Planning[[#This Row],[Tipo de Tarea y especialidad]])</f>
        <v>#REF!</v>
      </c>
      <c r="O349" s="19">
        <f t="shared" si="10"/>
        <v>10</v>
      </c>
      <c r="P349" s="19">
        <f t="shared" si="11"/>
        <v>2024</v>
      </c>
      <c r="Q3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9" s="19" t="str">
        <f>TEXT(Planning[[#This Row],[Mes]]*29,"mmmm")</f>
        <v>October</v>
      </c>
      <c r="S3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9" s="193"/>
      <c r="U349" s="43" t="e">
        <f>IF(Planning[[#This Row],[Horas Planificadas]]&lt;&gt;0,+K349/Planning[[#This Row],[Horas Planificadas]],0)</f>
        <v>#REF!</v>
      </c>
      <c r="V349" s="43" t="e">
        <f>IF(Planning[[#This Row],[Horas Planificadas]]&lt;&gt;0,Planning[[#This Row],[Horas utilizadas]]/Planning[[#This Row],[Horas Planificadas]],0)</f>
        <v>#REF!</v>
      </c>
      <c r="W349" s="44">
        <f>Planning[[#This Row],[Horas Planificadas]]+Planning[[#This Row],[Horas ajustadas adicionales]]</f>
        <v>706</v>
      </c>
      <c r="X349" s="142"/>
    </row>
    <row r="350" spans="1:24" ht="12.75" customHeight="1" x14ac:dyDescent="0.2">
      <c r="A350" s="7" t="s">
        <v>117</v>
      </c>
      <c r="B350" s="7" t="s">
        <v>118</v>
      </c>
      <c r="C350" s="3"/>
      <c r="D350" s="3" t="s">
        <v>116</v>
      </c>
      <c r="E350" s="33" t="s">
        <v>30</v>
      </c>
      <c r="F350" s="3"/>
      <c r="G350" s="7">
        <v>1630</v>
      </c>
      <c r="H350" s="24">
        <f>SUM(H351:H357)</f>
        <v>2362</v>
      </c>
      <c r="I350" s="14"/>
      <c r="J350" s="14" t="e">
        <f>SUM(J351:J357)</f>
        <v>#REF!</v>
      </c>
      <c r="K350" s="14" t="e">
        <f>+Planning[[#This Row],[Horas Planificadas]]+Planning[[#This Row],[Horas ajustadas adicionales]]-Planning[[#This Row],[Horas utilizadas]]</f>
        <v>#REF!</v>
      </c>
      <c r="L350" s="15">
        <f>SUM(L351:L357)</f>
        <v>0</v>
      </c>
      <c r="M350" s="16" t="e">
        <f>SUM(M351:M357)</f>
        <v>#REF!</v>
      </c>
      <c r="N350" s="60"/>
      <c r="O350" s="16">
        <f t="shared" si="10"/>
        <v>10</v>
      </c>
      <c r="P350" s="16">
        <f t="shared" si="11"/>
        <v>2024</v>
      </c>
      <c r="Q350" s="16" t="e">
        <f>SUM(Q351:Q357)</f>
        <v>#REF!</v>
      </c>
      <c r="R350" s="16" t="str">
        <f>TEXT(Planning[[#This Row],[Mes]]*29,"mmmm")</f>
        <v>October</v>
      </c>
      <c r="S3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0" s="193"/>
      <c r="U350" s="43" t="e">
        <f>IF(Planning[[#This Row],[Horas Planificadas]]&lt;&gt;0,+K350/Planning[[#This Row],[Horas Planificadas]],0)</f>
        <v>#REF!</v>
      </c>
      <c r="V350" s="43" t="e">
        <f>IF(Planning[[#This Row],[Horas Planificadas]]&lt;&gt;0,Planning[[#This Row],[Horas utilizadas]]/Planning[[#This Row],[Horas Planificadas]],0)</f>
        <v>#REF!</v>
      </c>
      <c r="W350" s="44">
        <f>Planning[[#This Row],[Horas Planificadas]]+Planning[[#This Row],[Horas ajustadas adicionales]]</f>
        <v>2362</v>
      </c>
      <c r="X350" s="142"/>
    </row>
    <row r="351" spans="1:24" ht="12.75" customHeight="1" x14ac:dyDescent="0.2">
      <c r="A351" s="7" t="s">
        <v>117</v>
      </c>
      <c r="B351" s="7" t="s">
        <v>118</v>
      </c>
      <c r="C351" s="3"/>
      <c r="D351" s="3" t="s">
        <v>116</v>
      </c>
      <c r="E351" s="33"/>
      <c r="F351" s="3" t="s">
        <v>122</v>
      </c>
      <c r="G351" s="7"/>
      <c r="H351" s="7">
        <v>651</v>
      </c>
      <c r="I351" s="12">
        <v>176</v>
      </c>
      <c r="J351" s="5" t="e">
        <f>SUM(SUMIFS(#REF!,#REF!,Planning[[#This Row],[Tipo de Tarea y especialidad]],#REF!,Planning[[#This Row],[Proyectos Reiwa]]),SUMIFS(#REF!,#REF!,Planning[[#This Row],[Tipo de Tarea y especialidad]],#REF!,Planning[[#This Row],[Proyectos]]))</f>
        <v>#REF!</v>
      </c>
      <c r="K351" s="5" t="e">
        <f>+Planning[[#This Row],[Horas Planificadas]]+Planning[[#This Row],[Horas ajustadas adicionales]]-Planning[[#This Row],[Horas utilizadas]]</f>
        <v>#REF!</v>
      </c>
      <c r="L351" s="7"/>
      <c r="M351" s="19" t="e">
        <f>Planning[[#This Row],[Saldo]]-Planning[[#This Row],[Saldo estimado]]</f>
        <v>#REF!</v>
      </c>
      <c r="N351" s="60" t="e">
        <f>+SUMIFS(#REF!,#REF!,Planning[[#This Row],[Proyectos]],#REF!,Planning[[#This Row],[Tipo de Tarea y especialidad]])</f>
        <v>#REF!</v>
      </c>
      <c r="O351" s="19">
        <f t="shared" si="10"/>
        <v>10</v>
      </c>
      <c r="P351" s="19">
        <f t="shared" si="11"/>
        <v>2024</v>
      </c>
      <c r="Q3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1" s="19" t="str">
        <f>TEXT(Planning[[#This Row],[Mes]]*29,"mmmm")</f>
        <v>October</v>
      </c>
      <c r="S3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1" s="193"/>
      <c r="U351" s="43" t="e">
        <f>IF(Planning[[#This Row],[Horas Planificadas]]&lt;&gt;0,+K351/Planning[[#This Row],[Horas Planificadas]],0)</f>
        <v>#REF!</v>
      </c>
      <c r="V351" s="43" t="e">
        <f>IF(Planning[[#This Row],[Horas Planificadas]]&lt;&gt;0,Planning[[#This Row],[Horas utilizadas]]/Planning[[#This Row],[Horas Planificadas]],0)</f>
        <v>#REF!</v>
      </c>
      <c r="W351" s="44">
        <f>Planning[[#This Row],[Horas Planificadas]]+Planning[[#This Row],[Horas ajustadas adicionales]]</f>
        <v>827</v>
      </c>
      <c r="X351" s="142"/>
    </row>
    <row r="352" spans="1:24" ht="12.75" customHeight="1" x14ac:dyDescent="0.2">
      <c r="A352" s="7" t="s">
        <v>117</v>
      </c>
      <c r="B352" s="7" t="s">
        <v>118</v>
      </c>
      <c r="C352" s="3"/>
      <c r="D352" s="3" t="s">
        <v>116</v>
      </c>
      <c r="E352" s="33"/>
      <c r="F352" s="3" t="s">
        <v>123</v>
      </c>
      <c r="G352" s="7"/>
      <c r="H352" s="7">
        <v>585</v>
      </c>
      <c r="I352" s="12">
        <v>63</v>
      </c>
      <c r="J352" s="5" t="e">
        <f>SUM(SUMIFS(#REF!,#REF!,Planning[[#This Row],[Tipo de Tarea y especialidad]],#REF!,Planning[[#This Row],[Proyectos Reiwa]]),SUMIFS(#REF!,#REF!,Planning[[#This Row],[Tipo de Tarea y especialidad]],#REF!,Planning[[#This Row],[Proyectos]]))</f>
        <v>#REF!</v>
      </c>
      <c r="K352" s="5" t="e">
        <f>+Planning[[#This Row],[Horas Planificadas]]+Planning[[#This Row],[Horas ajustadas adicionales]]-Planning[[#This Row],[Horas utilizadas]]</f>
        <v>#REF!</v>
      </c>
      <c r="L352" s="7"/>
      <c r="M352" s="19" t="e">
        <f>Planning[[#This Row],[Saldo]]-Planning[[#This Row],[Saldo estimado]]</f>
        <v>#REF!</v>
      </c>
      <c r="N352" s="60" t="e">
        <f>+SUMIFS(#REF!,#REF!,Planning[[#This Row],[Proyectos]],#REF!,Planning[[#This Row],[Tipo de Tarea y especialidad]])</f>
        <v>#REF!</v>
      </c>
      <c r="O352" s="19">
        <f t="shared" si="10"/>
        <v>10</v>
      </c>
      <c r="P352" s="19">
        <f t="shared" si="11"/>
        <v>2024</v>
      </c>
      <c r="Q3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2" s="19" t="str">
        <f>TEXT(Planning[[#This Row],[Mes]]*29,"mmmm")</f>
        <v>October</v>
      </c>
      <c r="S3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2" s="193"/>
      <c r="U352" s="43" t="e">
        <f>IF(Planning[[#This Row],[Horas Planificadas]]&lt;&gt;0,+K352/Planning[[#This Row],[Horas Planificadas]],0)</f>
        <v>#REF!</v>
      </c>
      <c r="V352" s="43" t="e">
        <f>IF(Planning[[#This Row],[Horas Planificadas]]&lt;&gt;0,Planning[[#This Row],[Horas utilizadas]]/Planning[[#This Row],[Horas Planificadas]],0)</f>
        <v>#REF!</v>
      </c>
      <c r="W352" s="44">
        <f>Planning[[#This Row],[Horas Planificadas]]+Planning[[#This Row],[Horas ajustadas adicionales]]</f>
        <v>648</v>
      </c>
      <c r="X352" s="142"/>
    </row>
    <row r="353" spans="1:24" ht="12.75" customHeight="1" x14ac:dyDescent="0.2">
      <c r="A353" s="7" t="s">
        <v>117</v>
      </c>
      <c r="B353" s="7" t="s">
        <v>118</v>
      </c>
      <c r="C353" s="3"/>
      <c r="D353" s="3" t="s">
        <v>116</v>
      </c>
      <c r="E353" s="33"/>
      <c r="F353" s="3" t="s">
        <v>124</v>
      </c>
      <c r="G353" s="7"/>
      <c r="H353" s="7"/>
      <c r="I353" s="12"/>
      <c r="J353" s="5" t="e">
        <f>SUM(SUMIFS(#REF!,#REF!,Planning[[#This Row],[Tipo de Tarea y especialidad]],#REF!,Planning[[#This Row],[Proyectos Reiwa]]),SUMIFS(#REF!,#REF!,Planning[[#This Row],[Tipo de Tarea y especialidad]],#REF!,Planning[[#This Row],[Proyectos]]))</f>
        <v>#REF!</v>
      </c>
      <c r="K353" s="5" t="e">
        <f>+Planning[[#This Row],[Horas Planificadas]]+Planning[[#This Row],[Horas ajustadas adicionales]]-Planning[[#This Row],[Horas utilizadas]]</f>
        <v>#REF!</v>
      </c>
      <c r="L353" s="7"/>
      <c r="M353" s="19" t="e">
        <f>Planning[[#This Row],[Saldo]]-Planning[[#This Row],[Saldo estimado]]</f>
        <v>#REF!</v>
      </c>
      <c r="N353" s="60" t="e">
        <f>+SUMIFS(#REF!,#REF!,Planning[[#This Row],[Proyectos]],#REF!,Planning[[#This Row],[Tipo de Tarea y especialidad]])</f>
        <v>#REF!</v>
      </c>
      <c r="O353" s="19">
        <f t="shared" si="10"/>
        <v>10</v>
      </c>
      <c r="P353" s="19">
        <f t="shared" si="11"/>
        <v>2024</v>
      </c>
      <c r="Q3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3" s="19" t="str">
        <f>TEXT(Planning[[#This Row],[Mes]]*29,"mmmm")</f>
        <v>October</v>
      </c>
      <c r="S3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3" s="193"/>
      <c r="U353" s="43">
        <f>IF(Planning[[#This Row],[Horas Planificadas]]&lt;&gt;0,+K353/Planning[[#This Row],[Horas Planificadas]],0)</f>
        <v>0</v>
      </c>
      <c r="V353" s="43">
        <f>IF(Planning[[#This Row],[Horas Planificadas]]&lt;&gt;0,Planning[[#This Row],[Horas utilizadas]]/Planning[[#This Row],[Horas Planificadas]],0)</f>
        <v>0</v>
      </c>
      <c r="W353" s="44">
        <f>Planning[[#This Row],[Horas Planificadas]]+Planning[[#This Row],[Horas ajustadas adicionales]]</f>
        <v>0</v>
      </c>
      <c r="X353" s="142"/>
    </row>
    <row r="354" spans="1:24" ht="12.75" customHeight="1" x14ac:dyDescent="0.2">
      <c r="A354" s="7" t="s">
        <v>117</v>
      </c>
      <c r="B354" s="7" t="s">
        <v>118</v>
      </c>
      <c r="C354" s="3"/>
      <c r="D354" s="3" t="s">
        <v>116</v>
      </c>
      <c r="E354" s="33"/>
      <c r="F354" s="3" t="s">
        <v>125</v>
      </c>
      <c r="G354" s="7"/>
      <c r="H354" s="7">
        <v>369</v>
      </c>
      <c r="I354" s="12">
        <v>189</v>
      </c>
      <c r="J354" s="5" t="e">
        <f>SUM(SUMIFS(#REF!,#REF!,Planning[[#This Row],[Tipo de Tarea y especialidad]],#REF!,Planning[[#This Row],[Proyectos Reiwa]]),SUMIFS(#REF!,#REF!,Planning[[#This Row],[Tipo de Tarea y especialidad]],#REF!,Planning[[#This Row],[Proyectos]]))</f>
        <v>#REF!</v>
      </c>
      <c r="K354" s="5" t="e">
        <f>+Planning[[#This Row],[Horas Planificadas]]+Planning[[#This Row],[Horas ajustadas adicionales]]-Planning[[#This Row],[Horas utilizadas]]</f>
        <v>#REF!</v>
      </c>
      <c r="L354" s="7"/>
      <c r="M354" s="19" t="e">
        <f>Planning[[#This Row],[Saldo]]-Planning[[#This Row],[Saldo estimado]]</f>
        <v>#REF!</v>
      </c>
      <c r="N354" s="60" t="e">
        <f>+SUMIFS(#REF!,#REF!,Planning[[#This Row],[Proyectos]],#REF!,Planning[[#This Row],[Tipo de Tarea y especialidad]])</f>
        <v>#REF!</v>
      </c>
      <c r="O354" s="19">
        <f t="shared" si="10"/>
        <v>10</v>
      </c>
      <c r="P354" s="19">
        <f t="shared" si="11"/>
        <v>2024</v>
      </c>
      <c r="Q3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4" s="19" t="str">
        <f>TEXT(Planning[[#This Row],[Mes]]*29,"mmmm")</f>
        <v>October</v>
      </c>
      <c r="S3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4" s="193"/>
      <c r="U354" s="43" t="e">
        <f>IF(Planning[[#This Row],[Horas Planificadas]]&lt;&gt;0,+K354/Planning[[#This Row],[Horas Planificadas]],0)</f>
        <v>#REF!</v>
      </c>
      <c r="V354" s="43" t="e">
        <f>IF(Planning[[#This Row],[Horas Planificadas]]&lt;&gt;0,Planning[[#This Row],[Horas utilizadas]]/Planning[[#This Row],[Horas Planificadas]],0)</f>
        <v>#REF!</v>
      </c>
      <c r="W354" s="44">
        <f>Planning[[#This Row],[Horas Planificadas]]+Planning[[#This Row],[Horas ajustadas adicionales]]</f>
        <v>558</v>
      </c>
      <c r="X354" s="142"/>
    </row>
    <row r="355" spans="1:24" ht="12.75" customHeight="1" x14ac:dyDescent="0.2">
      <c r="A355" s="7">
        <v>174</v>
      </c>
      <c r="B355" s="7" t="s">
        <v>118</v>
      </c>
      <c r="C355" s="3"/>
      <c r="D355" s="3" t="s">
        <v>116</v>
      </c>
      <c r="E355" s="33"/>
      <c r="F355" s="3" t="s">
        <v>126</v>
      </c>
      <c r="G355" s="7"/>
      <c r="H355" s="7">
        <v>489</v>
      </c>
      <c r="I355" s="12">
        <v>154</v>
      </c>
      <c r="J355" s="5" t="e">
        <f>SUM(SUMIFS(#REF!,#REF!,Planning[[#This Row],[Tipo de Tarea y especialidad]],#REF!,Planning[[#This Row],[Proyectos Reiwa]]),SUMIFS(#REF!,#REF!,Planning[[#This Row],[Tipo de Tarea y especialidad]],#REF!,Planning[[#This Row],[Proyectos]]))</f>
        <v>#REF!</v>
      </c>
      <c r="K355" s="5" t="e">
        <f>+Planning[[#This Row],[Horas Planificadas]]+Planning[[#This Row],[Horas ajustadas adicionales]]-Planning[[#This Row],[Horas utilizadas]]</f>
        <v>#REF!</v>
      </c>
      <c r="L355" s="7"/>
      <c r="M355" s="19" t="e">
        <f>Planning[[#This Row],[Saldo]]-Planning[[#This Row],[Saldo estimado]]</f>
        <v>#REF!</v>
      </c>
      <c r="N355" s="60" t="e">
        <f>+SUMIFS(#REF!,#REF!,Planning[[#This Row],[Proyectos]],#REF!,Planning[[#This Row],[Tipo de Tarea y especialidad]])</f>
        <v>#REF!</v>
      </c>
      <c r="O355" s="19">
        <f t="shared" si="10"/>
        <v>10</v>
      </c>
      <c r="P355" s="19">
        <f t="shared" si="11"/>
        <v>2024</v>
      </c>
      <c r="Q3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5" s="19" t="str">
        <f>TEXT(Planning[[#This Row],[Mes]]*29,"mmmm")</f>
        <v>October</v>
      </c>
      <c r="S3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5" s="193"/>
      <c r="U355" s="43" t="e">
        <f>IF(Planning[[#This Row],[Horas Planificadas]]&lt;&gt;0,+K355/Planning[[#This Row],[Horas Planificadas]],0)</f>
        <v>#REF!</v>
      </c>
      <c r="V355" s="43" t="e">
        <f>IF(Planning[[#This Row],[Horas Planificadas]]&lt;&gt;0,Planning[[#This Row],[Horas utilizadas]]/Planning[[#This Row],[Horas Planificadas]],0)</f>
        <v>#REF!</v>
      </c>
      <c r="W355" s="44">
        <f>Planning[[#This Row],[Horas Planificadas]]+Planning[[#This Row],[Horas ajustadas adicionales]]</f>
        <v>643</v>
      </c>
      <c r="X355" s="142"/>
    </row>
    <row r="356" spans="1:24" ht="12.75" customHeight="1" x14ac:dyDescent="0.2">
      <c r="A356" s="7" t="s">
        <v>117</v>
      </c>
      <c r="B356" s="7" t="s">
        <v>118</v>
      </c>
      <c r="C356" s="3"/>
      <c r="D356" s="3" t="s">
        <v>116</v>
      </c>
      <c r="E356" s="33"/>
      <c r="F356" s="3" t="s">
        <v>127</v>
      </c>
      <c r="G356" s="7"/>
      <c r="H356" s="7">
        <v>268</v>
      </c>
      <c r="I356" s="12">
        <v>141</v>
      </c>
      <c r="J356" s="5" t="e">
        <f>SUM(SUMIFS(#REF!,#REF!,Planning[[#This Row],[Tipo de Tarea y especialidad]],#REF!,Planning[[#This Row],[Proyectos Reiwa]]),SUMIFS(#REF!,#REF!,Planning[[#This Row],[Tipo de Tarea y especialidad]],#REF!,Planning[[#This Row],[Proyectos]]))</f>
        <v>#REF!</v>
      </c>
      <c r="K356" s="5" t="e">
        <f>+Planning[[#This Row],[Horas Planificadas]]+Planning[[#This Row],[Horas ajustadas adicionales]]-Planning[[#This Row],[Horas utilizadas]]</f>
        <v>#REF!</v>
      </c>
      <c r="L356" s="7"/>
      <c r="M356" s="19" t="e">
        <f>Planning[[#This Row],[Saldo]]-Planning[[#This Row],[Saldo estimado]]</f>
        <v>#REF!</v>
      </c>
      <c r="N356" s="60" t="e">
        <f>+SUMIFS(#REF!,#REF!,Planning[[#This Row],[Proyectos]],#REF!,Planning[[#This Row],[Tipo de Tarea y especialidad]])</f>
        <v>#REF!</v>
      </c>
      <c r="O356" s="19">
        <f t="shared" si="10"/>
        <v>10</v>
      </c>
      <c r="P356" s="19">
        <f t="shared" si="11"/>
        <v>2024</v>
      </c>
      <c r="Q3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6" s="19" t="str">
        <f>TEXT(Planning[[#This Row],[Mes]]*29,"mmmm")</f>
        <v>October</v>
      </c>
      <c r="S3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6" s="193"/>
      <c r="U356" s="43" t="e">
        <f>IF(Planning[[#This Row],[Horas Planificadas]]&lt;&gt;0,+K356/Planning[[#This Row],[Horas Planificadas]],0)</f>
        <v>#REF!</v>
      </c>
      <c r="V356" s="43" t="e">
        <f>IF(Planning[[#This Row],[Horas Planificadas]]&lt;&gt;0,Planning[[#This Row],[Horas utilizadas]]/Planning[[#This Row],[Horas Planificadas]],0)</f>
        <v>#REF!</v>
      </c>
      <c r="W356" s="44">
        <f>Planning[[#This Row],[Horas Planificadas]]+Planning[[#This Row],[Horas ajustadas adicionales]]</f>
        <v>409</v>
      </c>
      <c r="X356" s="142"/>
    </row>
    <row r="357" spans="1:24" ht="12.75" customHeight="1" x14ac:dyDescent="0.2">
      <c r="A357" s="7" t="s">
        <v>117</v>
      </c>
      <c r="B357" s="7" t="s">
        <v>118</v>
      </c>
      <c r="C357" s="3"/>
      <c r="D357" s="3" t="s">
        <v>116</v>
      </c>
      <c r="E357" s="33"/>
      <c r="F357" s="3" t="s">
        <v>128</v>
      </c>
      <c r="G357" s="7"/>
      <c r="H357" s="7"/>
      <c r="I357" s="12"/>
      <c r="J357" s="5" t="e">
        <f>SUM(SUMIFS(#REF!,#REF!,Planning[[#This Row],[Tipo de Tarea y especialidad]],#REF!,Planning[[#This Row],[Proyectos Reiwa]]),SUMIFS(#REF!,#REF!,Planning[[#This Row],[Tipo de Tarea y especialidad]],#REF!,Planning[[#This Row],[Proyectos]]))</f>
        <v>#REF!</v>
      </c>
      <c r="K357" s="5" t="e">
        <f>+Planning[[#This Row],[Horas Planificadas]]+Planning[[#This Row],[Horas ajustadas adicionales]]-Planning[[#This Row],[Horas utilizadas]]</f>
        <v>#REF!</v>
      </c>
      <c r="L357" s="7"/>
      <c r="M357" s="19" t="e">
        <f>Planning[[#This Row],[Saldo]]-Planning[[#This Row],[Saldo estimado]]</f>
        <v>#REF!</v>
      </c>
      <c r="N357" s="60" t="e">
        <f>+SUMIFS(#REF!,#REF!,Planning[[#This Row],[Proyectos]],#REF!,Planning[[#This Row],[Tipo de Tarea y especialidad]])</f>
        <v>#REF!</v>
      </c>
      <c r="O357" s="19">
        <f t="shared" si="10"/>
        <v>10</v>
      </c>
      <c r="P357" s="19">
        <f t="shared" si="11"/>
        <v>2024</v>
      </c>
      <c r="Q3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7" s="19" t="str">
        <f>TEXT(Planning[[#This Row],[Mes]]*29,"mmmm")</f>
        <v>October</v>
      </c>
      <c r="S3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7" s="193"/>
      <c r="U357" s="43">
        <f>IF(Planning[[#This Row],[Horas Planificadas]]&lt;&gt;0,+K357/Planning[[#This Row],[Horas Planificadas]],0)</f>
        <v>0</v>
      </c>
      <c r="V357" s="43">
        <f>IF(Planning[[#This Row],[Horas Planificadas]]&lt;&gt;0,Planning[[#This Row],[Horas utilizadas]]/Planning[[#This Row],[Horas Planificadas]],0)</f>
        <v>0</v>
      </c>
      <c r="W357" s="44">
        <f>Planning[[#This Row],[Horas Planificadas]]+Planning[[#This Row],[Horas ajustadas adicionales]]</f>
        <v>0</v>
      </c>
      <c r="X357" s="142"/>
    </row>
    <row r="358" spans="1:24" ht="12.75" customHeight="1" x14ac:dyDescent="0.2">
      <c r="A358" s="7" t="s">
        <v>117</v>
      </c>
      <c r="B358" s="7" t="s">
        <v>118</v>
      </c>
      <c r="C358" s="3"/>
      <c r="D358" s="3" t="s">
        <v>116</v>
      </c>
      <c r="E358" s="33" t="s">
        <v>31</v>
      </c>
      <c r="F358" s="3" t="s">
        <v>31</v>
      </c>
      <c r="G358" s="7"/>
      <c r="H358" s="15">
        <f>Planning[[#This Row],[Horas Precálculo]]</f>
        <v>0</v>
      </c>
      <c r="I358" s="18"/>
      <c r="J358" s="14" t="e">
        <f>+SUMIFS(#REF!,#REF!,Planning[[#This Row],[Tarifa]],#REF!,Planning[[#This Row],[Proyectos]])</f>
        <v>#REF!</v>
      </c>
      <c r="K358" s="14" t="e">
        <f>+Planning[[#This Row],[Horas Planificadas]]+Planning[[#This Row],[Horas ajustadas adicionales]]-Planning[[#This Row],[Horas utilizadas]]</f>
        <v>#REF!</v>
      </c>
      <c r="L358" s="15">
        <v>0</v>
      </c>
      <c r="M358" s="16" t="e">
        <f>Planning[[#This Row],[Saldo]]-Planning[[#This Row],[Saldo estimado]]</f>
        <v>#REF!</v>
      </c>
      <c r="N358" s="60"/>
      <c r="O358" s="16">
        <f t="shared" si="10"/>
        <v>10</v>
      </c>
      <c r="P358" s="16">
        <f t="shared" si="11"/>
        <v>2024</v>
      </c>
      <c r="Q358" s="16" t="e">
        <f>+SUMIFS(#REF!,#REF!,Planning[[#This Row],[Tarifa]],#REF!,Planning[[#This Row],[Proyectos]],#REF!,Planning[[#This Row],[Mes]],#REF!,Planning[[#This Row],[Año]])</f>
        <v>#REF!</v>
      </c>
      <c r="R358" s="16" t="str">
        <f>TEXT(Planning[[#This Row],[Mes]]*29,"mmmm")</f>
        <v>October</v>
      </c>
      <c r="S3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8" s="193"/>
      <c r="U358" s="43">
        <f>IF(Planning[[#This Row],[Horas Planificadas]]&lt;&gt;0,+K358/Planning[[#This Row],[Horas Planificadas]],0)</f>
        <v>0</v>
      </c>
      <c r="V358" s="43">
        <f>IF(Planning[[#This Row],[Horas Planificadas]]&lt;&gt;0,Planning[[#This Row],[Horas utilizadas]]/Planning[[#This Row],[Horas Planificadas]],0)</f>
        <v>0</v>
      </c>
      <c r="W358" s="44">
        <f>Planning[[#This Row],[Horas Planificadas]]+Planning[[#This Row],[Horas ajustadas adicionales]]</f>
        <v>0</v>
      </c>
      <c r="X358" s="142"/>
    </row>
    <row r="359" spans="1:24" ht="12.75" customHeight="1" x14ac:dyDescent="0.2">
      <c r="A359" s="7" t="s">
        <v>117</v>
      </c>
      <c r="B359" s="7" t="s">
        <v>118</v>
      </c>
      <c r="C359" s="3"/>
      <c r="D359" s="3" t="s">
        <v>116</v>
      </c>
      <c r="E359" s="33" t="s">
        <v>32</v>
      </c>
      <c r="F359" s="3"/>
      <c r="G359" s="7">
        <v>422</v>
      </c>
      <c r="H359" s="24">
        <f>SUM(H360:H362)</f>
        <v>456</v>
      </c>
      <c r="I359" s="14"/>
      <c r="J359" s="14" t="e">
        <f>SUM(J360:J362)</f>
        <v>#REF!</v>
      </c>
      <c r="K359" s="14" t="e">
        <f>+Planning[[#This Row],[Horas Planificadas]]+Planning[[#This Row],[Horas ajustadas adicionales]]-Planning[[#This Row],[Horas utilizadas]]</f>
        <v>#REF!</v>
      </c>
      <c r="L359" s="15">
        <f>SUM(L360:L362)</f>
        <v>0</v>
      </c>
      <c r="M359" s="16" t="e">
        <f>SUM(M360:M362)</f>
        <v>#REF!</v>
      </c>
      <c r="N359" s="60"/>
      <c r="O359" s="16">
        <f t="shared" si="10"/>
        <v>10</v>
      </c>
      <c r="P359" s="16">
        <f t="shared" si="11"/>
        <v>2024</v>
      </c>
      <c r="Q359" s="16" t="e">
        <f>SUM(Q360:Q362)</f>
        <v>#REF!</v>
      </c>
      <c r="R359" s="16" t="str">
        <f>TEXT(Planning[[#This Row],[Mes]]*29,"mmmm")</f>
        <v>October</v>
      </c>
      <c r="S3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9" s="193"/>
      <c r="U359" s="43" t="e">
        <f>IF(Planning[[#This Row],[Horas Planificadas]]&lt;&gt;0,+K359/Planning[[#This Row],[Horas Planificadas]],0)</f>
        <v>#REF!</v>
      </c>
      <c r="V359" s="43" t="e">
        <f>IF(Planning[[#This Row],[Horas Planificadas]]&lt;&gt;0,Planning[[#This Row],[Horas utilizadas]]/Planning[[#This Row],[Horas Planificadas]],0)</f>
        <v>#REF!</v>
      </c>
      <c r="W359" s="44">
        <f>Planning[[#This Row],[Horas Planificadas]]+Planning[[#This Row],[Horas ajustadas adicionales]]</f>
        <v>456</v>
      </c>
      <c r="X359" s="142"/>
    </row>
    <row r="360" spans="1:24" ht="12.75" customHeight="1" x14ac:dyDescent="0.2">
      <c r="A360" s="7" t="s">
        <v>117</v>
      </c>
      <c r="B360" s="7" t="s">
        <v>118</v>
      </c>
      <c r="C360" s="3"/>
      <c r="D360" s="3" t="s">
        <v>116</v>
      </c>
      <c r="E360" s="33"/>
      <c r="F360" s="3" t="s">
        <v>129</v>
      </c>
      <c r="G360" s="7"/>
      <c r="H360" s="7">
        <v>215</v>
      </c>
      <c r="I360" s="12"/>
      <c r="J360" s="5" t="e">
        <f>SUM(SUMIFS(#REF!,#REF!,Planning[[#This Row],[Tipo de Tarea y especialidad]],#REF!,Planning[[#This Row],[Proyectos Reiwa]]),SUMIFS(#REF!,#REF!,Planning[[#This Row],[Tipo de Tarea y especialidad]],#REF!,Planning[[#This Row],[Proyectos]]))</f>
        <v>#REF!</v>
      </c>
      <c r="K360" s="5" t="e">
        <f>+Planning[[#This Row],[Horas Planificadas]]+Planning[[#This Row],[Horas ajustadas adicionales]]-Planning[[#This Row],[Horas utilizadas]]</f>
        <v>#REF!</v>
      </c>
      <c r="L360" s="7"/>
      <c r="M360" s="19" t="e">
        <f>Planning[[#This Row],[Saldo]]-Planning[[#This Row],[Saldo estimado]]</f>
        <v>#REF!</v>
      </c>
      <c r="N360" s="60" t="e">
        <f>+SUMIFS(#REF!,#REF!,Planning[[#This Row],[Proyectos]],#REF!,Planning[[#This Row],[Tipo de Tarea y especialidad]])</f>
        <v>#REF!</v>
      </c>
      <c r="O360" s="19">
        <f t="shared" si="10"/>
        <v>10</v>
      </c>
      <c r="P360" s="19">
        <f t="shared" si="11"/>
        <v>2024</v>
      </c>
      <c r="Q3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0" s="19" t="str">
        <f>TEXT(Planning[[#This Row],[Mes]]*29,"mmmm")</f>
        <v>October</v>
      </c>
      <c r="S3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0" s="193"/>
      <c r="U360" s="43" t="e">
        <f>IF(Planning[[#This Row],[Horas Planificadas]]&lt;&gt;0,+K360/Planning[[#This Row],[Horas Planificadas]],0)</f>
        <v>#REF!</v>
      </c>
      <c r="V360" s="43" t="e">
        <f>IF(Planning[[#This Row],[Horas Planificadas]]&lt;&gt;0,Planning[[#This Row],[Horas utilizadas]]/Planning[[#This Row],[Horas Planificadas]],0)</f>
        <v>#REF!</v>
      </c>
      <c r="W360" s="44">
        <f>Planning[[#This Row],[Horas Planificadas]]+Planning[[#This Row],[Horas ajustadas adicionales]]</f>
        <v>215</v>
      </c>
      <c r="X360" s="142"/>
    </row>
    <row r="361" spans="1:24" ht="12.75" customHeight="1" x14ac:dyDescent="0.2">
      <c r="A361" s="7" t="s">
        <v>117</v>
      </c>
      <c r="B361" s="7" t="s">
        <v>118</v>
      </c>
      <c r="C361" s="3"/>
      <c r="D361" s="3" t="s">
        <v>116</v>
      </c>
      <c r="E361" s="33"/>
      <c r="F361" s="3" t="s">
        <v>130</v>
      </c>
      <c r="G361" s="7"/>
      <c r="H361" s="7">
        <v>241</v>
      </c>
      <c r="I361" s="12"/>
      <c r="J361" s="5" t="e">
        <f>SUM(SUMIFS(#REF!,#REF!,Planning[[#This Row],[Tipo de Tarea y especialidad]],#REF!,Planning[[#This Row],[Proyectos Reiwa]]),SUMIFS(#REF!,#REF!,Planning[[#This Row],[Tipo de Tarea y especialidad]],#REF!,Planning[[#This Row],[Proyectos]]))</f>
        <v>#REF!</v>
      </c>
      <c r="K361" s="5" t="e">
        <f>+Planning[[#This Row],[Horas Planificadas]]+Planning[[#This Row],[Horas ajustadas adicionales]]-Planning[[#This Row],[Horas utilizadas]]</f>
        <v>#REF!</v>
      </c>
      <c r="L361" s="7"/>
      <c r="M361" s="19" t="e">
        <f>Planning[[#This Row],[Saldo]]-Planning[[#This Row],[Saldo estimado]]</f>
        <v>#REF!</v>
      </c>
      <c r="N361" s="60" t="e">
        <f>+SUMIFS(#REF!,#REF!,Planning[[#This Row],[Proyectos]],#REF!,Planning[[#This Row],[Tipo de Tarea y especialidad]])</f>
        <v>#REF!</v>
      </c>
      <c r="O361" s="19">
        <f t="shared" si="10"/>
        <v>10</v>
      </c>
      <c r="P361" s="19">
        <f t="shared" si="11"/>
        <v>2024</v>
      </c>
      <c r="Q3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1" s="19" t="str">
        <f>TEXT(Planning[[#This Row],[Mes]]*29,"mmmm")</f>
        <v>October</v>
      </c>
      <c r="S3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1" s="193"/>
      <c r="U361" s="43" t="e">
        <f>IF(Planning[[#This Row],[Horas Planificadas]]&lt;&gt;0,+K361/Planning[[#This Row],[Horas Planificadas]],0)</f>
        <v>#REF!</v>
      </c>
      <c r="V361" s="43" t="e">
        <f>IF(Planning[[#This Row],[Horas Planificadas]]&lt;&gt;0,Planning[[#This Row],[Horas utilizadas]]/Planning[[#This Row],[Horas Planificadas]],0)</f>
        <v>#REF!</v>
      </c>
      <c r="W361" s="44">
        <f>Planning[[#This Row],[Horas Planificadas]]+Planning[[#This Row],[Horas ajustadas adicionales]]</f>
        <v>241</v>
      </c>
      <c r="X361" s="142"/>
    </row>
    <row r="362" spans="1:24" ht="12.75" customHeight="1" x14ac:dyDescent="0.2">
      <c r="A362" s="7" t="s">
        <v>117</v>
      </c>
      <c r="B362" s="7" t="s">
        <v>118</v>
      </c>
      <c r="C362" s="3"/>
      <c r="D362" s="3" t="s">
        <v>116</v>
      </c>
      <c r="E362" s="33"/>
      <c r="F362" s="3" t="s">
        <v>131</v>
      </c>
      <c r="G362" s="7"/>
      <c r="H362" s="7"/>
      <c r="I362" s="12"/>
      <c r="J362" s="5" t="e">
        <f>SUM(SUMIFS(#REF!,#REF!,Planning[[#This Row],[Tipo de Tarea y especialidad]],#REF!,Planning[[#This Row],[Proyectos Reiwa]]),SUMIFS(#REF!,#REF!,Planning[[#This Row],[Tipo de Tarea y especialidad]],#REF!,Planning[[#This Row],[Proyectos]]))</f>
        <v>#REF!</v>
      </c>
      <c r="K362" s="5" t="e">
        <f>+Planning[[#This Row],[Horas Planificadas]]+Planning[[#This Row],[Horas ajustadas adicionales]]-Planning[[#This Row],[Horas utilizadas]]</f>
        <v>#REF!</v>
      </c>
      <c r="L362" s="7"/>
      <c r="M362" s="19" t="e">
        <f>Planning[[#This Row],[Saldo]]-Planning[[#This Row],[Saldo estimado]]</f>
        <v>#REF!</v>
      </c>
      <c r="N362" s="60" t="e">
        <f>+SUMIFS(#REF!,#REF!,Planning[[#This Row],[Proyectos]],#REF!,Planning[[#This Row],[Tipo de Tarea y especialidad]])</f>
        <v>#REF!</v>
      </c>
      <c r="O362" s="19">
        <f t="shared" si="10"/>
        <v>10</v>
      </c>
      <c r="P362" s="19">
        <f t="shared" si="11"/>
        <v>2024</v>
      </c>
      <c r="Q3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2" s="19" t="str">
        <f>TEXT(Planning[[#This Row],[Mes]]*29,"mmmm")</f>
        <v>October</v>
      </c>
      <c r="S3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2" s="193"/>
      <c r="U362" s="43">
        <f>IF(Planning[[#This Row],[Horas Planificadas]]&lt;&gt;0,+K362/Planning[[#This Row],[Horas Planificadas]],0)</f>
        <v>0</v>
      </c>
      <c r="V362" s="43">
        <f>IF(Planning[[#This Row],[Horas Planificadas]]&lt;&gt;0,Planning[[#This Row],[Horas utilizadas]]/Planning[[#This Row],[Horas Planificadas]],0)</f>
        <v>0</v>
      </c>
      <c r="W362" s="44">
        <f>Planning[[#This Row],[Horas Planificadas]]+Planning[[#This Row],[Horas ajustadas adicionales]]</f>
        <v>0</v>
      </c>
      <c r="X362" s="142"/>
    </row>
    <row r="363" spans="1:24" ht="12.75" customHeight="1" x14ac:dyDescent="0.2">
      <c r="A363" s="7"/>
      <c r="B363" s="7"/>
      <c r="C363" s="3"/>
      <c r="D363" s="3" t="s">
        <v>132</v>
      </c>
      <c r="E363" s="33" t="s">
        <v>28</v>
      </c>
      <c r="F363" s="3"/>
      <c r="G363" s="7"/>
      <c r="H363" s="7">
        <v>681</v>
      </c>
      <c r="I363" s="12"/>
      <c r="J363" s="5" t="e">
        <f>+SUMIFS(#REF!,#REF!,Planning[[#This Row],[Tarifa]],#REF!,Planning[[#This Row],[Proyectos]])</f>
        <v>#REF!</v>
      </c>
      <c r="K363" s="5" t="e">
        <f>Planning[[#This Row],[Horas Planificadas]]+Planning[[#This Row],[Horas ajustadas adicionales]]-Planning[[#This Row],[Horas utilizadas]]</f>
        <v>#REF!</v>
      </c>
      <c r="L363" s="7"/>
      <c r="M363" s="19" t="e">
        <f>Planning[[#This Row],[Saldo]]-Planning[[#This Row],[Saldo estimado]]</f>
        <v>#REF!</v>
      </c>
      <c r="N363" s="60" t="e">
        <f>+SUMIFS(#REF!,#REF!,Planning[[#This Row],[Proyectos]],#REF!,Planning[[#This Row],[Tipo de Tarea y especialidad]])</f>
        <v>#REF!</v>
      </c>
      <c r="O363" s="19">
        <f t="shared" si="10"/>
        <v>10</v>
      </c>
      <c r="P363" s="19">
        <f t="shared" si="11"/>
        <v>2024</v>
      </c>
      <c r="Q363" s="19" t="e">
        <f>+SUMIFS(#REF!,#REF!,Planning[[#This Row],[Tarifa]],#REF!,Planning[[#This Row],[Proyectos]],#REF!,Planning[[#This Row],[Mes]],#REF!,Planning[[#This Row],[Año]])</f>
        <v>#REF!</v>
      </c>
      <c r="R363" s="19" t="str">
        <f>TEXT(Planning[[#This Row],[Mes]]*29,"mmmm")</f>
        <v>October</v>
      </c>
      <c r="S3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3" s="228"/>
      <c r="U363" s="43" t="e">
        <f>IF(Planning[[#This Row],[Horas Planificadas]]&lt;&gt;0,+K363/Planning[[#This Row],[Horas Planificadas]],0)</f>
        <v>#REF!</v>
      </c>
      <c r="V363" s="43" t="e">
        <f>IF(Planning[[#This Row],[Horas Planificadas]]&lt;&gt;0,Planning[[#This Row],[Horas utilizadas]]/Planning[[#This Row],[Horas Planificadas]],0)</f>
        <v>#REF!</v>
      </c>
      <c r="W363" s="44">
        <f>Planning[[#This Row],[Horas Planificadas]]+Planning[[#This Row],[Horas ajustadas adicionales]]</f>
        <v>681</v>
      </c>
      <c r="X363" s="142"/>
    </row>
    <row r="364" spans="1:24" ht="12.75" customHeight="1" x14ac:dyDescent="0.2">
      <c r="A364" s="7"/>
      <c r="B364" s="7"/>
      <c r="C364" s="3"/>
      <c r="D364" s="3" t="s">
        <v>132</v>
      </c>
      <c r="E364" s="33" t="s">
        <v>30</v>
      </c>
      <c r="F364" s="3"/>
      <c r="G364" s="7"/>
      <c r="H364" s="7">
        <v>581</v>
      </c>
      <c r="I364" s="12"/>
      <c r="J364" s="5" t="e">
        <f>+SUMIFS(#REF!,#REF!,Planning[[#This Row],[Tarifa]],#REF!,Planning[[#This Row],[Proyectos]])</f>
        <v>#REF!</v>
      </c>
      <c r="K364" s="5" t="e">
        <f>Planning[[#This Row],[Horas Planificadas]]+Planning[[#This Row],[Horas ajustadas adicionales]]-Planning[[#This Row],[Horas utilizadas]]</f>
        <v>#REF!</v>
      </c>
      <c r="L364" s="7"/>
      <c r="M364" s="19" t="e">
        <f>Planning[[#This Row],[Saldo]]-Planning[[#This Row],[Saldo estimado]]</f>
        <v>#REF!</v>
      </c>
      <c r="N364" s="60" t="e">
        <f>+SUMIFS(#REF!,#REF!,Planning[[#This Row],[Proyectos]],#REF!,Planning[[#This Row],[Tipo de Tarea y especialidad]])</f>
        <v>#REF!</v>
      </c>
      <c r="O364" s="19">
        <f t="shared" si="10"/>
        <v>10</v>
      </c>
      <c r="P364" s="19">
        <f t="shared" si="11"/>
        <v>2024</v>
      </c>
      <c r="Q364" s="19" t="e">
        <f>+SUMIFS(#REF!,#REF!,Planning[[#This Row],[Tarifa]],#REF!,Planning[[#This Row],[Proyectos]],#REF!,Planning[[#This Row],[Mes]],#REF!,Planning[[#This Row],[Año]])</f>
        <v>#REF!</v>
      </c>
      <c r="R364" s="19" t="str">
        <f>TEXT(Planning[[#This Row],[Mes]]*29,"mmmm")</f>
        <v>October</v>
      </c>
      <c r="S3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4" s="228"/>
      <c r="U364" s="43" t="e">
        <f>IF(Planning[[#This Row],[Horas Planificadas]]&lt;&gt;0,+K364/Planning[[#This Row],[Horas Planificadas]],0)</f>
        <v>#REF!</v>
      </c>
      <c r="V364" s="43" t="e">
        <f>IF(Planning[[#This Row],[Horas Planificadas]]&lt;&gt;0,Planning[[#This Row],[Horas utilizadas]]/Planning[[#This Row],[Horas Planificadas]],0)</f>
        <v>#REF!</v>
      </c>
      <c r="W364" s="44">
        <f>Planning[[#This Row],[Horas Planificadas]]+Planning[[#This Row],[Horas ajustadas adicionales]]</f>
        <v>581</v>
      </c>
      <c r="X364" s="142"/>
    </row>
    <row r="365" spans="1:24" ht="12.75" customHeight="1" x14ac:dyDescent="0.2">
      <c r="A365" s="7"/>
      <c r="B365" s="7"/>
      <c r="C365" s="3"/>
      <c r="D365" s="3" t="s">
        <v>132</v>
      </c>
      <c r="E365" s="33" t="s">
        <v>31</v>
      </c>
      <c r="F365" s="3"/>
      <c r="G365" s="7"/>
      <c r="H365" s="7">
        <v>153</v>
      </c>
      <c r="I365" s="12"/>
      <c r="J365" s="5" t="e">
        <f>+SUMIFS(#REF!,#REF!,Planning[[#This Row],[Tarifa]],#REF!,Planning[[#This Row],[Proyectos]])</f>
        <v>#REF!</v>
      </c>
      <c r="K365" s="5" t="e">
        <f>Planning[[#This Row],[Horas Planificadas]]+Planning[[#This Row],[Horas ajustadas adicionales]]-Planning[[#This Row],[Horas utilizadas]]</f>
        <v>#REF!</v>
      </c>
      <c r="L365" s="7"/>
      <c r="M365" s="19" t="e">
        <f>Planning[[#This Row],[Saldo]]-Planning[[#This Row],[Saldo estimado]]</f>
        <v>#REF!</v>
      </c>
      <c r="N365" s="60" t="e">
        <f>+SUMIFS(#REF!,#REF!,Planning[[#This Row],[Proyectos]],#REF!,Planning[[#This Row],[Tipo de Tarea y especialidad]])</f>
        <v>#REF!</v>
      </c>
      <c r="O365" s="19">
        <f t="shared" si="10"/>
        <v>10</v>
      </c>
      <c r="P365" s="19">
        <f t="shared" si="11"/>
        <v>2024</v>
      </c>
      <c r="Q365" s="19" t="e">
        <f>+SUMIFS(#REF!,#REF!,Planning[[#This Row],[Tarifa]],#REF!,Planning[[#This Row],[Proyectos]],#REF!,Planning[[#This Row],[Mes]],#REF!,Planning[[#This Row],[Año]])</f>
        <v>#REF!</v>
      </c>
      <c r="R365" s="19" t="str">
        <f>TEXT(Planning[[#This Row],[Mes]]*29,"mmmm")</f>
        <v>October</v>
      </c>
      <c r="S3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5" s="228"/>
      <c r="U365" s="43" t="e">
        <f>IF(Planning[[#This Row],[Horas Planificadas]]&lt;&gt;0,+K365/Planning[[#This Row],[Horas Planificadas]],0)</f>
        <v>#REF!</v>
      </c>
      <c r="V365" s="43" t="e">
        <f>IF(Planning[[#This Row],[Horas Planificadas]]&lt;&gt;0,Planning[[#This Row],[Horas utilizadas]]/Planning[[#This Row],[Horas Planificadas]],0)</f>
        <v>#REF!</v>
      </c>
      <c r="W365" s="44">
        <f>Planning[[#This Row],[Horas Planificadas]]+Planning[[#This Row],[Horas ajustadas adicionales]]</f>
        <v>153</v>
      </c>
      <c r="X365" s="142"/>
    </row>
    <row r="366" spans="1:24" ht="12.75" customHeight="1" x14ac:dyDescent="0.2">
      <c r="A366" s="7"/>
      <c r="B366" s="7"/>
      <c r="C366" s="3"/>
      <c r="D366" s="3" t="s">
        <v>132</v>
      </c>
      <c r="E366" s="33" t="s">
        <v>32</v>
      </c>
      <c r="F366" s="3"/>
      <c r="G366" s="7"/>
      <c r="H366" s="7">
        <v>180</v>
      </c>
      <c r="I366" s="12"/>
      <c r="J366" s="5" t="e">
        <f>+SUMIFS(#REF!,#REF!,Planning[[#This Row],[Tarifa]],#REF!,Planning[[#This Row],[Proyectos]])</f>
        <v>#REF!</v>
      </c>
      <c r="K366" s="5" t="e">
        <f>Planning[[#This Row],[Horas Planificadas]]+Planning[[#This Row],[Horas ajustadas adicionales]]-Planning[[#This Row],[Horas utilizadas]]</f>
        <v>#REF!</v>
      </c>
      <c r="L366" s="7"/>
      <c r="M366" s="19" t="e">
        <f>Planning[[#This Row],[Saldo]]-Planning[[#This Row],[Saldo estimado]]</f>
        <v>#REF!</v>
      </c>
      <c r="N366" s="60" t="e">
        <f>+SUMIFS(#REF!,#REF!,Planning[[#This Row],[Proyectos]],#REF!,Planning[[#This Row],[Tipo de Tarea y especialidad]])</f>
        <v>#REF!</v>
      </c>
      <c r="O366" s="19">
        <f t="shared" si="10"/>
        <v>10</v>
      </c>
      <c r="P366" s="19">
        <f t="shared" si="11"/>
        <v>2024</v>
      </c>
      <c r="Q366" s="19" t="e">
        <f>+SUMIFS(#REF!,#REF!,Planning[[#This Row],[Tarifa]],#REF!,Planning[[#This Row],[Proyectos]],#REF!,Planning[[#This Row],[Mes]],#REF!,Planning[[#This Row],[Año]])</f>
        <v>#REF!</v>
      </c>
      <c r="R366" s="19" t="str">
        <f>TEXT(Planning[[#This Row],[Mes]]*29,"mmmm")</f>
        <v>October</v>
      </c>
      <c r="S3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6" s="228"/>
      <c r="U366" s="43" t="e">
        <f>IF(Planning[[#This Row],[Horas Planificadas]]&lt;&gt;0,+K366/Planning[[#This Row],[Horas Planificadas]],0)</f>
        <v>#REF!</v>
      </c>
      <c r="V366" s="43" t="e">
        <f>IF(Planning[[#This Row],[Horas Planificadas]]&lt;&gt;0,Planning[[#This Row],[Horas utilizadas]]/Planning[[#This Row],[Horas Planificadas]],0)</f>
        <v>#REF!</v>
      </c>
      <c r="W366" s="44">
        <f>Planning[[#This Row],[Horas Planificadas]]+Planning[[#This Row],[Horas ajustadas adicionales]]</f>
        <v>180</v>
      </c>
      <c r="X366" s="142"/>
    </row>
    <row r="367" spans="1:24" ht="12.75" customHeight="1" x14ac:dyDescent="0.2">
      <c r="A367" s="7"/>
      <c r="B367" s="7"/>
      <c r="C367" s="3"/>
      <c r="D367" s="3" t="s">
        <v>133</v>
      </c>
      <c r="E367" s="33" t="s">
        <v>28</v>
      </c>
      <c r="F367" s="3"/>
      <c r="G367" s="7"/>
      <c r="H367" s="7">
        <v>0</v>
      </c>
      <c r="I367" s="12"/>
      <c r="J367" s="5" t="e">
        <f>+SUMIFS(#REF!,#REF!,Planning[[#This Row],[Tarifa]],#REF!,Planning[[#This Row],[Proyectos]])</f>
        <v>#REF!</v>
      </c>
      <c r="K367" s="5" t="e">
        <f>Planning[[#This Row],[Horas Planificadas]]+Planning[[#This Row],[Horas ajustadas adicionales]]-Planning[[#This Row],[Horas utilizadas]]</f>
        <v>#REF!</v>
      </c>
      <c r="L367" s="7"/>
      <c r="M367" s="19" t="e">
        <f>Planning[[#This Row],[Saldo]]-Planning[[#This Row],[Saldo estimado]]</f>
        <v>#REF!</v>
      </c>
      <c r="N367" s="60" t="e">
        <f>+SUMIFS(#REF!,#REF!,Planning[[#This Row],[Proyectos]],#REF!,Planning[[#This Row],[Tipo de Tarea y especialidad]])</f>
        <v>#REF!</v>
      </c>
      <c r="O367" s="19">
        <f t="shared" si="10"/>
        <v>10</v>
      </c>
      <c r="P367" s="19">
        <f t="shared" si="11"/>
        <v>2024</v>
      </c>
      <c r="Q367" s="19" t="e">
        <f>+SUMIFS(#REF!,#REF!,Planning[[#This Row],[Tarifa]],#REF!,Planning[[#This Row],[Proyectos]],#REF!,Planning[[#This Row],[Mes]],#REF!,Planning[[#This Row],[Año]])</f>
        <v>#REF!</v>
      </c>
      <c r="R367" s="19" t="str">
        <f>TEXT(Planning[[#This Row],[Mes]]*29,"mmmm")</f>
        <v>October</v>
      </c>
      <c r="S3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7" s="228"/>
      <c r="U367" s="43">
        <f>IF(Planning[[#This Row],[Horas Planificadas]]&lt;&gt;0,+K367/Planning[[#This Row],[Horas Planificadas]],0)</f>
        <v>0</v>
      </c>
      <c r="V367" s="43">
        <f>IF(Planning[[#This Row],[Horas Planificadas]]&lt;&gt;0,Planning[[#This Row],[Horas utilizadas]]/Planning[[#This Row],[Horas Planificadas]],0)</f>
        <v>0</v>
      </c>
      <c r="W367" s="44">
        <f>Planning[[#This Row],[Horas Planificadas]]+Planning[[#This Row],[Horas ajustadas adicionales]]</f>
        <v>0</v>
      </c>
      <c r="X367" s="142"/>
    </row>
    <row r="368" spans="1:24" ht="12.75" customHeight="1" x14ac:dyDescent="0.2">
      <c r="A368" s="7"/>
      <c r="B368" s="7"/>
      <c r="C368" s="3"/>
      <c r="D368" s="3" t="s">
        <v>133</v>
      </c>
      <c r="E368" s="33" t="s">
        <v>30</v>
      </c>
      <c r="F368" s="3"/>
      <c r="G368" s="7"/>
      <c r="H368" s="7">
        <v>63</v>
      </c>
      <c r="I368" s="12"/>
      <c r="J368" s="5" t="e">
        <f>+SUMIFS(#REF!,#REF!,Planning[[#This Row],[Tarifa]],#REF!,Planning[[#This Row],[Proyectos]])</f>
        <v>#REF!</v>
      </c>
      <c r="K368" s="5" t="e">
        <f>Planning[[#This Row],[Horas Planificadas]]+Planning[[#This Row],[Horas ajustadas adicionales]]-Planning[[#This Row],[Horas utilizadas]]</f>
        <v>#REF!</v>
      </c>
      <c r="L368" s="7"/>
      <c r="M368" s="19" t="e">
        <f>Planning[[#This Row],[Saldo]]-Planning[[#This Row],[Saldo estimado]]</f>
        <v>#REF!</v>
      </c>
      <c r="N368" s="60" t="e">
        <f>+SUMIFS(#REF!,#REF!,Planning[[#This Row],[Proyectos]],#REF!,Planning[[#This Row],[Tipo de Tarea y especialidad]])</f>
        <v>#REF!</v>
      </c>
      <c r="O368" s="19">
        <f t="shared" si="10"/>
        <v>10</v>
      </c>
      <c r="P368" s="19">
        <f t="shared" si="11"/>
        <v>2024</v>
      </c>
      <c r="Q368" s="19" t="e">
        <f>+SUMIFS(#REF!,#REF!,Planning[[#This Row],[Tarifa]],#REF!,Planning[[#This Row],[Proyectos]],#REF!,Planning[[#This Row],[Mes]],#REF!,Planning[[#This Row],[Año]])</f>
        <v>#REF!</v>
      </c>
      <c r="R368" s="19" t="str">
        <f>TEXT(Planning[[#This Row],[Mes]]*29,"mmmm")</f>
        <v>October</v>
      </c>
      <c r="S3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8" s="228"/>
      <c r="U368" s="43" t="e">
        <f>IF(Planning[[#This Row],[Horas Planificadas]]&lt;&gt;0,+K368/Planning[[#This Row],[Horas Planificadas]],0)</f>
        <v>#REF!</v>
      </c>
      <c r="V368" s="43" t="e">
        <f>IF(Planning[[#This Row],[Horas Planificadas]]&lt;&gt;0,Planning[[#This Row],[Horas utilizadas]]/Planning[[#This Row],[Horas Planificadas]],0)</f>
        <v>#REF!</v>
      </c>
      <c r="W368" s="44">
        <f>Planning[[#This Row],[Horas Planificadas]]+Planning[[#This Row],[Horas ajustadas adicionales]]</f>
        <v>63</v>
      </c>
      <c r="X368" s="142"/>
    </row>
    <row r="369" spans="1:24" ht="12.75" customHeight="1" x14ac:dyDescent="0.2">
      <c r="A369" s="7"/>
      <c r="B369" s="7"/>
      <c r="C369" s="3"/>
      <c r="D369" s="3" t="s">
        <v>133</v>
      </c>
      <c r="E369" s="33" t="s">
        <v>31</v>
      </c>
      <c r="F369" s="3"/>
      <c r="G369" s="7"/>
      <c r="H369" s="7">
        <v>16</v>
      </c>
      <c r="I369" s="12"/>
      <c r="J369" s="5" t="e">
        <f>+SUMIFS(#REF!,#REF!,Planning[[#This Row],[Tarifa]],#REF!,Planning[[#This Row],[Proyectos]])</f>
        <v>#REF!</v>
      </c>
      <c r="K369" s="5" t="e">
        <f>Planning[[#This Row],[Horas Planificadas]]+Planning[[#This Row],[Horas ajustadas adicionales]]-Planning[[#This Row],[Horas utilizadas]]</f>
        <v>#REF!</v>
      </c>
      <c r="L369" s="7"/>
      <c r="M369" s="19" t="e">
        <f>Planning[[#This Row],[Saldo]]-Planning[[#This Row],[Saldo estimado]]</f>
        <v>#REF!</v>
      </c>
      <c r="N369" s="60" t="e">
        <f>+SUMIFS(#REF!,#REF!,Planning[[#This Row],[Proyectos]],#REF!,Planning[[#This Row],[Tipo de Tarea y especialidad]])</f>
        <v>#REF!</v>
      </c>
      <c r="O369" s="19">
        <f t="shared" si="10"/>
        <v>10</v>
      </c>
      <c r="P369" s="19">
        <f t="shared" si="11"/>
        <v>2024</v>
      </c>
      <c r="Q369" s="19" t="e">
        <f>+SUMIFS(#REF!,#REF!,Planning[[#This Row],[Tarifa]],#REF!,Planning[[#This Row],[Proyectos]],#REF!,Planning[[#This Row],[Mes]],#REF!,Planning[[#This Row],[Año]])</f>
        <v>#REF!</v>
      </c>
      <c r="R369" s="19" t="str">
        <f>TEXT(Planning[[#This Row],[Mes]]*29,"mmmm")</f>
        <v>October</v>
      </c>
      <c r="S3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9" s="228"/>
      <c r="U369" s="43" t="e">
        <f>IF(Planning[[#This Row],[Horas Planificadas]]&lt;&gt;0,+K369/Planning[[#This Row],[Horas Planificadas]],0)</f>
        <v>#REF!</v>
      </c>
      <c r="V369" s="43" t="e">
        <f>IF(Planning[[#This Row],[Horas Planificadas]]&lt;&gt;0,Planning[[#This Row],[Horas utilizadas]]/Planning[[#This Row],[Horas Planificadas]],0)</f>
        <v>#REF!</v>
      </c>
      <c r="W369" s="44">
        <f>Planning[[#This Row],[Horas Planificadas]]+Planning[[#This Row],[Horas ajustadas adicionales]]</f>
        <v>16</v>
      </c>
      <c r="X369" s="142"/>
    </row>
    <row r="370" spans="1:24" ht="12.75" customHeight="1" x14ac:dyDescent="0.2">
      <c r="A370" s="7"/>
      <c r="B370" s="7"/>
      <c r="C370" s="3"/>
      <c r="D370" s="3" t="s">
        <v>133</v>
      </c>
      <c r="E370" s="33" t="s">
        <v>32</v>
      </c>
      <c r="F370" s="3"/>
      <c r="G370" s="7"/>
      <c r="H370" s="7">
        <v>0</v>
      </c>
      <c r="I370" s="12"/>
      <c r="J370" s="5" t="e">
        <f>+SUMIFS(#REF!,#REF!,Planning[[#This Row],[Tarifa]],#REF!,Planning[[#This Row],[Proyectos]])</f>
        <v>#REF!</v>
      </c>
      <c r="K370" s="5" t="e">
        <f>Planning[[#This Row],[Horas Planificadas]]+Planning[[#This Row],[Horas ajustadas adicionales]]-Planning[[#This Row],[Horas utilizadas]]</f>
        <v>#REF!</v>
      </c>
      <c r="L370" s="7"/>
      <c r="M370" s="19" t="e">
        <f>Planning[[#This Row],[Saldo]]-Planning[[#This Row],[Saldo estimado]]</f>
        <v>#REF!</v>
      </c>
      <c r="N370" s="60" t="e">
        <f>+SUMIFS(#REF!,#REF!,Planning[[#This Row],[Proyectos]],#REF!,Planning[[#This Row],[Tipo de Tarea y especialidad]])</f>
        <v>#REF!</v>
      </c>
      <c r="O370" s="19">
        <f t="shared" si="10"/>
        <v>10</v>
      </c>
      <c r="P370" s="19">
        <f t="shared" si="11"/>
        <v>2024</v>
      </c>
      <c r="Q370" s="19" t="e">
        <f>+SUMIFS(#REF!,#REF!,Planning[[#This Row],[Tarifa]],#REF!,Planning[[#This Row],[Proyectos]],#REF!,Planning[[#This Row],[Mes]],#REF!,Planning[[#This Row],[Año]])</f>
        <v>#REF!</v>
      </c>
      <c r="R370" s="19" t="str">
        <f>TEXT(Planning[[#This Row],[Mes]]*29,"mmmm")</f>
        <v>October</v>
      </c>
      <c r="S3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0" s="228"/>
      <c r="U370" s="43">
        <f>IF(Planning[[#This Row],[Horas Planificadas]]&lt;&gt;0,+K370/Planning[[#This Row],[Horas Planificadas]],0)</f>
        <v>0</v>
      </c>
      <c r="V370" s="43">
        <f>IF(Planning[[#This Row],[Horas Planificadas]]&lt;&gt;0,Planning[[#This Row],[Horas utilizadas]]/Planning[[#This Row],[Horas Planificadas]],0)</f>
        <v>0</v>
      </c>
      <c r="W370" s="44">
        <f>Planning[[#This Row],[Horas Planificadas]]+Planning[[#This Row],[Horas ajustadas adicionales]]</f>
        <v>0</v>
      </c>
      <c r="X370" s="142"/>
    </row>
    <row r="371" spans="1:24" ht="12.75" customHeight="1" x14ac:dyDescent="0.2">
      <c r="A371" s="7"/>
      <c r="B371" s="7"/>
      <c r="C371" s="3"/>
      <c r="D371" s="3" t="s">
        <v>134</v>
      </c>
      <c r="E371" s="33" t="s">
        <v>28</v>
      </c>
      <c r="F371" s="3"/>
      <c r="G371" s="7"/>
      <c r="H371" s="7">
        <v>2448</v>
      </c>
      <c r="I371" s="12"/>
      <c r="J371" s="5" t="e">
        <f>+SUMIFS(#REF!,#REF!,Planning[[#This Row],[Tarifa]],#REF!,Planning[[#This Row],[Proyectos]])</f>
        <v>#REF!</v>
      </c>
      <c r="K371" s="5" t="e">
        <f>Planning[[#This Row],[Horas Planificadas]]+Planning[[#This Row],[Horas ajustadas adicionales]]-Planning[[#This Row],[Horas utilizadas]]</f>
        <v>#REF!</v>
      </c>
      <c r="L371" s="7"/>
      <c r="M371" s="19" t="e">
        <f>Planning[[#This Row],[Saldo]]-Planning[[#This Row],[Saldo estimado]]</f>
        <v>#REF!</v>
      </c>
      <c r="N371" s="60" t="e">
        <f>+SUMIFS(#REF!,#REF!,Planning[[#This Row],[Proyectos]],#REF!,Planning[[#This Row],[Tipo de Tarea y especialidad]])</f>
        <v>#REF!</v>
      </c>
      <c r="O371" s="19">
        <f t="shared" si="10"/>
        <v>10</v>
      </c>
      <c r="P371" s="19">
        <f t="shared" si="11"/>
        <v>2024</v>
      </c>
      <c r="Q371" s="19" t="e">
        <f>+SUMIFS(#REF!,#REF!,Planning[[#This Row],[Tarifa]],#REF!,Planning[[#This Row],[Proyectos]],#REF!,Planning[[#This Row],[Mes]],#REF!,Planning[[#This Row],[Año]])</f>
        <v>#REF!</v>
      </c>
      <c r="R371" s="19" t="str">
        <f>TEXT(Planning[[#This Row],[Mes]]*29,"mmmm")</f>
        <v>October</v>
      </c>
      <c r="S3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1" s="228"/>
      <c r="U371" s="43" t="e">
        <f>IF(Planning[[#This Row],[Horas Planificadas]]&lt;&gt;0,+K371/Planning[[#This Row],[Horas Planificadas]],0)</f>
        <v>#REF!</v>
      </c>
      <c r="V371" s="43" t="e">
        <f>IF(Planning[[#This Row],[Horas Planificadas]]&lt;&gt;0,Planning[[#This Row],[Horas utilizadas]]/Planning[[#This Row],[Horas Planificadas]],0)</f>
        <v>#REF!</v>
      </c>
      <c r="W371" s="44">
        <f>Planning[[#This Row],[Horas Planificadas]]+Planning[[#This Row],[Horas ajustadas adicionales]]</f>
        <v>2448</v>
      </c>
      <c r="X371" s="142"/>
    </row>
    <row r="372" spans="1:24" ht="12.75" customHeight="1" x14ac:dyDescent="0.2">
      <c r="A372" s="7"/>
      <c r="B372" s="7"/>
      <c r="C372" s="3"/>
      <c r="D372" s="3" t="s">
        <v>134</v>
      </c>
      <c r="E372" s="33" t="s">
        <v>30</v>
      </c>
      <c r="F372" s="3"/>
      <c r="G372" s="7"/>
      <c r="H372" s="7">
        <v>2495</v>
      </c>
      <c r="I372" s="12"/>
      <c r="J372" s="5" t="e">
        <f>+SUMIFS(#REF!,#REF!,Planning[[#This Row],[Tarifa]],#REF!,Planning[[#This Row],[Proyectos]])</f>
        <v>#REF!</v>
      </c>
      <c r="K372" s="5" t="e">
        <f>Planning[[#This Row],[Horas Planificadas]]+Planning[[#This Row],[Horas ajustadas adicionales]]-Planning[[#This Row],[Horas utilizadas]]</f>
        <v>#REF!</v>
      </c>
      <c r="L372" s="7"/>
      <c r="M372" s="19" t="e">
        <f>Planning[[#This Row],[Saldo]]-Planning[[#This Row],[Saldo estimado]]</f>
        <v>#REF!</v>
      </c>
      <c r="N372" s="60" t="e">
        <f>+SUMIFS(#REF!,#REF!,Planning[[#This Row],[Proyectos]],#REF!,Planning[[#This Row],[Tipo de Tarea y especialidad]])</f>
        <v>#REF!</v>
      </c>
      <c r="O372" s="19">
        <f t="shared" si="10"/>
        <v>10</v>
      </c>
      <c r="P372" s="19">
        <f t="shared" si="11"/>
        <v>2024</v>
      </c>
      <c r="Q372" s="19" t="e">
        <f>+SUMIFS(#REF!,#REF!,Planning[[#This Row],[Tarifa]],#REF!,Planning[[#This Row],[Proyectos]],#REF!,Planning[[#This Row],[Mes]],#REF!,Planning[[#This Row],[Año]])</f>
        <v>#REF!</v>
      </c>
      <c r="R372" s="19" t="str">
        <f>TEXT(Planning[[#This Row],[Mes]]*29,"mmmm")</f>
        <v>October</v>
      </c>
      <c r="S3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2" s="228"/>
      <c r="U372" s="43" t="e">
        <f>IF(Planning[[#This Row],[Horas Planificadas]]&lt;&gt;0,+K372/Planning[[#This Row],[Horas Planificadas]],0)</f>
        <v>#REF!</v>
      </c>
      <c r="V372" s="43" t="e">
        <f>IF(Planning[[#This Row],[Horas Planificadas]]&lt;&gt;0,Planning[[#This Row],[Horas utilizadas]]/Planning[[#This Row],[Horas Planificadas]],0)</f>
        <v>#REF!</v>
      </c>
      <c r="W372" s="44">
        <f>Planning[[#This Row],[Horas Planificadas]]+Planning[[#This Row],[Horas ajustadas adicionales]]</f>
        <v>2495</v>
      </c>
      <c r="X372" s="142"/>
    </row>
    <row r="373" spans="1:24" ht="12.75" customHeight="1" x14ac:dyDescent="0.2">
      <c r="A373" s="7"/>
      <c r="B373" s="7"/>
      <c r="C373" s="3"/>
      <c r="D373" s="3" t="s">
        <v>134</v>
      </c>
      <c r="E373" s="33" t="s">
        <v>31</v>
      </c>
      <c r="F373" s="3"/>
      <c r="G373" s="7"/>
      <c r="H373" s="7">
        <v>457</v>
      </c>
      <c r="I373" s="12"/>
      <c r="J373" s="5" t="e">
        <f>+SUMIFS(#REF!,#REF!,Planning[[#This Row],[Tarifa]],#REF!,Planning[[#This Row],[Proyectos]])</f>
        <v>#REF!</v>
      </c>
      <c r="K373" s="5" t="e">
        <f>Planning[[#This Row],[Horas Planificadas]]+Planning[[#This Row],[Horas ajustadas adicionales]]-Planning[[#This Row],[Horas utilizadas]]</f>
        <v>#REF!</v>
      </c>
      <c r="L373" s="7"/>
      <c r="M373" s="19" t="e">
        <f>Planning[[#This Row],[Saldo]]-Planning[[#This Row],[Saldo estimado]]</f>
        <v>#REF!</v>
      </c>
      <c r="N373" s="60" t="e">
        <f>+SUMIFS(#REF!,#REF!,Planning[[#This Row],[Proyectos]],#REF!,Planning[[#This Row],[Tipo de Tarea y especialidad]])</f>
        <v>#REF!</v>
      </c>
      <c r="O373" s="19">
        <f t="shared" si="10"/>
        <v>10</v>
      </c>
      <c r="P373" s="19">
        <f t="shared" si="11"/>
        <v>2024</v>
      </c>
      <c r="Q373" s="19" t="e">
        <f>+SUMIFS(#REF!,#REF!,Planning[[#This Row],[Tarifa]],#REF!,Planning[[#This Row],[Proyectos]],#REF!,Planning[[#This Row],[Mes]],#REF!,Planning[[#This Row],[Año]])</f>
        <v>#REF!</v>
      </c>
      <c r="R373" s="19" t="str">
        <f>TEXT(Planning[[#This Row],[Mes]]*29,"mmmm")</f>
        <v>October</v>
      </c>
      <c r="S3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3" s="228"/>
      <c r="U373" s="43" t="e">
        <f>IF(Planning[[#This Row],[Horas Planificadas]]&lt;&gt;0,+K373/Planning[[#This Row],[Horas Planificadas]],0)</f>
        <v>#REF!</v>
      </c>
      <c r="V373" s="43" t="e">
        <f>IF(Planning[[#This Row],[Horas Planificadas]]&lt;&gt;0,Planning[[#This Row],[Horas utilizadas]]/Planning[[#This Row],[Horas Planificadas]],0)</f>
        <v>#REF!</v>
      </c>
      <c r="W373" s="44">
        <f>Planning[[#This Row],[Horas Planificadas]]+Planning[[#This Row],[Horas ajustadas adicionales]]</f>
        <v>457</v>
      </c>
      <c r="X373" s="142"/>
    </row>
    <row r="374" spans="1:24" ht="12.75" customHeight="1" x14ac:dyDescent="0.2">
      <c r="A374" s="7"/>
      <c r="B374" s="7"/>
      <c r="C374" s="3"/>
      <c r="D374" s="3" t="s">
        <v>134</v>
      </c>
      <c r="E374" s="33" t="s">
        <v>32</v>
      </c>
      <c r="F374" s="3"/>
      <c r="G374" s="7"/>
      <c r="H374" s="7">
        <v>644</v>
      </c>
      <c r="I374" s="12"/>
      <c r="J374" s="5" t="e">
        <f>+SUMIFS(#REF!,#REF!,Planning[[#This Row],[Tarifa]],#REF!,Planning[[#This Row],[Proyectos]])</f>
        <v>#REF!</v>
      </c>
      <c r="K374" s="5" t="e">
        <f>Planning[[#This Row],[Horas Planificadas]]+Planning[[#This Row],[Horas ajustadas adicionales]]-Planning[[#This Row],[Horas utilizadas]]</f>
        <v>#REF!</v>
      </c>
      <c r="L374" s="7"/>
      <c r="M374" s="19" t="e">
        <f>Planning[[#This Row],[Saldo]]-Planning[[#This Row],[Saldo estimado]]</f>
        <v>#REF!</v>
      </c>
      <c r="N374" s="60" t="e">
        <f>+SUMIFS(#REF!,#REF!,Planning[[#This Row],[Proyectos]],#REF!,Planning[[#This Row],[Tipo de Tarea y especialidad]])</f>
        <v>#REF!</v>
      </c>
      <c r="O374" s="19">
        <f t="shared" si="10"/>
        <v>10</v>
      </c>
      <c r="P374" s="19">
        <f t="shared" si="11"/>
        <v>2024</v>
      </c>
      <c r="Q374" s="19" t="e">
        <f>+SUMIFS(#REF!,#REF!,Planning[[#This Row],[Tarifa]],#REF!,Planning[[#This Row],[Proyectos]],#REF!,Planning[[#This Row],[Mes]],#REF!,Planning[[#This Row],[Año]])</f>
        <v>#REF!</v>
      </c>
      <c r="R374" s="19" t="str">
        <f>TEXT(Planning[[#This Row],[Mes]]*29,"mmmm")</f>
        <v>October</v>
      </c>
      <c r="S3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4" s="228"/>
      <c r="U374" s="43" t="e">
        <f>IF(Planning[[#This Row],[Horas Planificadas]]&lt;&gt;0,+K374/Planning[[#This Row],[Horas Planificadas]],0)</f>
        <v>#REF!</v>
      </c>
      <c r="V374" s="43" t="e">
        <f>IF(Planning[[#This Row],[Horas Planificadas]]&lt;&gt;0,Planning[[#This Row],[Horas utilizadas]]/Planning[[#This Row],[Horas Planificadas]],0)</f>
        <v>#REF!</v>
      </c>
      <c r="W374" s="44">
        <f>Planning[[#This Row],[Horas Planificadas]]+Planning[[#This Row],[Horas ajustadas adicionales]]</f>
        <v>644</v>
      </c>
      <c r="X374" s="142"/>
    </row>
    <row r="375" spans="1:24" ht="12.75" customHeight="1" x14ac:dyDescent="0.2">
      <c r="A375" s="7"/>
      <c r="B375" s="7"/>
      <c r="C375" s="3"/>
      <c r="D375" s="3" t="s">
        <v>135</v>
      </c>
      <c r="E375" s="33" t="s">
        <v>28</v>
      </c>
      <c r="F375" s="3"/>
      <c r="G375" s="7"/>
      <c r="H375" s="7">
        <v>80</v>
      </c>
      <c r="I375" s="12"/>
      <c r="J375" s="5" t="e">
        <f>+SUMIFS(#REF!,#REF!,Planning[[#This Row],[Tarifa]],#REF!,Planning[[#This Row],[Proyectos]])</f>
        <v>#REF!</v>
      </c>
      <c r="K375" s="5" t="e">
        <f>Planning[[#This Row],[Horas Planificadas]]+Planning[[#This Row],[Horas ajustadas adicionales]]-Planning[[#This Row],[Horas utilizadas]]</f>
        <v>#REF!</v>
      </c>
      <c r="L375" s="7"/>
      <c r="M375" s="19" t="e">
        <f>Planning[[#This Row],[Saldo]]-Planning[[#This Row],[Saldo estimado]]</f>
        <v>#REF!</v>
      </c>
      <c r="N375" s="60" t="e">
        <f>+SUMIFS(#REF!,#REF!,Planning[[#This Row],[Proyectos]],#REF!,Planning[[#This Row],[Tipo de Tarea y especialidad]])</f>
        <v>#REF!</v>
      </c>
      <c r="O375" s="19">
        <f t="shared" si="10"/>
        <v>10</v>
      </c>
      <c r="P375" s="19">
        <f t="shared" si="11"/>
        <v>2024</v>
      </c>
      <c r="Q375" s="19" t="e">
        <f>+SUMIFS(#REF!,#REF!,Planning[[#This Row],[Tarifa]],#REF!,Planning[[#This Row],[Proyectos]],#REF!,Planning[[#This Row],[Mes]],#REF!,Planning[[#This Row],[Año]])</f>
        <v>#REF!</v>
      </c>
      <c r="R375" s="19" t="str">
        <f>TEXT(Planning[[#This Row],[Mes]]*29,"mmmm")</f>
        <v>October</v>
      </c>
      <c r="S3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5" s="228"/>
      <c r="U375" s="43" t="e">
        <f>IF(Planning[[#This Row],[Horas Planificadas]]&lt;&gt;0,+K375/Planning[[#This Row],[Horas Planificadas]],0)</f>
        <v>#REF!</v>
      </c>
      <c r="V375" s="43" t="e">
        <f>IF(Planning[[#This Row],[Horas Planificadas]]&lt;&gt;0,Planning[[#This Row],[Horas utilizadas]]/Planning[[#This Row],[Horas Planificadas]],0)</f>
        <v>#REF!</v>
      </c>
      <c r="W375" s="44">
        <f>Planning[[#This Row],[Horas Planificadas]]+Planning[[#This Row],[Horas ajustadas adicionales]]</f>
        <v>80</v>
      </c>
      <c r="X375" s="142"/>
    </row>
    <row r="376" spans="1:24" ht="12.75" customHeight="1" x14ac:dyDescent="0.2">
      <c r="A376" s="7"/>
      <c r="B376" s="7"/>
      <c r="C376" s="3"/>
      <c r="D376" s="3" t="s">
        <v>135</v>
      </c>
      <c r="E376" s="33" t="s">
        <v>30</v>
      </c>
      <c r="F376" s="3"/>
      <c r="G376" s="7"/>
      <c r="H376" s="7">
        <v>320</v>
      </c>
      <c r="I376" s="12"/>
      <c r="J376" s="5" t="e">
        <f>+SUMIFS(#REF!,#REF!,Planning[[#This Row],[Tarifa]],#REF!,Planning[[#This Row],[Proyectos]])</f>
        <v>#REF!</v>
      </c>
      <c r="K376" s="5" t="e">
        <f>Planning[[#This Row],[Horas Planificadas]]+Planning[[#This Row],[Horas ajustadas adicionales]]-Planning[[#This Row],[Horas utilizadas]]</f>
        <v>#REF!</v>
      </c>
      <c r="L376" s="7"/>
      <c r="M376" s="19" t="e">
        <f>Planning[[#This Row],[Saldo]]-Planning[[#This Row],[Saldo estimado]]</f>
        <v>#REF!</v>
      </c>
      <c r="N376" s="60" t="e">
        <f>+SUMIFS(#REF!,#REF!,Planning[[#This Row],[Proyectos]],#REF!,Planning[[#This Row],[Tipo de Tarea y especialidad]])</f>
        <v>#REF!</v>
      </c>
      <c r="O376" s="19">
        <f t="shared" si="10"/>
        <v>10</v>
      </c>
      <c r="P376" s="19">
        <f t="shared" si="11"/>
        <v>2024</v>
      </c>
      <c r="Q376" s="19" t="e">
        <f>+SUMIFS(#REF!,#REF!,Planning[[#This Row],[Tarifa]],#REF!,Planning[[#This Row],[Proyectos]],#REF!,Planning[[#This Row],[Mes]],#REF!,Planning[[#This Row],[Año]])</f>
        <v>#REF!</v>
      </c>
      <c r="R376" s="19" t="str">
        <f>TEXT(Planning[[#This Row],[Mes]]*29,"mmmm")</f>
        <v>October</v>
      </c>
      <c r="S3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6" s="228"/>
      <c r="U376" s="43" t="e">
        <f>IF(Planning[[#This Row],[Horas Planificadas]]&lt;&gt;0,+K376/Planning[[#This Row],[Horas Planificadas]],0)</f>
        <v>#REF!</v>
      </c>
      <c r="V376" s="43" t="e">
        <f>IF(Planning[[#This Row],[Horas Planificadas]]&lt;&gt;0,Planning[[#This Row],[Horas utilizadas]]/Planning[[#This Row],[Horas Planificadas]],0)</f>
        <v>#REF!</v>
      </c>
      <c r="W376" s="44">
        <f>Planning[[#This Row],[Horas Planificadas]]+Planning[[#This Row],[Horas ajustadas adicionales]]</f>
        <v>320</v>
      </c>
      <c r="X376" s="142"/>
    </row>
    <row r="377" spans="1:24" ht="12.75" customHeight="1" x14ac:dyDescent="0.2">
      <c r="A377" s="7"/>
      <c r="B377" s="7"/>
      <c r="C377" s="3"/>
      <c r="D377" s="3" t="s">
        <v>135</v>
      </c>
      <c r="E377" s="33" t="s">
        <v>31</v>
      </c>
      <c r="F377" s="3"/>
      <c r="G377" s="7"/>
      <c r="H377" s="7">
        <v>320</v>
      </c>
      <c r="I377" s="12"/>
      <c r="J377" s="5" t="e">
        <f>+SUMIFS(#REF!,#REF!,Planning[[#This Row],[Tarifa]],#REF!,Planning[[#This Row],[Proyectos]])</f>
        <v>#REF!</v>
      </c>
      <c r="K377" s="5" t="e">
        <f>Planning[[#This Row],[Horas Planificadas]]+Planning[[#This Row],[Horas ajustadas adicionales]]-Planning[[#This Row],[Horas utilizadas]]</f>
        <v>#REF!</v>
      </c>
      <c r="L377" s="7"/>
      <c r="M377" s="19" t="e">
        <f>Planning[[#This Row],[Saldo]]-Planning[[#This Row],[Saldo estimado]]</f>
        <v>#REF!</v>
      </c>
      <c r="N377" s="60" t="e">
        <f>+SUMIFS(#REF!,#REF!,Planning[[#This Row],[Proyectos]],#REF!,Planning[[#This Row],[Tipo de Tarea y especialidad]])</f>
        <v>#REF!</v>
      </c>
      <c r="O377" s="19">
        <f t="shared" si="10"/>
        <v>10</v>
      </c>
      <c r="P377" s="19">
        <f t="shared" si="11"/>
        <v>2024</v>
      </c>
      <c r="Q377" s="19" t="e">
        <f>+SUMIFS(#REF!,#REF!,Planning[[#This Row],[Tarifa]],#REF!,Planning[[#This Row],[Proyectos]],#REF!,Planning[[#This Row],[Mes]],#REF!,Planning[[#This Row],[Año]])</f>
        <v>#REF!</v>
      </c>
      <c r="R377" s="19" t="str">
        <f>TEXT(Planning[[#This Row],[Mes]]*29,"mmmm")</f>
        <v>October</v>
      </c>
      <c r="S3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7" s="228"/>
      <c r="U377" s="43" t="e">
        <f>IF(Planning[[#This Row],[Horas Planificadas]]&lt;&gt;0,+K377/Planning[[#This Row],[Horas Planificadas]],0)</f>
        <v>#REF!</v>
      </c>
      <c r="V377" s="43" t="e">
        <f>IF(Planning[[#This Row],[Horas Planificadas]]&lt;&gt;0,Planning[[#This Row],[Horas utilizadas]]/Planning[[#This Row],[Horas Planificadas]],0)</f>
        <v>#REF!</v>
      </c>
      <c r="W377" s="44">
        <f>Planning[[#This Row],[Horas Planificadas]]+Planning[[#This Row],[Horas ajustadas adicionales]]</f>
        <v>320</v>
      </c>
      <c r="X377" s="142"/>
    </row>
    <row r="378" spans="1:24" ht="12.75" customHeight="1" x14ac:dyDescent="0.2">
      <c r="A378" s="7"/>
      <c r="B378" s="7"/>
      <c r="C378" s="3"/>
      <c r="D378" s="3" t="s">
        <v>135</v>
      </c>
      <c r="E378" s="33" t="s">
        <v>32</v>
      </c>
      <c r="F378" s="3"/>
      <c r="G378" s="7"/>
      <c r="H378" s="7">
        <v>80</v>
      </c>
      <c r="I378" s="12"/>
      <c r="J378" s="5" t="e">
        <f>+SUMIFS(#REF!,#REF!,Planning[[#This Row],[Tarifa]],#REF!,Planning[[#This Row],[Proyectos]])</f>
        <v>#REF!</v>
      </c>
      <c r="K378" s="5" t="e">
        <f>Planning[[#This Row],[Horas Planificadas]]+Planning[[#This Row],[Horas ajustadas adicionales]]-Planning[[#This Row],[Horas utilizadas]]</f>
        <v>#REF!</v>
      </c>
      <c r="L378" s="7"/>
      <c r="M378" s="19" t="e">
        <f>Planning[[#This Row],[Saldo]]-Planning[[#This Row],[Saldo estimado]]</f>
        <v>#REF!</v>
      </c>
      <c r="N378" s="60" t="e">
        <f>+SUMIFS(#REF!,#REF!,Planning[[#This Row],[Proyectos]],#REF!,Planning[[#This Row],[Tipo de Tarea y especialidad]])</f>
        <v>#REF!</v>
      </c>
      <c r="O378" s="19">
        <f t="shared" si="10"/>
        <v>10</v>
      </c>
      <c r="P378" s="19">
        <f t="shared" si="11"/>
        <v>2024</v>
      </c>
      <c r="Q378" s="19" t="e">
        <f>+SUMIFS(#REF!,#REF!,Planning[[#This Row],[Tarifa]],#REF!,Planning[[#This Row],[Proyectos]],#REF!,Planning[[#This Row],[Mes]],#REF!,Planning[[#This Row],[Año]])</f>
        <v>#REF!</v>
      </c>
      <c r="R378" s="19" t="str">
        <f>TEXT(Planning[[#This Row],[Mes]]*29,"mmmm")</f>
        <v>October</v>
      </c>
      <c r="S3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8" s="228"/>
      <c r="U378" s="43" t="e">
        <f>IF(Planning[[#This Row],[Horas Planificadas]]&lt;&gt;0,+K378/Planning[[#This Row],[Horas Planificadas]],0)</f>
        <v>#REF!</v>
      </c>
      <c r="V378" s="43" t="e">
        <f>IF(Planning[[#This Row],[Horas Planificadas]]&lt;&gt;0,Planning[[#This Row],[Horas utilizadas]]/Planning[[#This Row],[Horas Planificadas]],0)</f>
        <v>#REF!</v>
      </c>
      <c r="W378" s="44">
        <f>Planning[[#This Row],[Horas Planificadas]]+Planning[[#This Row],[Horas ajustadas adicionales]]</f>
        <v>80</v>
      </c>
      <c r="X378" s="142"/>
    </row>
    <row r="379" spans="1:24" ht="12.75" customHeight="1" x14ac:dyDescent="0.2">
      <c r="A379" s="7"/>
      <c r="B379" s="7"/>
      <c r="C379" s="3"/>
      <c r="D379" s="3" t="s">
        <v>136</v>
      </c>
      <c r="E379" s="33" t="s">
        <v>28</v>
      </c>
      <c r="F379" s="3"/>
      <c r="G379" s="7"/>
      <c r="H379" s="7">
        <v>36</v>
      </c>
      <c r="I379" s="12"/>
      <c r="J379" s="5" t="e">
        <f>+SUMIFS(#REF!,#REF!,Planning[[#This Row],[Tarifa]],#REF!,Planning[[#This Row],[Proyectos]])</f>
        <v>#REF!</v>
      </c>
      <c r="K379" s="5" t="e">
        <f>Planning[[#This Row],[Horas Planificadas]]+Planning[[#This Row],[Horas ajustadas adicionales]]-Planning[[#This Row],[Horas utilizadas]]</f>
        <v>#REF!</v>
      </c>
      <c r="L379" s="7"/>
      <c r="M379" s="19" t="e">
        <f>Planning[[#This Row],[Saldo]]-Planning[[#This Row],[Saldo estimado]]</f>
        <v>#REF!</v>
      </c>
      <c r="N379" s="60" t="e">
        <f>+SUMIFS(#REF!,#REF!,Planning[[#This Row],[Proyectos]],#REF!,Planning[[#This Row],[Tipo de Tarea y especialidad]])</f>
        <v>#REF!</v>
      </c>
      <c r="O379" s="19">
        <f t="shared" si="10"/>
        <v>10</v>
      </c>
      <c r="P379" s="19">
        <f t="shared" si="11"/>
        <v>2024</v>
      </c>
      <c r="Q379" s="19" t="e">
        <f>+SUMIFS(#REF!,#REF!,Planning[[#This Row],[Tarifa]],#REF!,Planning[[#This Row],[Proyectos]],#REF!,Planning[[#This Row],[Mes]],#REF!,Planning[[#This Row],[Año]])</f>
        <v>#REF!</v>
      </c>
      <c r="R379" s="19" t="str">
        <f>TEXT(Planning[[#This Row],[Mes]]*29,"mmmm")</f>
        <v>October</v>
      </c>
      <c r="S3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9" s="228"/>
      <c r="U379" s="43" t="e">
        <f>IF(Planning[[#This Row],[Horas Planificadas]]&lt;&gt;0,+K379/Planning[[#This Row],[Horas Planificadas]],0)</f>
        <v>#REF!</v>
      </c>
      <c r="V379" s="43" t="e">
        <f>IF(Planning[[#This Row],[Horas Planificadas]]&lt;&gt;0,Planning[[#This Row],[Horas utilizadas]]/Planning[[#This Row],[Horas Planificadas]],0)</f>
        <v>#REF!</v>
      </c>
      <c r="W379" s="44">
        <f>Planning[[#This Row],[Horas Planificadas]]+Planning[[#This Row],[Horas ajustadas adicionales]]</f>
        <v>36</v>
      </c>
      <c r="X379" s="142"/>
    </row>
    <row r="380" spans="1:24" ht="12.75" customHeight="1" x14ac:dyDescent="0.2">
      <c r="A380" s="7"/>
      <c r="B380" s="7"/>
      <c r="C380" s="3"/>
      <c r="D380" s="3" t="s">
        <v>136</v>
      </c>
      <c r="E380" s="33" t="s">
        <v>30</v>
      </c>
      <c r="F380" s="3"/>
      <c r="G380" s="7"/>
      <c r="H380" s="7">
        <v>342</v>
      </c>
      <c r="I380" s="12"/>
      <c r="J380" s="5" t="e">
        <f>+SUMIFS(#REF!,#REF!,Planning[[#This Row],[Tarifa]],#REF!,Planning[[#This Row],[Proyectos]])</f>
        <v>#REF!</v>
      </c>
      <c r="K380" s="5" t="e">
        <f>Planning[[#This Row],[Horas Planificadas]]+Planning[[#This Row],[Horas ajustadas adicionales]]-Planning[[#This Row],[Horas utilizadas]]</f>
        <v>#REF!</v>
      </c>
      <c r="L380" s="7"/>
      <c r="M380" s="19" t="e">
        <f>Planning[[#This Row],[Saldo]]-Planning[[#This Row],[Saldo estimado]]</f>
        <v>#REF!</v>
      </c>
      <c r="N380" s="60" t="e">
        <f>+SUMIFS(#REF!,#REF!,Planning[[#This Row],[Proyectos]],#REF!,Planning[[#This Row],[Tipo de Tarea y especialidad]])</f>
        <v>#REF!</v>
      </c>
      <c r="O380" s="19">
        <f t="shared" si="10"/>
        <v>10</v>
      </c>
      <c r="P380" s="19">
        <f t="shared" si="11"/>
        <v>2024</v>
      </c>
      <c r="Q380" s="19" t="e">
        <f>+SUMIFS(#REF!,#REF!,Planning[[#This Row],[Tarifa]],#REF!,Planning[[#This Row],[Proyectos]],#REF!,Planning[[#This Row],[Mes]],#REF!,Planning[[#This Row],[Año]])</f>
        <v>#REF!</v>
      </c>
      <c r="R380" s="19" t="str">
        <f>TEXT(Planning[[#This Row],[Mes]]*29,"mmmm")</f>
        <v>October</v>
      </c>
      <c r="S3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0" s="228"/>
      <c r="U380" s="43" t="e">
        <f>IF(Planning[[#This Row],[Horas Planificadas]]&lt;&gt;0,+K380/Planning[[#This Row],[Horas Planificadas]],0)</f>
        <v>#REF!</v>
      </c>
      <c r="V380" s="43" t="e">
        <f>IF(Planning[[#This Row],[Horas Planificadas]]&lt;&gt;0,Planning[[#This Row],[Horas utilizadas]]/Planning[[#This Row],[Horas Planificadas]],0)</f>
        <v>#REF!</v>
      </c>
      <c r="W380" s="44">
        <f>Planning[[#This Row],[Horas Planificadas]]+Planning[[#This Row],[Horas ajustadas adicionales]]</f>
        <v>342</v>
      </c>
      <c r="X380" s="142"/>
    </row>
    <row r="381" spans="1:24" ht="12.75" customHeight="1" x14ac:dyDescent="0.2">
      <c r="A381" s="7"/>
      <c r="B381" s="7"/>
      <c r="C381" s="3"/>
      <c r="D381" s="3" t="s">
        <v>136</v>
      </c>
      <c r="E381" s="33" t="s">
        <v>31</v>
      </c>
      <c r="F381" s="3"/>
      <c r="G381" s="7"/>
      <c r="H381" s="7">
        <v>8</v>
      </c>
      <c r="I381" s="12"/>
      <c r="J381" s="5" t="e">
        <f>+SUMIFS(#REF!,#REF!,Planning[[#This Row],[Tarifa]],#REF!,Planning[[#This Row],[Proyectos]])</f>
        <v>#REF!</v>
      </c>
      <c r="K381" s="5" t="e">
        <f>Planning[[#This Row],[Horas Planificadas]]+Planning[[#This Row],[Horas ajustadas adicionales]]-Planning[[#This Row],[Horas utilizadas]]</f>
        <v>#REF!</v>
      </c>
      <c r="L381" s="7"/>
      <c r="M381" s="19" t="e">
        <f>Planning[[#This Row],[Saldo]]-Planning[[#This Row],[Saldo estimado]]</f>
        <v>#REF!</v>
      </c>
      <c r="N381" s="60" t="e">
        <f>+SUMIFS(#REF!,#REF!,Planning[[#This Row],[Proyectos]],#REF!,Planning[[#This Row],[Tipo de Tarea y especialidad]])</f>
        <v>#REF!</v>
      </c>
      <c r="O381" s="19">
        <f t="shared" si="10"/>
        <v>10</v>
      </c>
      <c r="P381" s="19">
        <f t="shared" si="11"/>
        <v>2024</v>
      </c>
      <c r="Q381" s="19" t="e">
        <f>+SUMIFS(#REF!,#REF!,Planning[[#This Row],[Tarifa]],#REF!,Planning[[#This Row],[Proyectos]],#REF!,Planning[[#This Row],[Mes]],#REF!,Planning[[#This Row],[Año]])</f>
        <v>#REF!</v>
      </c>
      <c r="R381" s="19" t="str">
        <f>TEXT(Planning[[#This Row],[Mes]]*29,"mmmm")</f>
        <v>October</v>
      </c>
      <c r="S3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1" s="228"/>
      <c r="U381" s="43" t="e">
        <f>IF(Planning[[#This Row],[Horas Planificadas]]&lt;&gt;0,+K381/Planning[[#This Row],[Horas Planificadas]],0)</f>
        <v>#REF!</v>
      </c>
      <c r="V381" s="43" t="e">
        <f>IF(Planning[[#This Row],[Horas Planificadas]]&lt;&gt;0,Planning[[#This Row],[Horas utilizadas]]/Planning[[#This Row],[Horas Planificadas]],0)</f>
        <v>#REF!</v>
      </c>
      <c r="W381" s="44">
        <f>Planning[[#This Row],[Horas Planificadas]]+Planning[[#This Row],[Horas ajustadas adicionales]]</f>
        <v>8</v>
      </c>
      <c r="X381" s="142"/>
    </row>
    <row r="382" spans="1:24" ht="12.75" customHeight="1" x14ac:dyDescent="0.2">
      <c r="A382" s="7"/>
      <c r="B382" s="7"/>
      <c r="C382" s="3"/>
      <c r="D382" s="3" t="s">
        <v>136</v>
      </c>
      <c r="E382" s="33" t="s">
        <v>32</v>
      </c>
      <c r="F382" s="3"/>
      <c r="G382" s="7"/>
      <c r="H382" s="7">
        <v>0</v>
      </c>
      <c r="I382" s="12"/>
      <c r="J382" s="5" t="e">
        <f>+SUMIFS(#REF!,#REF!,Planning[[#This Row],[Tarifa]],#REF!,Planning[[#This Row],[Proyectos]])</f>
        <v>#REF!</v>
      </c>
      <c r="K382" s="5" t="e">
        <f>Planning[[#This Row],[Horas Planificadas]]+Planning[[#This Row],[Horas ajustadas adicionales]]-Planning[[#This Row],[Horas utilizadas]]</f>
        <v>#REF!</v>
      </c>
      <c r="L382" s="7"/>
      <c r="M382" s="19" t="e">
        <f>Planning[[#This Row],[Saldo]]-Planning[[#This Row],[Saldo estimado]]</f>
        <v>#REF!</v>
      </c>
      <c r="N382" s="60" t="e">
        <f>+SUMIFS(#REF!,#REF!,Planning[[#This Row],[Proyectos]],#REF!,Planning[[#This Row],[Tipo de Tarea y especialidad]])</f>
        <v>#REF!</v>
      </c>
      <c r="O382" s="19">
        <f t="shared" si="10"/>
        <v>10</v>
      </c>
      <c r="P382" s="19">
        <f t="shared" si="11"/>
        <v>2024</v>
      </c>
      <c r="Q382" s="19" t="e">
        <f>+SUMIFS(#REF!,#REF!,Planning[[#This Row],[Tarifa]],#REF!,Planning[[#This Row],[Proyectos]],#REF!,Planning[[#This Row],[Mes]],#REF!,Planning[[#This Row],[Año]])</f>
        <v>#REF!</v>
      </c>
      <c r="R382" s="19" t="str">
        <f>TEXT(Planning[[#This Row],[Mes]]*29,"mmmm")</f>
        <v>October</v>
      </c>
      <c r="S3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2" s="228"/>
      <c r="U382" s="43">
        <f>IF(Planning[[#This Row],[Horas Planificadas]]&lt;&gt;0,+K382/Planning[[#This Row],[Horas Planificadas]],0)</f>
        <v>0</v>
      </c>
      <c r="V382" s="43">
        <f>IF(Planning[[#This Row],[Horas Planificadas]]&lt;&gt;0,Planning[[#This Row],[Horas utilizadas]]/Planning[[#This Row],[Horas Planificadas]],0)</f>
        <v>0</v>
      </c>
      <c r="W382" s="44">
        <f>Planning[[#This Row],[Horas Planificadas]]+Planning[[#This Row],[Horas ajustadas adicionales]]</f>
        <v>0</v>
      </c>
      <c r="X382" s="142"/>
    </row>
    <row r="383" spans="1:24" ht="12.75" customHeight="1" x14ac:dyDescent="0.2">
      <c r="A383" s="7"/>
      <c r="B383" s="7"/>
      <c r="C383" s="3"/>
      <c r="D383" s="3" t="s">
        <v>137</v>
      </c>
      <c r="E383" s="33" t="s">
        <v>28</v>
      </c>
      <c r="F383" s="3"/>
      <c r="G383" s="7"/>
      <c r="H383" s="7">
        <v>160</v>
      </c>
      <c r="I383" s="12"/>
      <c r="J383" s="5" t="e">
        <f>+SUMIFS(#REF!,#REF!,Planning[[#This Row],[Tarifa]],#REF!,Planning[[#This Row],[Proyectos]])</f>
        <v>#REF!</v>
      </c>
      <c r="K383" s="5" t="e">
        <f>Planning[[#This Row],[Horas Planificadas]]+Planning[[#This Row],[Horas ajustadas adicionales]]-Planning[[#This Row],[Horas utilizadas]]</f>
        <v>#REF!</v>
      </c>
      <c r="L383" s="7"/>
      <c r="M383" s="19" t="e">
        <f>Planning[[#This Row],[Saldo]]-Planning[[#This Row],[Saldo estimado]]</f>
        <v>#REF!</v>
      </c>
      <c r="N383" s="60" t="e">
        <f>+SUMIFS(#REF!,#REF!,Planning[[#This Row],[Proyectos]],#REF!,Planning[[#This Row],[Tipo de Tarea y especialidad]])</f>
        <v>#REF!</v>
      </c>
      <c r="O383" s="19">
        <f t="shared" si="10"/>
        <v>10</v>
      </c>
      <c r="P383" s="19">
        <f t="shared" si="11"/>
        <v>2024</v>
      </c>
      <c r="Q383" s="19" t="e">
        <f>+SUMIFS(#REF!,#REF!,Planning[[#This Row],[Tarifa]],#REF!,Planning[[#This Row],[Proyectos]],#REF!,Planning[[#This Row],[Mes]],#REF!,Planning[[#This Row],[Año]])</f>
        <v>#REF!</v>
      </c>
      <c r="R383" s="19" t="str">
        <f>TEXT(Planning[[#This Row],[Mes]]*29,"mmmm")</f>
        <v>October</v>
      </c>
      <c r="S3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3" s="228"/>
      <c r="U383" s="43" t="e">
        <f>IF(Planning[[#This Row],[Horas Planificadas]]&lt;&gt;0,+K383/Planning[[#This Row],[Horas Planificadas]],0)</f>
        <v>#REF!</v>
      </c>
      <c r="V383" s="43" t="e">
        <f>IF(Planning[[#This Row],[Horas Planificadas]]&lt;&gt;0,Planning[[#This Row],[Horas utilizadas]]/Planning[[#This Row],[Horas Planificadas]],0)</f>
        <v>#REF!</v>
      </c>
      <c r="W383" s="44">
        <f>Planning[[#This Row],[Horas Planificadas]]+Planning[[#This Row],[Horas ajustadas adicionales]]</f>
        <v>160</v>
      </c>
      <c r="X383" s="142"/>
    </row>
    <row r="384" spans="1:24" ht="12.75" customHeight="1" x14ac:dyDescent="0.2">
      <c r="A384" s="7"/>
      <c r="B384" s="7"/>
      <c r="C384" s="3"/>
      <c r="D384" s="3" t="s">
        <v>137</v>
      </c>
      <c r="E384" s="33" t="s">
        <v>30</v>
      </c>
      <c r="F384" s="3"/>
      <c r="G384" s="7"/>
      <c r="H384" s="7">
        <v>103</v>
      </c>
      <c r="I384" s="12"/>
      <c r="J384" s="5" t="e">
        <f>+SUMIFS(#REF!,#REF!,Planning[[#This Row],[Tarifa]],#REF!,Planning[[#This Row],[Proyectos]])</f>
        <v>#REF!</v>
      </c>
      <c r="K384" s="5" t="e">
        <f>Planning[[#This Row],[Horas Planificadas]]+Planning[[#This Row],[Horas ajustadas adicionales]]-Planning[[#This Row],[Horas utilizadas]]</f>
        <v>#REF!</v>
      </c>
      <c r="L384" s="7"/>
      <c r="M384" s="19" t="e">
        <f>Planning[[#This Row],[Saldo]]-Planning[[#This Row],[Saldo estimado]]</f>
        <v>#REF!</v>
      </c>
      <c r="N384" s="60" t="e">
        <f>+SUMIFS(#REF!,#REF!,Planning[[#This Row],[Proyectos]],#REF!,Planning[[#This Row],[Tipo de Tarea y especialidad]])</f>
        <v>#REF!</v>
      </c>
      <c r="O384" s="19">
        <f t="shared" si="10"/>
        <v>10</v>
      </c>
      <c r="P384" s="19">
        <f t="shared" si="11"/>
        <v>2024</v>
      </c>
      <c r="Q384" s="19" t="e">
        <f>+SUMIFS(#REF!,#REF!,Planning[[#This Row],[Tarifa]],#REF!,Planning[[#This Row],[Proyectos]],#REF!,Planning[[#This Row],[Mes]],#REF!,Planning[[#This Row],[Año]])</f>
        <v>#REF!</v>
      </c>
      <c r="R384" s="19" t="str">
        <f>TEXT(Planning[[#This Row],[Mes]]*29,"mmmm")</f>
        <v>October</v>
      </c>
      <c r="S3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4" s="228"/>
      <c r="U384" s="43" t="e">
        <f>IF(Planning[[#This Row],[Horas Planificadas]]&lt;&gt;0,+K384/Planning[[#This Row],[Horas Planificadas]],0)</f>
        <v>#REF!</v>
      </c>
      <c r="V384" s="43" t="e">
        <f>IF(Planning[[#This Row],[Horas Planificadas]]&lt;&gt;0,Planning[[#This Row],[Horas utilizadas]]/Planning[[#This Row],[Horas Planificadas]],0)</f>
        <v>#REF!</v>
      </c>
      <c r="W384" s="44">
        <f>Planning[[#This Row],[Horas Planificadas]]+Planning[[#This Row],[Horas ajustadas adicionales]]</f>
        <v>103</v>
      </c>
      <c r="X384" s="142"/>
    </row>
    <row r="385" spans="1:24" ht="12.75" customHeight="1" x14ac:dyDescent="0.2">
      <c r="A385" s="7"/>
      <c r="B385" s="7"/>
      <c r="C385" s="3"/>
      <c r="D385" s="3" t="s">
        <v>137</v>
      </c>
      <c r="E385" s="33" t="s">
        <v>31</v>
      </c>
      <c r="F385" s="3"/>
      <c r="G385" s="7"/>
      <c r="H385" s="7">
        <v>24</v>
      </c>
      <c r="I385" s="12"/>
      <c r="J385" s="5" t="e">
        <f>+SUMIFS(#REF!,#REF!,Planning[[#This Row],[Tarifa]],#REF!,Planning[[#This Row],[Proyectos]])</f>
        <v>#REF!</v>
      </c>
      <c r="K385" s="5" t="e">
        <f>Planning[[#This Row],[Horas Planificadas]]+Planning[[#This Row],[Horas ajustadas adicionales]]-Planning[[#This Row],[Horas utilizadas]]</f>
        <v>#REF!</v>
      </c>
      <c r="L385" s="7"/>
      <c r="M385" s="19" t="e">
        <f>Planning[[#This Row],[Saldo]]-Planning[[#This Row],[Saldo estimado]]</f>
        <v>#REF!</v>
      </c>
      <c r="N385" s="60" t="e">
        <f>+SUMIFS(#REF!,#REF!,Planning[[#This Row],[Proyectos]],#REF!,Planning[[#This Row],[Tipo de Tarea y especialidad]])</f>
        <v>#REF!</v>
      </c>
      <c r="O385" s="19">
        <f t="shared" si="10"/>
        <v>10</v>
      </c>
      <c r="P385" s="19">
        <f t="shared" si="11"/>
        <v>2024</v>
      </c>
      <c r="Q385" s="19" t="e">
        <f>+SUMIFS(#REF!,#REF!,Planning[[#This Row],[Tarifa]],#REF!,Planning[[#This Row],[Proyectos]],#REF!,Planning[[#This Row],[Mes]],#REF!,Planning[[#This Row],[Año]])</f>
        <v>#REF!</v>
      </c>
      <c r="R385" s="19" t="str">
        <f>TEXT(Planning[[#This Row],[Mes]]*29,"mmmm")</f>
        <v>October</v>
      </c>
      <c r="S3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5" s="228"/>
      <c r="U385" s="43" t="e">
        <f>IF(Planning[[#This Row],[Horas Planificadas]]&lt;&gt;0,+K385/Planning[[#This Row],[Horas Planificadas]],0)</f>
        <v>#REF!</v>
      </c>
      <c r="V385" s="43" t="e">
        <f>IF(Planning[[#This Row],[Horas Planificadas]]&lt;&gt;0,Planning[[#This Row],[Horas utilizadas]]/Planning[[#This Row],[Horas Planificadas]],0)</f>
        <v>#REF!</v>
      </c>
      <c r="W385" s="44">
        <f>Planning[[#This Row],[Horas Planificadas]]+Planning[[#This Row],[Horas ajustadas adicionales]]</f>
        <v>24</v>
      </c>
      <c r="X385" s="142"/>
    </row>
    <row r="386" spans="1:24" ht="12.75" customHeight="1" x14ac:dyDescent="0.2">
      <c r="A386" s="7"/>
      <c r="B386" s="7"/>
      <c r="C386" s="3"/>
      <c r="D386" s="3" t="s">
        <v>137</v>
      </c>
      <c r="E386" s="33" t="s">
        <v>32</v>
      </c>
      <c r="F386" s="3"/>
      <c r="G386" s="7"/>
      <c r="H386" s="7">
        <v>45</v>
      </c>
      <c r="I386" s="12"/>
      <c r="J386" s="5" t="e">
        <f>+SUMIFS(#REF!,#REF!,Planning[[#This Row],[Tarifa]],#REF!,Planning[[#This Row],[Proyectos]])</f>
        <v>#REF!</v>
      </c>
      <c r="K386" s="5" t="e">
        <f>Planning[[#This Row],[Horas Planificadas]]+Planning[[#This Row],[Horas ajustadas adicionales]]-Planning[[#This Row],[Horas utilizadas]]</f>
        <v>#REF!</v>
      </c>
      <c r="L386" s="7"/>
      <c r="M386" s="19" t="e">
        <f>Planning[[#This Row],[Saldo]]-Planning[[#This Row],[Saldo estimado]]</f>
        <v>#REF!</v>
      </c>
      <c r="N386" s="60" t="e">
        <f>+SUMIFS(#REF!,#REF!,Planning[[#This Row],[Proyectos]],#REF!,Planning[[#This Row],[Tipo de Tarea y especialidad]])</f>
        <v>#REF!</v>
      </c>
      <c r="O386" s="19">
        <f t="shared" si="10"/>
        <v>10</v>
      </c>
      <c r="P386" s="19">
        <f t="shared" si="11"/>
        <v>2024</v>
      </c>
      <c r="Q386" s="19" t="e">
        <f>+SUMIFS(#REF!,#REF!,Planning[[#This Row],[Tarifa]],#REF!,Planning[[#This Row],[Proyectos]],#REF!,Planning[[#This Row],[Mes]],#REF!,Planning[[#This Row],[Año]])</f>
        <v>#REF!</v>
      </c>
      <c r="R386" s="19" t="str">
        <f>TEXT(Planning[[#This Row],[Mes]]*29,"mmmm")</f>
        <v>October</v>
      </c>
      <c r="S3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6" s="228"/>
      <c r="U386" s="43" t="e">
        <f>IF(Planning[[#This Row],[Horas Planificadas]]&lt;&gt;0,+K386/Planning[[#This Row],[Horas Planificadas]],0)</f>
        <v>#REF!</v>
      </c>
      <c r="V386" s="43" t="e">
        <f>IF(Planning[[#This Row],[Horas Planificadas]]&lt;&gt;0,Planning[[#This Row],[Horas utilizadas]]/Planning[[#This Row],[Horas Planificadas]],0)</f>
        <v>#REF!</v>
      </c>
      <c r="W386" s="44">
        <f>Planning[[#This Row],[Horas Planificadas]]+Planning[[#This Row],[Horas ajustadas adicionales]]</f>
        <v>45</v>
      </c>
      <c r="X386" s="142"/>
    </row>
    <row r="387" spans="1:24" ht="12.75" customHeight="1" x14ac:dyDescent="0.2">
      <c r="A387" s="7"/>
      <c r="B387" s="7"/>
      <c r="C387" s="3"/>
      <c r="D387" s="3" t="s">
        <v>138</v>
      </c>
      <c r="E387" s="33" t="s">
        <v>28</v>
      </c>
      <c r="F387" s="3"/>
      <c r="G387" s="7"/>
      <c r="H387" s="7">
        <v>10</v>
      </c>
      <c r="I387" s="12"/>
      <c r="J387" s="5" t="e">
        <f>+SUMIFS(#REF!,#REF!,Planning[[#This Row],[Tarifa]],#REF!,Planning[[#This Row],[Proyectos]])</f>
        <v>#REF!</v>
      </c>
      <c r="K387" s="5" t="e">
        <f>Planning[[#This Row],[Horas Planificadas]]+Planning[[#This Row],[Horas ajustadas adicionales]]-Planning[[#This Row],[Horas utilizadas]]</f>
        <v>#REF!</v>
      </c>
      <c r="L387" s="7"/>
      <c r="M387" s="19" t="e">
        <f>Planning[[#This Row],[Saldo]]-Planning[[#This Row],[Saldo estimado]]</f>
        <v>#REF!</v>
      </c>
      <c r="N387" s="60" t="e">
        <f>+SUMIFS(#REF!,#REF!,Planning[[#This Row],[Proyectos]],#REF!,Planning[[#This Row],[Tipo de Tarea y especialidad]])</f>
        <v>#REF!</v>
      </c>
      <c r="O387" s="19">
        <f t="shared" si="10"/>
        <v>10</v>
      </c>
      <c r="P387" s="19">
        <f t="shared" si="11"/>
        <v>2024</v>
      </c>
      <c r="Q387" s="19" t="e">
        <f>+SUMIFS(#REF!,#REF!,Planning[[#This Row],[Tarifa]],#REF!,Planning[[#This Row],[Proyectos]],#REF!,Planning[[#This Row],[Mes]],#REF!,Planning[[#This Row],[Año]])</f>
        <v>#REF!</v>
      </c>
      <c r="R387" s="19" t="str">
        <f>TEXT(Planning[[#This Row],[Mes]]*29,"mmmm")</f>
        <v>October</v>
      </c>
      <c r="S3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7" s="228"/>
      <c r="U387" s="43" t="e">
        <f>IF(Planning[[#This Row],[Horas Planificadas]]&lt;&gt;0,+K387/Planning[[#This Row],[Horas Planificadas]],0)</f>
        <v>#REF!</v>
      </c>
      <c r="V387" s="43" t="e">
        <f>IF(Planning[[#This Row],[Horas Planificadas]]&lt;&gt;0,Planning[[#This Row],[Horas utilizadas]]/Planning[[#This Row],[Horas Planificadas]],0)</f>
        <v>#REF!</v>
      </c>
      <c r="W387" s="44">
        <f>Planning[[#This Row],[Horas Planificadas]]+Planning[[#This Row],[Horas ajustadas adicionales]]</f>
        <v>10</v>
      </c>
      <c r="X387" s="142"/>
    </row>
    <row r="388" spans="1:24" ht="12.75" customHeight="1" x14ac:dyDescent="0.2">
      <c r="A388" s="7"/>
      <c r="B388" s="7"/>
      <c r="C388" s="3"/>
      <c r="D388" s="3" t="s">
        <v>138</v>
      </c>
      <c r="E388" s="33" t="s">
        <v>30</v>
      </c>
      <c r="F388" s="3"/>
      <c r="G388" s="7"/>
      <c r="H388" s="7">
        <v>0</v>
      </c>
      <c r="I388" s="12"/>
      <c r="J388" s="5" t="e">
        <f>+SUMIFS(#REF!,#REF!,Planning[[#This Row],[Tarifa]],#REF!,Planning[[#This Row],[Proyectos]])</f>
        <v>#REF!</v>
      </c>
      <c r="K388" s="5" t="e">
        <f>Planning[[#This Row],[Horas Planificadas]]+Planning[[#This Row],[Horas ajustadas adicionales]]-Planning[[#This Row],[Horas utilizadas]]</f>
        <v>#REF!</v>
      </c>
      <c r="L388" s="7"/>
      <c r="M388" s="19" t="e">
        <f>Planning[[#This Row],[Saldo]]-Planning[[#This Row],[Saldo estimado]]</f>
        <v>#REF!</v>
      </c>
      <c r="N388" s="60" t="e">
        <f>+SUMIFS(#REF!,#REF!,Planning[[#This Row],[Proyectos]],#REF!,Planning[[#This Row],[Tipo de Tarea y especialidad]])</f>
        <v>#REF!</v>
      </c>
      <c r="O388" s="19">
        <f t="shared" si="10"/>
        <v>10</v>
      </c>
      <c r="P388" s="19">
        <f t="shared" si="11"/>
        <v>2024</v>
      </c>
      <c r="Q388" s="19" t="e">
        <f>+SUMIFS(#REF!,#REF!,Planning[[#This Row],[Tarifa]],#REF!,Planning[[#This Row],[Proyectos]],#REF!,Planning[[#This Row],[Mes]],#REF!,Planning[[#This Row],[Año]])</f>
        <v>#REF!</v>
      </c>
      <c r="R388" s="19" t="str">
        <f>TEXT(Planning[[#This Row],[Mes]]*29,"mmmm")</f>
        <v>October</v>
      </c>
      <c r="S3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8" s="228"/>
      <c r="U388" s="43">
        <f>IF(Planning[[#This Row],[Horas Planificadas]]&lt;&gt;0,+K388/Planning[[#This Row],[Horas Planificadas]],0)</f>
        <v>0</v>
      </c>
      <c r="V388" s="43">
        <f>IF(Planning[[#This Row],[Horas Planificadas]]&lt;&gt;0,Planning[[#This Row],[Horas utilizadas]]/Planning[[#This Row],[Horas Planificadas]],0)</f>
        <v>0</v>
      </c>
      <c r="W388" s="44">
        <f>Planning[[#This Row],[Horas Planificadas]]+Planning[[#This Row],[Horas ajustadas adicionales]]</f>
        <v>0</v>
      </c>
      <c r="X388" s="142"/>
    </row>
    <row r="389" spans="1:24" ht="12.75" customHeight="1" x14ac:dyDescent="0.2">
      <c r="A389" s="7"/>
      <c r="B389" s="7"/>
      <c r="C389" s="3"/>
      <c r="D389" s="3" t="s">
        <v>138</v>
      </c>
      <c r="E389" s="33" t="s">
        <v>31</v>
      </c>
      <c r="F389" s="3"/>
      <c r="G389" s="7"/>
      <c r="H389" s="7">
        <v>20</v>
      </c>
      <c r="I389" s="12"/>
      <c r="J389" s="5" t="e">
        <f>+SUMIFS(#REF!,#REF!,Planning[[#This Row],[Tarifa]],#REF!,Planning[[#This Row],[Proyectos]])</f>
        <v>#REF!</v>
      </c>
      <c r="K389" s="5" t="e">
        <f>Planning[[#This Row],[Horas Planificadas]]+Planning[[#This Row],[Horas ajustadas adicionales]]-Planning[[#This Row],[Horas utilizadas]]</f>
        <v>#REF!</v>
      </c>
      <c r="L389" s="7"/>
      <c r="M389" s="19" t="e">
        <f>Planning[[#This Row],[Saldo]]-Planning[[#This Row],[Saldo estimado]]</f>
        <v>#REF!</v>
      </c>
      <c r="N389" s="60" t="e">
        <f>+SUMIFS(#REF!,#REF!,Planning[[#This Row],[Proyectos]],#REF!,Planning[[#This Row],[Tipo de Tarea y especialidad]])</f>
        <v>#REF!</v>
      </c>
      <c r="O389" s="19">
        <f t="shared" si="10"/>
        <v>10</v>
      </c>
      <c r="P389" s="19">
        <f t="shared" si="11"/>
        <v>2024</v>
      </c>
      <c r="Q389" s="19" t="e">
        <f>+SUMIFS(#REF!,#REF!,Planning[[#This Row],[Tarifa]],#REF!,Planning[[#This Row],[Proyectos]],#REF!,Planning[[#This Row],[Mes]],#REF!,Planning[[#This Row],[Año]])</f>
        <v>#REF!</v>
      </c>
      <c r="R389" s="19" t="str">
        <f>TEXT(Planning[[#This Row],[Mes]]*29,"mmmm")</f>
        <v>October</v>
      </c>
      <c r="S3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9" s="228"/>
      <c r="U389" s="43" t="e">
        <f>IF(Planning[[#This Row],[Horas Planificadas]]&lt;&gt;0,+K389/Planning[[#This Row],[Horas Planificadas]],0)</f>
        <v>#REF!</v>
      </c>
      <c r="V389" s="43" t="e">
        <f>IF(Planning[[#This Row],[Horas Planificadas]]&lt;&gt;0,Planning[[#This Row],[Horas utilizadas]]/Planning[[#This Row],[Horas Planificadas]],0)</f>
        <v>#REF!</v>
      </c>
      <c r="W389" s="44">
        <f>Planning[[#This Row],[Horas Planificadas]]+Planning[[#This Row],[Horas ajustadas adicionales]]</f>
        <v>20</v>
      </c>
      <c r="X389" s="142"/>
    </row>
    <row r="390" spans="1:24" ht="12.75" customHeight="1" x14ac:dyDescent="0.2">
      <c r="A390" s="7"/>
      <c r="B390" s="7"/>
      <c r="C390" s="3"/>
      <c r="D390" s="3" t="s">
        <v>138</v>
      </c>
      <c r="E390" s="33" t="s">
        <v>32</v>
      </c>
      <c r="F390" s="3"/>
      <c r="G390" s="7"/>
      <c r="H390" s="7">
        <v>40</v>
      </c>
      <c r="I390" s="12"/>
      <c r="J390" s="5" t="e">
        <f>+SUMIFS(#REF!,#REF!,Planning[[#This Row],[Tarifa]],#REF!,Planning[[#This Row],[Proyectos]])</f>
        <v>#REF!</v>
      </c>
      <c r="K390" s="5" t="e">
        <f>Planning[[#This Row],[Horas Planificadas]]+Planning[[#This Row],[Horas ajustadas adicionales]]-Planning[[#This Row],[Horas utilizadas]]</f>
        <v>#REF!</v>
      </c>
      <c r="L390" s="7"/>
      <c r="M390" s="19" t="e">
        <f>Planning[[#This Row],[Saldo]]-Planning[[#This Row],[Saldo estimado]]</f>
        <v>#REF!</v>
      </c>
      <c r="N390" s="60" t="e">
        <f>+SUMIFS(#REF!,#REF!,Planning[[#This Row],[Proyectos]],#REF!,Planning[[#This Row],[Tipo de Tarea y especialidad]])</f>
        <v>#REF!</v>
      </c>
      <c r="O390" s="19">
        <f t="shared" si="10"/>
        <v>10</v>
      </c>
      <c r="P390" s="19">
        <f t="shared" si="11"/>
        <v>2024</v>
      </c>
      <c r="Q390" s="19" t="e">
        <f>+SUMIFS(#REF!,#REF!,Planning[[#This Row],[Tarifa]],#REF!,Planning[[#This Row],[Proyectos]],#REF!,Planning[[#This Row],[Mes]],#REF!,Planning[[#This Row],[Año]])</f>
        <v>#REF!</v>
      </c>
      <c r="R390" s="19" t="str">
        <f>TEXT(Planning[[#This Row],[Mes]]*29,"mmmm")</f>
        <v>October</v>
      </c>
      <c r="S3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0" s="228"/>
      <c r="U390" s="43" t="e">
        <f>IF(Planning[[#This Row],[Horas Planificadas]]&lt;&gt;0,+K390/Planning[[#This Row],[Horas Planificadas]],0)</f>
        <v>#REF!</v>
      </c>
      <c r="V390" s="43" t="e">
        <f>IF(Planning[[#This Row],[Horas Planificadas]]&lt;&gt;0,Planning[[#This Row],[Horas utilizadas]]/Planning[[#This Row],[Horas Planificadas]],0)</f>
        <v>#REF!</v>
      </c>
      <c r="W390" s="44">
        <f>Planning[[#This Row],[Horas Planificadas]]+Planning[[#This Row],[Horas ajustadas adicionales]]</f>
        <v>40</v>
      </c>
      <c r="X390" s="142"/>
    </row>
    <row r="391" spans="1:24" ht="12.75" customHeight="1" x14ac:dyDescent="0.2">
      <c r="A391" s="7"/>
      <c r="B391" s="7"/>
      <c r="C391" s="3"/>
      <c r="D391" s="3" t="s">
        <v>139</v>
      </c>
      <c r="E391" s="33" t="s">
        <v>28</v>
      </c>
      <c r="F391" s="3"/>
      <c r="G391" s="7"/>
      <c r="H391" s="7">
        <v>6075</v>
      </c>
      <c r="I391" s="12"/>
      <c r="J391" s="5" t="e">
        <f>+SUMIFS(#REF!,#REF!,Planning[[#This Row],[Tarifa]],#REF!,Planning[[#This Row],[Proyectos]])</f>
        <v>#REF!</v>
      </c>
      <c r="K391" s="5" t="e">
        <f>Planning[[#This Row],[Horas Planificadas]]+Planning[[#This Row],[Horas ajustadas adicionales]]-Planning[[#This Row],[Horas utilizadas]]</f>
        <v>#REF!</v>
      </c>
      <c r="L391" s="7"/>
      <c r="M391" s="19" t="e">
        <f>Planning[[#This Row],[Saldo]]-Planning[[#This Row],[Saldo estimado]]</f>
        <v>#REF!</v>
      </c>
      <c r="N391" s="60" t="e">
        <f>+SUMIFS(#REF!,#REF!,Planning[[#This Row],[Proyectos]],#REF!,Planning[[#This Row],[Tipo de Tarea y especialidad]])</f>
        <v>#REF!</v>
      </c>
      <c r="O391" s="19">
        <f t="shared" ref="O391:O454" si="12">$L$4</f>
        <v>10</v>
      </c>
      <c r="P391" s="19">
        <f t="shared" ref="P391:P454" si="13">$M$4</f>
        <v>2024</v>
      </c>
      <c r="Q391" s="19" t="e">
        <f>+SUMIFS(#REF!,#REF!,Planning[[#This Row],[Tarifa]],#REF!,Planning[[#This Row],[Proyectos]],#REF!,Planning[[#This Row],[Mes]],#REF!,Planning[[#This Row],[Año]])</f>
        <v>#REF!</v>
      </c>
      <c r="R391" s="19" t="str">
        <f>TEXT(Planning[[#This Row],[Mes]]*29,"mmmm")</f>
        <v>October</v>
      </c>
      <c r="S3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1" s="228"/>
      <c r="U391" s="43" t="e">
        <f>IF(Planning[[#This Row],[Horas Planificadas]]&lt;&gt;0,+K391/Planning[[#This Row],[Horas Planificadas]],0)</f>
        <v>#REF!</v>
      </c>
      <c r="V391" s="43" t="e">
        <f>IF(Planning[[#This Row],[Horas Planificadas]]&lt;&gt;0,Planning[[#This Row],[Horas utilizadas]]/Planning[[#This Row],[Horas Planificadas]],0)</f>
        <v>#REF!</v>
      </c>
      <c r="W391" s="44">
        <f>Planning[[#This Row],[Horas Planificadas]]+Planning[[#This Row],[Horas ajustadas adicionales]]</f>
        <v>6075</v>
      </c>
      <c r="X391" s="142"/>
    </row>
    <row r="392" spans="1:24" ht="12.75" customHeight="1" x14ac:dyDescent="0.2">
      <c r="A392" s="7"/>
      <c r="B392" s="7"/>
      <c r="C392" s="3"/>
      <c r="D392" s="3" t="s">
        <v>139</v>
      </c>
      <c r="E392" s="33" t="s">
        <v>30</v>
      </c>
      <c r="F392" s="3"/>
      <c r="G392" s="7"/>
      <c r="H392" s="7">
        <v>4031</v>
      </c>
      <c r="I392" s="12"/>
      <c r="J392" s="5" t="e">
        <f>+SUMIFS(#REF!,#REF!,Planning[[#This Row],[Tarifa]],#REF!,Planning[[#This Row],[Proyectos]])</f>
        <v>#REF!</v>
      </c>
      <c r="K392" s="5" t="e">
        <f>Planning[[#This Row],[Horas Planificadas]]+Planning[[#This Row],[Horas ajustadas adicionales]]-Planning[[#This Row],[Horas utilizadas]]</f>
        <v>#REF!</v>
      </c>
      <c r="L392" s="7"/>
      <c r="M392" s="19" t="e">
        <f>Planning[[#This Row],[Saldo]]-Planning[[#This Row],[Saldo estimado]]</f>
        <v>#REF!</v>
      </c>
      <c r="N392" s="60" t="e">
        <f>+SUMIFS(#REF!,#REF!,Planning[[#This Row],[Proyectos]],#REF!,Planning[[#This Row],[Tipo de Tarea y especialidad]])</f>
        <v>#REF!</v>
      </c>
      <c r="O392" s="19">
        <f t="shared" si="12"/>
        <v>10</v>
      </c>
      <c r="P392" s="19">
        <f t="shared" si="13"/>
        <v>2024</v>
      </c>
      <c r="Q392" s="19" t="e">
        <f>+SUMIFS(#REF!,#REF!,Planning[[#This Row],[Tarifa]],#REF!,Planning[[#This Row],[Proyectos]],#REF!,Planning[[#This Row],[Mes]],#REF!,Planning[[#This Row],[Año]])</f>
        <v>#REF!</v>
      </c>
      <c r="R392" s="19" t="str">
        <f>TEXT(Planning[[#This Row],[Mes]]*29,"mmmm")</f>
        <v>October</v>
      </c>
      <c r="S3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2" s="228"/>
      <c r="U392" s="43" t="e">
        <f>IF(Planning[[#This Row],[Horas Planificadas]]&lt;&gt;0,+K392/Planning[[#This Row],[Horas Planificadas]],0)</f>
        <v>#REF!</v>
      </c>
      <c r="V392" s="43" t="e">
        <f>IF(Planning[[#This Row],[Horas Planificadas]]&lt;&gt;0,Planning[[#This Row],[Horas utilizadas]]/Planning[[#This Row],[Horas Planificadas]],0)</f>
        <v>#REF!</v>
      </c>
      <c r="W392" s="44">
        <f>Planning[[#This Row],[Horas Planificadas]]+Planning[[#This Row],[Horas ajustadas adicionales]]</f>
        <v>4031</v>
      </c>
      <c r="X392" s="142"/>
    </row>
    <row r="393" spans="1:24" ht="12.75" customHeight="1" x14ac:dyDescent="0.2">
      <c r="A393" s="7"/>
      <c r="B393" s="7"/>
      <c r="C393" s="3"/>
      <c r="D393" s="3" t="s">
        <v>139</v>
      </c>
      <c r="E393" s="33" t="s">
        <v>31</v>
      </c>
      <c r="F393" s="3"/>
      <c r="G393" s="7"/>
      <c r="H393" s="7">
        <v>353</v>
      </c>
      <c r="I393" s="12"/>
      <c r="J393" s="5" t="e">
        <f>+SUMIFS(#REF!,#REF!,Planning[[#This Row],[Tarifa]],#REF!,Planning[[#This Row],[Proyectos]])</f>
        <v>#REF!</v>
      </c>
      <c r="K393" s="5" t="e">
        <f>Planning[[#This Row],[Horas Planificadas]]+Planning[[#This Row],[Horas ajustadas adicionales]]-Planning[[#This Row],[Horas utilizadas]]</f>
        <v>#REF!</v>
      </c>
      <c r="L393" s="7"/>
      <c r="M393" s="19" t="e">
        <f>Planning[[#This Row],[Saldo]]-Planning[[#This Row],[Saldo estimado]]</f>
        <v>#REF!</v>
      </c>
      <c r="N393" s="60" t="e">
        <f>+SUMIFS(#REF!,#REF!,Planning[[#This Row],[Proyectos]],#REF!,Planning[[#This Row],[Tipo de Tarea y especialidad]])</f>
        <v>#REF!</v>
      </c>
      <c r="O393" s="19">
        <f t="shared" si="12"/>
        <v>10</v>
      </c>
      <c r="P393" s="19">
        <f t="shared" si="13"/>
        <v>2024</v>
      </c>
      <c r="Q393" s="19" t="e">
        <f>+SUMIFS(#REF!,#REF!,Planning[[#This Row],[Tarifa]],#REF!,Planning[[#This Row],[Proyectos]],#REF!,Planning[[#This Row],[Mes]],#REF!,Planning[[#This Row],[Año]])</f>
        <v>#REF!</v>
      </c>
      <c r="R393" s="19" t="str">
        <f>TEXT(Planning[[#This Row],[Mes]]*29,"mmmm")</f>
        <v>October</v>
      </c>
      <c r="S3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3" s="228"/>
      <c r="U393" s="43" t="e">
        <f>IF(Planning[[#This Row],[Horas Planificadas]]&lt;&gt;0,+K393/Planning[[#This Row],[Horas Planificadas]],0)</f>
        <v>#REF!</v>
      </c>
      <c r="V393" s="43" t="e">
        <f>IF(Planning[[#This Row],[Horas Planificadas]]&lt;&gt;0,Planning[[#This Row],[Horas utilizadas]]/Planning[[#This Row],[Horas Planificadas]],0)</f>
        <v>#REF!</v>
      </c>
      <c r="W393" s="44">
        <f>Planning[[#This Row],[Horas Planificadas]]+Planning[[#This Row],[Horas ajustadas adicionales]]</f>
        <v>353</v>
      </c>
      <c r="X393" s="142"/>
    </row>
    <row r="394" spans="1:24" ht="12.75" customHeight="1" x14ac:dyDescent="0.2">
      <c r="A394" s="7"/>
      <c r="B394" s="7"/>
      <c r="C394" s="3"/>
      <c r="D394" s="3" t="s">
        <v>139</v>
      </c>
      <c r="E394" s="33" t="s">
        <v>32</v>
      </c>
      <c r="F394" s="3"/>
      <c r="G394" s="7"/>
      <c r="H394" s="7">
        <v>0</v>
      </c>
      <c r="I394" s="12"/>
      <c r="J394" s="5" t="e">
        <f>+SUMIFS(#REF!,#REF!,Planning[[#This Row],[Tarifa]],#REF!,Planning[[#This Row],[Proyectos]])</f>
        <v>#REF!</v>
      </c>
      <c r="K394" s="5" t="e">
        <f>Planning[[#This Row],[Horas Planificadas]]+Planning[[#This Row],[Horas ajustadas adicionales]]-Planning[[#This Row],[Horas utilizadas]]</f>
        <v>#REF!</v>
      </c>
      <c r="L394" s="7"/>
      <c r="M394" s="19" t="e">
        <f>Planning[[#This Row],[Saldo]]-Planning[[#This Row],[Saldo estimado]]</f>
        <v>#REF!</v>
      </c>
      <c r="N394" s="60" t="e">
        <f>+SUMIFS(#REF!,#REF!,Planning[[#This Row],[Proyectos]],#REF!,Planning[[#This Row],[Tipo de Tarea y especialidad]])</f>
        <v>#REF!</v>
      </c>
      <c r="O394" s="19">
        <f t="shared" si="12"/>
        <v>10</v>
      </c>
      <c r="P394" s="19">
        <f t="shared" si="13"/>
        <v>2024</v>
      </c>
      <c r="Q394" s="19" t="e">
        <f>+SUMIFS(#REF!,#REF!,Planning[[#This Row],[Tarifa]],#REF!,Planning[[#This Row],[Proyectos]],#REF!,Planning[[#This Row],[Mes]],#REF!,Planning[[#This Row],[Año]])</f>
        <v>#REF!</v>
      </c>
      <c r="R394" s="19" t="str">
        <f>TEXT(Planning[[#This Row],[Mes]]*29,"mmmm")</f>
        <v>October</v>
      </c>
      <c r="S3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4" s="228"/>
      <c r="U394" s="43">
        <f>IF(Planning[[#This Row],[Horas Planificadas]]&lt;&gt;0,+K394/Planning[[#This Row],[Horas Planificadas]],0)</f>
        <v>0</v>
      </c>
      <c r="V394" s="43">
        <f>IF(Planning[[#This Row],[Horas Planificadas]]&lt;&gt;0,Planning[[#This Row],[Horas utilizadas]]/Planning[[#This Row],[Horas Planificadas]],0)</f>
        <v>0</v>
      </c>
      <c r="W394" s="44">
        <f>Planning[[#This Row],[Horas Planificadas]]+Planning[[#This Row],[Horas ajustadas adicionales]]</f>
        <v>0</v>
      </c>
      <c r="X394" s="142"/>
    </row>
    <row r="395" spans="1:24" ht="12.75" customHeight="1" x14ac:dyDescent="0.2">
      <c r="A395" s="7"/>
      <c r="B395" s="7"/>
      <c r="C395" s="3"/>
      <c r="D395" s="3" t="s">
        <v>140</v>
      </c>
      <c r="E395" s="33" t="s">
        <v>28</v>
      </c>
      <c r="F395" s="3"/>
      <c r="G395" s="7"/>
      <c r="H395" s="7">
        <v>120</v>
      </c>
      <c r="I395" s="12"/>
      <c r="J395" s="5" t="e">
        <f>+SUMIFS(#REF!,#REF!,Planning[[#This Row],[Tarifa]],#REF!,Planning[[#This Row],[Proyectos]])</f>
        <v>#REF!</v>
      </c>
      <c r="K395" s="5" t="e">
        <f>Planning[[#This Row],[Horas Planificadas]]+Planning[[#This Row],[Horas ajustadas adicionales]]-Planning[[#This Row],[Horas utilizadas]]</f>
        <v>#REF!</v>
      </c>
      <c r="L395" s="7"/>
      <c r="M395" s="19" t="e">
        <f>Planning[[#This Row],[Saldo]]-Planning[[#This Row],[Saldo estimado]]</f>
        <v>#REF!</v>
      </c>
      <c r="N395" s="60" t="e">
        <f>+SUMIFS(#REF!,#REF!,Planning[[#This Row],[Proyectos]],#REF!,Planning[[#This Row],[Tipo de Tarea y especialidad]])</f>
        <v>#REF!</v>
      </c>
      <c r="O395" s="19">
        <f t="shared" si="12"/>
        <v>10</v>
      </c>
      <c r="P395" s="19">
        <f t="shared" si="13"/>
        <v>2024</v>
      </c>
      <c r="Q395" s="19" t="e">
        <f>+SUMIFS(#REF!,#REF!,Planning[[#This Row],[Tarifa]],#REF!,Planning[[#This Row],[Proyectos]],#REF!,Planning[[#This Row],[Mes]],#REF!,Planning[[#This Row],[Año]])</f>
        <v>#REF!</v>
      </c>
      <c r="R395" s="19" t="str">
        <f>TEXT(Planning[[#This Row],[Mes]]*29,"mmmm")</f>
        <v>October</v>
      </c>
      <c r="S3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5" s="228"/>
      <c r="U395" s="43" t="e">
        <f>IF(Planning[[#This Row],[Horas Planificadas]]&lt;&gt;0,+K395/Planning[[#This Row],[Horas Planificadas]],0)</f>
        <v>#REF!</v>
      </c>
      <c r="V395" s="43" t="e">
        <f>IF(Planning[[#This Row],[Horas Planificadas]]&lt;&gt;0,Planning[[#This Row],[Horas utilizadas]]/Planning[[#This Row],[Horas Planificadas]],0)</f>
        <v>#REF!</v>
      </c>
      <c r="W395" s="44">
        <f>Planning[[#This Row],[Horas Planificadas]]+Planning[[#This Row],[Horas ajustadas adicionales]]</f>
        <v>120</v>
      </c>
      <c r="X395" s="142"/>
    </row>
    <row r="396" spans="1:24" ht="12.75" customHeight="1" x14ac:dyDescent="0.2">
      <c r="A396" s="7"/>
      <c r="B396" s="7"/>
      <c r="C396" s="3"/>
      <c r="D396" s="3" t="s">
        <v>140</v>
      </c>
      <c r="E396" s="33" t="s">
        <v>30</v>
      </c>
      <c r="F396" s="3"/>
      <c r="G396" s="7"/>
      <c r="H396" s="7">
        <v>320</v>
      </c>
      <c r="I396" s="12"/>
      <c r="J396" s="5" t="e">
        <f>+SUMIFS(#REF!,#REF!,Planning[[#This Row],[Tarifa]],#REF!,Planning[[#This Row],[Proyectos]])</f>
        <v>#REF!</v>
      </c>
      <c r="K396" s="5" t="e">
        <f>Planning[[#This Row],[Horas Planificadas]]+Planning[[#This Row],[Horas ajustadas adicionales]]-Planning[[#This Row],[Horas utilizadas]]</f>
        <v>#REF!</v>
      </c>
      <c r="L396" s="7"/>
      <c r="M396" s="19" t="e">
        <f>Planning[[#This Row],[Saldo]]-Planning[[#This Row],[Saldo estimado]]</f>
        <v>#REF!</v>
      </c>
      <c r="N396" s="60" t="e">
        <f>+SUMIFS(#REF!,#REF!,Planning[[#This Row],[Proyectos]],#REF!,Planning[[#This Row],[Tipo de Tarea y especialidad]])</f>
        <v>#REF!</v>
      </c>
      <c r="O396" s="19">
        <f t="shared" si="12"/>
        <v>10</v>
      </c>
      <c r="P396" s="19">
        <f t="shared" si="13"/>
        <v>2024</v>
      </c>
      <c r="Q396" s="19" t="e">
        <f>+SUMIFS(#REF!,#REF!,Planning[[#This Row],[Tarifa]],#REF!,Planning[[#This Row],[Proyectos]],#REF!,Planning[[#This Row],[Mes]],#REF!,Planning[[#This Row],[Año]])</f>
        <v>#REF!</v>
      </c>
      <c r="R396" s="19" t="str">
        <f>TEXT(Planning[[#This Row],[Mes]]*29,"mmmm")</f>
        <v>October</v>
      </c>
      <c r="S3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6" s="228"/>
      <c r="U396" s="43" t="e">
        <f>IF(Planning[[#This Row],[Horas Planificadas]]&lt;&gt;0,+K396/Planning[[#This Row],[Horas Planificadas]],0)</f>
        <v>#REF!</v>
      </c>
      <c r="V396" s="43" t="e">
        <f>IF(Planning[[#This Row],[Horas Planificadas]]&lt;&gt;0,Planning[[#This Row],[Horas utilizadas]]/Planning[[#This Row],[Horas Planificadas]],0)</f>
        <v>#REF!</v>
      </c>
      <c r="W396" s="44">
        <f>Planning[[#This Row],[Horas Planificadas]]+Planning[[#This Row],[Horas ajustadas adicionales]]</f>
        <v>320</v>
      </c>
      <c r="X396" s="142"/>
    </row>
    <row r="397" spans="1:24" ht="12.75" customHeight="1" x14ac:dyDescent="0.2">
      <c r="A397" s="7"/>
      <c r="B397" s="7"/>
      <c r="C397" s="3"/>
      <c r="D397" s="3" t="s">
        <v>140</v>
      </c>
      <c r="E397" s="33" t="s">
        <v>31</v>
      </c>
      <c r="F397" s="3"/>
      <c r="G397" s="7"/>
      <c r="H397" s="7">
        <v>320</v>
      </c>
      <c r="I397" s="12"/>
      <c r="J397" s="5" t="e">
        <f>+SUMIFS(#REF!,#REF!,Planning[[#This Row],[Tarifa]],#REF!,Planning[[#This Row],[Proyectos]])</f>
        <v>#REF!</v>
      </c>
      <c r="K397" s="5" t="e">
        <f>Planning[[#This Row],[Horas Planificadas]]+Planning[[#This Row],[Horas ajustadas adicionales]]-Planning[[#This Row],[Horas utilizadas]]</f>
        <v>#REF!</v>
      </c>
      <c r="L397" s="7"/>
      <c r="M397" s="19" t="e">
        <f>Planning[[#This Row],[Saldo]]-Planning[[#This Row],[Saldo estimado]]</f>
        <v>#REF!</v>
      </c>
      <c r="N397" s="60" t="e">
        <f>+SUMIFS(#REF!,#REF!,Planning[[#This Row],[Proyectos]],#REF!,Planning[[#This Row],[Tipo de Tarea y especialidad]])</f>
        <v>#REF!</v>
      </c>
      <c r="O397" s="19">
        <f t="shared" si="12"/>
        <v>10</v>
      </c>
      <c r="P397" s="19">
        <f t="shared" si="13"/>
        <v>2024</v>
      </c>
      <c r="Q397" s="19" t="e">
        <f>+SUMIFS(#REF!,#REF!,Planning[[#This Row],[Tarifa]],#REF!,Planning[[#This Row],[Proyectos]],#REF!,Planning[[#This Row],[Mes]],#REF!,Planning[[#This Row],[Año]])</f>
        <v>#REF!</v>
      </c>
      <c r="R397" s="19" t="str">
        <f>TEXT(Planning[[#This Row],[Mes]]*29,"mmmm")</f>
        <v>October</v>
      </c>
      <c r="S3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7" s="228"/>
      <c r="U397" s="43" t="e">
        <f>IF(Planning[[#This Row],[Horas Planificadas]]&lt;&gt;0,+K397/Planning[[#This Row],[Horas Planificadas]],0)</f>
        <v>#REF!</v>
      </c>
      <c r="V397" s="43" t="e">
        <f>IF(Planning[[#This Row],[Horas Planificadas]]&lt;&gt;0,Planning[[#This Row],[Horas utilizadas]]/Planning[[#This Row],[Horas Planificadas]],0)</f>
        <v>#REF!</v>
      </c>
      <c r="W397" s="44">
        <f>Planning[[#This Row],[Horas Planificadas]]+Planning[[#This Row],[Horas ajustadas adicionales]]</f>
        <v>320</v>
      </c>
      <c r="X397" s="142"/>
    </row>
    <row r="398" spans="1:24" ht="12.75" customHeight="1" x14ac:dyDescent="0.2">
      <c r="A398" s="7"/>
      <c r="B398" s="7"/>
      <c r="C398" s="3"/>
      <c r="D398" s="3" t="s">
        <v>140</v>
      </c>
      <c r="E398" s="33" t="s">
        <v>32</v>
      </c>
      <c r="F398" s="3"/>
      <c r="G398" s="7"/>
      <c r="H398" s="7">
        <v>96</v>
      </c>
      <c r="I398" s="12"/>
      <c r="J398" s="5" t="e">
        <f>+SUMIFS(#REF!,#REF!,Planning[[#This Row],[Tarifa]],#REF!,Planning[[#This Row],[Proyectos]])</f>
        <v>#REF!</v>
      </c>
      <c r="K398" s="5" t="e">
        <f>Planning[[#This Row],[Horas Planificadas]]+Planning[[#This Row],[Horas ajustadas adicionales]]-Planning[[#This Row],[Horas utilizadas]]</f>
        <v>#REF!</v>
      </c>
      <c r="L398" s="7"/>
      <c r="M398" s="19" t="e">
        <f>Planning[[#This Row],[Saldo]]-Planning[[#This Row],[Saldo estimado]]</f>
        <v>#REF!</v>
      </c>
      <c r="N398" s="60" t="e">
        <f>+SUMIFS(#REF!,#REF!,Planning[[#This Row],[Proyectos]],#REF!,Planning[[#This Row],[Tipo de Tarea y especialidad]])</f>
        <v>#REF!</v>
      </c>
      <c r="O398" s="19">
        <f t="shared" si="12"/>
        <v>10</v>
      </c>
      <c r="P398" s="19">
        <f t="shared" si="13"/>
        <v>2024</v>
      </c>
      <c r="Q398" s="19" t="e">
        <f>+SUMIFS(#REF!,#REF!,Planning[[#This Row],[Tarifa]],#REF!,Planning[[#This Row],[Proyectos]],#REF!,Planning[[#This Row],[Mes]],#REF!,Planning[[#This Row],[Año]])</f>
        <v>#REF!</v>
      </c>
      <c r="R398" s="19" t="str">
        <f>TEXT(Planning[[#This Row],[Mes]]*29,"mmmm")</f>
        <v>October</v>
      </c>
      <c r="S3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8" s="228"/>
      <c r="U398" s="43" t="e">
        <f>IF(Planning[[#This Row],[Horas Planificadas]]&lt;&gt;0,+K398/Planning[[#This Row],[Horas Planificadas]],0)</f>
        <v>#REF!</v>
      </c>
      <c r="V398" s="43" t="e">
        <f>IF(Planning[[#This Row],[Horas Planificadas]]&lt;&gt;0,Planning[[#This Row],[Horas utilizadas]]/Planning[[#This Row],[Horas Planificadas]],0)</f>
        <v>#REF!</v>
      </c>
      <c r="W398" s="44">
        <f>Planning[[#This Row],[Horas Planificadas]]+Planning[[#This Row],[Horas ajustadas adicionales]]</f>
        <v>96</v>
      </c>
      <c r="X398" s="142"/>
    </row>
    <row r="399" spans="1:24" ht="12.75" customHeight="1" x14ac:dyDescent="0.2">
      <c r="A399" s="7"/>
      <c r="B399" s="7"/>
      <c r="C399" s="3"/>
      <c r="D399" s="3" t="s">
        <v>141</v>
      </c>
      <c r="E399" s="33" t="s">
        <v>28</v>
      </c>
      <c r="F399" s="3"/>
      <c r="G399" s="7"/>
      <c r="H399" s="7">
        <v>880</v>
      </c>
      <c r="I399" s="12"/>
      <c r="J399" s="5" t="e">
        <f>+SUMIFS(#REF!,#REF!,Planning[[#This Row],[Tarifa]],#REF!,Planning[[#This Row],[Proyectos]])</f>
        <v>#REF!</v>
      </c>
      <c r="K399" s="5" t="e">
        <f>Planning[[#This Row],[Horas Planificadas]]+Planning[[#This Row],[Horas ajustadas adicionales]]-Planning[[#This Row],[Horas utilizadas]]</f>
        <v>#REF!</v>
      </c>
      <c r="L399" s="7"/>
      <c r="M399" s="19" t="e">
        <f>Planning[[#This Row],[Saldo]]-Planning[[#This Row],[Saldo estimado]]</f>
        <v>#REF!</v>
      </c>
      <c r="N399" s="60" t="e">
        <f>+SUMIFS(#REF!,#REF!,Planning[[#This Row],[Proyectos]],#REF!,Planning[[#This Row],[Tipo de Tarea y especialidad]])</f>
        <v>#REF!</v>
      </c>
      <c r="O399" s="19">
        <f t="shared" si="12"/>
        <v>10</v>
      </c>
      <c r="P399" s="19">
        <f t="shared" si="13"/>
        <v>2024</v>
      </c>
      <c r="Q399" s="19" t="e">
        <f>+SUMIFS(#REF!,#REF!,Planning[[#This Row],[Tarifa]],#REF!,Planning[[#This Row],[Proyectos]],#REF!,Planning[[#This Row],[Mes]],#REF!,Planning[[#This Row],[Año]])</f>
        <v>#REF!</v>
      </c>
      <c r="R399" s="19" t="str">
        <f>TEXT(Planning[[#This Row],[Mes]]*29,"mmmm")</f>
        <v>October</v>
      </c>
      <c r="S3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9" s="228"/>
      <c r="U399" s="43" t="e">
        <f>IF(Planning[[#This Row],[Horas Planificadas]]&lt;&gt;0,+K399/Planning[[#This Row],[Horas Planificadas]],0)</f>
        <v>#REF!</v>
      </c>
      <c r="V399" s="43" t="e">
        <f>IF(Planning[[#This Row],[Horas Planificadas]]&lt;&gt;0,Planning[[#This Row],[Horas utilizadas]]/Planning[[#This Row],[Horas Planificadas]],0)</f>
        <v>#REF!</v>
      </c>
      <c r="W399" s="44">
        <f>Planning[[#This Row],[Horas Planificadas]]+Planning[[#This Row],[Horas ajustadas adicionales]]</f>
        <v>880</v>
      </c>
      <c r="X399" s="142"/>
    </row>
    <row r="400" spans="1:24" ht="12.75" customHeight="1" x14ac:dyDescent="0.2">
      <c r="A400" s="7"/>
      <c r="B400" s="7"/>
      <c r="C400" s="3"/>
      <c r="D400" s="3" t="s">
        <v>141</v>
      </c>
      <c r="E400" s="33" t="s">
        <v>30</v>
      </c>
      <c r="F400" s="3"/>
      <c r="G400" s="7"/>
      <c r="H400" s="7">
        <v>600</v>
      </c>
      <c r="I400" s="12"/>
      <c r="J400" s="5" t="e">
        <f>+SUMIFS(#REF!,#REF!,Planning[[#This Row],[Tarifa]],#REF!,Planning[[#This Row],[Proyectos]])</f>
        <v>#REF!</v>
      </c>
      <c r="K400" s="5" t="e">
        <f>Planning[[#This Row],[Horas Planificadas]]+Planning[[#This Row],[Horas ajustadas adicionales]]-Planning[[#This Row],[Horas utilizadas]]</f>
        <v>#REF!</v>
      </c>
      <c r="L400" s="7"/>
      <c r="M400" s="19" t="e">
        <f>Planning[[#This Row],[Saldo]]-Planning[[#This Row],[Saldo estimado]]</f>
        <v>#REF!</v>
      </c>
      <c r="N400" s="60" t="e">
        <f>+SUMIFS(#REF!,#REF!,Planning[[#This Row],[Proyectos]],#REF!,Planning[[#This Row],[Tipo de Tarea y especialidad]])</f>
        <v>#REF!</v>
      </c>
      <c r="O400" s="19">
        <f t="shared" si="12"/>
        <v>10</v>
      </c>
      <c r="P400" s="19">
        <f t="shared" si="13"/>
        <v>2024</v>
      </c>
      <c r="Q400" s="19" t="e">
        <f>+SUMIFS(#REF!,#REF!,Planning[[#This Row],[Tarifa]],#REF!,Planning[[#This Row],[Proyectos]],#REF!,Planning[[#This Row],[Mes]],#REF!,Planning[[#This Row],[Año]])</f>
        <v>#REF!</v>
      </c>
      <c r="R400" s="19" t="str">
        <f>TEXT(Planning[[#This Row],[Mes]]*29,"mmmm")</f>
        <v>October</v>
      </c>
      <c r="S4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0" s="228"/>
      <c r="U400" s="43" t="e">
        <f>IF(Planning[[#This Row],[Horas Planificadas]]&lt;&gt;0,+K400/Planning[[#This Row],[Horas Planificadas]],0)</f>
        <v>#REF!</v>
      </c>
      <c r="V400" s="43" t="e">
        <f>IF(Planning[[#This Row],[Horas Planificadas]]&lt;&gt;0,Planning[[#This Row],[Horas utilizadas]]/Planning[[#This Row],[Horas Planificadas]],0)</f>
        <v>#REF!</v>
      </c>
      <c r="W400" s="44">
        <f>Planning[[#This Row],[Horas Planificadas]]+Planning[[#This Row],[Horas ajustadas adicionales]]</f>
        <v>600</v>
      </c>
      <c r="X400" s="142"/>
    </row>
    <row r="401" spans="1:24" ht="12.75" customHeight="1" x14ac:dyDescent="0.2">
      <c r="A401" s="7"/>
      <c r="B401" s="7"/>
      <c r="C401" s="3"/>
      <c r="D401" s="3" t="s">
        <v>141</v>
      </c>
      <c r="E401" s="33" t="s">
        <v>31</v>
      </c>
      <c r="F401" s="3"/>
      <c r="G401" s="7"/>
      <c r="H401" s="7">
        <v>550</v>
      </c>
      <c r="I401" s="12"/>
      <c r="J401" s="5" t="e">
        <f>+SUMIFS(#REF!,#REF!,Planning[[#This Row],[Tarifa]],#REF!,Planning[[#This Row],[Proyectos]])</f>
        <v>#REF!</v>
      </c>
      <c r="K401" s="5" t="e">
        <f>Planning[[#This Row],[Horas Planificadas]]+Planning[[#This Row],[Horas ajustadas adicionales]]-Planning[[#This Row],[Horas utilizadas]]</f>
        <v>#REF!</v>
      </c>
      <c r="L401" s="7"/>
      <c r="M401" s="19" t="e">
        <f>Planning[[#This Row],[Saldo]]-Planning[[#This Row],[Saldo estimado]]</f>
        <v>#REF!</v>
      </c>
      <c r="N401" s="60" t="e">
        <f>+SUMIFS(#REF!,#REF!,Planning[[#This Row],[Proyectos]],#REF!,Planning[[#This Row],[Tipo de Tarea y especialidad]])</f>
        <v>#REF!</v>
      </c>
      <c r="O401" s="19">
        <f t="shared" si="12"/>
        <v>10</v>
      </c>
      <c r="P401" s="19">
        <f t="shared" si="13"/>
        <v>2024</v>
      </c>
      <c r="Q401" s="19" t="e">
        <f>+SUMIFS(#REF!,#REF!,Planning[[#This Row],[Tarifa]],#REF!,Planning[[#This Row],[Proyectos]],#REF!,Planning[[#This Row],[Mes]],#REF!,Planning[[#This Row],[Año]])</f>
        <v>#REF!</v>
      </c>
      <c r="R401" s="19" t="str">
        <f>TEXT(Planning[[#This Row],[Mes]]*29,"mmmm")</f>
        <v>October</v>
      </c>
      <c r="S4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1" s="228"/>
      <c r="U401" s="43" t="e">
        <f>IF(Planning[[#This Row],[Horas Planificadas]]&lt;&gt;0,+K401/Planning[[#This Row],[Horas Planificadas]],0)</f>
        <v>#REF!</v>
      </c>
      <c r="V401" s="43" t="e">
        <f>IF(Planning[[#This Row],[Horas Planificadas]]&lt;&gt;0,Planning[[#This Row],[Horas utilizadas]]/Planning[[#This Row],[Horas Planificadas]],0)</f>
        <v>#REF!</v>
      </c>
      <c r="W401" s="44">
        <f>Planning[[#This Row],[Horas Planificadas]]+Planning[[#This Row],[Horas ajustadas adicionales]]</f>
        <v>550</v>
      </c>
      <c r="X401" s="142"/>
    </row>
    <row r="402" spans="1:24" ht="12.75" customHeight="1" x14ac:dyDescent="0.2">
      <c r="A402" s="7"/>
      <c r="B402" s="7"/>
      <c r="C402" s="3"/>
      <c r="D402" s="3" t="s">
        <v>141</v>
      </c>
      <c r="E402" s="33" t="s">
        <v>32</v>
      </c>
      <c r="F402" s="3"/>
      <c r="G402" s="7"/>
      <c r="H402" s="7">
        <v>500</v>
      </c>
      <c r="I402" s="12"/>
      <c r="J402" s="5" t="e">
        <f>+SUMIFS(#REF!,#REF!,Planning[[#This Row],[Tarifa]],#REF!,Planning[[#This Row],[Proyectos]])</f>
        <v>#REF!</v>
      </c>
      <c r="K402" s="5" t="e">
        <f>Planning[[#This Row],[Horas Planificadas]]+Planning[[#This Row],[Horas ajustadas adicionales]]-Planning[[#This Row],[Horas utilizadas]]</f>
        <v>#REF!</v>
      </c>
      <c r="L402" s="7"/>
      <c r="M402" s="19" t="e">
        <f>Planning[[#This Row],[Saldo]]-Planning[[#This Row],[Saldo estimado]]</f>
        <v>#REF!</v>
      </c>
      <c r="N402" s="60" t="e">
        <f>+SUMIFS(#REF!,#REF!,Planning[[#This Row],[Proyectos]],#REF!,Planning[[#This Row],[Tipo de Tarea y especialidad]])</f>
        <v>#REF!</v>
      </c>
      <c r="O402" s="19">
        <f t="shared" si="12"/>
        <v>10</v>
      </c>
      <c r="P402" s="19">
        <f t="shared" si="13"/>
        <v>2024</v>
      </c>
      <c r="Q402" s="19" t="e">
        <f>+SUMIFS(#REF!,#REF!,Planning[[#This Row],[Tarifa]],#REF!,Planning[[#This Row],[Proyectos]],#REF!,Planning[[#This Row],[Mes]],#REF!,Planning[[#This Row],[Año]])</f>
        <v>#REF!</v>
      </c>
      <c r="R402" s="19" t="str">
        <f>TEXT(Planning[[#This Row],[Mes]]*29,"mmmm")</f>
        <v>October</v>
      </c>
      <c r="S4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2" s="228"/>
      <c r="U402" s="43" t="e">
        <f>IF(Planning[[#This Row],[Horas Planificadas]]&lt;&gt;0,+K402/Planning[[#This Row],[Horas Planificadas]],0)</f>
        <v>#REF!</v>
      </c>
      <c r="V402" s="43" t="e">
        <f>IF(Planning[[#This Row],[Horas Planificadas]]&lt;&gt;0,Planning[[#This Row],[Horas utilizadas]]/Planning[[#This Row],[Horas Planificadas]],0)</f>
        <v>#REF!</v>
      </c>
      <c r="W402" s="44">
        <f>Planning[[#This Row],[Horas Planificadas]]+Planning[[#This Row],[Horas ajustadas adicionales]]</f>
        <v>500</v>
      </c>
      <c r="X402" s="142"/>
    </row>
    <row r="403" spans="1:24" ht="12.75" customHeight="1" x14ac:dyDescent="0.2">
      <c r="A403" s="7"/>
      <c r="B403" s="7"/>
      <c r="C403" s="3"/>
      <c r="D403" s="3" t="s">
        <v>142</v>
      </c>
      <c r="E403" s="33" t="s">
        <v>28</v>
      </c>
      <c r="F403" s="3"/>
      <c r="G403" s="7"/>
      <c r="H403" s="7">
        <v>0</v>
      </c>
      <c r="I403" s="12"/>
      <c r="J403" s="5" t="e">
        <f>+SUMIFS(#REF!,#REF!,Planning[[#This Row],[Tarifa]],#REF!,Planning[[#This Row],[Proyectos]])</f>
        <v>#REF!</v>
      </c>
      <c r="K403" s="5" t="e">
        <f>Planning[[#This Row],[Horas Planificadas]]+Planning[[#This Row],[Horas ajustadas adicionales]]-Planning[[#This Row],[Horas utilizadas]]</f>
        <v>#REF!</v>
      </c>
      <c r="L403" s="7"/>
      <c r="M403" s="19" t="e">
        <f>Planning[[#This Row],[Saldo]]-Planning[[#This Row],[Saldo estimado]]</f>
        <v>#REF!</v>
      </c>
      <c r="N403" s="60" t="e">
        <f>+SUMIFS(#REF!,#REF!,Planning[[#This Row],[Proyectos]],#REF!,Planning[[#This Row],[Tipo de Tarea y especialidad]])</f>
        <v>#REF!</v>
      </c>
      <c r="O403" s="19">
        <f t="shared" si="12"/>
        <v>10</v>
      </c>
      <c r="P403" s="19">
        <f t="shared" si="13"/>
        <v>2024</v>
      </c>
      <c r="Q403" s="19" t="e">
        <f>+SUMIFS(#REF!,#REF!,Planning[[#This Row],[Tarifa]],#REF!,Planning[[#This Row],[Proyectos]],#REF!,Planning[[#This Row],[Mes]],#REF!,Planning[[#This Row],[Año]])</f>
        <v>#REF!</v>
      </c>
      <c r="R403" s="19" t="str">
        <f>TEXT(Planning[[#This Row],[Mes]]*29,"mmmm")</f>
        <v>October</v>
      </c>
      <c r="S4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3" s="228"/>
      <c r="U403" s="43">
        <f>IF(Planning[[#This Row],[Horas Planificadas]]&lt;&gt;0,+K403/Planning[[#This Row],[Horas Planificadas]],0)</f>
        <v>0</v>
      </c>
      <c r="V403" s="43">
        <f>IF(Planning[[#This Row],[Horas Planificadas]]&lt;&gt;0,Planning[[#This Row],[Horas utilizadas]]/Planning[[#This Row],[Horas Planificadas]],0)</f>
        <v>0</v>
      </c>
      <c r="W403" s="44">
        <f>Planning[[#This Row],[Horas Planificadas]]+Planning[[#This Row],[Horas ajustadas adicionales]]</f>
        <v>0</v>
      </c>
      <c r="X403" s="142"/>
    </row>
    <row r="404" spans="1:24" ht="12.75" customHeight="1" x14ac:dyDescent="0.2">
      <c r="A404" s="7"/>
      <c r="B404" s="7"/>
      <c r="C404" s="3"/>
      <c r="D404" s="3" t="s">
        <v>142</v>
      </c>
      <c r="E404" s="33" t="s">
        <v>30</v>
      </c>
      <c r="F404" s="3"/>
      <c r="G404" s="7"/>
      <c r="H404" s="7">
        <v>18</v>
      </c>
      <c r="I404" s="12"/>
      <c r="J404" s="5" t="e">
        <f>+SUMIFS(#REF!,#REF!,Planning[[#This Row],[Tarifa]],#REF!,Planning[[#This Row],[Proyectos]])</f>
        <v>#REF!</v>
      </c>
      <c r="K404" s="5" t="e">
        <f>Planning[[#This Row],[Horas Planificadas]]+Planning[[#This Row],[Horas ajustadas adicionales]]-Planning[[#This Row],[Horas utilizadas]]</f>
        <v>#REF!</v>
      </c>
      <c r="L404" s="7"/>
      <c r="M404" s="19" t="e">
        <f>Planning[[#This Row],[Saldo]]-Planning[[#This Row],[Saldo estimado]]</f>
        <v>#REF!</v>
      </c>
      <c r="N404" s="60" t="e">
        <f>+SUMIFS(#REF!,#REF!,Planning[[#This Row],[Proyectos]],#REF!,Planning[[#This Row],[Tipo de Tarea y especialidad]])</f>
        <v>#REF!</v>
      </c>
      <c r="O404" s="19">
        <f t="shared" si="12"/>
        <v>10</v>
      </c>
      <c r="P404" s="19">
        <f t="shared" si="13"/>
        <v>2024</v>
      </c>
      <c r="Q404" s="19" t="e">
        <f>+SUMIFS(#REF!,#REF!,Planning[[#This Row],[Tarifa]],#REF!,Planning[[#This Row],[Proyectos]],#REF!,Planning[[#This Row],[Mes]],#REF!,Planning[[#This Row],[Año]])</f>
        <v>#REF!</v>
      </c>
      <c r="R404" s="19" t="str">
        <f>TEXT(Planning[[#This Row],[Mes]]*29,"mmmm")</f>
        <v>October</v>
      </c>
      <c r="S4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4" s="228"/>
      <c r="U404" s="43" t="e">
        <f>IF(Planning[[#This Row],[Horas Planificadas]]&lt;&gt;0,+K404/Planning[[#This Row],[Horas Planificadas]],0)</f>
        <v>#REF!</v>
      </c>
      <c r="V404" s="43" t="e">
        <f>IF(Planning[[#This Row],[Horas Planificadas]]&lt;&gt;0,Planning[[#This Row],[Horas utilizadas]]/Planning[[#This Row],[Horas Planificadas]],0)</f>
        <v>#REF!</v>
      </c>
      <c r="W404" s="44">
        <f>Planning[[#This Row],[Horas Planificadas]]+Planning[[#This Row],[Horas ajustadas adicionales]]</f>
        <v>18</v>
      </c>
      <c r="X404" s="142"/>
    </row>
    <row r="405" spans="1:24" ht="12.75" customHeight="1" x14ac:dyDescent="0.2">
      <c r="A405" s="7"/>
      <c r="B405" s="7"/>
      <c r="C405" s="3"/>
      <c r="D405" s="3" t="s">
        <v>142</v>
      </c>
      <c r="E405" s="33" t="s">
        <v>31</v>
      </c>
      <c r="F405" s="3"/>
      <c r="G405" s="7"/>
      <c r="H405" s="7">
        <v>9</v>
      </c>
      <c r="I405" s="12"/>
      <c r="J405" s="5" t="e">
        <f>+SUMIFS(#REF!,#REF!,Planning[[#This Row],[Tarifa]],#REF!,Planning[[#This Row],[Proyectos]])</f>
        <v>#REF!</v>
      </c>
      <c r="K405" s="5" t="e">
        <f>Planning[[#This Row],[Horas Planificadas]]+Planning[[#This Row],[Horas ajustadas adicionales]]-Planning[[#This Row],[Horas utilizadas]]</f>
        <v>#REF!</v>
      </c>
      <c r="L405" s="7"/>
      <c r="M405" s="19" t="e">
        <f>Planning[[#This Row],[Saldo]]-Planning[[#This Row],[Saldo estimado]]</f>
        <v>#REF!</v>
      </c>
      <c r="N405" s="60" t="e">
        <f>+SUMIFS(#REF!,#REF!,Planning[[#This Row],[Proyectos]],#REF!,Planning[[#This Row],[Tipo de Tarea y especialidad]])</f>
        <v>#REF!</v>
      </c>
      <c r="O405" s="19">
        <f t="shared" si="12"/>
        <v>10</v>
      </c>
      <c r="P405" s="19">
        <f t="shared" si="13"/>
        <v>2024</v>
      </c>
      <c r="Q405" s="19" t="e">
        <f>+SUMIFS(#REF!,#REF!,Planning[[#This Row],[Tarifa]],#REF!,Planning[[#This Row],[Proyectos]],#REF!,Planning[[#This Row],[Mes]],#REF!,Planning[[#This Row],[Año]])</f>
        <v>#REF!</v>
      </c>
      <c r="R405" s="19" t="str">
        <f>TEXT(Planning[[#This Row],[Mes]]*29,"mmmm")</f>
        <v>October</v>
      </c>
      <c r="S4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5" s="228"/>
      <c r="U405" s="43" t="e">
        <f>IF(Planning[[#This Row],[Horas Planificadas]]&lt;&gt;0,+K405/Planning[[#This Row],[Horas Planificadas]],0)</f>
        <v>#REF!</v>
      </c>
      <c r="V405" s="43" t="e">
        <f>IF(Planning[[#This Row],[Horas Planificadas]]&lt;&gt;0,Planning[[#This Row],[Horas utilizadas]]/Planning[[#This Row],[Horas Planificadas]],0)</f>
        <v>#REF!</v>
      </c>
      <c r="W405" s="44">
        <f>Planning[[#This Row],[Horas Planificadas]]+Planning[[#This Row],[Horas ajustadas adicionales]]</f>
        <v>9</v>
      </c>
      <c r="X405" s="142"/>
    </row>
    <row r="406" spans="1:24" ht="12.75" customHeight="1" x14ac:dyDescent="0.2">
      <c r="A406" s="7"/>
      <c r="B406" s="7"/>
      <c r="C406" s="3"/>
      <c r="D406" s="3" t="s">
        <v>142</v>
      </c>
      <c r="E406" s="33" t="s">
        <v>32</v>
      </c>
      <c r="F406" s="3"/>
      <c r="G406" s="7"/>
      <c r="H406" s="7">
        <v>36</v>
      </c>
      <c r="I406" s="12"/>
      <c r="J406" s="5" t="e">
        <f>+SUMIFS(#REF!,#REF!,Planning[[#This Row],[Tarifa]],#REF!,Planning[[#This Row],[Proyectos]])</f>
        <v>#REF!</v>
      </c>
      <c r="K406" s="5" t="e">
        <f>Planning[[#This Row],[Horas Planificadas]]+Planning[[#This Row],[Horas ajustadas adicionales]]-Planning[[#This Row],[Horas utilizadas]]</f>
        <v>#REF!</v>
      </c>
      <c r="L406" s="7"/>
      <c r="M406" s="19" t="e">
        <f>Planning[[#This Row],[Saldo]]-Planning[[#This Row],[Saldo estimado]]</f>
        <v>#REF!</v>
      </c>
      <c r="N406" s="60" t="e">
        <f>+SUMIFS(#REF!,#REF!,Planning[[#This Row],[Proyectos]],#REF!,Planning[[#This Row],[Tipo de Tarea y especialidad]])</f>
        <v>#REF!</v>
      </c>
      <c r="O406" s="19">
        <f t="shared" si="12"/>
        <v>10</v>
      </c>
      <c r="P406" s="19">
        <f t="shared" si="13"/>
        <v>2024</v>
      </c>
      <c r="Q406" s="19" t="e">
        <f>+SUMIFS(#REF!,#REF!,Planning[[#This Row],[Tarifa]],#REF!,Planning[[#This Row],[Proyectos]],#REF!,Planning[[#This Row],[Mes]],#REF!,Planning[[#This Row],[Año]])</f>
        <v>#REF!</v>
      </c>
      <c r="R406" s="19" t="str">
        <f>TEXT(Planning[[#This Row],[Mes]]*29,"mmmm")</f>
        <v>October</v>
      </c>
      <c r="S4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6" s="228"/>
      <c r="U406" s="43" t="e">
        <f>IF(Planning[[#This Row],[Horas Planificadas]]&lt;&gt;0,+K406/Planning[[#This Row],[Horas Planificadas]],0)</f>
        <v>#REF!</v>
      </c>
      <c r="V406" s="43" t="e">
        <f>IF(Planning[[#This Row],[Horas Planificadas]]&lt;&gt;0,Planning[[#This Row],[Horas utilizadas]]/Planning[[#This Row],[Horas Planificadas]],0)</f>
        <v>#REF!</v>
      </c>
      <c r="W406" s="44">
        <f>Planning[[#This Row],[Horas Planificadas]]+Planning[[#This Row],[Horas ajustadas adicionales]]</f>
        <v>36</v>
      </c>
      <c r="X406" s="142"/>
    </row>
    <row r="407" spans="1:24" ht="12.75" customHeight="1" x14ac:dyDescent="0.2">
      <c r="A407" s="7"/>
      <c r="B407" s="7"/>
      <c r="C407" s="3"/>
      <c r="D407" s="3" t="s">
        <v>143</v>
      </c>
      <c r="E407" s="33" t="s">
        <v>28</v>
      </c>
      <c r="F407" s="3"/>
      <c r="G407" s="7"/>
      <c r="H407" s="7">
        <v>0</v>
      </c>
      <c r="I407" s="12"/>
      <c r="J407" s="5" t="e">
        <f>+SUMIFS(#REF!,#REF!,Planning[[#This Row],[Tarifa]],#REF!,Planning[[#This Row],[Proyectos]])</f>
        <v>#REF!</v>
      </c>
      <c r="K407" s="5" t="e">
        <f>Planning[[#This Row],[Horas Planificadas]]+Planning[[#This Row],[Horas ajustadas adicionales]]-Planning[[#This Row],[Horas utilizadas]]</f>
        <v>#REF!</v>
      </c>
      <c r="L407" s="7"/>
      <c r="M407" s="19" t="e">
        <f>Planning[[#This Row],[Saldo]]-Planning[[#This Row],[Saldo estimado]]</f>
        <v>#REF!</v>
      </c>
      <c r="N407" s="60" t="e">
        <f>+SUMIFS(#REF!,#REF!,Planning[[#This Row],[Proyectos]],#REF!,Planning[[#This Row],[Tipo de Tarea y especialidad]])</f>
        <v>#REF!</v>
      </c>
      <c r="O407" s="19">
        <f t="shared" si="12"/>
        <v>10</v>
      </c>
      <c r="P407" s="19">
        <f t="shared" si="13"/>
        <v>2024</v>
      </c>
      <c r="Q407" s="19" t="e">
        <f>+SUMIFS(#REF!,#REF!,Planning[[#This Row],[Tarifa]],#REF!,Planning[[#This Row],[Proyectos]],#REF!,Planning[[#This Row],[Mes]],#REF!,Planning[[#This Row],[Año]])</f>
        <v>#REF!</v>
      </c>
      <c r="R407" s="19" t="str">
        <f>TEXT(Planning[[#This Row],[Mes]]*29,"mmmm")</f>
        <v>October</v>
      </c>
      <c r="S4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7" s="228"/>
      <c r="U407" s="43">
        <f>IF(Planning[[#This Row],[Horas Planificadas]]&lt;&gt;0,+K407/Planning[[#This Row],[Horas Planificadas]],0)</f>
        <v>0</v>
      </c>
      <c r="V407" s="43">
        <f>IF(Planning[[#This Row],[Horas Planificadas]]&lt;&gt;0,Planning[[#This Row],[Horas utilizadas]]/Planning[[#This Row],[Horas Planificadas]],0)</f>
        <v>0</v>
      </c>
      <c r="W407" s="44">
        <f>Planning[[#This Row],[Horas Planificadas]]+Planning[[#This Row],[Horas ajustadas adicionales]]</f>
        <v>0</v>
      </c>
      <c r="X407" s="142"/>
    </row>
    <row r="408" spans="1:24" ht="12.75" customHeight="1" x14ac:dyDescent="0.2">
      <c r="A408" s="7"/>
      <c r="B408" s="7"/>
      <c r="C408" s="3"/>
      <c r="D408" s="3" t="s">
        <v>143</v>
      </c>
      <c r="E408" s="33" t="s">
        <v>30</v>
      </c>
      <c r="F408" s="3"/>
      <c r="G408" s="7"/>
      <c r="H408" s="7">
        <v>8</v>
      </c>
      <c r="I408" s="12"/>
      <c r="J408" s="5" t="e">
        <f>+SUMIFS(#REF!,#REF!,Planning[[#This Row],[Tarifa]],#REF!,Planning[[#This Row],[Proyectos]])</f>
        <v>#REF!</v>
      </c>
      <c r="K408" s="5" t="e">
        <f>Planning[[#This Row],[Horas Planificadas]]+Planning[[#This Row],[Horas ajustadas adicionales]]-Planning[[#This Row],[Horas utilizadas]]</f>
        <v>#REF!</v>
      </c>
      <c r="L408" s="7"/>
      <c r="M408" s="19" t="e">
        <f>Planning[[#This Row],[Saldo]]-Planning[[#This Row],[Saldo estimado]]</f>
        <v>#REF!</v>
      </c>
      <c r="N408" s="60" t="e">
        <f>+SUMIFS(#REF!,#REF!,Planning[[#This Row],[Proyectos]],#REF!,Planning[[#This Row],[Tipo de Tarea y especialidad]])</f>
        <v>#REF!</v>
      </c>
      <c r="O408" s="19">
        <f t="shared" si="12"/>
        <v>10</v>
      </c>
      <c r="P408" s="19">
        <f t="shared" si="13"/>
        <v>2024</v>
      </c>
      <c r="Q408" s="19" t="e">
        <f>+SUMIFS(#REF!,#REF!,Planning[[#This Row],[Tarifa]],#REF!,Planning[[#This Row],[Proyectos]],#REF!,Planning[[#This Row],[Mes]],#REF!,Planning[[#This Row],[Año]])</f>
        <v>#REF!</v>
      </c>
      <c r="R408" s="19" t="str">
        <f>TEXT(Planning[[#This Row],[Mes]]*29,"mmmm")</f>
        <v>October</v>
      </c>
      <c r="S4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8" s="228"/>
      <c r="U408" s="43" t="e">
        <f>IF(Planning[[#This Row],[Horas Planificadas]]&lt;&gt;0,+K408/Planning[[#This Row],[Horas Planificadas]],0)</f>
        <v>#REF!</v>
      </c>
      <c r="V408" s="43" t="e">
        <f>IF(Planning[[#This Row],[Horas Planificadas]]&lt;&gt;0,Planning[[#This Row],[Horas utilizadas]]/Planning[[#This Row],[Horas Planificadas]],0)</f>
        <v>#REF!</v>
      </c>
      <c r="W408" s="44">
        <f>Planning[[#This Row],[Horas Planificadas]]+Planning[[#This Row],[Horas ajustadas adicionales]]</f>
        <v>8</v>
      </c>
      <c r="X408" s="142"/>
    </row>
    <row r="409" spans="1:24" ht="12.75" customHeight="1" x14ac:dyDescent="0.2">
      <c r="A409" s="7"/>
      <c r="B409" s="7"/>
      <c r="C409" s="3"/>
      <c r="D409" s="3" t="s">
        <v>143</v>
      </c>
      <c r="E409" s="33" t="s">
        <v>31</v>
      </c>
      <c r="F409" s="3"/>
      <c r="G409" s="7"/>
      <c r="H409" s="7">
        <v>16</v>
      </c>
      <c r="I409" s="12"/>
      <c r="J409" s="5" t="e">
        <f>+SUMIFS(#REF!,#REF!,Planning[[#This Row],[Tarifa]],#REF!,Planning[[#This Row],[Proyectos]])</f>
        <v>#REF!</v>
      </c>
      <c r="K409" s="5" t="e">
        <f>Planning[[#This Row],[Horas Planificadas]]+Planning[[#This Row],[Horas ajustadas adicionales]]-Planning[[#This Row],[Horas utilizadas]]</f>
        <v>#REF!</v>
      </c>
      <c r="L409" s="7"/>
      <c r="M409" s="19" t="e">
        <f>Planning[[#This Row],[Saldo]]-Planning[[#This Row],[Saldo estimado]]</f>
        <v>#REF!</v>
      </c>
      <c r="N409" s="60" t="e">
        <f>+SUMIFS(#REF!,#REF!,Planning[[#This Row],[Proyectos]],#REF!,Planning[[#This Row],[Tipo de Tarea y especialidad]])</f>
        <v>#REF!</v>
      </c>
      <c r="O409" s="19">
        <f t="shared" si="12"/>
        <v>10</v>
      </c>
      <c r="P409" s="19">
        <f t="shared" si="13"/>
        <v>2024</v>
      </c>
      <c r="Q409" s="19" t="e">
        <f>+SUMIFS(#REF!,#REF!,Planning[[#This Row],[Tarifa]],#REF!,Planning[[#This Row],[Proyectos]],#REF!,Planning[[#This Row],[Mes]],#REF!,Planning[[#This Row],[Año]])</f>
        <v>#REF!</v>
      </c>
      <c r="R409" s="19" t="str">
        <f>TEXT(Planning[[#This Row],[Mes]]*29,"mmmm")</f>
        <v>October</v>
      </c>
      <c r="S4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9" s="228"/>
      <c r="U409" s="43" t="e">
        <f>IF(Planning[[#This Row],[Horas Planificadas]]&lt;&gt;0,+K409/Planning[[#This Row],[Horas Planificadas]],0)</f>
        <v>#REF!</v>
      </c>
      <c r="V409" s="43" t="e">
        <f>IF(Planning[[#This Row],[Horas Planificadas]]&lt;&gt;0,Planning[[#This Row],[Horas utilizadas]]/Planning[[#This Row],[Horas Planificadas]],0)</f>
        <v>#REF!</v>
      </c>
      <c r="W409" s="44">
        <f>Planning[[#This Row],[Horas Planificadas]]+Planning[[#This Row],[Horas ajustadas adicionales]]</f>
        <v>16</v>
      </c>
      <c r="X409" s="142"/>
    </row>
    <row r="410" spans="1:24" ht="12.75" customHeight="1" x14ac:dyDescent="0.2">
      <c r="A410" s="7"/>
      <c r="B410" s="7"/>
      <c r="C410" s="3"/>
      <c r="D410" s="3" t="s">
        <v>143</v>
      </c>
      <c r="E410" s="33" t="s">
        <v>32</v>
      </c>
      <c r="F410" s="3"/>
      <c r="G410" s="7"/>
      <c r="H410" s="7">
        <v>120</v>
      </c>
      <c r="I410" s="12"/>
      <c r="J410" s="5" t="e">
        <f>+SUMIFS(#REF!,#REF!,Planning[[#This Row],[Tarifa]],#REF!,Planning[[#This Row],[Proyectos]])</f>
        <v>#REF!</v>
      </c>
      <c r="K410" s="5" t="e">
        <f>Planning[[#This Row],[Horas Planificadas]]+Planning[[#This Row],[Horas ajustadas adicionales]]-Planning[[#This Row],[Horas utilizadas]]</f>
        <v>#REF!</v>
      </c>
      <c r="L410" s="7"/>
      <c r="M410" s="19" t="e">
        <f>Planning[[#This Row],[Saldo]]-Planning[[#This Row],[Saldo estimado]]</f>
        <v>#REF!</v>
      </c>
      <c r="N410" s="60" t="e">
        <f>+SUMIFS(#REF!,#REF!,Planning[[#This Row],[Proyectos]],#REF!,Planning[[#This Row],[Tipo de Tarea y especialidad]])</f>
        <v>#REF!</v>
      </c>
      <c r="O410" s="19">
        <f t="shared" si="12"/>
        <v>10</v>
      </c>
      <c r="P410" s="19">
        <f t="shared" si="13"/>
        <v>2024</v>
      </c>
      <c r="Q410" s="19" t="e">
        <f>+SUMIFS(#REF!,#REF!,Planning[[#This Row],[Tarifa]],#REF!,Planning[[#This Row],[Proyectos]],#REF!,Planning[[#This Row],[Mes]],#REF!,Planning[[#This Row],[Año]])</f>
        <v>#REF!</v>
      </c>
      <c r="R410" s="19" t="str">
        <f>TEXT(Planning[[#This Row],[Mes]]*29,"mmmm")</f>
        <v>October</v>
      </c>
      <c r="S4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0" s="228"/>
      <c r="U410" s="43" t="e">
        <f>IF(Planning[[#This Row],[Horas Planificadas]]&lt;&gt;0,+K410/Planning[[#This Row],[Horas Planificadas]],0)</f>
        <v>#REF!</v>
      </c>
      <c r="V410" s="43" t="e">
        <f>IF(Planning[[#This Row],[Horas Planificadas]]&lt;&gt;0,Planning[[#This Row],[Horas utilizadas]]/Planning[[#This Row],[Horas Planificadas]],0)</f>
        <v>#REF!</v>
      </c>
      <c r="W410" s="44">
        <f>Planning[[#This Row],[Horas Planificadas]]+Planning[[#This Row],[Horas ajustadas adicionales]]</f>
        <v>120</v>
      </c>
      <c r="X410" s="142"/>
    </row>
    <row r="411" spans="1:24" ht="12.75" customHeight="1" x14ac:dyDescent="0.2">
      <c r="A411" s="7"/>
      <c r="B411" s="7"/>
      <c r="C411" s="3"/>
      <c r="D411" s="3" t="s">
        <v>144</v>
      </c>
      <c r="E411" s="33" t="s">
        <v>28</v>
      </c>
      <c r="F411" s="3"/>
      <c r="G411" s="7"/>
      <c r="H411" s="7">
        <v>0</v>
      </c>
      <c r="I411" s="12"/>
      <c r="J411" s="5" t="e">
        <f>+SUMIFS(#REF!,#REF!,Planning[[#This Row],[Tarifa]],#REF!,Planning[[#This Row],[Proyectos]])</f>
        <v>#REF!</v>
      </c>
      <c r="K411" s="5" t="e">
        <f>Planning[[#This Row],[Horas Planificadas]]+Planning[[#This Row],[Horas ajustadas adicionales]]-Planning[[#This Row],[Horas utilizadas]]</f>
        <v>#REF!</v>
      </c>
      <c r="L411" s="7"/>
      <c r="M411" s="19" t="e">
        <f>Planning[[#This Row],[Saldo]]-Planning[[#This Row],[Saldo estimado]]</f>
        <v>#REF!</v>
      </c>
      <c r="N411" s="60" t="e">
        <f>+SUMIFS(#REF!,#REF!,Planning[[#This Row],[Proyectos]],#REF!,Planning[[#This Row],[Tipo de Tarea y especialidad]])</f>
        <v>#REF!</v>
      </c>
      <c r="O411" s="19">
        <f t="shared" si="12"/>
        <v>10</v>
      </c>
      <c r="P411" s="19">
        <f t="shared" si="13"/>
        <v>2024</v>
      </c>
      <c r="Q411" s="19" t="e">
        <f>+SUMIFS(#REF!,#REF!,Planning[[#This Row],[Tarifa]],#REF!,Planning[[#This Row],[Proyectos]],#REF!,Planning[[#This Row],[Mes]],#REF!,Planning[[#This Row],[Año]])</f>
        <v>#REF!</v>
      </c>
      <c r="R411" s="19" t="str">
        <f>TEXT(Planning[[#This Row],[Mes]]*29,"mmmm")</f>
        <v>October</v>
      </c>
      <c r="S4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1" s="228"/>
      <c r="U411" s="43">
        <f>IF(Planning[[#This Row],[Horas Planificadas]]&lt;&gt;0,+K411/Planning[[#This Row],[Horas Planificadas]],0)</f>
        <v>0</v>
      </c>
      <c r="V411" s="43">
        <f>IF(Planning[[#This Row],[Horas Planificadas]]&lt;&gt;0,Planning[[#This Row],[Horas utilizadas]]/Planning[[#This Row],[Horas Planificadas]],0)</f>
        <v>0</v>
      </c>
      <c r="W411" s="44">
        <f>Planning[[#This Row],[Horas Planificadas]]+Planning[[#This Row],[Horas ajustadas adicionales]]</f>
        <v>0</v>
      </c>
      <c r="X411" s="142"/>
    </row>
    <row r="412" spans="1:24" ht="12.75" customHeight="1" x14ac:dyDescent="0.2">
      <c r="A412" s="7"/>
      <c r="B412" s="7"/>
      <c r="C412" s="3"/>
      <c r="D412" s="3" t="s">
        <v>144</v>
      </c>
      <c r="E412" s="33" t="s">
        <v>30</v>
      </c>
      <c r="F412" s="3"/>
      <c r="G412" s="7"/>
      <c r="H412" s="7">
        <v>36</v>
      </c>
      <c r="I412" s="12"/>
      <c r="J412" s="5" t="e">
        <f>+SUMIFS(#REF!,#REF!,Planning[[#This Row],[Tarifa]],#REF!,Planning[[#This Row],[Proyectos]])</f>
        <v>#REF!</v>
      </c>
      <c r="K412" s="5" t="e">
        <f>Planning[[#This Row],[Horas Planificadas]]+Planning[[#This Row],[Horas ajustadas adicionales]]-Planning[[#This Row],[Horas utilizadas]]</f>
        <v>#REF!</v>
      </c>
      <c r="L412" s="7"/>
      <c r="M412" s="19" t="e">
        <f>Planning[[#This Row],[Saldo]]-Planning[[#This Row],[Saldo estimado]]</f>
        <v>#REF!</v>
      </c>
      <c r="N412" s="60" t="e">
        <f>+SUMIFS(#REF!,#REF!,Planning[[#This Row],[Proyectos]],#REF!,Planning[[#This Row],[Tipo de Tarea y especialidad]])</f>
        <v>#REF!</v>
      </c>
      <c r="O412" s="19">
        <f t="shared" si="12"/>
        <v>10</v>
      </c>
      <c r="P412" s="19">
        <f t="shared" si="13"/>
        <v>2024</v>
      </c>
      <c r="Q412" s="19" t="e">
        <f>+SUMIFS(#REF!,#REF!,Planning[[#This Row],[Tarifa]],#REF!,Planning[[#This Row],[Proyectos]],#REF!,Planning[[#This Row],[Mes]],#REF!,Planning[[#This Row],[Año]])</f>
        <v>#REF!</v>
      </c>
      <c r="R412" s="19" t="str">
        <f>TEXT(Planning[[#This Row],[Mes]]*29,"mmmm")</f>
        <v>October</v>
      </c>
      <c r="S4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2" s="228"/>
      <c r="U412" s="43" t="e">
        <f>IF(Planning[[#This Row],[Horas Planificadas]]&lt;&gt;0,+K412/Planning[[#This Row],[Horas Planificadas]],0)</f>
        <v>#REF!</v>
      </c>
      <c r="V412" s="43" t="e">
        <f>IF(Planning[[#This Row],[Horas Planificadas]]&lt;&gt;0,Planning[[#This Row],[Horas utilizadas]]/Planning[[#This Row],[Horas Planificadas]],0)</f>
        <v>#REF!</v>
      </c>
      <c r="W412" s="44">
        <f>Planning[[#This Row],[Horas Planificadas]]+Planning[[#This Row],[Horas ajustadas adicionales]]</f>
        <v>36</v>
      </c>
      <c r="X412" s="142"/>
    </row>
    <row r="413" spans="1:24" ht="12.75" customHeight="1" x14ac:dyDescent="0.2">
      <c r="A413" s="7"/>
      <c r="B413" s="7"/>
      <c r="C413" s="3"/>
      <c r="D413" s="3" t="s">
        <v>144</v>
      </c>
      <c r="E413" s="33" t="s">
        <v>31</v>
      </c>
      <c r="F413" s="3"/>
      <c r="G413" s="7"/>
      <c r="H413" s="7">
        <v>12</v>
      </c>
      <c r="I413" s="12"/>
      <c r="J413" s="5" t="e">
        <f>+SUMIFS(#REF!,#REF!,Planning[[#This Row],[Tarifa]],#REF!,Planning[[#This Row],[Proyectos]])</f>
        <v>#REF!</v>
      </c>
      <c r="K413" s="5" t="e">
        <f>Planning[[#This Row],[Horas Planificadas]]+Planning[[#This Row],[Horas ajustadas adicionales]]-Planning[[#This Row],[Horas utilizadas]]</f>
        <v>#REF!</v>
      </c>
      <c r="L413" s="7"/>
      <c r="M413" s="19" t="e">
        <f>Planning[[#This Row],[Saldo]]-Planning[[#This Row],[Saldo estimado]]</f>
        <v>#REF!</v>
      </c>
      <c r="N413" s="60" t="e">
        <f>+SUMIFS(#REF!,#REF!,Planning[[#This Row],[Proyectos]],#REF!,Planning[[#This Row],[Tipo de Tarea y especialidad]])</f>
        <v>#REF!</v>
      </c>
      <c r="O413" s="19">
        <f t="shared" si="12"/>
        <v>10</v>
      </c>
      <c r="P413" s="19">
        <f t="shared" si="13"/>
        <v>2024</v>
      </c>
      <c r="Q413" s="19" t="e">
        <f>+SUMIFS(#REF!,#REF!,Planning[[#This Row],[Tarifa]],#REF!,Planning[[#This Row],[Proyectos]],#REF!,Planning[[#This Row],[Mes]],#REF!,Planning[[#This Row],[Año]])</f>
        <v>#REF!</v>
      </c>
      <c r="R413" s="19" t="str">
        <f>TEXT(Planning[[#This Row],[Mes]]*29,"mmmm")</f>
        <v>October</v>
      </c>
      <c r="S4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3" s="228"/>
      <c r="U413" s="43" t="e">
        <f>IF(Planning[[#This Row],[Horas Planificadas]]&lt;&gt;0,+K413/Planning[[#This Row],[Horas Planificadas]],0)</f>
        <v>#REF!</v>
      </c>
      <c r="V413" s="43" t="e">
        <f>IF(Planning[[#This Row],[Horas Planificadas]]&lt;&gt;0,Planning[[#This Row],[Horas utilizadas]]/Planning[[#This Row],[Horas Planificadas]],0)</f>
        <v>#REF!</v>
      </c>
      <c r="W413" s="44">
        <f>Planning[[#This Row],[Horas Planificadas]]+Planning[[#This Row],[Horas ajustadas adicionales]]</f>
        <v>12</v>
      </c>
      <c r="X413" s="142"/>
    </row>
    <row r="414" spans="1:24" ht="12.75" customHeight="1" x14ac:dyDescent="0.2">
      <c r="A414" s="7"/>
      <c r="B414" s="7"/>
      <c r="C414" s="3"/>
      <c r="D414" s="3" t="s">
        <v>144</v>
      </c>
      <c r="E414" s="33" t="s">
        <v>32</v>
      </c>
      <c r="F414" s="3"/>
      <c r="G414" s="7"/>
      <c r="H414" s="7">
        <v>54</v>
      </c>
      <c r="I414" s="12"/>
      <c r="J414" s="5" t="e">
        <f>+SUMIFS(#REF!,#REF!,Planning[[#This Row],[Tarifa]],#REF!,Planning[[#This Row],[Proyectos]])</f>
        <v>#REF!</v>
      </c>
      <c r="K414" s="5" t="e">
        <f>Planning[[#This Row],[Horas Planificadas]]+Planning[[#This Row],[Horas ajustadas adicionales]]-Planning[[#This Row],[Horas utilizadas]]</f>
        <v>#REF!</v>
      </c>
      <c r="L414" s="7"/>
      <c r="M414" s="19" t="e">
        <f>Planning[[#This Row],[Saldo]]-Planning[[#This Row],[Saldo estimado]]</f>
        <v>#REF!</v>
      </c>
      <c r="N414" s="60" t="e">
        <f>+SUMIFS(#REF!,#REF!,Planning[[#This Row],[Proyectos]],#REF!,Planning[[#This Row],[Tipo de Tarea y especialidad]])</f>
        <v>#REF!</v>
      </c>
      <c r="O414" s="19">
        <f t="shared" si="12"/>
        <v>10</v>
      </c>
      <c r="P414" s="19">
        <f t="shared" si="13"/>
        <v>2024</v>
      </c>
      <c r="Q414" s="19" t="e">
        <f>+SUMIFS(#REF!,#REF!,Planning[[#This Row],[Tarifa]],#REF!,Planning[[#This Row],[Proyectos]],#REF!,Planning[[#This Row],[Mes]],#REF!,Planning[[#This Row],[Año]])</f>
        <v>#REF!</v>
      </c>
      <c r="R414" s="19" t="str">
        <f>TEXT(Planning[[#This Row],[Mes]]*29,"mmmm")</f>
        <v>October</v>
      </c>
      <c r="S4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4" s="228"/>
      <c r="U414" s="43" t="e">
        <f>IF(Planning[[#This Row],[Horas Planificadas]]&lt;&gt;0,+K414/Planning[[#This Row],[Horas Planificadas]],0)</f>
        <v>#REF!</v>
      </c>
      <c r="V414" s="43" t="e">
        <f>IF(Planning[[#This Row],[Horas Planificadas]]&lt;&gt;0,Planning[[#This Row],[Horas utilizadas]]/Planning[[#This Row],[Horas Planificadas]],0)</f>
        <v>#REF!</v>
      </c>
      <c r="W414" s="44">
        <f>Planning[[#This Row],[Horas Planificadas]]+Planning[[#This Row],[Horas ajustadas adicionales]]</f>
        <v>54</v>
      </c>
      <c r="X414" s="142"/>
    </row>
    <row r="415" spans="1:24" ht="12.75" customHeight="1" x14ac:dyDescent="0.2">
      <c r="A415" s="7"/>
      <c r="B415" s="7"/>
      <c r="C415" s="3"/>
      <c r="D415" s="3" t="s">
        <v>145</v>
      </c>
      <c r="E415" s="33" t="s">
        <v>28</v>
      </c>
      <c r="F415" s="3"/>
      <c r="G415" s="7"/>
      <c r="H415" s="7">
        <v>585</v>
      </c>
      <c r="I415" s="12"/>
      <c r="J415" s="5" t="e">
        <f>+SUMIFS(#REF!,#REF!,Planning[[#This Row],[Tarifa]],#REF!,Planning[[#This Row],[Proyectos]])</f>
        <v>#REF!</v>
      </c>
      <c r="K415" s="5" t="e">
        <f>Planning[[#This Row],[Horas Planificadas]]+Planning[[#This Row],[Horas ajustadas adicionales]]-Planning[[#This Row],[Horas utilizadas]]</f>
        <v>#REF!</v>
      </c>
      <c r="L415" s="7"/>
      <c r="M415" s="19" t="e">
        <f>Planning[[#This Row],[Saldo]]-Planning[[#This Row],[Saldo estimado]]</f>
        <v>#REF!</v>
      </c>
      <c r="N415" s="60" t="e">
        <f>+SUMIFS(#REF!,#REF!,Planning[[#This Row],[Proyectos]],#REF!,Planning[[#This Row],[Tipo de Tarea y especialidad]])</f>
        <v>#REF!</v>
      </c>
      <c r="O415" s="19">
        <f t="shared" si="12"/>
        <v>10</v>
      </c>
      <c r="P415" s="19">
        <f t="shared" si="13"/>
        <v>2024</v>
      </c>
      <c r="Q415" s="19" t="e">
        <f>+SUMIFS(#REF!,#REF!,Planning[[#This Row],[Tarifa]],#REF!,Planning[[#This Row],[Proyectos]],#REF!,Planning[[#This Row],[Mes]],#REF!,Planning[[#This Row],[Año]])</f>
        <v>#REF!</v>
      </c>
      <c r="R415" s="19" t="str">
        <f>TEXT(Planning[[#This Row],[Mes]]*29,"mmmm")</f>
        <v>October</v>
      </c>
      <c r="S4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5" s="228"/>
      <c r="U415" s="43" t="e">
        <f>IF(Planning[[#This Row],[Horas Planificadas]]&lt;&gt;0,+K415/Planning[[#This Row],[Horas Planificadas]],0)</f>
        <v>#REF!</v>
      </c>
      <c r="V415" s="43" t="e">
        <f>IF(Planning[[#This Row],[Horas Planificadas]]&lt;&gt;0,Planning[[#This Row],[Horas utilizadas]]/Planning[[#This Row],[Horas Planificadas]],0)</f>
        <v>#REF!</v>
      </c>
      <c r="W415" s="44">
        <f>Planning[[#This Row],[Horas Planificadas]]+Planning[[#This Row],[Horas ajustadas adicionales]]</f>
        <v>585</v>
      </c>
      <c r="X415" s="142"/>
    </row>
    <row r="416" spans="1:24" ht="12.75" customHeight="1" x14ac:dyDescent="0.2">
      <c r="A416" s="7"/>
      <c r="B416" s="7"/>
      <c r="C416" s="3"/>
      <c r="D416" s="3" t="s">
        <v>145</v>
      </c>
      <c r="E416" s="33" t="s">
        <v>30</v>
      </c>
      <c r="F416" s="3"/>
      <c r="G416" s="7"/>
      <c r="H416" s="7">
        <v>553</v>
      </c>
      <c r="I416" s="12"/>
      <c r="J416" s="5" t="e">
        <f>+SUMIFS(#REF!,#REF!,Planning[[#This Row],[Tarifa]],#REF!,Planning[[#This Row],[Proyectos]])</f>
        <v>#REF!</v>
      </c>
      <c r="K416" s="5" t="e">
        <f>Planning[[#This Row],[Horas Planificadas]]+Planning[[#This Row],[Horas ajustadas adicionales]]-Planning[[#This Row],[Horas utilizadas]]</f>
        <v>#REF!</v>
      </c>
      <c r="L416" s="7"/>
      <c r="M416" s="19" t="e">
        <f>Planning[[#This Row],[Saldo]]-Planning[[#This Row],[Saldo estimado]]</f>
        <v>#REF!</v>
      </c>
      <c r="N416" s="60" t="e">
        <f>+SUMIFS(#REF!,#REF!,Planning[[#This Row],[Proyectos]],#REF!,Planning[[#This Row],[Tipo de Tarea y especialidad]])</f>
        <v>#REF!</v>
      </c>
      <c r="O416" s="19">
        <f t="shared" si="12"/>
        <v>10</v>
      </c>
      <c r="P416" s="19">
        <f t="shared" si="13"/>
        <v>2024</v>
      </c>
      <c r="Q416" s="19" t="e">
        <f>+SUMIFS(#REF!,#REF!,Planning[[#This Row],[Tarifa]],#REF!,Planning[[#This Row],[Proyectos]],#REF!,Planning[[#This Row],[Mes]],#REF!,Planning[[#This Row],[Año]])</f>
        <v>#REF!</v>
      </c>
      <c r="R416" s="19" t="str">
        <f>TEXT(Planning[[#This Row],[Mes]]*29,"mmmm")</f>
        <v>October</v>
      </c>
      <c r="S4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6" s="228"/>
      <c r="U416" s="43" t="e">
        <f>IF(Planning[[#This Row],[Horas Planificadas]]&lt;&gt;0,+K416/Planning[[#This Row],[Horas Planificadas]],0)</f>
        <v>#REF!</v>
      </c>
      <c r="V416" s="43" t="e">
        <f>IF(Planning[[#This Row],[Horas Planificadas]]&lt;&gt;0,Planning[[#This Row],[Horas utilizadas]]/Planning[[#This Row],[Horas Planificadas]],0)</f>
        <v>#REF!</v>
      </c>
      <c r="W416" s="44">
        <f>Planning[[#This Row],[Horas Planificadas]]+Planning[[#This Row],[Horas ajustadas adicionales]]</f>
        <v>553</v>
      </c>
      <c r="X416" s="142"/>
    </row>
    <row r="417" spans="1:24" ht="12.75" customHeight="1" x14ac:dyDescent="0.2">
      <c r="A417" s="7"/>
      <c r="B417" s="7"/>
      <c r="C417" s="3"/>
      <c r="D417" s="3" t="s">
        <v>145</v>
      </c>
      <c r="E417" s="33" t="s">
        <v>31</v>
      </c>
      <c r="F417" s="3"/>
      <c r="G417" s="7"/>
      <c r="H417" s="7">
        <v>120</v>
      </c>
      <c r="I417" s="12"/>
      <c r="J417" s="5" t="e">
        <f>+SUMIFS(#REF!,#REF!,Planning[[#This Row],[Tarifa]],#REF!,Planning[[#This Row],[Proyectos]])</f>
        <v>#REF!</v>
      </c>
      <c r="K417" s="5" t="e">
        <f>Planning[[#This Row],[Horas Planificadas]]+Planning[[#This Row],[Horas ajustadas adicionales]]-Planning[[#This Row],[Horas utilizadas]]</f>
        <v>#REF!</v>
      </c>
      <c r="L417" s="7"/>
      <c r="M417" s="19" t="e">
        <f>Planning[[#This Row],[Saldo]]-Planning[[#This Row],[Saldo estimado]]</f>
        <v>#REF!</v>
      </c>
      <c r="N417" s="60" t="e">
        <f>+SUMIFS(#REF!,#REF!,Planning[[#This Row],[Proyectos]],#REF!,Planning[[#This Row],[Tipo de Tarea y especialidad]])</f>
        <v>#REF!</v>
      </c>
      <c r="O417" s="19">
        <f t="shared" si="12"/>
        <v>10</v>
      </c>
      <c r="P417" s="19">
        <f t="shared" si="13"/>
        <v>2024</v>
      </c>
      <c r="Q417" s="19" t="e">
        <f>+SUMIFS(#REF!,#REF!,Planning[[#This Row],[Tarifa]],#REF!,Planning[[#This Row],[Proyectos]],#REF!,Planning[[#This Row],[Mes]],#REF!,Planning[[#This Row],[Año]])</f>
        <v>#REF!</v>
      </c>
      <c r="R417" s="19" t="str">
        <f>TEXT(Planning[[#This Row],[Mes]]*29,"mmmm")</f>
        <v>October</v>
      </c>
      <c r="S4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7" s="228"/>
      <c r="U417" s="43" t="e">
        <f>IF(Planning[[#This Row],[Horas Planificadas]]&lt;&gt;0,+K417/Planning[[#This Row],[Horas Planificadas]],0)</f>
        <v>#REF!</v>
      </c>
      <c r="V417" s="43" t="e">
        <f>IF(Planning[[#This Row],[Horas Planificadas]]&lt;&gt;0,Planning[[#This Row],[Horas utilizadas]]/Planning[[#This Row],[Horas Planificadas]],0)</f>
        <v>#REF!</v>
      </c>
      <c r="W417" s="44">
        <f>Planning[[#This Row],[Horas Planificadas]]+Planning[[#This Row],[Horas ajustadas adicionales]]</f>
        <v>120</v>
      </c>
      <c r="X417" s="142"/>
    </row>
    <row r="418" spans="1:24" ht="12.75" customHeight="1" x14ac:dyDescent="0.2">
      <c r="A418" s="7"/>
      <c r="B418" s="7"/>
      <c r="C418" s="3"/>
      <c r="D418" s="3" t="s">
        <v>145</v>
      </c>
      <c r="E418" s="33" t="s">
        <v>32</v>
      </c>
      <c r="F418" s="3"/>
      <c r="G418" s="7"/>
      <c r="H418" s="7">
        <v>378</v>
      </c>
      <c r="I418" s="12"/>
      <c r="J418" s="5" t="e">
        <f>+SUMIFS(#REF!,#REF!,Planning[[#This Row],[Tarifa]],#REF!,Planning[[#This Row],[Proyectos]])</f>
        <v>#REF!</v>
      </c>
      <c r="K418" s="5" t="e">
        <f>Planning[[#This Row],[Horas Planificadas]]+Planning[[#This Row],[Horas ajustadas adicionales]]-Planning[[#This Row],[Horas utilizadas]]</f>
        <v>#REF!</v>
      </c>
      <c r="L418" s="7"/>
      <c r="M418" s="19" t="e">
        <f>Planning[[#This Row],[Saldo]]-Planning[[#This Row],[Saldo estimado]]</f>
        <v>#REF!</v>
      </c>
      <c r="N418" s="60" t="e">
        <f>+SUMIFS(#REF!,#REF!,Planning[[#This Row],[Proyectos]],#REF!,Planning[[#This Row],[Tipo de Tarea y especialidad]])</f>
        <v>#REF!</v>
      </c>
      <c r="O418" s="19">
        <f t="shared" si="12"/>
        <v>10</v>
      </c>
      <c r="P418" s="19">
        <f t="shared" si="13"/>
        <v>2024</v>
      </c>
      <c r="Q418" s="19" t="e">
        <f>+SUMIFS(#REF!,#REF!,Planning[[#This Row],[Tarifa]],#REF!,Planning[[#This Row],[Proyectos]],#REF!,Planning[[#This Row],[Mes]],#REF!,Planning[[#This Row],[Año]])</f>
        <v>#REF!</v>
      </c>
      <c r="R418" s="19" t="str">
        <f>TEXT(Planning[[#This Row],[Mes]]*29,"mmmm")</f>
        <v>October</v>
      </c>
      <c r="S4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8" s="228"/>
      <c r="U418" s="43" t="e">
        <f>IF(Planning[[#This Row],[Horas Planificadas]]&lt;&gt;0,+K418/Planning[[#This Row],[Horas Planificadas]],0)</f>
        <v>#REF!</v>
      </c>
      <c r="V418" s="43" t="e">
        <f>IF(Planning[[#This Row],[Horas Planificadas]]&lt;&gt;0,Planning[[#This Row],[Horas utilizadas]]/Planning[[#This Row],[Horas Planificadas]],0)</f>
        <v>#REF!</v>
      </c>
      <c r="W418" s="44">
        <f>Planning[[#This Row],[Horas Planificadas]]+Planning[[#This Row],[Horas ajustadas adicionales]]</f>
        <v>378</v>
      </c>
      <c r="X418" s="142"/>
    </row>
    <row r="419" spans="1:24" ht="12.75" customHeight="1" x14ac:dyDescent="0.2">
      <c r="A419" s="7"/>
      <c r="B419" s="7"/>
      <c r="C419" s="3"/>
      <c r="D419" s="3" t="s">
        <v>146</v>
      </c>
      <c r="E419" s="33" t="s">
        <v>28</v>
      </c>
      <c r="F419" s="3"/>
      <c r="G419" s="7"/>
      <c r="H419" s="7">
        <v>0</v>
      </c>
      <c r="I419" s="12"/>
      <c r="J419" s="5" t="e">
        <f>+SUMIFS(#REF!,#REF!,Planning[[#This Row],[Tarifa]],#REF!,Planning[[#This Row],[Proyectos]])</f>
        <v>#REF!</v>
      </c>
      <c r="K419" s="5" t="e">
        <f>Planning[[#This Row],[Horas Planificadas]]+Planning[[#This Row],[Horas ajustadas adicionales]]-Planning[[#This Row],[Horas utilizadas]]</f>
        <v>#REF!</v>
      </c>
      <c r="L419" s="7"/>
      <c r="M419" s="19" t="e">
        <f>Planning[[#This Row],[Saldo]]-Planning[[#This Row],[Saldo estimado]]</f>
        <v>#REF!</v>
      </c>
      <c r="N419" s="60" t="e">
        <f>+SUMIFS(#REF!,#REF!,Planning[[#This Row],[Proyectos]],#REF!,Planning[[#This Row],[Tipo de Tarea y especialidad]])</f>
        <v>#REF!</v>
      </c>
      <c r="O419" s="19">
        <f t="shared" si="12"/>
        <v>10</v>
      </c>
      <c r="P419" s="19">
        <f t="shared" si="13"/>
        <v>2024</v>
      </c>
      <c r="Q419" s="19" t="e">
        <f>+SUMIFS(#REF!,#REF!,Planning[[#This Row],[Tarifa]],#REF!,Planning[[#This Row],[Proyectos]],#REF!,Planning[[#This Row],[Mes]],#REF!,Planning[[#This Row],[Año]])</f>
        <v>#REF!</v>
      </c>
      <c r="R419" s="19" t="str">
        <f>TEXT(Planning[[#This Row],[Mes]]*29,"mmmm")</f>
        <v>October</v>
      </c>
      <c r="S4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9" s="228"/>
      <c r="U419" s="43">
        <f>IF(Planning[[#This Row],[Horas Planificadas]]&lt;&gt;0,+K419/Planning[[#This Row],[Horas Planificadas]],0)</f>
        <v>0</v>
      </c>
      <c r="V419" s="43">
        <f>IF(Planning[[#This Row],[Horas Planificadas]]&lt;&gt;0,Planning[[#This Row],[Horas utilizadas]]/Planning[[#This Row],[Horas Planificadas]],0)</f>
        <v>0</v>
      </c>
      <c r="W419" s="44">
        <f>Planning[[#This Row],[Horas Planificadas]]+Planning[[#This Row],[Horas ajustadas adicionales]]</f>
        <v>0</v>
      </c>
      <c r="X419" s="142"/>
    </row>
    <row r="420" spans="1:24" ht="12.75" customHeight="1" x14ac:dyDescent="0.2">
      <c r="A420" s="7"/>
      <c r="B420" s="7"/>
      <c r="C420" s="3"/>
      <c r="D420" s="3" t="s">
        <v>146</v>
      </c>
      <c r="E420" s="33" t="s">
        <v>30</v>
      </c>
      <c r="F420" s="3"/>
      <c r="G420" s="7"/>
      <c r="H420" s="7">
        <v>8</v>
      </c>
      <c r="I420" s="12"/>
      <c r="J420" s="5" t="e">
        <f>+SUMIFS(#REF!,#REF!,Planning[[#This Row],[Tarifa]],#REF!,Planning[[#This Row],[Proyectos]])</f>
        <v>#REF!</v>
      </c>
      <c r="K420" s="5" t="e">
        <f>Planning[[#This Row],[Horas Planificadas]]+Planning[[#This Row],[Horas ajustadas adicionales]]-Planning[[#This Row],[Horas utilizadas]]</f>
        <v>#REF!</v>
      </c>
      <c r="L420" s="7"/>
      <c r="M420" s="19" t="e">
        <f>Planning[[#This Row],[Saldo]]-Planning[[#This Row],[Saldo estimado]]</f>
        <v>#REF!</v>
      </c>
      <c r="N420" s="60" t="e">
        <f>+SUMIFS(#REF!,#REF!,Planning[[#This Row],[Proyectos]],#REF!,Planning[[#This Row],[Tipo de Tarea y especialidad]])</f>
        <v>#REF!</v>
      </c>
      <c r="O420" s="19">
        <f t="shared" si="12"/>
        <v>10</v>
      </c>
      <c r="P420" s="19">
        <f t="shared" si="13"/>
        <v>2024</v>
      </c>
      <c r="Q420" s="19" t="e">
        <f>+SUMIFS(#REF!,#REF!,Planning[[#This Row],[Tarifa]],#REF!,Planning[[#This Row],[Proyectos]],#REF!,Planning[[#This Row],[Mes]],#REF!,Planning[[#This Row],[Año]])</f>
        <v>#REF!</v>
      </c>
      <c r="R420" s="19" t="str">
        <f>TEXT(Planning[[#This Row],[Mes]]*29,"mmmm")</f>
        <v>October</v>
      </c>
      <c r="S4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0" s="228"/>
      <c r="U420" s="43" t="e">
        <f>IF(Planning[[#This Row],[Horas Planificadas]]&lt;&gt;0,+K420/Planning[[#This Row],[Horas Planificadas]],0)</f>
        <v>#REF!</v>
      </c>
      <c r="V420" s="43" t="e">
        <f>IF(Planning[[#This Row],[Horas Planificadas]]&lt;&gt;0,Planning[[#This Row],[Horas utilizadas]]/Planning[[#This Row],[Horas Planificadas]],0)</f>
        <v>#REF!</v>
      </c>
      <c r="W420" s="44">
        <f>Planning[[#This Row],[Horas Planificadas]]+Planning[[#This Row],[Horas ajustadas adicionales]]</f>
        <v>8</v>
      </c>
      <c r="X420" s="142"/>
    </row>
    <row r="421" spans="1:24" ht="12.75" customHeight="1" x14ac:dyDescent="0.2">
      <c r="A421" s="7"/>
      <c r="B421" s="7"/>
      <c r="C421" s="3"/>
      <c r="D421" s="3" t="s">
        <v>146</v>
      </c>
      <c r="E421" s="33" t="s">
        <v>31</v>
      </c>
      <c r="F421" s="3"/>
      <c r="G421" s="7"/>
      <c r="H421" s="7">
        <v>16</v>
      </c>
      <c r="I421" s="12"/>
      <c r="J421" s="5" t="e">
        <f>+SUMIFS(#REF!,#REF!,Planning[[#This Row],[Tarifa]],#REF!,Planning[[#This Row],[Proyectos]])</f>
        <v>#REF!</v>
      </c>
      <c r="K421" s="5" t="e">
        <f>Planning[[#This Row],[Horas Planificadas]]+Planning[[#This Row],[Horas ajustadas adicionales]]-Planning[[#This Row],[Horas utilizadas]]</f>
        <v>#REF!</v>
      </c>
      <c r="L421" s="7"/>
      <c r="M421" s="19" t="e">
        <f>Planning[[#This Row],[Saldo]]-Planning[[#This Row],[Saldo estimado]]</f>
        <v>#REF!</v>
      </c>
      <c r="N421" s="60" t="e">
        <f>+SUMIFS(#REF!,#REF!,Planning[[#This Row],[Proyectos]],#REF!,Planning[[#This Row],[Tipo de Tarea y especialidad]])</f>
        <v>#REF!</v>
      </c>
      <c r="O421" s="19">
        <f t="shared" si="12"/>
        <v>10</v>
      </c>
      <c r="P421" s="19">
        <f t="shared" si="13"/>
        <v>2024</v>
      </c>
      <c r="Q421" s="19" t="e">
        <f>+SUMIFS(#REF!,#REF!,Planning[[#This Row],[Tarifa]],#REF!,Planning[[#This Row],[Proyectos]],#REF!,Planning[[#This Row],[Mes]],#REF!,Planning[[#This Row],[Año]])</f>
        <v>#REF!</v>
      </c>
      <c r="R421" s="19" t="str">
        <f>TEXT(Planning[[#This Row],[Mes]]*29,"mmmm")</f>
        <v>October</v>
      </c>
      <c r="S4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1" s="228"/>
      <c r="U421" s="43" t="e">
        <f>IF(Planning[[#This Row],[Horas Planificadas]]&lt;&gt;0,+K421/Planning[[#This Row],[Horas Planificadas]],0)</f>
        <v>#REF!</v>
      </c>
      <c r="V421" s="43" t="e">
        <f>IF(Planning[[#This Row],[Horas Planificadas]]&lt;&gt;0,Planning[[#This Row],[Horas utilizadas]]/Planning[[#This Row],[Horas Planificadas]],0)</f>
        <v>#REF!</v>
      </c>
      <c r="W421" s="44">
        <f>Planning[[#This Row],[Horas Planificadas]]+Planning[[#This Row],[Horas ajustadas adicionales]]</f>
        <v>16</v>
      </c>
      <c r="X421" s="142"/>
    </row>
    <row r="422" spans="1:24" ht="12.75" customHeight="1" x14ac:dyDescent="0.2">
      <c r="A422" s="7"/>
      <c r="B422" s="7"/>
      <c r="C422" s="3"/>
      <c r="D422" s="3" t="s">
        <v>146</v>
      </c>
      <c r="E422" s="33" t="s">
        <v>32</v>
      </c>
      <c r="F422" s="3"/>
      <c r="G422" s="7"/>
      <c r="H422" s="7">
        <v>144</v>
      </c>
      <c r="I422" s="12"/>
      <c r="J422" s="5" t="e">
        <f>+SUMIFS(#REF!,#REF!,Planning[[#This Row],[Tarifa]],#REF!,Planning[[#This Row],[Proyectos]])</f>
        <v>#REF!</v>
      </c>
      <c r="K422" s="5" t="e">
        <f>Planning[[#This Row],[Horas Planificadas]]+Planning[[#This Row],[Horas ajustadas adicionales]]-Planning[[#This Row],[Horas utilizadas]]</f>
        <v>#REF!</v>
      </c>
      <c r="L422" s="7"/>
      <c r="M422" s="19" t="e">
        <f>Planning[[#This Row],[Saldo]]-Planning[[#This Row],[Saldo estimado]]</f>
        <v>#REF!</v>
      </c>
      <c r="N422" s="60" t="e">
        <f>+SUMIFS(#REF!,#REF!,Planning[[#This Row],[Proyectos]],#REF!,Planning[[#This Row],[Tipo de Tarea y especialidad]])</f>
        <v>#REF!</v>
      </c>
      <c r="O422" s="19">
        <f t="shared" si="12"/>
        <v>10</v>
      </c>
      <c r="P422" s="19">
        <f t="shared" si="13"/>
        <v>2024</v>
      </c>
      <c r="Q422" s="19" t="e">
        <f>+SUMIFS(#REF!,#REF!,Planning[[#This Row],[Tarifa]],#REF!,Planning[[#This Row],[Proyectos]],#REF!,Planning[[#This Row],[Mes]],#REF!,Planning[[#This Row],[Año]])</f>
        <v>#REF!</v>
      </c>
      <c r="R422" s="19" t="str">
        <f>TEXT(Planning[[#This Row],[Mes]]*29,"mmmm")</f>
        <v>October</v>
      </c>
      <c r="S4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2" s="228"/>
      <c r="U422" s="43" t="e">
        <f>IF(Planning[[#This Row],[Horas Planificadas]]&lt;&gt;0,+K422/Planning[[#This Row],[Horas Planificadas]],0)</f>
        <v>#REF!</v>
      </c>
      <c r="V422" s="43" t="e">
        <f>IF(Planning[[#This Row],[Horas Planificadas]]&lt;&gt;0,Planning[[#This Row],[Horas utilizadas]]/Planning[[#This Row],[Horas Planificadas]],0)</f>
        <v>#REF!</v>
      </c>
      <c r="W422" s="44">
        <f>Planning[[#This Row],[Horas Planificadas]]+Planning[[#This Row],[Horas ajustadas adicionales]]</f>
        <v>144</v>
      </c>
      <c r="X422" s="142"/>
    </row>
    <row r="423" spans="1:24" ht="12.75" customHeight="1" x14ac:dyDescent="0.2">
      <c r="A423" s="7"/>
      <c r="B423" s="7"/>
      <c r="C423" s="3"/>
      <c r="D423" s="3" t="s">
        <v>147</v>
      </c>
      <c r="E423" s="33" t="s">
        <v>28</v>
      </c>
      <c r="F423" s="3"/>
      <c r="G423" s="7"/>
      <c r="H423" s="7">
        <v>0</v>
      </c>
      <c r="I423" s="12"/>
      <c r="J423" s="5" t="e">
        <f>+SUMIFS(#REF!,#REF!,Planning[[#This Row],[Tarifa]],#REF!,Planning[[#This Row],[Proyectos]])</f>
        <v>#REF!</v>
      </c>
      <c r="K423" s="5" t="e">
        <f>Planning[[#This Row],[Horas Planificadas]]+Planning[[#This Row],[Horas ajustadas adicionales]]-Planning[[#This Row],[Horas utilizadas]]</f>
        <v>#REF!</v>
      </c>
      <c r="L423" s="7"/>
      <c r="M423" s="19" t="e">
        <f>Planning[[#This Row],[Saldo]]-Planning[[#This Row],[Saldo estimado]]</f>
        <v>#REF!</v>
      </c>
      <c r="N423" s="60" t="e">
        <f>+SUMIFS(#REF!,#REF!,Planning[[#This Row],[Proyectos]],#REF!,Planning[[#This Row],[Tipo de Tarea y especialidad]])</f>
        <v>#REF!</v>
      </c>
      <c r="O423" s="19">
        <f t="shared" si="12"/>
        <v>10</v>
      </c>
      <c r="P423" s="19">
        <f t="shared" si="13"/>
        <v>2024</v>
      </c>
      <c r="Q423" s="19" t="e">
        <f>+SUMIFS(#REF!,#REF!,Planning[[#This Row],[Tarifa]],#REF!,Planning[[#This Row],[Proyectos]],#REF!,Planning[[#This Row],[Mes]],#REF!,Planning[[#This Row],[Año]])</f>
        <v>#REF!</v>
      </c>
      <c r="R423" s="19" t="str">
        <f>TEXT(Planning[[#This Row],[Mes]]*29,"mmmm")</f>
        <v>October</v>
      </c>
      <c r="S4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3" s="228"/>
      <c r="U423" s="43">
        <f>IF(Planning[[#This Row],[Horas Planificadas]]&lt;&gt;0,+K423/Planning[[#This Row],[Horas Planificadas]],0)</f>
        <v>0</v>
      </c>
      <c r="V423" s="43">
        <f>IF(Planning[[#This Row],[Horas Planificadas]]&lt;&gt;0,Planning[[#This Row],[Horas utilizadas]]/Planning[[#This Row],[Horas Planificadas]],0)</f>
        <v>0</v>
      </c>
      <c r="W423" s="44">
        <f>Planning[[#This Row],[Horas Planificadas]]+Planning[[#This Row],[Horas ajustadas adicionales]]</f>
        <v>0</v>
      </c>
      <c r="X423" s="142"/>
    </row>
    <row r="424" spans="1:24" ht="12.75" customHeight="1" x14ac:dyDescent="0.2">
      <c r="A424" s="7"/>
      <c r="B424" s="7"/>
      <c r="C424" s="3"/>
      <c r="D424" s="3" t="s">
        <v>147</v>
      </c>
      <c r="E424" s="33" t="s">
        <v>30</v>
      </c>
      <c r="F424" s="3"/>
      <c r="G424" s="7"/>
      <c r="H424" s="7">
        <v>18</v>
      </c>
      <c r="I424" s="12"/>
      <c r="J424" s="5" t="e">
        <f>+SUMIFS(#REF!,#REF!,Planning[[#This Row],[Tarifa]],#REF!,Planning[[#This Row],[Proyectos]])</f>
        <v>#REF!</v>
      </c>
      <c r="K424" s="5" t="e">
        <f>Planning[[#This Row],[Horas Planificadas]]+Planning[[#This Row],[Horas ajustadas adicionales]]-Planning[[#This Row],[Horas utilizadas]]</f>
        <v>#REF!</v>
      </c>
      <c r="L424" s="7"/>
      <c r="M424" s="19" t="e">
        <f>Planning[[#This Row],[Saldo]]-Planning[[#This Row],[Saldo estimado]]</f>
        <v>#REF!</v>
      </c>
      <c r="N424" s="60" t="e">
        <f>+SUMIFS(#REF!,#REF!,Planning[[#This Row],[Proyectos]],#REF!,Planning[[#This Row],[Tipo de Tarea y especialidad]])</f>
        <v>#REF!</v>
      </c>
      <c r="O424" s="19">
        <f t="shared" si="12"/>
        <v>10</v>
      </c>
      <c r="P424" s="19">
        <f t="shared" si="13"/>
        <v>2024</v>
      </c>
      <c r="Q424" s="19" t="e">
        <f>+SUMIFS(#REF!,#REF!,Planning[[#This Row],[Tarifa]],#REF!,Planning[[#This Row],[Proyectos]],#REF!,Planning[[#This Row],[Mes]],#REF!,Planning[[#This Row],[Año]])</f>
        <v>#REF!</v>
      </c>
      <c r="R424" s="19" t="str">
        <f>TEXT(Planning[[#This Row],[Mes]]*29,"mmmm")</f>
        <v>October</v>
      </c>
      <c r="S4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4" s="228"/>
      <c r="U424" s="43" t="e">
        <f>IF(Planning[[#This Row],[Horas Planificadas]]&lt;&gt;0,+K424/Planning[[#This Row],[Horas Planificadas]],0)</f>
        <v>#REF!</v>
      </c>
      <c r="V424" s="43" t="e">
        <f>IF(Planning[[#This Row],[Horas Planificadas]]&lt;&gt;0,Planning[[#This Row],[Horas utilizadas]]/Planning[[#This Row],[Horas Planificadas]],0)</f>
        <v>#REF!</v>
      </c>
      <c r="W424" s="44">
        <f>Planning[[#This Row],[Horas Planificadas]]+Planning[[#This Row],[Horas ajustadas adicionales]]</f>
        <v>18</v>
      </c>
      <c r="X424" s="142"/>
    </row>
    <row r="425" spans="1:24" ht="12.75" customHeight="1" x14ac:dyDescent="0.2">
      <c r="A425" s="7"/>
      <c r="B425" s="7"/>
      <c r="C425" s="3"/>
      <c r="D425" s="3" t="s">
        <v>147</v>
      </c>
      <c r="E425" s="33" t="s">
        <v>31</v>
      </c>
      <c r="F425" s="3"/>
      <c r="G425" s="7"/>
      <c r="H425" s="7">
        <v>9</v>
      </c>
      <c r="I425" s="12"/>
      <c r="J425" s="5" t="e">
        <f>+SUMIFS(#REF!,#REF!,Planning[[#This Row],[Tarifa]],#REF!,Planning[[#This Row],[Proyectos]])</f>
        <v>#REF!</v>
      </c>
      <c r="K425" s="5" t="e">
        <f>Planning[[#This Row],[Horas Planificadas]]+Planning[[#This Row],[Horas ajustadas adicionales]]-Planning[[#This Row],[Horas utilizadas]]</f>
        <v>#REF!</v>
      </c>
      <c r="L425" s="7"/>
      <c r="M425" s="19" t="e">
        <f>Planning[[#This Row],[Saldo]]-Planning[[#This Row],[Saldo estimado]]</f>
        <v>#REF!</v>
      </c>
      <c r="N425" s="60" t="e">
        <f>+SUMIFS(#REF!,#REF!,Planning[[#This Row],[Proyectos]],#REF!,Planning[[#This Row],[Tipo de Tarea y especialidad]])</f>
        <v>#REF!</v>
      </c>
      <c r="O425" s="19">
        <f t="shared" si="12"/>
        <v>10</v>
      </c>
      <c r="P425" s="19">
        <f t="shared" si="13"/>
        <v>2024</v>
      </c>
      <c r="Q425" s="19" t="e">
        <f>+SUMIFS(#REF!,#REF!,Planning[[#This Row],[Tarifa]],#REF!,Planning[[#This Row],[Proyectos]],#REF!,Planning[[#This Row],[Mes]],#REF!,Planning[[#This Row],[Año]])</f>
        <v>#REF!</v>
      </c>
      <c r="R425" s="19" t="str">
        <f>TEXT(Planning[[#This Row],[Mes]]*29,"mmmm")</f>
        <v>October</v>
      </c>
      <c r="S4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5" s="228"/>
      <c r="U425" s="43" t="e">
        <f>IF(Planning[[#This Row],[Horas Planificadas]]&lt;&gt;0,+K425/Planning[[#This Row],[Horas Planificadas]],0)</f>
        <v>#REF!</v>
      </c>
      <c r="V425" s="43" t="e">
        <f>IF(Planning[[#This Row],[Horas Planificadas]]&lt;&gt;0,Planning[[#This Row],[Horas utilizadas]]/Planning[[#This Row],[Horas Planificadas]],0)</f>
        <v>#REF!</v>
      </c>
      <c r="W425" s="44">
        <f>Planning[[#This Row],[Horas Planificadas]]+Planning[[#This Row],[Horas ajustadas adicionales]]</f>
        <v>9</v>
      </c>
      <c r="X425" s="142"/>
    </row>
    <row r="426" spans="1:24" ht="12.75" customHeight="1" x14ac:dyDescent="0.2">
      <c r="A426" s="7"/>
      <c r="B426" s="7"/>
      <c r="C426" s="3"/>
      <c r="D426" s="3" t="s">
        <v>147</v>
      </c>
      <c r="E426" s="33" t="s">
        <v>32</v>
      </c>
      <c r="F426" s="3"/>
      <c r="G426" s="7"/>
      <c r="H426" s="7">
        <v>36</v>
      </c>
      <c r="I426" s="12"/>
      <c r="J426" s="5" t="e">
        <f>+SUMIFS(#REF!,#REF!,Planning[[#This Row],[Tarifa]],#REF!,Planning[[#This Row],[Proyectos]])</f>
        <v>#REF!</v>
      </c>
      <c r="K426" s="5" t="e">
        <f>Planning[[#This Row],[Horas Planificadas]]+Planning[[#This Row],[Horas ajustadas adicionales]]-Planning[[#This Row],[Horas utilizadas]]</f>
        <v>#REF!</v>
      </c>
      <c r="L426" s="7"/>
      <c r="M426" s="19" t="e">
        <f>Planning[[#This Row],[Saldo]]-Planning[[#This Row],[Saldo estimado]]</f>
        <v>#REF!</v>
      </c>
      <c r="N426" s="60" t="e">
        <f>+SUMIFS(#REF!,#REF!,Planning[[#This Row],[Proyectos]],#REF!,Planning[[#This Row],[Tipo de Tarea y especialidad]])</f>
        <v>#REF!</v>
      </c>
      <c r="O426" s="19">
        <f t="shared" si="12"/>
        <v>10</v>
      </c>
      <c r="P426" s="19">
        <f t="shared" si="13"/>
        <v>2024</v>
      </c>
      <c r="Q426" s="19" t="e">
        <f>+SUMIFS(#REF!,#REF!,Planning[[#This Row],[Tarifa]],#REF!,Planning[[#This Row],[Proyectos]],#REF!,Planning[[#This Row],[Mes]],#REF!,Planning[[#This Row],[Año]])</f>
        <v>#REF!</v>
      </c>
      <c r="R426" s="19" t="str">
        <f>TEXT(Planning[[#This Row],[Mes]]*29,"mmmm")</f>
        <v>October</v>
      </c>
      <c r="S4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6" s="228"/>
      <c r="U426" s="43" t="e">
        <f>IF(Planning[[#This Row],[Horas Planificadas]]&lt;&gt;0,+K426/Planning[[#This Row],[Horas Planificadas]],0)</f>
        <v>#REF!</v>
      </c>
      <c r="V426" s="43" t="e">
        <f>IF(Planning[[#This Row],[Horas Planificadas]]&lt;&gt;0,Planning[[#This Row],[Horas utilizadas]]/Planning[[#This Row],[Horas Planificadas]],0)</f>
        <v>#REF!</v>
      </c>
      <c r="W426" s="44">
        <f>Planning[[#This Row],[Horas Planificadas]]+Planning[[#This Row],[Horas ajustadas adicionales]]</f>
        <v>36</v>
      </c>
      <c r="X426" s="142"/>
    </row>
    <row r="427" spans="1:24" ht="12.75" customHeight="1" x14ac:dyDescent="0.2">
      <c r="A427" s="7"/>
      <c r="B427" s="7"/>
      <c r="C427" s="3"/>
      <c r="D427" s="3" t="s">
        <v>148</v>
      </c>
      <c r="E427" s="33" t="s">
        <v>28</v>
      </c>
      <c r="F427" s="3"/>
      <c r="G427" s="7"/>
      <c r="H427" s="7">
        <v>80</v>
      </c>
      <c r="I427" s="12"/>
      <c r="J427" s="5" t="e">
        <f>+SUMIFS(#REF!,#REF!,Planning[[#This Row],[Tarifa]],#REF!,Planning[[#This Row],[Proyectos]])</f>
        <v>#REF!</v>
      </c>
      <c r="K427" s="5" t="e">
        <f>Planning[[#This Row],[Horas Planificadas]]+Planning[[#This Row],[Horas ajustadas adicionales]]-Planning[[#This Row],[Horas utilizadas]]</f>
        <v>#REF!</v>
      </c>
      <c r="L427" s="7"/>
      <c r="M427" s="19" t="e">
        <f>Planning[[#This Row],[Saldo]]-Planning[[#This Row],[Saldo estimado]]</f>
        <v>#REF!</v>
      </c>
      <c r="N427" s="60" t="e">
        <f>+SUMIFS(#REF!,#REF!,Planning[[#This Row],[Proyectos]],#REF!,Planning[[#This Row],[Tipo de Tarea y especialidad]])</f>
        <v>#REF!</v>
      </c>
      <c r="O427" s="19">
        <f t="shared" si="12"/>
        <v>10</v>
      </c>
      <c r="P427" s="19">
        <f t="shared" si="13"/>
        <v>2024</v>
      </c>
      <c r="Q427" s="19" t="e">
        <f>+SUMIFS(#REF!,#REF!,Planning[[#This Row],[Tarifa]],#REF!,Planning[[#This Row],[Proyectos]],#REF!,Planning[[#This Row],[Mes]],#REF!,Planning[[#This Row],[Año]])</f>
        <v>#REF!</v>
      </c>
      <c r="R427" s="19" t="str">
        <f>TEXT(Planning[[#This Row],[Mes]]*29,"mmmm")</f>
        <v>October</v>
      </c>
      <c r="S4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7" s="228"/>
      <c r="U427" s="43" t="e">
        <f>IF(Planning[[#This Row],[Horas Planificadas]]&lt;&gt;0,+K427/Planning[[#This Row],[Horas Planificadas]],0)</f>
        <v>#REF!</v>
      </c>
      <c r="V427" s="43" t="e">
        <f>IF(Planning[[#This Row],[Horas Planificadas]]&lt;&gt;0,Planning[[#This Row],[Horas utilizadas]]/Planning[[#This Row],[Horas Planificadas]],0)</f>
        <v>#REF!</v>
      </c>
      <c r="W427" s="44">
        <f>Planning[[#This Row],[Horas Planificadas]]+Planning[[#This Row],[Horas ajustadas adicionales]]</f>
        <v>80</v>
      </c>
      <c r="X427" s="142"/>
    </row>
    <row r="428" spans="1:24" ht="12.75" customHeight="1" x14ac:dyDescent="0.2">
      <c r="A428" s="7"/>
      <c r="B428" s="7"/>
      <c r="C428" s="3"/>
      <c r="D428" s="3" t="s">
        <v>148</v>
      </c>
      <c r="E428" s="33" t="s">
        <v>30</v>
      </c>
      <c r="F428" s="3"/>
      <c r="G428" s="7"/>
      <c r="H428" s="7">
        <v>100</v>
      </c>
      <c r="I428" s="12"/>
      <c r="J428" s="5" t="e">
        <f>+SUMIFS(#REF!,#REF!,Planning[[#This Row],[Tarifa]],#REF!,Planning[[#This Row],[Proyectos]])</f>
        <v>#REF!</v>
      </c>
      <c r="K428" s="5" t="e">
        <f>Planning[[#This Row],[Horas Planificadas]]+Planning[[#This Row],[Horas ajustadas adicionales]]-Planning[[#This Row],[Horas utilizadas]]</f>
        <v>#REF!</v>
      </c>
      <c r="L428" s="7"/>
      <c r="M428" s="19" t="e">
        <f>Planning[[#This Row],[Saldo]]-Planning[[#This Row],[Saldo estimado]]</f>
        <v>#REF!</v>
      </c>
      <c r="N428" s="60" t="e">
        <f>+SUMIFS(#REF!,#REF!,Planning[[#This Row],[Proyectos]],#REF!,Planning[[#This Row],[Tipo de Tarea y especialidad]])</f>
        <v>#REF!</v>
      </c>
      <c r="O428" s="19">
        <f t="shared" si="12"/>
        <v>10</v>
      </c>
      <c r="P428" s="19">
        <f t="shared" si="13"/>
        <v>2024</v>
      </c>
      <c r="Q428" s="19" t="e">
        <f>+SUMIFS(#REF!,#REF!,Planning[[#This Row],[Tarifa]],#REF!,Planning[[#This Row],[Proyectos]],#REF!,Planning[[#This Row],[Mes]],#REF!,Planning[[#This Row],[Año]])</f>
        <v>#REF!</v>
      </c>
      <c r="R428" s="19" t="str">
        <f>TEXT(Planning[[#This Row],[Mes]]*29,"mmmm")</f>
        <v>October</v>
      </c>
      <c r="S4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8" s="228"/>
      <c r="U428" s="43" t="e">
        <f>IF(Planning[[#This Row],[Horas Planificadas]]&lt;&gt;0,+K428/Planning[[#This Row],[Horas Planificadas]],0)</f>
        <v>#REF!</v>
      </c>
      <c r="V428" s="43" t="e">
        <f>IF(Planning[[#This Row],[Horas Planificadas]]&lt;&gt;0,Planning[[#This Row],[Horas utilizadas]]/Planning[[#This Row],[Horas Planificadas]],0)</f>
        <v>#REF!</v>
      </c>
      <c r="W428" s="44">
        <f>Planning[[#This Row],[Horas Planificadas]]+Planning[[#This Row],[Horas ajustadas adicionales]]</f>
        <v>100</v>
      </c>
      <c r="X428" s="142"/>
    </row>
    <row r="429" spans="1:24" ht="12.75" customHeight="1" x14ac:dyDescent="0.2">
      <c r="A429" s="7"/>
      <c r="B429" s="7"/>
      <c r="C429" s="3"/>
      <c r="D429" s="3" t="s">
        <v>148</v>
      </c>
      <c r="E429" s="33" t="s">
        <v>31</v>
      </c>
      <c r="F429" s="3"/>
      <c r="G429" s="7"/>
      <c r="H429" s="7">
        <v>60</v>
      </c>
      <c r="I429" s="12"/>
      <c r="J429" s="5" t="e">
        <f>+SUMIFS(#REF!,#REF!,Planning[[#This Row],[Tarifa]],#REF!,Planning[[#This Row],[Proyectos]])</f>
        <v>#REF!</v>
      </c>
      <c r="K429" s="5" t="e">
        <f>Planning[[#This Row],[Horas Planificadas]]+Planning[[#This Row],[Horas ajustadas adicionales]]-Planning[[#This Row],[Horas utilizadas]]</f>
        <v>#REF!</v>
      </c>
      <c r="L429" s="7"/>
      <c r="M429" s="19" t="e">
        <f>Planning[[#This Row],[Saldo]]-Planning[[#This Row],[Saldo estimado]]</f>
        <v>#REF!</v>
      </c>
      <c r="N429" s="60" t="e">
        <f>+SUMIFS(#REF!,#REF!,Planning[[#This Row],[Proyectos]],#REF!,Planning[[#This Row],[Tipo de Tarea y especialidad]])</f>
        <v>#REF!</v>
      </c>
      <c r="O429" s="19">
        <f t="shared" si="12"/>
        <v>10</v>
      </c>
      <c r="P429" s="19">
        <f t="shared" si="13"/>
        <v>2024</v>
      </c>
      <c r="Q429" s="19" t="e">
        <f>+SUMIFS(#REF!,#REF!,Planning[[#This Row],[Tarifa]],#REF!,Planning[[#This Row],[Proyectos]],#REF!,Planning[[#This Row],[Mes]],#REF!,Planning[[#This Row],[Año]])</f>
        <v>#REF!</v>
      </c>
      <c r="R429" s="19" t="str">
        <f>TEXT(Planning[[#This Row],[Mes]]*29,"mmmm")</f>
        <v>October</v>
      </c>
      <c r="S4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9" s="228"/>
      <c r="U429" s="43" t="e">
        <f>IF(Planning[[#This Row],[Horas Planificadas]]&lt;&gt;0,+K429/Planning[[#This Row],[Horas Planificadas]],0)</f>
        <v>#REF!</v>
      </c>
      <c r="V429" s="43" t="e">
        <f>IF(Planning[[#This Row],[Horas Planificadas]]&lt;&gt;0,Planning[[#This Row],[Horas utilizadas]]/Planning[[#This Row],[Horas Planificadas]],0)</f>
        <v>#REF!</v>
      </c>
      <c r="W429" s="44">
        <f>Planning[[#This Row],[Horas Planificadas]]+Planning[[#This Row],[Horas ajustadas adicionales]]</f>
        <v>60</v>
      </c>
      <c r="X429" s="142"/>
    </row>
    <row r="430" spans="1:24" ht="12.75" customHeight="1" x14ac:dyDescent="0.2">
      <c r="A430" s="7"/>
      <c r="B430" s="7"/>
      <c r="C430" s="3"/>
      <c r="D430" s="3" t="s">
        <v>148</v>
      </c>
      <c r="E430" s="33" t="s">
        <v>32</v>
      </c>
      <c r="F430" s="3"/>
      <c r="G430" s="7"/>
      <c r="H430" s="7">
        <v>40</v>
      </c>
      <c r="I430" s="12"/>
      <c r="J430" s="5" t="e">
        <f>+SUMIFS(#REF!,#REF!,Planning[[#This Row],[Tarifa]],#REF!,Planning[[#This Row],[Proyectos]])</f>
        <v>#REF!</v>
      </c>
      <c r="K430" s="5" t="e">
        <f>Planning[[#This Row],[Horas Planificadas]]+Planning[[#This Row],[Horas ajustadas adicionales]]-Planning[[#This Row],[Horas utilizadas]]</f>
        <v>#REF!</v>
      </c>
      <c r="L430" s="7"/>
      <c r="M430" s="19" t="e">
        <f>Planning[[#This Row],[Saldo]]-Planning[[#This Row],[Saldo estimado]]</f>
        <v>#REF!</v>
      </c>
      <c r="N430" s="60" t="e">
        <f>+SUMIFS(#REF!,#REF!,Planning[[#This Row],[Proyectos]],#REF!,Planning[[#This Row],[Tipo de Tarea y especialidad]])</f>
        <v>#REF!</v>
      </c>
      <c r="O430" s="19">
        <f t="shared" si="12"/>
        <v>10</v>
      </c>
      <c r="P430" s="19">
        <f t="shared" si="13"/>
        <v>2024</v>
      </c>
      <c r="Q430" s="19" t="e">
        <f>+SUMIFS(#REF!,#REF!,Planning[[#This Row],[Tarifa]],#REF!,Planning[[#This Row],[Proyectos]],#REF!,Planning[[#This Row],[Mes]],#REF!,Planning[[#This Row],[Año]])</f>
        <v>#REF!</v>
      </c>
      <c r="R430" s="19" t="str">
        <f>TEXT(Planning[[#This Row],[Mes]]*29,"mmmm")</f>
        <v>October</v>
      </c>
      <c r="S4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0" s="228"/>
      <c r="U430" s="43" t="e">
        <f>IF(Planning[[#This Row],[Horas Planificadas]]&lt;&gt;0,+K430/Planning[[#This Row],[Horas Planificadas]],0)</f>
        <v>#REF!</v>
      </c>
      <c r="V430" s="43" t="e">
        <f>IF(Planning[[#This Row],[Horas Planificadas]]&lt;&gt;0,Planning[[#This Row],[Horas utilizadas]]/Planning[[#This Row],[Horas Planificadas]],0)</f>
        <v>#REF!</v>
      </c>
      <c r="W430" s="44">
        <f>Planning[[#This Row],[Horas Planificadas]]+Planning[[#This Row],[Horas ajustadas adicionales]]</f>
        <v>40</v>
      </c>
      <c r="X430" s="142"/>
    </row>
    <row r="431" spans="1:24" ht="12.75" customHeight="1" x14ac:dyDescent="0.2">
      <c r="A431" s="7"/>
      <c r="B431" s="7"/>
      <c r="C431" s="3"/>
      <c r="D431" s="3" t="s">
        <v>149</v>
      </c>
      <c r="E431" s="33" t="s">
        <v>28</v>
      </c>
      <c r="F431" s="3"/>
      <c r="G431" s="7"/>
      <c r="H431" s="7">
        <v>1</v>
      </c>
      <c r="I431" s="12"/>
      <c r="J431" s="5" t="e">
        <f>+SUMIFS(#REF!,#REF!,Planning[[#This Row],[Tarifa]],#REF!,Planning[[#This Row],[Proyectos]])</f>
        <v>#REF!</v>
      </c>
      <c r="K431" s="5" t="e">
        <f>Planning[[#This Row],[Horas Planificadas]]+Planning[[#This Row],[Horas ajustadas adicionales]]-Planning[[#This Row],[Horas utilizadas]]</f>
        <v>#REF!</v>
      </c>
      <c r="L431" s="7"/>
      <c r="M431" s="19" t="e">
        <f>Planning[[#This Row],[Saldo]]-Planning[[#This Row],[Saldo estimado]]</f>
        <v>#REF!</v>
      </c>
      <c r="N431" s="60" t="e">
        <f>+SUMIFS(#REF!,#REF!,Planning[[#This Row],[Proyectos]],#REF!,Planning[[#This Row],[Tipo de Tarea y especialidad]])</f>
        <v>#REF!</v>
      </c>
      <c r="O431" s="19">
        <f t="shared" si="12"/>
        <v>10</v>
      </c>
      <c r="P431" s="19">
        <f t="shared" si="13"/>
        <v>2024</v>
      </c>
      <c r="Q431" s="19" t="e">
        <f>+SUMIFS(#REF!,#REF!,Planning[[#This Row],[Tarifa]],#REF!,Planning[[#This Row],[Proyectos]],#REF!,Planning[[#This Row],[Mes]],#REF!,Planning[[#This Row],[Año]])</f>
        <v>#REF!</v>
      </c>
      <c r="R431" s="19" t="str">
        <f>TEXT(Planning[[#This Row],[Mes]]*29,"mmmm")</f>
        <v>October</v>
      </c>
      <c r="S4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1" s="228"/>
      <c r="U431" s="43" t="e">
        <f>IF(Planning[[#This Row],[Horas Planificadas]]&lt;&gt;0,+K431/Planning[[#This Row],[Horas Planificadas]],0)</f>
        <v>#REF!</v>
      </c>
      <c r="V431" s="43" t="e">
        <f>IF(Planning[[#This Row],[Horas Planificadas]]&lt;&gt;0,Planning[[#This Row],[Horas utilizadas]]/Planning[[#This Row],[Horas Planificadas]],0)</f>
        <v>#REF!</v>
      </c>
      <c r="W431" s="44">
        <f>Planning[[#This Row],[Horas Planificadas]]+Planning[[#This Row],[Horas ajustadas adicionales]]</f>
        <v>1</v>
      </c>
      <c r="X431" s="142"/>
    </row>
    <row r="432" spans="1:24" ht="12.75" customHeight="1" x14ac:dyDescent="0.2">
      <c r="A432" s="7"/>
      <c r="B432" s="7"/>
      <c r="C432" s="3"/>
      <c r="D432" s="3" t="s">
        <v>149</v>
      </c>
      <c r="E432" s="33" t="s">
        <v>30</v>
      </c>
      <c r="F432" s="3"/>
      <c r="G432" s="7"/>
      <c r="H432" s="7">
        <v>477</v>
      </c>
      <c r="I432" s="12"/>
      <c r="J432" s="5" t="e">
        <f>+SUMIFS(#REF!,#REF!,Planning[[#This Row],[Tarifa]],#REF!,Planning[[#This Row],[Proyectos]])</f>
        <v>#REF!</v>
      </c>
      <c r="K432" s="5" t="e">
        <f>Planning[[#This Row],[Horas Planificadas]]+Planning[[#This Row],[Horas ajustadas adicionales]]-Planning[[#This Row],[Horas utilizadas]]</f>
        <v>#REF!</v>
      </c>
      <c r="L432" s="7"/>
      <c r="M432" s="19" t="e">
        <f>Planning[[#This Row],[Saldo]]-Planning[[#This Row],[Saldo estimado]]</f>
        <v>#REF!</v>
      </c>
      <c r="N432" s="60" t="e">
        <f>+SUMIFS(#REF!,#REF!,Planning[[#This Row],[Proyectos]],#REF!,Planning[[#This Row],[Tipo de Tarea y especialidad]])</f>
        <v>#REF!</v>
      </c>
      <c r="O432" s="19">
        <f t="shared" si="12"/>
        <v>10</v>
      </c>
      <c r="P432" s="19">
        <f t="shared" si="13"/>
        <v>2024</v>
      </c>
      <c r="Q432" s="19" t="e">
        <f>+SUMIFS(#REF!,#REF!,Planning[[#This Row],[Tarifa]],#REF!,Planning[[#This Row],[Proyectos]],#REF!,Planning[[#This Row],[Mes]],#REF!,Planning[[#This Row],[Año]])</f>
        <v>#REF!</v>
      </c>
      <c r="R432" s="19" t="str">
        <f>TEXT(Planning[[#This Row],[Mes]]*29,"mmmm")</f>
        <v>October</v>
      </c>
      <c r="S4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2" s="228"/>
      <c r="U432" s="43" t="e">
        <f>IF(Planning[[#This Row],[Horas Planificadas]]&lt;&gt;0,+K432/Planning[[#This Row],[Horas Planificadas]],0)</f>
        <v>#REF!</v>
      </c>
      <c r="V432" s="43" t="e">
        <f>IF(Planning[[#This Row],[Horas Planificadas]]&lt;&gt;0,Planning[[#This Row],[Horas utilizadas]]/Planning[[#This Row],[Horas Planificadas]],0)</f>
        <v>#REF!</v>
      </c>
      <c r="W432" s="44">
        <f>Planning[[#This Row],[Horas Planificadas]]+Planning[[#This Row],[Horas ajustadas adicionales]]</f>
        <v>477</v>
      </c>
      <c r="X432" s="142"/>
    </row>
    <row r="433" spans="1:24" ht="12.75" customHeight="1" x14ac:dyDescent="0.2">
      <c r="A433" s="7"/>
      <c r="B433" s="7"/>
      <c r="C433" s="3"/>
      <c r="D433" s="3" t="s">
        <v>149</v>
      </c>
      <c r="E433" s="33" t="s">
        <v>31</v>
      </c>
      <c r="F433" s="3"/>
      <c r="G433" s="7"/>
      <c r="H433" s="7">
        <v>60</v>
      </c>
      <c r="I433" s="12"/>
      <c r="J433" s="5" t="e">
        <f>+SUMIFS(#REF!,#REF!,Planning[[#This Row],[Tarifa]],#REF!,Planning[[#This Row],[Proyectos]])</f>
        <v>#REF!</v>
      </c>
      <c r="K433" s="5" t="e">
        <f>Planning[[#This Row],[Horas Planificadas]]+Planning[[#This Row],[Horas ajustadas adicionales]]-Planning[[#This Row],[Horas utilizadas]]</f>
        <v>#REF!</v>
      </c>
      <c r="L433" s="7"/>
      <c r="M433" s="19" t="e">
        <f>Planning[[#This Row],[Saldo]]-Planning[[#This Row],[Saldo estimado]]</f>
        <v>#REF!</v>
      </c>
      <c r="N433" s="60" t="e">
        <f>+SUMIFS(#REF!,#REF!,Planning[[#This Row],[Proyectos]],#REF!,Planning[[#This Row],[Tipo de Tarea y especialidad]])</f>
        <v>#REF!</v>
      </c>
      <c r="O433" s="19">
        <f t="shared" si="12"/>
        <v>10</v>
      </c>
      <c r="P433" s="19">
        <f t="shared" si="13"/>
        <v>2024</v>
      </c>
      <c r="Q433" s="19" t="e">
        <f>+SUMIFS(#REF!,#REF!,Planning[[#This Row],[Tarifa]],#REF!,Planning[[#This Row],[Proyectos]],#REF!,Planning[[#This Row],[Mes]],#REF!,Planning[[#This Row],[Año]])</f>
        <v>#REF!</v>
      </c>
      <c r="R433" s="19" t="str">
        <f>TEXT(Planning[[#This Row],[Mes]]*29,"mmmm")</f>
        <v>October</v>
      </c>
      <c r="S4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3" s="228"/>
      <c r="U433" s="43" t="e">
        <f>IF(Planning[[#This Row],[Horas Planificadas]]&lt;&gt;0,+K433/Planning[[#This Row],[Horas Planificadas]],0)</f>
        <v>#REF!</v>
      </c>
      <c r="V433" s="43" t="e">
        <f>IF(Planning[[#This Row],[Horas Planificadas]]&lt;&gt;0,Planning[[#This Row],[Horas utilizadas]]/Planning[[#This Row],[Horas Planificadas]],0)</f>
        <v>#REF!</v>
      </c>
      <c r="W433" s="44">
        <f>Planning[[#This Row],[Horas Planificadas]]+Planning[[#This Row],[Horas ajustadas adicionales]]</f>
        <v>60</v>
      </c>
      <c r="X433" s="142"/>
    </row>
    <row r="434" spans="1:24" ht="12.75" customHeight="1" x14ac:dyDescent="0.2">
      <c r="A434" s="7"/>
      <c r="B434" s="7"/>
      <c r="C434" s="3"/>
      <c r="D434" s="3" t="s">
        <v>149</v>
      </c>
      <c r="E434" s="33" t="s">
        <v>32</v>
      </c>
      <c r="F434" s="3"/>
      <c r="G434" s="7"/>
      <c r="H434" s="7">
        <v>144</v>
      </c>
      <c r="I434" s="12"/>
      <c r="J434" s="5" t="e">
        <f>+SUMIFS(#REF!,#REF!,Planning[[#This Row],[Tarifa]],#REF!,Planning[[#This Row],[Proyectos]])</f>
        <v>#REF!</v>
      </c>
      <c r="K434" s="5" t="e">
        <f>Planning[[#This Row],[Horas Planificadas]]+Planning[[#This Row],[Horas ajustadas adicionales]]-Planning[[#This Row],[Horas utilizadas]]</f>
        <v>#REF!</v>
      </c>
      <c r="L434" s="7"/>
      <c r="M434" s="19" t="e">
        <f>Planning[[#This Row],[Saldo]]-Planning[[#This Row],[Saldo estimado]]</f>
        <v>#REF!</v>
      </c>
      <c r="N434" s="60" t="e">
        <f>+SUMIFS(#REF!,#REF!,Planning[[#This Row],[Proyectos]],#REF!,Planning[[#This Row],[Tipo de Tarea y especialidad]])</f>
        <v>#REF!</v>
      </c>
      <c r="O434" s="19">
        <f t="shared" si="12"/>
        <v>10</v>
      </c>
      <c r="P434" s="19">
        <f t="shared" si="13"/>
        <v>2024</v>
      </c>
      <c r="Q434" s="19" t="e">
        <f>+SUMIFS(#REF!,#REF!,Planning[[#This Row],[Tarifa]],#REF!,Planning[[#This Row],[Proyectos]],#REF!,Planning[[#This Row],[Mes]],#REF!,Planning[[#This Row],[Año]])</f>
        <v>#REF!</v>
      </c>
      <c r="R434" s="19" t="str">
        <f>TEXT(Planning[[#This Row],[Mes]]*29,"mmmm")</f>
        <v>October</v>
      </c>
      <c r="S4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4" s="228"/>
      <c r="U434" s="43" t="e">
        <f>IF(Planning[[#This Row],[Horas Planificadas]]&lt;&gt;0,+K434/Planning[[#This Row],[Horas Planificadas]],0)</f>
        <v>#REF!</v>
      </c>
      <c r="V434" s="43" t="e">
        <f>IF(Planning[[#This Row],[Horas Planificadas]]&lt;&gt;0,Planning[[#This Row],[Horas utilizadas]]/Planning[[#This Row],[Horas Planificadas]],0)</f>
        <v>#REF!</v>
      </c>
      <c r="W434" s="44">
        <f>Planning[[#This Row],[Horas Planificadas]]+Planning[[#This Row],[Horas ajustadas adicionales]]</f>
        <v>144</v>
      </c>
      <c r="X434" s="142"/>
    </row>
    <row r="435" spans="1:24" ht="12.75" customHeight="1" x14ac:dyDescent="0.2">
      <c r="A435" s="7"/>
      <c r="B435" s="7"/>
      <c r="C435" s="3"/>
      <c r="D435" s="3" t="s">
        <v>150</v>
      </c>
      <c r="E435" s="33" t="s">
        <v>28</v>
      </c>
      <c r="F435" s="3"/>
      <c r="G435" s="7"/>
      <c r="H435" s="7">
        <v>40</v>
      </c>
      <c r="I435" s="12"/>
      <c r="J435" s="5" t="e">
        <f>+SUMIFS(#REF!,#REF!,Planning[[#This Row],[Tarifa]],#REF!,Planning[[#This Row],[Proyectos]])</f>
        <v>#REF!</v>
      </c>
      <c r="K435" s="5" t="e">
        <f>Planning[[#This Row],[Horas Planificadas]]+Planning[[#This Row],[Horas ajustadas adicionales]]-Planning[[#This Row],[Horas utilizadas]]</f>
        <v>#REF!</v>
      </c>
      <c r="L435" s="7"/>
      <c r="M435" s="19" t="e">
        <f>Planning[[#This Row],[Saldo]]-Planning[[#This Row],[Saldo estimado]]</f>
        <v>#REF!</v>
      </c>
      <c r="N435" s="60" t="e">
        <f>+SUMIFS(#REF!,#REF!,Planning[[#This Row],[Proyectos]],#REF!,Planning[[#This Row],[Tipo de Tarea y especialidad]])</f>
        <v>#REF!</v>
      </c>
      <c r="O435" s="19">
        <f t="shared" si="12"/>
        <v>10</v>
      </c>
      <c r="P435" s="19">
        <f t="shared" si="13"/>
        <v>2024</v>
      </c>
      <c r="Q435" s="19" t="e">
        <f>+SUMIFS(#REF!,#REF!,Planning[[#This Row],[Tarifa]],#REF!,Planning[[#This Row],[Proyectos]],#REF!,Planning[[#This Row],[Mes]],#REF!,Planning[[#This Row],[Año]])</f>
        <v>#REF!</v>
      </c>
      <c r="R435" s="19" t="str">
        <f>TEXT(Planning[[#This Row],[Mes]]*29,"mmmm")</f>
        <v>October</v>
      </c>
      <c r="S4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5" s="228"/>
      <c r="U435" s="43" t="e">
        <f>IF(Planning[[#This Row],[Horas Planificadas]]&lt;&gt;0,+K435/Planning[[#This Row],[Horas Planificadas]],0)</f>
        <v>#REF!</v>
      </c>
      <c r="V435" s="43" t="e">
        <f>IF(Planning[[#This Row],[Horas Planificadas]]&lt;&gt;0,Planning[[#This Row],[Horas utilizadas]]/Planning[[#This Row],[Horas Planificadas]],0)</f>
        <v>#REF!</v>
      </c>
      <c r="W435" s="44">
        <f>Planning[[#This Row],[Horas Planificadas]]+Planning[[#This Row],[Horas ajustadas adicionales]]</f>
        <v>40</v>
      </c>
      <c r="X435" s="142"/>
    </row>
    <row r="436" spans="1:24" ht="12.75" customHeight="1" x14ac:dyDescent="0.2">
      <c r="A436" s="7"/>
      <c r="B436" s="7"/>
      <c r="C436" s="3"/>
      <c r="D436" s="3" t="s">
        <v>150</v>
      </c>
      <c r="E436" s="33" t="s">
        <v>30</v>
      </c>
      <c r="F436" s="3"/>
      <c r="G436" s="7"/>
      <c r="H436" s="7">
        <v>160</v>
      </c>
      <c r="I436" s="12"/>
      <c r="J436" s="5" t="e">
        <f>+SUMIFS(#REF!,#REF!,Planning[[#This Row],[Tarifa]],#REF!,Planning[[#This Row],[Proyectos]])</f>
        <v>#REF!</v>
      </c>
      <c r="K436" s="5" t="e">
        <f>Planning[[#This Row],[Horas Planificadas]]+Planning[[#This Row],[Horas ajustadas adicionales]]-Planning[[#This Row],[Horas utilizadas]]</f>
        <v>#REF!</v>
      </c>
      <c r="L436" s="7"/>
      <c r="M436" s="19" t="e">
        <f>Planning[[#This Row],[Saldo]]-Planning[[#This Row],[Saldo estimado]]</f>
        <v>#REF!</v>
      </c>
      <c r="N436" s="60" t="e">
        <f>+SUMIFS(#REF!,#REF!,Planning[[#This Row],[Proyectos]],#REF!,Planning[[#This Row],[Tipo de Tarea y especialidad]])</f>
        <v>#REF!</v>
      </c>
      <c r="O436" s="19">
        <f t="shared" si="12"/>
        <v>10</v>
      </c>
      <c r="P436" s="19">
        <f t="shared" si="13"/>
        <v>2024</v>
      </c>
      <c r="Q436" s="19" t="e">
        <f>+SUMIFS(#REF!,#REF!,Planning[[#This Row],[Tarifa]],#REF!,Planning[[#This Row],[Proyectos]],#REF!,Planning[[#This Row],[Mes]],#REF!,Planning[[#This Row],[Año]])</f>
        <v>#REF!</v>
      </c>
      <c r="R436" s="19" t="str">
        <f>TEXT(Planning[[#This Row],[Mes]]*29,"mmmm")</f>
        <v>October</v>
      </c>
      <c r="S4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6" s="228"/>
      <c r="U436" s="43" t="e">
        <f>IF(Planning[[#This Row],[Horas Planificadas]]&lt;&gt;0,+K436/Planning[[#This Row],[Horas Planificadas]],0)</f>
        <v>#REF!</v>
      </c>
      <c r="V436" s="43" t="e">
        <f>IF(Planning[[#This Row],[Horas Planificadas]]&lt;&gt;0,Planning[[#This Row],[Horas utilizadas]]/Planning[[#This Row],[Horas Planificadas]],0)</f>
        <v>#REF!</v>
      </c>
      <c r="W436" s="44">
        <f>Planning[[#This Row],[Horas Planificadas]]+Planning[[#This Row],[Horas ajustadas adicionales]]</f>
        <v>160</v>
      </c>
      <c r="X436" s="142"/>
    </row>
    <row r="437" spans="1:24" ht="12.75" customHeight="1" x14ac:dyDescent="0.2">
      <c r="A437" s="7"/>
      <c r="B437" s="7"/>
      <c r="C437" s="3"/>
      <c r="D437" s="3" t="s">
        <v>150</v>
      </c>
      <c r="E437" s="33" t="s">
        <v>31</v>
      </c>
      <c r="F437" s="3"/>
      <c r="G437" s="7"/>
      <c r="H437" s="7">
        <v>160</v>
      </c>
      <c r="I437" s="12"/>
      <c r="J437" s="5" t="e">
        <f>+SUMIFS(#REF!,#REF!,Planning[[#This Row],[Tarifa]],#REF!,Planning[[#This Row],[Proyectos]])</f>
        <v>#REF!</v>
      </c>
      <c r="K437" s="5" t="e">
        <f>Planning[[#This Row],[Horas Planificadas]]+Planning[[#This Row],[Horas ajustadas adicionales]]-Planning[[#This Row],[Horas utilizadas]]</f>
        <v>#REF!</v>
      </c>
      <c r="L437" s="7"/>
      <c r="M437" s="19" t="e">
        <f>Planning[[#This Row],[Saldo]]-Planning[[#This Row],[Saldo estimado]]</f>
        <v>#REF!</v>
      </c>
      <c r="N437" s="60" t="e">
        <f>+SUMIFS(#REF!,#REF!,Planning[[#This Row],[Proyectos]],#REF!,Planning[[#This Row],[Tipo de Tarea y especialidad]])</f>
        <v>#REF!</v>
      </c>
      <c r="O437" s="19">
        <f t="shared" si="12"/>
        <v>10</v>
      </c>
      <c r="P437" s="19">
        <f t="shared" si="13"/>
        <v>2024</v>
      </c>
      <c r="Q437" s="19" t="e">
        <f>+SUMIFS(#REF!,#REF!,Planning[[#This Row],[Tarifa]],#REF!,Planning[[#This Row],[Proyectos]],#REF!,Planning[[#This Row],[Mes]],#REF!,Planning[[#This Row],[Año]])</f>
        <v>#REF!</v>
      </c>
      <c r="R437" s="19" t="str">
        <f>TEXT(Planning[[#This Row],[Mes]]*29,"mmmm")</f>
        <v>October</v>
      </c>
      <c r="S4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7" s="228"/>
      <c r="U437" s="43" t="e">
        <f>IF(Planning[[#This Row],[Horas Planificadas]]&lt;&gt;0,+K437/Planning[[#This Row],[Horas Planificadas]],0)</f>
        <v>#REF!</v>
      </c>
      <c r="V437" s="43" t="e">
        <f>IF(Planning[[#This Row],[Horas Planificadas]]&lt;&gt;0,Planning[[#This Row],[Horas utilizadas]]/Planning[[#This Row],[Horas Planificadas]],0)</f>
        <v>#REF!</v>
      </c>
      <c r="W437" s="44">
        <f>Planning[[#This Row],[Horas Planificadas]]+Planning[[#This Row],[Horas ajustadas adicionales]]</f>
        <v>160</v>
      </c>
      <c r="X437" s="142"/>
    </row>
    <row r="438" spans="1:24" ht="12.75" customHeight="1" x14ac:dyDescent="0.2">
      <c r="A438" s="7"/>
      <c r="B438" s="7"/>
      <c r="C438" s="3"/>
      <c r="D438" s="3" t="s">
        <v>150</v>
      </c>
      <c r="E438" s="33" t="s">
        <v>32</v>
      </c>
      <c r="F438" s="3"/>
      <c r="G438" s="7"/>
      <c r="H438" s="7">
        <v>152</v>
      </c>
      <c r="I438" s="12"/>
      <c r="J438" s="5" t="e">
        <f>+SUMIFS(#REF!,#REF!,Planning[[#This Row],[Tarifa]],#REF!,Planning[[#This Row],[Proyectos]])</f>
        <v>#REF!</v>
      </c>
      <c r="K438" s="5" t="e">
        <f>Planning[[#This Row],[Horas Planificadas]]+Planning[[#This Row],[Horas ajustadas adicionales]]-Planning[[#This Row],[Horas utilizadas]]</f>
        <v>#REF!</v>
      </c>
      <c r="L438" s="7"/>
      <c r="M438" s="19" t="e">
        <f>Planning[[#This Row],[Saldo]]-Planning[[#This Row],[Saldo estimado]]</f>
        <v>#REF!</v>
      </c>
      <c r="N438" s="60" t="e">
        <f>+SUMIFS(#REF!,#REF!,Planning[[#This Row],[Proyectos]],#REF!,Planning[[#This Row],[Tipo de Tarea y especialidad]])</f>
        <v>#REF!</v>
      </c>
      <c r="O438" s="19">
        <f t="shared" si="12"/>
        <v>10</v>
      </c>
      <c r="P438" s="19">
        <f t="shared" si="13"/>
        <v>2024</v>
      </c>
      <c r="Q438" s="19" t="e">
        <f>+SUMIFS(#REF!,#REF!,Planning[[#This Row],[Tarifa]],#REF!,Planning[[#This Row],[Proyectos]],#REF!,Planning[[#This Row],[Mes]],#REF!,Planning[[#This Row],[Año]])</f>
        <v>#REF!</v>
      </c>
      <c r="R438" s="19" t="str">
        <f>TEXT(Planning[[#This Row],[Mes]]*29,"mmmm")</f>
        <v>October</v>
      </c>
      <c r="S4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8" s="228"/>
      <c r="U438" s="43" t="e">
        <f>IF(Planning[[#This Row],[Horas Planificadas]]&lt;&gt;0,+K438/Planning[[#This Row],[Horas Planificadas]],0)</f>
        <v>#REF!</v>
      </c>
      <c r="V438" s="43" t="e">
        <f>IF(Planning[[#This Row],[Horas Planificadas]]&lt;&gt;0,Planning[[#This Row],[Horas utilizadas]]/Planning[[#This Row],[Horas Planificadas]],0)</f>
        <v>#REF!</v>
      </c>
      <c r="W438" s="44">
        <f>Planning[[#This Row],[Horas Planificadas]]+Planning[[#This Row],[Horas ajustadas adicionales]]</f>
        <v>152</v>
      </c>
      <c r="X438" s="142"/>
    </row>
    <row r="439" spans="1:24" ht="12.75" customHeight="1" x14ac:dyDescent="0.2">
      <c r="A439" s="7"/>
      <c r="B439" s="7"/>
      <c r="C439" s="3"/>
      <c r="D439" s="3" t="s">
        <v>151</v>
      </c>
      <c r="E439" s="33" t="s">
        <v>28</v>
      </c>
      <c r="F439" s="3"/>
      <c r="G439" s="7"/>
      <c r="H439" s="7">
        <v>0</v>
      </c>
      <c r="I439" s="12"/>
      <c r="J439" s="5" t="e">
        <f>+SUMIFS(#REF!,#REF!,Planning[[#This Row],[Tarifa]],#REF!,Planning[[#This Row],[Proyectos]])</f>
        <v>#REF!</v>
      </c>
      <c r="K439" s="5" t="e">
        <f>Planning[[#This Row],[Horas Planificadas]]+Planning[[#This Row],[Horas ajustadas adicionales]]-Planning[[#This Row],[Horas utilizadas]]</f>
        <v>#REF!</v>
      </c>
      <c r="L439" s="7"/>
      <c r="M439" s="19" t="e">
        <f>Planning[[#This Row],[Saldo]]-Planning[[#This Row],[Saldo estimado]]</f>
        <v>#REF!</v>
      </c>
      <c r="N439" s="60" t="e">
        <f>+SUMIFS(#REF!,#REF!,Planning[[#This Row],[Proyectos]],#REF!,Planning[[#This Row],[Tipo de Tarea y especialidad]])</f>
        <v>#REF!</v>
      </c>
      <c r="O439" s="19">
        <f t="shared" si="12"/>
        <v>10</v>
      </c>
      <c r="P439" s="19">
        <f t="shared" si="13"/>
        <v>2024</v>
      </c>
      <c r="Q439" s="19" t="e">
        <f>+SUMIFS(#REF!,#REF!,Planning[[#This Row],[Tarifa]],#REF!,Planning[[#This Row],[Proyectos]],#REF!,Planning[[#This Row],[Mes]],#REF!,Planning[[#This Row],[Año]])</f>
        <v>#REF!</v>
      </c>
      <c r="R439" s="19" t="str">
        <f>TEXT(Planning[[#This Row],[Mes]]*29,"mmmm")</f>
        <v>October</v>
      </c>
      <c r="S4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9" s="228"/>
      <c r="U439" s="43">
        <f>IF(Planning[[#This Row],[Horas Planificadas]]&lt;&gt;0,+K439/Planning[[#This Row],[Horas Planificadas]],0)</f>
        <v>0</v>
      </c>
      <c r="V439" s="43">
        <f>IF(Planning[[#This Row],[Horas Planificadas]]&lt;&gt;0,Planning[[#This Row],[Horas utilizadas]]/Planning[[#This Row],[Horas Planificadas]],0)</f>
        <v>0</v>
      </c>
      <c r="W439" s="44">
        <f>Planning[[#This Row],[Horas Planificadas]]+Planning[[#This Row],[Horas ajustadas adicionales]]</f>
        <v>0</v>
      </c>
      <c r="X439" s="142"/>
    </row>
    <row r="440" spans="1:24" ht="12.75" customHeight="1" x14ac:dyDescent="0.2">
      <c r="A440" s="7"/>
      <c r="B440" s="7"/>
      <c r="C440" s="3"/>
      <c r="D440" s="3" t="s">
        <v>151</v>
      </c>
      <c r="E440" s="33" t="s">
        <v>30</v>
      </c>
      <c r="F440" s="3"/>
      <c r="G440" s="7"/>
      <c r="H440" s="7">
        <v>45</v>
      </c>
      <c r="I440" s="12"/>
      <c r="J440" s="5" t="e">
        <f>+SUMIFS(#REF!,#REF!,Planning[[#This Row],[Tarifa]],#REF!,Planning[[#This Row],[Proyectos]])</f>
        <v>#REF!</v>
      </c>
      <c r="K440" s="5" t="e">
        <f>Planning[[#This Row],[Horas Planificadas]]+Planning[[#This Row],[Horas ajustadas adicionales]]-Planning[[#This Row],[Horas utilizadas]]</f>
        <v>#REF!</v>
      </c>
      <c r="L440" s="7"/>
      <c r="M440" s="19" t="e">
        <f>Planning[[#This Row],[Saldo]]-Planning[[#This Row],[Saldo estimado]]</f>
        <v>#REF!</v>
      </c>
      <c r="N440" s="60" t="e">
        <f>+SUMIFS(#REF!,#REF!,Planning[[#This Row],[Proyectos]],#REF!,Planning[[#This Row],[Tipo de Tarea y especialidad]])</f>
        <v>#REF!</v>
      </c>
      <c r="O440" s="19">
        <f t="shared" si="12"/>
        <v>10</v>
      </c>
      <c r="P440" s="19">
        <f t="shared" si="13"/>
        <v>2024</v>
      </c>
      <c r="Q440" s="19" t="e">
        <f>+SUMIFS(#REF!,#REF!,Planning[[#This Row],[Tarifa]],#REF!,Planning[[#This Row],[Proyectos]],#REF!,Planning[[#This Row],[Mes]],#REF!,Planning[[#This Row],[Año]])</f>
        <v>#REF!</v>
      </c>
      <c r="R440" s="19" t="str">
        <f>TEXT(Planning[[#This Row],[Mes]]*29,"mmmm")</f>
        <v>October</v>
      </c>
      <c r="S4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0" s="228"/>
      <c r="U440" s="43" t="e">
        <f>IF(Planning[[#This Row],[Horas Planificadas]]&lt;&gt;0,+K440/Planning[[#This Row],[Horas Planificadas]],0)</f>
        <v>#REF!</v>
      </c>
      <c r="V440" s="43" t="e">
        <f>IF(Planning[[#This Row],[Horas Planificadas]]&lt;&gt;0,Planning[[#This Row],[Horas utilizadas]]/Planning[[#This Row],[Horas Planificadas]],0)</f>
        <v>#REF!</v>
      </c>
      <c r="W440" s="44">
        <f>Planning[[#This Row],[Horas Planificadas]]+Planning[[#This Row],[Horas ajustadas adicionales]]</f>
        <v>45</v>
      </c>
      <c r="X440" s="142"/>
    </row>
    <row r="441" spans="1:24" ht="12.75" customHeight="1" x14ac:dyDescent="0.2">
      <c r="A441" s="7"/>
      <c r="B441" s="7"/>
      <c r="C441" s="3"/>
      <c r="D441" s="3" t="s">
        <v>151</v>
      </c>
      <c r="E441" s="33" t="s">
        <v>31</v>
      </c>
      <c r="F441" s="3"/>
      <c r="G441" s="7"/>
      <c r="H441" s="7">
        <v>4</v>
      </c>
      <c r="I441" s="12"/>
      <c r="J441" s="5" t="e">
        <f>+SUMIFS(#REF!,#REF!,Planning[[#This Row],[Tarifa]],#REF!,Planning[[#This Row],[Proyectos]])</f>
        <v>#REF!</v>
      </c>
      <c r="K441" s="5" t="e">
        <f>Planning[[#This Row],[Horas Planificadas]]+Planning[[#This Row],[Horas ajustadas adicionales]]-Planning[[#This Row],[Horas utilizadas]]</f>
        <v>#REF!</v>
      </c>
      <c r="L441" s="7"/>
      <c r="M441" s="19" t="e">
        <f>Planning[[#This Row],[Saldo]]-Planning[[#This Row],[Saldo estimado]]</f>
        <v>#REF!</v>
      </c>
      <c r="N441" s="60" t="e">
        <f>+SUMIFS(#REF!,#REF!,Planning[[#This Row],[Proyectos]],#REF!,Planning[[#This Row],[Tipo de Tarea y especialidad]])</f>
        <v>#REF!</v>
      </c>
      <c r="O441" s="19">
        <f t="shared" si="12"/>
        <v>10</v>
      </c>
      <c r="P441" s="19">
        <f t="shared" si="13"/>
        <v>2024</v>
      </c>
      <c r="Q441" s="19" t="e">
        <f>+SUMIFS(#REF!,#REF!,Planning[[#This Row],[Tarifa]],#REF!,Planning[[#This Row],[Proyectos]],#REF!,Planning[[#This Row],[Mes]],#REF!,Planning[[#This Row],[Año]])</f>
        <v>#REF!</v>
      </c>
      <c r="R441" s="19" t="str">
        <f>TEXT(Planning[[#This Row],[Mes]]*29,"mmmm")</f>
        <v>October</v>
      </c>
      <c r="S4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1" s="228"/>
      <c r="U441" s="43" t="e">
        <f>IF(Planning[[#This Row],[Horas Planificadas]]&lt;&gt;0,+K441/Planning[[#This Row],[Horas Planificadas]],0)</f>
        <v>#REF!</v>
      </c>
      <c r="V441" s="43" t="e">
        <f>IF(Planning[[#This Row],[Horas Planificadas]]&lt;&gt;0,Planning[[#This Row],[Horas utilizadas]]/Planning[[#This Row],[Horas Planificadas]],0)</f>
        <v>#REF!</v>
      </c>
      <c r="W441" s="44">
        <f>Planning[[#This Row],[Horas Planificadas]]+Planning[[#This Row],[Horas ajustadas adicionales]]</f>
        <v>4</v>
      </c>
      <c r="X441" s="142"/>
    </row>
    <row r="442" spans="1:24" ht="12.75" customHeight="1" x14ac:dyDescent="0.2">
      <c r="A442" s="7"/>
      <c r="B442" s="7"/>
      <c r="C442" s="3"/>
      <c r="D442" s="3" t="s">
        <v>151</v>
      </c>
      <c r="E442" s="33" t="s">
        <v>32</v>
      </c>
      <c r="F442" s="3"/>
      <c r="G442" s="7"/>
      <c r="H442" s="7">
        <v>45</v>
      </c>
      <c r="I442" s="12"/>
      <c r="J442" s="5" t="e">
        <f>+SUMIFS(#REF!,#REF!,Planning[[#This Row],[Tarifa]],#REF!,Planning[[#This Row],[Proyectos]])</f>
        <v>#REF!</v>
      </c>
      <c r="K442" s="5" t="e">
        <f>Planning[[#This Row],[Horas Planificadas]]+Planning[[#This Row],[Horas ajustadas adicionales]]-Planning[[#This Row],[Horas utilizadas]]</f>
        <v>#REF!</v>
      </c>
      <c r="L442" s="7"/>
      <c r="M442" s="19" t="e">
        <f>Planning[[#This Row],[Saldo]]-Planning[[#This Row],[Saldo estimado]]</f>
        <v>#REF!</v>
      </c>
      <c r="N442" s="60" t="e">
        <f>+SUMIFS(#REF!,#REF!,Planning[[#This Row],[Proyectos]],#REF!,Planning[[#This Row],[Tipo de Tarea y especialidad]])</f>
        <v>#REF!</v>
      </c>
      <c r="O442" s="19">
        <f t="shared" si="12"/>
        <v>10</v>
      </c>
      <c r="P442" s="19">
        <f t="shared" si="13"/>
        <v>2024</v>
      </c>
      <c r="Q442" s="19" t="e">
        <f>+SUMIFS(#REF!,#REF!,Planning[[#This Row],[Tarifa]],#REF!,Planning[[#This Row],[Proyectos]],#REF!,Planning[[#This Row],[Mes]],#REF!,Planning[[#This Row],[Año]])</f>
        <v>#REF!</v>
      </c>
      <c r="R442" s="19" t="str">
        <f>TEXT(Planning[[#This Row],[Mes]]*29,"mmmm")</f>
        <v>October</v>
      </c>
      <c r="S4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2" s="228"/>
      <c r="U442" s="43" t="e">
        <f>IF(Planning[[#This Row],[Horas Planificadas]]&lt;&gt;0,+K442/Planning[[#This Row],[Horas Planificadas]],0)</f>
        <v>#REF!</v>
      </c>
      <c r="V442" s="43" t="e">
        <f>IF(Planning[[#This Row],[Horas Planificadas]]&lt;&gt;0,Planning[[#This Row],[Horas utilizadas]]/Planning[[#This Row],[Horas Planificadas]],0)</f>
        <v>#REF!</v>
      </c>
      <c r="W442" s="44">
        <f>Planning[[#This Row],[Horas Planificadas]]+Planning[[#This Row],[Horas ajustadas adicionales]]</f>
        <v>45</v>
      </c>
      <c r="X442" s="142"/>
    </row>
    <row r="443" spans="1:24" ht="12.75" customHeight="1" x14ac:dyDescent="0.2">
      <c r="A443" s="7"/>
      <c r="B443" s="7"/>
      <c r="C443" s="3"/>
      <c r="D443" s="3" t="s">
        <v>152</v>
      </c>
      <c r="E443" s="33" t="s">
        <v>28</v>
      </c>
      <c r="F443" s="3"/>
      <c r="G443" s="7"/>
      <c r="H443" s="7">
        <v>320</v>
      </c>
      <c r="I443" s="12"/>
      <c r="J443" s="5" t="e">
        <f>+SUMIFS(#REF!,#REF!,Planning[[#This Row],[Tarifa]],#REF!,Planning[[#This Row],[Proyectos]])</f>
        <v>#REF!</v>
      </c>
      <c r="K443" s="5" t="e">
        <f>Planning[[#This Row],[Horas Planificadas]]+Planning[[#This Row],[Horas ajustadas adicionales]]-Planning[[#This Row],[Horas utilizadas]]</f>
        <v>#REF!</v>
      </c>
      <c r="L443" s="7"/>
      <c r="M443" s="19" t="e">
        <f>Planning[[#This Row],[Saldo]]-Planning[[#This Row],[Saldo estimado]]</f>
        <v>#REF!</v>
      </c>
      <c r="N443" s="60" t="e">
        <f>+SUMIFS(#REF!,#REF!,Planning[[#This Row],[Proyectos]],#REF!,Planning[[#This Row],[Tipo de Tarea y especialidad]])</f>
        <v>#REF!</v>
      </c>
      <c r="O443" s="19">
        <f t="shared" si="12"/>
        <v>10</v>
      </c>
      <c r="P443" s="19">
        <f t="shared" si="13"/>
        <v>2024</v>
      </c>
      <c r="Q443" s="19" t="e">
        <f>+SUMIFS(#REF!,#REF!,Planning[[#This Row],[Tarifa]],#REF!,Planning[[#This Row],[Proyectos]],#REF!,Planning[[#This Row],[Mes]],#REF!,Planning[[#This Row],[Año]])</f>
        <v>#REF!</v>
      </c>
      <c r="R443" s="19" t="str">
        <f>TEXT(Planning[[#This Row],[Mes]]*29,"mmmm")</f>
        <v>October</v>
      </c>
      <c r="S4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3" s="228"/>
      <c r="U443" s="43" t="e">
        <f>IF(Planning[[#This Row],[Horas Planificadas]]&lt;&gt;0,+K443/Planning[[#This Row],[Horas Planificadas]],0)</f>
        <v>#REF!</v>
      </c>
      <c r="V443" s="43" t="e">
        <f>IF(Planning[[#This Row],[Horas Planificadas]]&lt;&gt;0,Planning[[#This Row],[Horas utilizadas]]/Planning[[#This Row],[Horas Planificadas]],0)</f>
        <v>#REF!</v>
      </c>
      <c r="W443" s="44">
        <f>Planning[[#This Row],[Horas Planificadas]]+Planning[[#This Row],[Horas ajustadas adicionales]]</f>
        <v>320</v>
      </c>
      <c r="X443" s="142"/>
    </row>
    <row r="444" spans="1:24" ht="12.75" customHeight="1" x14ac:dyDescent="0.2">
      <c r="A444" s="7"/>
      <c r="B444" s="7"/>
      <c r="C444" s="3"/>
      <c r="D444" s="3" t="s">
        <v>152</v>
      </c>
      <c r="E444" s="33" t="s">
        <v>30</v>
      </c>
      <c r="F444" s="3"/>
      <c r="G444" s="7"/>
      <c r="H444" s="7">
        <v>220</v>
      </c>
      <c r="I444" s="12"/>
      <c r="J444" s="5" t="e">
        <f>+SUMIFS(#REF!,#REF!,Planning[[#This Row],[Tarifa]],#REF!,Planning[[#This Row],[Proyectos]])</f>
        <v>#REF!</v>
      </c>
      <c r="K444" s="5" t="e">
        <f>Planning[[#This Row],[Horas Planificadas]]+Planning[[#This Row],[Horas ajustadas adicionales]]-Planning[[#This Row],[Horas utilizadas]]</f>
        <v>#REF!</v>
      </c>
      <c r="L444" s="7"/>
      <c r="M444" s="19" t="e">
        <f>Planning[[#This Row],[Saldo]]-Planning[[#This Row],[Saldo estimado]]</f>
        <v>#REF!</v>
      </c>
      <c r="N444" s="60" t="e">
        <f>+SUMIFS(#REF!,#REF!,Planning[[#This Row],[Proyectos]],#REF!,Planning[[#This Row],[Tipo de Tarea y especialidad]])</f>
        <v>#REF!</v>
      </c>
      <c r="O444" s="19">
        <f t="shared" si="12"/>
        <v>10</v>
      </c>
      <c r="P444" s="19">
        <f t="shared" si="13"/>
        <v>2024</v>
      </c>
      <c r="Q444" s="19" t="e">
        <f>+SUMIFS(#REF!,#REF!,Planning[[#This Row],[Tarifa]],#REF!,Planning[[#This Row],[Proyectos]],#REF!,Planning[[#This Row],[Mes]],#REF!,Planning[[#This Row],[Año]])</f>
        <v>#REF!</v>
      </c>
      <c r="R444" s="19" t="str">
        <f>TEXT(Planning[[#This Row],[Mes]]*29,"mmmm")</f>
        <v>October</v>
      </c>
      <c r="S4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4" s="228"/>
      <c r="U444" s="43" t="e">
        <f>IF(Planning[[#This Row],[Horas Planificadas]]&lt;&gt;0,+K444/Planning[[#This Row],[Horas Planificadas]],0)</f>
        <v>#REF!</v>
      </c>
      <c r="V444" s="43" t="e">
        <f>IF(Planning[[#This Row],[Horas Planificadas]]&lt;&gt;0,Planning[[#This Row],[Horas utilizadas]]/Planning[[#This Row],[Horas Planificadas]],0)</f>
        <v>#REF!</v>
      </c>
      <c r="W444" s="44">
        <f>Planning[[#This Row],[Horas Planificadas]]+Planning[[#This Row],[Horas ajustadas adicionales]]</f>
        <v>220</v>
      </c>
      <c r="X444" s="142"/>
    </row>
    <row r="445" spans="1:24" ht="12.75" customHeight="1" x14ac:dyDescent="0.2">
      <c r="A445" s="7"/>
      <c r="B445" s="7"/>
      <c r="C445" s="3"/>
      <c r="D445" s="3" t="s">
        <v>152</v>
      </c>
      <c r="E445" s="33" t="s">
        <v>31</v>
      </c>
      <c r="F445" s="3"/>
      <c r="G445" s="7"/>
      <c r="H445" s="7">
        <v>220</v>
      </c>
      <c r="I445" s="12"/>
      <c r="J445" s="5" t="e">
        <f>+SUMIFS(#REF!,#REF!,Planning[[#This Row],[Tarifa]],#REF!,Planning[[#This Row],[Proyectos]])</f>
        <v>#REF!</v>
      </c>
      <c r="K445" s="5" t="e">
        <f>Planning[[#This Row],[Horas Planificadas]]+Planning[[#This Row],[Horas ajustadas adicionales]]-Planning[[#This Row],[Horas utilizadas]]</f>
        <v>#REF!</v>
      </c>
      <c r="L445" s="7"/>
      <c r="M445" s="19" t="e">
        <f>Planning[[#This Row],[Saldo]]-Planning[[#This Row],[Saldo estimado]]</f>
        <v>#REF!</v>
      </c>
      <c r="N445" s="60" t="e">
        <f>+SUMIFS(#REF!,#REF!,Planning[[#This Row],[Proyectos]],#REF!,Planning[[#This Row],[Tipo de Tarea y especialidad]])</f>
        <v>#REF!</v>
      </c>
      <c r="O445" s="19">
        <f t="shared" si="12"/>
        <v>10</v>
      </c>
      <c r="P445" s="19">
        <f t="shared" si="13"/>
        <v>2024</v>
      </c>
      <c r="Q445" s="19" t="e">
        <f>+SUMIFS(#REF!,#REF!,Planning[[#This Row],[Tarifa]],#REF!,Planning[[#This Row],[Proyectos]],#REF!,Planning[[#This Row],[Mes]],#REF!,Planning[[#This Row],[Año]])</f>
        <v>#REF!</v>
      </c>
      <c r="R445" s="19" t="str">
        <f>TEXT(Planning[[#This Row],[Mes]]*29,"mmmm")</f>
        <v>October</v>
      </c>
      <c r="S4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5" s="228"/>
      <c r="U445" s="43" t="e">
        <f>IF(Planning[[#This Row],[Horas Planificadas]]&lt;&gt;0,+K445/Planning[[#This Row],[Horas Planificadas]],0)</f>
        <v>#REF!</v>
      </c>
      <c r="V445" s="43" t="e">
        <f>IF(Planning[[#This Row],[Horas Planificadas]]&lt;&gt;0,Planning[[#This Row],[Horas utilizadas]]/Planning[[#This Row],[Horas Planificadas]],0)</f>
        <v>#REF!</v>
      </c>
      <c r="W445" s="44">
        <f>Planning[[#This Row],[Horas Planificadas]]+Planning[[#This Row],[Horas ajustadas adicionales]]</f>
        <v>220</v>
      </c>
      <c r="X445" s="142"/>
    </row>
    <row r="446" spans="1:24" ht="12.75" customHeight="1" x14ac:dyDescent="0.2">
      <c r="A446" s="7"/>
      <c r="B446" s="7"/>
      <c r="C446" s="3"/>
      <c r="D446" s="3" t="s">
        <v>152</v>
      </c>
      <c r="E446" s="33" t="s">
        <v>32</v>
      </c>
      <c r="F446" s="3"/>
      <c r="G446" s="7"/>
      <c r="H446" s="7">
        <v>440</v>
      </c>
      <c r="I446" s="12"/>
      <c r="J446" s="5" t="e">
        <f>+SUMIFS(#REF!,#REF!,Planning[[#This Row],[Tarifa]],#REF!,Planning[[#This Row],[Proyectos]])</f>
        <v>#REF!</v>
      </c>
      <c r="K446" s="5" t="e">
        <f>Planning[[#This Row],[Horas Planificadas]]+Planning[[#This Row],[Horas ajustadas adicionales]]-Planning[[#This Row],[Horas utilizadas]]</f>
        <v>#REF!</v>
      </c>
      <c r="L446" s="7"/>
      <c r="M446" s="19" t="e">
        <f>Planning[[#This Row],[Saldo]]-Planning[[#This Row],[Saldo estimado]]</f>
        <v>#REF!</v>
      </c>
      <c r="N446" s="60" t="e">
        <f>+SUMIFS(#REF!,#REF!,Planning[[#This Row],[Proyectos]],#REF!,Planning[[#This Row],[Tipo de Tarea y especialidad]])</f>
        <v>#REF!</v>
      </c>
      <c r="O446" s="19">
        <f t="shared" si="12"/>
        <v>10</v>
      </c>
      <c r="P446" s="19">
        <f t="shared" si="13"/>
        <v>2024</v>
      </c>
      <c r="Q446" s="19" t="e">
        <f>+SUMIFS(#REF!,#REF!,Planning[[#This Row],[Tarifa]],#REF!,Planning[[#This Row],[Proyectos]],#REF!,Planning[[#This Row],[Mes]],#REF!,Planning[[#This Row],[Año]])</f>
        <v>#REF!</v>
      </c>
      <c r="R446" s="19" t="str">
        <f>TEXT(Planning[[#This Row],[Mes]]*29,"mmmm")</f>
        <v>October</v>
      </c>
      <c r="S4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6" s="228"/>
      <c r="U446" s="43" t="e">
        <f>IF(Planning[[#This Row],[Horas Planificadas]]&lt;&gt;0,+K446/Planning[[#This Row],[Horas Planificadas]],0)</f>
        <v>#REF!</v>
      </c>
      <c r="V446" s="43" t="e">
        <f>IF(Planning[[#This Row],[Horas Planificadas]]&lt;&gt;0,Planning[[#This Row],[Horas utilizadas]]/Planning[[#This Row],[Horas Planificadas]],0)</f>
        <v>#REF!</v>
      </c>
      <c r="W446" s="44">
        <f>Planning[[#This Row],[Horas Planificadas]]+Planning[[#This Row],[Horas ajustadas adicionales]]</f>
        <v>440</v>
      </c>
      <c r="X446" s="142"/>
    </row>
    <row r="447" spans="1:24" ht="12.75" customHeight="1" x14ac:dyDescent="0.2">
      <c r="A447" s="7"/>
      <c r="B447" s="7"/>
      <c r="C447" s="3"/>
      <c r="D447" s="3" t="s">
        <v>153</v>
      </c>
      <c r="E447" s="33" t="s">
        <v>28</v>
      </c>
      <c r="F447" s="3"/>
      <c r="G447" s="7"/>
      <c r="H447" s="7">
        <v>45</v>
      </c>
      <c r="I447" s="12"/>
      <c r="J447" s="5" t="e">
        <f>+SUMIFS(#REF!,#REF!,Planning[[#This Row],[Tarifa]],#REF!,Planning[[#This Row],[Proyectos]])</f>
        <v>#REF!</v>
      </c>
      <c r="K447" s="5" t="e">
        <f>Planning[[#This Row],[Horas Planificadas]]+Planning[[#This Row],[Horas ajustadas adicionales]]-Planning[[#This Row],[Horas utilizadas]]</f>
        <v>#REF!</v>
      </c>
      <c r="L447" s="7"/>
      <c r="M447" s="19" t="e">
        <f>Planning[[#This Row],[Saldo]]-Planning[[#This Row],[Saldo estimado]]</f>
        <v>#REF!</v>
      </c>
      <c r="N447" s="60" t="e">
        <f>+SUMIFS(#REF!,#REF!,Planning[[#This Row],[Proyectos]],#REF!,Planning[[#This Row],[Tipo de Tarea y especialidad]])</f>
        <v>#REF!</v>
      </c>
      <c r="O447" s="19">
        <f t="shared" si="12"/>
        <v>10</v>
      </c>
      <c r="P447" s="19">
        <f t="shared" si="13"/>
        <v>2024</v>
      </c>
      <c r="Q447" s="19" t="e">
        <f>+SUMIFS(#REF!,#REF!,Planning[[#This Row],[Tarifa]],#REF!,Planning[[#This Row],[Proyectos]],#REF!,Planning[[#This Row],[Mes]],#REF!,Planning[[#This Row],[Año]])</f>
        <v>#REF!</v>
      </c>
      <c r="R447" s="19" t="str">
        <f>TEXT(Planning[[#This Row],[Mes]]*29,"mmmm")</f>
        <v>October</v>
      </c>
      <c r="S4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7" s="228"/>
      <c r="U447" s="43" t="e">
        <f>IF(Planning[[#This Row],[Horas Planificadas]]&lt;&gt;0,+K447/Planning[[#This Row],[Horas Planificadas]],0)</f>
        <v>#REF!</v>
      </c>
      <c r="V447" s="43" t="e">
        <f>IF(Planning[[#This Row],[Horas Planificadas]]&lt;&gt;0,Planning[[#This Row],[Horas utilizadas]]/Planning[[#This Row],[Horas Planificadas]],0)</f>
        <v>#REF!</v>
      </c>
      <c r="W447" s="44">
        <f>Planning[[#This Row],[Horas Planificadas]]+Planning[[#This Row],[Horas ajustadas adicionales]]</f>
        <v>45</v>
      </c>
      <c r="X447" s="142"/>
    </row>
    <row r="448" spans="1:24" ht="12.75" customHeight="1" x14ac:dyDescent="0.2">
      <c r="A448" s="7"/>
      <c r="B448" s="7"/>
      <c r="C448" s="3"/>
      <c r="D448" s="3" t="s">
        <v>153</v>
      </c>
      <c r="E448" s="33" t="s">
        <v>30</v>
      </c>
      <c r="F448" s="3"/>
      <c r="G448" s="7"/>
      <c r="H448" s="7">
        <v>162</v>
      </c>
      <c r="I448" s="12"/>
      <c r="J448" s="5" t="e">
        <f>+SUMIFS(#REF!,#REF!,Planning[[#This Row],[Tarifa]],#REF!,Planning[[#This Row],[Proyectos]])</f>
        <v>#REF!</v>
      </c>
      <c r="K448" s="5" t="e">
        <f>Planning[[#This Row],[Horas Planificadas]]+Planning[[#This Row],[Horas ajustadas adicionales]]-Planning[[#This Row],[Horas utilizadas]]</f>
        <v>#REF!</v>
      </c>
      <c r="L448" s="7"/>
      <c r="M448" s="19" t="e">
        <f>Planning[[#This Row],[Saldo]]-Planning[[#This Row],[Saldo estimado]]</f>
        <v>#REF!</v>
      </c>
      <c r="N448" s="60" t="e">
        <f>+SUMIFS(#REF!,#REF!,Planning[[#This Row],[Proyectos]],#REF!,Planning[[#This Row],[Tipo de Tarea y especialidad]])</f>
        <v>#REF!</v>
      </c>
      <c r="O448" s="19">
        <f t="shared" si="12"/>
        <v>10</v>
      </c>
      <c r="P448" s="19">
        <f t="shared" si="13"/>
        <v>2024</v>
      </c>
      <c r="Q448" s="19" t="e">
        <f>+SUMIFS(#REF!,#REF!,Planning[[#This Row],[Tarifa]],#REF!,Planning[[#This Row],[Proyectos]],#REF!,Planning[[#This Row],[Mes]],#REF!,Planning[[#This Row],[Año]])</f>
        <v>#REF!</v>
      </c>
      <c r="R448" s="19" t="str">
        <f>TEXT(Planning[[#This Row],[Mes]]*29,"mmmm")</f>
        <v>October</v>
      </c>
      <c r="S4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8" s="228"/>
      <c r="U448" s="43" t="e">
        <f>IF(Planning[[#This Row],[Horas Planificadas]]&lt;&gt;0,+K448/Planning[[#This Row],[Horas Planificadas]],0)</f>
        <v>#REF!</v>
      </c>
      <c r="V448" s="43" t="e">
        <f>IF(Planning[[#This Row],[Horas Planificadas]]&lt;&gt;0,Planning[[#This Row],[Horas utilizadas]]/Planning[[#This Row],[Horas Planificadas]],0)</f>
        <v>#REF!</v>
      </c>
      <c r="W448" s="44">
        <f>Planning[[#This Row],[Horas Planificadas]]+Planning[[#This Row],[Horas ajustadas adicionales]]</f>
        <v>162</v>
      </c>
      <c r="X448" s="142"/>
    </row>
    <row r="449" spans="1:24" ht="12.75" customHeight="1" x14ac:dyDescent="0.2">
      <c r="A449" s="7"/>
      <c r="B449" s="7"/>
      <c r="C449" s="3"/>
      <c r="D449" s="3" t="s">
        <v>153</v>
      </c>
      <c r="E449" s="33" t="s">
        <v>31</v>
      </c>
      <c r="F449" s="3"/>
      <c r="G449" s="7"/>
      <c r="H449" s="7">
        <v>0</v>
      </c>
      <c r="I449" s="12"/>
      <c r="J449" s="5" t="e">
        <f>+SUMIFS(#REF!,#REF!,Planning[[#This Row],[Tarifa]],#REF!,Planning[[#This Row],[Proyectos]])</f>
        <v>#REF!</v>
      </c>
      <c r="K449" s="5" t="e">
        <f>Planning[[#This Row],[Horas Planificadas]]+Planning[[#This Row],[Horas ajustadas adicionales]]-Planning[[#This Row],[Horas utilizadas]]</f>
        <v>#REF!</v>
      </c>
      <c r="L449" s="7"/>
      <c r="M449" s="19" t="e">
        <f>Planning[[#This Row],[Saldo]]-Planning[[#This Row],[Saldo estimado]]</f>
        <v>#REF!</v>
      </c>
      <c r="N449" s="60" t="e">
        <f>+SUMIFS(#REF!,#REF!,Planning[[#This Row],[Proyectos]],#REF!,Planning[[#This Row],[Tipo de Tarea y especialidad]])</f>
        <v>#REF!</v>
      </c>
      <c r="O449" s="19">
        <f t="shared" si="12"/>
        <v>10</v>
      </c>
      <c r="P449" s="19">
        <f t="shared" si="13"/>
        <v>2024</v>
      </c>
      <c r="Q449" s="19" t="e">
        <f>+SUMIFS(#REF!,#REF!,Planning[[#This Row],[Tarifa]],#REF!,Planning[[#This Row],[Proyectos]],#REF!,Planning[[#This Row],[Mes]],#REF!,Planning[[#This Row],[Año]])</f>
        <v>#REF!</v>
      </c>
      <c r="R449" s="19" t="str">
        <f>TEXT(Planning[[#This Row],[Mes]]*29,"mmmm")</f>
        <v>October</v>
      </c>
      <c r="S4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9" s="228"/>
      <c r="U449" s="43">
        <f>IF(Planning[[#This Row],[Horas Planificadas]]&lt;&gt;0,+K449/Planning[[#This Row],[Horas Planificadas]],0)</f>
        <v>0</v>
      </c>
      <c r="V449" s="43">
        <f>IF(Planning[[#This Row],[Horas Planificadas]]&lt;&gt;0,Planning[[#This Row],[Horas utilizadas]]/Planning[[#This Row],[Horas Planificadas]],0)</f>
        <v>0</v>
      </c>
      <c r="W449" s="44">
        <f>Planning[[#This Row],[Horas Planificadas]]+Planning[[#This Row],[Horas ajustadas adicionales]]</f>
        <v>0</v>
      </c>
      <c r="X449" s="142"/>
    </row>
    <row r="450" spans="1:24" ht="12.75" customHeight="1" x14ac:dyDescent="0.2">
      <c r="A450" s="7"/>
      <c r="B450" s="7"/>
      <c r="C450" s="3"/>
      <c r="D450" s="3" t="s">
        <v>153</v>
      </c>
      <c r="E450" s="33" t="s">
        <v>32</v>
      </c>
      <c r="F450" s="3"/>
      <c r="G450" s="7"/>
      <c r="H450" s="7">
        <v>54</v>
      </c>
      <c r="I450" s="12"/>
      <c r="J450" s="5" t="e">
        <f>+SUMIFS(#REF!,#REF!,Planning[[#This Row],[Tarifa]],#REF!,Planning[[#This Row],[Proyectos]])</f>
        <v>#REF!</v>
      </c>
      <c r="K450" s="5" t="e">
        <f>Planning[[#This Row],[Horas Planificadas]]+Planning[[#This Row],[Horas ajustadas adicionales]]-Planning[[#This Row],[Horas utilizadas]]</f>
        <v>#REF!</v>
      </c>
      <c r="L450" s="7"/>
      <c r="M450" s="19" t="e">
        <f>Planning[[#This Row],[Saldo]]-Planning[[#This Row],[Saldo estimado]]</f>
        <v>#REF!</v>
      </c>
      <c r="N450" s="60" t="e">
        <f>+SUMIFS(#REF!,#REF!,Planning[[#This Row],[Proyectos]],#REF!,Planning[[#This Row],[Tipo de Tarea y especialidad]])</f>
        <v>#REF!</v>
      </c>
      <c r="O450" s="19">
        <f t="shared" si="12"/>
        <v>10</v>
      </c>
      <c r="P450" s="19">
        <f t="shared" si="13"/>
        <v>2024</v>
      </c>
      <c r="Q450" s="19" t="e">
        <f>+SUMIFS(#REF!,#REF!,Planning[[#This Row],[Tarifa]],#REF!,Planning[[#This Row],[Proyectos]],#REF!,Planning[[#This Row],[Mes]],#REF!,Planning[[#This Row],[Año]])</f>
        <v>#REF!</v>
      </c>
      <c r="R450" s="19" t="str">
        <f>TEXT(Planning[[#This Row],[Mes]]*29,"mmmm")</f>
        <v>October</v>
      </c>
      <c r="S4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0" s="228"/>
      <c r="U450" s="43" t="e">
        <f>IF(Planning[[#This Row],[Horas Planificadas]]&lt;&gt;0,+K450/Planning[[#This Row],[Horas Planificadas]],0)</f>
        <v>#REF!</v>
      </c>
      <c r="V450" s="43" t="e">
        <f>IF(Planning[[#This Row],[Horas Planificadas]]&lt;&gt;0,Planning[[#This Row],[Horas utilizadas]]/Planning[[#This Row],[Horas Planificadas]],0)</f>
        <v>#REF!</v>
      </c>
      <c r="W450" s="44">
        <f>Planning[[#This Row],[Horas Planificadas]]+Planning[[#This Row],[Horas ajustadas adicionales]]</f>
        <v>54</v>
      </c>
      <c r="X450" s="142"/>
    </row>
    <row r="451" spans="1:24" ht="12.75" customHeight="1" x14ac:dyDescent="0.2">
      <c r="A451" s="7"/>
      <c r="B451" s="7"/>
      <c r="C451" s="3"/>
      <c r="D451" s="3" t="s">
        <v>154</v>
      </c>
      <c r="E451" s="33" t="s">
        <v>28</v>
      </c>
      <c r="F451" s="3"/>
      <c r="G451" s="7"/>
      <c r="H451" s="7">
        <v>0</v>
      </c>
      <c r="I451" s="12"/>
      <c r="J451" s="5" t="e">
        <f>+SUMIFS(#REF!,#REF!,Planning[[#This Row],[Tarifa]],#REF!,Planning[[#This Row],[Proyectos]])</f>
        <v>#REF!</v>
      </c>
      <c r="K451" s="5" t="e">
        <f>Planning[[#This Row],[Horas Planificadas]]+Planning[[#This Row],[Horas ajustadas adicionales]]-Planning[[#This Row],[Horas utilizadas]]</f>
        <v>#REF!</v>
      </c>
      <c r="L451" s="7"/>
      <c r="M451" s="19" t="e">
        <f>Planning[[#This Row],[Saldo]]-Planning[[#This Row],[Saldo estimado]]</f>
        <v>#REF!</v>
      </c>
      <c r="N451" s="60" t="e">
        <f>+SUMIFS(#REF!,#REF!,Planning[[#This Row],[Proyectos]],#REF!,Planning[[#This Row],[Tipo de Tarea y especialidad]])</f>
        <v>#REF!</v>
      </c>
      <c r="O451" s="19">
        <f t="shared" si="12"/>
        <v>10</v>
      </c>
      <c r="P451" s="19">
        <f t="shared" si="13"/>
        <v>2024</v>
      </c>
      <c r="Q451" s="19" t="e">
        <f>+SUMIFS(#REF!,#REF!,Planning[[#This Row],[Tarifa]],#REF!,Planning[[#This Row],[Proyectos]],#REF!,Planning[[#This Row],[Mes]],#REF!,Planning[[#This Row],[Año]])</f>
        <v>#REF!</v>
      </c>
      <c r="R451" s="19" t="str">
        <f>TEXT(Planning[[#This Row],[Mes]]*29,"mmmm")</f>
        <v>October</v>
      </c>
      <c r="S4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1" s="228"/>
      <c r="U451" s="43">
        <f>IF(Planning[[#This Row],[Horas Planificadas]]&lt;&gt;0,+K451/Planning[[#This Row],[Horas Planificadas]],0)</f>
        <v>0</v>
      </c>
      <c r="V451" s="43">
        <f>IF(Planning[[#This Row],[Horas Planificadas]]&lt;&gt;0,Planning[[#This Row],[Horas utilizadas]]/Planning[[#This Row],[Horas Planificadas]],0)</f>
        <v>0</v>
      </c>
      <c r="W451" s="44">
        <f>Planning[[#This Row],[Horas Planificadas]]+Planning[[#This Row],[Horas ajustadas adicionales]]</f>
        <v>0</v>
      </c>
      <c r="X451" s="142"/>
    </row>
    <row r="452" spans="1:24" ht="12.75" customHeight="1" x14ac:dyDescent="0.2">
      <c r="A452" s="7"/>
      <c r="B452" s="7"/>
      <c r="C452" s="3"/>
      <c r="D452" s="3" t="s">
        <v>154</v>
      </c>
      <c r="E452" s="33" t="s">
        <v>30</v>
      </c>
      <c r="F452" s="3"/>
      <c r="G452" s="7"/>
      <c r="H452" s="7">
        <v>120</v>
      </c>
      <c r="I452" s="12"/>
      <c r="J452" s="5" t="e">
        <f>+SUMIFS(#REF!,#REF!,Planning[[#This Row],[Tarifa]],#REF!,Planning[[#This Row],[Proyectos]])</f>
        <v>#REF!</v>
      </c>
      <c r="K452" s="5" t="e">
        <f>Planning[[#This Row],[Horas Planificadas]]+Planning[[#This Row],[Horas ajustadas adicionales]]-Planning[[#This Row],[Horas utilizadas]]</f>
        <v>#REF!</v>
      </c>
      <c r="L452" s="7"/>
      <c r="M452" s="19" t="e">
        <f>Planning[[#This Row],[Saldo]]-Planning[[#This Row],[Saldo estimado]]</f>
        <v>#REF!</v>
      </c>
      <c r="N452" s="60" t="e">
        <f>+SUMIFS(#REF!,#REF!,Planning[[#This Row],[Proyectos]],#REF!,Planning[[#This Row],[Tipo de Tarea y especialidad]])</f>
        <v>#REF!</v>
      </c>
      <c r="O452" s="19">
        <f t="shared" si="12"/>
        <v>10</v>
      </c>
      <c r="P452" s="19">
        <f t="shared" si="13"/>
        <v>2024</v>
      </c>
      <c r="Q452" s="19" t="e">
        <f>+SUMIFS(#REF!,#REF!,Planning[[#This Row],[Tarifa]],#REF!,Planning[[#This Row],[Proyectos]],#REF!,Planning[[#This Row],[Mes]],#REF!,Planning[[#This Row],[Año]])</f>
        <v>#REF!</v>
      </c>
      <c r="R452" s="19" t="str">
        <f>TEXT(Planning[[#This Row],[Mes]]*29,"mmmm")</f>
        <v>October</v>
      </c>
      <c r="S4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2" s="228"/>
      <c r="U452" s="43" t="e">
        <f>IF(Planning[[#This Row],[Horas Planificadas]]&lt;&gt;0,+K452/Planning[[#This Row],[Horas Planificadas]],0)</f>
        <v>#REF!</v>
      </c>
      <c r="V452" s="43" t="e">
        <f>IF(Planning[[#This Row],[Horas Planificadas]]&lt;&gt;0,Planning[[#This Row],[Horas utilizadas]]/Planning[[#This Row],[Horas Planificadas]],0)</f>
        <v>#REF!</v>
      </c>
      <c r="W452" s="44">
        <f>Planning[[#This Row],[Horas Planificadas]]+Planning[[#This Row],[Horas ajustadas adicionales]]</f>
        <v>120</v>
      </c>
      <c r="X452" s="142"/>
    </row>
    <row r="453" spans="1:24" ht="12.75" customHeight="1" x14ac:dyDescent="0.2">
      <c r="A453" s="7"/>
      <c r="B453" s="7"/>
      <c r="C453" s="3"/>
      <c r="D453" s="3" t="s">
        <v>154</v>
      </c>
      <c r="E453" s="33" t="s">
        <v>31</v>
      </c>
      <c r="F453" s="3"/>
      <c r="G453" s="7"/>
      <c r="H453" s="7">
        <v>4</v>
      </c>
      <c r="I453" s="12"/>
      <c r="J453" s="5" t="e">
        <f>+SUMIFS(#REF!,#REF!,Planning[[#This Row],[Tarifa]],#REF!,Planning[[#This Row],[Proyectos]])</f>
        <v>#REF!</v>
      </c>
      <c r="K453" s="5" t="e">
        <f>Planning[[#This Row],[Horas Planificadas]]+Planning[[#This Row],[Horas ajustadas adicionales]]-Planning[[#This Row],[Horas utilizadas]]</f>
        <v>#REF!</v>
      </c>
      <c r="L453" s="7"/>
      <c r="M453" s="19" t="e">
        <f>Planning[[#This Row],[Saldo]]-Planning[[#This Row],[Saldo estimado]]</f>
        <v>#REF!</v>
      </c>
      <c r="N453" s="60" t="e">
        <f>+SUMIFS(#REF!,#REF!,Planning[[#This Row],[Proyectos]],#REF!,Planning[[#This Row],[Tipo de Tarea y especialidad]])</f>
        <v>#REF!</v>
      </c>
      <c r="O453" s="19">
        <f t="shared" si="12"/>
        <v>10</v>
      </c>
      <c r="P453" s="19">
        <f t="shared" si="13"/>
        <v>2024</v>
      </c>
      <c r="Q453" s="19" t="e">
        <f>+SUMIFS(#REF!,#REF!,Planning[[#This Row],[Tarifa]],#REF!,Planning[[#This Row],[Proyectos]],#REF!,Planning[[#This Row],[Mes]],#REF!,Planning[[#This Row],[Año]])</f>
        <v>#REF!</v>
      </c>
      <c r="R453" s="19" t="str">
        <f>TEXT(Planning[[#This Row],[Mes]]*29,"mmmm")</f>
        <v>October</v>
      </c>
      <c r="S4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3" s="228"/>
      <c r="U453" s="43" t="e">
        <f>IF(Planning[[#This Row],[Horas Planificadas]]&lt;&gt;0,+K453/Planning[[#This Row],[Horas Planificadas]],0)</f>
        <v>#REF!</v>
      </c>
      <c r="V453" s="43" t="e">
        <f>IF(Planning[[#This Row],[Horas Planificadas]]&lt;&gt;0,Planning[[#This Row],[Horas utilizadas]]/Planning[[#This Row],[Horas Planificadas]],0)</f>
        <v>#REF!</v>
      </c>
      <c r="W453" s="44">
        <f>Planning[[#This Row],[Horas Planificadas]]+Planning[[#This Row],[Horas ajustadas adicionales]]</f>
        <v>4</v>
      </c>
      <c r="X453" s="142"/>
    </row>
    <row r="454" spans="1:24" ht="12.75" customHeight="1" x14ac:dyDescent="0.2">
      <c r="A454" s="7"/>
      <c r="B454" s="7"/>
      <c r="C454" s="3"/>
      <c r="D454" s="3" t="s">
        <v>154</v>
      </c>
      <c r="E454" s="33" t="s">
        <v>32</v>
      </c>
      <c r="F454" s="3"/>
      <c r="G454" s="7"/>
      <c r="H454" s="7">
        <v>54</v>
      </c>
      <c r="I454" s="12"/>
      <c r="J454" s="5" t="e">
        <f>+SUMIFS(#REF!,#REF!,Planning[[#This Row],[Tarifa]],#REF!,Planning[[#This Row],[Proyectos]])</f>
        <v>#REF!</v>
      </c>
      <c r="K454" s="5" t="e">
        <f>Planning[[#This Row],[Horas Planificadas]]+Planning[[#This Row],[Horas ajustadas adicionales]]-Planning[[#This Row],[Horas utilizadas]]</f>
        <v>#REF!</v>
      </c>
      <c r="L454" s="7"/>
      <c r="M454" s="19" t="e">
        <f>Planning[[#This Row],[Saldo]]-Planning[[#This Row],[Saldo estimado]]</f>
        <v>#REF!</v>
      </c>
      <c r="N454" s="60" t="e">
        <f>+SUMIFS(#REF!,#REF!,Planning[[#This Row],[Proyectos]],#REF!,Planning[[#This Row],[Tipo de Tarea y especialidad]])</f>
        <v>#REF!</v>
      </c>
      <c r="O454" s="19">
        <f t="shared" si="12"/>
        <v>10</v>
      </c>
      <c r="P454" s="19">
        <f t="shared" si="13"/>
        <v>2024</v>
      </c>
      <c r="Q454" s="19" t="e">
        <f>+SUMIFS(#REF!,#REF!,Planning[[#This Row],[Tarifa]],#REF!,Planning[[#This Row],[Proyectos]],#REF!,Planning[[#This Row],[Mes]],#REF!,Planning[[#This Row],[Año]])</f>
        <v>#REF!</v>
      </c>
      <c r="R454" s="19" t="str">
        <f>TEXT(Planning[[#This Row],[Mes]]*29,"mmmm")</f>
        <v>October</v>
      </c>
      <c r="S4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4" s="228"/>
      <c r="U454" s="43" t="e">
        <f>IF(Planning[[#This Row],[Horas Planificadas]]&lt;&gt;0,+K454/Planning[[#This Row],[Horas Planificadas]],0)</f>
        <v>#REF!</v>
      </c>
      <c r="V454" s="43" t="e">
        <f>IF(Planning[[#This Row],[Horas Planificadas]]&lt;&gt;0,Planning[[#This Row],[Horas utilizadas]]/Planning[[#This Row],[Horas Planificadas]],0)</f>
        <v>#REF!</v>
      </c>
      <c r="W454" s="44">
        <f>Planning[[#This Row],[Horas Planificadas]]+Planning[[#This Row],[Horas ajustadas adicionales]]</f>
        <v>54</v>
      </c>
      <c r="X454" s="142"/>
    </row>
    <row r="455" spans="1:24" ht="12.75" customHeight="1" x14ac:dyDescent="0.2">
      <c r="A455" s="7"/>
      <c r="B455" s="7"/>
      <c r="C455" s="3"/>
      <c r="D455" s="3" t="s">
        <v>155</v>
      </c>
      <c r="E455" s="33" t="s">
        <v>28</v>
      </c>
      <c r="F455" s="3"/>
      <c r="G455" s="7"/>
      <c r="H455" s="7">
        <v>0</v>
      </c>
      <c r="I455" s="12"/>
      <c r="J455" s="5" t="e">
        <f>+SUMIFS(#REF!,#REF!,Planning[[#This Row],[Tarifa]],#REF!,Planning[[#This Row],[Proyectos]])</f>
        <v>#REF!</v>
      </c>
      <c r="K455" s="5" t="e">
        <f>Planning[[#This Row],[Horas Planificadas]]+Planning[[#This Row],[Horas ajustadas adicionales]]-Planning[[#This Row],[Horas utilizadas]]</f>
        <v>#REF!</v>
      </c>
      <c r="L455" s="7"/>
      <c r="M455" s="19" t="e">
        <f>Planning[[#This Row],[Saldo]]-Planning[[#This Row],[Saldo estimado]]</f>
        <v>#REF!</v>
      </c>
      <c r="N455" s="60" t="e">
        <f>+SUMIFS(#REF!,#REF!,Planning[[#This Row],[Proyectos]],#REF!,Planning[[#This Row],[Tipo de Tarea y especialidad]])</f>
        <v>#REF!</v>
      </c>
      <c r="O455" s="19">
        <f t="shared" ref="O455:O518" si="14">$L$4</f>
        <v>10</v>
      </c>
      <c r="P455" s="19">
        <f t="shared" ref="P455:P518" si="15">$M$4</f>
        <v>2024</v>
      </c>
      <c r="Q455" s="19" t="e">
        <f>+SUMIFS(#REF!,#REF!,Planning[[#This Row],[Tarifa]],#REF!,Planning[[#This Row],[Proyectos]],#REF!,Planning[[#This Row],[Mes]],#REF!,Planning[[#This Row],[Año]])</f>
        <v>#REF!</v>
      </c>
      <c r="R455" s="19" t="str">
        <f>TEXT(Planning[[#This Row],[Mes]]*29,"mmmm")</f>
        <v>October</v>
      </c>
      <c r="S4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5" s="228"/>
      <c r="U455" s="43">
        <f>IF(Planning[[#This Row],[Horas Planificadas]]&lt;&gt;0,+K455/Planning[[#This Row],[Horas Planificadas]],0)</f>
        <v>0</v>
      </c>
      <c r="V455" s="43">
        <f>IF(Planning[[#This Row],[Horas Planificadas]]&lt;&gt;0,Planning[[#This Row],[Horas utilizadas]]/Planning[[#This Row],[Horas Planificadas]],0)</f>
        <v>0</v>
      </c>
      <c r="W455" s="44">
        <f>Planning[[#This Row],[Horas Planificadas]]+Planning[[#This Row],[Horas ajustadas adicionales]]</f>
        <v>0</v>
      </c>
      <c r="X455" s="142"/>
    </row>
    <row r="456" spans="1:24" ht="12.75" customHeight="1" x14ac:dyDescent="0.2">
      <c r="A456" s="7"/>
      <c r="B456" s="7"/>
      <c r="C456" s="3"/>
      <c r="D456" s="3" t="s">
        <v>155</v>
      </c>
      <c r="E456" s="33" t="s">
        <v>30</v>
      </c>
      <c r="F456" s="3"/>
      <c r="G456" s="7"/>
      <c r="H456" s="7">
        <v>68</v>
      </c>
      <c r="I456" s="12"/>
      <c r="J456" s="5" t="e">
        <f>+SUMIFS(#REF!,#REF!,Planning[[#This Row],[Tarifa]],#REF!,Planning[[#This Row],[Proyectos]])</f>
        <v>#REF!</v>
      </c>
      <c r="K456" s="5" t="e">
        <f>Planning[[#This Row],[Horas Planificadas]]+Planning[[#This Row],[Horas ajustadas adicionales]]-Planning[[#This Row],[Horas utilizadas]]</f>
        <v>#REF!</v>
      </c>
      <c r="L456" s="7"/>
      <c r="M456" s="19" t="e">
        <f>Planning[[#This Row],[Saldo]]-Planning[[#This Row],[Saldo estimado]]</f>
        <v>#REF!</v>
      </c>
      <c r="N456" s="60" t="e">
        <f>+SUMIFS(#REF!,#REF!,Planning[[#This Row],[Proyectos]],#REF!,Planning[[#This Row],[Tipo de Tarea y especialidad]])</f>
        <v>#REF!</v>
      </c>
      <c r="O456" s="19">
        <f t="shared" si="14"/>
        <v>10</v>
      </c>
      <c r="P456" s="19">
        <f t="shared" si="15"/>
        <v>2024</v>
      </c>
      <c r="Q456" s="19" t="e">
        <f>+SUMIFS(#REF!,#REF!,Planning[[#This Row],[Tarifa]],#REF!,Planning[[#This Row],[Proyectos]],#REF!,Planning[[#This Row],[Mes]],#REF!,Planning[[#This Row],[Año]])</f>
        <v>#REF!</v>
      </c>
      <c r="R456" s="19" t="str">
        <f>TEXT(Planning[[#This Row],[Mes]]*29,"mmmm")</f>
        <v>October</v>
      </c>
      <c r="S4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6" s="228"/>
      <c r="U456" s="43" t="e">
        <f>IF(Planning[[#This Row],[Horas Planificadas]]&lt;&gt;0,+K456/Planning[[#This Row],[Horas Planificadas]],0)</f>
        <v>#REF!</v>
      </c>
      <c r="V456" s="43" t="e">
        <f>IF(Planning[[#This Row],[Horas Planificadas]]&lt;&gt;0,Planning[[#This Row],[Horas utilizadas]]/Planning[[#This Row],[Horas Planificadas]],0)</f>
        <v>#REF!</v>
      </c>
      <c r="W456" s="44">
        <f>Planning[[#This Row],[Horas Planificadas]]+Planning[[#This Row],[Horas ajustadas adicionales]]</f>
        <v>68</v>
      </c>
      <c r="X456" s="142"/>
    </row>
    <row r="457" spans="1:24" ht="12.75" customHeight="1" x14ac:dyDescent="0.2">
      <c r="A457" s="7"/>
      <c r="B457" s="7"/>
      <c r="C457" s="3"/>
      <c r="D457" s="3" t="s">
        <v>155</v>
      </c>
      <c r="E457" s="33" t="s">
        <v>31</v>
      </c>
      <c r="F457" s="3"/>
      <c r="G457" s="7"/>
      <c r="H457" s="7">
        <v>4</v>
      </c>
      <c r="I457" s="12"/>
      <c r="J457" s="5" t="e">
        <f>+SUMIFS(#REF!,#REF!,Planning[[#This Row],[Tarifa]],#REF!,Planning[[#This Row],[Proyectos]])</f>
        <v>#REF!</v>
      </c>
      <c r="K457" s="5" t="e">
        <f>Planning[[#This Row],[Horas Planificadas]]+Planning[[#This Row],[Horas ajustadas adicionales]]-Planning[[#This Row],[Horas utilizadas]]</f>
        <v>#REF!</v>
      </c>
      <c r="L457" s="7"/>
      <c r="M457" s="19" t="e">
        <f>Planning[[#This Row],[Saldo]]-Planning[[#This Row],[Saldo estimado]]</f>
        <v>#REF!</v>
      </c>
      <c r="N457" s="60" t="e">
        <f>+SUMIFS(#REF!,#REF!,Planning[[#This Row],[Proyectos]],#REF!,Planning[[#This Row],[Tipo de Tarea y especialidad]])</f>
        <v>#REF!</v>
      </c>
      <c r="O457" s="19">
        <f t="shared" si="14"/>
        <v>10</v>
      </c>
      <c r="P457" s="19">
        <f t="shared" si="15"/>
        <v>2024</v>
      </c>
      <c r="Q457" s="19" t="e">
        <f>+SUMIFS(#REF!,#REF!,Planning[[#This Row],[Tarifa]],#REF!,Planning[[#This Row],[Proyectos]],#REF!,Planning[[#This Row],[Mes]],#REF!,Planning[[#This Row],[Año]])</f>
        <v>#REF!</v>
      </c>
      <c r="R457" s="19" t="str">
        <f>TEXT(Planning[[#This Row],[Mes]]*29,"mmmm")</f>
        <v>October</v>
      </c>
      <c r="S4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7" s="228"/>
      <c r="U457" s="43" t="e">
        <f>IF(Planning[[#This Row],[Horas Planificadas]]&lt;&gt;0,+K457/Planning[[#This Row],[Horas Planificadas]],0)</f>
        <v>#REF!</v>
      </c>
      <c r="V457" s="43" t="e">
        <f>IF(Planning[[#This Row],[Horas Planificadas]]&lt;&gt;0,Planning[[#This Row],[Horas utilizadas]]/Planning[[#This Row],[Horas Planificadas]],0)</f>
        <v>#REF!</v>
      </c>
      <c r="W457" s="44">
        <f>Planning[[#This Row],[Horas Planificadas]]+Planning[[#This Row],[Horas ajustadas adicionales]]</f>
        <v>4</v>
      </c>
      <c r="X457" s="142"/>
    </row>
    <row r="458" spans="1:24" ht="12.75" customHeight="1" x14ac:dyDescent="0.2">
      <c r="A458" s="7"/>
      <c r="B458" s="7"/>
      <c r="C458" s="3"/>
      <c r="D458" s="3" t="s">
        <v>155</v>
      </c>
      <c r="E458" s="33" t="s">
        <v>32</v>
      </c>
      <c r="F458" s="3"/>
      <c r="G458" s="7"/>
      <c r="H458" s="7">
        <v>18</v>
      </c>
      <c r="I458" s="12"/>
      <c r="J458" s="5" t="e">
        <f>+SUMIFS(#REF!,#REF!,Planning[[#This Row],[Tarifa]],#REF!,Planning[[#This Row],[Proyectos]])</f>
        <v>#REF!</v>
      </c>
      <c r="K458" s="5" t="e">
        <f>Planning[[#This Row],[Horas Planificadas]]+Planning[[#This Row],[Horas ajustadas adicionales]]-Planning[[#This Row],[Horas utilizadas]]</f>
        <v>#REF!</v>
      </c>
      <c r="L458" s="7"/>
      <c r="M458" s="19" t="e">
        <f>Planning[[#This Row],[Saldo]]-Planning[[#This Row],[Saldo estimado]]</f>
        <v>#REF!</v>
      </c>
      <c r="N458" s="60" t="e">
        <f>+SUMIFS(#REF!,#REF!,Planning[[#This Row],[Proyectos]],#REF!,Planning[[#This Row],[Tipo de Tarea y especialidad]])</f>
        <v>#REF!</v>
      </c>
      <c r="O458" s="19">
        <f t="shared" si="14"/>
        <v>10</v>
      </c>
      <c r="P458" s="19">
        <f t="shared" si="15"/>
        <v>2024</v>
      </c>
      <c r="Q458" s="19" t="e">
        <f>+SUMIFS(#REF!,#REF!,Planning[[#This Row],[Tarifa]],#REF!,Planning[[#This Row],[Proyectos]],#REF!,Planning[[#This Row],[Mes]],#REF!,Planning[[#This Row],[Año]])</f>
        <v>#REF!</v>
      </c>
      <c r="R458" s="19" t="str">
        <f>TEXT(Planning[[#This Row],[Mes]]*29,"mmmm")</f>
        <v>October</v>
      </c>
      <c r="S4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8" s="228"/>
      <c r="U458" s="43" t="e">
        <f>IF(Planning[[#This Row],[Horas Planificadas]]&lt;&gt;0,+K458/Planning[[#This Row],[Horas Planificadas]],0)</f>
        <v>#REF!</v>
      </c>
      <c r="V458" s="43" t="e">
        <f>IF(Planning[[#This Row],[Horas Planificadas]]&lt;&gt;0,Planning[[#This Row],[Horas utilizadas]]/Planning[[#This Row],[Horas Planificadas]],0)</f>
        <v>#REF!</v>
      </c>
      <c r="W458" s="44">
        <f>Planning[[#This Row],[Horas Planificadas]]+Planning[[#This Row],[Horas ajustadas adicionales]]</f>
        <v>18</v>
      </c>
      <c r="X458" s="142"/>
    </row>
    <row r="459" spans="1:24" ht="12.75" customHeight="1" x14ac:dyDescent="0.2">
      <c r="A459" s="7"/>
      <c r="B459" s="7"/>
      <c r="C459" s="3"/>
      <c r="D459" s="3" t="s">
        <v>156</v>
      </c>
      <c r="E459" s="33" t="s">
        <v>28</v>
      </c>
      <c r="F459" s="3"/>
      <c r="G459" s="7"/>
      <c r="H459" s="7">
        <v>0</v>
      </c>
      <c r="I459" s="12"/>
      <c r="J459" s="5" t="e">
        <f>+SUMIFS(#REF!,#REF!,Planning[[#This Row],[Tarifa]],#REF!,Planning[[#This Row],[Proyectos]])</f>
        <v>#REF!</v>
      </c>
      <c r="K459" s="5" t="e">
        <f>Planning[[#This Row],[Horas Planificadas]]+Planning[[#This Row],[Horas ajustadas adicionales]]-Planning[[#This Row],[Horas utilizadas]]</f>
        <v>#REF!</v>
      </c>
      <c r="L459" s="7"/>
      <c r="M459" s="19" t="e">
        <f>Planning[[#This Row],[Saldo]]-Planning[[#This Row],[Saldo estimado]]</f>
        <v>#REF!</v>
      </c>
      <c r="N459" s="60" t="e">
        <f>+SUMIFS(#REF!,#REF!,Planning[[#This Row],[Proyectos]],#REF!,Planning[[#This Row],[Tipo de Tarea y especialidad]])</f>
        <v>#REF!</v>
      </c>
      <c r="O459" s="19">
        <f t="shared" si="14"/>
        <v>10</v>
      </c>
      <c r="P459" s="19">
        <f t="shared" si="15"/>
        <v>2024</v>
      </c>
      <c r="Q459" s="19" t="e">
        <f>+SUMIFS(#REF!,#REF!,Planning[[#This Row],[Tarifa]],#REF!,Planning[[#This Row],[Proyectos]],#REF!,Planning[[#This Row],[Mes]],#REF!,Planning[[#This Row],[Año]])</f>
        <v>#REF!</v>
      </c>
      <c r="R459" s="19" t="str">
        <f>TEXT(Planning[[#This Row],[Mes]]*29,"mmmm")</f>
        <v>October</v>
      </c>
      <c r="S4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9" s="228"/>
      <c r="U459" s="43">
        <f>IF(Planning[[#This Row],[Horas Planificadas]]&lt;&gt;0,+K459/Planning[[#This Row],[Horas Planificadas]],0)</f>
        <v>0</v>
      </c>
      <c r="V459" s="43">
        <f>IF(Planning[[#This Row],[Horas Planificadas]]&lt;&gt;0,Planning[[#This Row],[Horas utilizadas]]/Planning[[#This Row],[Horas Planificadas]],0)</f>
        <v>0</v>
      </c>
      <c r="W459" s="44">
        <f>Planning[[#This Row],[Horas Planificadas]]+Planning[[#This Row],[Horas ajustadas adicionales]]</f>
        <v>0</v>
      </c>
      <c r="X459" s="142"/>
    </row>
    <row r="460" spans="1:24" ht="12.75" customHeight="1" x14ac:dyDescent="0.2">
      <c r="A460" s="7"/>
      <c r="B460" s="7"/>
      <c r="C460" s="3"/>
      <c r="D460" s="3" t="s">
        <v>156</v>
      </c>
      <c r="E460" s="33" t="s">
        <v>30</v>
      </c>
      <c r="F460" s="3"/>
      <c r="G460" s="7"/>
      <c r="H460" s="7">
        <v>144</v>
      </c>
      <c r="I460" s="12"/>
      <c r="J460" s="5" t="e">
        <f>+SUMIFS(#REF!,#REF!,Planning[[#This Row],[Tarifa]],#REF!,Planning[[#This Row],[Proyectos]])</f>
        <v>#REF!</v>
      </c>
      <c r="K460" s="5" t="e">
        <f>Planning[[#This Row],[Horas Planificadas]]+Planning[[#This Row],[Horas ajustadas adicionales]]-Planning[[#This Row],[Horas utilizadas]]</f>
        <v>#REF!</v>
      </c>
      <c r="L460" s="7"/>
      <c r="M460" s="19" t="e">
        <f>Planning[[#This Row],[Saldo]]-Planning[[#This Row],[Saldo estimado]]</f>
        <v>#REF!</v>
      </c>
      <c r="N460" s="60" t="e">
        <f>+SUMIFS(#REF!,#REF!,Planning[[#This Row],[Proyectos]],#REF!,Planning[[#This Row],[Tipo de Tarea y especialidad]])</f>
        <v>#REF!</v>
      </c>
      <c r="O460" s="19">
        <f t="shared" si="14"/>
        <v>10</v>
      </c>
      <c r="P460" s="19">
        <f t="shared" si="15"/>
        <v>2024</v>
      </c>
      <c r="Q460" s="19" t="e">
        <f>+SUMIFS(#REF!,#REF!,Planning[[#This Row],[Tarifa]],#REF!,Planning[[#This Row],[Proyectos]],#REF!,Planning[[#This Row],[Mes]],#REF!,Planning[[#This Row],[Año]])</f>
        <v>#REF!</v>
      </c>
      <c r="R460" s="19" t="str">
        <f>TEXT(Planning[[#This Row],[Mes]]*29,"mmmm")</f>
        <v>October</v>
      </c>
      <c r="S4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0" s="228"/>
      <c r="U460" s="43" t="e">
        <f>IF(Planning[[#This Row],[Horas Planificadas]]&lt;&gt;0,+K460/Planning[[#This Row],[Horas Planificadas]],0)</f>
        <v>#REF!</v>
      </c>
      <c r="V460" s="43" t="e">
        <f>IF(Planning[[#This Row],[Horas Planificadas]]&lt;&gt;0,Planning[[#This Row],[Horas utilizadas]]/Planning[[#This Row],[Horas Planificadas]],0)</f>
        <v>#REF!</v>
      </c>
      <c r="W460" s="44">
        <f>Planning[[#This Row],[Horas Planificadas]]+Planning[[#This Row],[Horas ajustadas adicionales]]</f>
        <v>144</v>
      </c>
      <c r="X460" s="142"/>
    </row>
    <row r="461" spans="1:24" ht="12.75" customHeight="1" x14ac:dyDescent="0.2">
      <c r="A461" s="7"/>
      <c r="B461" s="7"/>
      <c r="C461" s="3"/>
      <c r="D461" s="3" t="s">
        <v>156</v>
      </c>
      <c r="E461" s="33" t="s">
        <v>31</v>
      </c>
      <c r="F461" s="3"/>
      <c r="G461" s="7"/>
      <c r="H461" s="7">
        <v>4</v>
      </c>
      <c r="I461" s="12"/>
      <c r="J461" s="5" t="e">
        <f>+SUMIFS(#REF!,#REF!,Planning[[#This Row],[Tarifa]],#REF!,Planning[[#This Row],[Proyectos]])</f>
        <v>#REF!</v>
      </c>
      <c r="K461" s="5" t="e">
        <f>Planning[[#This Row],[Horas Planificadas]]+Planning[[#This Row],[Horas ajustadas adicionales]]-Planning[[#This Row],[Horas utilizadas]]</f>
        <v>#REF!</v>
      </c>
      <c r="L461" s="7"/>
      <c r="M461" s="19" t="e">
        <f>Planning[[#This Row],[Saldo]]-Planning[[#This Row],[Saldo estimado]]</f>
        <v>#REF!</v>
      </c>
      <c r="N461" s="60" t="e">
        <f>+SUMIFS(#REF!,#REF!,Planning[[#This Row],[Proyectos]],#REF!,Planning[[#This Row],[Tipo de Tarea y especialidad]])</f>
        <v>#REF!</v>
      </c>
      <c r="O461" s="19">
        <f t="shared" si="14"/>
        <v>10</v>
      </c>
      <c r="P461" s="19">
        <f t="shared" si="15"/>
        <v>2024</v>
      </c>
      <c r="Q461" s="19" t="e">
        <f>+SUMIFS(#REF!,#REF!,Planning[[#This Row],[Tarifa]],#REF!,Planning[[#This Row],[Proyectos]],#REF!,Planning[[#This Row],[Mes]],#REF!,Planning[[#This Row],[Año]])</f>
        <v>#REF!</v>
      </c>
      <c r="R461" s="19" t="str">
        <f>TEXT(Planning[[#This Row],[Mes]]*29,"mmmm")</f>
        <v>October</v>
      </c>
      <c r="S4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1" s="228"/>
      <c r="U461" s="43" t="e">
        <f>IF(Planning[[#This Row],[Horas Planificadas]]&lt;&gt;0,+K461/Planning[[#This Row],[Horas Planificadas]],0)</f>
        <v>#REF!</v>
      </c>
      <c r="V461" s="43" t="e">
        <f>IF(Planning[[#This Row],[Horas Planificadas]]&lt;&gt;0,Planning[[#This Row],[Horas utilizadas]]/Planning[[#This Row],[Horas Planificadas]],0)</f>
        <v>#REF!</v>
      </c>
      <c r="W461" s="44">
        <f>Planning[[#This Row],[Horas Planificadas]]+Planning[[#This Row],[Horas ajustadas adicionales]]</f>
        <v>4</v>
      </c>
      <c r="X461" s="142"/>
    </row>
    <row r="462" spans="1:24" ht="12.75" customHeight="1" x14ac:dyDescent="0.2">
      <c r="A462" s="7"/>
      <c r="B462" s="7"/>
      <c r="C462" s="3"/>
      <c r="D462" s="3" t="s">
        <v>156</v>
      </c>
      <c r="E462" s="33" t="s">
        <v>32</v>
      </c>
      <c r="F462" s="3"/>
      <c r="G462" s="7"/>
      <c r="H462" s="7">
        <v>63</v>
      </c>
      <c r="I462" s="12"/>
      <c r="J462" s="5" t="e">
        <f>+SUMIFS(#REF!,#REF!,Planning[[#This Row],[Tarifa]],#REF!,Planning[[#This Row],[Proyectos]])</f>
        <v>#REF!</v>
      </c>
      <c r="K462" s="5" t="e">
        <f>Planning[[#This Row],[Horas Planificadas]]+Planning[[#This Row],[Horas ajustadas adicionales]]-Planning[[#This Row],[Horas utilizadas]]</f>
        <v>#REF!</v>
      </c>
      <c r="L462" s="7"/>
      <c r="M462" s="19" t="e">
        <f>Planning[[#This Row],[Saldo]]-Planning[[#This Row],[Saldo estimado]]</f>
        <v>#REF!</v>
      </c>
      <c r="N462" s="60" t="e">
        <f>+SUMIFS(#REF!,#REF!,Planning[[#This Row],[Proyectos]],#REF!,Planning[[#This Row],[Tipo de Tarea y especialidad]])</f>
        <v>#REF!</v>
      </c>
      <c r="O462" s="19">
        <f t="shared" si="14"/>
        <v>10</v>
      </c>
      <c r="P462" s="19">
        <f t="shared" si="15"/>
        <v>2024</v>
      </c>
      <c r="Q462" s="19" t="e">
        <f>+SUMIFS(#REF!,#REF!,Planning[[#This Row],[Tarifa]],#REF!,Planning[[#This Row],[Proyectos]],#REF!,Planning[[#This Row],[Mes]],#REF!,Planning[[#This Row],[Año]])</f>
        <v>#REF!</v>
      </c>
      <c r="R462" s="19" t="str">
        <f>TEXT(Planning[[#This Row],[Mes]]*29,"mmmm")</f>
        <v>October</v>
      </c>
      <c r="S4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2" s="228"/>
      <c r="U462" s="43" t="e">
        <f>IF(Planning[[#This Row],[Horas Planificadas]]&lt;&gt;0,+K462/Planning[[#This Row],[Horas Planificadas]],0)</f>
        <v>#REF!</v>
      </c>
      <c r="V462" s="43" t="e">
        <f>IF(Planning[[#This Row],[Horas Planificadas]]&lt;&gt;0,Planning[[#This Row],[Horas utilizadas]]/Planning[[#This Row],[Horas Planificadas]],0)</f>
        <v>#REF!</v>
      </c>
      <c r="W462" s="44">
        <f>Planning[[#This Row],[Horas Planificadas]]+Planning[[#This Row],[Horas ajustadas adicionales]]</f>
        <v>63</v>
      </c>
      <c r="X462" s="142"/>
    </row>
    <row r="463" spans="1:24" ht="12.75" customHeight="1" x14ac:dyDescent="0.2">
      <c r="A463" s="7"/>
      <c r="B463" s="7"/>
      <c r="C463" s="3"/>
      <c r="D463" s="3" t="s">
        <v>157</v>
      </c>
      <c r="E463" s="33" t="s">
        <v>28</v>
      </c>
      <c r="F463" s="3"/>
      <c r="G463" s="7"/>
      <c r="H463" s="7">
        <v>0</v>
      </c>
      <c r="I463" s="12"/>
      <c r="J463" s="5" t="e">
        <f>+SUMIFS(#REF!,#REF!,Planning[[#This Row],[Tarifa]],#REF!,Planning[[#This Row],[Proyectos]])</f>
        <v>#REF!</v>
      </c>
      <c r="K463" s="5" t="e">
        <f>Planning[[#This Row],[Horas Planificadas]]+Planning[[#This Row],[Horas ajustadas adicionales]]-Planning[[#This Row],[Horas utilizadas]]</f>
        <v>#REF!</v>
      </c>
      <c r="L463" s="7"/>
      <c r="M463" s="19" t="e">
        <f>Planning[[#This Row],[Saldo]]-Planning[[#This Row],[Saldo estimado]]</f>
        <v>#REF!</v>
      </c>
      <c r="N463" s="60" t="e">
        <f>+SUMIFS(#REF!,#REF!,Planning[[#This Row],[Proyectos]],#REF!,Planning[[#This Row],[Tipo de Tarea y especialidad]])</f>
        <v>#REF!</v>
      </c>
      <c r="O463" s="19">
        <f t="shared" si="14"/>
        <v>10</v>
      </c>
      <c r="P463" s="19">
        <f t="shared" si="15"/>
        <v>2024</v>
      </c>
      <c r="Q463" s="19" t="e">
        <f>+SUMIFS(#REF!,#REF!,Planning[[#This Row],[Tarifa]],#REF!,Planning[[#This Row],[Proyectos]],#REF!,Planning[[#This Row],[Mes]],#REF!,Planning[[#This Row],[Año]])</f>
        <v>#REF!</v>
      </c>
      <c r="R463" s="19" t="str">
        <f>TEXT(Planning[[#This Row],[Mes]]*29,"mmmm")</f>
        <v>October</v>
      </c>
      <c r="S4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3" s="228"/>
      <c r="U463" s="43">
        <f>IF(Planning[[#This Row],[Horas Planificadas]]&lt;&gt;0,+K463/Planning[[#This Row],[Horas Planificadas]],0)</f>
        <v>0</v>
      </c>
      <c r="V463" s="43">
        <f>IF(Planning[[#This Row],[Horas Planificadas]]&lt;&gt;0,Planning[[#This Row],[Horas utilizadas]]/Planning[[#This Row],[Horas Planificadas]],0)</f>
        <v>0</v>
      </c>
      <c r="W463" s="44">
        <f>Planning[[#This Row],[Horas Planificadas]]+Planning[[#This Row],[Horas ajustadas adicionales]]</f>
        <v>0</v>
      </c>
      <c r="X463" s="142"/>
    </row>
    <row r="464" spans="1:24" ht="12.75" customHeight="1" x14ac:dyDescent="0.2">
      <c r="A464" s="7"/>
      <c r="B464" s="7"/>
      <c r="C464" s="3"/>
      <c r="D464" s="3" t="s">
        <v>157</v>
      </c>
      <c r="E464" s="33" t="s">
        <v>30</v>
      </c>
      <c r="F464" s="3"/>
      <c r="G464" s="7"/>
      <c r="H464" s="7">
        <v>80</v>
      </c>
      <c r="I464" s="12"/>
      <c r="J464" s="5" t="e">
        <f>+SUMIFS(#REF!,#REF!,Planning[[#This Row],[Tarifa]],#REF!,Planning[[#This Row],[Proyectos]])</f>
        <v>#REF!</v>
      </c>
      <c r="K464" s="5" t="e">
        <f>Planning[[#This Row],[Horas Planificadas]]+Planning[[#This Row],[Horas ajustadas adicionales]]-Planning[[#This Row],[Horas utilizadas]]</f>
        <v>#REF!</v>
      </c>
      <c r="L464" s="7"/>
      <c r="M464" s="19" t="e">
        <f>Planning[[#This Row],[Saldo]]-Planning[[#This Row],[Saldo estimado]]</f>
        <v>#REF!</v>
      </c>
      <c r="N464" s="60" t="e">
        <f>+SUMIFS(#REF!,#REF!,Planning[[#This Row],[Proyectos]],#REF!,Planning[[#This Row],[Tipo de Tarea y especialidad]])</f>
        <v>#REF!</v>
      </c>
      <c r="O464" s="19">
        <f t="shared" si="14"/>
        <v>10</v>
      </c>
      <c r="P464" s="19">
        <f t="shared" si="15"/>
        <v>2024</v>
      </c>
      <c r="Q464" s="19" t="e">
        <f>+SUMIFS(#REF!,#REF!,Planning[[#This Row],[Tarifa]],#REF!,Planning[[#This Row],[Proyectos]],#REF!,Planning[[#This Row],[Mes]],#REF!,Planning[[#This Row],[Año]])</f>
        <v>#REF!</v>
      </c>
      <c r="R464" s="19" t="str">
        <f>TEXT(Planning[[#This Row],[Mes]]*29,"mmmm")</f>
        <v>October</v>
      </c>
      <c r="S4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4" s="228"/>
      <c r="U464" s="43" t="e">
        <f>IF(Planning[[#This Row],[Horas Planificadas]]&lt;&gt;0,+K464/Planning[[#This Row],[Horas Planificadas]],0)</f>
        <v>#REF!</v>
      </c>
      <c r="V464" s="43" t="e">
        <f>IF(Planning[[#This Row],[Horas Planificadas]]&lt;&gt;0,Planning[[#This Row],[Horas utilizadas]]/Planning[[#This Row],[Horas Planificadas]],0)</f>
        <v>#REF!</v>
      </c>
      <c r="W464" s="44">
        <f>Planning[[#This Row],[Horas Planificadas]]+Planning[[#This Row],[Horas ajustadas adicionales]]</f>
        <v>80</v>
      </c>
      <c r="X464" s="142"/>
    </row>
    <row r="465" spans="1:24" ht="12.75" customHeight="1" x14ac:dyDescent="0.2">
      <c r="A465" s="7"/>
      <c r="B465" s="7"/>
      <c r="C465" s="3"/>
      <c r="D465" s="3" t="s">
        <v>157</v>
      </c>
      <c r="E465" s="33" t="s">
        <v>31</v>
      </c>
      <c r="F465" s="3"/>
      <c r="G465" s="7"/>
      <c r="H465" s="7">
        <v>4</v>
      </c>
      <c r="I465" s="12"/>
      <c r="J465" s="5" t="e">
        <f>+SUMIFS(#REF!,#REF!,Planning[[#This Row],[Tarifa]],#REF!,Planning[[#This Row],[Proyectos]])</f>
        <v>#REF!</v>
      </c>
      <c r="K465" s="5" t="e">
        <f>Planning[[#This Row],[Horas Planificadas]]+Planning[[#This Row],[Horas ajustadas adicionales]]-Planning[[#This Row],[Horas utilizadas]]</f>
        <v>#REF!</v>
      </c>
      <c r="L465" s="7"/>
      <c r="M465" s="19" t="e">
        <f>Planning[[#This Row],[Saldo]]-Planning[[#This Row],[Saldo estimado]]</f>
        <v>#REF!</v>
      </c>
      <c r="N465" s="60" t="e">
        <f>+SUMIFS(#REF!,#REF!,Planning[[#This Row],[Proyectos]],#REF!,Planning[[#This Row],[Tipo de Tarea y especialidad]])</f>
        <v>#REF!</v>
      </c>
      <c r="O465" s="19">
        <f t="shared" si="14"/>
        <v>10</v>
      </c>
      <c r="P465" s="19">
        <f t="shared" si="15"/>
        <v>2024</v>
      </c>
      <c r="Q465" s="19" t="e">
        <f>+SUMIFS(#REF!,#REF!,Planning[[#This Row],[Tarifa]],#REF!,Planning[[#This Row],[Proyectos]],#REF!,Planning[[#This Row],[Mes]],#REF!,Planning[[#This Row],[Año]])</f>
        <v>#REF!</v>
      </c>
      <c r="R465" s="19" t="str">
        <f>TEXT(Planning[[#This Row],[Mes]]*29,"mmmm")</f>
        <v>October</v>
      </c>
      <c r="S4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5" s="228"/>
      <c r="U465" s="43" t="e">
        <f>IF(Planning[[#This Row],[Horas Planificadas]]&lt;&gt;0,+K465/Planning[[#This Row],[Horas Planificadas]],0)</f>
        <v>#REF!</v>
      </c>
      <c r="V465" s="43" t="e">
        <f>IF(Planning[[#This Row],[Horas Planificadas]]&lt;&gt;0,Planning[[#This Row],[Horas utilizadas]]/Planning[[#This Row],[Horas Planificadas]],0)</f>
        <v>#REF!</v>
      </c>
      <c r="W465" s="44">
        <f>Planning[[#This Row],[Horas Planificadas]]+Planning[[#This Row],[Horas ajustadas adicionales]]</f>
        <v>4</v>
      </c>
      <c r="X465" s="142"/>
    </row>
    <row r="466" spans="1:24" ht="12.75" customHeight="1" x14ac:dyDescent="0.2">
      <c r="A466" s="7"/>
      <c r="B466" s="7"/>
      <c r="C466" s="3"/>
      <c r="D466" s="3" t="s">
        <v>157</v>
      </c>
      <c r="E466" s="33" t="s">
        <v>32</v>
      </c>
      <c r="F466" s="3"/>
      <c r="G466" s="7"/>
      <c r="H466" s="7">
        <v>36</v>
      </c>
      <c r="I466" s="12"/>
      <c r="J466" s="5" t="e">
        <f>+SUMIFS(#REF!,#REF!,Planning[[#This Row],[Tarifa]],#REF!,Planning[[#This Row],[Proyectos]])</f>
        <v>#REF!</v>
      </c>
      <c r="K466" s="5" t="e">
        <f>Planning[[#This Row],[Horas Planificadas]]+Planning[[#This Row],[Horas ajustadas adicionales]]-Planning[[#This Row],[Horas utilizadas]]</f>
        <v>#REF!</v>
      </c>
      <c r="L466" s="7"/>
      <c r="M466" s="19" t="e">
        <f>Planning[[#This Row],[Saldo]]-Planning[[#This Row],[Saldo estimado]]</f>
        <v>#REF!</v>
      </c>
      <c r="N466" s="60" t="e">
        <f>+SUMIFS(#REF!,#REF!,Planning[[#This Row],[Proyectos]],#REF!,Planning[[#This Row],[Tipo de Tarea y especialidad]])</f>
        <v>#REF!</v>
      </c>
      <c r="O466" s="19">
        <f t="shared" si="14"/>
        <v>10</v>
      </c>
      <c r="P466" s="19">
        <f t="shared" si="15"/>
        <v>2024</v>
      </c>
      <c r="Q466" s="19" t="e">
        <f>+SUMIFS(#REF!,#REF!,Planning[[#This Row],[Tarifa]],#REF!,Planning[[#This Row],[Proyectos]],#REF!,Planning[[#This Row],[Mes]],#REF!,Planning[[#This Row],[Año]])</f>
        <v>#REF!</v>
      </c>
      <c r="R466" s="19" t="str">
        <f>TEXT(Planning[[#This Row],[Mes]]*29,"mmmm")</f>
        <v>October</v>
      </c>
      <c r="S4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6" s="228"/>
      <c r="U466" s="43" t="e">
        <f>IF(Planning[[#This Row],[Horas Planificadas]]&lt;&gt;0,+K466/Planning[[#This Row],[Horas Planificadas]],0)</f>
        <v>#REF!</v>
      </c>
      <c r="V466" s="43" t="e">
        <f>IF(Planning[[#This Row],[Horas Planificadas]]&lt;&gt;0,Planning[[#This Row],[Horas utilizadas]]/Planning[[#This Row],[Horas Planificadas]],0)</f>
        <v>#REF!</v>
      </c>
      <c r="W466" s="44">
        <f>Planning[[#This Row],[Horas Planificadas]]+Planning[[#This Row],[Horas ajustadas adicionales]]</f>
        <v>36</v>
      </c>
      <c r="X466" s="142"/>
    </row>
    <row r="467" spans="1:24" ht="12.75" customHeight="1" x14ac:dyDescent="0.2">
      <c r="A467" s="7"/>
      <c r="B467" s="7"/>
      <c r="C467" s="3"/>
      <c r="D467" s="3" t="s">
        <v>158</v>
      </c>
      <c r="E467" s="33" t="s">
        <v>28</v>
      </c>
      <c r="F467" s="3"/>
      <c r="G467" s="7"/>
      <c r="H467" s="7">
        <v>0</v>
      </c>
      <c r="I467" s="12"/>
      <c r="J467" s="5" t="e">
        <f>+SUMIFS(#REF!,#REF!,Planning[[#This Row],[Tarifa]],#REF!,Planning[[#This Row],[Proyectos]])</f>
        <v>#REF!</v>
      </c>
      <c r="K467" s="5" t="e">
        <f>Planning[[#This Row],[Horas Planificadas]]+Planning[[#This Row],[Horas ajustadas adicionales]]-Planning[[#This Row],[Horas utilizadas]]</f>
        <v>#REF!</v>
      </c>
      <c r="L467" s="7"/>
      <c r="M467" s="19" t="e">
        <f>Planning[[#This Row],[Saldo]]-Planning[[#This Row],[Saldo estimado]]</f>
        <v>#REF!</v>
      </c>
      <c r="N467" s="60" t="e">
        <f>+SUMIFS(#REF!,#REF!,Planning[[#This Row],[Proyectos]],#REF!,Planning[[#This Row],[Tipo de Tarea y especialidad]])</f>
        <v>#REF!</v>
      </c>
      <c r="O467" s="19">
        <f t="shared" si="14"/>
        <v>10</v>
      </c>
      <c r="P467" s="19">
        <f t="shared" si="15"/>
        <v>2024</v>
      </c>
      <c r="Q467" s="19" t="e">
        <f>+SUMIFS(#REF!,#REF!,Planning[[#This Row],[Tarifa]],#REF!,Planning[[#This Row],[Proyectos]],#REF!,Planning[[#This Row],[Mes]],#REF!,Planning[[#This Row],[Año]])</f>
        <v>#REF!</v>
      </c>
      <c r="R467" s="19" t="str">
        <f>TEXT(Planning[[#This Row],[Mes]]*29,"mmmm")</f>
        <v>October</v>
      </c>
      <c r="S4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7" s="228"/>
      <c r="U467" s="43">
        <f>IF(Planning[[#This Row],[Horas Planificadas]]&lt;&gt;0,+K467/Planning[[#This Row],[Horas Planificadas]],0)</f>
        <v>0</v>
      </c>
      <c r="V467" s="43">
        <f>IF(Planning[[#This Row],[Horas Planificadas]]&lt;&gt;0,Planning[[#This Row],[Horas utilizadas]]/Planning[[#This Row],[Horas Planificadas]],0)</f>
        <v>0</v>
      </c>
      <c r="W467" s="44">
        <f>Planning[[#This Row],[Horas Planificadas]]+Planning[[#This Row],[Horas ajustadas adicionales]]</f>
        <v>0</v>
      </c>
      <c r="X467" s="142"/>
    </row>
    <row r="468" spans="1:24" ht="12.75" customHeight="1" x14ac:dyDescent="0.2">
      <c r="A468" s="7"/>
      <c r="B468" s="7"/>
      <c r="C468" s="3"/>
      <c r="D468" s="3" t="s">
        <v>158</v>
      </c>
      <c r="E468" s="33" t="s">
        <v>30</v>
      </c>
      <c r="F468" s="3"/>
      <c r="G468" s="7"/>
      <c r="H468" s="7">
        <v>201</v>
      </c>
      <c r="I468" s="12"/>
      <c r="J468" s="5" t="e">
        <f>+SUMIFS(#REF!,#REF!,Planning[[#This Row],[Tarifa]],#REF!,Planning[[#This Row],[Proyectos]])</f>
        <v>#REF!</v>
      </c>
      <c r="K468" s="5" t="e">
        <f>Planning[[#This Row],[Horas Planificadas]]+Planning[[#This Row],[Horas ajustadas adicionales]]-Planning[[#This Row],[Horas utilizadas]]</f>
        <v>#REF!</v>
      </c>
      <c r="L468" s="7"/>
      <c r="M468" s="19" t="e">
        <f>Planning[[#This Row],[Saldo]]-Planning[[#This Row],[Saldo estimado]]</f>
        <v>#REF!</v>
      </c>
      <c r="N468" s="60" t="e">
        <f>+SUMIFS(#REF!,#REF!,Planning[[#This Row],[Proyectos]],#REF!,Planning[[#This Row],[Tipo de Tarea y especialidad]])</f>
        <v>#REF!</v>
      </c>
      <c r="O468" s="19">
        <f t="shared" si="14"/>
        <v>10</v>
      </c>
      <c r="P468" s="19">
        <f t="shared" si="15"/>
        <v>2024</v>
      </c>
      <c r="Q468" s="19" t="e">
        <f>+SUMIFS(#REF!,#REF!,Planning[[#This Row],[Tarifa]],#REF!,Planning[[#This Row],[Proyectos]],#REF!,Planning[[#This Row],[Mes]],#REF!,Planning[[#This Row],[Año]])</f>
        <v>#REF!</v>
      </c>
      <c r="R468" s="19" t="str">
        <f>TEXT(Planning[[#This Row],[Mes]]*29,"mmmm")</f>
        <v>October</v>
      </c>
      <c r="S4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8" s="228"/>
      <c r="U468" s="43" t="e">
        <f>IF(Planning[[#This Row],[Horas Planificadas]]&lt;&gt;0,+K468/Planning[[#This Row],[Horas Planificadas]],0)</f>
        <v>#REF!</v>
      </c>
      <c r="V468" s="43" t="e">
        <f>IF(Planning[[#This Row],[Horas Planificadas]]&lt;&gt;0,Planning[[#This Row],[Horas utilizadas]]/Planning[[#This Row],[Horas Planificadas]],0)</f>
        <v>#REF!</v>
      </c>
      <c r="W468" s="44">
        <f>Planning[[#This Row],[Horas Planificadas]]+Planning[[#This Row],[Horas ajustadas adicionales]]</f>
        <v>201</v>
      </c>
      <c r="X468" s="142"/>
    </row>
    <row r="469" spans="1:24" ht="12.75" customHeight="1" x14ac:dyDescent="0.2">
      <c r="A469" s="7"/>
      <c r="B469" s="7"/>
      <c r="C469" s="3"/>
      <c r="D469" s="3" t="s">
        <v>158</v>
      </c>
      <c r="E469" s="33" t="s">
        <v>31</v>
      </c>
      <c r="F469" s="3"/>
      <c r="G469" s="7"/>
      <c r="H469" s="7">
        <v>10</v>
      </c>
      <c r="I469" s="12"/>
      <c r="J469" s="5" t="e">
        <f>+SUMIFS(#REF!,#REF!,Planning[[#This Row],[Tarifa]],#REF!,Planning[[#This Row],[Proyectos]])</f>
        <v>#REF!</v>
      </c>
      <c r="K469" s="5" t="e">
        <f>Planning[[#This Row],[Horas Planificadas]]+Planning[[#This Row],[Horas ajustadas adicionales]]-Planning[[#This Row],[Horas utilizadas]]</f>
        <v>#REF!</v>
      </c>
      <c r="L469" s="7"/>
      <c r="M469" s="19" t="e">
        <f>Planning[[#This Row],[Saldo]]-Planning[[#This Row],[Saldo estimado]]</f>
        <v>#REF!</v>
      </c>
      <c r="N469" s="60" t="e">
        <f>+SUMIFS(#REF!,#REF!,Planning[[#This Row],[Proyectos]],#REF!,Planning[[#This Row],[Tipo de Tarea y especialidad]])</f>
        <v>#REF!</v>
      </c>
      <c r="O469" s="19">
        <f t="shared" si="14"/>
        <v>10</v>
      </c>
      <c r="P469" s="19">
        <f t="shared" si="15"/>
        <v>2024</v>
      </c>
      <c r="Q469" s="19" t="e">
        <f>+SUMIFS(#REF!,#REF!,Planning[[#This Row],[Tarifa]],#REF!,Planning[[#This Row],[Proyectos]],#REF!,Planning[[#This Row],[Mes]],#REF!,Planning[[#This Row],[Año]])</f>
        <v>#REF!</v>
      </c>
      <c r="R469" s="19" t="str">
        <f>TEXT(Planning[[#This Row],[Mes]]*29,"mmmm")</f>
        <v>October</v>
      </c>
      <c r="S4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9" s="228"/>
      <c r="U469" s="43" t="e">
        <f>IF(Planning[[#This Row],[Horas Planificadas]]&lt;&gt;0,+K469/Planning[[#This Row],[Horas Planificadas]],0)</f>
        <v>#REF!</v>
      </c>
      <c r="V469" s="43" t="e">
        <f>IF(Planning[[#This Row],[Horas Planificadas]]&lt;&gt;0,Planning[[#This Row],[Horas utilizadas]]/Planning[[#This Row],[Horas Planificadas]],0)</f>
        <v>#REF!</v>
      </c>
      <c r="W469" s="44">
        <f>Planning[[#This Row],[Horas Planificadas]]+Planning[[#This Row],[Horas ajustadas adicionales]]</f>
        <v>10</v>
      </c>
      <c r="X469" s="142"/>
    </row>
    <row r="470" spans="1:24" ht="12.75" customHeight="1" x14ac:dyDescent="0.2">
      <c r="A470" s="7"/>
      <c r="B470" s="7"/>
      <c r="C470" s="3"/>
      <c r="D470" s="3" t="s">
        <v>158</v>
      </c>
      <c r="E470" s="33" t="s">
        <v>32</v>
      </c>
      <c r="F470" s="3"/>
      <c r="G470" s="7"/>
      <c r="H470" s="7">
        <v>32</v>
      </c>
      <c r="I470" s="12"/>
      <c r="J470" s="5" t="e">
        <f>+SUMIFS(#REF!,#REF!,Planning[[#This Row],[Tarifa]],#REF!,Planning[[#This Row],[Proyectos]])</f>
        <v>#REF!</v>
      </c>
      <c r="K470" s="5" t="e">
        <f>Planning[[#This Row],[Horas Planificadas]]+Planning[[#This Row],[Horas ajustadas adicionales]]-Planning[[#This Row],[Horas utilizadas]]</f>
        <v>#REF!</v>
      </c>
      <c r="L470" s="7"/>
      <c r="M470" s="19" t="e">
        <f>Planning[[#This Row],[Saldo]]-Planning[[#This Row],[Saldo estimado]]</f>
        <v>#REF!</v>
      </c>
      <c r="N470" s="60" t="e">
        <f>+SUMIFS(#REF!,#REF!,Planning[[#This Row],[Proyectos]],#REF!,Planning[[#This Row],[Tipo de Tarea y especialidad]])</f>
        <v>#REF!</v>
      </c>
      <c r="O470" s="19">
        <f t="shared" si="14"/>
        <v>10</v>
      </c>
      <c r="P470" s="19">
        <f t="shared" si="15"/>
        <v>2024</v>
      </c>
      <c r="Q470" s="19" t="e">
        <f>+SUMIFS(#REF!,#REF!,Planning[[#This Row],[Tarifa]],#REF!,Planning[[#This Row],[Proyectos]],#REF!,Planning[[#This Row],[Mes]],#REF!,Planning[[#This Row],[Año]])</f>
        <v>#REF!</v>
      </c>
      <c r="R470" s="19" t="str">
        <f>TEXT(Planning[[#This Row],[Mes]]*29,"mmmm")</f>
        <v>October</v>
      </c>
      <c r="S4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0" s="228"/>
      <c r="U470" s="43" t="e">
        <f>IF(Planning[[#This Row],[Horas Planificadas]]&lt;&gt;0,+K470/Planning[[#This Row],[Horas Planificadas]],0)</f>
        <v>#REF!</v>
      </c>
      <c r="V470" s="43" t="e">
        <f>IF(Planning[[#This Row],[Horas Planificadas]]&lt;&gt;0,Planning[[#This Row],[Horas utilizadas]]/Planning[[#This Row],[Horas Planificadas]],0)</f>
        <v>#REF!</v>
      </c>
      <c r="W470" s="44">
        <f>Planning[[#This Row],[Horas Planificadas]]+Planning[[#This Row],[Horas ajustadas adicionales]]</f>
        <v>32</v>
      </c>
      <c r="X470" s="142"/>
    </row>
    <row r="471" spans="1:24" ht="12.75" customHeight="1" x14ac:dyDescent="0.2">
      <c r="A471" s="7"/>
      <c r="B471" s="7"/>
      <c r="C471" s="3"/>
      <c r="D471" s="3" t="s">
        <v>159</v>
      </c>
      <c r="E471" s="33" t="s">
        <v>28</v>
      </c>
      <c r="F471" s="3"/>
      <c r="G471" s="7"/>
      <c r="H471" s="7">
        <v>816</v>
      </c>
      <c r="I471" s="12"/>
      <c r="J471" s="5" t="e">
        <f>+SUMIFS(#REF!,#REF!,Planning[[#This Row],[Tarifa]],#REF!,Planning[[#This Row],[Proyectos]])</f>
        <v>#REF!</v>
      </c>
      <c r="K471" s="5" t="e">
        <f>Planning[[#This Row],[Horas Planificadas]]+Planning[[#This Row],[Horas ajustadas adicionales]]-Planning[[#This Row],[Horas utilizadas]]</f>
        <v>#REF!</v>
      </c>
      <c r="L471" s="7"/>
      <c r="M471" s="19" t="e">
        <f>Planning[[#This Row],[Saldo]]-Planning[[#This Row],[Saldo estimado]]</f>
        <v>#REF!</v>
      </c>
      <c r="N471" s="60" t="e">
        <f>+SUMIFS(#REF!,#REF!,Planning[[#This Row],[Proyectos]],#REF!,Planning[[#This Row],[Tipo de Tarea y especialidad]])</f>
        <v>#REF!</v>
      </c>
      <c r="O471" s="19">
        <f t="shared" si="14"/>
        <v>10</v>
      </c>
      <c r="P471" s="19">
        <f t="shared" si="15"/>
        <v>2024</v>
      </c>
      <c r="Q471" s="19" t="e">
        <f>+SUMIFS(#REF!,#REF!,Planning[[#This Row],[Tarifa]],#REF!,Planning[[#This Row],[Proyectos]],#REF!,Planning[[#This Row],[Mes]],#REF!,Planning[[#This Row],[Año]])</f>
        <v>#REF!</v>
      </c>
      <c r="R471" s="19" t="str">
        <f>TEXT(Planning[[#This Row],[Mes]]*29,"mmmm")</f>
        <v>October</v>
      </c>
      <c r="S4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1" s="228"/>
      <c r="U471" s="43" t="e">
        <f>IF(Planning[[#This Row],[Horas Planificadas]]&lt;&gt;0,+K471/Planning[[#This Row],[Horas Planificadas]],0)</f>
        <v>#REF!</v>
      </c>
      <c r="V471" s="43" t="e">
        <f>IF(Planning[[#This Row],[Horas Planificadas]]&lt;&gt;0,Planning[[#This Row],[Horas utilizadas]]/Planning[[#This Row],[Horas Planificadas]],0)</f>
        <v>#REF!</v>
      </c>
      <c r="W471" s="44">
        <f>Planning[[#This Row],[Horas Planificadas]]+Planning[[#This Row],[Horas ajustadas adicionales]]</f>
        <v>816</v>
      </c>
      <c r="X471" s="142"/>
    </row>
    <row r="472" spans="1:24" ht="12.75" customHeight="1" x14ac:dyDescent="0.2">
      <c r="A472" s="7"/>
      <c r="B472" s="7"/>
      <c r="C472" s="3"/>
      <c r="D472" s="3" t="s">
        <v>159</v>
      </c>
      <c r="E472" s="33" t="s">
        <v>30</v>
      </c>
      <c r="F472" s="3"/>
      <c r="G472" s="7"/>
      <c r="H472" s="7">
        <v>924</v>
      </c>
      <c r="I472" s="12"/>
      <c r="J472" s="5" t="e">
        <f>+SUMIFS(#REF!,#REF!,Planning[[#This Row],[Tarifa]],#REF!,Planning[[#This Row],[Proyectos]])</f>
        <v>#REF!</v>
      </c>
      <c r="K472" s="5" t="e">
        <f>Planning[[#This Row],[Horas Planificadas]]+Planning[[#This Row],[Horas ajustadas adicionales]]-Planning[[#This Row],[Horas utilizadas]]</f>
        <v>#REF!</v>
      </c>
      <c r="L472" s="7"/>
      <c r="M472" s="19" t="e">
        <f>Planning[[#This Row],[Saldo]]-Planning[[#This Row],[Saldo estimado]]</f>
        <v>#REF!</v>
      </c>
      <c r="N472" s="60" t="e">
        <f>+SUMIFS(#REF!,#REF!,Planning[[#This Row],[Proyectos]],#REF!,Planning[[#This Row],[Tipo de Tarea y especialidad]])</f>
        <v>#REF!</v>
      </c>
      <c r="O472" s="19">
        <f t="shared" si="14"/>
        <v>10</v>
      </c>
      <c r="P472" s="19">
        <f t="shared" si="15"/>
        <v>2024</v>
      </c>
      <c r="Q472" s="19" t="e">
        <f>+SUMIFS(#REF!,#REF!,Planning[[#This Row],[Tarifa]],#REF!,Planning[[#This Row],[Proyectos]],#REF!,Planning[[#This Row],[Mes]],#REF!,Planning[[#This Row],[Año]])</f>
        <v>#REF!</v>
      </c>
      <c r="R472" s="19" t="str">
        <f>TEXT(Planning[[#This Row],[Mes]]*29,"mmmm")</f>
        <v>October</v>
      </c>
      <c r="S4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2" s="228"/>
      <c r="U472" s="43" t="e">
        <f>IF(Planning[[#This Row],[Horas Planificadas]]&lt;&gt;0,+K472/Planning[[#This Row],[Horas Planificadas]],0)</f>
        <v>#REF!</v>
      </c>
      <c r="V472" s="43" t="e">
        <f>IF(Planning[[#This Row],[Horas Planificadas]]&lt;&gt;0,Planning[[#This Row],[Horas utilizadas]]/Planning[[#This Row],[Horas Planificadas]],0)</f>
        <v>#REF!</v>
      </c>
      <c r="W472" s="44">
        <f>Planning[[#This Row],[Horas Planificadas]]+Planning[[#This Row],[Horas ajustadas adicionales]]</f>
        <v>924</v>
      </c>
      <c r="X472" s="142"/>
    </row>
    <row r="473" spans="1:24" ht="12.75" customHeight="1" x14ac:dyDescent="0.2">
      <c r="A473" s="7"/>
      <c r="B473" s="7"/>
      <c r="C473" s="3"/>
      <c r="D473" s="3" t="s">
        <v>159</v>
      </c>
      <c r="E473" s="33" t="s">
        <v>31</v>
      </c>
      <c r="F473" s="3"/>
      <c r="G473" s="7"/>
      <c r="H473" s="7">
        <v>262</v>
      </c>
      <c r="I473" s="12"/>
      <c r="J473" s="5" t="e">
        <f>+SUMIFS(#REF!,#REF!,Planning[[#This Row],[Tarifa]],#REF!,Planning[[#This Row],[Proyectos]])</f>
        <v>#REF!</v>
      </c>
      <c r="K473" s="5" t="e">
        <f>Planning[[#This Row],[Horas Planificadas]]+Planning[[#This Row],[Horas ajustadas adicionales]]-Planning[[#This Row],[Horas utilizadas]]</f>
        <v>#REF!</v>
      </c>
      <c r="L473" s="7"/>
      <c r="M473" s="19" t="e">
        <f>Planning[[#This Row],[Saldo]]-Planning[[#This Row],[Saldo estimado]]</f>
        <v>#REF!</v>
      </c>
      <c r="N473" s="60" t="e">
        <f>+SUMIFS(#REF!,#REF!,Planning[[#This Row],[Proyectos]],#REF!,Planning[[#This Row],[Tipo de Tarea y especialidad]])</f>
        <v>#REF!</v>
      </c>
      <c r="O473" s="19">
        <f t="shared" si="14"/>
        <v>10</v>
      </c>
      <c r="P473" s="19">
        <f t="shared" si="15"/>
        <v>2024</v>
      </c>
      <c r="Q473" s="19" t="e">
        <f>+SUMIFS(#REF!,#REF!,Planning[[#This Row],[Tarifa]],#REF!,Planning[[#This Row],[Proyectos]],#REF!,Planning[[#This Row],[Mes]],#REF!,Planning[[#This Row],[Año]])</f>
        <v>#REF!</v>
      </c>
      <c r="R473" s="19" t="str">
        <f>TEXT(Planning[[#This Row],[Mes]]*29,"mmmm")</f>
        <v>October</v>
      </c>
      <c r="S4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3" s="228"/>
      <c r="U473" s="43" t="e">
        <f>IF(Planning[[#This Row],[Horas Planificadas]]&lt;&gt;0,+K473/Planning[[#This Row],[Horas Planificadas]],0)</f>
        <v>#REF!</v>
      </c>
      <c r="V473" s="43" t="e">
        <f>IF(Planning[[#This Row],[Horas Planificadas]]&lt;&gt;0,Planning[[#This Row],[Horas utilizadas]]/Planning[[#This Row],[Horas Planificadas]],0)</f>
        <v>#REF!</v>
      </c>
      <c r="W473" s="44">
        <f>Planning[[#This Row],[Horas Planificadas]]+Planning[[#This Row],[Horas ajustadas adicionales]]</f>
        <v>262</v>
      </c>
      <c r="X473" s="142"/>
    </row>
    <row r="474" spans="1:24" ht="12.75" customHeight="1" x14ac:dyDescent="0.2">
      <c r="A474" s="7"/>
      <c r="B474" s="7"/>
      <c r="C474" s="3"/>
      <c r="D474" s="3" t="s">
        <v>159</v>
      </c>
      <c r="E474" s="33" t="s">
        <v>32</v>
      </c>
      <c r="F474" s="3"/>
      <c r="G474" s="7"/>
      <c r="H474" s="7">
        <v>284</v>
      </c>
      <c r="I474" s="12"/>
      <c r="J474" s="5" t="e">
        <f>+SUMIFS(#REF!,#REF!,Planning[[#This Row],[Tarifa]],#REF!,Planning[[#This Row],[Proyectos]])</f>
        <v>#REF!</v>
      </c>
      <c r="K474" s="5" t="e">
        <f>Planning[[#This Row],[Horas Planificadas]]+Planning[[#This Row],[Horas ajustadas adicionales]]-Planning[[#This Row],[Horas utilizadas]]</f>
        <v>#REF!</v>
      </c>
      <c r="L474" s="7"/>
      <c r="M474" s="19" t="e">
        <f>Planning[[#This Row],[Saldo]]-Planning[[#This Row],[Saldo estimado]]</f>
        <v>#REF!</v>
      </c>
      <c r="N474" s="60" t="e">
        <f>+SUMIFS(#REF!,#REF!,Planning[[#This Row],[Proyectos]],#REF!,Planning[[#This Row],[Tipo de Tarea y especialidad]])</f>
        <v>#REF!</v>
      </c>
      <c r="O474" s="19">
        <f t="shared" si="14"/>
        <v>10</v>
      </c>
      <c r="P474" s="19">
        <f t="shared" si="15"/>
        <v>2024</v>
      </c>
      <c r="Q474" s="19" t="e">
        <f>+SUMIFS(#REF!,#REF!,Planning[[#This Row],[Tarifa]],#REF!,Planning[[#This Row],[Proyectos]],#REF!,Planning[[#This Row],[Mes]],#REF!,Planning[[#This Row],[Año]])</f>
        <v>#REF!</v>
      </c>
      <c r="R474" s="19" t="str">
        <f>TEXT(Planning[[#This Row],[Mes]]*29,"mmmm")</f>
        <v>October</v>
      </c>
      <c r="S4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4" s="228"/>
      <c r="U474" s="43" t="e">
        <f>IF(Planning[[#This Row],[Horas Planificadas]]&lt;&gt;0,+K474/Planning[[#This Row],[Horas Planificadas]],0)</f>
        <v>#REF!</v>
      </c>
      <c r="V474" s="43" t="e">
        <f>IF(Planning[[#This Row],[Horas Planificadas]]&lt;&gt;0,Planning[[#This Row],[Horas utilizadas]]/Planning[[#This Row],[Horas Planificadas]],0)</f>
        <v>#REF!</v>
      </c>
      <c r="W474" s="44">
        <f>Planning[[#This Row],[Horas Planificadas]]+Planning[[#This Row],[Horas ajustadas adicionales]]</f>
        <v>284</v>
      </c>
      <c r="X474" s="142"/>
    </row>
    <row r="475" spans="1:24" ht="12.75" customHeight="1" x14ac:dyDescent="0.2">
      <c r="A475" s="7"/>
      <c r="B475" s="7"/>
      <c r="C475" s="3"/>
      <c r="D475" s="3" t="s">
        <v>160</v>
      </c>
      <c r="E475" s="33" t="s">
        <v>28</v>
      </c>
      <c r="F475" s="3"/>
      <c r="G475" s="7"/>
      <c r="H475" s="7">
        <v>340</v>
      </c>
      <c r="I475" s="12"/>
      <c r="J475" s="5" t="e">
        <f>+SUMIFS(#REF!,#REF!,Planning[[#This Row],[Tarifa]],#REF!,Planning[[#This Row],[Proyectos]])</f>
        <v>#REF!</v>
      </c>
      <c r="K475" s="5" t="e">
        <f>Planning[[#This Row],[Horas Planificadas]]+Planning[[#This Row],[Horas ajustadas adicionales]]-Planning[[#This Row],[Horas utilizadas]]</f>
        <v>#REF!</v>
      </c>
      <c r="L475" s="7"/>
      <c r="M475" s="19" t="e">
        <f>Planning[[#This Row],[Saldo]]-Planning[[#This Row],[Saldo estimado]]</f>
        <v>#REF!</v>
      </c>
      <c r="N475" s="60" t="e">
        <f>+SUMIFS(#REF!,#REF!,Planning[[#This Row],[Proyectos]],#REF!,Planning[[#This Row],[Tipo de Tarea y especialidad]])</f>
        <v>#REF!</v>
      </c>
      <c r="O475" s="19">
        <f t="shared" si="14"/>
        <v>10</v>
      </c>
      <c r="P475" s="19">
        <f t="shared" si="15"/>
        <v>2024</v>
      </c>
      <c r="Q475" s="19" t="e">
        <f>+SUMIFS(#REF!,#REF!,Planning[[#This Row],[Tarifa]],#REF!,Planning[[#This Row],[Proyectos]],#REF!,Planning[[#This Row],[Mes]],#REF!,Planning[[#This Row],[Año]])</f>
        <v>#REF!</v>
      </c>
      <c r="R475" s="19" t="str">
        <f>TEXT(Planning[[#This Row],[Mes]]*29,"mmmm")</f>
        <v>October</v>
      </c>
      <c r="S4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5" s="228"/>
      <c r="U475" s="43" t="e">
        <f>IF(Planning[[#This Row],[Horas Planificadas]]&lt;&gt;0,+K475/Planning[[#This Row],[Horas Planificadas]],0)</f>
        <v>#REF!</v>
      </c>
      <c r="V475" s="43" t="e">
        <f>IF(Planning[[#This Row],[Horas Planificadas]]&lt;&gt;0,Planning[[#This Row],[Horas utilizadas]]/Planning[[#This Row],[Horas Planificadas]],0)</f>
        <v>#REF!</v>
      </c>
      <c r="W475" s="44">
        <f>Planning[[#This Row],[Horas Planificadas]]+Planning[[#This Row],[Horas ajustadas adicionales]]</f>
        <v>340</v>
      </c>
      <c r="X475" s="142"/>
    </row>
    <row r="476" spans="1:24" ht="12.75" customHeight="1" x14ac:dyDescent="0.2">
      <c r="A476" s="7"/>
      <c r="B476" s="7"/>
      <c r="C476" s="3"/>
      <c r="D476" s="3" t="s">
        <v>160</v>
      </c>
      <c r="E476" s="33" t="s">
        <v>30</v>
      </c>
      <c r="F476" s="3"/>
      <c r="G476" s="7"/>
      <c r="H476" s="7">
        <v>435</v>
      </c>
      <c r="I476" s="12"/>
      <c r="J476" s="5" t="e">
        <f>+SUMIFS(#REF!,#REF!,Planning[[#This Row],[Tarifa]],#REF!,Planning[[#This Row],[Proyectos]])</f>
        <v>#REF!</v>
      </c>
      <c r="K476" s="5" t="e">
        <f>Planning[[#This Row],[Horas Planificadas]]+Planning[[#This Row],[Horas ajustadas adicionales]]-Planning[[#This Row],[Horas utilizadas]]</f>
        <v>#REF!</v>
      </c>
      <c r="L476" s="7"/>
      <c r="M476" s="19" t="e">
        <f>Planning[[#This Row],[Saldo]]-Planning[[#This Row],[Saldo estimado]]</f>
        <v>#REF!</v>
      </c>
      <c r="N476" s="60" t="e">
        <f>+SUMIFS(#REF!,#REF!,Planning[[#This Row],[Proyectos]],#REF!,Planning[[#This Row],[Tipo de Tarea y especialidad]])</f>
        <v>#REF!</v>
      </c>
      <c r="O476" s="19">
        <f t="shared" si="14"/>
        <v>10</v>
      </c>
      <c r="P476" s="19">
        <f t="shared" si="15"/>
        <v>2024</v>
      </c>
      <c r="Q476" s="19" t="e">
        <f>+SUMIFS(#REF!,#REF!,Planning[[#This Row],[Tarifa]],#REF!,Planning[[#This Row],[Proyectos]],#REF!,Planning[[#This Row],[Mes]],#REF!,Planning[[#This Row],[Año]])</f>
        <v>#REF!</v>
      </c>
      <c r="R476" s="19" t="str">
        <f>TEXT(Planning[[#This Row],[Mes]]*29,"mmmm")</f>
        <v>October</v>
      </c>
      <c r="S4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6" s="228"/>
      <c r="U476" s="43" t="e">
        <f>IF(Planning[[#This Row],[Horas Planificadas]]&lt;&gt;0,+K476/Planning[[#This Row],[Horas Planificadas]],0)</f>
        <v>#REF!</v>
      </c>
      <c r="V476" s="43" t="e">
        <f>IF(Planning[[#This Row],[Horas Planificadas]]&lt;&gt;0,Planning[[#This Row],[Horas utilizadas]]/Planning[[#This Row],[Horas Planificadas]],0)</f>
        <v>#REF!</v>
      </c>
      <c r="W476" s="44">
        <f>Planning[[#This Row],[Horas Planificadas]]+Planning[[#This Row],[Horas ajustadas adicionales]]</f>
        <v>435</v>
      </c>
      <c r="X476" s="142"/>
    </row>
    <row r="477" spans="1:24" ht="12.75" customHeight="1" x14ac:dyDescent="0.2">
      <c r="A477" s="7"/>
      <c r="B477" s="7"/>
      <c r="C477" s="3"/>
      <c r="D477" s="3" t="s">
        <v>160</v>
      </c>
      <c r="E477" s="33" t="s">
        <v>31</v>
      </c>
      <c r="F477" s="3"/>
      <c r="G477" s="7"/>
      <c r="H477" s="7">
        <v>227</v>
      </c>
      <c r="I477" s="12"/>
      <c r="J477" s="5" t="e">
        <f>+SUMIFS(#REF!,#REF!,Planning[[#This Row],[Tarifa]],#REF!,Planning[[#This Row],[Proyectos]])</f>
        <v>#REF!</v>
      </c>
      <c r="K477" s="5" t="e">
        <f>Planning[[#This Row],[Horas Planificadas]]+Planning[[#This Row],[Horas ajustadas adicionales]]-Planning[[#This Row],[Horas utilizadas]]</f>
        <v>#REF!</v>
      </c>
      <c r="L477" s="7"/>
      <c r="M477" s="19" t="e">
        <f>Planning[[#This Row],[Saldo]]-Planning[[#This Row],[Saldo estimado]]</f>
        <v>#REF!</v>
      </c>
      <c r="N477" s="60" t="e">
        <f>+SUMIFS(#REF!,#REF!,Planning[[#This Row],[Proyectos]],#REF!,Planning[[#This Row],[Tipo de Tarea y especialidad]])</f>
        <v>#REF!</v>
      </c>
      <c r="O477" s="19">
        <f t="shared" si="14"/>
        <v>10</v>
      </c>
      <c r="P477" s="19">
        <f t="shared" si="15"/>
        <v>2024</v>
      </c>
      <c r="Q477" s="19" t="e">
        <f>+SUMIFS(#REF!,#REF!,Planning[[#This Row],[Tarifa]],#REF!,Planning[[#This Row],[Proyectos]],#REF!,Planning[[#This Row],[Mes]],#REF!,Planning[[#This Row],[Año]])</f>
        <v>#REF!</v>
      </c>
      <c r="R477" s="19" t="str">
        <f>TEXT(Planning[[#This Row],[Mes]]*29,"mmmm")</f>
        <v>October</v>
      </c>
      <c r="S4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7" s="228"/>
      <c r="U477" s="43" t="e">
        <f>IF(Planning[[#This Row],[Horas Planificadas]]&lt;&gt;0,+K477/Planning[[#This Row],[Horas Planificadas]],0)</f>
        <v>#REF!</v>
      </c>
      <c r="V477" s="43" t="e">
        <f>IF(Planning[[#This Row],[Horas Planificadas]]&lt;&gt;0,Planning[[#This Row],[Horas utilizadas]]/Planning[[#This Row],[Horas Planificadas]],0)</f>
        <v>#REF!</v>
      </c>
      <c r="W477" s="44">
        <f>Planning[[#This Row],[Horas Planificadas]]+Planning[[#This Row],[Horas ajustadas adicionales]]</f>
        <v>227</v>
      </c>
      <c r="X477" s="142"/>
    </row>
    <row r="478" spans="1:24" ht="12.75" customHeight="1" x14ac:dyDescent="0.2">
      <c r="A478" s="7"/>
      <c r="B478" s="7"/>
      <c r="C478" s="3"/>
      <c r="D478" s="3" t="s">
        <v>160</v>
      </c>
      <c r="E478" s="33" t="s">
        <v>32</v>
      </c>
      <c r="F478" s="3"/>
      <c r="G478" s="7"/>
      <c r="H478" s="7">
        <v>765</v>
      </c>
      <c r="I478" s="12"/>
      <c r="J478" s="5" t="e">
        <f>+SUMIFS(#REF!,#REF!,Planning[[#This Row],[Tarifa]],#REF!,Planning[[#This Row],[Proyectos]])</f>
        <v>#REF!</v>
      </c>
      <c r="K478" s="5" t="e">
        <f>Planning[[#This Row],[Horas Planificadas]]+Planning[[#This Row],[Horas ajustadas adicionales]]-Planning[[#This Row],[Horas utilizadas]]</f>
        <v>#REF!</v>
      </c>
      <c r="L478" s="7"/>
      <c r="M478" s="19" t="e">
        <f>Planning[[#This Row],[Saldo]]-Planning[[#This Row],[Saldo estimado]]</f>
        <v>#REF!</v>
      </c>
      <c r="N478" s="60" t="e">
        <f>+SUMIFS(#REF!,#REF!,Planning[[#This Row],[Proyectos]],#REF!,Planning[[#This Row],[Tipo de Tarea y especialidad]])</f>
        <v>#REF!</v>
      </c>
      <c r="O478" s="19">
        <f t="shared" si="14"/>
        <v>10</v>
      </c>
      <c r="P478" s="19">
        <f t="shared" si="15"/>
        <v>2024</v>
      </c>
      <c r="Q478" s="19" t="e">
        <f>+SUMIFS(#REF!,#REF!,Planning[[#This Row],[Tarifa]],#REF!,Planning[[#This Row],[Proyectos]],#REF!,Planning[[#This Row],[Mes]],#REF!,Planning[[#This Row],[Año]])</f>
        <v>#REF!</v>
      </c>
      <c r="R478" s="19" t="str">
        <f>TEXT(Planning[[#This Row],[Mes]]*29,"mmmm")</f>
        <v>October</v>
      </c>
      <c r="S4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8" s="228"/>
      <c r="U478" s="43" t="e">
        <f>IF(Planning[[#This Row],[Horas Planificadas]]&lt;&gt;0,+K478/Planning[[#This Row],[Horas Planificadas]],0)</f>
        <v>#REF!</v>
      </c>
      <c r="V478" s="43" t="e">
        <f>IF(Planning[[#This Row],[Horas Planificadas]]&lt;&gt;0,Planning[[#This Row],[Horas utilizadas]]/Planning[[#This Row],[Horas Planificadas]],0)</f>
        <v>#REF!</v>
      </c>
      <c r="W478" s="44">
        <f>Planning[[#This Row],[Horas Planificadas]]+Planning[[#This Row],[Horas ajustadas adicionales]]</f>
        <v>765</v>
      </c>
      <c r="X478" s="142"/>
    </row>
    <row r="479" spans="1:24" ht="12.75" customHeight="1" x14ac:dyDescent="0.2">
      <c r="A479" s="7"/>
      <c r="B479" s="7"/>
      <c r="C479" s="3"/>
      <c r="D479" s="3" t="s">
        <v>161</v>
      </c>
      <c r="E479" s="33" t="s">
        <v>28</v>
      </c>
      <c r="F479" s="3"/>
      <c r="G479" s="7"/>
      <c r="H479" s="7">
        <v>0</v>
      </c>
      <c r="I479" s="12"/>
      <c r="J479" s="5" t="e">
        <f>+SUMIFS(#REF!,#REF!,Planning[[#This Row],[Tarifa]],#REF!,Planning[[#This Row],[Proyectos]])</f>
        <v>#REF!</v>
      </c>
      <c r="K479" s="5" t="e">
        <f>Planning[[#This Row],[Horas Planificadas]]+Planning[[#This Row],[Horas ajustadas adicionales]]-Planning[[#This Row],[Horas utilizadas]]</f>
        <v>#REF!</v>
      </c>
      <c r="L479" s="7"/>
      <c r="M479" s="19" t="e">
        <f>Planning[[#This Row],[Saldo]]-Planning[[#This Row],[Saldo estimado]]</f>
        <v>#REF!</v>
      </c>
      <c r="N479" s="60" t="e">
        <f>+SUMIFS(#REF!,#REF!,Planning[[#This Row],[Proyectos]],#REF!,Planning[[#This Row],[Tipo de Tarea y especialidad]])</f>
        <v>#REF!</v>
      </c>
      <c r="O479" s="19">
        <f t="shared" si="14"/>
        <v>10</v>
      </c>
      <c r="P479" s="19">
        <f t="shared" si="15"/>
        <v>2024</v>
      </c>
      <c r="Q479" s="19" t="e">
        <f>+SUMIFS(#REF!,#REF!,Planning[[#This Row],[Tarifa]],#REF!,Planning[[#This Row],[Proyectos]],#REF!,Planning[[#This Row],[Mes]],#REF!,Planning[[#This Row],[Año]])</f>
        <v>#REF!</v>
      </c>
      <c r="R479" s="19" t="str">
        <f>TEXT(Planning[[#This Row],[Mes]]*29,"mmmm")</f>
        <v>October</v>
      </c>
      <c r="S4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9" s="228"/>
      <c r="U479" s="43">
        <f>IF(Planning[[#This Row],[Horas Planificadas]]&lt;&gt;0,+K479/Planning[[#This Row],[Horas Planificadas]],0)</f>
        <v>0</v>
      </c>
      <c r="V479" s="43">
        <f>IF(Planning[[#This Row],[Horas Planificadas]]&lt;&gt;0,Planning[[#This Row],[Horas utilizadas]]/Planning[[#This Row],[Horas Planificadas]],0)</f>
        <v>0</v>
      </c>
      <c r="W479" s="44">
        <f>Planning[[#This Row],[Horas Planificadas]]+Planning[[#This Row],[Horas ajustadas adicionales]]</f>
        <v>0</v>
      </c>
      <c r="X479" s="142"/>
    </row>
    <row r="480" spans="1:24" ht="12.75" customHeight="1" x14ac:dyDescent="0.2">
      <c r="A480" s="7"/>
      <c r="B480" s="7"/>
      <c r="C480" s="3"/>
      <c r="D480" s="3" t="s">
        <v>161</v>
      </c>
      <c r="E480" s="33" t="s">
        <v>30</v>
      </c>
      <c r="F480" s="3"/>
      <c r="G480" s="7"/>
      <c r="H480" s="7">
        <v>387</v>
      </c>
      <c r="I480" s="12"/>
      <c r="J480" s="5" t="e">
        <f>+SUMIFS(#REF!,#REF!,Planning[[#This Row],[Tarifa]],#REF!,Planning[[#This Row],[Proyectos]])</f>
        <v>#REF!</v>
      </c>
      <c r="K480" s="5" t="e">
        <f>Planning[[#This Row],[Horas Planificadas]]+Planning[[#This Row],[Horas ajustadas adicionales]]-Planning[[#This Row],[Horas utilizadas]]</f>
        <v>#REF!</v>
      </c>
      <c r="L480" s="7"/>
      <c r="M480" s="19" t="e">
        <f>Planning[[#This Row],[Saldo]]-Planning[[#This Row],[Saldo estimado]]</f>
        <v>#REF!</v>
      </c>
      <c r="N480" s="60" t="e">
        <f>+SUMIFS(#REF!,#REF!,Planning[[#This Row],[Proyectos]],#REF!,Planning[[#This Row],[Tipo de Tarea y especialidad]])</f>
        <v>#REF!</v>
      </c>
      <c r="O480" s="19">
        <f t="shared" si="14"/>
        <v>10</v>
      </c>
      <c r="P480" s="19">
        <f t="shared" si="15"/>
        <v>2024</v>
      </c>
      <c r="Q480" s="19" t="e">
        <f>+SUMIFS(#REF!,#REF!,Planning[[#This Row],[Tarifa]],#REF!,Planning[[#This Row],[Proyectos]],#REF!,Planning[[#This Row],[Mes]],#REF!,Planning[[#This Row],[Año]])</f>
        <v>#REF!</v>
      </c>
      <c r="R480" s="19" t="str">
        <f>TEXT(Planning[[#This Row],[Mes]]*29,"mmmm")</f>
        <v>October</v>
      </c>
      <c r="S4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0" s="228"/>
      <c r="U480" s="43" t="e">
        <f>IF(Planning[[#This Row],[Horas Planificadas]]&lt;&gt;0,+K480/Planning[[#This Row],[Horas Planificadas]],0)</f>
        <v>#REF!</v>
      </c>
      <c r="V480" s="43" t="e">
        <f>IF(Planning[[#This Row],[Horas Planificadas]]&lt;&gt;0,Planning[[#This Row],[Horas utilizadas]]/Planning[[#This Row],[Horas Planificadas]],0)</f>
        <v>#REF!</v>
      </c>
      <c r="W480" s="44">
        <f>Planning[[#This Row],[Horas Planificadas]]+Planning[[#This Row],[Horas ajustadas adicionales]]</f>
        <v>387</v>
      </c>
      <c r="X480" s="142"/>
    </row>
    <row r="481" spans="1:24" ht="12.75" customHeight="1" x14ac:dyDescent="0.2">
      <c r="A481" s="7"/>
      <c r="B481" s="7"/>
      <c r="C481" s="3"/>
      <c r="D481" s="3" t="s">
        <v>161</v>
      </c>
      <c r="E481" s="33" t="s">
        <v>31</v>
      </c>
      <c r="F481" s="3"/>
      <c r="G481" s="7"/>
      <c r="H481" s="7">
        <v>24</v>
      </c>
      <c r="I481" s="12"/>
      <c r="J481" s="5" t="e">
        <f>+SUMIFS(#REF!,#REF!,Planning[[#This Row],[Tarifa]],#REF!,Planning[[#This Row],[Proyectos]])</f>
        <v>#REF!</v>
      </c>
      <c r="K481" s="5" t="e">
        <f>Planning[[#This Row],[Horas Planificadas]]+Planning[[#This Row],[Horas ajustadas adicionales]]-Planning[[#This Row],[Horas utilizadas]]</f>
        <v>#REF!</v>
      </c>
      <c r="L481" s="7"/>
      <c r="M481" s="19" t="e">
        <f>Planning[[#This Row],[Saldo]]-Planning[[#This Row],[Saldo estimado]]</f>
        <v>#REF!</v>
      </c>
      <c r="N481" s="60" t="e">
        <f>+SUMIFS(#REF!,#REF!,Planning[[#This Row],[Proyectos]],#REF!,Planning[[#This Row],[Tipo de Tarea y especialidad]])</f>
        <v>#REF!</v>
      </c>
      <c r="O481" s="19">
        <f t="shared" si="14"/>
        <v>10</v>
      </c>
      <c r="P481" s="19">
        <f t="shared" si="15"/>
        <v>2024</v>
      </c>
      <c r="Q481" s="19" t="e">
        <f>+SUMIFS(#REF!,#REF!,Planning[[#This Row],[Tarifa]],#REF!,Planning[[#This Row],[Proyectos]],#REF!,Planning[[#This Row],[Mes]],#REF!,Planning[[#This Row],[Año]])</f>
        <v>#REF!</v>
      </c>
      <c r="R481" s="19" t="str">
        <f>TEXT(Planning[[#This Row],[Mes]]*29,"mmmm")</f>
        <v>October</v>
      </c>
      <c r="S4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1" s="228"/>
      <c r="U481" s="43" t="e">
        <f>IF(Planning[[#This Row],[Horas Planificadas]]&lt;&gt;0,+K481/Planning[[#This Row],[Horas Planificadas]],0)</f>
        <v>#REF!</v>
      </c>
      <c r="V481" s="43" t="e">
        <f>IF(Planning[[#This Row],[Horas Planificadas]]&lt;&gt;0,Planning[[#This Row],[Horas utilizadas]]/Planning[[#This Row],[Horas Planificadas]],0)</f>
        <v>#REF!</v>
      </c>
      <c r="W481" s="44">
        <f>Planning[[#This Row],[Horas Planificadas]]+Planning[[#This Row],[Horas ajustadas adicionales]]</f>
        <v>24</v>
      </c>
      <c r="X481" s="142"/>
    </row>
    <row r="482" spans="1:24" ht="12.75" customHeight="1" x14ac:dyDescent="0.2">
      <c r="A482" s="7"/>
      <c r="B482" s="7"/>
      <c r="C482" s="3"/>
      <c r="D482" s="3" t="s">
        <v>161</v>
      </c>
      <c r="E482" s="33" t="s">
        <v>32</v>
      </c>
      <c r="F482" s="3"/>
      <c r="G482" s="7"/>
      <c r="H482" s="7">
        <v>72</v>
      </c>
      <c r="I482" s="12"/>
      <c r="J482" s="5" t="e">
        <f>+SUMIFS(#REF!,#REF!,Planning[[#This Row],[Tarifa]],#REF!,Planning[[#This Row],[Proyectos]])</f>
        <v>#REF!</v>
      </c>
      <c r="K482" s="5" t="e">
        <f>Planning[[#This Row],[Horas Planificadas]]+Planning[[#This Row],[Horas ajustadas adicionales]]-Planning[[#This Row],[Horas utilizadas]]</f>
        <v>#REF!</v>
      </c>
      <c r="L482" s="7"/>
      <c r="M482" s="19" t="e">
        <f>Planning[[#This Row],[Saldo]]-Planning[[#This Row],[Saldo estimado]]</f>
        <v>#REF!</v>
      </c>
      <c r="N482" s="60" t="e">
        <f>+SUMIFS(#REF!,#REF!,Planning[[#This Row],[Proyectos]],#REF!,Planning[[#This Row],[Tipo de Tarea y especialidad]])</f>
        <v>#REF!</v>
      </c>
      <c r="O482" s="19">
        <f t="shared" si="14"/>
        <v>10</v>
      </c>
      <c r="P482" s="19">
        <f t="shared" si="15"/>
        <v>2024</v>
      </c>
      <c r="Q482" s="19" t="e">
        <f>+SUMIFS(#REF!,#REF!,Planning[[#This Row],[Tarifa]],#REF!,Planning[[#This Row],[Proyectos]],#REF!,Planning[[#This Row],[Mes]],#REF!,Planning[[#This Row],[Año]])</f>
        <v>#REF!</v>
      </c>
      <c r="R482" s="19" t="str">
        <f>TEXT(Planning[[#This Row],[Mes]]*29,"mmmm")</f>
        <v>October</v>
      </c>
      <c r="S4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2" s="228"/>
      <c r="U482" s="43" t="e">
        <f>IF(Planning[[#This Row],[Horas Planificadas]]&lt;&gt;0,+K482/Planning[[#This Row],[Horas Planificadas]],0)</f>
        <v>#REF!</v>
      </c>
      <c r="V482" s="43" t="e">
        <f>IF(Planning[[#This Row],[Horas Planificadas]]&lt;&gt;0,Planning[[#This Row],[Horas utilizadas]]/Planning[[#This Row],[Horas Planificadas]],0)</f>
        <v>#REF!</v>
      </c>
      <c r="W482" s="44">
        <f>Planning[[#This Row],[Horas Planificadas]]+Planning[[#This Row],[Horas ajustadas adicionales]]</f>
        <v>72</v>
      </c>
      <c r="X482" s="142"/>
    </row>
    <row r="483" spans="1:24" ht="12.75" customHeight="1" x14ac:dyDescent="0.2">
      <c r="A483" s="7"/>
      <c r="B483" s="7"/>
      <c r="C483" s="3"/>
      <c r="D483" s="3" t="s">
        <v>162</v>
      </c>
      <c r="E483" s="33" t="s">
        <v>28</v>
      </c>
      <c r="F483" s="3"/>
      <c r="G483" s="7"/>
      <c r="H483" s="7">
        <v>0</v>
      </c>
      <c r="I483" s="12"/>
      <c r="J483" s="5" t="e">
        <f>+SUMIFS(#REF!,#REF!,Planning[[#This Row],[Tarifa]],#REF!,Planning[[#This Row],[Proyectos]])</f>
        <v>#REF!</v>
      </c>
      <c r="K483" s="5" t="e">
        <f>Planning[[#This Row],[Horas Planificadas]]+Planning[[#This Row],[Horas ajustadas adicionales]]-Planning[[#This Row],[Horas utilizadas]]</f>
        <v>#REF!</v>
      </c>
      <c r="L483" s="7"/>
      <c r="M483" s="19" t="e">
        <f>Planning[[#This Row],[Saldo]]-Planning[[#This Row],[Saldo estimado]]</f>
        <v>#REF!</v>
      </c>
      <c r="N483" s="60" t="e">
        <f>+SUMIFS(#REF!,#REF!,Planning[[#This Row],[Proyectos]],#REF!,Planning[[#This Row],[Tipo de Tarea y especialidad]])</f>
        <v>#REF!</v>
      </c>
      <c r="O483" s="19">
        <f t="shared" si="14"/>
        <v>10</v>
      </c>
      <c r="P483" s="19">
        <f t="shared" si="15"/>
        <v>2024</v>
      </c>
      <c r="Q483" s="19" t="e">
        <f>+SUMIFS(#REF!,#REF!,Planning[[#This Row],[Tarifa]],#REF!,Planning[[#This Row],[Proyectos]],#REF!,Planning[[#This Row],[Mes]],#REF!,Planning[[#This Row],[Año]])</f>
        <v>#REF!</v>
      </c>
      <c r="R483" s="19" t="str">
        <f>TEXT(Planning[[#This Row],[Mes]]*29,"mmmm")</f>
        <v>October</v>
      </c>
      <c r="S4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3" s="228"/>
      <c r="U483" s="43">
        <f>IF(Planning[[#This Row],[Horas Planificadas]]&lt;&gt;0,+K483/Planning[[#This Row],[Horas Planificadas]],0)</f>
        <v>0</v>
      </c>
      <c r="V483" s="43">
        <f>IF(Planning[[#This Row],[Horas Planificadas]]&lt;&gt;0,Planning[[#This Row],[Horas utilizadas]]/Planning[[#This Row],[Horas Planificadas]],0)</f>
        <v>0</v>
      </c>
      <c r="W483" s="44">
        <f>Planning[[#This Row],[Horas Planificadas]]+Planning[[#This Row],[Horas ajustadas adicionales]]</f>
        <v>0</v>
      </c>
      <c r="X483" s="142"/>
    </row>
    <row r="484" spans="1:24" ht="12.75" customHeight="1" x14ac:dyDescent="0.2">
      <c r="A484" s="7"/>
      <c r="B484" s="7"/>
      <c r="C484" s="3"/>
      <c r="D484" s="3" t="s">
        <v>162</v>
      </c>
      <c r="E484" s="33" t="s">
        <v>30</v>
      </c>
      <c r="F484" s="3"/>
      <c r="G484" s="7"/>
      <c r="H484" s="7">
        <v>45</v>
      </c>
      <c r="I484" s="12"/>
      <c r="J484" s="5" t="e">
        <f>+SUMIFS(#REF!,#REF!,Planning[[#This Row],[Tarifa]],#REF!,Planning[[#This Row],[Proyectos]])</f>
        <v>#REF!</v>
      </c>
      <c r="K484" s="5" t="e">
        <f>Planning[[#This Row],[Horas Planificadas]]+Planning[[#This Row],[Horas ajustadas adicionales]]-Planning[[#This Row],[Horas utilizadas]]</f>
        <v>#REF!</v>
      </c>
      <c r="L484" s="7"/>
      <c r="M484" s="19" t="e">
        <f>Planning[[#This Row],[Saldo]]-Planning[[#This Row],[Saldo estimado]]</f>
        <v>#REF!</v>
      </c>
      <c r="N484" s="60" t="e">
        <f>+SUMIFS(#REF!,#REF!,Planning[[#This Row],[Proyectos]],#REF!,Planning[[#This Row],[Tipo de Tarea y especialidad]])</f>
        <v>#REF!</v>
      </c>
      <c r="O484" s="19">
        <f t="shared" si="14"/>
        <v>10</v>
      </c>
      <c r="P484" s="19">
        <f t="shared" si="15"/>
        <v>2024</v>
      </c>
      <c r="Q484" s="19" t="e">
        <f>+SUMIFS(#REF!,#REF!,Planning[[#This Row],[Tarifa]],#REF!,Planning[[#This Row],[Proyectos]],#REF!,Planning[[#This Row],[Mes]],#REF!,Planning[[#This Row],[Año]])</f>
        <v>#REF!</v>
      </c>
      <c r="R484" s="19" t="str">
        <f>TEXT(Planning[[#This Row],[Mes]]*29,"mmmm")</f>
        <v>October</v>
      </c>
      <c r="S4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4" s="228"/>
      <c r="U484" s="43" t="e">
        <f>IF(Planning[[#This Row],[Horas Planificadas]]&lt;&gt;0,+K484/Planning[[#This Row],[Horas Planificadas]],0)</f>
        <v>#REF!</v>
      </c>
      <c r="V484" s="43" t="e">
        <f>IF(Planning[[#This Row],[Horas Planificadas]]&lt;&gt;0,Planning[[#This Row],[Horas utilizadas]]/Planning[[#This Row],[Horas Planificadas]],0)</f>
        <v>#REF!</v>
      </c>
      <c r="W484" s="44">
        <f>Planning[[#This Row],[Horas Planificadas]]+Planning[[#This Row],[Horas ajustadas adicionales]]</f>
        <v>45</v>
      </c>
      <c r="X484" s="142"/>
    </row>
    <row r="485" spans="1:24" ht="12.75" customHeight="1" x14ac:dyDescent="0.2">
      <c r="A485" s="7"/>
      <c r="B485" s="7"/>
      <c r="C485" s="3"/>
      <c r="D485" s="3" t="s">
        <v>162</v>
      </c>
      <c r="E485" s="33" t="s">
        <v>31</v>
      </c>
      <c r="F485" s="3"/>
      <c r="G485" s="7"/>
      <c r="H485" s="7">
        <v>0</v>
      </c>
      <c r="I485" s="12"/>
      <c r="J485" s="5" t="e">
        <f>+SUMIFS(#REF!,#REF!,Planning[[#This Row],[Tarifa]],#REF!,Planning[[#This Row],[Proyectos]])</f>
        <v>#REF!</v>
      </c>
      <c r="K485" s="5" t="e">
        <f>Planning[[#This Row],[Horas Planificadas]]+Planning[[#This Row],[Horas ajustadas adicionales]]-Planning[[#This Row],[Horas utilizadas]]</f>
        <v>#REF!</v>
      </c>
      <c r="L485" s="7"/>
      <c r="M485" s="19" t="e">
        <f>Planning[[#This Row],[Saldo]]-Planning[[#This Row],[Saldo estimado]]</f>
        <v>#REF!</v>
      </c>
      <c r="N485" s="60" t="e">
        <f>+SUMIFS(#REF!,#REF!,Planning[[#This Row],[Proyectos]],#REF!,Planning[[#This Row],[Tipo de Tarea y especialidad]])</f>
        <v>#REF!</v>
      </c>
      <c r="O485" s="19">
        <f t="shared" si="14"/>
        <v>10</v>
      </c>
      <c r="P485" s="19">
        <f t="shared" si="15"/>
        <v>2024</v>
      </c>
      <c r="Q485" s="19" t="e">
        <f>+SUMIFS(#REF!,#REF!,Planning[[#This Row],[Tarifa]],#REF!,Planning[[#This Row],[Proyectos]],#REF!,Planning[[#This Row],[Mes]],#REF!,Planning[[#This Row],[Año]])</f>
        <v>#REF!</v>
      </c>
      <c r="R485" s="19" t="str">
        <f>TEXT(Planning[[#This Row],[Mes]]*29,"mmmm")</f>
        <v>October</v>
      </c>
      <c r="S4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5" s="228"/>
      <c r="U485" s="43">
        <f>IF(Planning[[#This Row],[Horas Planificadas]]&lt;&gt;0,+K485/Planning[[#This Row],[Horas Planificadas]],0)</f>
        <v>0</v>
      </c>
      <c r="V485" s="43">
        <f>IF(Planning[[#This Row],[Horas Planificadas]]&lt;&gt;0,Planning[[#This Row],[Horas utilizadas]]/Planning[[#This Row],[Horas Planificadas]],0)</f>
        <v>0</v>
      </c>
      <c r="W485" s="44">
        <f>Planning[[#This Row],[Horas Planificadas]]+Planning[[#This Row],[Horas ajustadas adicionales]]</f>
        <v>0</v>
      </c>
      <c r="X485" s="142"/>
    </row>
    <row r="486" spans="1:24" ht="12.75" customHeight="1" x14ac:dyDescent="0.2">
      <c r="A486" s="7"/>
      <c r="B486" s="7"/>
      <c r="C486" s="3"/>
      <c r="D486" s="3" t="s">
        <v>162</v>
      </c>
      <c r="E486" s="33" t="s">
        <v>32</v>
      </c>
      <c r="F486" s="3"/>
      <c r="G486" s="7"/>
      <c r="H486" s="7">
        <v>0</v>
      </c>
      <c r="I486" s="12"/>
      <c r="J486" s="5" t="e">
        <f>+SUMIFS(#REF!,#REF!,Planning[[#This Row],[Tarifa]],#REF!,Planning[[#This Row],[Proyectos]])</f>
        <v>#REF!</v>
      </c>
      <c r="K486" s="5" t="e">
        <f>Planning[[#This Row],[Horas Planificadas]]+Planning[[#This Row],[Horas ajustadas adicionales]]-Planning[[#This Row],[Horas utilizadas]]</f>
        <v>#REF!</v>
      </c>
      <c r="L486" s="7"/>
      <c r="M486" s="19" t="e">
        <f>Planning[[#This Row],[Saldo]]-Planning[[#This Row],[Saldo estimado]]</f>
        <v>#REF!</v>
      </c>
      <c r="N486" s="60" t="e">
        <f>+SUMIFS(#REF!,#REF!,Planning[[#This Row],[Proyectos]],#REF!,Planning[[#This Row],[Tipo de Tarea y especialidad]])</f>
        <v>#REF!</v>
      </c>
      <c r="O486" s="19">
        <f t="shared" si="14"/>
        <v>10</v>
      </c>
      <c r="P486" s="19">
        <f t="shared" si="15"/>
        <v>2024</v>
      </c>
      <c r="Q486" s="19" t="e">
        <f>+SUMIFS(#REF!,#REF!,Planning[[#This Row],[Tarifa]],#REF!,Planning[[#This Row],[Proyectos]],#REF!,Planning[[#This Row],[Mes]],#REF!,Planning[[#This Row],[Año]])</f>
        <v>#REF!</v>
      </c>
      <c r="R486" s="19" t="str">
        <f>TEXT(Planning[[#This Row],[Mes]]*29,"mmmm")</f>
        <v>October</v>
      </c>
      <c r="S4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6" s="228"/>
      <c r="U486" s="43">
        <f>IF(Planning[[#This Row],[Horas Planificadas]]&lt;&gt;0,+K486/Planning[[#This Row],[Horas Planificadas]],0)</f>
        <v>0</v>
      </c>
      <c r="V486" s="43">
        <f>IF(Planning[[#This Row],[Horas Planificadas]]&lt;&gt;0,Planning[[#This Row],[Horas utilizadas]]/Planning[[#This Row],[Horas Planificadas]],0)</f>
        <v>0</v>
      </c>
      <c r="W486" s="44">
        <f>Planning[[#This Row],[Horas Planificadas]]+Planning[[#This Row],[Horas ajustadas adicionales]]</f>
        <v>0</v>
      </c>
      <c r="X486" s="142"/>
    </row>
    <row r="487" spans="1:24" ht="12.75" customHeight="1" x14ac:dyDescent="0.2">
      <c r="A487" s="7"/>
      <c r="B487" s="7"/>
      <c r="C487" s="3"/>
      <c r="D487" s="3" t="s">
        <v>163</v>
      </c>
      <c r="E487" s="33" t="s">
        <v>28</v>
      </c>
      <c r="F487" s="3"/>
      <c r="G487" s="7"/>
      <c r="H487" s="7">
        <v>0</v>
      </c>
      <c r="I487" s="12"/>
      <c r="J487" s="5" t="e">
        <f>+SUMIFS(#REF!,#REF!,Planning[[#This Row],[Tarifa]],#REF!,Planning[[#This Row],[Proyectos]])</f>
        <v>#REF!</v>
      </c>
      <c r="K487" s="5" t="e">
        <f>Planning[[#This Row],[Horas Planificadas]]+Planning[[#This Row],[Horas ajustadas adicionales]]-Planning[[#This Row],[Horas utilizadas]]</f>
        <v>#REF!</v>
      </c>
      <c r="L487" s="7"/>
      <c r="M487" s="19" t="e">
        <f>Planning[[#This Row],[Saldo]]-Planning[[#This Row],[Saldo estimado]]</f>
        <v>#REF!</v>
      </c>
      <c r="N487" s="60" t="e">
        <f>+SUMIFS(#REF!,#REF!,Planning[[#This Row],[Proyectos]],#REF!,Planning[[#This Row],[Tipo de Tarea y especialidad]])</f>
        <v>#REF!</v>
      </c>
      <c r="O487" s="19">
        <f t="shared" si="14"/>
        <v>10</v>
      </c>
      <c r="P487" s="19">
        <f t="shared" si="15"/>
        <v>2024</v>
      </c>
      <c r="Q487" s="19" t="e">
        <f>+SUMIFS(#REF!,#REF!,Planning[[#This Row],[Tarifa]],#REF!,Planning[[#This Row],[Proyectos]],#REF!,Planning[[#This Row],[Mes]],#REF!,Planning[[#This Row],[Año]])</f>
        <v>#REF!</v>
      </c>
      <c r="R487" s="19" t="str">
        <f>TEXT(Planning[[#This Row],[Mes]]*29,"mmmm")</f>
        <v>October</v>
      </c>
      <c r="S4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7" s="228"/>
      <c r="U487" s="43">
        <f>IF(Planning[[#This Row],[Horas Planificadas]]&lt;&gt;0,+K487/Planning[[#This Row],[Horas Planificadas]],0)</f>
        <v>0</v>
      </c>
      <c r="V487" s="43">
        <f>IF(Planning[[#This Row],[Horas Planificadas]]&lt;&gt;0,Planning[[#This Row],[Horas utilizadas]]/Planning[[#This Row],[Horas Planificadas]],0)</f>
        <v>0</v>
      </c>
      <c r="W487" s="44">
        <f>Planning[[#This Row],[Horas Planificadas]]+Planning[[#This Row],[Horas ajustadas adicionales]]</f>
        <v>0</v>
      </c>
      <c r="X487" s="142"/>
    </row>
    <row r="488" spans="1:24" ht="12.75" customHeight="1" x14ac:dyDescent="0.2">
      <c r="A488" s="7"/>
      <c r="B488" s="7"/>
      <c r="C488" s="3"/>
      <c r="D488" s="3" t="s">
        <v>163</v>
      </c>
      <c r="E488" s="33" t="s">
        <v>30</v>
      </c>
      <c r="F488" s="3"/>
      <c r="G488" s="7"/>
      <c r="H488" s="7">
        <v>270</v>
      </c>
      <c r="I488" s="12"/>
      <c r="J488" s="5" t="e">
        <f>+SUMIFS(#REF!,#REF!,Planning[[#This Row],[Tarifa]],#REF!,Planning[[#This Row],[Proyectos]])</f>
        <v>#REF!</v>
      </c>
      <c r="K488" s="5" t="e">
        <f>Planning[[#This Row],[Horas Planificadas]]+Planning[[#This Row],[Horas ajustadas adicionales]]-Planning[[#This Row],[Horas utilizadas]]</f>
        <v>#REF!</v>
      </c>
      <c r="L488" s="7"/>
      <c r="M488" s="19" t="e">
        <f>Planning[[#This Row],[Saldo]]-Planning[[#This Row],[Saldo estimado]]</f>
        <v>#REF!</v>
      </c>
      <c r="N488" s="60" t="e">
        <f>+SUMIFS(#REF!,#REF!,Planning[[#This Row],[Proyectos]],#REF!,Planning[[#This Row],[Tipo de Tarea y especialidad]])</f>
        <v>#REF!</v>
      </c>
      <c r="O488" s="19">
        <f t="shared" si="14"/>
        <v>10</v>
      </c>
      <c r="P488" s="19">
        <f t="shared" si="15"/>
        <v>2024</v>
      </c>
      <c r="Q488" s="19" t="e">
        <f>+SUMIFS(#REF!,#REF!,Planning[[#This Row],[Tarifa]],#REF!,Planning[[#This Row],[Proyectos]],#REF!,Planning[[#This Row],[Mes]],#REF!,Planning[[#This Row],[Año]])</f>
        <v>#REF!</v>
      </c>
      <c r="R488" s="19" t="str">
        <f>TEXT(Planning[[#This Row],[Mes]]*29,"mmmm")</f>
        <v>October</v>
      </c>
      <c r="S4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8" s="228"/>
      <c r="U488" s="43" t="e">
        <f>IF(Planning[[#This Row],[Horas Planificadas]]&lt;&gt;0,+K488/Planning[[#This Row],[Horas Planificadas]],0)</f>
        <v>#REF!</v>
      </c>
      <c r="V488" s="43" t="e">
        <f>IF(Planning[[#This Row],[Horas Planificadas]]&lt;&gt;0,Planning[[#This Row],[Horas utilizadas]]/Planning[[#This Row],[Horas Planificadas]],0)</f>
        <v>#REF!</v>
      </c>
      <c r="W488" s="44">
        <f>Planning[[#This Row],[Horas Planificadas]]+Planning[[#This Row],[Horas ajustadas adicionales]]</f>
        <v>270</v>
      </c>
      <c r="X488" s="142"/>
    </row>
    <row r="489" spans="1:24" ht="12.75" customHeight="1" x14ac:dyDescent="0.2">
      <c r="A489" s="7"/>
      <c r="B489" s="7"/>
      <c r="C489" s="3"/>
      <c r="D489" s="3" t="s">
        <v>163</v>
      </c>
      <c r="E489" s="33" t="s">
        <v>31</v>
      </c>
      <c r="F489" s="3"/>
      <c r="G489" s="7"/>
      <c r="H489" s="7">
        <v>18</v>
      </c>
      <c r="I489" s="12"/>
      <c r="J489" s="5" t="e">
        <f>+SUMIFS(#REF!,#REF!,Planning[[#This Row],[Tarifa]],#REF!,Planning[[#This Row],[Proyectos]])</f>
        <v>#REF!</v>
      </c>
      <c r="K489" s="5" t="e">
        <f>Planning[[#This Row],[Horas Planificadas]]+Planning[[#This Row],[Horas ajustadas adicionales]]-Planning[[#This Row],[Horas utilizadas]]</f>
        <v>#REF!</v>
      </c>
      <c r="L489" s="7"/>
      <c r="M489" s="19" t="e">
        <f>Planning[[#This Row],[Saldo]]-Planning[[#This Row],[Saldo estimado]]</f>
        <v>#REF!</v>
      </c>
      <c r="N489" s="60" t="e">
        <f>+SUMIFS(#REF!,#REF!,Planning[[#This Row],[Proyectos]],#REF!,Planning[[#This Row],[Tipo de Tarea y especialidad]])</f>
        <v>#REF!</v>
      </c>
      <c r="O489" s="19">
        <f t="shared" si="14"/>
        <v>10</v>
      </c>
      <c r="P489" s="19">
        <f t="shared" si="15"/>
        <v>2024</v>
      </c>
      <c r="Q489" s="19" t="e">
        <f>+SUMIFS(#REF!,#REF!,Planning[[#This Row],[Tarifa]],#REF!,Planning[[#This Row],[Proyectos]],#REF!,Planning[[#This Row],[Mes]],#REF!,Planning[[#This Row],[Año]])</f>
        <v>#REF!</v>
      </c>
      <c r="R489" s="19" t="str">
        <f>TEXT(Planning[[#This Row],[Mes]]*29,"mmmm")</f>
        <v>October</v>
      </c>
      <c r="S4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9" s="228"/>
      <c r="U489" s="43" t="e">
        <f>IF(Planning[[#This Row],[Horas Planificadas]]&lt;&gt;0,+K489/Planning[[#This Row],[Horas Planificadas]],0)</f>
        <v>#REF!</v>
      </c>
      <c r="V489" s="43" t="e">
        <f>IF(Planning[[#This Row],[Horas Planificadas]]&lt;&gt;0,Planning[[#This Row],[Horas utilizadas]]/Planning[[#This Row],[Horas Planificadas]],0)</f>
        <v>#REF!</v>
      </c>
      <c r="W489" s="44">
        <f>Planning[[#This Row],[Horas Planificadas]]+Planning[[#This Row],[Horas ajustadas adicionales]]</f>
        <v>18</v>
      </c>
      <c r="X489" s="142"/>
    </row>
    <row r="490" spans="1:24" ht="12.75" customHeight="1" x14ac:dyDescent="0.2">
      <c r="A490" s="7"/>
      <c r="B490" s="7"/>
      <c r="C490" s="3"/>
      <c r="D490" s="3" t="s">
        <v>163</v>
      </c>
      <c r="E490" s="33" t="s">
        <v>32</v>
      </c>
      <c r="F490" s="3"/>
      <c r="G490" s="7"/>
      <c r="H490" s="7">
        <v>45</v>
      </c>
      <c r="I490" s="12"/>
      <c r="J490" s="5" t="e">
        <f>+SUMIFS(#REF!,#REF!,Planning[[#This Row],[Tarifa]],#REF!,Planning[[#This Row],[Proyectos]])</f>
        <v>#REF!</v>
      </c>
      <c r="K490" s="5" t="e">
        <f>Planning[[#This Row],[Horas Planificadas]]+Planning[[#This Row],[Horas ajustadas adicionales]]-Planning[[#This Row],[Horas utilizadas]]</f>
        <v>#REF!</v>
      </c>
      <c r="L490" s="7"/>
      <c r="M490" s="19" t="e">
        <f>Planning[[#This Row],[Saldo]]-Planning[[#This Row],[Saldo estimado]]</f>
        <v>#REF!</v>
      </c>
      <c r="N490" s="60" t="e">
        <f>+SUMIFS(#REF!,#REF!,Planning[[#This Row],[Proyectos]],#REF!,Planning[[#This Row],[Tipo de Tarea y especialidad]])</f>
        <v>#REF!</v>
      </c>
      <c r="O490" s="19">
        <f t="shared" si="14"/>
        <v>10</v>
      </c>
      <c r="P490" s="19">
        <f t="shared" si="15"/>
        <v>2024</v>
      </c>
      <c r="Q490" s="19" t="e">
        <f>+SUMIFS(#REF!,#REF!,Planning[[#This Row],[Tarifa]],#REF!,Planning[[#This Row],[Proyectos]],#REF!,Planning[[#This Row],[Mes]],#REF!,Planning[[#This Row],[Año]])</f>
        <v>#REF!</v>
      </c>
      <c r="R490" s="19" t="str">
        <f>TEXT(Planning[[#This Row],[Mes]]*29,"mmmm")</f>
        <v>October</v>
      </c>
      <c r="S4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0" s="228"/>
      <c r="U490" s="43" t="e">
        <f>IF(Planning[[#This Row],[Horas Planificadas]]&lt;&gt;0,+K490/Planning[[#This Row],[Horas Planificadas]],0)</f>
        <v>#REF!</v>
      </c>
      <c r="V490" s="43" t="e">
        <f>IF(Planning[[#This Row],[Horas Planificadas]]&lt;&gt;0,Planning[[#This Row],[Horas utilizadas]]/Planning[[#This Row],[Horas Planificadas]],0)</f>
        <v>#REF!</v>
      </c>
      <c r="W490" s="44">
        <f>Planning[[#This Row],[Horas Planificadas]]+Planning[[#This Row],[Horas ajustadas adicionales]]</f>
        <v>45</v>
      </c>
      <c r="X490" s="142"/>
    </row>
    <row r="491" spans="1:24" ht="12.75" customHeight="1" x14ac:dyDescent="0.2">
      <c r="A491" s="7"/>
      <c r="B491" s="7"/>
      <c r="C491" s="3"/>
      <c r="D491" s="3" t="s">
        <v>164</v>
      </c>
      <c r="E491" s="4" t="s">
        <v>28</v>
      </c>
      <c r="F491" s="3"/>
      <c r="G491" s="9"/>
      <c r="H491" s="12">
        <v>93</v>
      </c>
      <c r="I491" s="12"/>
      <c r="J491" s="5" t="e">
        <f>+SUMIFS(#REF!,#REF!,Planning[[#This Row],[Tarifa]],#REF!,Planning[[#This Row],[Proyectos]])</f>
        <v>#REF!</v>
      </c>
      <c r="K491" s="27" t="e">
        <f>Planning[[#This Row],[Horas Planificadas]]+Planning[[#This Row],[Horas ajustadas adicionales]]-Planning[[#This Row],[Horas utilizadas]]</f>
        <v>#REF!</v>
      </c>
      <c r="L491" s="7"/>
      <c r="M491" s="34" t="e">
        <f>Planning[[#This Row],[Saldo]]-Planning[[#This Row],[Saldo estimado]]</f>
        <v>#REF!</v>
      </c>
      <c r="N491" s="62" t="e">
        <f>+SUMIFS(#REF!,#REF!,Planning[[#This Row],[Proyectos]],#REF!,Planning[[#This Row],[Tipo de Tarea y especialidad]])</f>
        <v>#REF!</v>
      </c>
      <c r="O491" s="34">
        <f t="shared" si="14"/>
        <v>10</v>
      </c>
      <c r="P491" s="34">
        <f t="shared" si="15"/>
        <v>2024</v>
      </c>
      <c r="Q491" s="34" t="e">
        <f>+SUMIFS(#REF!,#REF!,Planning[[#This Row],[Tarifa]],#REF!,Planning[[#This Row],[Proyectos]],#REF!,Planning[[#This Row],[Mes]],#REF!,Planning[[#This Row],[Año]])</f>
        <v>#REF!</v>
      </c>
      <c r="R491" s="34" t="str">
        <f>TEXT(Planning[[#This Row],[Mes]]*29,"mmmm")</f>
        <v>October</v>
      </c>
      <c r="S49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1" s="228"/>
      <c r="U491" s="43" t="e">
        <f>IF(Planning[[#This Row],[Horas Planificadas]]&lt;&gt;0,+K491/Planning[[#This Row],[Horas Planificadas]],0)</f>
        <v>#REF!</v>
      </c>
      <c r="V491" s="43" t="e">
        <f>IF(Planning[[#This Row],[Horas Planificadas]]&lt;&gt;0,Planning[[#This Row],[Horas utilizadas]]/Planning[[#This Row],[Horas Planificadas]],0)</f>
        <v>#REF!</v>
      </c>
      <c r="W491" s="44">
        <f>Planning[[#This Row],[Horas Planificadas]]+Planning[[#This Row],[Horas ajustadas adicionales]]</f>
        <v>93</v>
      </c>
      <c r="X491" s="142"/>
    </row>
    <row r="492" spans="1:24" ht="12.75" customHeight="1" x14ac:dyDescent="0.2">
      <c r="A492" s="7"/>
      <c r="B492" s="7"/>
      <c r="C492" s="3"/>
      <c r="D492" s="3" t="s">
        <v>164</v>
      </c>
      <c r="E492" s="4" t="s">
        <v>30</v>
      </c>
      <c r="F492" s="3"/>
      <c r="G492" s="9"/>
      <c r="H492" s="9">
        <v>36</v>
      </c>
      <c r="I492" s="12"/>
      <c r="J492" s="5" t="e">
        <f>+SUMIFS(#REF!,#REF!,Planning[[#This Row],[Tarifa]],#REF!,Planning[[#This Row],[Proyectos]])</f>
        <v>#REF!</v>
      </c>
      <c r="K492" s="5" t="e">
        <f>Planning[[#This Row],[Horas Planificadas]]+Planning[[#This Row],[Horas ajustadas adicionales]]-Planning[[#This Row],[Horas utilizadas]]</f>
        <v>#REF!</v>
      </c>
      <c r="L492" s="7"/>
      <c r="M492" s="19" t="e">
        <f>Planning[[#This Row],[Saldo]]-Planning[[#This Row],[Saldo estimado]]</f>
        <v>#REF!</v>
      </c>
      <c r="N492" s="60" t="e">
        <f>+SUMIFS(#REF!,#REF!,Planning[[#This Row],[Proyectos]],#REF!,Planning[[#This Row],[Tipo de Tarea y especialidad]])</f>
        <v>#REF!</v>
      </c>
      <c r="O492" s="19">
        <f t="shared" si="14"/>
        <v>10</v>
      </c>
      <c r="P492" s="19">
        <f t="shared" si="15"/>
        <v>2024</v>
      </c>
      <c r="Q492" s="19" t="e">
        <f>+SUMIFS(#REF!,#REF!,Planning[[#This Row],[Tarifa]],#REF!,Planning[[#This Row],[Proyectos]],#REF!,Planning[[#This Row],[Mes]],#REF!,Planning[[#This Row],[Año]])</f>
        <v>#REF!</v>
      </c>
      <c r="R492" s="19" t="str">
        <f>TEXT(Planning[[#This Row],[Mes]]*29,"mmmm")</f>
        <v>October</v>
      </c>
      <c r="S4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2" s="228"/>
      <c r="U492" s="43" t="e">
        <f>IF(Planning[[#This Row],[Horas Planificadas]]&lt;&gt;0,+K492/Planning[[#This Row],[Horas Planificadas]],0)</f>
        <v>#REF!</v>
      </c>
      <c r="V492" s="43" t="e">
        <f>IF(Planning[[#This Row],[Horas Planificadas]]&lt;&gt;0,Planning[[#This Row],[Horas utilizadas]]/Planning[[#This Row],[Horas Planificadas]],0)</f>
        <v>#REF!</v>
      </c>
      <c r="W492" s="44">
        <f>Planning[[#This Row],[Horas Planificadas]]+Planning[[#This Row],[Horas ajustadas adicionales]]</f>
        <v>36</v>
      </c>
      <c r="X492" s="142"/>
    </row>
    <row r="493" spans="1:24" ht="12.75" customHeight="1" x14ac:dyDescent="0.2">
      <c r="A493" s="7"/>
      <c r="B493" s="7"/>
      <c r="C493" s="3"/>
      <c r="D493" s="3" t="s">
        <v>164</v>
      </c>
      <c r="E493" s="4" t="s">
        <v>31</v>
      </c>
      <c r="F493" s="3"/>
      <c r="G493" s="9"/>
      <c r="H493" s="9">
        <v>12</v>
      </c>
      <c r="I493" s="12"/>
      <c r="J493" s="5" t="e">
        <f>+SUMIFS(#REF!,#REF!,Planning[[#This Row],[Tarifa]],#REF!,Planning[[#This Row],[Proyectos]])</f>
        <v>#REF!</v>
      </c>
      <c r="K493" s="5" t="e">
        <f>Planning[[#This Row],[Horas Planificadas]]+Planning[[#This Row],[Horas ajustadas adicionales]]-Planning[[#This Row],[Horas utilizadas]]</f>
        <v>#REF!</v>
      </c>
      <c r="L493" s="7"/>
      <c r="M493" s="19" t="e">
        <f>Planning[[#This Row],[Saldo]]-Planning[[#This Row],[Saldo estimado]]</f>
        <v>#REF!</v>
      </c>
      <c r="N493" s="60" t="e">
        <f>+SUMIFS(#REF!,#REF!,Planning[[#This Row],[Proyectos]],#REF!,Planning[[#This Row],[Tipo de Tarea y especialidad]])</f>
        <v>#REF!</v>
      </c>
      <c r="O493" s="19">
        <f t="shared" si="14"/>
        <v>10</v>
      </c>
      <c r="P493" s="19">
        <f t="shared" si="15"/>
        <v>2024</v>
      </c>
      <c r="Q493" s="19" t="e">
        <f>+SUMIFS(#REF!,#REF!,Planning[[#This Row],[Tarifa]],#REF!,Planning[[#This Row],[Proyectos]],#REF!,Planning[[#This Row],[Mes]],#REF!,Planning[[#This Row],[Año]])</f>
        <v>#REF!</v>
      </c>
      <c r="R493" s="19" t="str">
        <f>TEXT(Planning[[#This Row],[Mes]]*29,"mmmm")</f>
        <v>October</v>
      </c>
      <c r="S4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3" s="228"/>
      <c r="U493" s="43" t="e">
        <f>IF(Planning[[#This Row],[Horas Planificadas]]&lt;&gt;0,+K493/Planning[[#This Row],[Horas Planificadas]],0)</f>
        <v>#REF!</v>
      </c>
      <c r="V493" s="43" t="e">
        <f>IF(Planning[[#This Row],[Horas Planificadas]]&lt;&gt;0,Planning[[#This Row],[Horas utilizadas]]/Planning[[#This Row],[Horas Planificadas]],0)</f>
        <v>#REF!</v>
      </c>
      <c r="W493" s="44">
        <f>Planning[[#This Row],[Horas Planificadas]]+Planning[[#This Row],[Horas ajustadas adicionales]]</f>
        <v>12</v>
      </c>
      <c r="X493" s="142"/>
    </row>
    <row r="494" spans="1:24" ht="12.75" customHeight="1" x14ac:dyDescent="0.2">
      <c r="A494" s="7"/>
      <c r="B494" s="7"/>
      <c r="C494" s="3"/>
      <c r="D494" s="3" t="s">
        <v>164</v>
      </c>
      <c r="E494" s="4" t="s">
        <v>32</v>
      </c>
      <c r="F494" s="3"/>
      <c r="G494" s="9"/>
      <c r="H494" s="12">
        <v>0</v>
      </c>
      <c r="I494" s="12"/>
      <c r="J494" s="5" t="e">
        <f>+SUMIFS(#REF!,#REF!,Planning[[#This Row],[Tarifa]],#REF!,Planning[[#This Row],[Proyectos]])</f>
        <v>#REF!</v>
      </c>
      <c r="K494" s="27" t="e">
        <f>Planning[[#This Row],[Horas Planificadas]]+Planning[[#This Row],[Horas ajustadas adicionales]]-Planning[[#This Row],[Horas utilizadas]]</f>
        <v>#REF!</v>
      </c>
      <c r="L494" s="7"/>
      <c r="M494" s="19" t="e">
        <f>Planning[[#This Row],[Saldo]]-Planning[[#This Row],[Saldo estimado]]</f>
        <v>#REF!</v>
      </c>
      <c r="N494" s="60" t="e">
        <f>+SUMIFS(#REF!,#REF!,Planning[[#This Row],[Proyectos]],#REF!,Planning[[#This Row],[Tipo de Tarea y especialidad]])</f>
        <v>#REF!</v>
      </c>
      <c r="O494" s="19">
        <f t="shared" si="14"/>
        <v>10</v>
      </c>
      <c r="P494" s="19">
        <f t="shared" si="15"/>
        <v>2024</v>
      </c>
      <c r="Q494" s="19" t="e">
        <f>+SUMIFS(#REF!,#REF!,Planning[[#This Row],[Tarifa]],#REF!,Planning[[#This Row],[Proyectos]],#REF!,Planning[[#This Row],[Mes]],#REF!,Planning[[#This Row],[Año]])</f>
        <v>#REF!</v>
      </c>
      <c r="R494" s="19" t="str">
        <f>TEXT(Planning[[#This Row],[Mes]]*29,"mmmm")</f>
        <v>October</v>
      </c>
      <c r="S4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4" s="228"/>
      <c r="U494" s="43">
        <f>IF(Planning[[#This Row],[Horas Planificadas]]&lt;&gt;0,+K494/Planning[[#This Row],[Horas Planificadas]],0)</f>
        <v>0</v>
      </c>
      <c r="V494" s="43">
        <f>IF(Planning[[#This Row],[Horas Planificadas]]&lt;&gt;0,Planning[[#This Row],[Horas utilizadas]]/Planning[[#This Row],[Horas Planificadas]],0)</f>
        <v>0</v>
      </c>
      <c r="W494" s="44">
        <f>Planning[[#This Row],[Horas Planificadas]]+Planning[[#This Row],[Horas ajustadas adicionales]]</f>
        <v>0</v>
      </c>
      <c r="X494" s="142"/>
    </row>
    <row r="495" spans="1:24" ht="12.75" customHeight="1" x14ac:dyDescent="0.2">
      <c r="A495" s="7"/>
      <c r="B495" s="7"/>
      <c r="C495" s="3"/>
      <c r="D495" s="3" t="s">
        <v>165</v>
      </c>
      <c r="E495" s="4" t="s">
        <v>28</v>
      </c>
      <c r="F495" s="3"/>
      <c r="G495" s="9"/>
      <c r="H495" s="9">
        <v>80</v>
      </c>
      <c r="I495" s="12"/>
      <c r="J495" s="5" t="e">
        <f>+SUMIFS(#REF!,#REF!,Planning[[#This Row],[Tarifa]],#REF!,Planning[[#This Row],[Proyectos]])</f>
        <v>#REF!</v>
      </c>
      <c r="K495" s="5" t="e">
        <f>Planning[[#This Row],[Horas Planificadas]]+Planning[[#This Row],[Horas ajustadas adicionales]]-Planning[[#This Row],[Horas utilizadas]]</f>
        <v>#REF!</v>
      </c>
      <c r="L495" s="7"/>
      <c r="M495" s="19" t="e">
        <f>Planning[[#This Row],[Saldo]]-Planning[[#This Row],[Saldo estimado]]</f>
        <v>#REF!</v>
      </c>
      <c r="N495" s="60" t="e">
        <f>+SUMIFS(#REF!,#REF!,Planning[[#This Row],[Proyectos]],#REF!,Planning[[#This Row],[Tipo de Tarea y especialidad]])</f>
        <v>#REF!</v>
      </c>
      <c r="O495" s="19">
        <f t="shared" si="14"/>
        <v>10</v>
      </c>
      <c r="P495" s="19">
        <f t="shared" si="15"/>
        <v>2024</v>
      </c>
      <c r="Q495" s="19" t="e">
        <f>+SUMIFS(#REF!,#REF!,Planning[[#This Row],[Tarifa]],#REF!,Planning[[#This Row],[Proyectos]],#REF!,Planning[[#This Row],[Mes]],#REF!,Planning[[#This Row],[Año]])</f>
        <v>#REF!</v>
      </c>
      <c r="R495" s="19" t="str">
        <f>TEXT(Planning[[#This Row],[Mes]]*29,"mmmm")</f>
        <v>October</v>
      </c>
      <c r="S4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5" s="228"/>
      <c r="U495" s="43" t="e">
        <f>IF(Planning[[#This Row],[Horas Planificadas]]&lt;&gt;0,+K495/Planning[[#This Row],[Horas Planificadas]],0)</f>
        <v>#REF!</v>
      </c>
      <c r="V495" s="43" t="e">
        <f>IF(Planning[[#This Row],[Horas Planificadas]]&lt;&gt;0,Planning[[#This Row],[Horas utilizadas]]/Planning[[#This Row],[Horas Planificadas]],0)</f>
        <v>#REF!</v>
      </c>
      <c r="W495" s="44">
        <f>Planning[[#This Row],[Horas Planificadas]]+Planning[[#This Row],[Horas ajustadas adicionales]]</f>
        <v>80</v>
      </c>
      <c r="X495" s="142"/>
    </row>
    <row r="496" spans="1:24" ht="12.75" customHeight="1" x14ac:dyDescent="0.2">
      <c r="A496" s="7"/>
      <c r="B496" s="7"/>
      <c r="C496" s="3"/>
      <c r="D496" s="3" t="s">
        <v>165</v>
      </c>
      <c r="E496" s="4" t="s">
        <v>30</v>
      </c>
      <c r="F496" s="3"/>
      <c r="G496" s="9"/>
      <c r="H496" s="9">
        <v>160</v>
      </c>
      <c r="I496" s="12"/>
      <c r="J496" s="5" t="e">
        <f>+SUMIFS(#REF!,#REF!,Planning[[#This Row],[Tarifa]],#REF!,Planning[[#This Row],[Proyectos]])</f>
        <v>#REF!</v>
      </c>
      <c r="K496" s="5" t="e">
        <f>Planning[[#This Row],[Horas Planificadas]]+Planning[[#This Row],[Horas ajustadas adicionales]]-Planning[[#This Row],[Horas utilizadas]]</f>
        <v>#REF!</v>
      </c>
      <c r="L496" s="7"/>
      <c r="M496" s="19" t="e">
        <f>Planning[[#This Row],[Saldo]]-Planning[[#This Row],[Saldo estimado]]</f>
        <v>#REF!</v>
      </c>
      <c r="N496" s="60" t="e">
        <f>+SUMIFS(#REF!,#REF!,Planning[[#This Row],[Proyectos]],#REF!,Planning[[#This Row],[Tipo de Tarea y especialidad]])</f>
        <v>#REF!</v>
      </c>
      <c r="O496" s="19">
        <f t="shared" si="14"/>
        <v>10</v>
      </c>
      <c r="P496" s="19">
        <f t="shared" si="15"/>
        <v>2024</v>
      </c>
      <c r="Q496" s="19" t="e">
        <f>+SUMIFS(#REF!,#REF!,Planning[[#This Row],[Tarifa]],#REF!,Planning[[#This Row],[Proyectos]],#REF!,Planning[[#This Row],[Mes]],#REF!,Planning[[#This Row],[Año]])</f>
        <v>#REF!</v>
      </c>
      <c r="R496" s="19" t="str">
        <f>TEXT(Planning[[#This Row],[Mes]]*29,"mmmm")</f>
        <v>October</v>
      </c>
      <c r="S4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6" s="228"/>
      <c r="U496" s="43" t="e">
        <f>IF(Planning[[#This Row],[Horas Planificadas]]&lt;&gt;0,+K496/Planning[[#This Row],[Horas Planificadas]],0)</f>
        <v>#REF!</v>
      </c>
      <c r="V496" s="43" t="e">
        <f>IF(Planning[[#This Row],[Horas Planificadas]]&lt;&gt;0,Planning[[#This Row],[Horas utilizadas]]/Planning[[#This Row],[Horas Planificadas]],0)</f>
        <v>#REF!</v>
      </c>
      <c r="W496" s="44">
        <f>Planning[[#This Row],[Horas Planificadas]]+Planning[[#This Row],[Horas ajustadas adicionales]]</f>
        <v>160</v>
      </c>
      <c r="X496" s="142"/>
    </row>
    <row r="497" spans="1:24" ht="12.75" customHeight="1" x14ac:dyDescent="0.2">
      <c r="A497" s="7"/>
      <c r="B497" s="7"/>
      <c r="C497" s="3"/>
      <c r="D497" s="3" t="s">
        <v>165</v>
      </c>
      <c r="E497" s="4" t="s">
        <v>31</v>
      </c>
      <c r="F497" s="3"/>
      <c r="G497" s="9"/>
      <c r="H497" s="9">
        <v>48</v>
      </c>
      <c r="I497" s="12"/>
      <c r="J497" s="5" t="e">
        <f>+SUMIFS(#REF!,#REF!,Planning[[#This Row],[Tarifa]],#REF!,Planning[[#This Row],[Proyectos]])</f>
        <v>#REF!</v>
      </c>
      <c r="K497" s="5" t="e">
        <f>Planning[[#This Row],[Horas Planificadas]]+Planning[[#This Row],[Horas ajustadas adicionales]]-Planning[[#This Row],[Horas utilizadas]]</f>
        <v>#REF!</v>
      </c>
      <c r="L497" s="7"/>
      <c r="M497" s="19" t="e">
        <f>Planning[[#This Row],[Saldo]]-Planning[[#This Row],[Saldo estimado]]</f>
        <v>#REF!</v>
      </c>
      <c r="N497" s="60" t="e">
        <f>+SUMIFS(#REF!,#REF!,Planning[[#This Row],[Proyectos]],#REF!,Planning[[#This Row],[Tipo de Tarea y especialidad]])</f>
        <v>#REF!</v>
      </c>
      <c r="O497" s="19">
        <f t="shared" si="14"/>
        <v>10</v>
      </c>
      <c r="P497" s="19">
        <f t="shared" si="15"/>
        <v>2024</v>
      </c>
      <c r="Q497" s="19" t="e">
        <f>+SUMIFS(#REF!,#REF!,Planning[[#This Row],[Tarifa]],#REF!,Planning[[#This Row],[Proyectos]],#REF!,Planning[[#This Row],[Mes]],#REF!,Planning[[#This Row],[Año]])</f>
        <v>#REF!</v>
      </c>
      <c r="R497" s="19" t="str">
        <f>TEXT(Planning[[#This Row],[Mes]]*29,"mmmm")</f>
        <v>October</v>
      </c>
      <c r="S4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7" s="228"/>
      <c r="U497" s="43" t="e">
        <f>IF(Planning[[#This Row],[Horas Planificadas]]&lt;&gt;0,+K497/Planning[[#This Row],[Horas Planificadas]],0)</f>
        <v>#REF!</v>
      </c>
      <c r="V497" s="43" t="e">
        <f>IF(Planning[[#This Row],[Horas Planificadas]]&lt;&gt;0,Planning[[#This Row],[Horas utilizadas]]/Planning[[#This Row],[Horas Planificadas]],0)</f>
        <v>#REF!</v>
      </c>
      <c r="W497" s="44">
        <f>Planning[[#This Row],[Horas Planificadas]]+Planning[[#This Row],[Horas ajustadas adicionales]]</f>
        <v>48</v>
      </c>
      <c r="X497" s="142"/>
    </row>
    <row r="498" spans="1:24" ht="12.75" customHeight="1" x14ac:dyDescent="0.2">
      <c r="A498" s="7"/>
      <c r="B498" s="7"/>
      <c r="C498" s="3"/>
      <c r="D498" s="3" t="s">
        <v>165</v>
      </c>
      <c r="E498" s="4" t="s">
        <v>32</v>
      </c>
      <c r="F498" s="3"/>
      <c r="G498" s="9"/>
      <c r="H498" s="9">
        <v>0</v>
      </c>
      <c r="I498" s="12"/>
      <c r="J498" s="5" t="e">
        <f>+SUMIFS(#REF!,#REF!,Planning[[#This Row],[Tarifa]],#REF!,Planning[[#This Row],[Proyectos]])</f>
        <v>#REF!</v>
      </c>
      <c r="K498" s="5" t="e">
        <f>Planning[[#This Row],[Horas Planificadas]]+Planning[[#This Row],[Horas ajustadas adicionales]]-Planning[[#This Row],[Horas utilizadas]]</f>
        <v>#REF!</v>
      </c>
      <c r="L498" s="7"/>
      <c r="M498" s="19" t="e">
        <f>Planning[[#This Row],[Saldo]]-Planning[[#This Row],[Saldo estimado]]</f>
        <v>#REF!</v>
      </c>
      <c r="N498" s="60" t="e">
        <f>+SUMIFS(#REF!,#REF!,Planning[[#This Row],[Proyectos]],#REF!,Planning[[#This Row],[Tipo de Tarea y especialidad]])</f>
        <v>#REF!</v>
      </c>
      <c r="O498" s="19">
        <f t="shared" si="14"/>
        <v>10</v>
      </c>
      <c r="P498" s="19">
        <f t="shared" si="15"/>
        <v>2024</v>
      </c>
      <c r="Q498" s="19" t="e">
        <f>+SUMIFS(#REF!,#REF!,Planning[[#This Row],[Tarifa]],#REF!,Planning[[#This Row],[Proyectos]],#REF!,Planning[[#This Row],[Mes]],#REF!,Planning[[#This Row],[Año]])</f>
        <v>#REF!</v>
      </c>
      <c r="R498" s="19" t="str">
        <f>TEXT(Planning[[#This Row],[Mes]]*29,"mmmm")</f>
        <v>October</v>
      </c>
      <c r="S4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8" s="228"/>
      <c r="U498" s="43">
        <f>IF(Planning[[#This Row],[Horas Planificadas]]&lt;&gt;0,+K498/Planning[[#This Row],[Horas Planificadas]],0)</f>
        <v>0</v>
      </c>
      <c r="V498" s="43">
        <f>IF(Planning[[#This Row],[Horas Planificadas]]&lt;&gt;0,Planning[[#This Row],[Horas utilizadas]]/Planning[[#This Row],[Horas Planificadas]],0)</f>
        <v>0</v>
      </c>
      <c r="W498" s="44">
        <f>Planning[[#This Row],[Horas Planificadas]]+Planning[[#This Row],[Horas ajustadas adicionales]]</f>
        <v>0</v>
      </c>
      <c r="X498" s="142"/>
    </row>
    <row r="499" spans="1:24" ht="12.75" customHeight="1" x14ac:dyDescent="0.2">
      <c r="A499" s="7"/>
      <c r="B499" s="7"/>
      <c r="C499" s="3"/>
      <c r="D499" s="3" t="s">
        <v>166</v>
      </c>
      <c r="E499" s="4" t="s">
        <v>28</v>
      </c>
      <c r="F499" s="3"/>
      <c r="G499" s="9"/>
      <c r="H499" s="9">
        <v>0</v>
      </c>
      <c r="I499" s="12"/>
      <c r="J499" s="5" t="e">
        <f>+SUMIFS(#REF!,#REF!,Planning[[#This Row],[Tarifa]],#REF!,Planning[[#This Row],[Proyectos]])</f>
        <v>#REF!</v>
      </c>
      <c r="K499" s="5" t="e">
        <f>Planning[[#This Row],[Horas Planificadas]]+Planning[[#This Row],[Horas ajustadas adicionales]]-Planning[[#This Row],[Horas utilizadas]]</f>
        <v>#REF!</v>
      </c>
      <c r="L499" s="7"/>
      <c r="M499" s="19" t="e">
        <f>Planning[[#This Row],[Saldo]]-Planning[[#This Row],[Saldo estimado]]</f>
        <v>#REF!</v>
      </c>
      <c r="N499" s="60" t="e">
        <f>+SUMIFS(#REF!,#REF!,Planning[[#This Row],[Proyectos]],#REF!,Planning[[#This Row],[Tipo de Tarea y especialidad]])</f>
        <v>#REF!</v>
      </c>
      <c r="O499" s="19">
        <f t="shared" si="14"/>
        <v>10</v>
      </c>
      <c r="P499" s="19">
        <f t="shared" si="15"/>
        <v>2024</v>
      </c>
      <c r="Q499" s="19" t="e">
        <f>+SUMIFS(#REF!,#REF!,Planning[[#This Row],[Tarifa]],#REF!,Planning[[#This Row],[Proyectos]],#REF!,Planning[[#This Row],[Mes]],#REF!,Planning[[#This Row],[Año]])</f>
        <v>#REF!</v>
      </c>
      <c r="R499" s="19" t="str">
        <f>TEXT(Planning[[#This Row],[Mes]]*29,"mmmm")</f>
        <v>October</v>
      </c>
      <c r="S4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9" s="228"/>
      <c r="U499" s="43">
        <f>IF(Planning[[#This Row],[Horas Planificadas]]&lt;&gt;0,+K499/Planning[[#This Row],[Horas Planificadas]],0)</f>
        <v>0</v>
      </c>
      <c r="V499" s="43">
        <f>IF(Planning[[#This Row],[Horas Planificadas]]&lt;&gt;0,Planning[[#This Row],[Horas utilizadas]]/Planning[[#This Row],[Horas Planificadas]],0)</f>
        <v>0</v>
      </c>
      <c r="W499" s="44">
        <f>Planning[[#This Row],[Horas Planificadas]]+Planning[[#This Row],[Horas ajustadas adicionales]]</f>
        <v>0</v>
      </c>
      <c r="X499" s="142"/>
    </row>
    <row r="500" spans="1:24" ht="12.75" customHeight="1" x14ac:dyDescent="0.2">
      <c r="A500" s="7"/>
      <c r="B500" s="7"/>
      <c r="C500" s="3"/>
      <c r="D500" s="3" t="s">
        <v>166</v>
      </c>
      <c r="E500" s="4" t="s">
        <v>30</v>
      </c>
      <c r="F500" s="3"/>
      <c r="G500" s="9"/>
      <c r="H500" s="9">
        <v>45</v>
      </c>
      <c r="I500" s="12"/>
      <c r="J500" s="5" t="e">
        <f>+SUMIFS(#REF!,#REF!,Planning[[#This Row],[Tarifa]],#REF!,Planning[[#This Row],[Proyectos]])</f>
        <v>#REF!</v>
      </c>
      <c r="K500" s="5" t="e">
        <f>Planning[[#This Row],[Horas Planificadas]]+Planning[[#This Row],[Horas ajustadas adicionales]]-Planning[[#This Row],[Horas utilizadas]]</f>
        <v>#REF!</v>
      </c>
      <c r="L500" s="7"/>
      <c r="M500" s="19" t="e">
        <f>Planning[[#This Row],[Saldo]]-Planning[[#This Row],[Saldo estimado]]</f>
        <v>#REF!</v>
      </c>
      <c r="N500" s="60" t="e">
        <f>+SUMIFS(#REF!,#REF!,Planning[[#This Row],[Proyectos]],#REF!,Planning[[#This Row],[Tipo de Tarea y especialidad]])</f>
        <v>#REF!</v>
      </c>
      <c r="O500" s="19">
        <f t="shared" si="14"/>
        <v>10</v>
      </c>
      <c r="P500" s="19">
        <f t="shared" si="15"/>
        <v>2024</v>
      </c>
      <c r="Q500" s="19" t="e">
        <f>+SUMIFS(#REF!,#REF!,Planning[[#This Row],[Tarifa]],#REF!,Planning[[#This Row],[Proyectos]],#REF!,Planning[[#This Row],[Mes]],#REF!,Planning[[#This Row],[Año]])</f>
        <v>#REF!</v>
      </c>
      <c r="R500" s="19" t="str">
        <f>TEXT(Planning[[#This Row],[Mes]]*29,"mmmm")</f>
        <v>October</v>
      </c>
      <c r="S5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0" s="228"/>
      <c r="U500" s="43" t="e">
        <f>IF(Planning[[#This Row],[Horas Planificadas]]&lt;&gt;0,+K500/Planning[[#This Row],[Horas Planificadas]],0)</f>
        <v>#REF!</v>
      </c>
      <c r="V500" s="43" t="e">
        <f>IF(Planning[[#This Row],[Horas Planificadas]]&lt;&gt;0,Planning[[#This Row],[Horas utilizadas]]/Planning[[#This Row],[Horas Planificadas]],0)</f>
        <v>#REF!</v>
      </c>
      <c r="W500" s="44">
        <f>Planning[[#This Row],[Horas Planificadas]]+Planning[[#This Row],[Horas ajustadas adicionales]]</f>
        <v>45</v>
      </c>
      <c r="X500" s="142"/>
    </row>
    <row r="501" spans="1:24" ht="12.75" customHeight="1" x14ac:dyDescent="0.2">
      <c r="A501" s="7"/>
      <c r="B501" s="7"/>
      <c r="C501" s="3"/>
      <c r="D501" s="3" t="s">
        <v>166</v>
      </c>
      <c r="E501" s="4" t="s">
        <v>31</v>
      </c>
      <c r="F501" s="3"/>
      <c r="G501" s="9"/>
      <c r="H501" s="9">
        <v>4</v>
      </c>
      <c r="I501" s="12"/>
      <c r="J501" s="5" t="e">
        <f>+SUMIFS(#REF!,#REF!,Planning[[#This Row],[Tarifa]],#REF!,Planning[[#This Row],[Proyectos]])</f>
        <v>#REF!</v>
      </c>
      <c r="K501" s="5" t="e">
        <f>Planning[[#This Row],[Horas Planificadas]]+Planning[[#This Row],[Horas ajustadas adicionales]]-Planning[[#This Row],[Horas utilizadas]]</f>
        <v>#REF!</v>
      </c>
      <c r="L501" s="7"/>
      <c r="M501" s="19" t="e">
        <f>Planning[[#This Row],[Saldo]]-Planning[[#This Row],[Saldo estimado]]</f>
        <v>#REF!</v>
      </c>
      <c r="N501" s="60" t="e">
        <f>+SUMIFS(#REF!,#REF!,Planning[[#This Row],[Proyectos]],#REF!,Planning[[#This Row],[Tipo de Tarea y especialidad]])</f>
        <v>#REF!</v>
      </c>
      <c r="O501" s="19">
        <f t="shared" si="14"/>
        <v>10</v>
      </c>
      <c r="P501" s="19">
        <f t="shared" si="15"/>
        <v>2024</v>
      </c>
      <c r="Q501" s="19" t="e">
        <f>+SUMIFS(#REF!,#REF!,Planning[[#This Row],[Tarifa]],#REF!,Planning[[#This Row],[Proyectos]],#REF!,Planning[[#This Row],[Mes]],#REF!,Planning[[#This Row],[Año]])</f>
        <v>#REF!</v>
      </c>
      <c r="R501" s="19" t="str">
        <f>TEXT(Planning[[#This Row],[Mes]]*29,"mmmm")</f>
        <v>October</v>
      </c>
      <c r="S5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1" s="228"/>
      <c r="U501" s="43" t="e">
        <f>IF(Planning[[#This Row],[Horas Planificadas]]&lt;&gt;0,+K501/Planning[[#This Row],[Horas Planificadas]],0)</f>
        <v>#REF!</v>
      </c>
      <c r="V501" s="43" t="e">
        <f>IF(Planning[[#This Row],[Horas Planificadas]]&lt;&gt;0,Planning[[#This Row],[Horas utilizadas]]/Planning[[#This Row],[Horas Planificadas]],0)</f>
        <v>#REF!</v>
      </c>
      <c r="W501" s="44">
        <f>Planning[[#This Row],[Horas Planificadas]]+Planning[[#This Row],[Horas ajustadas adicionales]]</f>
        <v>4</v>
      </c>
      <c r="X501" s="142"/>
    </row>
    <row r="502" spans="1:24" ht="12.75" customHeight="1" x14ac:dyDescent="0.2">
      <c r="A502" s="7"/>
      <c r="B502" s="7"/>
      <c r="C502" s="3"/>
      <c r="D502" s="3" t="s">
        <v>166</v>
      </c>
      <c r="E502" s="4" t="s">
        <v>32</v>
      </c>
      <c r="F502" s="3"/>
      <c r="G502" s="9"/>
      <c r="H502" s="9">
        <v>54</v>
      </c>
      <c r="I502" s="12"/>
      <c r="J502" s="5" t="e">
        <f>+SUMIFS(#REF!,#REF!,Planning[[#This Row],[Tarifa]],#REF!,Planning[[#This Row],[Proyectos]])</f>
        <v>#REF!</v>
      </c>
      <c r="K502" s="5" t="e">
        <f>Planning[[#This Row],[Horas Planificadas]]+Planning[[#This Row],[Horas ajustadas adicionales]]-Planning[[#This Row],[Horas utilizadas]]</f>
        <v>#REF!</v>
      </c>
      <c r="L502" s="7"/>
      <c r="M502" s="19" t="e">
        <f>Planning[[#This Row],[Saldo]]-Planning[[#This Row],[Saldo estimado]]</f>
        <v>#REF!</v>
      </c>
      <c r="N502" s="60" t="e">
        <f>+SUMIFS(#REF!,#REF!,Planning[[#This Row],[Proyectos]],#REF!,Planning[[#This Row],[Tipo de Tarea y especialidad]])</f>
        <v>#REF!</v>
      </c>
      <c r="O502" s="19">
        <f t="shared" si="14"/>
        <v>10</v>
      </c>
      <c r="P502" s="19">
        <f t="shared" si="15"/>
        <v>2024</v>
      </c>
      <c r="Q502" s="19" t="e">
        <f>+SUMIFS(#REF!,#REF!,Planning[[#This Row],[Tarifa]],#REF!,Planning[[#This Row],[Proyectos]],#REF!,Planning[[#This Row],[Mes]],#REF!,Planning[[#This Row],[Año]])</f>
        <v>#REF!</v>
      </c>
      <c r="R502" s="19" t="str">
        <f>TEXT(Planning[[#This Row],[Mes]]*29,"mmmm")</f>
        <v>October</v>
      </c>
      <c r="S5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2" s="228"/>
      <c r="U502" s="43" t="e">
        <f>IF(Planning[[#This Row],[Horas Planificadas]]&lt;&gt;0,+K502/Planning[[#This Row],[Horas Planificadas]],0)</f>
        <v>#REF!</v>
      </c>
      <c r="V502" s="43" t="e">
        <f>IF(Planning[[#This Row],[Horas Planificadas]]&lt;&gt;0,Planning[[#This Row],[Horas utilizadas]]/Planning[[#This Row],[Horas Planificadas]],0)</f>
        <v>#REF!</v>
      </c>
      <c r="W502" s="44">
        <f>Planning[[#This Row],[Horas Planificadas]]+Planning[[#This Row],[Horas ajustadas adicionales]]</f>
        <v>54</v>
      </c>
      <c r="X502" s="142"/>
    </row>
    <row r="503" spans="1:24" ht="12.75" customHeight="1" x14ac:dyDescent="0.2">
      <c r="A503" s="7"/>
      <c r="B503" s="7"/>
      <c r="C503" s="3"/>
      <c r="D503" s="3" t="s">
        <v>167</v>
      </c>
      <c r="E503" s="4" t="s">
        <v>28</v>
      </c>
      <c r="F503" s="3"/>
      <c r="G503" s="9"/>
      <c r="H503" s="12">
        <v>72</v>
      </c>
      <c r="I503" s="12"/>
      <c r="J503" s="5" t="e">
        <f>+SUMIFS(#REF!,#REF!,Planning[[#This Row],[Tarifa]],#REF!,Planning[[#This Row],[Proyectos]])</f>
        <v>#REF!</v>
      </c>
      <c r="K503" s="27" t="e">
        <f>Planning[[#This Row],[Horas Planificadas]]+Planning[[#This Row],[Horas ajustadas adicionales]]-Planning[[#This Row],[Horas utilizadas]]</f>
        <v>#REF!</v>
      </c>
      <c r="L503" s="7"/>
      <c r="M503" s="19" t="e">
        <f>Planning[[#This Row],[Saldo]]-Planning[[#This Row],[Saldo estimado]]</f>
        <v>#REF!</v>
      </c>
      <c r="N503" s="60" t="e">
        <f>+SUMIFS(#REF!,#REF!,Planning[[#This Row],[Proyectos]],#REF!,Planning[[#This Row],[Tipo de Tarea y especialidad]])</f>
        <v>#REF!</v>
      </c>
      <c r="O503" s="19">
        <f t="shared" si="14"/>
        <v>10</v>
      </c>
      <c r="P503" s="19">
        <f t="shared" si="15"/>
        <v>2024</v>
      </c>
      <c r="Q503" s="19" t="e">
        <f>+SUMIFS(#REF!,#REF!,Planning[[#This Row],[Tarifa]],#REF!,Planning[[#This Row],[Proyectos]],#REF!,Planning[[#This Row],[Mes]],#REF!,Planning[[#This Row],[Año]])</f>
        <v>#REF!</v>
      </c>
      <c r="R503" s="19" t="str">
        <f>TEXT(Planning[[#This Row],[Mes]]*29,"mmmm")</f>
        <v>October</v>
      </c>
      <c r="S5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3" s="228"/>
      <c r="U503" s="43" t="e">
        <f>IF(Planning[[#This Row],[Horas Planificadas]]&lt;&gt;0,+K503/Planning[[#This Row],[Horas Planificadas]],0)</f>
        <v>#REF!</v>
      </c>
      <c r="V503" s="43" t="e">
        <f>IF(Planning[[#This Row],[Horas Planificadas]]&lt;&gt;0,Planning[[#This Row],[Horas utilizadas]]/Planning[[#This Row],[Horas Planificadas]],0)</f>
        <v>#REF!</v>
      </c>
      <c r="W503" s="44">
        <f>Planning[[#This Row],[Horas Planificadas]]+Planning[[#This Row],[Horas ajustadas adicionales]]</f>
        <v>72</v>
      </c>
      <c r="X503" s="142"/>
    </row>
    <row r="504" spans="1:24" ht="12.75" customHeight="1" x14ac:dyDescent="0.2">
      <c r="A504" s="7"/>
      <c r="B504" s="7"/>
      <c r="C504" s="3"/>
      <c r="D504" s="3" t="s">
        <v>167</v>
      </c>
      <c r="E504" s="4" t="s">
        <v>30</v>
      </c>
      <c r="F504" s="3"/>
      <c r="G504" s="9"/>
      <c r="H504" s="9">
        <v>81</v>
      </c>
      <c r="I504" s="12"/>
      <c r="J504" s="5" t="e">
        <f>+SUMIFS(#REF!,#REF!,Planning[[#This Row],[Tarifa]],#REF!,Planning[[#This Row],[Proyectos]])</f>
        <v>#REF!</v>
      </c>
      <c r="K504" s="5" t="e">
        <f>Planning[[#This Row],[Horas Planificadas]]+Planning[[#This Row],[Horas ajustadas adicionales]]-Planning[[#This Row],[Horas utilizadas]]</f>
        <v>#REF!</v>
      </c>
      <c r="L504" s="7"/>
      <c r="M504" s="19" t="e">
        <f>Planning[[#This Row],[Saldo]]-Planning[[#This Row],[Saldo estimado]]</f>
        <v>#REF!</v>
      </c>
      <c r="N504" s="60" t="e">
        <f>+SUMIFS(#REF!,#REF!,Planning[[#This Row],[Proyectos]],#REF!,Planning[[#This Row],[Tipo de Tarea y especialidad]])</f>
        <v>#REF!</v>
      </c>
      <c r="O504" s="19">
        <f t="shared" si="14"/>
        <v>10</v>
      </c>
      <c r="P504" s="19">
        <f t="shared" si="15"/>
        <v>2024</v>
      </c>
      <c r="Q504" s="19" t="e">
        <f>+SUMIFS(#REF!,#REF!,Planning[[#This Row],[Tarifa]],#REF!,Planning[[#This Row],[Proyectos]],#REF!,Planning[[#This Row],[Mes]],#REF!,Planning[[#This Row],[Año]])</f>
        <v>#REF!</v>
      </c>
      <c r="R504" s="19" t="str">
        <f>TEXT(Planning[[#This Row],[Mes]]*29,"mmmm")</f>
        <v>October</v>
      </c>
      <c r="S5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4" s="228"/>
      <c r="U504" s="43" t="e">
        <f>IF(Planning[[#This Row],[Horas Planificadas]]&lt;&gt;0,+K504/Planning[[#This Row],[Horas Planificadas]],0)</f>
        <v>#REF!</v>
      </c>
      <c r="V504" s="43" t="e">
        <f>IF(Planning[[#This Row],[Horas Planificadas]]&lt;&gt;0,Planning[[#This Row],[Horas utilizadas]]/Planning[[#This Row],[Horas Planificadas]],0)</f>
        <v>#REF!</v>
      </c>
      <c r="W504" s="44">
        <f>Planning[[#This Row],[Horas Planificadas]]+Planning[[#This Row],[Horas ajustadas adicionales]]</f>
        <v>81</v>
      </c>
      <c r="X504" s="142"/>
    </row>
    <row r="505" spans="1:24" ht="12.75" customHeight="1" x14ac:dyDescent="0.2">
      <c r="A505" s="7"/>
      <c r="B505" s="7"/>
      <c r="C505" s="3"/>
      <c r="D505" s="3" t="s">
        <v>167</v>
      </c>
      <c r="E505" s="4" t="s">
        <v>31</v>
      </c>
      <c r="F505" s="3"/>
      <c r="G505" s="9"/>
      <c r="H505" s="9">
        <v>45</v>
      </c>
      <c r="I505" s="12"/>
      <c r="J505" s="5" t="e">
        <f>+SUMIFS(#REF!,#REF!,Planning[[#This Row],[Tarifa]],#REF!,Planning[[#This Row],[Proyectos]])</f>
        <v>#REF!</v>
      </c>
      <c r="K505" s="5" t="e">
        <f>Planning[[#This Row],[Horas Planificadas]]+Planning[[#This Row],[Horas ajustadas adicionales]]-Planning[[#This Row],[Horas utilizadas]]</f>
        <v>#REF!</v>
      </c>
      <c r="L505" s="7"/>
      <c r="M505" s="19" t="e">
        <f>Planning[[#This Row],[Saldo]]-Planning[[#This Row],[Saldo estimado]]</f>
        <v>#REF!</v>
      </c>
      <c r="N505" s="60" t="e">
        <f>+SUMIFS(#REF!,#REF!,Planning[[#This Row],[Proyectos]],#REF!,Planning[[#This Row],[Tipo de Tarea y especialidad]])</f>
        <v>#REF!</v>
      </c>
      <c r="O505" s="19">
        <f t="shared" si="14"/>
        <v>10</v>
      </c>
      <c r="P505" s="19">
        <f t="shared" si="15"/>
        <v>2024</v>
      </c>
      <c r="Q505" s="19" t="e">
        <f>+SUMIFS(#REF!,#REF!,Planning[[#This Row],[Tarifa]],#REF!,Planning[[#This Row],[Proyectos]],#REF!,Planning[[#This Row],[Mes]],#REF!,Planning[[#This Row],[Año]])</f>
        <v>#REF!</v>
      </c>
      <c r="R505" s="19" t="str">
        <f>TEXT(Planning[[#This Row],[Mes]]*29,"mmmm")</f>
        <v>October</v>
      </c>
      <c r="S5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5" s="228"/>
      <c r="U505" s="43" t="e">
        <f>IF(Planning[[#This Row],[Horas Planificadas]]&lt;&gt;0,+K505/Planning[[#This Row],[Horas Planificadas]],0)</f>
        <v>#REF!</v>
      </c>
      <c r="V505" s="43" t="e">
        <f>IF(Planning[[#This Row],[Horas Planificadas]]&lt;&gt;0,Planning[[#This Row],[Horas utilizadas]]/Planning[[#This Row],[Horas Planificadas]],0)</f>
        <v>#REF!</v>
      </c>
      <c r="W505" s="44">
        <f>Planning[[#This Row],[Horas Planificadas]]+Planning[[#This Row],[Horas ajustadas adicionales]]</f>
        <v>45</v>
      </c>
      <c r="X505" s="142"/>
    </row>
    <row r="506" spans="1:24" ht="12.75" customHeight="1" x14ac:dyDescent="0.2">
      <c r="A506" s="7"/>
      <c r="B506" s="7"/>
      <c r="C506" s="3"/>
      <c r="D506" s="3" t="s">
        <v>167</v>
      </c>
      <c r="E506" s="4" t="s">
        <v>32</v>
      </c>
      <c r="F506" s="3"/>
      <c r="G506" s="9"/>
      <c r="H506" s="9">
        <v>0</v>
      </c>
      <c r="I506" s="12"/>
      <c r="J506" s="5" t="e">
        <f>+SUMIFS(#REF!,#REF!,Planning[[#This Row],[Tarifa]],#REF!,Planning[[#This Row],[Proyectos]])</f>
        <v>#REF!</v>
      </c>
      <c r="K506" s="5" t="e">
        <f>Planning[[#This Row],[Horas Planificadas]]+Planning[[#This Row],[Horas ajustadas adicionales]]-Planning[[#This Row],[Horas utilizadas]]</f>
        <v>#REF!</v>
      </c>
      <c r="L506" s="7"/>
      <c r="M506" s="19" t="e">
        <f>Planning[[#This Row],[Saldo]]-Planning[[#This Row],[Saldo estimado]]</f>
        <v>#REF!</v>
      </c>
      <c r="N506" s="60" t="e">
        <f>+SUMIFS(#REF!,#REF!,Planning[[#This Row],[Proyectos]],#REF!,Planning[[#This Row],[Tipo de Tarea y especialidad]])</f>
        <v>#REF!</v>
      </c>
      <c r="O506" s="19">
        <f t="shared" si="14"/>
        <v>10</v>
      </c>
      <c r="P506" s="19">
        <f t="shared" si="15"/>
        <v>2024</v>
      </c>
      <c r="Q506" s="19" t="e">
        <f>+SUMIFS(#REF!,#REF!,Planning[[#This Row],[Tarifa]],#REF!,Planning[[#This Row],[Proyectos]],#REF!,Planning[[#This Row],[Mes]],#REF!,Planning[[#This Row],[Año]])</f>
        <v>#REF!</v>
      </c>
      <c r="R506" s="19" t="str">
        <f>TEXT(Planning[[#This Row],[Mes]]*29,"mmmm")</f>
        <v>October</v>
      </c>
      <c r="S5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6" s="228"/>
      <c r="U506" s="43">
        <f>IF(Planning[[#This Row],[Horas Planificadas]]&lt;&gt;0,+K506/Planning[[#This Row],[Horas Planificadas]],0)</f>
        <v>0</v>
      </c>
      <c r="V506" s="43">
        <f>IF(Planning[[#This Row],[Horas Planificadas]]&lt;&gt;0,Planning[[#This Row],[Horas utilizadas]]/Planning[[#This Row],[Horas Planificadas]],0)</f>
        <v>0</v>
      </c>
      <c r="W506" s="44">
        <f>Planning[[#This Row],[Horas Planificadas]]+Planning[[#This Row],[Horas ajustadas adicionales]]</f>
        <v>0</v>
      </c>
      <c r="X506" s="142"/>
    </row>
    <row r="507" spans="1:24" ht="12.75" customHeight="1" x14ac:dyDescent="0.2">
      <c r="A507" s="7" t="s">
        <v>168</v>
      </c>
      <c r="B507" s="7" t="s">
        <v>169</v>
      </c>
      <c r="C507" s="3"/>
      <c r="D507" s="3" t="s">
        <v>170</v>
      </c>
      <c r="E507" s="33" t="s">
        <v>28</v>
      </c>
      <c r="F507" s="3"/>
      <c r="G507" s="7">
        <v>2142</v>
      </c>
      <c r="H507" s="24">
        <f>SUM(H508:H509)</f>
        <v>1905</v>
      </c>
      <c r="I507" s="14"/>
      <c r="J507" s="14" t="e">
        <f>SUM(J508:J509)</f>
        <v>#REF!</v>
      </c>
      <c r="K507" s="18" t="e">
        <f>SUM(K508:K509)</f>
        <v>#REF!</v>
      </c>
      <c r="L507" s="15">
        <f>SUM(L508:L509)</f>
        <v>0</v>
      </c>
      <c r="M507" s="28" t="e">
        <f>SUM(M508:M509)</f>
        <v>#REF!</v>
      </c>
      <c r="N507" s="61"/>
      <c r="O507" s="28">
        <f t="shared" si="14"/>
        <v>10</v>
      </c>
      <c r="P507" s="28">
        <f t="shared" si="15"/>
        <v>2024</v>
      </c>
      <c r="Q507" s="28" t="e">
        <f>SUM(Q508:Q509)</f>
        <v>#REF!</v>
      </c>
      <c r="R507" s="28" t="str">
        <f>TEXT(Planning[[#This Row],[Mes]]*29,"mmmm")</f>
        <v>October</v>
      </c>
      <c r="S5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7" s="192" t="s">
        <v>171</v>
      </c>
      <c r="U507" s="43" t="e">
        <f>IF(Planning[[#This Row],[Horas Planificadas]]&lt;&gt;0,+K507/Planning[[#This Row],[Horas Planificadas]],0)</f>
        <v>#REF!</v>
      </c>
      <c r="V507" s="43" t="e">
        <f>IF(Planning[[#This Row],[Horas Planificadas]]&lt;&gt;0,Planning[[#This Row],[Horas utilizadas]]/Planning[[#This Row],[Horas Planificadas]],0)</f>
        <v>#REF!</v>
      </c>
      <c r="W507" s="44">
        <f>Planning[[#This Row],[Horas Planificadas]]+Planning[[#This Row],[Horas ajustadas adicionales]]</f>
        <v>1905</v>
      </c>
      <c r="X507" s="142"/>
    </row>
    <row r="508" spans="1:24" ht="12.75" customHeight="1" x14ac:dyDescent="0.2">
      <c r="A508" s="7" t="s">
        <v>168</v>
      </c>
      <c r="B508" s="7" t="s">
        <v>169</v>
      </c>
      <c r="C508" s="3"/>
      <c r="D508" s="3" t="s">
        <v>170</v>
      </c>
      <c r="E508" s="33"/>
      <c r="F508" s="3" t="s">
        <v>120</v>
      </c>
      <c r="G508" s="7"/>
      <c r="H508" s="7">
        <v>1330</v>
      </c>
      <c r="I508" s="12"/>
      <c r="J508" s="5" t="e">
        <f>SUM(SUMIFS(#REF!,#REF!,Planning[[#This Row],[Tipo de Tarea y especialidad]],#REF!,Planning[[#This Row],[Proyectos Reiwa]]),SUMIFS(#REF!,#REF!,Planning[[#This Row],[Tipo de Tarea y especialidad]],#REF!,Planning[[#This Row],[Proyectos]]))</f>
        <v>#REF!</v>
      </c>
      <c r="K508" s="5" t="e">
        <f>Planning[[#This Row],[Horas Planificadas]]+Planning[[#This Row],[Horas ajustadas adicionales]]-Planning[[#This Row],[Horas utilizadas]]</f>
        <v>#REF!</v>
      </c>
      <c r="L508" s="7">
        <v>0</v>
      </c>
      <c r="M508" s="19" t="e">
        <f>Planning[[#This Row],[Saldo]]-Planning[[#This Row],[Saldo estimado]]</f>
        <v>#REF!</v>
      </c>
      <c r="N508" s="60" t="e">
        <f>+SUMIFS(#REF!,#REF!,Planning[[#This Row],[Proyectos]],#REF!,Planning[[#This Row],[Tipo de Tarea y especialidad]])</f>
        <v>#REF!</v>
      </c>
      <c r="O508" s="19">
        <f t="shared" si="14"/>
        <v>10</v>
      </c>
      <c r="P508" s="19">
        <f t="shared" si="15"/>
        <v>2024</v>
      </c>
      <c r="Q5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8" s="19" t="str">
        <f>TEXT(Planning[[#This Row],[Mes]]*29,"mmmm")</f>
        <v>October</v>
      </c>
      <c r="S5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8" s="193"/>
      <c r="U508" s="43" t="e">
        <f>IF(Planning[[#This Row],[Horas Planificadas]]&lt;&gt;0,+K508/Planning[[#This Row],[Horas Planificadas]],0)</f>
        <v>#REF!</v>
      </c>
      <c r="V508" s="43" t="e">
        <f>IF(Planning[[#This Row],[Horas Planificadas]]&lt;&gt;0,Planning[[#This Row],[Horas utilizadas]]/Planning[[#This Row],[Horas Planificadas]],0)</f>
        <v>#REF!</v>
      </c>
      <c r="W508" s="44">
        <f>Planning[[#This Row],[Horas Planificadas]]+Planning[[#This Row],[Horas ajustadas adicionales]]</f>
        <v>1330</v>
      </c>
      <c r="X508" s="142"/>
    </row>
    <row r="509" spans="1:24" ht="12.75" customHeight="1" x14ac:dyDescent="0.2">
      <c r="A509" s="7" t="s">
        <v>168</v>
      </c>
      <c r="B509" s="7" t="s">
        <v>169</v>
      </c>
      <c r="C509" s="3"/>
      <c r="D509" s="3" t="s">
        <v>170</v>
      </c>
      <c r="E509" s="33"/>
      <c r="F509" s="3" t="s">
        <v>121</v>
      </c>
      <c r="G509" s="7"/>
      <c r="H509" s="7">
        <v>575</v>
      </c>
      <c r="I509" s="12"/>
      <c r="J509" s="5" t="e">
        <f>SUM(SUMIFS(#REF!,#REF!,Planning[[#This Row],[Tipo de Tarea y especialidad]],#REF!,Planning[[#This Row],[Proyectos Reiwa]]),SUMIFS(#REF!,#REF!,Planning[[#This Row],[Tipo de Tarea y especialidad]],#REF!,Planning[[#This Row],[Proyectos]]))</f>
        <v>#REF!</v>
      </c>
      <c r="K509" s="5" t="e">
        <f>Planning[[#This Row],[Horas Planificadas]]+Planning[[#This Row],[Horas ajustadas adicionales]]-Planning[[#This Row],[Horas utilizadas]]</f>
        <v>#REF!</v>
      </c>
      <c r="L509" s="7">
        <v>0</v>
      </c>
      <c r="M509" s="19" t="e">
        <f>Planning[[#This Row],[Saldo]]-Planning[[#This Row],[Saldo estimado]]</f>
        <v>#REF!</v>
      </c>
      <c r="N509" s="60" t="e">
        <f>+SUMIFS(#REF!,#REF!,Planning[[#This Row],[Proyectos]],#REF!,Planning[[#This Row],[Tipo de Tarea y especialidad]])</f>
        <v>#REF!</v>
      </c>
      <c r="O509" s="19">
        <f t="shared" si="14"/>
        <v>10</v>
      </c>
      <c r="P509" s="19">
        <f t="shared" si="15"/>
        <v>2024</v>
      </c>
      <c r="Q5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9" s="19" t="str">
        <f>TEXT(Planning[[#This Row],[Mes]]*29,"mmmm")</f>
        <v>October</v>
      </c>
      <c r="S5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9" s="193"/>
      <c r="U509" s="43" t="e">
        <f>IF(Planning[[#This Row],[Horas Planificadas]]&lt;&gt;0,+K509/Planning[[#This Row],[Horas Planificadas]],0)</f>
        <v>#REF!</v>
      </c>
      <c r="V509" s="43" t="e">
        <f>IF(Planning[[#This Row],[Horas Planificadas]]&lt;&gt;0,Planning[[#This Row],[Horas utilizadas]]/Planning[[#This Row],[Horas Planificadas]],0)</f>
        <v>#REF!</v>
      </c>
      <c r="W509" s="44">
        <f>Planning[[#This Row],[Horas Planificadas]]+Planning[[#This Row],[Horas ajustadas adicionales]]</f>
        <v>575</v>
      </c>
      <c r="X509" s="142"/>
    </row>
    <row r="510" spans="1:24" ht="12.75" customHeight="1" x14ac:dyDescent="0.2">
      <c r="A510" s="7" t="s">
        <v>168</v>
      </c>
      <c r="B510" s="7" t="s">
        <v>169</v>
      </c>
      <c r="C510" s="3"/>
      <c r="D510" s="3" t="s">
        <v>170</v>
      </c>
      <c r="E510" s="33" t="s">
        <v>30</v>
      </c>
      <c r="F510" s="3"/>
      <c r="G510" s="7">
        <v>1795</v>
      </c>
      <c r="H510" s="24">
        <f>SUM(H511:H517)</f>
        <v>2448</v>
      </c>
      <c r="I510" s="14"/>
      <c r="J510" s="14" t="e">
        <f>SUM(J511:J517)</f>
        <v>#REF!</v>
      </c>
      <c r="K510" s="18" t="e">
        <f>SUM(K511:K517)</f>
        <v>#REF!</v>
      </c>
      <c r="L510" s="15">
        <f>SUM(L511:L517)</f>
        <v>0</v>
      </c>
      <c r="M510" s="16" t="e">
        <f>SUM(M511:M517)</f>
        <v>#REF!</v>
      </c>
      <c r="N510" s="60"/>
      <c r="O510" s="16">
        <f t="shared" si="14"/>
        <v>10</v>
      </c>
      <c r="P510" s="16">
        <f t="shared" si="15"/>
        <v>2024</v>
      </c>
      <c r="Q510" s="16" t="e">
        <f>SUM(Q511:Q517)</f>
        <v>#REF!</v>
      </c>
      <c r="R510" s="16" t="str">
        <f>TEXT(Planning[[#This Row],[Mes]]*29,"mmmm")</f>
        <v>October</v>
      </c>
      <c r="S5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0" s="193"/>
      <c r="U510" s="43" t="e">
        <f>IF(Planning[[#This Row],[Horas Planificadas]]&lt;&gt;0,+K510/Planning[[#This Row],[Horas Planificadas]],0)</f>
        <v>#REF!</v>
      </c>
      <c r="V510" s="43" t="e">
        <f>IF(Planning[[#This Row],[Horas Planificadas]]&lt;&gt;0,Planning[[#This Row],[Horas utilizadas]]/Planning[[#This Row],[Horas Planificadas]],0)</f>
        <v>#REF!</v>
      </c>
      <c r="W510" s="44">
        <f>Planning[[#This Row],[Horas Planificadas]]+Planning[[#This Row],[Horas ajustadas adicionales]]</f>
        <v>2448</v>
      </c>
      <c r="X510" s="142"/>
    </row>
    <row r="511" spans="1:24" ht="12.75" customHeight="1" x14ac:dyDescent="0.2">
      <c r="A511" s="7" t="s">
        <v>168</v>
      </c>
      <c r="B511" s="7" t="s">
        <v>169</v>
      </c>
      <c r="C511" s="3"/>
      <c r="D511" s="3" t="s">
        <v>170</v>
      </c>
      <c r="E511" s="33"/>
      <c r="F511" s="3" t="s">
        <v>122</v>
      </c>
      <c r="G511" s="7"/>
      <c r="H511" s="7">
        <v>1355</v>
      </c>
      <c r="I511" s="12"/>
      <c r="J511" s="5" t="e">
        <f>SUM(SUMIFS(#REF!,#REF!,Planning[[#This Row],[Tipo de Tarea y especialidad]],#REF!,Planning[[#This Row],[Proyectos Reiwa]]),SUMIFS(#REF!,#REF!,Planning[[#This Row],[Tipo de Tarea y especialidad]],#REF!,Planning[[#This Row],[Proyectos]]))</f>
        <v>#REF!</v>
      </c>
      <c r="K511" s="5" t="e">
        <f>Planning[[#This Row],[Horas Planificadas]]+Planning[[#This Row],[Horas ajustadas adicionales]]-Planning[[#This Row],[Horas utilizadas]]</f>
        <v>#REF!</v>
      </c>
      <c r="L511" s="7">
        <v>0</v>
      </c>
      <c r="M511" s="19" t="e">
        <f>Planning[[#This Row],[Saldo]]-Planning[[#This Row],[Saldo estimado]]</f>
        <v>#REF!</v>
      </c>
      <c r="N511" s="60" t="e">
        <f>+SUMIFS(#REF!,#REF!,Planning[[#This Row],[Proyectos]],#REF!,Planning[[#This Row],[Tipo de Tarea y especialidad]])</f>
        <v>#REF!</v>
      </c>
      <c r="O511" s="19">
        <f t="shared" si="14"/>
        <v>10</v>
      </c>
      <c r="P511" s="19">
        <f t="shared" si="15"/>
        <v>2024</v>
      </c>
      <c r="Q5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1" s="19" t="str">
        <f>TEXT(Planning[[#This Row],[Mes]]*29,"mmmm")</f>
        <v>October</v>
      </c>
      <c r="S5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1" s="193"/>
      <c r="U511" s="43" t="e">
        <f>IF(Planning[[#This Row],[Horas Planificadas]]&lt;&gt;0,+K511/Planning[[#This Row],[Horas Planificadas]],0)</f>
        <v>#REF!</v>
      </c>
      <c r="V511" s="43" t="e">
        <f>IF(Planning[[#This Row],[Horas Planificadas]]&lt;&gt;0,Planning[[#This Row],[Horas utilizadas]]/Planning[[#This Row],[Horas Planificadas]],0)</f>
        <v>#REF!</v>
      </c>
      <c r="W511" s="44">
        <f>Planning[[#This Row],[Horas Planificadas]]+Planning[[#This Row],[Horas ajustadas adicionales]]</f>
        <v>1355</v>
      </c>
      <c r="X511" s="142"/>
    </row>
    <row r="512" spans="1:24" ht="12.75" customHeight="1" x14ac:dyDescent="0.2">
      <c r="A512" s="7" t="s">
        <v>168</v>
      </c>
      <c r="B512" s="7" t="s">
        <v>169</v>
      </c>
      <c r="C512" s="3"/>
      <c r="D512" s="3" t="s">
        <v>170</v>
      </c>
      <c r="E512" s="33"/>
      <c r="F512" s="3" t="s">
        <v>123</v>
      </c>
      <c r="G512" s="7"/>
      <c r="H512" s="7">
        <v>1093</v>
      </c>
      <c r="I512" s="12"/>
      <c r="J512" s="5" t="e">
        <f>SUM(SUMIFS(#REF!,#REF!,Planning[[#This Row],[Tipo de Tarea y especialidad]],#REF!,Planning[[#This Row],[Proyectos Reiwa]]),SUMIFS(#REF!,#REF!,Planning[[#This Row],[Tipo de Tarea y especialidad]],#REF!,Planning[[#This Row],[Proyectos]]))</f>
        <v>#REF!</v>
      </c>
      <c r="K512" s="5" t="e">
        <f>Planning[[#This Row],[Horas Planificadas]]+Planning[[#This Row],[Horas ajustadas adicionales]]-Planning[[#This Row],[Horas utilizadas]]</f>
        <v>#REF!</v>
      </c>
      <c r="L512" s="7">
        <v>0</v>
      </c>
      <c r="M512" s="19" t="e">
        <f>Planning[[#This Row],[Saldo]]-Planning[[#This Row],[Saldo estimado]]</f>
        <v>#REF!</v>
      </c>
      <c r="N512" s="60" t="e">
        <f>+SUMIFS(#REF!,#REF!,Planning[[#This Row],[Proyectos]],#REF!,Planning[[#This Row],[Tipo de Tarea y especialidad]])</f>
        <v>#REF!</v>
      </c>
      <c r="O512" s="19">
        <f t="shared" si="14"/>
        <v>10</v>
      </c>
      <c r="P512" s="19">
        <f t="shared" si="15"/>
        <v>2024</v>
      </c>
      <c r="Q5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2" s="19" t="str">
        <f>TEXT(Planning[[#This Row],[Mes]]*29,"mmmm")</f>
        <v>October</v>
      </c>
      <c r="S5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2" s="193"/>
      <c r="U512" s="43" t="e">
        <f>IF(Planning[[#This Row],[Horas Planificadas]]&lt;&gt;0,+K512/Planning[[#This Row],[Horas Planificadas]],0)</f>
        <v>#REF!</v>
      </c>
      <c r="V512" s="43" t="e">
        <f>IF(Planning[[#This Row],[Horas Planificadas]]&lt;&gt;0,Planning[[#This Row],[Horas utilizadas]]/Planning[[#This Row],[Horas Planificadas]],0)</f>
        <v>#REF!</v>
      </c>
      <c r="W512" s="44">
        <f>Planning[[#This Row],[Horas Planificadas]]+Planning[[#This Row],[Horas ajustadas adicionales]]</f>
        <v>1093</v>
      </c>
      <c r="X512" s="142"/>
    </row>
    <row r="513" spans="1:24" ht="12.75" customHeight="1" x14ac:dyDescent="0.2">
      <c r="A513" s="7" t="s">
        <v>168</v>
      </c>
      <c r="B513" s="7" t="s">
        <v>169</v>
      </c>
      <c r="C513" s="3"/>
      <c r="D513" s="3" t="s">
        <v>170</v>
      </c>
      <c r="E513" s="33"/>
      <c r="F513" s="3" t="s">
        <v>124</v>
      </c>
      <c r="G513" s="7"/>
      <c r="H513" s="7"/>
      <c r="I513" s="12"/>
      <c r="J513" s="5" t="e">
        <f>SUM(SUMIFS(#REF!,#REF!,Planning[[#This Row],[Tipo de Tarea y especialidad]],#REF!,Planning[[#This Row],[Proyectos Reiwa]]),SUMIFS(#REF!,#REF!,Planning[[#This Row],[Tipo de Tarea y especialidad]],#REF!,Planning[[#This Row],[Proyectos]]))</f>
        <v>#REF!</v>
      </c>
      <c r="K513" s="5" t="e">
        <f>Planning[[#This Row],[Horas Planificadas]]+Planning[[#This Row],[Horas ajustadas adicionales]]-Planning[[#This Row],[Horas utilizadas]]</f>
        <v>#REF!</v>
      </c>
      <c r="L513" s="7">
        <v>0</v>
      </c>
      <c r="M513" s="19" t="e">
        <f>Planning[[#This Row],[Saldo]]-Planning[[#This Row],[Saldo estimado]]</f>
        <v>#REF!</v>
      </c>
      <c r="N513" s="60" t="e">
        <f>+SUMIFS(#REF!,#REF!,Planning[[#This Row],[Proyectos]],#REF!,Planning[[#This Row],[Tipo de Tarea y especialidad]])</f>
        <v>#REF!</v>
      </c>
      <c r="O513" s="19">
        <f t="shared" si="14"/>
        <v>10</v>
      </c>
      <c r="P513" s="19">
        <f t="shared" si="15"/>
        <v>2024</v>
      </c>
      <c r="Q5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3" s="19" t="str">
        <f>TEXT(Planning[[#This Row],[Mes]]*29,"mmmm")</f>
        <v>October</v>
      </c>
      <c r="S5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3" s="193"/>
      <c r="U513" s="43">
        <f>IF(Planning[[#This Row],[Horas Planificadas]]&lt;&gt;0,+K513/Planning[[#This Row],[Horas Planificadas]],0)</f>
        <v>0</v>
      </c>
      <c r="V513" s="43">
        <f>IF(Planning[[#This Row],[Horas Planificadas]]&lt;&gt;0,Planning[[#This Row],[Horas utilizadas]]/Planning[[#This Row],[Horas Planificadas]],0)</f>
        <v>0</v>
      </c>
      <c r="W513" s="44">
        <f>Planning[[#This Row],[Horas Planificadas]]+Planning[[#This Row],[Horas ajustadas adicionales]]</f>
        <v>0</v>
      </c>
      <c r="X513" s="142"/>
    </row>
    <row r="514" spans="1:24" ht="12.75" customHeight="1" x14ac:dyDescent="0.2">
      <c r="A514" s="7" t="s">
        <v>168</v>
      </c>
      <c r="B514" s="7" t="s">
        <v>169</v>
      </c>
      <c r="C514" s="3"/>
      <c r="D514" s="3" t="s">
        <v>170</v>
      </c>
      <c r="E514" s="33"/>
      <c r="F514" s="3" t="s">
        <v>125</v>
      </c>
      <c r="G514" s="7"/>
      <c r="H514" s="7"/>
      <c r="I514" s="12"/>
      <c r="J514" s="5" t="e">
        <f>SUM(SUMIFS(#REF!,#REF!,Planning[[#This Row],[Tipo de Tarea y especialidad]],#REF!,Planning[[#This Row],[Proyectos Reiwa]]),SUMIFS(#REF!,#REF!,Planning[[#This Row],[Tipo de Tarea y especialidad]],#REF!,Planning[[#This Row],[Proyectos]]))</f>
        <v>#REF!</v>
      </c>
      <c r="K514" s="5" t="e">
        <f>Planning[[#This Row],[Horas Planificadas]]+Planning[[#This Row],[Horas ajustadas adicionales]]-Planning[[#This Row],[Horas utilizadas]]</f>
        <v>#REF!</v>
      </c>
      <c r="L514" s="7">
        <v>0</v>
      </c>
      <c r="M514" s="19" t="e">
        <f>Planning[[#This Row],[Saldo]]-Planning[[#This Row],[Saldo estimado]]</f>
        <v>#REF!</v>
      </c>
      <c r="N514" s="60" t="e">
        <f>+SUMIFS(#REF!,#REF!,Planning[[#This Row],[Proyectos]],#REF!,Planning[[#This Row],[Tipo de Tarea y especialidad]])</f>
        <v>#REF!</v>
      </c>
      <c r="O514" s="19">
        <f t="shared" si="14"/>
        <v>10</v>
      </c>
      <c r="P514" s="19">
        <f t="shared" si="15"/>
        <v>2024</v>
      </c>
      <c r="Q5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4" s="19" t="str">
        <f>TEXT(Planning[[#This Row],[Mes]]*29,"mmmm")</f>
        <v>October</v>
      </c>
      <c r="S5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4" s="193"/>
      <c r="U514" s="43">
        <f>IF(Planning[[#This Row],[Horas Planificadas]]&lt;&gt;0,+K514/Planning[[#This Row],[Horas Planificadas]],0)</f>
        <v>0</v>
      </c>
      <c r="V514" s="43">
        <f>IF(Planning[[#This Row],[Horas Planificadas]]&lt;&gt;0,Planning[[#This Row],[Horas utilizadas]]/Planning[[#This Row],[Horas Planificadas]],0)</f>
        <v>0</v>
      </c>
      <c r="W514" s="44">
        <f>Planning[[#This Row],[Horas Planificadas]]+Planning[[#This Row],[Horas ajustadas adicionales]]</f>
        <v>0</v>
      </c>
      <c r="X514" s="142"/>
    </row>
    <row r="515" spans="1:24" ht="12.75" customHeight="1" x14ac:dyDescent="0.2">
      <c r="A515" s="7" t="s">
        <v>168</v>
      </c>
      <c r="B515" s="7" t="s">
        <v>169</v>
      </c>
      <c r="C515" s="3"/>
      <c r="D515" s="3" t="s">
        <v>170</v>
      </c>
      <c r="E515" s="33"/>
      <c r="F515" s="3" t="s">
        <v>126</v>
      </c>
      <c r="G515" s="7"/>
      <c r="H515" s="7"/>
      <c r="I515" s="12"/>
      <c r="J515" s="5" t="e">
        <f>SUM(SUMIFS(#REF!,#REF!,Planning[[#This Row],[Tipo de Tarea y especialidad]],#REF!,Planning[[#This Row],[Proyectos Reiwa]]),SUMIFS(#REF!,#REF!,Planning[[#This Row],[Tipo de Tarea y especialidad]],#REF!,Planning[[#This Row],[Proyectos]]))</f>
        <v>#REF!</v>
      </c>
      <c r="K515" s="5" t="e">
        <f>Planning[[#This Row],[Horas Planificadas]]+Planning[[#This Row],[Horas ajustadas adicionales]]-Planning[[#This Row],[Horas utilizadas]]</f>
        <v>#REF!</v>
      </c>
      <c r="L515" s="7">
        <v>0</v>
      </c>
      <c r="M515" s="19" t="e">
        <f>Planning[[#This Row],[Saldo]]-Planning[[#This Row],[Saldo estimado]]</f>
        <v>#REF!</v>
      </c>
      <c r="N515" s="60" t="e">
        <f>+SUMIFS(#REF!,#REF!,Planning[[#This Row],[Proyectos]],#REF!,Planning[[#This Row],[Tipo de Tarea y especialidad]])</f>
        <v>#REF!</v>
      </c>
      <c r="O515" s="19">
        <f t="shared" si="14"/>
        <v>10</v>
      </c>
      <c r="P515" s="19">
        <f t="shared" si="15"/>
        <v>2024</v>
      </c>
      <c r="Q5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5" s="19" t="str">
        <f>TEXT(Planning[[#This Row],[Mes]]*29,"mmmm")</f>
        <v>October</v>
      </c>
      <c r="S5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5" s="193"/>
      <c r="U515" s="43">
        <f>IF(Planning[[#This Row],[Horas Planificadas]]&lt;&gt;0,+K515/Planning[[#This Row],[Horas Planificadas]],0)</f>
        <v>0</v>
      </c>
      <c r="V515" s="43">
        <f>IF(Planning[[#This Row],[Horas Planificadas]]&lt;&gt;0,Planning[[#This Row],[Horas utilizadas]]/Planning[[#This Row],[Horas Planificadas]],0)</f>
        <v>0</v>
      </c>
      <c r="W515" s="44">
        <f>Planning[[#This Row],[Horas Planificadas]]+Planning[[#This Row],[Horas ajustadas adicionales]]</f>
        <v>0</v>
      </c>
      <c r="X515" s="142"/>
    </row>
    <row r="516" spans="1:24" ht="12.75" customHeight="1" x14ac:dyDescent="0.2">
      <c r="A516" s="7" t="s">
        <v>168</v>
      </c>
      <c r="B516" s="7" t="s">
        <v>169</v>
      </c>
      <c r="C516" s="3"/>
      <c r="D516" s="3" t="s">
        <v>170</v>
      </c>
      <c r="E516" s="33"/>
      <c r="F516" s="3" t="s">
        <v>127</v>
      </c>
      <c r="G516" s="7"/>
      <c r="H516" s="7"/>
      <c r="I516" s="12"/>
      <c r="J516" s="5" t="e">
        <f>SUM(SUMIFS(#REF!,#REF!,Planning[[#This Row],[Tipo de Tarea y especialidad]],#REF!,Planning[[#This Row],[Proyectos Reiwa]]),SUMIFS(#REF!,#REF!,Planning[[#This Row],[Tipo de Tarea y especialidad]],#REF!,Planning[[#This Row],[Proyectos]]))</f>
        <v>#REF!</v>
      </c>
      <c r="K516" s="5" t="e">
        <f>Planning[[#This Row],[Horas Planificadas]]+Planning[[#This Row],[Horas ajustadas adicionales]]-Planning[[#This Row],[Horas utilizadas]]</f>
        <v>#REF!</v>
      </c>
      <c r="L516" s="7">
        <v>0</v>
      </c>
      <c r="M516" s="19" t="e">
        <f>Planning[[#This Row],[Saldo]]-Planning[[#This Row],[Saldo estimado]]</f>
        <v>#REF!</v>
      </c>
      <c r="N516" s="60" t="e">
        <f>+SUMIFS(#REF!,#REF!,Planning[[#This Row],[Proyectos]],#REF!,Planning[[#This Row],[Tipo de Tarea y especialidad]])</f>
        <v>#REF!</v>
      </c>
      <c r="O516" s="19">
        <f t="shared" si="14"/>
        <v>10</v>
      </c>
      <c r="P516" s="19">
        <f t="shared" si="15"/>
        <v>2024</v>
      </c>
      <c r="Q5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6" s="19" t="str">
        <f>TEXT(Planning[[#This Row],[Mes]]*29,"mmmm")</f>
        <v>October</v>
      </c>
      <c r="S5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6" s="193"/>
      <c r="U516" s="43">
        <f>IF(Planning[[#This Row],[Horas Planificadas]]&lt;&gt;0,+K516/Planning[[#This Row],[Horas Planificadas]],0)</f>
        <v>0</v>
      </c>
      <c r="V516" s="43">
        <f>IF(Planning[[#This Row],[Horas Planificadas]]&lt;&gt;0,Planning[[#This Row],[Horas utilizadas]]/Planning[[#This Row],[Horas Planificadas]],0)</f>
        <v>0</v>
      </c>
      <c r="W516" s="44">
        <f>Planning[[#This Row],[Horas Planificadas]]+Planning[[#This Row],[Horas ajustadas adicionales]]</f>
        <v>0</v>
      </c>
      <c r="X516" s="142"/>
    </row>
    <row r="517" spans="1:24" ht="12.75" customHeight="1" x14ac:dyDescent="0.2">
      <c r="A517" s="7" t="s">
        <v>168</v>
      </c>
      <c r="B517" s="7" t="s">
        <v>169</v>
      </c>
      <c r="C517" s="3"/>
      <c r="D517" s="3" t="s">
        <v>170</v>
      </c>
      <c r="E517" s="33"/>
      <c r="F517" s="3" t="s">
        <v>128</v>
      </c>
      <c r="G517" s="7"/>
      <c r="H517" s="7"/>
      <c r="I517" s="12"/>
      <c r="J517" s="5" t="e">
        <f>SUM(SUMIFS(#REF!,#REF!,Planning[[#This Row],[Tipo de Tarea y especialidad]],#REF!,Planning[[#This Row],[Proyectos Reiwa]]),SUMIFS(#REF!,#REF!,Planning[[#This Row],[Tipo de Tarea y especialidad]],#REF!,Planning[[#This Row],[Proyectos]]))</f>
        <v>#REF!</v>
      </c>
      <c r="K517" s="5" t="e">
        <f>Planning[[#This Row],[Horas Planificadas]]+Planning[[#This Row],[Horas ajustadas adicionales]]-Planning[[#This Row],[Horas utilizadas]]</f>
        <v>#REF!</v>
      </c>
      <c r="L517" s="7">
        <v>0</v>
      </c>
      <c r="M517" s="19" t="e">
        <f>Planning[[#This Row],[Saldo]]-Planning[[#This Row],[Saldo estimado]]</f>
        <v>#REF!</v>
      </c>
      <c r="N517" s="60" t="e">
        <f>+SUMIFS(#REF!,#REF!,Planning[[#This Row],[Proyectos]],#REF!,Planning[[#This Row],[Tipo de Tarea y especialidad]])</f>
        <v>#REF!</v>
      </c>
      <c r="O517" s="19">
        <f t="shared" si="14"/>
        <v>10</v>
      </c>
      <c r="P517" s="19">
        <f t="shared" si="15"/>
        <v>2024</v>
      </c>
      <c r="Q5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7" s="19" t="str">
        <f>TEXT(Planning[[#This Row],[Mes]]*29,"mmmm")</f>
        <v>October</v>
      </c>
      <c r="S5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7" s="193"/>
      <c r="U517" s="43">
        <f>IF(Planning[[#This Row],[Horas Planificadas]]&lt;&gt;0,+K517/Planning[[#This Row],[Horas Planificadas]],0)</f>
        <v>0</v>
      </c>
      <c r="V517" s="43">
        <f>IF(Planning[[#This Row],[Horas Planificadas]]&lt;&gt;0,Planning[[#This Row],[Horas utilizadas]]/Planning[[#This Row],[Horas Planificadas]],0)</f>
        <v>0</v>
      </c>
      <c r="W517" s="44">
        <f>Planning[[#This Row],[Horas Planificadas]]+Planning[[#This Row],[Horas ajustadas adicionales]]</f>
        <v>0</v>
      </c>
      <c r="X517" s="142"/>
    </row>
    <row r="518" spans="1:24" ht="12.75" customHeight="1" x14ac:dyDescent="0.2">
      <c r="A518" s="7" t="s">
        <v>168</v>
      </c>
      <c r="B518" s="7" t="s">
        <v>169</v>
      </c>
      <c r="C518" s="3"/>
      <c r="D518" s="3" t="s">
        <v>170</v>
      </c>
      <c r="E518" s="33" t="s">
        <v>31</v>
      </c>
      <c r="F518" s="3" t="s">
        <v>31</v>
      </c>
      <c r="G518" s="7">
        <v>438</v>
      </c>
      <c r="H518" s="15">
        <f>Planning[[#This Row],[Horas Precálculo]]</f>
        <v>438</v>
      </c>
      <c r="I518" s="18"/>
      <c r="J518" s="14" t="e">
        <f>+SUMIFS(#REF!,#REF!,Planning[[#This Row],[Tarifa]],#REF!,Planning[[#This Row],[Proyectos]])</f>
        <v>#REF!</v>
      </c>
      <c r="K518" s="14" t="e">
        <f>Planning[[#This Row],[Horas Planificadas]]+Planning[[#This Row],[Horas ajustadas adicionales]]-Planning[[#This Row],[Horas utilizadas]]</f>
        <v>#REF!</v>
      </c>
      <c r="L518" s="15">
        <v>0</v>
      </c>
      <c r="M518" s="16" t="e">
        <f>Planning[[#This Row],[Saldo]]-Planning[[#This Row],[Saldo estimado]]</f>
        <v>#REF!</v>
      </c>
      <c r="N518" s="60"/>
      <c r="O518" s="16">
        <f t="shared" si="14"/>
        <v>10</v>
      </c>
      <c r="P518" s="16">
        <f t="shared" si="15"/>
        <v>2024</v>
      </c>
      <c r="Q518" s="16" t="e">
        <f>+SUMIFS(#REF!,#REF!,Planning[[#This Row],[Tarifa]],#REF!,Planning[[#This Row],[Proyectos]],#REF!,Planning[[#This Row],[Mes]],#REF!,Planning[[#This Row],[Año]])</f>
        <v>#REF!</v>
      </c>
      <c r="R518" s="16" t="str">
        <f>TEXT(Planning[[#This Row],[Mes]]*29,"mmmm")</f>
        <v>October</v>
      </c>
      <c r="S5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8" s="193"/>
      <c r="U518" s="43" t="e">
        <f>IF(Planning[[#This Row],[Horas Planificadas]]&lt;&gt;0,+K518/Planning[[#This Row],[Horas Planificadas]],0)</f>
        <v>#REF!</v>
      </c>
      <c r="V518" s="43" t="e">
        <f>IF(Planning[[#This Row],[Horas Planificadas]]&lt;&gt;0,Planning[[#This Row],[Horas utilizadas]]/Planning[[#This Row],[Horas Planificadas]],0)</f>
        <v>#REF!</v>
      </c>
      <c r="W518" s="44">
        <f>Planning[[#This Row],[Horas Planificadas]]+Planning[[#This Row],[Horas ajustadas adicionales]]</f>
        <v>438</v>
      </c>
      <c r="X518" s="142"/>
    </row>
    <row r="519" spans="1:24" ht="12.75" customHeight="1" x14ac:dyDescent="0.2">
      <c r="A519" s="7" t="s">
        <v>168</v>
      </c>
      <c r="B519" s="7" t="s">
        <v>169</v>
      </c>
      <c r="C519" s="3"/>
      <c r="D519" s="3" t="s">
        <v>170</v>
      </c>
      <c r="E519" s="33" t="s">
        <v>32</v>
      </c>
      <c r="F519" s="3"/>
      <c r="G519" s="7">
        <v>742</v>
      </c>
      <c r="H519" s="24">
        <f>SUM(H520:H522)</f>
        <v>742</v>
      </c>
      <c r="I519" s="14"/>
      <c r="J519" s="14" t="e">
        <f>SUM(J520:J522)</f>
        <v>#REF!</v>
      </c>
      <c r="K519" s="18" t="e">
        <f>SUM(K520:K522)</f>
        <v>#REF!</v>
      </c>
      <c r="L519" s="15">
        <f>SUM(L520:L522)</f>
        <v>0</v>
      </c>
      <c r="M519" s="16" t="e">
        <f>SUM(M520:M522)</f>
        <v>#REF!</v>
      </c>
      <c r="N519" s="60"/>
      <c r="O519" s="16">
        <f t="shared" ref="O519:O582" si="16">$L$4</f>
        <v>10</v>
      </c>
      <c r="P519" s="16">
        <f t="shared" ref="P519:P582" si="17">$M$4</f>
        <v>2024</v>
      </c>
      <c r="Q519" s="16" t="e">
        <f>SUM(Q520:Q522)</f>
        <v>#REF!</v>
      </c>
      <c r="R519" s="16" t="str">
        <f>TEXT(Planning[[#This Row],[Mes]]*29,"mmmm")</f>
        <v>October</v>
      </c>
      <c r="S5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9" s="193"/>
      <c r="U519" s="43" t="e">
        <f>IF(Planning[[#This Row],[Horas Planificadas]]&lt;&gt;0,+K519/Planning[[#This Row],[Horas Planificadas]],0)</f>
        <v>#REF!</v>
      </c>
      <c r="V519" s="43" t="e">
        <f>IF(Planning[[#This Row],[Horas Planificadas]]&lt;&gt;0,Planning[[#This Row],[Horas utilizadas]]/Planning[[#This Row],[Horas Planificadas]],0)</f>
        <v>#REF!</v>
      </c>
      <c r="W519" s="44">
        <f>Planning[[#This Row],[Horas Planificadas]]+Planning[[#This Row],[Horas ajustadas adicionales]]</f>
        <v>742</v>
      </c>
      <c r="X519" s="142"/>
    </row>
    <row r="520" spans="1:24" ht="12.75" customHeight="1" x14ac:dyDescent="0.2">
      <c r="A520" s="7" t="s">
        <v>168</v>
      </c>
      <c r="B520" s="7" t="s">
        <v>169</v>
      </c>
      <c r="C520" s="3"/>
      <c r="D520" s="3" t="s">
        <v>170</v>
      </c>
      <c r="E520" s="33"/>
      <c r="F520" s="3" t="s">
        <v>129</v>
      </c>
      <c r="G520" s="7"/>
      <c r="H520" s="7">
        <v>498</v>
      </c>
      <c r="I520" s="12"/>
      <c r="J520" s="5" t="e">
        <f>SUM(SUMIFS(#REF!,#REF!,Planning[[#This Row],[Tipo de Tarea y especialidad]],#REF!,Planning[[#This Row],[Proyectos Reiwa]]),SUMIFS(#REF!,#REF!,Planning[[#This Row],[Tipo de Tarea y especialidad]],#REF!,Planning[[#This Row],[Proyectos]]))</f>
        <v>#REF!</v>
      </c>
      <c r="K520" s="5" t="e">
        <f>Planning[[#This Row],[Horas Planificadas]]+Planning[[#This Row],[Horas ajustadas adicionales]]-Planning[[#This Row],[Horas utilizadas]]</f>
        <v>#REF!</v>
      </c>
      <c r="L520" s="7">
        <v>0</v>
      </c>
      <c r="M520" s="19" t="e">
        <f>Planning[[#This Row],[Saldo]]-Planning[[#This Row],[Saldo estimado]]</f>
        <v>#REF!</v>
      </c>
      <c r="N520" s="60" t="e">
        <f>+SUMIFS(#REF!,#REF!,Planning[[#This Row],[Proyectos]],#REF!,Planning[[#This Row],[Tipo de Tarea y especialidad]])</f>
        <v>#REF!</v>
      </c>
      <c r="O520" s="19">
        <f t="shared" si="16"/>
        <v>10</v>
      </c>
      <c r="P520" s="19">
        <f t="shared" si="17"/>
        <v>2024</v>
      </c>
      <c r="Q5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0" s="19" t="str">
        <f>TEXT(Planning[[#This Row],[Mes]]*29,"mmmm")</f>
        <v>October</v>
      </c>
      <c r="S5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0" s="193"/>
      <c r="U520" s="43" t="e">
        <f>IF(Planning[[#This Row],[Horas Planificadas]]&lt;&gt;0,+K520/Planning[[#This Row],[Horas Planificadas]],0)</f>
        <v>#REF!</v>
      </c>
      <c r="V520" s="43" t="e">
        <f>IF(Planning[[#This Row],[Horas Planificadas]]&lt;&gt;0,Planning[[#This Row],[Horas utilizadas]]/Planning[[#This Row],[Horas Planificadas]],0)</f>
        <v>#REF!</v>
      </c>
      <c r="W520" s="44">
        <f>Planning[[#This Row],[Horas Planificadas]]+Planning[[#This Row],[Horas ajustadas adicionales]]</f>
        <v>498</v>
      </c>
      <c r="X520" s="142"/>
    </row>
    <row r="521" spans="1:24" ht="12.75" customHeight="1" x14ac:dyDescent="0.2">
      <c r="A521" s="7" t="s">
        <v>168</v>
      </c>
      <c r="B521" s="7" t="s">
        <v>169</v>
      </c>
      <c r="C521" s="3"/>
      <c r="D521" s="3" t="s">
        <v>170</v>
      </c>
      <c r="E521" s="33"/>
      <c r="F521" s="3" t="s">
        <v>130</v>
      </c>
      <c r="G521" s="7"/>
      <c r="H521" s="7">
        <v>244</v>
      </c>
      <c r="I521" s="12"/>
      <c r="J521" s="5" t="e">
        <f>SUM(SUMIFS(#REF!,#REF!,Planning[[#This Row],[Tipo de Tarea y especialidad]],#REF!,Planning[[#This Row],[Proyectos Reiwa]]),SUMIFS(#REF!,#REF!,Planning[[#This Row],[Tipo de Tarea y especialidad]],#REF!,Planning[[#This Row],[Proyectos]]))</f>
        <v>#REF!</v>
      </c>
      <c r="K521" s="5" t="e">
        <f>Planning[[#This Row],[Horas Planificadas]]+Planning[[#This Row],[Horas ajustadas adicionales]]-Planning[[#This Row],[Horas utilizadas]]</f>
        <v>#REF!</v>
      </c>
      <c r="L521" s="7">
        <v>0</v>
      </c>
      <c r="M521" s="19" t="e">
        <f>Planning[[#This Row],[Saldo]]-Planning[[#This Row],[Saldo estimado]]</f>
        <v>#REF!</v>
      </c>
      <c r="N521" s="60" t="e">
        <f>+SUMIFS(#REF!,#REF!,Planning[[#This Row],[Proyectos]],#REF!,Planning[[#This Row],[Tipo de Tarea y especialidad]])</f>
        <v>#REF!</v>
      </c>
      <c r="O521" s="19">
        <f t="shared" si="16"/>
        <v>10</v>
      </c>
      <c r="P521" s="19">
        <f t="shared" si="17"/>
        <v>2024</v>
      </c>
      <c r="Q5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1" s="19" t="str">
        <f>TEXT(Planning[[#This Row],[Mes]]*29,"mmmm")</f>
        <v>October</v>
      </c>
      <c r="S5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1" s="193"/>
      <c r="U521" s="43" t="e">
        <f>IF(Planning[[#This Row],[Horas Planificadas]]&lt;&gt;0,+K521/Planning[[#This Row],[Horas Planificadas]],0)</f>
        <v>#REF!</v>
      </c>
      <c r="V521" s="43" t="e">
        <f>IF(Planning[[#This Row],[Horas Planificadas]]&lt;&gt;0,Planning[[#This Row],[Horas utilizadas]]/Planning[[#This Row],[Horas Planificadas]],0)</f>
        <v>#REF!</v>
      </c>
      <c r="W521" s="44">
        <f>Planning[[#This Row],[Horas Planificadas]]+Planning[[#This Row],[Horas ajustadas adicionales]]</f>
        <v>244</v>
      </c>
      <c r="X521" s="142"/>
    </row>
    <row r="522" spans="1:24" ht="12.75" customHeight="1" x14ac:dyDescent="0.2">
      <c r="A522" s="7" t="s">
        <v>168</v>
      </c>
      <c r="B522" s="7" t="s">
        <v>169</v>
      </c>
      <c r="C522" s="3"/>
      <c r="D522" s="3" t="s">
        <v>170</v>
      </c>
      <c r="E522" s="33"/>
      <c r="F522" s="3" t="s">
        <v>131</v>
      </c>
      <c r="G522" s="7"/>
      <c r="H522" s="7"/>
      <c r="I522" s="12"/>
      <c r="J522" s="5" t="e">
        <f>SUM(SUMIFS(#REF!,#REF!,Planning[[#This Row],[Tipo de Tarea y especialidad]],#REF!,Planning[[#This Row],[Proyectos Reiwa]]),SUMIFS(#REF!,#REF!,Planning[[#This Row],[Tipo de Tarea y especialidad]],#REF!,Planning[[#This Row],[Proyectos]]))</f>
        <v>#REF!</v>
      </c>
      <c r="K522" s="5" t="e">
        <f>Planning[[#This Row],[Horas Planificadas]]+Planning[[#This Row],[Horas ajustadas adicionales]]-Planning[[#This Row],[Horas utilizadas]]</f>
        <v>#REF!</v>
      </c>
      <c r="L522" s="7">
        <v>0</v>
      </c>
      <c r="M522" s="19" t="e">
        <f>Planning[[#This Row],[Saldo]]-Planning[[#This Row],[Saldo estimado]]</f>
        <v>#REF!</v>
      </c>
      <c r="N522" s="60" t="e">
        <f>+SUMIFS(#REF!,#REF!,Planning[[#This Row],[Proyectos]],#REF!,Planning[[#This Row],[Tipo de Tarea y especialidad]])</f>
        <v>#REF!</v>
      </c>
      <c r="O522" s="19">
        <f t="shared" si="16"/>
        <v>10</v>
      </c>
      <c r="P522" s="19">
        <f t="shared" si="17"/>
        <v>2024</v>
      </c>
      <c r="Q5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2" s="19" t="str">
        <f>TEXT(Planning[[#This Row],[Mes]]*29,"mmmm")</f>
        <v>October</v>
      </c>
      <c r="S5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2" s="193"/>
      <c r="U522" s="43">
        <f>IF(Planning[[#This Row],[Horas Planificadas]]&lt;&gt;0,+K522/Planning[[#This Row],[Horas Planificadas]],0)</f>
        <v>0</v>
      </c>
      <c r="V522" s="43">
        <f>IF(Planning[[#This Row],[Horas Planificadas]]&lt;&gt;0,Planning[[#This Row],[Horas utilizadas]]/Planning[[#This Row],[Horas Planificadas]],0)</f>
        <v>0</v>
      </c>
      <c r="W522" s="44">
        <f>Planning[[#This Row],[Horas Planificadas]]+Planning[[#This Row],[Horas ajustadas adicionales]]</f>
        <v>0</v>
      </c>
      <c r="X522" s="142"/>
    </row>
    <row r="523" spans="1:24" ht="12.75" customHeight="1" x14ac:dyDescent="0.2">
      <c r="A523" s="7"/>
      <c r="B523" s="7"/>
      <c r="C523" s="3"/>
      <c r="D523" s="3" t="s">
        <v>172</v>
      </c>
      <c r="E523" s="33" t="s">
        <v>28</v>
      </c>
      <c r="F523" s="3"/>
      <c r="G523" s="7"/>
      <c r="H523" s="7">
        <v>0</v>
      </c>
      <c r="I523" s="12"/>
      <c r="J523" s="5" t="e">
        <f>+SUMIFS(#REF!,#REF!,Planning[[#This Row],[Tarifa]],#REF!,Planning[[#This Row],[Proyectos]])</f>
        <v>#REF!</v>
      </c>
      <c r="K523" s="5" t="e">
        <f>Planning[[#This Row],[Horas Planificadas]]+Planning[[#This Row],[Horas ajustadas adicionales]]-Planning[[#This Row],[Horas utilizadas]]</f>
        <v>#REF!</v>
      </c>
      <c r="L523" s="7"/>
      <c r="M523" s="19" t="e">
        <f>Planning[[#This Row],[Saldo]]-Planning[[#This Row],[Saldo estimado]]</f>
        <v>#REF!</v>
      </c>
      <c r="N523" s="60" t="e">
        <f>+SUMIFS(#REF!,#REF!,Planning[[#This Row],[Proyectos]],#REF!,Planning[[#This Row],[Tipo de Tarea y especialidad]])</f>
        <v>#REF!</v>
      </c>
      <c r="O523" s="19">
        <f t="shared" si="16"/>
        <v>10</v>
      </c>
      <c r="P523" s="19">
        <f t="shared" si="17"/>
        <v>2024</v>
      </c>
      <c r="Q523" s="19" t="e">
        <f>+SUMIFS(#REF!,#REF!,Planning[[#This Row],[Tarifa]],#REF!,Planning[[#This Row],[Proyectos]],#REF!,Planning[[#This Row],[Mes]],#REF!,Planning[[#This Row],[Año]])</f>
        <v>#REF!</v>
      </c>
      <c r="R523" s="19" t="str">
        <f>TEXT(Planning[[#This Row],[Mes]]*29,"mmmm")</f>
        <v>October</v>
      </c>
      <c r="S5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3" s="228"/>
      <c r="U523" s="43">
        <f>IF(Planning[[#This Row],[Horas Planificadas]]&lt;&gt;0,+K523/Planning[[#This Row],[Horas Planificadas]],0)</f>
        <v>0</v>
      </c>
      <c r="V523" s="43">
        <f>IF(Planning[[#This Row],[Horas Planificadas]]&lt;&gt;0,Planning[[#This Row],[Horas utilizadas]]/Planning[[#This Row],[Horas Planificadas]],0)</f>
        <v>0</v>
      </c>
      <c r="W523" s="44">
        <f>Planning[[#This Row],[Horas Planificadas]]+Planning[[#This Row],[Horas ajustadas adicionales]]</f>
        <v>0</v>
      </c>
      <c r="X523" s="142"/>
    </row>
    <row r="524" spans="1:24" ht="12.75" customHeight="1" x14ac:dyDescent="0.2">
      <c r="A524" s="7"/>
      <c r="B524" s="7"/>
      <c r="C524" s="3"/>
      <c r="D524" s="3" t="s">
        <v>172</v>
      </c>
      <c r="E524" s="33" t="s">
        <v>30</v>
      </c>
      <c r="F524" s="3"/>
      <c r="G524" s="7"/>
      <c r="H524" s="7">
        <v>72</v>
      </c>
      <c r="I524" s="12"/>
      <c r="J524" s="5" t="e">
        <f>+SUMIFS(#REF!,#REF!,Planning[[#This Row],[Tarifa]],#REF!,Planning[[#This Row],[Proyectos]])</f>
        <v>#REF!</v>
      </c>
      <c r="K524" s="5" t="e">
        <f>Planning[[#This Row],[Horas Planificadas]]+Planning[[#This Row],[Horas ajustadas adicionales]]-Planning[[#This Row],[Horas utilizadas]]</f>
        <v>#REF!</v>
      </c>
      <c r="L524" s="7"/>
      <c r="M524" s="19" t="e">
        <f>Planning[[#This Row],[Saldo]]-Planning[[#This Row],[Saldo estimado]]</f>
        <v>#REF!</v>
      </c>
      <c r="N524" s="60" t="e">
        <f>+SUMIFS(#REF!,#REF!,Planning[[#This Row],[Proyectos]],#REF!,Planning[[#This Row],[Tipo de Tarea y especialidad]])</f>
        <v>#REF!</v>
      </c>
      <c r="O524" s="19">
        <f t="shared" si="16"/>
        <v>10</v>
      </c>
      <c r="P524" s="19">
        <f t="shared" si="17"/>
        <v>2024</v>
      </c>
      <c r="Q524" s="19" t="e">
        <f>+SUMIFS(#REF!,#REF!,Planning[[#This Row],[Tarifa]],#REF!,Planning[[#This Row],[Proyectos]],#REF!,Planning[[#This Row],[Mes]],#REF!,Planning[[#This Row],[Año]])</f>
        <v>#REF!</v>
      </c>
      <c r="R524" s="19" t="str">
        <f>TEXT(Planning[[#This Row],[Mes]]*29,"mmmm")</f>
        <v>October</v>
      </c>
      <c r="S5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4" s="228"/>
      <c r="U524" s="43" t="e">
        <f>IF(Planning[[#This Row],[Horas Planificadas]]&lt;&gt;0,+K524/Planning[[#This Row],[Horas Planificadas]],0)</f>
        <v>#REF!</v>
      </c>
      <c r="V524" s="43" t="e">
        <f>IF(Planning[[#This Row],[Horas Planificadas]]&lt;&gt;0,Planning[[#This Row],[Horas utilizadas]]/Planning[[#This Row],[Horas Planificadas]],0)</f>
        <v>#REF!</v>
      </c>
      <c r="W524" s="44">
        <f>Planning[[#This Row],[Horas Planificadas]]+Planning[[#This Row],[Horas ajustadas adicionales]]</f>
        <v>72</v>
      </c>
      <c r="X524" s="142"/>
    </row>
    <row r="525" spans="1:24" ht="12.75" customHeight="1" x14ac:dyDescent="0.2">
      <c r="A525" s="7"/>
      <c r="B525" s="7"/>
      <c r="C525" s="3"/>
      <c r="D525" s="3" t="s">
        <v>172</v>
      </c>
      <c r="E525" s="33" t="s">
        <v>31</v>
      </c>
      <c r="F525" s="3"/>
      <c r="G525" s="7"/>
      <c r="H525" s="7">
        <v>8</v>
      </c>
      <c r="I525" s="12"/>
      <c r="J525" s="5" t="e">
        <f>+SUMIFS(#REF!,#REF!,Planning[[#This Row],[Tarifa]],#REF!,Planning[[#This Row],[Proyectos]])</f>
        <v>#REF!</v>
      </c>
      <c r="K525" s="5" t="e">
        <f>Planning[[#This Row],[Horas Planificadas]]+Planning[[#This Row],[Horas ajustadas adicionales]]-Planning[[#This Row],[Horas utilizadas]]</f>
        <v>#REF!</v>
      </c>
      <c r="L525" s="7"/>
      <c r="M525" s="19" t="e">
        <f>Planning[[#This Row],[Saldo]]-Planning[[#This Row],[Saldo estimado]]</f>
        <v>#REF!</v>
      </c>
      <c r="N525" s="60" t="e">
        <f>+SUMIFS(#REF!,#REF!,Planning[[#This Row],[Proyectos]],#REF!,Planning[[#This Row],[Tipo de Tarea y especialidad]])</f>
        <v>#REF!</v>
      </c>
      <c r="O525" s="19">
        <f t="shared" si="16"/>
        <v>10</v>
      </c>
      <c r="P525" s="19">
        <f t="shared" si="17"/>
        <v>2024</v>
      </c>
      <c r="Q525" s="19" t="e">
        <f>+SUMIFS(#REF!,#REF!,Planning[[#This Row],[Tarifa]],#REF!,Planning[[#This Row],[Proyectos]],#REF!,Planning[[#This Row],[Mes]],#REF!,Planning[[#This Row],[Año]])</f>
        <v>#REF!</v>
      </c>
      <c r="R525" s="19" t="str">
        <f>TEXT(Planning[[#This Row],[Mes]]*29,"mmmm")</f>
        <v>October</v>
      </c>
      <c r="S5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5" s="228"/>
      <c r="U525" s="43" t="e">
        <f>IF(Planning[[#This Row],[Horas Planificadas]]&lt;&gt;0,+K525/Planning[[#This Row],[Horas Planificadas]],0)</f>
        <v>#REF!</v>
      </c>
      <c r="V525" s="43" t="e">
        <f>IF(Planning[[#This Row],[Horas Planificadas]]&lt;&gt;0,Planning[[#This Row],[Horas utilizadas]]/Planning[[#This Row],[Horas Planificadas]],0)</f>
        <v>#REF!</v>
      </c>
      <c r="W525" s="44">
        <f>Planning[[#This Row],[Horas Planificadas]]+Planning[[#This Row],[Horas ajustadas adicionales]]</f>
        <v>8</v>
      </c>
      <c r="X525" s="142"/>
    </row>
    <row r="526" spans="1:24" ht="12.75" customHeight="1" x14ac:dyDescent="0.2">
      <c r="A526" s="7"/>
      <c r="B526" s="7"/>
      <c r="C526" s="3"/>
      <c r="D526" s="3" t="s">
        <v>172</v>
      </c>
      <c r="E526" s="33" t="s">
        <v>32</v>
      </c>
      <c r="F526" s="3"/>
      <c r="G526" s="7"/>
      <c r="H526" s="7">
        <v>0</v>
      </c>
      <c r="I526" s="12"/>
      <c r="J526" s="5" t="e">
        <f>+SUMIFS(#REF!,#REF!,Planning[[#This Row],[Tarifa]],#REF!,Planning[[#This Row],[Proyectos]])</f>
        <v>#REF!</v>
      </c>
      <c r="K526" s="5" t="e">
        <f>Planning[[#This Row],[Horas Planificadas]]+Planning[[#This Row],[Horas ajustadas adicionales]]-Planning[[#This Row],[Horas utilizadas]]</f>
        <v>#REF!</v>
      </c>
      <c r="L526" s="7"/>
      <c r="M526" s="19" t="e">
        <f>Planning[[#This Row],[Saldo]]-Planning[[#This Row],[Saldo estimado]]</f>
        <v>#REF!</v>
      </c>
      <c r="N526" s="60" t="e">
        <f>+SUMIFS(#REF!,#REF!,Planning[[#This Row],[Proyectos]],#REF!,Planning[[#This Row],[Tipo de Tarea y especialidad]])</f>
        <v>#REF!</v>
      </c>
      <c r="O526" s="19">
        <f t="shared" si="16"/>
        <v>10</v>
      </c>
      <c r="P526" s="19">
        <f t="shared" si="17"/>
        <v>2024</v>
      </c>
      <c r="Q526" s="19" t="e">
        <f>+SUMIFS(#REF!,#REF!,Planning[[#This Row],[Tarifa]],#REF!,Planning[[#This Row],[Proyectos]],#REF!,Planning[[#This Row],[Mes]],#REF!,Planning[[#This Row],[Año]])</f>
        <v>#REF!</v>
      </c>
      <c r="R526" s="19" t="str">
        <f>TEXT(Planning[[#This Row],[Mes]]*29,"mmmm")</f>
        <v>October</v>
      </c>
      <c r="S5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6" s="228"/>
      <c r="U526" s="43">
        <f>IF(Planning[[#This Row],[Horas Planificadas]]&lt;&gt;0,+K526/Planning[[#This Row],[Horas Planificadas]],0)</f>
        <v>0</v>
      </c>
      <c r="V526" s="43">
        <f>IF(Planning[[#This Row],[Horas Planificadas]]&lt;&gt;0,Planning[[#This Row],[Horas utilizadas]]/Planning[[#This Row],[Horas Planificadas]],0)</f>
        <v>0</v>
      </c>
      <c r="W526" s="44">
        <f>Planning[[#This Row],[Horas Planificadas]]+Planning[[#This Row],[Horas ajustadas adicionales]]</f>
        <v>0</v>
      </c>
      <c r="X526" s="142"/>
    </row>
    <row r="527" spans="1:24" ht="12.75" customHeight="1" x14ac:dyDescent="0.2">
      <c r="A527" s="7"/>
      <c r="B527" s="7"/>
      <c r="C527" s="3"/>
      <c r="D527" s="3" t="s">
        <v>173</v>
      </c>
      <c r="E527" s="4" t="s">
        <v>28</v>
      </c>
      <c r="F527" s="3"/>
      <c r="G527" s="9"/>
      <c r="H527" s="12">
        <v>0</v>
      </c>
      <c r="I527" s="12"/>
      <c r="J527" s="5" t="e">
        <f>+SUMIFS(#REF!,#REF!,Planning[[#This Row],[Tarifa]],#REF!,Planning[[#This Row],[Proyectos]])</f>
        <v>#REF!</v>
      </c>
      <c r="K527" s="27" t="e">
        <f>Planning[[#This Row],[Horas Planificadas]]+Planning[[#This Row],[Horas ajustadas adicionales]]-Planning[[#This Row],[Horas utilizadas]]</f>
        <v>#REF!</v>
      </c>
      <c r="L527" s="7"/>
      <c r="M527" s="34" t="e">
        <f>Planning[[#This Row],[Saldo]]-Planning[[#This Row],[Saldo estimado]]</f>
        <v>#REF!</v>
      </c>
      <c r="N527" s="62" t="e">
        <f>+SUMIFS(#REF!,#REF!,Planning[[#This Row],[Proyectos]],#REF!,Planning[[#This Row],[Tipo de Tarea y especialidad]])</f>
        <v>#REF!</v>
      </c>
      <c r="O527" s="34">
        <f t="shared" si="16"/>
        <v>10</v>
      </c>
      <c r="P527" s="34">
        <f t="shared" si="17"/>
        <v>2024</v>
      </c>
      <c r="Q527" s="34" t="e">
        <f>+SUMIFS(#REF!,#REF!,Planning[[#This Row],[Tarifa]],#REF!,Planning[[#This Row],[Proyectos]],#REF!,Planning[[#This Row],[Mes]],#REF!,Planning[[#This Row],[Año]])</f>
        <v>#REF!</v>
      </c>
      <c r="R527" s="34" t="str">
        <f>TEXT(Planning[[#This Row],[Mes]]*29,"mmmm")</f>
        <v>October</v>
      </c>
      <c r="S52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7" s="228"/>
      <c r="U527" s="43">
        <f>IF(Planning[[#This Row],[Horas Planificadas]]&lt;&gt;0,+K527/Planning[[#This Row],[Horas Planificadas]],0)</f>
        <v>0</v>
      </c>
      <c r="V527" s="43">
        <f>IF(Planning[[#This Row],[Horas Planificadas]]&lt;&gt;0,Planning[[#This Row],[Horas utilizadas]]/Planning[[#This Row],[Horas Planificadas]],0)</f>
        <v>0</v>
      </c>
      <c r="W527" s="44">
        <f>Planning[[#This Row],[Horas Planificadas]]+Planning[[#This Row],[Horas ajustadas adicionales]]</f>
        <v>0</v>
      </c>
      <c r="X527" s="142"/>
    </row>
    <row r="528" spans="1:24" ht="12.75" customHeight="1" x14ac:dyDescent="0.2">
      <c r="A528" s="7"/>
      <c r="B528" s="7"/>
      <c r="C528" s="3"/>
      <c r="D528" s="3" t="s">
        <v>173</v>
      </c>
      <c r="E528" s="4" t="s">
        <v>30</v>
      </c>
      <c r="F528" s="3"/>
      <c r="G528" s="9"/>
      <c r="H528" s="9">
        <v>0</v>
      </c>
      <c r="I528" s="12"/>
      <c r="J528" s="5" t="e">
        <f>+SUMIFS(#REF!,#REF!,Planning[[#This Row],[Tarifa]],#REF!,Planning[[#This Row],[Proyectos]])</f>
        <v>#REF!</v>
      </c>
      <c r="K528" s="5" t="e">
        <f>Planning[[#This Row],[Horas Planificadas]]+Planning[[#This Row],[Horas ajustadas adicionales]]-Planning[[#This Row],[Horas utilizadas]]</f>
        <v>#REF!</v>
      </c>
      <c r="L528" s="7"/>
      <c r="M528" s="19" t="e">
        <f>Planning[[#This Row],[Saldo]]-Planning[[#This Row],[Saldo estimado]]</f>
        <v>#REF!</v>
      </c>
      <c r="N528" s="60" t="e">
        <f>+SUMIFS(#REF!,#REF!,Planning[[#This Row],[Proyectos]],#REF!,Planning[[#This Row],[Tipo de Tarea y especialidad]])</f>
        <v>#REF!</v>
      </c>
      <c r="O528" s="19">
        <f t="shared" si="16"/>
        <v>10</v>
      </c>
      <c r="P528" s="19">
        <f t="shared" si="17"/>
        <v>2024</v>
      </c>
      <c r="Q528" s="19" t="e">
        <f>+SUMIFS(#REF!,#REF!,Planning[[#This Row],[Tarifa]],#REF!,Planning[[#This Row],[Proyectos]],#REF!,Planning[[#This Row],[Mes]],#REF!,Planning[[#This Row],[Año]])</f>
        <v>#REF!</v>
      </c>
      <c r="R528" s="19" t="str">
        <f>TEXT(Planning[[#This Row],[Mes]]*29,"mmmm")</f>
        <v>October</v>
      </c>
      <c r="S5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8" s="228"/>
      <c r="U528" s="43">
        <f>IF(Planning[[#This Row],[Horas Planificadas]]&lt;&gt;0,+K528/Planning[[#This Row],[Horas Planificadas]],0)</f>
        <v>0</v>
      </c>
      <c r="V528" s="43">
        <f>IF(Planning[[#This Row],[Horas Planificadas]]&lt;&gt;0,Planning[[#This Row],[Horas utilizadas]]/Planning[[#This Row],[Horas Planificadas]],0)</f>
        <v>0</v>
      </c>
      <c r="W528" s="44">
        <f>Planning[[#This Row],[Horas Planificadas]]+Planning[[#This Row],[Horas ajustadas adicionales]]</f>
        <v>0</v>
      </c>
      <c r="X528" s="142"/>
    </row>
    <row r="529" spans="1:24" ht="12.75" customHeight="1" x14ac:dyDescent="0.2">
      <c r="A529" s="7"/>
      <c r="B529" s="7"/>
      <c r="C529" s="3"/>
      <c r="D529" s="3" t="s">
        <v>173</v>
      </c>
      <c r="E529" s="4" t="s">
        <v>31</v>
      </c>
      <c r="F529" s="3"/>
      <c r="G529" s="9"/>
      <c r="H529" s="9">
        <v>0</v>
      </c>
      <c r="I529" s="12"/>
      <c r="J529" s="5" t="e">
        <f>+SUMIFS(#REF!,#REF!,Planning[[#This Row],[Tarifa]],#REF!,Planning[[#This Row],[Proyectos]])</f>
        <v>#REF!</v>
      </c>
      <c r="K529" s="5" t="e">
        <f>Planning[[#This Row],[Horas Planificadas]]+Planning[[#This Row],[Horas ajustadas adicionales]]-Planning[[#This Row],[Horas utilizadas]]</f>
        <v>#REF!</v>
      </c>
      <c r="L529" s="7"/>
      <c r="M529" s="19" t="e">
        <f>Planning[[#This Row],[Saldo]]-Planning[[#This Row],[Saldo estimado]]</f>
        <v>#REF!</v>
      </c>
      <c r="N529" s="60" t="e">
        <f>+SUMIFS(#REF!,#REF!,Planning[[#This Row],[Proyectos]],#REF!,Planning[[#This Row],[Tipo de Tarea y especialidad]])</f>
        <v>#REF!</v>
      </c>
      <c r="O529" s="19">
        <f t="shared" si="16"/>
        <v>10</v>
      </c>
      <c r="P529" s="19">
        <f t="shared" si="17"/>
        <v>2024</v>
      </c>
      <c r="Q529" s="19" t="e">
        <f>+SUMIFS(#REF!,#REF!,Planning[[#This Row],[Tarifa]],#REF!,Planning[[#This Row],[Proyectos]],#REF!,Planning[[#This Row],[Mes]],#REF!,Planning[[#This Row],[Año]])</f>
        <v>#REF!</v>
      </c>
      <c r="R529" s="19" t="str">
        <f>TEXT(Planning[[#This Row],[Mes]]*29,"mmmm")</f>
        <v>October</v>
      </c>
      <c r="S5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9" s="228"/>
      <c r="U529" s="43">
        <f>IF(Planning[[#This Row],[Horas Planificadas]]&lt;&gt;0,+K529/Planning[[#This Row],[Horas Planificadas]],0)</f>
        <v>0</v>
      </c>
      <c r="V529" s="43">
        <f>IF(Planning[[#This Row],[Horas Planificadas]]&lt;&gt;0,Planning[[#This Row],[Horas utilizadas]]/Planning[[#This Row],[Horas Planificadas]],0)</f>
        <v>0</v>
      </c>
      <c r="W529" s="44">
        <f>Planning[[#This Row],[Horas Planificadas]]+Planning[[#This Row],[Horas ajustadas adicionales]]</f>
        <v>0</v>
      </c>
      <c r="X529" s="142"/>
    </row>
    <row r="530" spans="1:24" ht="12.75" customHeight="1" x14ac:dyDescent="0.2">
      <c r="A530" s="7"/>
      <c r="B530" s="7"/>
      <c r="C530" s="3"/>
      <c r="D530" s="3" t="s">
        <v>173</v>
      </c>
      <c r="E530" s="4" t="s">
        <v>32</v>
      </c>
      <c r="F530" s="3"/>
      <c r="G530" s="9"/>
      <c r="H530" s="12">
        <v>9</v>
      </c>
      <c r="I530" s="12"/>
      <c r="J530" s="5" t="e">
        <f>+SUMIFS(#REF!,#REF!,Planning[[#This Row],[Tarifa]],#REF!,Planning[[#This Row],[Proyectos]])</f>
        <v>#REF!</v>
      </c>
      <c r="K530" s="27" t="e">
        <f>Planning[[#This Row],[Horas Planificadas]]+Planning[[#This Row],[Horas ajustadas adicionales]]-Planning[[#This Row],[Horas utilizadas]]</f>
        <v>#REF!</v>
      </c>
      <c r="L530" s="7"/>
      <c r="M530" s="19" t="e">
        <f>Planning[[#This Row],[Saldo]]-Planning[[#This Row],[Saldo estimado]]</f>
        <v>#REF!</v>
      </c>
      <c r="N530" s="60" t="e">
        <f>+SUMIFS(#REF!,#REF!,Planning[[#This Row],[Proyectos]],#REF!,Planning[[#This Row],[Tipo de Tarea y especialidad]])</f>
        <v>#REF!</v>
      </c>
      <c r="O530" s="19">
        <f t="shared" si="16"/>
        <v>10</v>
      </c>
      <c r="P530" s="19">
        <f t="shared" si="17"/>
        <v>2024</v>
      </c>
      <c r="Q530" s="19" t="e">
        <f>+SUMIFS(#REF!,#REF!,Planning[[#This Row],[Tarifa]],#REF!,Planning[[#This Row],[Proyectos]],#REF!,Planning[[#This Row],[Mes]],#REF!,Planning[[#This Row],[Año]])</f>
        <v>#REF!</v>
      </c>
      <c r="R530" s="19" t="str">
        <f>TEXT(Planning[[#This Row],[Mes]]*29,"mmmm")</f>
        <v>October</v>
      </c>
      <c r="S5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0" s="228"/>
      <c r="U530" s="43" t="e">
        <f>IF(Planning[[#This Row],[Horas Planificadas]]&lt;&gt;0,+K530/Planning[[#This Row],[Horas Planificadas]],0)</f>
        <v>#REF!</v>
      </c>
      <c r="V530" s="43" t="e">
        <f>IF(Planning[[#This Row],[Horas Planificadas]]&lt;&gt;0,Planning[[#This Row],[Horas utilizadas]]/Planning[[#This Row],[Horas Planificadas]],0)</f>
        <v>#REF!</v>
      </c>
      <c r="W530" s="44">
        <f>Planning[[#This Row],[Horas Planificadas]]+Planning[[#This Row],[Horas ajustadas adicionales]]</f>
        <v>9</v>
      </c>
      <c r="X530" s="142"/>
    </row>
    <row r="531" spans="1:24" ht="12.75" customHeight="1" x14ac:dyDescent="0.2">
      <c r="A531" s="7"/>
      <c r="B531" s="7"/>
      <c r="C531" s="3"/>
      <c r="D531" s="3" t="s">
        <v>174</v>
      </c>
      <c r="E531" s="4" t="s">
        <v>28</v>
      </c>
      <c r="F531" s="3"/>
      <c r="G531" s="9"/>
      <c r="H531" s="9">
        <v>93</v>
      </c>
      <c r="I531" s="12"/>
      <c r="J531" s="5" t="e">
        <f>+SUMIFS(#REF!,#REF!,Planning[[#This Row],[Tarifa]],#REF!,Planning[[#This Row],[Proyectos]])</f>
        <v>#REF!</v>
      </c>
      <c r="K531" s="5" t="e">
        <f>Planning[[#This Row],[Horas Planificadas]]+Planning[[#This Row],[Horas ajustadas adicionales]]-Planning[[#This Row],[Horas utilizadas]]</f>
        <v>#REF!</v>
      </c>
      <c r="L531" s="7"/>
      <c r="M531" s="19" t="e">
        <f>Planning[[#This Row],[Saldo]]-Planning[[#This Row],[Saldo estimado]]</f>
        <v>#REF!</v>
      </c>
      <c r="N531" s="60" t="e">
        <f>+SUMIFS(#REF!,#REF!,Planning[[#This Row],[Proyectos]],#REF!,Planning[[#This Row],[Tipo de Tarea y especialidad]])</f>
        <v>#REF!</v>
      </c>
      <c r="O531" s="19">
        <f t="shared" si="16"/>
        <v>10</v>
      </c>
      <c r="P531" s="19">
        <f t="shared" si="17"/>
        <v>2024</v>
      </c>
      <c r="Q531" s="19" t="e">
        <f>+SUMIFS(#REF!,#REF!,Planning[[#This Row],[Tarifa]],#REF!,Planning[[#This Row],[Proyectos]],#REF!,Planning[[#This Row],[Mes]],#REF!,Planning[[#This Row],[Año]])</f>
        <v>#REF!</v>
      </c>
      <c r="R531" s="19" t="str">
        <f>TEXT(Planning[[#This Row],[Mes]]*29,"mmmm")</f>
        <v>October</v>
      </c>
      <c r="S5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1" s="228"/>
      <c r="U531" s="43" t="e">
        <f>IF(Planning[[#This Row],[Horas Planificadas]]&lt;&gt;0,+K531/Planning[[#This Row],[Horas Planificadas]],0)</f>
        <v>#REF!</v>
      </c>
      <c r="V531" s="43" t="e">
        <f>IF(Planning[[#This Row],[Horas Planificadas]]&lt;&gt;0,Planning[[#This Row],[Horas utilizadas]]/Planning[[#This Row],[Horas Planificadas]],0)</f>
        <v>#REF!</v>
      </c>
      <c r="W531" s="44">
        <f>Planning[[#This Row],[Horas Planificadas]]+Planning[[#This Row],[Horas ajustadas adicionales]]</f>
        <v>93</v>
      </c>
      <c r="X531" s="142"/>
    </row>
    <row r="532" spans="1:24" ht="12.75" customHeight="1" x14ac:dyDescent="0.2">
      <c r="A532" s="7"/>
      <c r="B532" s="7"/>
      <c r="C532" s="3"/>
      <c r="D532" s="3" t="s">
        <v>174</v>
      </c>
      <c r="E532" s="4" t="s">
        <v>30</v>
      </c>
      <c r="F532" s="3"/>
      <c r="G532" s="9"/>
      <c r="H532" s="9">
        <v>54</v>
      </c>
      <c r="I532" s="12"/>
      <c r="J532" s="5" t="e">
        <f>+SUMIFS(#REF!,#REF!,Planning[[#This Row],[Tarifa]],#REF!,Planning[[#This Row],[Proyectos]])</f>
        <v>#REF!</v>
      </c>
      <c r="K532" s="5" t="e">
        <f>Planning[[#This Row],[Horas Planificadas]]+Planning[[#This Row],[Horas ajustadas adicionales]]-Planning[[#This Row],[Horas utilizadas]]</f>
        <v>#REF!</v>
      </c>
      <c r="L532" s="7"/>
      <c r="M532" s="19" t="e">
        <f>Planning[[#This Row],[Saldo]]-Planning[[#This Row],[Saldo estimado]]</f>
        <v>#REF!</v>
      </c>
      <c r="N532" s="60" t="e">
        <f>+SUMIFS(#REF!,#REF!,Planning[[#This Row],[Proyectos]],#REF!,Planning[[#This Row],[Tipo de Tarea y especialidad]])</f>
        <v>#REF!</v>
      </c>
      <c r="O532" s="19">
        <f t="shared" si="16"/>
        <v>10</v>
      </c>
      <c r="P532" s="19">
        <f t="shared" si="17"/>
        <v>2024</v>
      </c>
      <c r="Q532" s="19" t="e">
        <f>+SUMIFS(#REF!,#REF!,Planning[[#This Row],[Tarifa]],#REF!,Planning[[#This Row],[Proyectos]],#REF!,Planning[[#This Row],[Mes]],#REF!,Planning[[#This Row],[Año]])</f>
        <v>#REF!</v>
      </c>
      <c r="R532" s="19" t="str">
        <f>TEXT(Planning[[#This Row],[Mes]]*29,"mmmm")</f>
        <v>October</v>
      </c>
      <c r="S5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2" s="228"/>
      <c r="U532" s="43" t="e">
        <f>IF(Planning[[#This Row],[Horas Planificadas]]&lt;&gt;0,+K532/Planning[[#This Row],[Horas Planificadas]],0)</f>
        <v>#REF!</v>
      </c>
      <c r="V532" s="43" t="e">
        <f>IF(Planning[[#This Row],[Horas Planificadas]]&lt;&gt;0,Planning[[#This Row],[Horas utilizadas]]/Planning[[#This Row],[Horas Planificadas]],0)</f>
        <v>#REF!</v>
      </c>
      <c r="W532" s="44">
        <f>Planning[[#This Row],[Horas Planificadas]]+Planning[[#This Row],[Horas ajustadas adicionales]]</f>
        <v>54</v>
      </c>
      <c r="X532" s="142"/>
    </row>
    <row r="533" spans="1:24" ht="12.75" customHeight="1" x14ac:dyDescent="0.2">
      <c r="A533" s="7"/>
      <c r="B533" s="7"/>
      <c r="C533" s="3"/>
      <c r="D533" s="3" t="s">
        <v>174</v>
      </c>
      <c r="E533" s="4" t="s">
        <v>31</v>
      </c>
      <c r="F533" s="3"/>
      <c r="G533" s="9"/>
      <c r="H533" s="9">
        <v>18</v>
      </c>
      <c r="I533" s="12"/>
      <c r="J533" s="5" t="e">
        <f>+SUMIFS(#REF!,#REF!,Planning[[#This Row],[Tarifa]],#REF!,Planning[[#This Row],[Proyectos]])</f>
        <v>#REF!</v>
      </c>
      <c r="K533" s="5" t="e">
        <f>Planning[[#This Row],[Horas Planificadas]]+Planning[[#This Row],[Horas ajustadas adicionales]]-Planning[[#This Row],[Horas utilizadas]]</f>
        <v>#REF!</v>
      </c>
      <c r="L533" s="7"/>
      <c r="M533" s="19" t="e">
        <f>Planning[[#This Row],[Saldo]]-Planning[[#This Row],[Saldo estimado]]</f>
        <v>#REF!</v>
      </c>
      <c r="N533" s="60" t="e">
        <f>+SUMIFS(#REF!,#REF!,Planning[[#This Row],[Proyectos]],#REF!,Planning[[#This Row],[Tipo de Tarea y especialidad]])</f>
        <v>#REF!</v>
      </c>
      <c r="O533" s="19">
        <f t="shared" si="16"/>
        <v>10</v>
      </c>
      <c r="P533" s="19">
        <f t="shared" si="17"/>
        <v>2024</v>
      </c>
      <c r="Q533" s="19" t="e">
        <f>+SUMIFS(#REF!,#REF!,Planning[[#This Row],[Tarifa]],#REF!,Planning[[#This Row],[Proyectos]],#REF!,Planning[[#This Row],[Mes]],#REF!,Planning[[#This Row],[Año]])</f>
        <v>#REF!</v>
      </c>
      <c r="R533" s="19" t="str">
        <f>TEXT(Planning[[#This Row],[Mes]]*29,"mmmm")</f>
        <v>October</v>
      </c>
      <c r="S5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3" s="228"/>
      <c r="U533" s="43" t="e">
        <f>IF(Planning[[#This Row],[Horas Planificadas]]&lt;&gt;0,+K533/Planning[[#This Row],[Horas Planificadas]],0)</f>
        <v>#REF!</v>
      </c>
      <c r="V533" s="43" t="e">
        <f>IF(Planning[[#This Row],[Horas Planificadas]]&lt;&gt;0,Planning[[#This Row],[Horas utilizadas]]/Planning[[#This Row],[Horas Planificadas]],0)</f>
        <v>#REF!</v>
      </c>
      <c r="W533" s="44">
        <f>Planning[[#This Row],[Horas Planificadas]]+Planning[[#This Row],[Horas ajustadas adicionales]]</f>
        <v>18</v>
      </c>
      <c r="X533" s="142"/>
    </row>
    <row r="534" spans="1:24" ht="12.75" customHeight="1" x14ac:dyDescent="0.2">
      <c r="A534" s="7"/>
      <c r="B534" s="7"/>
      <c r="C534" s="3"/>
      <c r="D534" s="3" t="s">
        <v>174</v>
      </c>
      <c r="E534" s="4" t="s">
        <v>32</v>
      </c>
      <c r="F534" s="3"/>
      <c r="G534" s="9"/>
      <c r="H534" s="9">
        <v>45</v>
      </c>
      <c r="I534" s="12"/>
      <c r="J534" s="5" t="e">
        <f>+SUMIFS(#REF!,#REF!,Planning[[#This Row],[Tarifa]],#REF!,Planning[[#This Row],[Proyectos]])</f>
        <v>#REF!</v>
      </c>
      <c r="K534" s="5" t="e">
        <f>Planning[[#This Row],[Horas Planificadas]]+Planning[[#This Row],[Horas ajustadas adicionales]]-Planning[[#This Row],[Horas utilizadas]]</f>
        <v>#REF!</v>
      </c>
      <c r="L534" s="7"/>
      <c r="M534" s="19" t="e">
        <f>Planning[[#This Row],[Saldo]]-Planning[[#This Row],[Saldo estimado]]</f>
        <v>#REF!</v>
      </c>
      <c r="N534" s="60" t="e">
        <f>+SUMIFS(#REF!,#REF!,Planning[[#This Row],[Proyectos]],#REF!,Planning[[#This Row],[Tipo de Tarea y especialidad]])</f>
        <v>#REF!</v>
      </c>
      <c r="O534" s="19">
        <f t="shared" si="16"/>
        <v>10</v>
      </c>
      <c r="P534" s="19">
        <f t="shared" si="17"/>
        <v>2024</v>
      </c>
      <c r="Q534" s="19" t="e">
        <f>+SUMIFS(#REF!,#REF!,Planning[[#This Row],[Tarifa]],#REF!,Planning[[#This Row],[Proyectos]],#REF!,Planning[[#This Row],[Mes]],#REF!,Planning[[#This Row],[Año]])</f>
        <v>#REF!</v>
      </c>
      <c r="R534" s="19" t="str">
        <f>TEXT(Planning[[#This Row],[Mes]]*29,"mmmm")</f>
        <v>October</v>
      </c>
      <c r="S5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4" s="228"/>
      <c r="U534" s="43" t="e">
        <f>IF(Planning[[#This Row],[Horas Planificadas]]&lt;&gt;0,+K534/Planning[[#This Row],[Horas Planificadas]],0)</f>
        <v>#REF!</v>
      </c>
      <c r="V534" s="43" t="e">
        <f>IF(Planning[[#This Row],[Horas Planificadas]]&lt;&gt;0,Planning[[#This Row],[Horas utilizadas]]/Planning[[#This Row],[Horas Planificadas]],0)</f>
        <v>#REF!</v>
      </c>
      <c r="W534" s="44">
        <f>Planning[[#This Row],[Horas Planificadas]]+Planning[[#This Row],[Horas ajustadas adicionales]]</f>
        <v>45</v>
      </c>
      <c r="X534" s="142"/>
    </row>
    <row r="535" spans="1:24" ht="12.75" customHeight="1" x14ac:dyDescent="0.2">
      <c r="A535" s="7"/>
      <c r="B535" s="7"/>
      <c r="C535" s="3"/>
      <c r="D535" s="3" t="s">
        <v>175</v>
      </c>
      <c r="E535" s="4" t="s">
        <v>28</v>
      </c>
      <c r="F535" s="3"/>
      <c r="G535" s="9"/>
      <c r="H535" s="9">
        <v>603</v>
      </c>
      <c r="I535" s="12"/>
      <c r="J535" s="5" t="e">
        <f>+SUMIFS(#REF!,#REF!,Planning[[#This Row],[Tarifa]],#REF!,Planning[[#This Row],[Proyectos]])</f>
        <v>#REF!</v>
      </c>
      <c r="K535" s="5" t="e">
        <f>Planning[[#This Row],[Horas Planificadas]]+Planning[[#This Row],[Horas ajustadas adicionales]]-Planning[[#This Row],[Horas utilizadas]]</f>
        <v>#REF!</v>
      </c>
      <c r="L535" s="7"/>
      <c r="M535" s="19" t="e">
        <f>Planning[[#This Row],[Saldo]]-Planning[[#This Row],[Saldo estimado]]</f>
        <v>#REF!</v>
      </c>
      <c r="N535" s="60" t="e">
        <f>+SUMIFS(#REF!,#REF!,Planning[[#This Row],[Proyectos]],#REF!,Planning[[#This Row],[Tipo de Tarea y especialidad]])</f>
        <v>#REF!</v>
      </c>
      <c r="O535" s="19">
        <f t="shared" si="16"/>
        <v>10</v>
      </c>
      <c r="P535" s="19">
        <f t="shared" si="17"/>
        <v>2024</v>
      </c>
      <c r="Q535" s="19" t="e">
        <f>+SUMIFS(#REF!,#REF!,Planning[[#This Row],[Tarifa]],#REF!,Planning[[#This Row],[Proyectos]],#REF!,Planning[[#This Row],[Mes]],#REF!,Planning[[#This Row],[Año]])</f>
        <v>#REF!</v>
      </c>
      <c r="R535" s="19" t="str">
        <f>TEXT(Planning[[#This Row],[Mes]]*29,"mmmm")</f>
        <v>October</v>
      </c>
      <c r="S5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5" s="228"/>
      <c r="U535" s="43" t="e">
        <f>IF(Planning[[#This Row],[Horas Planificadas]]&lt;&gt;0,+K535/Planning[[#This Row],[Horas Planificadas]],0)</f>
        <v>#REF!</v>
      </c>
      <c r="V535" s="43" t="e">
        <f>IF(Planning[[#This Row],[Horas Planificadas]]&lt;&gt;0,Planning[[#This Row],[Horas utilizadas]]/Planning[[#This Row],[Horas Planificadas]],0)</f>
        <v>#REF!</v>
      </c>
      <c r="W535" s="44">
        <f>Planning[[#This Row],[Horas Planificadas]]+Planning[[#This Row],[Horas ajustadas adicionales]]</f>
        <v>603</v>
      </c>
      <c r="X535" s="142"/>
    </row>
    <row r="536" spans="1:24" ht="12.75" customHeight="1" x14ac:dyDescent="0.2">
      <c r="A536" s="7"/>
      <c r="B536" s="7"/>
      <c r="C536" s="3"/>
      <c r="D536" s="3" t="s">
        <v>175</v>
      </c>
      <c r="E536" s="4" t="s">
        <v>30</v>
      </c>
      <c r="F536" s="3"/>
      <c r="G536" s="9"/>
      <c r="H536" s="9">
        <v>726</v>
      </c>
      <c r="I536" s="12"/>
      <c r="J536" s="5" t="e">
        <f>+SUMIFS(#REF!,#REF!,Planning[[#This Row],[Tarifa]],#REF!,Planning[[#This Row],[Proyectos]])</f>
        <v>#REF!</v>
      </c>
      <c r="K536" s="5" t="e">
        <f>Planning[[#This Row],[Horas Planificadas]]+Planning[[#This Row],[Horas ajustadas adicionales]]-Planning[[#This Row],[Horas utilizadas]]</f>
        <v>#REF!</v>
      </c>
      <c r="L536" s="7"/>
      <c r="M536" s="19" t="e">
        <f>Planning[[#This Row],[Saldo]]-Planning[[#This Row],[Saldo estimado]]</f>
        <v>#REF!</v>
      </c>
      <c r="N536" s="60" t="e">
        <f>+SUMIFS(#REF!,#REF!,Planning[[#This Row],[Proyectos]],#REF!,Planning[[#This Row],[Tipo de Tarea y especialidad]])</f>
        <v>#REF!</v>
      </c>
      <c r="O536" s="19">
        <f t="shared" si="16"/>
        <v>10</v>
      </c>
      <c r="P536" s="19">
        <f t="shared" si="17"/>
        <v>2024</v>
      </c>
      <c r="Q536" s="19" t="e">
        <f>+SUMIFS(#REF!,#REF!,Planning[[#This Row],[Tarifa]],#REF!,Planning[[#This Row],[Proyectos]],#REF!,Planning[[#This Row],[Mes]],#REF!,Planning[[#This Row],[Año]])</f>
        <v>#REF!</v>
      </c>
      <c r="R536" s="19" t="str">
        <f>TEXT(Planning[[#This Row],[Mes]]*29,"mmmm")</f>
        <v>October</v>
      </c>
      <c r="S5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6" s="228"/>
      <c r="U536" s="43" t="e">
        <f>IF(Planning[[#This Row],[Horas Planificadas]]&lt;&gt;0,+K536/Planning[[#This Row],[Horas Planificadas]],0)</f>
        <v>#REF!</v>
      </c>
      <c r="V536" s="43" t="e">
        <f>IF(Planning[[#This Row],[Horas Planificadas]]&lt;&gt;0,Planning[[#This Row],[Horas utilizadas]]/Planning[[#This Row],[Horas Planificadas]],0)</f>
        <v>#REF!</v>
      </c>
      <c r="W536" s="44">
        <f>Planning[[#This Row],[Horas Planificadas]]+Planning[[#This Row],[Horas ajustadas adicionales]]</f>
        <v>726</v>
      </c>
      <c r="X536" s="142"/>
    </row>
    <row r="537" spans="1:24" ht="12.75" customHeight="1" x14ac:dyDescent="0.2">
      <c r="A537" s="7"/>
      <c r="B537" s="7"/>
      <c r="C537" s="3"/>
      <c r="D537" s="3" t="s">
        <v>175</v>
      </c>
      <c r="E537" s="4" t="s">
        <v>31</v>
      </c>
      <c r="F537" s="3"/>
      <c r="G537" s="9"/>
      <c r="H537" s="9">
        <v>84</v>
      </c>
      <c r="I537" s="12"/>
      <c r="J537" s="5" t="e">
        <f>+SUMIFS(#REF!,#REF!,Planning[[#This Row],[Tarifa]],#REF!,Planning[[#This Row],[Proyectos]])</f>
        <v>#REF!</v>
      </c>
      <c r="K537" s="5" t="e">
        <f>Planning[[#This Row],[Horas Planificadas]]+Planning[[#This Row],[Horas ajustadas adicionales]]-Planning[[#This Row],[Horas utilizadas]]</f>
        <v>#REF!</v>
      </c>
      <c r="L537" s="7"/>
      <c r="M537" s="19" t="e">
        <f>Planning[[#This Row],[Saldo]]-Planning[[#This Row],[Saldo estimado]]</f>
        <v>#REF!</v>
      </c>
      <c r="N537" s="60" t="e">
        <f>+SUMIFS(#REF!,#REF!,Planning[[#This Row],[Proyectos]],#REF!,Planning[[#This Row],[Tipo de Tarea y especialidad]])</f>
        <v>#REF!</v>
      </c>
      <c r="O537" s="19">
        <f t="shared" si="16"/>
        <v>10</v>
      </c>
      <c r="P537" s="19">
        <f t="shared" si="17"/>
        <v>2024</v>
      </c>
      <c r="Q537" s="19" t="e">
        <f>+SUMIFS(#REF!,#REF!,Planning[[#This Row],[Tarifa]],#REF!,Planning[[#This Row],[Proyectos]],#REF!,Planning[[#This Row],[Mes]],#REF!,Planning[[#This Row],[Año]])</f>
        <v>#REF!</v>
      </c>
      <c r="R537" s="19" t="str">
        <f>TEXT(Planning[[#This Row],[Mes]]*29,"mmmm")</f>
        <v>October</v>
      </c>
      <c r="S5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7" s="228"/>
      <c r="U537" s="43" t="e">
        <f>IF(Planning[[#This Row],[Horas Planificadas]]&lt;&gt;0,+K537/Planning[[#This Row],[Horas Planificadas]],0)</f>
        <v>#REF!</v>
      </c>
      <c r="V537" s="43" t="e">
        <f>IF(Planning[[#This Row],[Horas Planificadas]]&lt;&gt;0,Planning[[#This Row],[Horas utilizadas]]/Planning[[#This Row],[Horas Planificadas]],0)</f>
        <v>#REF!</v>
      </c>
      <c r="W537" s="44">
        <f>Planning[[#This Row],[Horas Planificadas]]+Planning[[#This Row],[Horas ajustadas adicionales]]</f>
        <v>84</v>
      </c>
      <c r="X537" s="142"/>
    </row>
    <row r="538" spans="1:24" ht="12.75" customHeight="1" x14ac:dyDescent="0.2">
      <c r="A538" s="7"/>
      <c r="B538" s="7"/>
      <c r="C538" s="3"/>
      <c r="D538" s="3" t="s">
        <v>175</v>
      </c>
      <c r="E538" s="4" t="s">
        <v>32</v>
      </c>
      <c r="F538" s="3"/>
      <c r="G538" s="9"/>
      <c r="H538" s="9">
        <v>373</v>
      </c>
      <c r="I538" s="12"/>
      <c r="J538" s="5" t="e">
        <f>+SUMIFS(#REF!,#REF!,Planning[[#This Row],[Tarifa]],#REF!,Planning[[#This Row],[Proyectos]])</f>
        <v>#REF!</v>
      </c>
      <c r="K538" s="5" t="e">
        <f>Planning[[#This Row],[Horas Planificadas]]+Planning[[#This Row],[Horas ajustadas adicionales]]-Planning[[#This Row],[Horas utilizadas]]</f>
        <v>#REF!</v>
      </c>
      <c r="L538" s="7"/>
      <c r="M538" s="19" t="e">
        <f>Planning[[#This Row],[Saldo]]-Planning[[#This Row],[Saldo estimado]]</f>
        <v>#REF!</v>
      </c>
      <c r="N538" s="60" t="e">
        <f>+SUMIFS(#REF!,#REF!,Planning[[#This Row],[Proyectos]],#REF!,Planning[[#This Row],[Tipo de Tarea y especialidad]])</f>
        <v>#REF!</v>
      </c>
      <c r="O538" s="19">
        <f t="shared" si="16"/>
        <v>10</v>
      </c>
      <c r="P538" s="19">
        <f t="shared" si="17"/>
        <v>2024</v>
      </c>
      <c r="Q538" s="19" t="e">
        <f>+SUMIFS(#REF!,#REF!,Planning[[#This Row],[Tarifa]],#REF!,Planning[[#This Row],[Proyectos]],#REF!,Planning[[#This Row],[Mes]],#REF!,Planning[[#This Row],[Año]])</f>
        <v>#REF!</v>
      </c>
      <c r="R538" s="19" t="str">
        <f>TEXT(Planning[[#This Row],[Mes]]*29,"mmmm")</f>
        <v>October</v>
      </c>
      <c r="S5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8" s="228"/>
      <c r="U538" s="43" t="e">
        <f>IF(Planning[[#This Row],[Horas Planificadas]]&lt;&gt;0,+K538/Planning[[#This Row],[Horas Planificadas]],0)</f>
        <v>#REF!</v>
      </c>
      <c r="V538" s="43" t="e">
        <f>IF(Planning[[#This Row],[Horas Planificadas]]&lt;&gt;0,Planning[[#This Row],[Horas utilizadas]]/Planning[[#This Row],[Horas Planificadas]],0)</f>
        <v>#REF!</v>
      </c>
      <c r="W538" s="44">
        <f>Planning[[#This Row],[Horas Planificadas]]+Planning[[#This Row],[Horas ajustadas adicionales]]</f>
        <v>373</v>
      </c>
      <c r="X538" s="142"/>
    </row>
    <row r="539" spans="1:24" ht="12.75" customHeight="1" x14ac:dyDescent="0.2">
      <c r="A539" s="7"/>
      <c r="B539" s="7"/>
      <c r="C539" s="3"/>
      <c r="D539" s="3" t="s">
        <v>176</v>
      </c>
      <c r="E539" s="4" t="s">
        <v>28</v>
      </c>
      <c r="F539" s="3"/>
      <c r="G539" s="9"/>
      <c r="H539" s="12">
        <v>0</v>
      </c>
      <c r="I539" s="12"/>
      <c r="J539" s="5" t="e">
        <f>+SUMIFS(#REF!,#REF!,Planning[[#This Row],[Tarifa]],#REF!,Planning[[#This Row],[Proyectos]])</f>
        <v>#REF!</v>
      </c>
      <c r="K539" s="27" t="e">
        <f>Planning[[#This Row],[Horas Planificadas]]+Planning[[#This Row],[Horas ajustadas adicionales]]-Planning[[#This Row],[Horas utilizadas]]</f>
        <v>#REF!</v>
      </c>
      <c r="L539" s="7"/>
      <c r="M539" s="19" t="e">
        <f>Planning[[#This Row],[Saldo]]-Planning[[#This Row],[Saldo estimado]]</f>
        <v>#REF!</v>
      </c>
      <c r="N539" s="60" t="e">
        <f>+SUMIFS(#REF!,#REF!,Planning[[#This Row],[Proyectos]],#REF!,Planning[[#This Row],[Tipo de Tarea y especialidad]])</f>
        <v>#REF!</v>
      </c>
      <c r="O539" s="19">
        <f t="shared" si="16"/>
        <v>10</v>
      </c>
      <c r="P539" s="19">
        <f t="shared" si="17"/>
        <v>2024</v>
      </c>
      <c r="Q539" s="19" t="e">
        <f>+SUMIFS(#REF!,#REF!,Planning[[#This Row],[Tarifa]],#REF!,Planning[[#This Row],[Proyectos]],#REF!,Planning[[#This Row],[Mes]],#REF!,Planning[[#This Row],[Año]])</f>
        <v>#REF!</v>
      </c>
      <c r="R539" s="19" t="str">
        <f>TEXT(Planning[[#This Row],[Mes]]*29,"mmmm")</f>
        <v>October</v>
      </c>
      <c r="S5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9" s="228"/>
      <c r="U539" s="43">
        <f>IF(Planning[[#This Row],[Horas Planificadas]]&lt;&gt;0,+K539/Planning[[#This Row],[Horas Planificadas]],0)</f>
        <v>0</v>
      </c>
      <c r="V539" s="43">
        <f>IF(Planning[[#This Row],[Horas Planificadas]]&lt;&gt;0,Planning[[#This Row],[Horas utilizadas]]/Planning[[#This Row],[Horas Planificadas]],0)</f>
        <v>0</v>
      </c>
      <c r="W539" s="44">
        <f>Planning[[#This Row],[Horas Planificadas]]+Planning[[#This Row],[Horas ajustadas adicionales]]</f>
        <v>0</v>
      </c>
      <c r="X539" s="142"/>
    </row>
    <row r="540" spans="1:24" ht="12.75" customHeight="1" x14ac:dyDescent="0.2">
      <c r="A540" s="7"/>
      <c r="B540" s="7"/>
      <c r="C540" s="3"/>
      <c r="D540" s="3" t="s">
        <v>176</v>
      </c>
      <c r="E540" s="4" t="s">
        <v>30</v>
      </c>
      <c r="F540" s="3"/>
      <c r="G540" s="9"/>
      <c r="H540" s="9">
        <v>4</v>
      </c>
      <c r="I540" s="12"/>
      <c r="J540" s="5" t="e">
        <f>+SUMIFS(#REF!,#REF!,Planning[[#This Row],[Tarifa]],#REF!,Planning[[#This Row],[Proyectos]])</f>
        <v>#REF!</v>
      </c>
      <c r="K540" s="5" t="e">
        <f>Planning[[#This Row],[Horas Planificadas]]+Planning[[#This Row],[Horas ajustadas adicionales]]-Planning[[#This Row],[Horas utilizadas]]</f>
        <v>#REF!</v>
      </c>
      <c r="L540" s="7"/>
      <c r="M540" s="19" t="e">
        <f>Planning[[#This Row],[Saldo]]-Planning[[#This Row],[Saldo estimado]]</f>
        <v>#REF!</v>
      </c>
      <c r="N540" s="60" t="e">
        <f>+SUMIFS(#REF!,#REF!,Planning[[#This Row],[Proyectos]],#REF!,Planning[[#This Row],[Tipo de Tarea y especialidad]])</f>
        <v>#REF!</v>
      </c>
      <c r="O540" s="19">
        <f t="shared" si="16"/>
        <v>10</v>
      </c>
      <c r="P540" s="19">
        <f t="shared" si="17"/>
        <v>2024</v>
      </c>
      <c r="Q540" s="19" t="e">
        <f>+SUMIFS(#REF!,#REF!,Planning[[#This Row],[Tarifa]],#REF!,Planning[[#This Row],[Proyectos]],#REF!,Planning[[#This Row],[Mes]],#REF!,Planning[[#This Row],[Año]])</f>
        <v>#REF!</v>
      </c>
      <c r="R540" s="19" t="str">
        <f>TEXT(Planning[[#This Row],[Mes]]*29,"mmmm")</f>
        <v>October</v>
      </c>
      <c r="S5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0" s="228"/>
      <c r="U540" s="43" t="e">
        <f>IF(Planning[[#This Row],[Horas Planificadas]]&lt;&gt;0,+K540/Planning[[#This Row],[Horas Planificadas]],0)</f>
        <v>#REF!</v>
      </c>
      <c r="V540" s="43" t="e">
        <f>IF(Planning[[#This Row],[Horas Planificadas]]&lt;&gt;0,Planning[[#This Row],[Horas utilizadas]]/Planning[[#This Row],[Horas Planificadas]],0)</f>
        <v>#REF!</v>
      </c>
      <c r="W540" s="44">
        <f>Planning[[#This Row],[Horas Planificadas]]+Planning[[#This Row],[Horas ajustadas adicionales]]</f>
        <v>4</v>
      </c>
      <c r="X540" s="142"/>
    </row>
    <row r="541" spans="1:24" ht="12.75" customHeight="1" x14ac:dyDescent="0.2">
      <c r="A541" s="7"/>
      <c r="B541" s="7"/>
      <c r="C541" s="3"/>
      <c r="D541" s="3" t="s">
        <v>176</v>
      </c>
      <c r="E541" s="4" t="s">
        <v>31</v>
      </c>
      <c r="F541" s="3"/>
      <c r="G541" s="9"/>
      <c r="H541" s="9">
        <v>0</v>
      </c>
      <c r="I541" s="12"/>
      <c r="J541" s="5" t="e">
        <f>+SUMIFS(#REF!,#REF!,Planning[[#This Row],[Tarifa]],#REF!,Planning[[#This Row],[Proyectos]])</f>
        <v>#REF!</v>
      </c>
      <c r="K541" s="5" t="e">
        <f>Planning[[#This Row],[Horas Planificadas]]+Planning[[#This Row],[Horas ajustadas adicionales]]-Planning[[#This Row],[Horas utilizadas]]</f>
        <v>#REF!</v>
      </c>
      <c r="L541" s="7"/>
      <c r="M541" s="19" t="e">
        <f>Planning[[#This Row],[Saldo]]-Planning[[#This Row],[Saldo estimado]]</f>
        <v>#REF!</v>
      </c>
      <c r="N541" s="60" t="e">
        <f>+SUMIFS(#REF!,#REF!,Planning[[#This Row],[Proyectos]],#REF!,Planning[[#This Row],[Tipo de Tarea y especialidad]])</f>
        <v>#REF!</v>
      </c>
      <c r="O541" s="19">
        <f t="shared" si="16"/>
        <v>10</v>
      </c>
      <c r="P541" s="19">
        <f t="shared" si="17"/>
        <v>2024</v>
      </c>
      <c r="Q541" s="19" t="e">
        <f>+SUMIFS(#REF!,#REF!,Planning[[#This Row],[Tarifa]],#REF!,Planning[[#This Row],[Proyectos]],#REF!,Planning[[#This Row],[Mes]],#REF!,Planning[[#This Row],[Año]])</f>
        <v>#REF!</v>
      </c>
      <c r="R541" s="19" t="str">
        <f>TEXT(Planning[[#This Row],[Mes]]*29,"mmmm")</f>
        <v>October</v>
      </c>
      <c r="S5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1" s="228"/>
      <c r="U541" s="43">
        <f>IF(Planning[[#This Row],[Horas Planificadas]]&lt;&gt;0,+K541/Planning[[#This Row],[Horas Planificadas]],0)</f>
        <v>0</v>
      </c>
      <c r="V541" s="43">
        <f>IF(Planning[[#This Row],[Horas Planificadas]]&lt;&gt;0,Planning[[#This Row],[Horas utilizadas]]/Planning[[#This Row],[Horas Planificadas]],0)</f>
        <v>0</v>
      </c>
      <c r="W541" s="44">
        <f>Planning[[#This Row],[Horas Planificadas]]+Planning[[#This Row],[Horas ajustadas adicionales]]</f>
        <v>0</v>
      </c>
      <c r="X541" s="142"/>
    </row>
    <row r="542" spans="1:24" ht="12.75" customHeight="1" x14ac:dyDescent="0.2">
      <c r="A542" s="7"/>
      <c r="B542" s="7"/>
      <c r="C542" s="3"/>
      <c r="D542" s="3" t="s">
        <v>176</v>
      </c>
      <c r="E542" s="4" t="s">
        <v>32</v>
      </c>
      <c r="F542" s="3"/>
      <c r="G542" s="9"/>
      <c r="H542" s="9">
        <v>6</v>
      </c>
      <c r="I542" s="12"/>
      <c r="J542" s="5" t="e">
        <f>+SUMIFS(#REF!,#REF!,Planning[[#This Row],[Tarifa]],#REF!,Planning[[#This Row],[Proyectos]])</f>
        <v>#REF!</v>
      </c>
      <c r="K542" s="5" t="e">
        <f>Planning[[#This Row],[Horas Planificadas]]+Planning[[#This Row],[Horas ajustadas adicionales]]-Planning[[#This Row],[Horas utilizadas]]</f>
        <v>#REF!</v>
      </c>
      <c r="L542" s="7"/>
      <c r="M542" s="19" t="e">
        <f>Planning[[#This Row],[Saldo]]-Planning[[#This Row],[Saldo estimado]]</f>
        <v>#REF!</v>
      </c>
      <c r="N542" s="60" t="e">
        <f>+SUMIFS(#REF!,#REF!,Planning[[#This Row],[Proyectos]],#REF!,Planning[[#This Row],[Tipo de Tarea y especialidad]])</f>
        <v>#REF!</v>
      </c>
      <c r="O542" s="19">
        <f t="shared" si="16"/>
        <v>10</v>
      </c>
      <c r="P542" s="19">
        <f t="shared" si="17"/>
        <v>2024</v>
      </c>
      <c r="Q542" s="19" t="e">
        <f>+SUMIFS(#REF!,#REF!,Planning[[#This Row],[Tarifa]],#REF!,Planning[[#This Row],[Proyectos]],#REF!,Planning[[#This Row],[Mes]],#REF!,Planning[[#This Row],[Año]])</f>
        <v>#REF!</v>
      </c>
      <c r="R542" s="19" t="str">
        <f>TEXT(Planning[[#This Row],[Mes]]*29,"mmmm")</f>
        <v>October</v>
      </c>
      <c r="S5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2" s="228"/>
      <c r="U542" s="43" t="e">
        <f>IF(Planning[[#This Row],[Horas Planificadas]]&lt;&gt;0,+K542/Planning[[#This Row],[Horas Planificadas]],0)</f>
        <v>#REF!</v>
      </c>
      <c r="V542" s="43" t="e">
        <f>IF(Planning[[#This Row],[Horas Planificadas]]&lt;&gt;0,Planning[[#This Row],[Horas utilizadas]]/Planning[[#This Row],[Horas Planificadas]],0)</f>
        <v>#REF!</v>
      </c>
      <c r="W542" s="44">
        <f>Planning[[#This Row],[Horas Planificadas]]+Planning[[#This Row],[Horas ajustadas adicionales]]</f>
        <v>6</v>
      </c>
      <c r="X542" s="142"/>
    </row>
    <row r="543" spans="1:24" ht="12.75" customHeight="1" x14ac:dyDescent="0.2">
      <c r="A543" s="7" t="s">
        <v>177</v>
      </c>
      <c r="B543" s="7" t="s">
        <v>178</v>
      </c>
      <c r="C543" s="3"/>
      <c r="D543" s="3" t="s">
        <v>179</v>
      </c>
      <c r="E543" s="33" t="s">
        <v>28</v>
      </c>
      <c r="F543" s="3"/>
      <c r="G543" s="7">
        <v>0</v>
      </c>
      <c r="H543" s="24">
        <f>SUM(H544:H545)</f>
        <v>14</v>
      </c>
      <c r="I543" s="14"/>
      <c r="J543" s="14" t="e">
        <f>SUM(J544:J545)</f>
        <v>#REF!</v>
      </c>
      <c r="K543" s="18" t="e">
        <f>SUM(K544:K545)</f>
        <v>#REF!</v>
      </c>
      <c r="L543" s="15">
        <f>SUM(L544:L545)</f>
        <v>0</v>
      </c>
      <c r="M543" s="28" t="e">
        <f>SUM(M544:M545)</f>
        <v>#REF!</v>
      </c>
      <c r="N543" s="61"/>
      <c r="O543" s="28">
        <f t="shared" si="16"/>
        <v>10</v>
      </c>
      <c r="P543" s="28">
        <f t="shared" si="17"/>
        <v>2024</v>
      </c>
      <c r="Q543" s="28" t="e">
        <f>SUM(Q544:Q545)</f>
        <v>#REF!</v>
      </c>
      <c r="R543" s="28" t="str">
        <f>TEXT(Planning[[#This Row],[Mes]]*29,"mmmm")</f>
        <v>October</v>
      </c>
      <c r="S5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3" s="192" t="s">
        <v>180</v>
      </c>
      <c r="U543" s="43" t="e">
        <f>IF(Planning[[#This Row],[Horas Planificadas]]&lt;&gt;0,+K543/Planning[[#This Row],[Horas Planificadas]],0)</f>
        <v>#REF!</v>
      </c>
      <c r="V543" s="43" t="e">
        <f>IF(Planning[[#This Row],[Horas Planificadas]]&lt;&gt;0,Planning[[#This Row],[Horas utilizadas]]/Planning[[#This Row],[Horas Planificadas]],0)</f>
        <v>#REF!</v>
      </c>
      <c r="W543" s="44">
        <f>Planning[[#This Row],[Horas Planificadas]]+Planning[[#This Row],[Horas ajustadas adicionales]]</f>
        <v>14</v>
      </c>
      <c r="X543" s="142"/>
    </row>
    <row r="544" spans="1:24" ht="12.75" customHeight="1" x14ac:dyDescent="0.2">
      <c r="A544" s="7" t="s">
        <v>177</v>
      </c>
      <c r="B544" s="7" t="s">
        <v>178</v>
      </c>
      <c r="C544" s="3"/>
      <c r="D544" s="3" t="s">
        <v>179</v>
      </c>
      <c r="E544" s="33"/>
      <c r="F544" s="3" t="s">
        <v>120</v>
      </c>
      <c r="G544" s="7"/>
      <c r="H544" s="7">
        <v>5</v>
      </c>
      <c r="I544" s="12"/>
      <c r="J544" s="5" t="e">
        <f>SUM(SUMIFS(#REF!,#REF!,Planning[[#This Row],[Tipo de Tarea y especialidad]],#REF!,Planning[[#This Row],[Proyectos Reiwa]]),SUMIFS(#REF!,#REF!,Planning[[#This Row],[Tipo de Tarea y especialidad]],#REF!,Planning[[#This Row],[Proyectos]]))</f>
        <v>#REF!</v>
      </c>
      <c r="K544" s="5" t="e">
        <f>Planning[[#This Row],[Horas Planificadas]]+Planning[[#This Row],[Horas ajustadas adicionales]]-Planning[[#This Row],[Horas utilizadas]]</f>
        <v>#REF!</v>
      </c>
      <c r="L544" s="7">
        <v>0</v>
      </c>
      <c r="M544" s="19" t="e">
        <f>Planning[[#This Row],[Saldo]]-Planning[[#This Row],[Saldo estimado]]</f>
        <v>#REF!</v>
      </c>
      <c r="N544" s="60" t="e">
        <f>+SUMIFS(#REF!,#REF!,Planning[[#This Row],[Proyectos]],#REF!,Planning[[#This Row],[Tipo de Tarea y especialidad]])</f>
        <v>#REF!</v>
      </c>
      <c r="O544" s="19">
        <f t="shared" si="16"/>
        <v>10</v>
      </c>
      <c r="P544" s="19">
        <f t="shared" si="17"/>
        <v>2024</v>
      </c>
      <c r="Q5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4" s="19" t="str">
        <f>TEXT(Planning[[#This Row],[Mes]]*29,"mmmm")</f>
        <v>October</v>
      </c>
      <c r="S5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4" s="193"/>
      <c r="U544" s="43" t="e">
        <f>IF(Planning[[#This Row],[Horas Planificadas]]&lt;&gt;0,+K544/Planning[[#This Row],[Horas Planificadas]],0)</f>
        <v>#REF!</v>
      </c>
      <c r="V544" s="43" t="e">
        <f>IF(Planning[[#This Row],[Horas Planificadas]]&lt;&gt;0,Planning[[#This Row],[Horas utilizadas]]/Planning[[#This Row],[Horas Planificadas]],0)</f>
        <v>#REF!</v>
      </c>
      <c r="W544" s="44">
        <f>Planning[[#This Row],[Horas Planificadas]]+Planning[[#This Row],[Horas ajustadas adicionales]]</f>
        <v>5</v>
      </c>
      <c r="X544" s="142"/>
    </row>
    <row r="545" spans="1:24" ht="12.75" customHeight="1" x14ac:dyDescent="0.2">
      <c r="A545" s="7" t="s">
        <v>177</v>
      </c>
      <c r="B545" s="7" t="s">
        <v>178</v>
      </c>
      <c r="C545" s="3"/>
      <c r="D545" s="3" t="s">
        <v>179</v>
      </c>
      <c r="E545" s="33"/>
      <c r="F545" s="3" t="s">
        <v>121</v>
      </c>
      <c r="G545" s="7"/>
      <c r="H545" s="7">
        <v>9</v>
      </c>
      <c r="I545" s="12"/>
      <c r="J545" s="5" t="e">
        <f>SUM(SUMIFS(#REF!,#REF!,Planning[[#This Row],[Tipo de Tarea y especialidad]],#REF!,Planning[[#This Row],[Proyectos Reiwa]]),SUMIFS(#REF!,#REF!,Planning[[#This Row],[Tipo de Tarea y especialidad]],#REF!,Planning[[#This Row],[Proyectos]]))</f>
        <v>#REF!</v>
      </c>
      <c r="K545" s="5" t="e">
        <f>Planning[[#This Row],[Horas Planificadas]]+Planning[[#This Row],[Horas ajustadas adicionales]]-Planning[[#This Row],[Horas utilizadas]]</f>
        <v>#REF!</v>
      </c>
      <c r="L545" s="7">
        <v>0</v>
      </c>
      <c r="M545" s="19" t="e">
        <f>Planning[[#This Row],[Saldo]]-Planning[[#This Row],[Saldo estimado]]</f>
        <v>#REF!</v>
      </c>
      <c r="N545" s="60" t="e">
        <f>+SUMIFS(#REF!,#REF!,Planning[[#This Row],[Proyectos]],#REF!,Planning[[#This Row],[Tipo de Tarea y especialidad]])</f>
        <v>#REF!</v>
      </c>
      <c r="O545" s="19">
        <f t="shared" si="16"/>
        <v>10</v>
      </c>
      <c r="P545" s="19">
        <f t="shared" si="17"/>
        <v>2024</v>
      </c>
      <c r="Q5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5" s="19" t="str">
        <f>TEXT(Planning[[#This Row],[Mes]]*29,"mmmm")</f>
        <v>October</v>
      </c>
      <c r="S5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5" s="193"/>
      <c r="U545" s="43" t="e">
        <f>IF(Planning[[#This Row],[Horas Planificadas]]&lt;&gt;0,+K545/Planning[[#This Row],[Horas Planificadas]],0)</f>
        <v>#REF!</v>
      </c>
      <c r="V545" s="43" t="e">
        <f>IF(Planning[[#This Row],[Horas Planificadas]]&lt;&gt;0,Planning[[#This Row],[Horas utilizadas]]/Planning[[#This Row],[Horas Planificadas]],0)</f>
        <v>#REF!</v>
      </c>
      <c r="W545" s="44">
        <f>Planning[[#This Row],[Horas Planificadas]]+Planning[[#This Row],[Horas ajustadas adicionales]]</f>
        <v>9</v>
      </c>
      <c r="X545" s="142"/>
    </row>
    <row r="546" spans="1:24" ht="12.75" customHeight="1" x14ac:dyDescent="0.2">
      <c r="A546" s="7" t="s">
        <v>177</v>
      </c>
      <c r="B546" s="7" t="s">
        <v>178</v>
      </c>
      <c r="C546" s="3"/>
      <c r="D546" s="3" t="s">
        <v>179</v>
      </c>
      <c r="E546" s="33" t="s">
        <v>30</v>
      </c>
      <c r="F546" s="3"/>
      <c r="G546" s="7">
        <v>963</v>
      </c>
      <c r="H546" s="24">
        <f>SUM(H547:H553)</f>
        <v>932</v>
      </c>
      <c r="I546" s="14"/>
      <c r="J546" s="14" t="e">
        <f>SUM(J547:J553)</f>
        <v>#REF!</v>
      </c>
      <c r="K546" s="18" t="e">
        <f>SUM(K547:K553)</f>
        <v>#REF!</v>
      </c>
      <c r="L546" s="15">
        <f>SUM(L547:L553)</f>
        <v>0</v>
      </c>
      <c r="M546" s="16" t="e">
        <f>SUM(M547:M553)</f>
        <v>#REF!</v>
      </c>
      <c r="N546" s="60"/>
      <c r="O546" s="16">
        <f t="shared" si="16"/>
        <v>10</v>
      </c>
      <c r="P546" s="16">
        <f t="shared" si="17"/>
        <v>2024</v>
      </c>
      <c r="Q546" s="16" t="e">
        <f>SUM(Q547:Q553)</f>
        <v>#REF!</v>
      </c>
      <c r="R546" s="16" t="str">
        <f>TEXT(Planning[[#This Row],[Mes]]*29,"mmmm")</f>
        <v>October</v>
      </c>
      <c r="S5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6" s="193"/>
      <c r="U546" s="43" t="e">
        <f>IF(Planning[[#This Row],[Horas Planificadas]]&lt;&gt;0,+K546/Planning[[#This Row],[Horas Planificadas]],0)</f>
        <v>#REF!</v>
      </c>
      <c r="V546" s="43" t="e">
        <f>IF(Planning[[#This Row],[Horas Planificadas]]&lt;&gt;0,Planning[[#This Row],[Horas utilizadas]]/Planning[[#This Row],[Horas Planificadas]],0)</f>
        <v>#REF!</v>
      </c>
      <c r="W546" s="44">
        <f>Planning[[#This Row],[Horas Planificadas]]+Planning[[#This Row],[Horas ajustadas adicionales]]</f>
        <v>932</v>
      </c>
      <c r="X546" s="142"/>
    </row>
    <row r="547" spans="1:24" ht="12.75" customHeight="1" x14ac:dyDescent="0.2">
      <c r="A547" s="7" t="s">
        <v>177</v>
      </c>
      <c r="B547" s="7" t="s">
        <v>178</v>
      </c>
      <c r="C547" s="3"/>
      <c r="D547" s="3" t="s">
        <v>179</v>
      </c>
      <c r="E547" s="33"/>
      <c r="F547" s="3" t="s">
        <v>122</v>
      </c>
      <c r="G547" s="7"/>
      <c r="H547" s="7"/>
      <c r="I547" s="12"/>
      <c r="J547" s="5" t="e">
        <f>SUM(SUMIFS(#REF!,#REF!,Planning[[#This Row],[Tipo de Tarea y especialidad]],#REF!,Planning[[#This Row],[Proyectos Reiwa]]),SUMIFS(#REF!,#REF!,Planning[[#This Row],[Tipo de Tarea y especialidad]],#REF!,Planning[[#This Row],[Proyectos]]))</f>
        <v>#REF!</v>
      </c>
      <c r="K547" s="5" t="e">
        <f>Planning[[#This Row],[Horas Planificadas]]+Planning[[#This Row],[Horas ajustadas adicionales]]-Planning[[#This Row],[Horas utilizadas]]</f>
        <v>#REF!</v>
      </c>
      <c r="L547" s="7"/>
      <c r="M547" s="19" t="e">
        <f>Planning[[#This Row],[Saldo]]-Planning[[#This Row],[Saldo estimado]]</f>
        <v>#REF!</v>
      </c>
      <c r="N547" s="60" t="e">
        <f>+SUMIFS(#REF!,#REF!,Planning[[#This Row],[Proyectos]],#REF!,Planning[[#This Row],[Tipo de Tarea y especialidad]])</f>
        <v>#REF!</v>
      </c>
      <c r="O547" s="19">
        <f t="shared" si="16"/>
        <v>10</v>
      </c>
      <c r="P547" s="19">
        <f t="shared" si="17"/>
        <v>2024</v>
      </c>
      <c r="Q5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7" s="19" t="str">
        <f>TEXT(Planning[[#This Row],[Mes]]*29,"mmmm")</f>
        <v>October</v>
      </c>
      <c r="S5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7" s="193"/>
      <c r="U547" s="43">
        <f>IF(Planning[[#This Row],[Horas Planificadas]]&lt;&gt;0,+K547/Planning[[#This Row],[Horas Planificadas]],0)</f>
        <v>0</v>
      </c>
      <c r="V547" s="43">
        <f>IF(Planning[[#This Row],[Horas Planificadas]]&lt;&gt;0,Planning[[#This Row],[Horas utilizadas]]/Planning[[#This Row],[Horas Planificadas]],0)</f>
        <v>0</v>
      </c>
      <c r="W547" s="44">
        <f>Planning[[#This Row],[Horas Planificadas]]+Planning[[#This Row],[Horas ajustadas adicionales]]</f>
        <v>0</v>
      </c>
      <c r="X547" s="142"/>
    </row>
    <row r="548" spans="1:24" ht="12.75" customHeight="1" x14ac:dyDescent="0.2">
      <c r="A548" s="7" t="s">
        <v>177</v>
      </c>
      <c r="B548" s="7" t="s">
        <v>178</v>
      </c>
      <c r="C548" s="3"/>
      <c r="D548" s="3" t="s">
        <v>179</v>
      </c>
      <c r="E548" s="33"/>
      <c r="F548" s="3" t="s">
        <v>123</v>
      </c>
      <c r="G548" s="7"/>
      <c r="H548" s="7">
        <v>842</v>
      </c>
      <c r="I548" s="12"/>
      <c r="J548" s="5" t="e">
        <f>SUM(SUMIFS(#REF!,#REF!,Planning[[#This Row],[Tipo de Tarea y especialidad]],#REF!,Planning[[#This Row],[Proyectos Reiwa]]),SUMIFS(#REF!,#REF!,Planning[[#This Row],[Tipo de Tarea y especialidad]],#REF!,Planning[[#This Row],[Proyectos]]))</f>
        <v>#REF!</v>
      </c>
      <c r="K548" s="5" t="e">
        <f>Planning[[#This Row],[Horas Planificadas]]+Planning[[#This Row],[Horas ajustadas adicionales]]-Planning[[#This Row],[Horas utilizadas]]</f>
        <v>#REF!</v>
      </c>
      <c r="L548" s="7">
        <v>0</v>
      </c>
      <c r="M548" s="19" t="e">
        <f>Planning[[#This Row],[Saldo]]-Planning[[#This Row],[Saldo estimado]]</f>
        <v>#REF!</v>
      </c>
      <c r="N548" s="60" t="e">
        <f>+SUMIFS(#REF!,#REF!,Planning[[#This Row],[Proyectos]],#REF!,Planning[[#This Row],[Tipo de Tarea y especialidad]])</f>
        <v>#REF!</v>
      </c>
      <c r="O548" s="19">
        <f t="shared" si="16"/>
        <v>10</v>
      </c>
      <c r="P548" s="19">
        <f t="shared" si="17"/>
        <v>2024</v>
      </c>
      <c r="Q5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8" s="19" t="str">
        <f>TEXT(Planning[[#This Row],[Mes]]*29,"mmmm")</f>
        <v>October</v>
      </c>
      <c r="S5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8" s="193"/>
      <c r="U548" s="43" t="e">
        <f>IF(Planning[[#This Row],[Horas Planificadas]]&lt;&gt;0,+K548/Planning[[#This Row],[Horas Planificadas]],0)</f>
        <v>#REF!</v>
      </c>
      <c r="V548" s="43" t="e">
        <f>IF(Planning[[#This Row],[Horas Planificadas]]&lt;&gt;0,Planning[[#This Row],[Horas utilizadas]]/Planning[[#This Row],[Horas Planificadas]],0)</f>
        <v>#REF!</v>
      </c>
      <c r="W548" s="44">
        <f>Planning[[#This Row],[Horas Planificadas]]+Planning[[#This Row],[Horas ajustadas adicionales]]</f>
        <v>842</v>
      </c>
      <c r="X548" s="142"/>
    </row>
    <row r="549" spans="1:24" ht="12.75" customHeight="1" x14ac:dyDescent="0.2">
      <c r="A549" s="7" t="s">
        <v>177</v>
      </c>
      <c r="B549" s="7" t="s">
        <v>178</v>
      </c>
      <c r="C549" s="3"/>
      <c r="D549" s="3" t="s">
        <v>179</v>
      </c>
      <c r="E549" s="33"/>
      <c r="F549" s="3" t="s">
        <v>124</v>
      </c>
      <c r="G549" s="7"/>
      <c r="H549" s="7"/>
      <c r="I549" s="12"/>
      <c r="J549" s="5" t="e">
        <f>SUM(SUMIFS(#REF!,#REF!,Planning[[#This Row],[Tipo de Tarea y especialidad]],#REF!,Planning[[#This Row],[Proyectos Reiwa]]),SUMIFS(#REF!,#REF!,Planning[[#This Row],[Tipo de Tarea y especialidad]],#REF!,Planning[[#This Row],[Proyectos]]))</f>
        <v>#REF!</v>
      </c>
      <c r="K549" s="5" t="e">
        <f>Planning[[#This Row],[Horas Planificadas]]+Planning[[#This Row],[Horas ajustadas adicionales]]-Planning[[#This Row],[Horas utilizadas]]</f>
        <v>#REF!</v>
      </c>
      <c r="L549" s="7"/>
      <c r="M549" s="19" t="e">
        <f>Planning[[#This Row],[Saldo]]-Planning[[#This Row],[Saldo estimado]]</f>
        <v>#REF!</v>
      </c>
      <c r="N549" s="60" t="e">
        <f>+SUMIFS(#REF!,#REF!,Planning[[#This Row],[Proyectos]],#REF!,Planning[[#This Row],[Tipo de Tarea y especialidad]])</f>
        <v>#REF!</v>
      </c>
      <c r="O549" s="19">
        <f t="shared" si="16"/>
        <v>10</v>
      </c>
      <c r="P549" s="19">
        <f t="shared" si="17"/>
        <v>2024</v>
      </c>
      <c r="Q5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9" s="19" t="str">
        <f>TEXT(Planning[[#This Row],[Mes]]*29,"mmmm")</f>
        <v>October</v>
      </c>
      <c r="S5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9" s="193"/>
      <c r="U549" s="43">
        <f>IF(Planning[[#This Row],[Horas Planificadas]]&lt;&gt;0,+K549/Planning[[#This Row],[Horas Planificadas]],0)</f>
        <v>0</v>
      </c>
      <c r="V549" s="43">
        <f>IF(Planning[[#This Row],[Horas Planificadas]]&lt;&gt;0,Planning[[#This Row],[Horas utilizadas]]/Planning[[#This Row],[Horas Planificadas]],0)</f>
        <v>0</v>
      </c>
      <c r="W549" s="44">
        <f>Planning[[#This Row],[Horas Planificadas]]+Planning[[#This Row],[Horas ajustadas adicionales]]</f>
        <v>0</v>
      </c>
      <c r="X549" s="142"/>
    </row>
    <row r="550" spans="1:24" ht="12.75" customHeight="1" x14ac:dyDescent="0.2">
      <c r="A550" s="7" t="s">
        <v>177</v>
      </c>
      <c r="B550" s="7" t="s">
        <v>178</v>
      </c>
      <c r="C550" s="3"/>
      <c r="D550" s="3" t="s">
        <v>179</v>
      </c>
      <c r="E550" s="33"/>
      <c r="F550" s="3" t="s">
        <v>125</v>
      </c>
      <c r="G550" s="7"/>
      <c r="H550" s="7">
        <v>90</v>
      </c>
      <c r="I550" s="12"/>
      <c r="J550" s="5" t="e">
        <f>SUM(SUMIFS(#REF!,#REF!,Planning[[#This Row],[Tipo de Tarea y especialidad]],#REF!,Planning[[#This Row],[Proyectos Reiwa]]),SUMIFS(#REF!,#REF!,Planning[[#This Row],[Tipo de Tarea y especialidad]],#REF!,Planning[[#This Row],[Proyectos]]))</f>
        <v>#REF!</v>
      </c>
      <c r="K550" s="5" t="e">
        <f>Planning[[#This Row],[Horas Planificadas]]+Planning[[#This Row],[Horas ajustadas adicionales]]-Planning[[#This Row],[Horas utilizadas]]</f>
        <v>#REF!</v>
      </c>
      <c r="L550" s="7">
        <v>0</v>
      </c>
      <c r="M550" s="19" t="e">
        <f>Planning[[#This Row],[Saldo]]-Planning[[#This Row],[Saldo estimado]]</f>
        <v>#REF!</v>
      </c>
      <c r="N550" s="60" t="e">
        <f>+SUMIFS(#REF!,#REF!,Planning[[#This Row],[Proyectos]],#REF!,Planning[[#This Row],[Tipo de Tarea y especialidad]])</f>
        <v>#REF!</v>
      </c>
      <c r="O550" s="19">
        <f t="shared" si="16"/>
        <v>10</v>
      </c>
      <c r="P550" s="19">
        <f t="shared" si="17"/>
        <v>2024</v>
      </c>
      <c r="Q5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0" s="19" t="str">
        <f>TEXT(Planning[[#This Row],[Mes]]*29,"mmmm")</f>
        <v>October</v>
      </c>
      <c r="S5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0" s="193"/>
      <c r="U550" s="43" t="e">
        <f>IF(Planning[[#This Row],[Horas Planificadas]]&lt;&gt;0,+K550/Planning[[#This Row],[Horas Planificadas]],0)</f>
        <v>#REF!</v>
      </c>
      <c r="V550" s="43" t="e">
        <f>IF(Planning[[#This Row],[Horas Planificadas]]&lt;&gt;0,Planning[[#This Row],[Horas utilizadas]]/Planning[[#This Row],[Horas Planificadas]],0)</f>
        <v>#REF!</v>
      </c>
      <c r="W550" s="44">
        <f>Planning[[#This Row],[Horas Planificadas]]+Planning[[#This Row],[Horas ajustadas adicionales]]</f>
        <v>90</v>
      </c>
      <c r="X550" s="142"/>
    </row>
    <row r="551" spans="1:24" ht="12.75" customHeight="1" x14ac:dyDescent="0.2">
      <c r="A551" s="7" t="s">
        <v>177</v>
      </c>
      <c r="B551" s="7" t="s">
        <v>178</v>
      </c>
      <c r="C551" s="3"/>
      <c r="D551" s="3" t="s">
        <v>179</v>
      </c>
      <c r="E551" s="33"/>
      <c r="F551" s="3" t="s">
        <v>126</v>
      </c>
      <c r="G551" s="7"/>
      <c r="H551" s="7"/>
      <c r="I551" s="12"/>
      <c r="J551" s="5" t="e">
        <f>SUM(SUMIFS(#REF!,#REF!,Planning[[#This Row],[Tipo de Tarea y especialidad]],#REF!,Planning[[#This Row],[Proyectos Reiwa]]),SUMIFS(#REF!,#REF!,Planning[[#This Row],[Tipo de Tarea y especialidad]],#REF!,Planning[[#This Row],[Proyectos]]))</f>
        <v>#REF!</v>
      </c>
      <c r="K551" s="5" t="e">
        <f>Planning[[#This Row],[Horas Planificadas]]+Planning[[#This Row],[Horas ajustadas adicionales]]-Planning[[#This Row],[Horas utilizadas]]</f>
        <v>#REF!</v>
      </c>
      <c r="L551" s="7"/>
      <c r="M551" s="19" t="e">
        <f>Planning[[#This Row],[Saldo]]-Planning[[#This Row],[Saldo estimado]]</f>
        <v>#REF!</v>
      </c>
      <c r="N551" s="60" t="e">
        <f>+SUMIFS(#REF!,#REF!,Planning[[#This Row],[Proyectos]],#REF!,Planning[[#This Row],[Tipo de Tarea y especialidad]])</f>
        <v>#REF!</v>
      </c>
      <c r="O551" s="19">
        <f t="shared" si="16"/>
        <v>10</v>
      </c>
      <c r="P551" s="19">
        <f t="shared" si="17"/>
        <v>2024</v>
      </c>
      <c r="Q5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1" s="19" t="str">
        <f>TEXT(Planning[[#This Row],[Mes]]*29,"mmmm")</f>
        <v>October</v>
      </c>
      <c r="S5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1" s="193"/>
      <c r="U551" s="43">
        <f>IF(Planning[[#This Row],[Horas Planificadas]]&lt;&gt;0,+K551/Planning[[#This Row],[Horas Planificadas]],0)</f>
        <v>0</v>
      </c>
      <c r="V551" s="43">
        <f>IF(Planning[[#This Row],[Horas Planificadas]]&lt;&gt;0,Planning[[#This Row],[Horas utilizadas]]/Planning[[#This Row],[Horas Planificadas]],0)</f>
        <v>0</v>
      </c>
      <c r="W551" s="44">
        <f>Planning[[#This Row],[Horas Planificadas]]+Planning[[#This Row],[Horas ajustadas adicionales]]</f>
        <v>0</v>
      </c>
      <c r="X551" s="142"/>
    </row>
    <row r="552" spans="1:24" ht="12.75" customHeight="1" x14ac:dyDescent="0.2">
      <c r="A552" s="7" t="s">
        <v>177</v>
      </c>
      <c r="B552" s="7" t="s">
        <v>178</v>
      </c>
      <c r="C552" s="3"/>
      <c r="D552" s="3" t="s">
        <v>179</v>
      </c>
      <c r="E552" s="33"/>
      <c r="F552" s="3" t="s">
        <v>127</v>
      </c>
      <c r="G552" s="7"/>
      <c r="H552" s="7"/>
      <c r="I552" s="12"/>
      <c r="J552" s="5" t="e">
        <f>SUM(SUMIFS(#REF!,#REF!,Planning[[#This Row],[Tipo de Tarea y especialidad]],#REF!,Planning[[#This Row],[Proyectos Reiwa]]),SUMIFS(#REF!,#REF!,Planning[[#This Row],[Tipo de Tarea y especialidad]],#REF!,Planning[[#This Row],[Proyectos]]))</f>
        <v>#REF!</v>
      </c>
      <c r="K552" s="5" t="e">
        <f>Planning[[#This Row],[Horas Planificadas]]+Planning[[#This Row],[Horas ajustadas adicionales]]-Planning[[#This Row],[Horas utilizadas]]</f>
        <v>#REF!</v>
      </c>
      <c r="L552" s="7">
        <v>0</v>
      </c>
      <c r="M552" s="19" t="e">
        <f>Planning[[#This Row],[Saldo]]-Planning[[#This Row],[Saldo estimado]]</f>
        <v>#REF!</v>
      </c>
      <c r="N552" s="60" t="e">
        <f>+SUMIFS(#REF!,#REF!,Planning[[#This Row],[Proyectos]],#REF!,Planning[[#This Row],[Tipo de Tarea y especialidad]])</f>
        <v>#REF!</v>
      </c>
      <c r="O552" s="19">
        <f t="shared" si="16"/>
        <v>10</v>
      </c>
      <c r="P552" s="19">
        <f t="shared" si="17"/>
        <v>2024</v>
      </c>
      <c r="Q5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2" s="19" t="str">
        <f>TEXT(Planning[[#This Row],[Mes]]*29,"mmmm")</f>
        <v>October</v>
      </c>
      <c r="S5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2" s="193"/>
      <c r="U552" s="43">
        <f>IF(Planning[[#This Row],[Horas Planificadas]]&lt;&gt;0,+K552/Planning[[#This Row],[Horas Planificadas]],0)</f>
        <v>0</v>
      </c>
      <c r="V552" s="43">
        <f>IF(Planning[[#This Row],[Horas Planificadas]]&lt;&gt;0,Planning[[#This Row],[Horas utilizadas]]/Planning[[#This Row],[Horas Planificadas]],0)</f>
        <v>0</v>
      </c>
      <c r="W552" s="44">
        <f>Planning[[#This Row],[Horas Planificadas]]+Planning[[#This Row],[Horas ajustadas adicionales]]</f>
        <v>0</v>
      </c>
      <c r="X552" s="142"/>
    </row>
    <row r="553" spans="1:24" ht="12.75" customHeight="1" x14ac:dyDescent="0.2">
      <c r="A553" s="7" t="s">
        <v>177</v>
      </c>
      <c r="B553" s="7" t="s">
        <v>178</v>
      </c>
      <c r="C553" s="3"/>
      <c r="D553" s="3" t="s">
        <v>179</v>
      </c>
      <c r="E553" s="33"/>
      <c r="F553" s="3" t="s">
        <v>128</v>
      </c>
      <c r="G553" s="7"/>
      <c r="H553" s="7"/>
      <c r="I553" s="12"/>
      <c r="J553" s="5" t="e">
        <f>SUM(SUMIFS(#REF!,#REF!,Planning[[#This Row],[Tipo de Tarea y especialidad]],#REF!,Planning[[#This Row],[Proyectos Reiwa]]),SUMIFS(#REF!,#REF!,Planning[[#This Row],[Tipo de Tarea y especialidad]],#REF!,Planning[[#This Row],[Proyectos]]))</f>
        <v>#REF!</v>
      </c>
      <c r="K553" s="5" t="e">
        <f>Planning[[#This Row],[Horas Planificadas]]+Planning[[#This Row],[Horas ajustadas adicionales]]-Planning[[#This Row],[Horas utilizadas]]</f>
        <v>#REF!</v>
      </c>
      <c r="L553" s="7"/>
      <c r="M553" s="19" t="e">
        <f>Planning[[#This Row],[Saldo]]-Planning[[#This Row],[Saldo estimado]]</f>
        <v>#REF!</v>
      </c>
      <c r="N553" s="60" t="e">
        <f>+SUMIFS(#REF!,#REF!,Planning[[#This Row],[Proyectos]],#REF!,Planning[[#This Row],[Tipo de Tarea y especialidad]])</f>
        <v>#REF!</v>
      </c>
      <c r="O553" s="19">
        <f t="shared" si="16"/>
        <v>10</v>
      </c>
      <c r="P553" s="19">
        <f t="shared" si="17"/>
        <v>2024</v>
      </c>
      <c r="Q5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3" s="19" t="str">
        <f>TEXT(Planning[[#This Row],[Mes]]*29,"mmmm")</f>
        <v>October</v>
      </c>
      <c r="S5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3" s="193"/>
      <c r="U553" s="43">
        <f>IF(Planning[[#This Row],[Horas Planificadas]]&lt;&gt;0,+K553/Planning[[#This Row],[Horas Planificadas]],0)</f>
        <v>0</v>
      </c>
      <c r="V553" s="43">
        <f>IF(Planning[[#This Row],[Horas Planificadas]]&lt;&gt;0,Planning[[#This Row],[Horas utilizadas]]/Planning[[#This Row],[Horas Planificadas]],0)</f>
        <v>0</v>
      </c>
      <c r="W553" s="44">
        <f>Planning[[#This Row],[Horas Planificadas]]+Planning[[#This Row],[Horas ajustadas adicionales]]</f>
        <v>0</v>
      </c>
      <c r="X553" s="142"/>
    </row>
    <row r="554" spans="1:24" ht="12.75" customHeight="1" x14ac:dyDescent="0.2">
      <c r="A554" s="7" t="s">
        <v>177</v>
      </c>
      <c r="B554" s="7" t="s">
        <v>178</v>
      </c>
      <c r="C554" s="3"/>
      <c r="D554" s="3" t="s">
        <v>179</v>
      </c>
      <c r="E554" s="33" t="s">
        <v>31</v>
      </c>
      <c r="F554" s="3" t="s">
        <v>31</v>
      </c>
      <c r="G554" s="7">
        <v>156</v>
      </c>
      <c r="H554" s="15">
        <v>156</v>
      </c>
      <c r="I554" s="18"/>
      <c r="J554" s="14" t="e">
        <f>+SUMIFS(#REF!,#REF!,Planning[[#This Row],[Tarifa]],#REF!,Planning[[#This Row],[Proyectos]])</f>
        <v>#REF!</v>
      </c>
      <c r="K554" s="14" t="e">
        <f>Planning[[#This Row],[Horas Planificadas]]+Planning[[#This Row],[Horas ajustadas adicionales]]-Planning[[#This Row],[Horas utilizadas]]</f>
        <v>#REF!</v>
      </c>
      <c r="L554" s="15">
        <v>0</v>
      </c>
      <c r="M554" s="16" t="e">
        <f>Planning[[#This Row],[Saldo]]-Planning[[#This Row],[Saldo estimado]]</f>
        <v>#REF!</v>
      </c>
      <c r="N554" s="60"/>
      <c r="O554" s="16">
        <f t="shared" si="16"/>
        <v>10</v>
      </c>
      <c r="P554" s="16">
        <f t="shared" si="17"/>
        <v>2024</v>
      </c>
      <c r="Q554" s="16" t="e">
        <f>+SUMIFS(#REF!,#REF!,Planning[[#This Row],[Tarifa]],#REF!,Planning[[#This Row],[Proyectos]],#REF!,Planning[[#This Row],[Mes]],#REF!,Planning[[#This Row],[Año]])</f>
        <v>#REF!</v>
      </c>
      <c r="R554" s="16" t="str">
        <f>TEXT(Planning[[#This Row],[Mes]]*29,"mmmm")</f>
        <v>October</v>
      </c>
      <c r="S5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4" s="193"/>
      <c r="U554" s="43" t="e">
        <f>IF(Planning[[#This Row],[Horas Planificadas]]&lt;&gt;0,+K554/Planning[[#This Row],[Horas Planificadas]],0)</f>
        <v>#REF!</v>
      </c>
      <c r="V554" s="43" t="e">
        <f>IF(Planning[[#This Row],[Horas Planificadas]]&lt;&gt;0,Planning[[#This Row],[Horas utilizadas]]/Planning[[#This Row],[Horas Planificadas]],0)</f>
        <v>#REF!</v>
      </c>
      <c r="W554" s="44">
        <f>Planning[[#This Row],[Horas Planificadas]]+Planning[[#This Row],[Horas ajustadas adicionales]]</f>
        <v>156</v>
      </c>
      <c r="X554" s="142"/>
    </row>
    <row r="555" spans="1:24" ht="12.75" customHeight="1" x14ac:dyDescent="0.2">
      <c r="A555" s="7" t="s">
        <v>177</v>
      </c>
      <c r="B555" s="7" t="s">
        <v>178</v>
      </c>
      <c r="C555" s="3"/>
      <c r="D555" s="3" t="s">
        <v>179</v>
      </c>
      <c r="E555" s="33" t="s">
        <v>32</v>
      </c>
      <c r="F555" s="3"/>
      <c r="G555" s="7">
        <v>801</v>
      </c>
      <c r="H555" s="24">
        <f>SUM(H556:H558)</f>
        <v>370</v>
      </c>
      <c r="I555" s="14"/>
      <c r="J555" s="14" t="e">
        <f>SUM(J556:J558)</f>
        <v>#REF!</v>
      </c>
      <c r="K555" s="18" t="e">
        <f>SUM(K556:K558)</f>
        <v>#REF!</v>
      </c>
      <c r="L555" s="15">
        <f>SUM(L556:L558)</f>
        <v>0</v>
      </c>
      <c r="M555" s="16" t="e">
        <f>SUM(M556:M558)</f>
        <v>#REF!</v>
      </c>
      <c r="N555" s="60"/>
      <c r="O555" s="16">
        <f t="shared" si="16"/>
        <v>10</v>
      </c>
      <c r="P555" s="16">
        <f t="shared" si="17"/>
        <v>2024</v>
      </c>
      <c r="Q555" s="16" t="e">
        <f>SUM(Q556:Q558)</f>
        <v>#REF!</v>
      </c>
      <c r="R555" s="16" t="str">
        <f>TEXT(Planning[[#This Row],[Mes]]*29,"mmmm")</f>
        <v>October</v>
      </c>
      <c r="S5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5" s="193"/>
      <c r="U555" s="43" t="e">
        <f>IF(Planning[[#This Row],[Horas Planificadas]]&lt;&gt;0,+K555/Planning[[#This Row],[Horas Planificadas]],0)</f>
        <v>#REF!</v>
      </c>
      <c r="V555" s="43" t="e">
        <f>IF(Planning[[#This Row],[Horas Planificadas]]&lt;&gt;0,Planning[[#This Row],[Horas utilizadas]]/Planning[[#This Row],[Horas Planificadas]],0)</f>
        <v>#REF!</v>
      </c>
      <c r="W555" s="44">
        <f>Planning[[#This Row],[Horas Planificadas]]+Planning[[#This Row],[Horas ajustadas adicionales]]</f>
        <v>370</v>
      </c>
      <c r="X555" s="142"/>
    </row>
    <row r="556" spans="1:24" ht="12.75" customHeight="1" x14ac:dyDescent="0.2">
      <c r="A556" s="7" t="s">
        <v>177</v>
      </c>
      <c r="B556" s="7" t="s">
        <v>178</v>
      </c>
      <c r="C556" s="3"/>
      <c r="D556" s="3" t="s">
        <v>179</v>
      </c>
      <c r="E556" s="33"/>
      <c r="F556" s="3" t="s">
        <v>129</v>
      </c>
      <c r="G556" s="7"/>
      <c r="H556" s="7"/>
      <c r="I556" s="12"/>
      <c r="J556" s="5" t="e">
        <f>SUM(SUMIFS(#REF!,#REF!,Planning[[#This Row],[Tipo de Tarea y especialidad]],#REF!,Planning[[#This Row],[Proyectos Reiwa]]),SUMIFS(#REF!,#REF!,Planning[[#This Row],[Tipo de Tarea y especialidad]],#REF!,Planning[[#This Row],[Proyectos]]))</f>
        <v>#REF!</v>
      </c>
      <c r="K556" s="5" t="e">
        <f>Planning[[#This Row],[Horas Planificadas]]+Planning[[#This Row],[Horas ajustadas adicionales]]-Planning[[#This Row],[Horas utilizadas]]</f>
        <v>#REF!</v>
      </c>
      <c r="L556" s="7"/>
      <c r="M556" s="19" t="e">
        <f>Planning[[#This Row],[Saldo]]-Planning[[#This Row],[Saldo estimado]]</f>
        <v>#REF!</v>
      </c>
      <c r="N556" s="60" t="e">
        <f>+SUMIFS(#REF!,#REF!,Planning[[#This Row],[Proyectos]],#REF!,Planning[[#This Row],[Tipo de Tarea y especialidad]])</f>
        <v>#REF!</v>
      </c>
      <c r="O556" s="19">
        <f t="shared" si="16"/>
        <v>10</v>
      </c>
      <c r="P556" s="19">
        <f t="shared" si="17"/>
        <v>2024</v>
      </c>
      <c r="Q5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6" s="19" t="str">
        <f>TEXT(Planning[[#This Row],[Mes]]*29,"mmmm")</f>
        <v>October</v>
      </c>
      <c r="S5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6" s="193"/>
      <c r="U556" s="43">
        <f>IF(Planning[[#This Row],[Horas Planificadas]]&lt;&gt;0,+K556/Planning[[#This Row],[Horas Planificadas]],0)</f>
        <v>0</v>
      </c>
      <c r="V556" s="43">
        <f>IF(Planning[[#This Row],[Horas Planificadas]]&lt;&gt;0,Planning[[#This Row],[Horas utilizadas]]/Planning[[#This Row],[Horas Planificadas]],0)</f>
        <v>0</v>
      </c>
      <c r="W556" s="44">
        <f>Planning[[#This Row],[Horas Planificadas]]+Planning[[#This Row],[Horas ajustadas adicionales]]</f>
        <v>0</v>
      </c>
      <c r="X556" s="142"/>
    </row>
    <row r="557" spans="1:24" ht="12.75" customHeight="1" x14ac:dyDescent="0.2">
      <c r="A557" s="7" t="s">
        <v>177</v>
      </c>
      <c r="B557" s="7" t="s">
        <v>178</v>
      </c>
      <c r="C557" s="3"/>
      <c r="D557" s="3" t="s">
        <v>179</v>
      </c>
      <c r="E557" s="33"/>
      <c r="F557" s="3" t="s">
        <v>130</v>
      </c>
      <c r="G557" s="7"/>
      <c r="H557" s="7">
        <v>370</v>
      </c>
      <c r="I557" s="12"/>
      <c r="J557" s="5" t="e">
        <f>SUM(SUMIFS(#REF!,#REF!,Planning[[#This Row],[Tipo de Tarea y especialidad]],#REF!,Planning[[#This Row],[Proyectos Reiwa]]),SUMIFS(#REF!,#REF!,Planning[[#This Row],[Tipo de Tarea y especialidad]],#REF!,Planning[[#This Row],[Proyectos]]))</f>
        <v>#REF!</v>
      </c>
      <c r="K557" s="5" t="e">
        <f>Planning[[#This Row],[Horas Planificadas]]+Planning[[#This Row],[Horas ajustadas adicionales]]-Planning[[#This Row],[Horas utilizadas]]</f>
        <v>#REF!</v>
      </c>
      <c r="L557" s="7">
        <v>0</v>
      </c>
      <c r="M557" s="19" t="e">
        <f>Planning[[#This Row],[Saldo]]-Planning[[#This Row],[Saldo estimado]]</f>
        <v>#REF!</v>
      </c>
      <c r="N557" s="60" t="e">
        <f>+SUMIFS(#REF!,#REF!,Planning[[#This Row],[Proyectos]],#REF!,Planning[[#This Row],[Tipo de Tarea y especialidad]])</f>
        <v>#REF!</v>
      </c>
      <c r="O557" s="19">
        <f t="shared" si="16"/>
        <v>10</v>
      </c>
      <c r="P557" s="19">
        <f t="shared" si="17"/>
        <v>2024</v>
      </c>
      <c r="Q5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7" s="19" t="str">
        <f>TEXT(Planning[[#This Row],[Mes]]*29,"mmmm")</f>
        <v>October</v>
      </c>
      <c r="S5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7" s="193"/>
      <c r="U557" s="43" t="e">
        <f>IF(Planning[[#This Row],[Horas Planificadas]]&lt;&gt;0,+K557/Planning[[#This Row],[Horas Planificadas]],0)</f>
        <v>#REF!</v>
      </c>
      <c r="V557" s="43" t="e">
        <f>IF(Planning[[#This Row],[Horas Planificadas]]&lt;&gt;0,Planning[[#This Row],[Horas utilizadas]]/Planning[[#This Row],[Horas Planificadas]],0)</f>
        <v>#REF!</v>
      </c>
      <c r="W557" s="44">
        <f>Planning[[#This Row],[Horas Planificadas]]+Planning[[#This Row],[Horas ajustadas adicionales]]</f>
        <v>370</v>
      </c>
      <c r="X557" s="142"/>
    </row>
    <row r="558" spans="1:24" ht="12.75" customHeight="1" x14ac:dyDescent="0.2">
      <c r="A558" s="7" t="s">
        <v>177</v>
      </c>
      <c r="B558" s="7" t="s">
        <v>178</v>
      </c>
      <c r="C558" s="3"/>
      <c r="D558" s="3" t="s">
        <v>179</v>
      </c>
      <c r="E558" s="33"/>
      <c r="F558" s="3" t="s">
        <v>131</v>
      </c>
      <c r="G558" s="7"/>
      <c r="H558" s="7"/>
      <c r="I558" s="12"/>
      <c r="J558" s="5" t="e">
        <f>SUM(SUMIFS(#REF!,#REF!,Planning[[#This Row],[Tipo de Tarea y especialidad]],#REF!,Planning[[#This Row],[Proyectos Reiwa]]),SUMIFS(#REF!,#REF!,Planning[[#This Row],[Tipo de Tarea y especialidad]],#REF!,Planning[[#This Row],[Proyectos]]))</f>
        <v>#REF!</v>
      </c>
      <c r="K558" s="5" t="e">
        <f>Planning[[#This Row],[Horas Planificadas]]+Planning[[#This Row],[Horas ajustadas adicionales]]-Planning[[#This Row],[Horas utilizadas]]</f>
        <v>#REF!</v>
      </c>
      <c r="L558" s="7"/>
      <c r="M558" s="19" t="e">
        <f>Planning[[#This Row],[Saldo]]-Planning[[#This Row],[Saldo estimado]]</f>
        <v>#REF!</v>
      </c>
      <c r="N558" s="60" t="e">
        <f>+SUMIFS(#REF!,#REF!,Planning[[#This Row],[Proyectos]],#REF!,Planning[[#This Row],[Tipo de Tarea y especialidad]])</f>
        <v>#REF!</v>
      </c>
      <c r="O558" s="19">
        <f t="shared" si="16"/>
        <v>10</v>
      </c>
      <c r="P558" s="19">
        <f t="shared" si="17"/>
        <v>2024</v>
      </c>
      <c r="Q5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8" s="19" t="str">
        <f>TEXT(Planning[[#This Row],[Mes]]*29,"mmmm")</f>
        <v>October</v>
      </c>
      <c r="S5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8" s="193"/>
      <c r="U558" s="43">
        <f>IF(Planning[[#This Row],[Horas Planificadas]]&lt;&gt;0,+K558/Planning[[#This Row],[Horas Planificadas]],0)</f>
        <v>0</v>
      </c>
      <c r="V558" s="43">
        <f>IF(Planning[[#This Row],[Horas Planificadas]]&lt;&gt;0,Planning[[#This Row],[Horas utilizadas]]/Planning[[#This Row],[Horas Planificadas]],0)</f>
        <v>0</v>
      </c>
      <c r="W558" s="44">
        <f>Planning[[#This Row],[Horas Planificadas]]+Planning[[#This Row],[Horas ajustadas adicionales]]</f>
        <v>0</v>
      </c>
      <c r="X558" s="142"/>
    </row>
    <row r="559" spans="1:24" ht="12.75" customHeight="1" x14ac:dyDescent="0.2">
      <c r="A559" s="7"/>
      <c r="B559" s="7"/>
      <c r="C559" s="3"/>
      <c r="D559" s="3" t="s">
        <v>181</v>
      </c>
      <c r="E559" s="33" t="s">
        <v>28</v>
      </c>
      <c r="F559" s="3"/>
      <c r="G559" s="7"/>
      <c r="H559" s="7">
        <v>200</v>
      </c>
      <c r="I559" s="12"/>
      <c r="J559" s="5" t="e">
        <f>+SUMIFS(#REF!,#REF!,Planning[[#This Row],[Tarifa]],#REF!,Planning[[#This Row],[Proyectos]])</f>
        <v>#REF!</v>
      </c>
      <c r="K559" s="5" t="e">
        <f>Planning[[#This Row],[Horas Planificadas]]+Planning[[#This Row],[Horas ajustadas adicionales]]-Planning[[#This Row],[Horas utilizadas]]</f>
        <v>#REF!</v>
      </c>
      <c r="L559" s="7"/>
      <c r="M559" s="19" t="e">
        <f>Planning[[#This Row],[Saldo]]-Planning[[#This Row],[Saldo estimado]]</f>
        <v>#REF!</v>
      </c>
      <c r="N559" s="60" t="e">
        <f>+SUMIFS(#REF!,#REF!,Planning[[#This Row],[Proyectos]],#REF!,Planning[[#This Row],[Tipo de Tarea y especialidad]])</f>
        <v>#REF!</v>
      </c>
      <c r="O559" s="19">
        <f t="shared" si="16"/>
        <v>10</v>
      </c>
      <c r="P559" s="19">
        <f t="shared" si="17"/>
        <v>2024</v>
      </c>
      <c r="Q559" s="19" t="e">
        <f>+SUMIFS(#REF!,#REF!,Planning[[#This Row],[Tarifa]],#REF!,Planning[[#This Row],[Proyectos]],#REF!,Planning[[#This Row],[Mes]],#REF!,Planning[[#This Row],[Año]])</f>
        <v>#REF!</v>
      </c>
      <c r="R559" s="19" t="str">
        <f>TEXT(Planning[[#This Row],[Mes]]*29,"mmmm")</f>
        <v>October</v>
      </c>
      <c r="S5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9" s="228"/>
      <c r="U559" s="43" t="e">
        <f>IF(Planning[[#This Row],[Horas Planificadas]]&lt;&gt;0,+K559/Planning[[#This Row],[Horas Planificadas]],0)</f>
        <v>#REF!</v>
      </c>
      <c r="V559" s="43" t="e">
        <f>IF(Planning[[#This Row],[Horas Planificadas]]&lt;&gt;0,Planning[[#This Row],[Horas utilizadas]]/Planning[[#This Row],[Horas Planificadas]],0)</f>
        <v>#REF!</v>
      </c>
      <c r="W559" s="44">
        <f>Planning[[#This Row],[Horas Planificadas]]+Planning[[#This Row],[Horas ajustadas adicionales]]</f>
        <v>200</v>
      </c>
      <c r="X559" s="142"/>
    </row>
    <row r="560" spans="1:24" ht="12.75" customHeight="1" x14ac:dyDescent="0.2">
      <c r="A560" s="7"/>
      <c r="B560" s="7"/>
      <c r="C560" s="3"/>
      <c r="D560" s="3" t="s">
        <v>181</v>
      </c>
      <c r="E560" s="33" t="s">
        <v>30</v>
      </c>
      <c r="F560" s="3"/>
      <c r="G560" s="7"/>
      <c r="H560" s="7">
        <v>100</v>
      </c>
      <c r="I560" s="12"/>
      <c r="J560" s="5" t="e">
        <f>+SUMIFS(#REF!,#REF!,Planning[[#This Row],[Tarifa]],#REF!,Planning[[#This Row],[Proyectos]])</f>
        <v>#REF!</v>
      </c>
      <c r="K560" s="5" t="e">
        <f>Planning[[#This Row],[Horas Planificadas]]+Planning[[#This Row],[Horas ajustadas adicionales]]-Planning[[#This Row],[Horas utilizadas]]</f>
        <v>#REF!</v>
      </c>
      <c r="L560" s="7"/>
      <c r="M560" s="19" t="e">
        <f>Planning[[#This Row],[Saldo]]-Planning[[#This Row],[Saldo estimado]]</f>
        <v>#REF!</v>
      </c>
      <c r="N560" s="60" t="e">
        <f>+SUMIFS(#REF!,#REF!,Planning[[#This Row],[Proyectos]],#REF!,Planning[[#This Row],[Tipo de Tarea y especialidad]])</f>
        <v>#REF!</v>
      </c>
      <c r="O560" s="19">
        <f t="shared" si="16"/>
        <v>10</v>
      </c>
      <c r="P560" s="19">
        <f t="shared" si="17"/>
        <v>2024</v>
      </c>
      <c r="Q560" s="19" t="e">
        <f>+SUMIFS(#REF!,#REF!,Planning[[#This Row],[Tarifa]],#REF!,Planning[[#This Row],[Proyectos]],#REF!,Planning[[#This Row],[Mes]],#REF!,Planning[[#This Row],[Año]])</f>
        <v>#REF!</v>
      </c>
      <c r="R560" s="19" t="str">
        <f>TEXT(Planning[[#This Row],[Mes]]*29,"mmmm")</f>
        <v>October</v>
      </c>
      <c r="S5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0" s="228"/>
      <c r="U560" s="43" t="e">
        <f>IF(Planning[[#This Row],[Horas Planificadas]]&lt;&gt;0,+K560/Planning[[#This Row],[Horas Planificadas]],0)</f>
        <v>#REF!</v>
      </c>
      <c r="V560" s="43" t="e">
        <f>IF(Planning[[#This Row],[Horas Planificadas]]&lt;&gt;0,Planning[[#This Row],[Horas utilizadas]]/Planning[[#This Row],[Horas Planificadas]],0)</f>
        <v>#REF!</v>
      </c>
      <c r="W560" s="44">
        <f>Planning[[#This Row],[Horas Planificadas]]+Planning[[#This Row],[Horas ajustadas adicionales]]</f>
        <v>100</v>
      </c>
      <c r="X560" s="142"/>
    </row>
    <row r="561" spans="1:24" ht="12.75" customHeight="1" x14ac:dyDescent="0.2">
      <c r="A561" s="7"/>
      <c r="B561" s="7"/>
      <c r="C561" s="3"/>
      <c r="D561" s="3" t="s">
        <v>181</v>
      </c>
      <c r="E561" s="33" t="s">
        <v>31</v>
      </c>
      <c r="F561" s="3"/>
      <c r="G561" s="7"/>
      <c r="H561" s="7">
        <v>100</v>
      </c>
      <c r="I561" s="12"/>
      <c r="J561" s="5" t="e">
        <f>+SUMIFS(#REF!,#REF!,Planning[[#This Row],[Tarifa]],#REF!,Planning[[#This Row],[Proyectos]])</f>
        <v>#REF!</v>
      </c>
      <c r="K561" s="5" t="e">
        <f>Planning[[#This Row],[Horas Planificadas]]+Planning[[#This Row],[Horas ajustadas adicionales]]-Planning[[#This Row],[Horas utilizadas]]</f>
        <v>#REF!</v>
      </c>
      <c r="L561" s="7"/>
      <c r="M561" s="19" t="e">
        <f>Planning[[#This Row],[Saldo]]-Planning[[#This Row],[Saldo estimado]]</f>
        <v>#REF!</v>
      </c>
      <c r="N561" s="60" t="e">
        <f>+SUMIFS(#REF!,#REF!,Planning[[#This Row],[Proyectos]],#REF!,Planning[[#This Row],[Tipo de Tarea y especialidad]])</f>
        <v>#REF!</v>
      </c>
      <c r="O561" s="19">
        <f t="shared" si="16"/>
        <v>10</v>
      </c>
      <c r="P561" s="19">
        <f t="shared" si="17"/>
        <v>2024</v>
      </c>
      <c r="Q561" s="19" t="e">
        <f>+SUMIFS(#REF!,#REF!,Planning[[#This Row],[Tarifa]],#REF!,Planning[[#This Row],[Proyectos]],#REF!,Planning[[#This Row],[Mes]],#REF!,Planning[[#This Row],[Año]])</f>
        <v>#REF!</v>
      </c>
      <c r="R561" s="19" t="str">
        <f>TEXT(Planning[[#This Row],[Mes]]*29,"mmmm")</f>
        <v>October</v>
      </c>
      <c r="S5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1" s="228"/>
      <c r="U561" s="43" t="e">
        <f>IF(Planning[[#This Row],[Horas Planificadas]]&lt;&gt;0,+K561/Planning[[#This Row],[Horas Planificadas]],0)</f>
        <v>#REF!</v>
      </c>
      <c r="V561" s="43" t="e">
        <f>IF(Planning[[#This Row],[Horas Planificadas]]&lt;&gt;0,Planning[[#This Row],[Horas utilizadas]]/Planning[[#This Row],[Horas Planificadas]],0)</f>
        <v>#REF!</v>
      </c>
      <c r="W561" s="44">
        <f>Planning[[#This Row],[Horas Planificadas]]+Planning[[#This Row],[Horas ajustadas adicionales]]</f>
        <v>100</v>
      </c>
      <c r="X561" s="142"/>
    </row>
    <row r="562" spans="1:24" ht="12.75" customHeight="1" x14ac:dyDescent="0.2">
      <c r="A562" s="7"/>
      <c r="B562" s="7"/>
      <c r="C562" s="3"/>
      <c r="D562" s="3" t="s">
        <v>181</v>
      </c>
      <c r="E562" s="33" t="s">
        <v>32</v>
      </c>
      <c r="F562" s="3"/>
      <c r="G562" s="7"/>
      <c r="H562" s="7">
        <v>140</v>
      </c>
      <c r="I562" s="12"/>
      <c r="J562" s="5" t="e">
        <f>+SUMIFS(#REF!,#REF!,Planning[[#This Row],[Tarifa]],#REF!,Planning[[#This Row],[Proyectos]])</f>
        <v>#REF!</v>
      </c>
      <c r="K562" s="5" t="e">
        <f>Planning[[#This Row],[Horas Planificadas]]+Planning[[#This Row],[Horas ajustadas adicionales]]-Planning[[#This Row],[Horas utilizadas]]</f>
        <v>#REF!</v>
      </c>
      <c r="L562" s="7"/>
      <c r="M562" s="19" t="e">
        <f>Planning[[#This Row],[Saldo]]-Planning[[#This Row],[Saldo estimado]]</f>
        <v>#REF!</v>
      </c>
      <c r="N562" s="60" t="e">
        <f>+SUMIFS(#REF!,#REF!,Planning[[#This Row],[Proyectos]],#REF!,Planning[[#This Row],[Tipo de Tarea y especialidad]])</f>
        <v>#REF!</v>
      </c>
      <c r="O562" s="19">
        <f t="shared" si="16"/>
        <v>10</v>
      </c>
      <c r="P562" s="19">
        <f t="shared" si="17"/>
        <v>2024</v>
      </c>
      <c r="Q562" s="19" t="e">
        <f>+SUMIFS(#REF!,#REF!,Planning[[#This Row],[Tarifa]],#REF!,Planning[[#This Row],[Proyectos]],#REF!,Planning[[#This Row],[Mes]],#REF!,Planning[[#This Row],[Año]])</f>
        <v>#REF!</v>
      </c>
      <c r="R562" s="19" t="str">
        <f>TEXT(Planning[[#This Row],[Mes]]*29,"mmmm")</f>
        <v>October</v>
      </c>
      <c r="S5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2" s="228"/>
      <c r="U562" s="43" t="e">
        <f>IF(Planning[[#This Row],[Horas Planificadas]]&lt;&gt;0,+K562/Planning[[#This Row],[Horas Planificadas]],0)</f>
        <v>#REF!</v>
      </c>
      <c r="V562" s="43" t="e">
        <f>IF(Planning[[#This Row],[Horas Planificadas]]&lt;&gt;0,Planning[[#This Row],[Horas utilizadas]]/Planning[[#This Row],[Horas Planificadas]],0)</f>
        <v>#REF!</v>
      </c>
      <c r="W562" s="44">
        <f>Planning[[#This Row],[Horas Planificadas]]+Planning[[#This Row],[Horas ajustadas adicionales]]</f>
        <v>140</v>
      </c>
      <c r="X562" s="142"/>
    </row>
    <row r="563" spans="1:24" ht="12.75" customHeight="1" x14ac:dyDescent="0.2">
      <c r="A563" s="7"/>
      <c r="B563" s="7"/>
      <c r="C563" s="3"/>
      <c r="D563" s="3" t="s">
        <v>182</v>
      </c>
      <c r="E563" s="33" t="s">
        <v>28</v>
      </c>
      <c r="F563" s="3"/>
      <c r="G563" s="7"/>
      <c r="H563" s="7">
        <v>240</v>
      </c>
      <c r="I563" s="12"/>
      <c r="J563" s="5" t="e">
        <f>+SUMIFS(#REF!,#REF!,Planning[[#This Row],[Tarifa]],#REF!,Planning[[#This Row],[Proyectos]])</f>
        <v>#REF!</v>
      </c>
      <c r="K563" s="5" t="e">
        <f>Planning[[#This Row],[Horas Planificadas]]+Planning[[#This Row],[Horas ajustadas adicionales]]-Planning[[#This Row],[Horas utilizadas]]</f>
        <v>#REF!</v>
      </c>
      <c r="L563" s="7"/>
      <c r="M563" s="19" t="e">
        <f>Planning[[#This Row],[Saldo]]-Planning[[#This Row],[Saldo estimado]]</f>
        <v>#REF!</v>
      </c>
      <c r="N563" s="60" t="e">
        <f>+SUMIFS(#REF!,#REF!,Planning[[#This Row],[Proyectos]],#REF!,Planning[[#This Row],[Tipo de Tarea y especialidad]])</f>
        <v>#REF!</v>
      </c>
      <c r="O563" s="19">
        <f t="shared" si="16"/>
        <v>10</v>
      </c>
      <c r="P563" s="19">
        <f t="shared" si="17"/>
        <v>2024</v>
      </c>
      <c r="Q563" s="19" t="e">
        <f>+SUMIFS(#REF!,#REF!,Planning[[#This Row],[Tarifa]],#REF!,Planning[[#This Row],[Proyectos]],#REF!,Planning[[#This Row],[Mes]],#REF!,Planning[[#This Row],[Año]])</f>
        <v>#REF!</v>
      </c>
      <c r="R563" s="19" t="str">
        <f>TEXT(Planning[[#This Row],[Mes]]*29,"mmmm")</f>
        <v>October</v>
      </c>
      <c r="S5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3" s="228"/>
      <c r="U563" s="43" t="e">
        <f>IF(Planning[[#This Row],[Horas Planificadas]]&lt;&gt;0,+K563/Planning[[#This Row],[Horas Planificadas]],0)</f>
        <v>#REF!</v>
      </c>
      <c r="V563" s="43" t="e">
        <f>IF(Planning[[#This Row],[Horas Planificadas]]&lt;&gt;0,Planning[[#This Row],[Horas utilizadas]]/Planning[[#This Row],[Horas Planificadas]],0)</f>
        <v>#REF!</v>
      </c>
      <c r="W563" s="44">
        <f>Planning[[#This Row],[Horas Planificadas]]+Planning[[#This Row],[Horas ajustadas adicionales]]</f>
        <v>240</v>
      </c>
      <c r="X563" s="142"/>
    </row>
    <row r="564" spans="1:24" ht="12.75" customHeight="1" x14ac:dyDescent="0.2">
      <c r="A564" s="7"/>
      <c r="B564" s="7"/>
      <c r="C564" s="3"/>
      <c r="D564" s="3" t="s">
        <v>182</v>
      </c>
      <c r="E564" s="33" t="s">
        <v>30</v>
      </c>
      <c r="F564" s="3"/>
      <c r="G564" s="7"/>
      <c r="H564" s="7">
        <v>320</v>
      </c>
      <c r="I564" s="12"/>
      <c r="J564" s="5" t="e">
        <f>+SUMIFS(#REF!,#REF!,Planning[[#This Row],[Tarifa]],#REF!,Planning[[#This Row],[Proyectos]])</f>
        <v>#REF!</v>
      </c>
      <c r="K564" s="5" t="e">
        <f>Planning[[#This Row],[Horas Planificadas]]+Planning[[#This Row],[Horas ajustadas adicionales]]-Planning[[#This Row],[Horas utilizadas]]</f>
        <v>#REF!</v>
      </c>
      <c r="L564" s="7"/>
      <c r="M564" s="19" t="e">
        <f>Planning[[#This Row],[Saldo]]-Planning[[#This Row],[Saldo estimado]]</f>
        <v>#REF!</v>
      </c>
      <c r="N564" s="60" t="e">
        <f>+SUMIFS(#REF!,#REF!,Planning[[#This Row],[Proyectos]],#REF!,Planning[[#This Row],[Tipo de Tarea y especialidad]])</f>
        <v>#REF!</v>
      </c>
      <c r="O564" s="19">
        <f t="shared" si="16"/>
        <v>10</v>
      </c>
      <c r="P564" s="19">
        <f t="shared" si="17"/>
        <v>2024</v>
      </c>
      <c r="Q564" s="19" t="e">
        <f>+SUMIFS(#REF!,#REF!,Planning[[#This Row],[Tarifa]],#REF!,Planning[[#This Row],[Proyectos]],#REF!,Planning[[#This Row],[Mes]],#REF!,Planning[[#This Row],[Año]])</f>
        <v>#REF!</v>
      </c>
      <c r="R564" s="19" t="str">
        <f>TEXT(Planning[[#This Row],[Mes]]*29,"mmmm")</f>
        <v>October</v>
      </c>
      <c r="S5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4" s="228"/>
      <c r="U564" s="43" t="e">
        <f>IF(Planning[[#This Row],[Horas Planificadas]]&lt;&gt;0,+K564/Planning[[#This Row],[Horas Planificadas]],0)</f>
        <v>#REF!</v>
      </c>
      <c r="V564" s="43" t="e">
        <f>IF(Planning[[#This Row],[Horas Planificadas]]&lt;&gt;0,Planning[[#This Row],[Horas utilizadas]]/Planning[[#This Row],[Horas Planificadas]],0)</f>
        <v>#REF!</v>
      </c>
      <c r="W564" s="44">
        <f>Planning[[#This Row],[Horas Planificadas]]+Planning[[#This Row],[Horas ajustadas adicionales]]</f>
        <v>320</v>
      </c>
      <c r="X564" s="142"/>
    </row>
    <row r="565" spans="1:24" ht="12.75" customHeight="1" x14ac:dyDescent="0.2">
      <c r="A565" s="7"/>
      <c r="B565" s="7"/>
      <c r="C565" s="3"/>
      <c r="D565" s="3" t="s">
        <v>182</v>
      </c>
      <c r="E565" s="33" t="s">
        <v>31</v>
      </c>
      <c r="F565" s="3"/>
      <c r="G565" s="7"/>
      <c r="H565" s="7">
        <v>320</v>
      </c>
      <c r="I565" s="12"/>
      <c r="J565" s="5" t="e">
        <f>+SUMIFS(#REF!,#REF!,Planning[[#This Row],[Tarifa]],#REF!,Planning[[#This Row],[Proyectos]])</f>
        <v>#REF!</v>
      </c>
      <c r="K565" s="5" t="e">
        <f>Planning[[#This Row],[Horas Planificadas]]+Planning[[#This Row],[Horas ajustadas adicionales]]-Planning[[#This Row],[Horas utilizadas]]</f>
        <v>#REF!</v>
      </c>
      <c r="L565" s="7"/>
      <c r="M565" s="19" t="e">
        <f>Planning[[#This Row],[Saldo]]-Planning[[#This Row],[Saldo estimado]]</f>
        <v>#REF!</v>
      </c>
      <c r="N565" s="60" t="e">
        <f>+SUMIFS(#REF!,#REF!,Planning[[#This Row],[Proyectos]],#REF!,Planning[[#This Row],[Tipo de Tarea y especialidad]])</f>
        <v>#REF!</v>
      </c>
      <c r="O565" s="19">
        <f t="shared" si="16"/>
        <v>10</v>
      </c>
      <c r="P565" s="19">
        <f t="shared" si="17"/>
        <v>2024</v>
      </c>
      <c r="Q565" s="19" t="e">
        <f>+SUMIFS(#REF!,#REF!,Planning[[#This Row],[Tarifa]],#REF!,Planning[[#This Row],[Proyectos]],#REF!,Planning[[#This Row],[Mes]],#REF!,Planning[[#This Row],[Año]])</f>
        <v>#REF!</v>
      </c>
      <c r="R565" s="19" t="str">
        <f>TEXT(Planning[[#This Row],[Mes]]*29,"mmmm")</f>
        <v>October</v>
      </c>
      <c r="S5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5" s="228"/>
      <c r="U565" s="43" t="e">
        <f>IF(Planning[[#This Row],[Horas Planificadas]]&lt;&gt;0,+K565/Planning[[#This Row],[Horas Planificadas]],0)</f>
        <v>#REF!</v>
      </c>
      <c r="V565" s="43" t="e">
        <f>IF(Planning[[#This Row],[Horas Planificadas]]&lt;&gt;0,Planning[[#This Row],[Horas utilizadas]]/Planning[[#This Row],[Horas Planificadas]],0)</f>
        <v>#REF!</v>
      </c>
      <c r="W565" s="44">
        <f>Planning[[#This Row],[Horas Planificadas]]+Planning[[#This Row],[Horas ajustadas adicionales]]</f>
        <v>320</v>
      </c>
      <c r="X565" s="142"/>
    </row>
    <row r="566" spans="1:24" ht="12.75" customHeight="1" x14ac:dyDescent="0.2">
      <c r="A566" s="7"/>
      <c r="B566" s="7"/>
      <c r="C566" s="3"/>
      <c r="D566" s="3" t="s">
        <v>182</v>
      </c>
      <c r="E566" s="33" t="s">
        <v>32</v>
      </c>
      <c r="F566" s="3"/>
      <c r="G566" s="7"/>
      <c r="H566" s="7">
        <v>120</v>
      </c>
      <c r="I566" s="12"/>
      <c r="J566" s="5" t="e">
        <f>+SUMIFS(#REF!,#REF!,Planning[[#This Row],[Tarifa]],#REF!,Planning[[#This Row],[Proyectos]])</f>
        <v>#REF!</v>
      </c>
      <c r="K566" s="5" t="e">
        <f>Planning[[#This Row],[Horas Planificadas]]+Planning[[#This Row],[Horas ajustadas adicionales]]-Planning[[#This Row],[Horas utilizadas]]</f>
        <v>#REF!</v>
      </c>
      <c r="L566" s="7"/>
      <c r="M566" s="19" t="e">
        <f>Planning[[#This Row],[Saldo]]-Planning[[#This Row],[Saldo estimado]]</f>
        <v>#REF!</v>
      </c>
      <c r="N566" s="60" t="e">
        <f>+SUMIFS(#REF!,#REF!,Planning[[#This Row],[Proyectos]],#REF!,Planning[[#This Row],[Tipo de Tarea y especialidad]])</f>
        <v>#REF!</v>
      </c>
      <c r="O566" s="19">
        <f t="shared" si="16"/>
        <v>10</v>
      </c>
      <c r="P566" s="19">
        <f t="shared" si="17"/>
        <v>2024</v>
      </c>
      <c r="Q566" s="19" t="e">
        <f>+SUMIFS(#REF!,#REF!,Planning[[#This Row],[Tarifa]],#REF!,Planning[[#This Row],[Proyectos]],#REF!,Planning[[#This Row],[Mes]],#REF!,Planning[[#This Row],[Año]])</f>
        <v>#REF!</v>
      </c>
      <c r="R566" s="19" t="str">
        <f>TEXT(Planning[[#This Row],[Mes]]*29,"mmmm")</f>
        <v>October</v>
      </c>
      <c r="S5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6" s="228"/>
      <c r="U566" s="43" t="e">
        <f>IF(Planning[[#This Row],[Horas Planificadas]]&lt;&gt;0,+K566/Planning[[#This Row],[Horas Planificadas]],0)</f>
        <v>#REF!</v>
      </c>
      <c r="V566" s="43" t="e">
        <f>IF(Planning[[#This Row],[Horas Planificadas]]&lt;&gt;0,Planning[[#This Row],[Horas utilizadas]]/Planning[[#This Row],[Horas Planificadas]],0)</f>
        <v>#REF!</v>
      </c>
      <c r="W566" s="44">
        <f>Planning[[#This Row],[Horas Planificadas]]+Planning[[#This Row],[Horas ajustadas adicionales]]</f>
        <v>120</v>
      </c>
      <c r="X566" s="142"/>
    </row>
    <row r="567" spans="1:24" ht="12.75" customHeight="1" x14ac:dyDescent="0.2">
      <c r="A567" s="7"/>
      <c r="B567" s="7"/>
      <c r="C567" s="3"/>
      <c r="D567" s="3" t="s">
        <v>183</v>
      </c>
      <c r="E567" s="33" t="s">
        <v>28</v>
      </c>
      <c r="F567" s="3"/>
      <c r="G567" s="7"/>
      <c r="H567" s="7">
        <v>140</v>
      </c>
      <c r="I567" s="12"/>
      <c r="J567" s="5" t="e">
        <f>+SUMIFS(#REF!,#REF!,Planning[[#This Row],[Tarifa]],#REF!,Planning[[#This Row],[Proyectos]])</f>
        <v>#REF!</v>
      </c>
      <c r="K567" s="5" t="e">
        <f>Planning[[#This Row],[Horas Planificadas]]+Planning[[#This Row],[Horas ajustadas adicionales]]-Planning[[#This Row],[Horas utilizadas]]</f>
        <v>#REF!</v>
      </c>
      <c r="L567" s="7"/>
      <c r="M567" s="19" t="e">
        <f>Planning[[#This Row],[Saldo]]-Planning[[#This Row],[Saldo estimado]]</f>
        <v>#REF!</v>
      </c>
      <c r="N567" s="60" t="e">
        <f>+SUMIFS(#REF!,#REF!,Planning[[#This Row],[Proyectos]],#REF!,Planning[[#This Row],[Tipo de Tarea y especialidad]])</f>
        <v>#REF!</v>
      </c>
      <c r="O567" s="19">
        <f t="shared" si="16"/>
        <v>10</v>
      </c>
      <c r="P567" s="19">
        <f t="shared" si="17"/>
        <v>2024</v>
      </c>
      <c r="Q567" s="19" t="e">
        <f>+SUMIFS(#REF!,#REF!,Planning[[#This Row],[Tarifa]],#REF!,Planning[[#This Row],[Proyectos]],#REF!,Planning[[#This Row],[Mes]],#REF!,Planning[[#This Row],[Año]])</f>
        <v>#REF!</v>
      </c>
      <c r="R567" s="19" t="str">
        <f>TEXT(Planning[[#This Row],[Mes]]*29,"mmmm")</f>
        <v>October</v>
      </c>
      <c r="S5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7" s="228"/>
      <c r="U567" s="43" t="e">
        <f>IF(Planning[[#This Row],[Horas Planificadas]]&lt;&gt;0,+K567/Planning[[#This Row],[Horas Planificadas]],0)</f>
        <v>#REF!</v>
      </c>
      <c r="V567" s="43" t="e">
        <f>IF(Planning[[#This Row],[Horas Planificadas]]&lt;&gt;0,Planning[[#This Row],[Horas utilizadas]]/Planning[[#This Row],[Horas Planificadas]],0)</f>
        <v>#REF!</v>
      </c>
      <c r="W567" s="44">
        <f>Planning[[#This Row],[Horas Planificadas]]+Planning[[#This Row],[Horas ajustadas adicionales]]</f>
        <v>140</v>
      </c>
      <c r="X567" s="142"/>
    </row>
    <row r="568" spans="1:24" ht="12.75" customHeight="1" x14ac:dyDescent="0.2">
      <c r="A568" s="7"/>
      <c r="B568" s="7"/>
      <c r="C568" s="3"/>
      <c r="D568" s="3" t="s">
        <v>183</v>
      </c>
      <c r="E568" s="33" t="s">
        <v>30</v>
      </c>
      <c r="F568" s="3"/>
      <c r="G568" s="7"/>
      <c r="H568" s="7">
        <v>110</v>
      </c>
      <c r="I568" s="12"/>
      <c r="J568" s="5" t="e">
        <f>+SUMIFS(#REF!,#REF!,Planning[[#This Row],[Tarifa]],#REF!,Planning[[#This Row],[Proyectos]])</f>
        <v>#REF!</v>
      </c>
      <c r="K568" s="5" t="e">
        <f>Planning[[#This Row],[Horas Planificadas]]+Planning[[#This Row],[Horas ajustadas adicionales]]-Planning[[#This Row],[Horas utilizadas]]</f>
        <v>#REF!</v>
      </c>
      <c r="L568" s="7"/>
      <c r="M568" s="19" t="e">
        <f>Planning[[#This Row],[Saldo]]-Planning[[#This Row],[Saldo estimado]]</f>
        <v>#REF!</v>
      </c>
      <c r="N568" s="60" t="e">
        <f>+SUMIFS(#REF!,#REF!,Planning[[#This Row],[Proyectos]],#REF!,Planning[[#This Row],[Tipo de Tarea y especialidad]])</f>
        <v>#REF!</v>
      </c>
      <c r="O568" s="19">
        <f t="shared" si="16"/>
        <v>10</v>
      </c>
      <c r="P568" s="19">
        <f t="shared" si="17"/>
        <v>2024</v>
      </c>
      <c r="Q568" s="19" t="e">
        <f>+SUMIFS(#REF!,#REF!,Planning[[#This Row],[Tarifa]],#REF!,Planning[[#This Row],[Proyectos]],#REF!,Planning[[#This Row],[Mes]],#REF!,Planning[[#This Row],[Año]])</f>
        <v>#REF!</v>
      </c>
      <c r="R568" s="19" t="str">
        <f>TEXT(Planning[[#This Row],[Mes]]*29,"mmmm")</f>
        <v>October</v>
      </c>
      <c r="S5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8" s="228"/>
      <c r="U568" s="43" t="e">
        <f>IF(Planning[[#This Row],[Horas Planificadas]]&lt;&gt;0,+K568/Planning[[#This Row],[Horas Planificadas]],0)</f>
        <v>#REF!</v>
      </c>
      <c r="V568" s="43" t="e">
        <f>IF(Planning[[#This Row],[Horas Planificadas]]&lt;&gt;0,Planning[[#This Row],[Horas utilizadas]]/Planning[[#This Row],[Horas Planificadas]],0)</f>
        <v>#REF!</v>
      </c>
      <c r="W568" s="44">
        <f>Planning[[#This Row],[Horas Planificadas]]+Planning[[#This Row],[Horas ajustadas adicionales]]</f>
        <v>110</v>
      </c>
      <c r="X568" s="142"/>
    </row>
    <row r="569" spans="1:24" ht="12.75" customHeight="1" x14ac:dyDescent="0.2">
      <c r="A569" s="7"/>
      <c r="B569" s="7"/>
      <c r="C569" s="3"/>
      <c r="D569" s="3" t="s">
        <v>183</v>
      </c>
      <c r="E569" s="33" t="s">
        <v>31</v>
      </c>
      <c r="F569" s="3"/>
      <c r="G569" s="7"/>
      <c r="H569" s="7">
        <v>90</v>
      </c>
      <c r="I569" s="12"/>
      <c r="J569" s="5" t="e">
        <f>+SUMIFS(#REF!,#REF!,Planning[[#This Row],[Tarifa]],#REF!,Planning[[#This Row],[Proyectos]])</f>
        <v>#REF!</v>
      </c>
      <c r="K569" s="5" t="e">
        <f>Planning[[#This Row],[Horas Planificadas]]+Planning[[#This Row],[Horas ajustadas adicionales]]-Planning[[#This Row],[Horas utilizadas]]</f>
        <v>#REF!</v>
      </c>
      <c r="L569" s="7"/>
      <c r="M569" s="19" t="e">
        <f>Planning[[#This Row],[Saldo]]-Planning[[#This Row],[Saldo estimado]]</f>
        <v>#REF!</v>
      </c>
      <c r="N569" s="60" t="e">
        <f>+SUMIFS(#REF!,#REF!,Planning[[#This Row],[Proyectos]],#REF!,Planning[[#This Row],[Tipo de Tarea y especialidad]])</f>
        <v>#REF!</v>
      </c>
      <c r="O569" s="19">
        <f t="shared" si="16"/>
        <v>10</v>
      </c>
      <c r="P569" s="19">
        <f t="shared" si="17"/>
        <v>2024</v>
      </c>
      <c r="Q569" s="19" t="e">
        <f>+SUMIFS(#REF!,#REF!,Planning[[#This Row],[Tarifa]],#REF!,Planning[[#This Row],[Proyectos]],#REF!,Planning[[#This Row],[Mes]],#REF!,Planning[[#This Row],[Año]])</f>
        <v>#REF!</v>
      </c>
      <c r="R569" s="19" t="str">
        <f>TEXT(Planning[[#This Row],[Mes]]*29,"mmmm")</f>
        <v>October</v>
      </c>
      <c r="S5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9" s="228"/>
      <c r="U569" s="43" t="e">
        <f>IF(Planning[[#This Row],[Horas Planificadas]]&lt;&gt;0,+K569/Planning[[#This Row],[Horas Planificadas]],0)</f>
        <v>#REF!</v>
      </c>
      <c r="V569" s="43" t="e">
        <f>IF(Planning[[#This Row],[Horas Planificadas]]&lt;&gt;0,Planning[[#This Row],[Horas utilizadas]]/Planning[[#This Row],[Horas Planificadas]],0)</f>
        <v>#REF!</v>
      </c>
      <c r="W569" s="44">
        <f>Planning[[#This Row],[Horas Planificadas]]+Planning[[#This Row],[Horas ajustadas adicionales]]</f>
        <v>90</v>
      </c>
      <c r="X569" s="142"/>
    </row>
    <row r="570" spans="1:24" ht="12.75" customHeight="1" x14ac:dyDescent="0.2">
      <c r="A570" s="7"/>
      <c r="B570" s="7"/>
      <c r="C570" s="3"/>
      <c r="D570" s="3" t="s">
        <v>183</v>
      </c>
      <c r="E570" s="33" t="s">
        <v>32</v>
      </c>
      <c r="F570" s="3"/>
      <c r="G570" s="7"/>
      <c r="H570" s="7">
        <v>60</v>
      </c>
      <c r="I570" s="12"/>
      <c r="J570" s="5" t="e">
        <f>+SUMIFS(#REF!,#REF!,Planning[[#This Row],[Tarifa]],#REF!,Planning[[#This Row],[Proyectos]])</f>
        <v>#REF!</v>
      </c>
      <c r="K570" s="5" t="e">
        <f>Planning[[#This Row],[Horas Planificadas]]+Planning[[#This Row],[Horas ajustadas adicionales]]-Planning[[#This Row],[Horas utilizadas]]</f>
        <v>#REF!</v>
      </c>
      <c r="L570" s="7"/>
      <c r="M570" s="19" t="e">
        <f>Planning[[#This Row],[Saldo]]-Planning[[#This Row],[Saldo estimado]]</f>
        <v>#REF!</v>
      </c>
      <c r="N570" s="60" t="e">
        <f>+SUMIFS(#REF!,#REF!,Planning[[#This Row],[Proyectos]],#REF!,Planning[[#This Row],[Tipo de Tarea y especialidad]])</f>
        <v>#REF!</v>
      </c>
      <c r="O570" s="19">
        <f t="shared" si="16"/>
        <v>10</v>
      </c>
      <c r="P570" s="19">
        <f t="shared" si="17"/>
        <v>2024</v>
      </c>
      <c r="Q570" s="19" t="e">
        <f>+SUMIFS(#REF!,#REF!,Planning[[#This Row],[Tarifa]],#REF!,Planning[[#This Row],[Proyectos]],#REF!,Planning[[#This Row],[Mes]],#REF!,Planning[[#This Row],[Año]])</f>
        <v>#REF!</v>
      </c>
      <c r="R570" s="19" t="str">
        <f>TEXT(Planning[[#This Row],[Mes]]*29,"mmmm")</f>
        <v>October</v>
      </c>
      <c r="S5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0" s="228"/>
      <c r="U570" s="43" t="e">
        <f>IF(Planning[[#This Row],[Horas Planificadas]]&lt;&gt;0,+K570/Planning[[#This Row],[Horas Planificadas]],0)</f>
        <v>#REF!</v>
      </c>
      <c r="V570" s="43" t="e">
        <f>IF(Planning[[#This Row],[Horas Planificadas]]&lt;&gt;0,Planning[[#This Row],[Horas utilizadas]]/Planning[[#This Row],[Horas Planificadas]],0)</f>
        <v>#REF!</v>
      </c>
      <c r="W570" s="44">
        <f>Planning[[#This Row],[Horas Planificadas]]+Planning[[#This Row],[Horas ajustadas adicionales]]</f>
        <v>60</v>
      </c>
      <c r="X570" s="142"/>
    </row>
    <row r="571" spans="1:24" ht="12.75" customHeight="1" x14ac:dyDescent="0.2">
      <c r="A571" s="7"/>
      <c r="B571" s="7"/>
      <c r="C571" s="3"/>
      <c r="D571" s="3" t="s">
        <v>184</v>
      </c>
      <c r="E571" s="33" t="s">
        <v>28</v>
      </c>
      <c r="F571" s="3"/>
      <c r="G571" s="7"/>
      <c r="H571" s="7">
        <v>0</v>
      </c>
      <c r="I571" s="12"/>
      <c r="J571" s="5" t="e">
        <f>+SUMIFS(#REF!,#REF!,Planning[[#This Row],[Tarifa]],#REF!,Planning[[#This Row],[Proyectos]])</f>
        <v>#REF!</v>
      </c>
      <c r="K571" s="5" t="e">
        <f>Planning[[#This Row],[Horas Planificadas]]+Planning[[#This Row],[Horas ajustadas adicionales]]-Planning[[#This Row],[Horas utilizadas]]</f>
        <v>#REF!</v>
      </c>
      <c r="L571" s="7"/>
      <c r="M571" s="19" t="e">
        <f>Planning[[#This Row],[Saldo]]-Planning[[#This Row],[Saldo estimado]]</f>
        <v>#REF!</v>
      </c>
      <c r="N571" s="60" t="e">
        <f>+SUMIFS(#REF!,#REF!,Planning[[#This Row],[Proyectos]],#REF!,Planning[[#This Row],[Tipo de Tarea y especialidad]])</f>
        <v>#REF!</v>
      </c>
      <c r="O571" s="19">
        <f t="shared" si="16"/>
        <v>10</v>
      </c>
      <c r="P571" s="19">
        <f t="shared" si="17"/>
        <v>2024</v>
      </c>
      <c r="Q571" s="19" t="e">
        <f>+SUMIFS(#REF!,#REF!,Planning[[#This Row],[Tarifa]],#REF!,Planning[[#This Row],[Proyectos]],#REF!,Planning[[#This Row],[Mes]],#REF!,Planning[[#This Row],[Año]])</f>
        <v>#REF!</v>
      </c>
      <c r="R571" s="19" t="str">
        <f>TEXT(Planning[[#This Row],[Mes]]*29,"mmmm")</f>
        <v>October</v>
      </c>
      <c r="S5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1" s="228"/>
      <c r="U571" s="43">
        <f>IF(Planning[[#This Row],[Horas Planificadas]]&lt;&gt;0,+K571/Planning[[#This Row],[Horas Planificadas]],0)</f>
        <v>0</v>
      </c>
      <c r="V571" s="43">
        <f>IF(Planning[[#This Row],[Horas Planificadas]]&lt;&gt;0,Planning[[#This Row],[Horas utilizadas]]/Planning[[#This Row],[Horas Planificadas]],0)</f>
        <v>0</v>
      </c>
      <c r="W571" s="44">
        <f>Planning[[#This Row],[Horas Planificadas]]+Planning[[#This Row],[Horas ajustadas adicionales]]</f>
        <v>0</v>
      </c>
      <c r="X571" s="142"/>
    </row>
    <row r="572" spans="1:24" ht="12.75" customHeight="1" x14ac:dyDescent="0.2">
      <c r="A572" s="7"/>
      <c r="B572" s="7"/>
      <c r="C572" s="3"/>
      <c r="D572" s="3" t="s">
        <v>184</v>
      </c>
      <c r="E572" s="33" t="s">
        <v>30</v>
      </c>
      <c r="F572" s="3"/>
      <c r="G572" s="7"/>
      <c r="H572" s="7">
        <v>45</v>
      </c>
      <c r="I572" s="12"/>
      <c r="J572" s="5" t="e">
        <f>+SUMIFS(#REF!,#REF!,Planning[[#This Row],[Tarifa]],#REF!,Planning[[#This Row],[Proyectos]])</f>
        <v>#REF!</v>
      </c>
      <c r="K572" s="5" t="e">
        <f>Planning[[#This Row],[Horas Planificadas]]+Planning[[#This Row],[Horas ajustadas adicionales]]-Planning[[#This Row],[Horas utilizadas]]</f>
        <v>#REF!</v>
      </c>
      <c r="L572" s="7"/>
      <c r="M572" s="19" t="e">
        <f>Planning[[#This Row],[Saldo]]-Planning[[#This Row],[Saldo estimado]]</f>
        <v>#REF!</v>
      </c>
      <c r="N572" s="60" t="e">
        <f>+SUMIFS(#REF!,#REF!,Planning[[#This Row],[Proyectos]],#REF!,Planning[[#This Row],[Tipo de Tarea y especialidad]])</f>
        <v>#REF!</v>
      </c>
      <c r="O572" s="19">
        <f t="shared" si="16"/>
        <v>10</v>
      </c>
      <c r="P572" s="19">
        <f t="shared" si="17"/>
        <v>2024</v>
      </c>
      <c r="Q572" s="19" t="e">
        <f>+SUMIFS(#REF!,#REF!,Planning[[#This Row],[Tarifa]],#REF!,Planning[[#This Row],[Proyectos]],#REF!,Planning[[#This Row],[Mes]],#REF!,Planning[[#This Row],[Año]])</f>
        <v>#REF!</v>
      </c>
      <c r="R572" s="19" t="str">
        <f>TEXT(Planning[[#This Row],[Mes]]*29,"mmmm")</f>
        <v>October</v>
      </c>
      <c r="S5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2" s="228"/>
      <c r="U572" s="43" t="e">
        <f>IF(Planning[[#This Row],[Horas Planificadas]]&lt;&gt;0,+K572/Planning[[#This Row],[Horas Planificadas]],0)</f>
        <v>#REF!</v>
      </c>
      <c r="V572" s="43" t="e">
        <f>IF(Planning[[#This Row],[Horas Planificadas]]&lt;&gt;0,Planning[[#This Row],[Horas utilizadas]]/Planning[[#This Row],[Horas Planificadas]],0)</f>
        <v>#REF!</v>
      </c>
      <c r="W572" s="44">
        <f>Planning[[#This Row],[Horas Planificadas]]+Planning[[#This Row],[Horas ajustadas adicionales]]</f>
        <v>45</v>
      </c>
      <c r="X572" s="142"/>
    </row>
    <row r="573" spans="1:24" ht="12.75" customHeight="1" x14ac:dyDescent="0.2">
      <c r="A573" s="7"/>
      <c r="B573" s="7"/>
      <c r="C573" s="3"/>
      <c r="D573" s="3" t="s">
        <v>184</v>
      </c>
      <c r="E573" s="33" t="s">
        <v>31</v>
      </c>
      <c r="F573" s="3"/>
      <c r="G573" s="7"/>
      <c r="H573" s="7">
        <v>5</v>
      </c>
      <c r="I573" s="12"/>
      <c r="J573" s="5" t="e">
        <f>+SUMIFS(#REF!,#REF!,Planning[[#This Row],[Tarifa]],#REF!,Planning[[#This Row],[Proyectos]])</f>
        <v>#REF!</v>
      </c>
      <c r="K573" s="5" t="e">
        <f>Planning[[#This Row],[Horas Planificadas]]+Planning[[#This Row],[Horas ajustadas adicionales]]-Planning[[#This Row],[Horas utilizadas]]</f>
        <v>#REF!</v>
      </c>
      <c r="L573" s="7"/>
      <c r="M573" s="19" t="e">
        <f>Planning[[#This Row],[Saldo]]-Planning[[#This Row],[Saldo estimado]]</f>
        <v>#REF!</v>
      </c>
      <c r="N573" s="60" t="e">
        <f>+SUMIFS(#REF!,#REF!,Planning[[#This Row],[Proyectos]],#REF!,Planning[[#This Row],[Tipo de Tarea y especialidad]])</f>
        <v>#REF!</v>
      </c>
      <c r="O573" s="19">
        <f t="shared" si="16"/>
        <v>10</v>
      </c>
      <c r="P573" s="19">
        <f t="shared" si="17"/>
        <v>2024</v>
      </c>
      <c r="Q573" s="19" t="e">
        <f>+SUMIFS(#REF!,#REF!,Planning[[#This Row],[Tarifa]],#REF!,Planning[[#This Row],[Proyectos]],#REF!,Planning[[#This Row],[Mes]],#REF!,Planning[[#This Row],[Año]])</f>
        <v>#REF!</v>
      </c>
      <c r="R573" s="19" t="str">
        <f>TEXT(Planning[[#This Row],[Mes]]*29,"mmmm")</f>
        <v>October</v>
      </c>
      <c r="S5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3" s="228"/>
      <c r="U573" s="43" t="e">
        <f>IF(Planning[[#This Row],[Horas Planificadas]]&lt;&gt;0,+K573/Planning[[#This Row],[Horas Planificadas]],0)</f>
        <v>#REF!</v>
      </c>
      <c r="V573" s="43" t="e">
        <f>IF(Planning[[#This Row],[Horas Planificadas]]&lt;&gt;0,Planning[[#This Row],[Horas utilizadas]]/Planning[[#This Row],[Horas Planificadas]],0)</f>
        <v>#REF!</v>
      </c>
      <c r="W573" s="44">
        <f>Planning[[#This Row],[Horas Planificadas]]+Planning[[#This Row],[Horas ajustadas adicionales]]</f>
        <v>5</v>
      </c>
      <c r="X573" s="142"/>
    </row>
    <row r="574" spans="1:24" ht="12.75" customHeight="1" x14ac:dyDescent="0.2">
      <c r="A574" s="7"/>
      <c r="B574" s="7"/>
      <c r="C574" s="3"/>
      <c r="D574" s="3" t="s">
        <v>184</v>
      </c>
      <c r="E574" s="33" t="s">
        <v>32</v>
      </c>
      <c r="F574" s="3"/>
      <c r="G574" s="7"/>
      <c r="H574" s="7">
        <v>0</v>
      </c>
      <c r="I574" s="12"/>
      <c r="J574" s="5" t="e">
        <f>+SUMIFS(#REF!,#REF!,Planning[[#This Row],[Tarifa]],#REF!,Planning[[#This Row],[Proyectos]])</f>
        <v>#REF!</v>
      </c>
      <c r="K574" s="5" t="e">
        <f>Planning[[#This Row],[Horas Planificadas]]+Planning[[#This Row],[Horas ajustadas adicionales]]-Planning[[#This Row],[Horas utilizadas]]</f>
        <v>#REF!</v>
      </c>
      <c r="L574" s="7"/>
      <c r="M574" s="19" t="e">
        <f>Planning[[#This Row],[Saldo]]-Planning[[#This Row],[Saldo estimado]]</f>
        <v>#REF!</v>
      </c>
      <c r="N574" s="60" t="e">
        <f>+SUMIFS(#REF!,#REF!,Planning[[#This Row],[Proyectos]],#REF!,Planning[[#This Row],[Tipo de Tarea y especialidad]])</f>
        <v>#REF!</v>
      </c>
      <c r="O574" s="19">
        <f t="shared" si="16"/>
        <v>10</v>
      </c>
      <c r="P574" s="19">
        <f t="shared" si="17"/>
        <v>2024</v>
      </c>
      <c r="Q574" s="19" t="e">
        <f>+SUMIFS(#REF!,#REF!,Planning[[#This Row],[Tarifa]],#REF!,Planning[[#This Row],[Proyectos]],#REF!,Planning[[#This Row],[Mes]],#REF!,Planning[[#This Row],[Año]])</f>
        <v>#REF!</v>
      </c>
      <c r="R574" s="19" t="str">
        <f>TEXT(Planning[[#This Row],[Mes]]*29,"mmmm")</f>
        <v>October</v>
      </c>
      <c r="S5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4" s="228"/>
      <c r="U574" s="43">
        <f>IF(Planning[[#This Row],[Horas Planificadas]]&lt;&gt;0,+K574/Planning[[#This Row],[Horas Planificadas]],0)</f>
        <v>0</v>
      </c>
      <c r="V574" s="43">
        <f>IF(Planning[[#This Row],[Horas Planificadas]]&lt;&gt;0,Planning[[#This Row],[Horas utilizadas]]/Planning[[#This Row],[Horas Planificadas]],0)</f>
        <v>0</v>
      </c>
      <c r="W574" s="44">
        <f>Planning[[#This Row],[Horas Planificadas]]+Planning[[#This Row],[Horas ajustadas adicionales]]</f>
        <v>0</v>
      </c>
      <c r="X574" s="142"/>
    </row>
    <row r="575" spans="1:24" ht="12.75" customHeight="1" x14ac:dyDescent="0.2">
      <c r="A575" s="7"/>
      <c r="B575" s="7"/>
      <c r="C575" s="3"/>
      <c r="D575" s="3" t="s">
        <v>185</v>
      </c>
      <c r="E575" s="33" t="s">
        <v>28</v>
      </c>
      <c r="F575" s="3"/>
      <c r="G575" s="7"/>
      <c r="H575" s="7">
        <v>40</v>
      </c>
      <c r="I575" s="12"/>
      <c r="J575" s="5" t="e">
        <f>+SUMIFS(#REF!,#REF!,Planning[[#This Row],[Tarifa]],#REF!,Planning[[#This Row],[Proyectos]])</f>
        <v>#REF!</v>
      </c>
      <c r="K575" s="5" t="e">
        <f>Planning[[#This Row],[Horas Planificadas]]+Planning[[#This Row],[Horas ajustadas adicionales]]-Planning[[#This Row],[Horas utilizadas]]</f>
        <v>#REF!</v>
      </c>
      <c r="L575" s="7"/>
      <c r="M575" s="19" t="e">
        <f>Planning[[#This Row],[Saldo]]-Planning[[#This Row],[Saldo estimado]]</f>
        <v>#REF!</v>
      </c>
      <c r="N575" s="60" t="e">
        <f>+SUMIFS(#REF!,#REF!,Planning[[#This Row],[Proyectos]],#REF!,Planning[[#This Row],[Tipo de Tarea y especialidad]])</f>
        <v>#REF!</v>
      </c>
      <c r="O575" s="19">
        <f t="shared" si="16"/>
        <v>10</v>
      </c>
      <c r="P575" s="19">
        <f t="shared" si="17"/>
        <v>2024</v>
      </c>
      <c r="Q575" s="19" t="e">
        <f>+SUMIFS(#REF!,#REF!,Planning[[#This Row],[Tarifa]],#REF!,Planning[[#This Row],[Proyectos]],#REF!,Planning[[#This Row],[Mes]],#REF!,Planning[[#This Row],[Año]])</f>
        <v>#REF!</v>
      </c>
      <c r="R575" s="19" t="str">
        <f>TEXT(Planning[[#This Row],[Mes]]*29,"mmmm")</f>
        <v>October</v>
      </c>
      <c r="S5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5" s="228"/>
      <c r="U575" s="43" t="e">
        <f>IF(Planning[[#This Row],[Horas Planificadas]]&lt;&gt;0,+K575/Planning[[#This Row],[Horas Planificadas]],0)</f>
        <v>#REF!</v>
      </c>
      <c r="V575" s="43" t="e">
        <f>IF(Planning[[#This Row],[Horas Planificadas]]&lt;&gt;0,Planning[[#This Row],[Horas utilizadas]]/Planning[[#This Row],[Horas Planificadas]],0)</f>
        <v>#REF!</v>
      </c>
      <c r="W575" s="44">
        <f>Planning[[#This Row],[Horas Planificadas]]+Planning[[#This Row],[Horas ajustadas adicionales]]</f>
        <v>40</v>
      </c>
      <c r="X575" s="142"/>
    </row>
    <row r="576" spans="1:24" ht="12.75" customHeight="1" x14ac:dyDescent="0.2">
      <c r="A576" s="7"/>
      <c r="B576" s="7"/>
      <c r="C576" s="3"/>
      <c r="D576" s="3" t="s">
        <v>185</v>
      </c>
      <c r="E576" s="33" t="s">
        <v>30</v>
      </c>
      <c r="F576" s="3"/>
      <c r="G576" s="7"/>
      <c r="H576" s="7">
        <v>160</v>
      </c>
      <c r="I576" s="12"/>
      <c r="J576" s="5" t="e">
        <f>+SUMIFS(#REF!,#REF!,Planning[[#This Row],[Tarifa]],#REF!,Planning[[#This Row],[Proyectos]])</f>
        <v>#REF!</v>
      </c>
      <c r="K576" s="5" t="e">
        <f>Planning[[#This Row],[Horas Planificadas]]+Planning[[#This Row],[Horas ajustadas adicionales]]-Planning[[#This Row],[Horas utilizadas]]</f>
        <v>#REF!</v>
      </c>
      <c r="L576" s="7"/>
      <c r="M576" s="19" t="e">
        <f>Planning[[#This Row],[Saldo]]-Planning[[#This Row],[Saldo estimado]]</f>
        <v>#REF!</v>
      </c>
      <c r="N576" s="60" t="e">
        <f>+SUMIFS(#REF!,#REF!,Planning[[#This Row],[Proyectos]],#REF!,Planning[[#This Row],[Tipo de Tarea y especialidad]])</f>
        <v>#REF!</v>
      </c>
      <c r="O576" s="19">
        <f t="shared" si="16"/>
        <v>10</v>
      </c>
      <c r="P576" s="19">
        <f t="shared" si="17"/>
        <v>2024</v>
      </c>
      <c r="Q576" s="19" t="e">
        <f>+SUMIFS(#REF!,#REF!,Planning[[#This Row],[Tarifa]],#REF!,Planning[[#This Row],[Proyectos]],#REF!,Planning[[#This Row],[Mes]],#REF!,Planning[[#This Row],[Año]])</f>
        <v>#REF!</v>
      </c>
      <c r="R576" s="19" t="str">
        <f>TEXT(Planning[[#This Row],[Mes]]*29,"mmmm")</f>
        <v>October</v>
      </c>
      <c r="S5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6" s="228"/>
      <c r="U576" s="43" t="e">
        <f>IF(Planning[[#This Row],[Horas Planificadas]]&lt;&gt;0,+K576/Planning[[#This Row],[Horas Planificadas]],0)</f>
        <v>#REF!</v>
      </c>
      <c r="V576" s="43" t="e">
        <f>IF(Planning[[#This Row],[Horas Planificadas]]&lt;&gt;0,Planning[[#This Row],[Horas utilizadas]]/Planning[[#This Row],[Horas Planificadas]],0)</f>
        <v>#REF!</v>
      </c>
      <c r="W576" s="44">
        <f>Planning[[#This Row],[Horas Planificadas]]+Planning[[#This Row],[Horas ajustadas adicionales]]</f>
        <v>160</v>
      </c>
      <c r="X576" s="142"/>
    </row>
    <row r="577" spans="1:24" ht="12.75" customHeight="1" x14ac:dyDescent="0.2">
      <c r="A577" s="7"/>
      <c r="B577" s="7"/>
      <c r="C577" s="3"/>
      <c r="D577" s="3" t="s">
        <v>185</v>
      </c>
      <c r="E577" s="33" t="s">
        <v>31</v>
      </c>
      <c r="F577" s="3"/>
      <c r="G577" s="7"/>
      <c r="H577" s="7">
        <v>240</v>
      </c>
      <c r="I577" s="12"/>
      <c r="J577" s="5" t="e">
        <f>+SUMIFS(#REF!,#REF!,Planning[[#This Row],[Tarifa]],#REF!,Planning[[#This Row],[Proyectos]])</f>
        <v>#REF!</v>
      </c>
      <c r="K577" s="5" t="e">
        <f>Planning[[#This Row],[Horas Planificadas]]+Planning[[#This Row],[Horas ajustadas adicionales]]-Planning[[#This Row],[Horas utilizadas]]</f>
        <v>#REF!</v>
      </c>
      <c r="L577" s="7"/>
      <c r="M577" s="19" t="e">
        <f>Planning[[#This Row],[Saldo]]-Planning[[#This Row],[Saldo estimado]]</f>
        <v>#REF!</v>
      </c>
      <c r="N577" s="60" t="e">
        <f>+SUMIFS(#REF!,#REF!,Planning[[#This Row],[Proyectos]],#REF!,Planning[[#This Row],[Tipo de Tarea y especialidad]])</f>
        <v>#REF!</v>
      </c>
      <c r="O577" s="19">
        <f t="shared" si="16"/>
        <v>10</v>
      </c>
      <c r="P577" s="19">
        <f t="shared" si="17"/>
        <v>2024</v>
      </c>
      <c r="Q577" s="19" t="e">
        <f>+SUMIFS(#REF!,#REF!,Planning[[#This Row],[Tarifa]],#REF!,Planning[[#This Row],[Proyectos]],#REF!,Planning[[#This Row],[Mes]],#REF!,Planning[[#This Row],[Año]])</f>
        <v>#REF!</v>
      </c>
      <c r="R577" s="19" t="str">
        <f>TEXT(Planning[[#This Row],[Mes]]*29,"mmmm")</f>
        <v>October</v>
      </c>
      <c r="S5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7" s="228"/>
      <c r="U577" s="43" t="e">
        <f>IF(Planning[[#This Row],[Horas Planificadas]]&lt;&gt;0,+K577/Planning[[#This Row],[Horas Planificadas]],0)</f>
        <v>#REF!</v>
      </c>
      <c r="V577" s="43" t="e">
        <f>IF(Planning[[#This Row],[Horas Planificadas]]&lt;&gt;0,Planning[[#This Row],[Horas utilizadas]]/Planning[[#This Row],[Horas Planificadas]],0)</f>
        <v>#REF!</v>
      </c>
      <c r="W577" s="44">
        <f>Planning[[#This Row],[Horas Planificadas]]+Planning[[#This Row],[Horas ajustadas adicionales]]</f>
        <v>240</v>
      </c>
      <c r="X577" s="142"/>
    </row>
    <row r="578" spans="1:24" ht="12.75" customHeight="1" x14ac:dyDescent="0.2">
      <c r="A578" s="7"/>
      <c r="B578" s="7"/>
      <c r="C578" s="3"/>
      <c r="D578" s="3" t="s">
        <v>185</v>
      </c>
      <c r="E578" s="33" t="s">
        <v>32</v>
      </c>
      <c r="F578" s="3"/>
      <c r="G578" s="7"/>
      <c r="H578" s="7">
        <v>32</v>
      </c>
      <c r="I578" s="12"/>
      <c r="J578" s="5" t="e">
        <f>+SUMIFS(#REF!,#REF!,Planning[[#This Row],[Tarifa]],#REF!,Planning[[#This Row],[Proyectos]])</f>
        <v>#REF!</v>
      </c>
      <c r="K578" s="5" t="e">
        <f>Planning[[#This Row],[Horas Planificadas]]+Planning[[#This Row],[Horas ajustadas adicionales]]-Planning[[#This Row],[Horas utilizadas]]</f>
        <v>#REF!</v>
      </c>
      <c r="L578" s="7"/>
      <c r="M578" s="19" t="e">
        <f>Planning[[#This Row],[Saldo]]-Planning[[#This Row],[Saldo estimado]]</f>
        <v>#REF!</v>
      </c>
      <c r="N578" s="60" t="e">
        <f>+SUMIFS(#REF!,#REF!,Planning[[#This Row],[Proyectos]],#REF!,Planning[[#This Row],[Tipo de Tarea y especialidad]])</f>
        <v>#REF!</v>
      </c>
      <c r="O578" s="19">
        <f t="shared" si="16"/>
        <v>10</v>
      </c>
      <c r="P578" s="19">
        <f t="shared" si="17"/>
        <v>2024</v>
      </c>
      <c r="Q578" s="19" t="e">
        <f>+SUMIFS(#REF!,#REF!,Planning[[#This Row],[Tarifa]],#REF!,Planning[[#This Row],[Proyectos]],#REF!,Planning[[#This Row],[Mes]],#REF!,Planning[[#This Row],[Año]])</f>
        <v>#REF!</v>
      </c>
      <c r="R578" s="19" t="str">
        <f>TEXT(Planning[[#This Row],[Mes]]*29,"mmmm")</f>
        <v>October</v>
      </c>
      <c r="S5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8" s="228"/>
      <c r="U578" s="43" t="e">
        <f>IF(Planning[[#This Row],[Horas Planificadas]]&lt;&gt;0,+K578/Planning[[#This Row],[Horas Planificadas]],0)</f>
        <v>#REF!</v>
      </c>
      <c r="V578" s="43" t="e">
        <f>IF(Planning[[#This Row],[Horas Planificadas]]&lt;&gt;0,Planning[[#This Row],[Horas utilizadas]]/Planning[[#This Row],[Horas Planificadas]],0)</f>
        <v>#REF!</v>
      </c>
      <c r="W578" s="44">
        <f>Planning[[#This Row],[Horas Planificadas]]+Planning[[#This Row],[Horas ajustadas adicionales]]</f>
        <v>32</v>
      </c>
      <c r="X578" s="142"/>
    </row>
    <row r="579" spans="1:24" ht="12.75" customHeight="1" x14ac:dyDescent="0.2">
      <c r="A579" s="7"/>
      <c r="B579" s="7"/>
      <c r="C579" s="3"/>
      <c r="D579" s="3" t="s">
        <v>186</v>
      </c>
      <c r="E579" s="33" t="s">
        <v>28</v>
      </c>
      <c r="F579" s="3"/>
      <c r="G579" s="7"/>
      <c r="H579" s="7">
        <v>333</v>
      </c>
      <c r="I579" s="12"/>
      <c r="J579" s="5" t="e">
        <f>+SUMIFS(#REF!,#REF!,Planning[[#This Row],[Tarifa]],#REF!,Planning[[#This Row],[Proyectos]])</f>
        <v>#REF!</v>
      </c>
      <c r="K579" s="5" t="e">
        <f>Planning[[#This Row],[Horas Planificadas]]+Planning[[#This Row],[Horas ajustadas adicionales]]-Planning[[#This Row],[Horas utilizadas]]</f>
        <v>#REF!</v>
      </c>
      <c r="L579" s="7"/>
      <c r="M579" s="19" t="e">
        <f>Planning[[#This Row],[Saldo]]-Planning[[#This Row],[Saldo estimado]]</f>
        <v>#REF!</v>
      </c>
      <c r="N579" s="60" t="e">
        <f>+SUMIFS(#REF!,#REF!,Planning[[#This Row],[Proyectos]],#REF!,Planning[[#This Row],[Tipo de Tarea y especialidad]])</f>
        <v>#REF!</v>
      </c>
      <c r="O579" s="19">
        <f t="shared" si="16"/>
        <v>10</v>
      </c>
      <c r="P579" s="19">
        <f t="shared" si="17"/>
        <v>2024</v>
      </c>
      <c r="Q579" s="19" t="e">
        <f>+SUMIFS(#REF!,#REF!,Planning[[#This Row],[Tarifa]],#REF!,Planning[[#This Row],[Proyectos]],#REF!,Planning[[#This Row],[Mes]],#REF!,Planning[[#This Row],[Año]])</f>
        <v>#REF!</v>
      </c>
      <c r="R579" s="19" t="str">
        <f>TEXT(Planning[[#This Row],[Mes]]*29,"mmmm")</f>
        <v>October</v>
      </c>
      <c r="S5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9" s="228"/>
      <c r="U579" s="43" t="e">
        <f>IF(Planning[[#This Row],[Horas Planificadas]]&lt;&gt;0,+K579/Planning[[#This Row],[Horas Planificadas]],0)</f>
        <v>#REF!</v>
      </c>
      <c r="V579" s="43" t="e">
        <f>IF(Planning[[#This Row],[Horas Planificadas]]&lt;&gt;0,Planning[[#This Row],[Horas utilizadas]]/Planning[[#This Row],[Horas Planificadas]],0)</f>
        <v>#REF!</v>
      </c>
      <c r="W579" s="44">
        <f>Planning[[#This Row],[Horas Planificadas]]+Planning[[#This Row],[Horas ajustadas adicionales]]</f>
        <v>333</v>
      </c>
      <c r="X579" s="142"/>
    </row>
    <row r="580" spans="1:24" ht="12.75" customHeight="1" x14ac:dyDescent="0.2">
      <c r="A580" s="7"/>
      <c r="B580" s="7"/>
      <c r="C580" s="3"/>
      <c r="D580" s="3" t="s">
        <v>186</v>
      </c>
      <c r="E580" s="33" t="s">
        <v>30</v>
      </c>
      <c r="F580" s="3"/>
      <c r="G580" s="7"/>
      <c r="H580" s="7">
        <v>477</v>
      </c>
      <c r="I580" s="12"/>
      <c r="J580" s="5" t="e">
        <f>+SUMIFS(#REF!,#REF!,Planning[[#This Row],[Tarifa]],#REF!,Planning[[#This Row],[Proyectos]])</f>
        <v>#REF!</v>
      </c>
      <c r="K580" s="5" t="e">
        <f>Planning[[#This Row],[Horas Planificadas]]+Planning[[#This Row],[Horas ajustadas adicionales]]-Planning[[#This Row],[Horas utilizadas]]</f>
        <v>#REF!</v>
      </c>
      <c r="L580" s="7"/>
      <c r="M580" s="19" t="e">
        <f>Planning[[#This Row],[Saldo]]-Planning[[#This Row],[Saldo estimado]]</f>
        <v>#REF!</v>
      </c>
      <c r="N580" s="60" t="e">
        <f>+SUMIFS(#REF!,#REF!,Planning[[#This Row],[Proyectos]],#REF!,Planning[[#This Row],[Tipo de Tarea y especialidad]])</f>
        <v>#REF!</v>
      </c>
      <c r="O580" s="19">
        <f t="shared" si="16"/>
        <v>10</v>
      </c>
      <c r="P580" s="19">
        <f t="shared" si="17"/>
        <v>2024</v>
      </c>
      <c r="Q580" s="19" t="e">
        <f>+SUMIFS(#REF!,#REF!,Planning[[#This Row],[Tarifa]],#REF!,Planning[[#This Row],[Proyectos]],#REF!,Planning[[#This Row],[Mes]],#REF!,Planning[[#This Row],[Año]])</f>
        <v>#REF!</v>
      </c>
      <c r="R580" s="19" t="str">
        <f>TEXT(Planning[[#This Row],[Mes]]*29,"mmmm")</f>
        <v>October</v>
      </c>
      <c r="S5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0" s="228"/>
      <c r="U580" s="43" t="e">
        <f>IF(Planning[[#This Row],[Horas Planificadas]]&lt;&gt;0,+K580/Planning[[#This Row],[Horas Planificadas]],0)</f>
        <v>#REF!</v>
      </c>
      <c r="V580" s="43" t="e">
        <f>IF(Planning[[#This Row],[Horas Planificadas]]&lt;&gt;0,Planning[[#This Row],[Horas utilizadas]]/Planning[[#This Row],[Horas Planificadas]],0)</f>
        <v>#REF!</v>
      </c>
      <c r="W580" s="44">
        <f>Planning[[#This Row],[Horas Planificadas]]+Planning[[#This Row],[Horas ajustadas adicionales]]</f>
        <v>477</v>
      </c>
      <c r="X580" s="142"/>
    </row>
    <row r="581" spans="1:24" ht="12.75" customHeight="1" x14ac:dyDescent="0.2">
      <c r="A581" s="7"/>
      <c r="B581" s="7"/>
      <c r="C581" s="3"/>
      <c r="D581" s="3" t="s">
        <v>186</v>
      </c>
      <c r="E581" s="33" t="s">
        <v>31</v>
      </c>
      <c r="F581" s="3"/>
      <c r="G581" s="7"/>
      <c r="H581" s="7">
        <v>59</v>
      </c>
      <c r="I581" s="12"/>
      <c r="J581" s="5" t="e">
        <f>+SUMIFS(#REF!,#REF!,Planning[[#This Row],[Tarifa]],#REF!,Planning[[#This Row],[Proyectos]])</f>
        <v>#REF!</v>
      </c>
      <c r="K581" s="5" t="e">
        <f>Planning[[#This Row],[Horas Planificadas]]+Planning[[#This Row],[Horas ajustadas adicionales]]-Planning[[#This Row],[Horas utilizadas]]</f>
        <v>#REF!</v>
      </c>
      <c r="L581" s="7"/>
      <c r="M581" s="19" t="e">
        <f>Planning[[#This Row],[Saldo]]-Planning[[#This Row],[Saldo estimado]]</f>
        <v>#REF!</v>
      </c>
      <c r="N581" s="60" t="e">
        <f>+SUMIFS(#REF!,#REF!,Planning[[#This Row],[Proyectos]],#REF!,Planning[[#This Row],[Tipo de Tarea y especialidad]])</f>
        <v>#REF!</v>
      </c>
      <c r="O581" s="19">
        <f t="shared" si="16"/>
        <v>10</v>
      </c>
      <c r="P581" s="19">
        <f t="shared" si="17"/>
        <v>2024</v>
      </c>
      <c r="Q581" s="19" t="e">
        <f>+SUMIFS(#REF!,#REF!,Planning[[#This Row],[Tarifa]],#REF!,Planning[[#This Row],[Proyectos]],#REF!,Planning[[#This Row],[Mes]],#REF!,Planning[[#This Row],[Año]])</f>
        <v>#REF!</v>
      </c>
      <c r="R581" s="19" t="str">
        <f>TEXT(Planning[[#This Row],[Mes]]*29,"mmmm")</f>
        <v>October</v>
      </c>
      <c r="S5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1" s="228"/>
      <c r="U581" s="43" t="e">
        <f>IF(Planning[[#This Row],[Horas Planificadas]]&lt;&gt;0,+K581/Planning[[#This Row],[Horas Planificadas]],0)</f>
        <v>#REF!</v>
      </c>
      <c r="V581" s="43" t="e">
        <f>IF(Planning[[#This Row],[Horas Planificadas]]&lt;&gt;0,Planning[[#This Row],[Horas utilizadas]]/Planning[[#This Row],[Horas Planificadas]],0)</f>
        <v>#REF!</v>
      </c>
      <c r="W581" s="44">
        <f>Planning[[#This Row],[Horas Planificadas]]+Planning[[#This Row],[Horas ajustadas adicionales]]</f>
        <v>59</v>
      </c>
      <c r="X581" s="142"/>
    </row>
    <row r="582" spans="1:24" ht="12.75" customHeight="1" x14ac:dyDescent="0.2">
      <c r="A582" s="7"/>
      <c r="B582" s="7"/>
      <c r="C582" s="3"/>
      <c r="D582" s="3" t="s">
        <v>186</v>
      </c>
      <c r="E582" s="33" t="s">
        <v>32</v>
      </c>
      <c r="F582" s="3"/>
      <c r="G582" s="7"/>
      <c r="H582" s="7">
        <v>186</v>
      </c>
      <c r="I582" s="12"/>
      <c r="J582" s="5" t="e">
        <f>+SUMIFS(#REF!,#REF!,Planning[[#This Row],[Tarifa]],#REF!,Planning[[#This Row],[Proyectos]])</f>
        <v>#REF!</v>
      </c>
      <c r="K582" s="5" t="e">
        <f>Planning[[#This Row],[Horas Planificadas]]+Planning[[#This Row],[Horas ajustadas adicionales]]-Planning[[#This Row],[Horas utilizadas]]</f>
        <v>#REF!</v>
      </c>
      <c r="L582" s="7"/>
      <c r="M582" s="19" t="e">
        <f>Planning[[#This Row],[Saldo]]-Planning[[#This Row],[Saldo estimado]]</f>
        <v>#REF!</v>
      </c>
      <c r="N582" s="60" t="e">
        <f>+SUMIFS(#REF!,#REF!,Planning[[#This Row],[Proyectos]],#REF!,Planning[[#This Row],[Tipo de Tarea y especialidad]])</f>
        <v>#REF!</v>
      </c>
      <c r="O582" s="19">
        <f t="shared" si="16"/>
        <v>10</v>
      </c>
      <c r="P582" s="19">
        <f t="shared" si="17"/>
        <v>2024</v>
      </c>
      <c r="Q582" s="19" t="e">
        <f>+SUMIFS(#REF!,#REF!,Planning[[#This Row],[Tarifa]],#REF!,Planning[[#This Row],[Proyectos]],#REF!,Planning[[#This Row],[Mes]],#REF!,Planning[[#This Row],[Año]])</f>
        <v>#REF!</v>
      </c>
      <c r="R582" s="19" t="str">
        <f>TEXT(Planning[[#This Row],[Mes]]*29,"mmmm")</f>
        <v>October</v>
      </c>
      <c r="S5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2" s="228"/>
      <c r="U582" s="43" t="e">
        <f>IF(Planning[[#This Row],[Horas Planificadas]]&lt;&gt;0,+K582/Planning[[#This Row],[Horas Planificadas]],0)</f>
        <v>#REF!</v>
      </c>
      <c r="V582" s="43" t="e">
        <f>IF(Planning[[#This Row],[Horas Planificadas]]&lt;&gt;0,Planning[[#This Row],[Horas utilizadas]]/Planning[[#This Row],[Horas Planificadas]],0)</f>
        <v>#REF!</v>
      </c>
      <c r="W582" s="44">
        <f>Planning[[#This Row],[Horas Planificadas]]+Planning[[#This Row],[Horas ajustadas adicionales]]</f>
        <v>186</v>
      </c>
      <c r="X582" s="142"/>
    </row>
    <row r="583" spans="1:24" ht="12.75" customHeight="1" x14ac:dyDescent="0.2">
      <c r="A583" s="7"/>
      <c r="B583" s="7"/>
      <c r="C583" s="3"/>
      <c r="D583" s="3" t="s">
        <v>187</v>
      </c>
      <c r="E583" s="33" t="s">
        <v>28</v>
      </c>
      <c r="F583" s="3"/>
      <c r="G583" s="7"/>
      <c r="H583" s="7">
        <v>0</v>
      </c>
      <c r="I583" s="12"/>
      <c r="J583" s="5" t="e">
        <f>+SUMIFS(#REF!,#REF!,Planning[[#This Row],[Tarifa]],#REF!,Planning[[#This Row],[Proyectos]])</f>
        <v>#REF!</v>
      </c>
      <c r="K583" s="5" t="e">
        <f>Planning[[#This Row],[Horas Planificadas]]+Planning[[#This Row],[Horas ajustadas adicionales]]-Planning[[#This Row],[Horas utilizadas]]</f>
        <v>#REF!</v>
      </c>
      <c r="L583" s="7"/>
      <c r="M583" s="19" t="e">
        <f>Planning[[#This Row],[Saldo]]-Planning[[#This Row],[Saldo estimado]]</f>
        <v>#REF!</v>
      </c>
      <c r="N583" s="60" t="e">
        <f>+SUMIFS(#REF!,#REF!,Planning[[#This Row],[Proyectos]],#REF!,Planning[[#This Row],[Tipo de Tarea y especialidad]])</f>
        <v>#REF!</v>
      </c>
      <c r="O583" s="19">
        <f t="shared" ref="O583:O646" si="18">$L$4</f>
        <v>10</v>
      </c>
      <c r="P583" s="19">
        <f t="shared" ref="P583:P646" si="19">$M$4</f>
        <v>2024</v>
      </c>
      <c r="Q583" s="19" t="e">
        <f>+SUMIFS(#REF!,#REF!,Planning[[#This Row],[Tarifa]],#REF!,Planning[[#This Row],[Proyectos]],#REF!,Planning[[#This Row],[Mes]],#REF!,Planning[[#This Row],[Año]])</f>
        <v>#REF!</v>
      </c>
      <c r="R583" s="19" t="str">
        <f>TEXT(Planning[[#This Row],[Mes]]*29,"mmmm")</f>
        <v>October</v>
      </c>
      <c r="S5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3" s="228"/>
      <c r="U583" s="43">
        <f>IF(Planning[[#This Row],[Horas Planificadas]]&lt;&gt;0,+K583/Planning[[#This Row],[Horas Planificadas]],0)</f>
        <v>0</v>
      </c>
      <c r="V583" s="43">
        <f>IF(Planning[[#This Row],[Horas Planificadas]]&lt;&gt;0,Planning[[#This Row],[Horas utilizadas]]/Planning[[#This Row],[Horas Planificadas]],0)</f>
        <v>0</v>
      </c>
      <c r="W583" s="44">
        <f>Planning[[#This Row],[Horas Planificadas]]+Planning[[#This Row],[Horas ajustadas adicionales]]</f>
        <v>0</v>
      </c>
      <c r="X583" s="142"/>
    </row>
    <row r="584" spans="1:24" ht="12.75" customHeight="1" x14ac:dyDescent="0.2">
      <c r="A584" s="7"/>
      <c r="B584" s="7"/>
      <c r="C584" s="3"/>
      <c r="D584" s="3" t="s">
        <v>187</v>
      </c>
      <c r="E584" s="33" t="s">
        <v>30</v>
      </c>
      <c r="F584" s="3"/>
      <c r="G584" s="7"/>
      <c r="H584" s="7">
        <v>135</v>
      </c>
      <c r="I584" s="12"/>
      <c r="J584" s="5" t="e">
        <f>+SUMIFS(#REF!,#REF!,Planning[[#This Row],[Tarifa]],#REF!,Planning[[#This Row],[Proyectos]])</f>
        <v>#REF!</v>
      </c>
      <c r="K584" s="5" t="e">
        <f>Planning[[#This Row],[Horas Planificadas]]+Planning[[#This Row],[Horas ajustadas adicionales]]-Planning[[#This Row],[Horas utilizadas]]</f>
        <v>#REF!</v>
      </c>
      <c r="L584" s="7"/>
      <c r="M584" s="19" t="e">
        <f>Planning[[#This Row],[Saldo]]-Planning[[#This Row],[Saldo estimado]]</f>
        <v>#REF!</v>
      </c>
      <c r="N584" s="60" t="e">
        <f>+SUMIFS(#REF!,#REF!,Planning[[#This Row],[Proyectos]],#REF!,Planning[[#This Row],[Tipo de Tarea y especialidad]])</f>
        <v>#REF!</v>
      </c>
      <c r="O584" s="19">
        <f t="shared" si="18"/>
        <v>10</v>
      </c>
      <c r="P584" s="19">
        <f t="shared" si="19"/>
        <v>2024</v>
      </c>
      <c r="Q584" s="19" t="e">
        <f>+SUMIFS(#REF!,#REF!,Planning[[#This Row],[Tarifa]],#REF!,Planning[[#This Row],[Proyectos]],#REF!,Planning[[#This Row],[Mes]],#REF!,Planning[[#This Row],[Año]])</f>
        <v>#REF!</v>
      </c>
      <c r="R584" s="19" t="str">
        <f>TEXT(Planning[[#This Row],[Mes]]*29,"mmmm")</f>
        <v>October</v>
      </c>
      <c r="S5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4" s="228"/>
      <c r="U584" s="43" t="e">
        <f>IF(Planning[[#This Row],[Horas Planificadas]]&lt;&gt;0,+K584/Planning[[#This Row],[Horas Planificadas]],0)</f>
        <v>#REF!</v>
      </c>
      <c r="V584" s="43" t="e">
        <f>IF(Planning[[#This Row],[Horas Planificadas]]&lt;&gt;0,Planning[[#This Row],[Horas utilizadas]]/Planning[[#This Row],[Horas Planificadas]],0)</f>
        <v>#REF!</v>
      </c>
      <c r="W584" s="44">
        <f>Planning[[#This Row],[Horas Planificadas]]+Planning[[#This Row],[Horas ajustadas adicionales]]</f>
        <v>135</v>
      </c>
      <c r="X584" s="142"/>
    </row>
    <row r="585" spans="1:24" ht="12.75" customHeight="1" x14ac:dyDescent="0.2">
      <c r="A585" s="7"/>
      <c r="B585" s="7"/>
      <c r="C585" s="3"/>
      <c r="D585" s="3" t="s">
        <v>187</v>
      </c>
      <c r="E585" s="33" t="s">
        <v>31</v>
      </c>
      <c r="F585" s="3"/>
      <c r="G585" s="7"/>
      <c r="H585" s="7">
        <v>4</v>
      </c>
      <c r="I585" s="12"/>
      <c r="J585" s="5" t="e">
        <f>+SUMIFS(#REF!,#REF!,Planning[[#This Row],[Tarifa]],#REF!,Planning[[#This Row],[Proyectos]])</f>
        <v>#REF!</v>
      </c>
      <c r="K585" s="5" t="e">
        <f>Planning[[#This Row],[Horas Planificadas]]+Planning[[#This Row],[Horas ajustadas adicionales]]-Planning[[#This Row],[Horas utilizadas]]</f>
        <v>#REF!</v>
      </c>
      <c r="L585" s="7"/>
      <c r="M585" s="19" t="e">
        <f>Planning[[#This Row],[Saldo]]-Planning[[#This Row],[Saldo estimado]]</f>
        <v>#REF!</v>
      </c>
      <c r="N585" s="60" t="e">
        <f>+SUMIFS(#REF!,#REF!,Planning[[#This Row],[Proyectos]],#REF!,Planning[[#This Row],[Tipo de Tarea y especialidad]])</f>
        <v>#REF!</v>
      </c>
      <c r="O585" s="19">
        <f t="shared" si="18"/>
        <v>10</v>
      </c>
      <c r="P585" s="19">
        <f t="shared" si="19"/>
        <v>2024</v>
      </c>
      <c r="Q585" s="19" t="e">
        <f>+SUMIFS(#REF!,#REF!,Planning[[#This Row],[Tarifa]],#REF!,Planning[[#This Row],[Proyectos]],#REF!,Planning[[#This Row],[Mes]],#REF!,Planning[[#This Row],[Año]])</f>
        <v>#REF!</v>
      </c>
      <c r="R585" s="19" t="str">
        <f>TEXT(Planning[[#This Row],[Mes]]*29,"mmmm")</f>
        <v>October</v>
      </c>
      <c r="S5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5" s="228"/>
      <c r="U585" s="43" t="e">
        <f>IF(Planning[[#This Row],[Horas Planificadas]]&lt;&gt;0,+K585/Planning[[#This Row],[Horas Planificadas]],0)</f>
        <v>#REF!</v>
      </c>
      <c r="V585" s="43" t="e">
        <f>IF(Planning[[#This Row],[Horas Planificadas]]&lt;&gt;0,Planning[[#This Row],[Horas utilizadas]]/Planning[[#This Row],[Horas Planificadas]],0)</f>
        <v>#REF!</v>
      </c>
      <c r="W585" s="44">
        <f>Planning[[#This Row],[Horas Planificadas]]+Planning[[#This Row],[Horas ajustadas adicionales]]</f>
        <v>4</v>
      </c>
      <c r="X585" s="142"/>
    </row>
    <row r="586" spans="1:24" ht="12.75" customHeight="1" x14ac:dyDescent="0.2">
      <c r="A586" s="7"/>
      <c r="B586" s="7"/>
      <c r="C586" s="3"/>
      <c r="D586" s="3" t="s">
        <v>187</v>
      </c>
      <c r="E586" s="33" t="s">
        <v>32</v>
      </c>
      <c r="F586" s="3"/>
      <c r="G586" s="7"/>
      <c r="H586" s="7">
        <v>54</v>
      </c>
      <c r="I586" s="12"/>
      <c r="J586" s="5" t="e">
        <f>+SUMIFS(#REF!,#REF!,Planning[[#This Row],[Tarifa]],#REF!,Planning[[#This Row],[Proyectos]])</f>
        <v>#REF!</v>
      </c>
      <c r="K586" s="5" t="e">
        <f>Planning[[#This Row],[Horas Planificadas]]+Planning[[#This Row],[Horas ajustadas adicionales]]-Planning[[#This Row],[Horas utilizadas]]</f>
        <v>#REF!</v>
      </c>
      <c r="L586" s="7"/>
      <c r="M586" s="19" t="e">
        <f>Planning[[#This Row],[Saldo]]-Planning[[#This Row],[Saldo estimado]]</f>
        <v>#REF!</v>
      </c>
      <c r="N586" s="60" t="e">
        <f>+SUMIFS(#REF!,#REF!,Planning[[#This Row],[Proyectos]],#REF!,Planning[[#This Row],[Tipo de Tarea y especialidad]])</f>
        <v>#REF!</v>
      </c>
      <c r="O586" s="19">
        <f t="shared" si="18"/>
        <v>10</v>
      </c>
      <c r="P586" s="19">
        <f t="shared" si="19"/>
        <v>2024</v>
      </c>
      <c r="Q586" s="19" t="e">
        <f>+SUMIFS(#REF!,#REF!,Planning[[#This Row],[Tarifa]],#REF!,Planning[[#This Row],[Proyectos]],#REF!,Planning[[#This Row],[Mes]],#REF!,Planning[[#This Row],[Año]])</f>
        <v>#REF!</v>
      </c>
      <c r="R586" s="19" t="str">
        <f>TEXT(Planning[[#This Row],[Mes]]*29,"mmmm")</f>
        <v>October</v>
      </c>
      <c r="S5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6" s="228"/>
      <c r="U586" s="43" t="e">
        <f>IF(Planning[[#This Row],[Horas Planificadas]]&lt;&gt;0,+K586/Planning[[#This Row],[Horas Planificadas]],0)</f>
        <v>#REF!</v>
      </c>
      <c r="V586" s="43" t="e">
        <f>IF(Planning[[#This Row],[Horas Planificadas]]&lt;&gt;0,Planning[[#This Row],[Horas utilizadas]]/Planning[[#This Row],[Horas Planificadas]],0)</f>
        <v>#REF!</v>
      </c>
      <c r="W586" s="44">
        <f>Planning[[#This Row],[Horas Planificadas]]+Planning[[#This Row],[Horas ajustadas adicionales]]</f>
        <v>54</v>
      </c>
      <c r="X586" s="142"/>
    </row>
    <row r="587" spans="1:24" ht="12.75" customHeight="1" x14ac:dyDescent="0.2">
      <c r="A587" s="7"/>
      <c r="B587" s="7"/>
      <c r="C587" s="3"/>
      <c r="D587" s="3" t="s">
        <v>188</v>
      </c>
      <c r="E587" s="33" t="s">
        <v>28</v>
      </c>
      <c r="F587" s="3"/>
      <c r="G587" s="7"/>
      <c r="H587" s="7">
        <v>0</v>
      </c>
      <c r="I587" s="12"/>
      <c r="J587" s="5" t="e">
        <f>+SUMIFS(#REF!,#REF!,Planning[[#This Row],[Tarifa]],#REF!,Planning[[#This Row],[Proyectos]])</f>
        <v>#REF!</v>
      </c>
      <c r="K587" s="5" t="e">
        <f>Planning[[#This Row],[Horas Planificadas]]+Planning[[#This Row],[Horas ajustadas adicionales]]-Planning[[#This Row],[Horas utilizadas]]</f>
        <v>#REF!</v>
      </c>
      <c r="L587" s="7"/>
      <c r="M587" s="19" t="e">
        <f>Planning[[#This Row],[Saldo]]-Planning[[#This Row],[Saldo estimado]]</f>
        <v>#REF!</v>
      </c>
      <c r="N587" s="60" t="e">
        <f>+SUMIFS(#REF!,#REF!,Planning[[#This Row],[Proyectos]],#REF!,Planning[[#This Row],[Tipo de Tarea y especialidad]])</f>
        <v>#REF!</v>
      </c>
      <c r="O587" s="19">
        <f t="shared" si="18"/>
        <v>10</v>
      </c>
      <c r="P587" s="19">
        <f t="shared" si="19"/>
        <v>2024</v>
      </c>
      <c r="Q587" s="19" t="e">
        <f>+SUMIFS(#REF!,#REF!,Planning[[#This Row],[Tarifa]],#REF!,Planning[[#This Row],[Proyectos]],#REF!,Planning[[#This Row],[Mes]],#REF!,Planning[[#This Row],[Año]])</f>
        <v>#REF!</v>
      </c>
      <c r="R587" s="19" t="str">
        <f>TEXT(Planning[[#This Row],[Mes]]*29,"mmmm")</f>
        <v>October</v>
      </c>
      <c r="S5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7" s="228"/>
      <c r="U587" s="43">
        <f>IF(Planning[[#This Row],[Horas Planificadas]]&lt;&gt;0,+K587/Planning[[#This Row],[Horas Planificadas]],0)</f>
        <v>0</v>
      </c>
      <c r="V587" s="43">
        <f>IF(Planning[[#This Row],[Horas Planificadas]]&lt;&gt;0,Planning[[#This Row],[Horas utilizadas]]/Planning[[#This Row],[Horas Planificadas]],0)</f>
        <v>0</v>
      </c>
      <c r="W587" s="44">
        <f>Planning[[#This Row],[Horas Planificadas]]+Planning[[#This Row],[Horas ajustadas adicionales]]</f>
        <v>0</v>
      </c>
      <c r="X587" s="142"/>
    </row>
    <row r="588" spans="1:24" ht="12.75" customHeight="1" x14ac:dyDescent="0.2">
      <c r="A588" s="7"/>
      <c r="B588" s="7"/>
      <c r="C588" s="3"/>
      <c r="D588" s="3" t="s">
        <v>188</v>
      </c>
      <c r="E588" s="33" t="s">
        <v>30</v>
      </c>
      <c r="F588" s="3"/>
      <c r="G588" s="7"/>
      <c r="H588" s="7">
        <v>9</v>
      </c>
      <c r="I588" s="12"/>
      <c r="J588" s="5" t="e">
        <f>+SUMIFS(#REF!,#REF!,Planning[[#This Row],[Tarifa]],#REF!,Planning[[#This Row],[Proyectos]])</f>
        <v>#REF!</v>
      </c>
      <c r="K588" s="5" t="e">
        <f>Planning[[#This Row],[Horas Planificadas]]+Planning[[#This Row],[Horas ajustadas adicionales]]-Planning[[#This Row],[Horas utilizadas]]</f>
        <v>#REF!</v>
      </c>
      <c r="L588" s="7"/>
      <c r="M588" s="19" t="e">
        <f>Planning[[#This Row],[Saldo]]-Planning[[#This Row],[Saldo estimado]]</f>
        <v>#REF!</v>
      </c>
      <c r="N588" s="60" t="e">
        <f>+SUMIFS(#REF!,#REF!,Planning[[#This Row],[Proyectos]],#REF!,Planning[[#This Row],[Tipo de Tarea y especialidad]])</f>
        <v>#REF!</v>
      </c>
      <c r="O588" s="19">
        <f t="shared" si="18"/>
        <v>10</v>
      </c>
      <c r="P588" s="19">
        <f t="shared" si="19"/>
        <v>2024</v>
      </c>
      <c r="Q588" s="19" t="e">
        <f>+SUMIFS(#REF!,#REF!,Planning[[#This Row],[Tarifa]],#REF!,Planning[[#This Row],[Proyectos]],#REF!,Planning[[#This Row],[Mes]],#REF!,Planning[[#This Row],[Año]])</f>
        <v>#REF!</v>
      </c>
      <c r="R588" s="19" t="str">
        <f>TEXT(Planning[[#This Row],[Mes]]*29,"mmmm")</f>
        <v>October</v>
      </c>
      <c r="S5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8" s="228"/>
      <c r="U588" s="43" t="e">
        <f>IF(Planning[[#This Row],[Horas Planificadas]]&lt;&gt;0,+K588/Planning[[#This Row],[Horas Planificadas]],0)</f>
        <v>#REF!</v>
      </c>
      <c r="V588" s="43" t="e">
        <f>IF(Planning[[#This Row],[Horas Planificadas]]&lt;&gt;0,Planning[[#This Row],[Horas utilizadas]]/Planning[[#This Row],[Horas Planificadas]],0)</f>
        <v>#REF!</v>
      </c>
      <c r="W588" s="44">
        <f>Planning[[#This Row],[Horas Planificadas]]+Planning[[#This Row],[Horas ajustadas adicionales]]</f>
        <v>9</v>
      </c>
      <c r="X588" s="142"/>
    </row>
    <row r="589" spans="1:24" ht="12.75" customHeight="1" x14ac:dyDescent="0.2">
      <c r="A589" s="7"/>
      <c r="B589" s="7"/>
      <c r="C589" s="3"/>
      <c r="D589" s="3" t="s">
        <v>188</v>
      </c>
      <c r="E589" s="33" t="s">
        <v>31</v>
      </c>
      <c r="F589" s="3"/>
      <c r="G589" s="7"/>
      <c r="H589" s="7">
        <v>9</v>
      </c>
      <c r="I589" s="12"/>
      <c r="J589" s="5" t="e">
        <f>+SUMIFS(#REF!,#REF!,Planning[[#This Row],[Tarifa]],#REF!,Planning[[#This Row],[Proyectos]])</f>
        <v>#REF!</v>
      </c>
      <c r="K589" s="5" t="e">
        <f>Planning[[#This Row],[Horas Planificadas]]+Planning[[#This Row],[Horas ajustadas adicionales]]-Planning[[#This Row],[Horas utilizadas]]</f>
        <v>#REF!</v>
      </c>
      <c r="L589" s="7"/>
      <c r="M589" s="19" t="e">
        <f>Planning[[#This Row],[Saldo]]-Planning[[#This Row],[Saldo estimado]]</f>
        <v>#REF!</v>
      </c>
      <c r="N589" s="60" t="e">
        <f>+SUMIFS(#REF!,#REF!,Planning[[#This Row],[Proyectos]],#REF!,Planning[[#This Row],[Tipo de Tarea y especialidad]])</f>
        <v>#REF!</v>
      </c>
      <c r="O589" s="19">
        <f t="shared" si="18"/>
        <v>10</v>
      </c>
      <c r="P589" s="19">
        <f t="shared" si="19"/>
        <v>2024</v>
      </c>
      <c r="Q589" s="19" t="e">
        <f>+SUMIFS(#REF!,#REF!,Planning[[#This Row],[Tarifa]],#REF!,Planning[[#This Row],[Proyectos]],#REF!,Planning[[#This Row],[Mes]],#REF!,Planning[[#This Row],[Año]])</f>
        <v>#REF!</v>
      </c>
      <c r="R589" s="19" t="str">
        <f>TEXT(Planning[[#This Row],[Mes]]*29,"mmmm")</f>
        <v>October</v>
      </c>
      <c r="S5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9" s="228"/>
      <c r="U589" s="43" t="e">
        <f>IF(Planning[[#This Row],[Horas Planificadas]]&lt;&gt;0,+K589/Planning[[#This Row],[Horas Planificadas]],0)</f>
        <v>#REF!</v>
      </c>
      <c r="V589" s="43" t="e">
        <f>IF(Planning[[#This Row],[Horas Planificadas]]&lt;&gt;0,Planning[[#This Row],[Horas utilizadas]]/Planning[[#This Row],[Horas Planificadas]],0)</f>
        <v>#REF!</v>
      </c>
      <c r="W589" s="44">
        <f>Planning[[#This Row],[Horas Planificadas]]+Planning[[#This Row],[Horas ajustadas adicionales]]</f>
        <v>9</v>
      </c>
      <c r="X589" s="142"/>
    </row>
    <row r="590" spans="1:24" ht="12.75" customHeight="1" x14ac:dyDescent="0.2">
      <c r="A590" s="7"/>
      <c r="B590" s="7"/>
      <c r="C590" s="3"/>
      <c r="D590" s="3" t="s">
        <v>188</v>
      </c>
      <c r="E590" s="33" t="s">
        <v>32</v>
      </c>
      <c r="F590" s="3"/>
      <c r="G590" s="7"/>
      <c r="H590" s="7">
        <v>90</v>
      </c>
      <c r="I590" s="12"/>
      <c r="J590" s="5" t="e">
        <f>+SUMIFS(#REF!,#REF!,Planning[[#This Row],[Tarifa]],#REF!,Planning[[#This Row],[Proyectos]])</f>
        <v>#REF!</v>
      </c>
      <c r="K590" s="5" t="e">
        <f>Planning[[#This Row],[Horas Planificadas]]+Planning[[#This Row],[Horas ajustadas adicionales]]-Planning[[#This Row],[Horas utilizadas]]</f>
        <v>#REF!</v>
      </c>
      <c r="L590" s="7"/>
      <c r="M590" s="19" t="e">
        <f>Planning[[#This Row],[Saldo]]-Planning[[#This Row],[Saldo estimado]]</f>
        <v>#REF!</v>
      </c>
      <c r="N590" s="60" t="e">
        <f>+SUMIFS(#REF!,#REF!,Planning[[#This Row],[Proyectos]],#REF!,Planning[[#This Row],[Tipo de Tarea y especialidad]])</f>
        <v>#REF!</v>
      </c>
      <c r="O590" s="19">
        <f t="shared" si="18"/>
        <v>10</v>
      </c>
      <c r="P590" s="19">
        <f t="shared" si="19"/>
        <v>2024</v>
      </c>
      <c r="Q590" s="19" t="e">
        <f>+SUMIFS(#REF!,#REF!,Planning[[#This Row],[Tarifa]],#REF!,Planning[[#This Row],[Proyectos]],#REF!,Planning[[#This Row],[Mes]],#REF!,Planning[[#This Row],[Año]])</f>
        <v>#REF!</v>
      </c>
      <c r="R590" s="19" t="str">
        <f>TEXT(Planning[[#This Row],[Mes]]*29,"mmmm")</f>
        <v>October</v>
      </c>
      <c r="S5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0" s="228"/>
      <c r="U590" s="43" t="e">
        <f>IF(Planning[[#This Row],[Horas Planificadas]]&lt;&gt;0,+K590/Planning[[#This Row],[Horas Planificadas]],0)</f>
        <v>#REF!</v>
      </c>
      <c r="V590" s="43" t="e">
        <f>IF(Planning[[#This Row],[Horas Planificadas]]&lt;&gt;0,Planning[[#This Row],[Horas utilizadas]]/Planning[[#This Row],[Horas Planificadas]],0)</f>
        <v>#REF!</v>
      </c>
      <c r="W590" s="44">
        <f>Planning[[#This Row],[Horas Planificadas]]+Planning[[#This Row],[Horas ajustadas adicionales]]</f>
        <v>90</v>
      </c>
      <c r="X590" s="142"/>
    </row>
    <row r="591" spans="1:24" ht="12.75" customHeight="1" x14ac:dyDescent="0.2">
      <c r="A591" s="7"/>
      <c r="B591" s="7"/>
      <c r="C591" s="3"/>
      <c r="D591" s="3" t="s">
        <v>189</v>
      </c>
      <c r="E591" s="33" t="s">
        <v>28</v>
      </c>
      <c r="F591" s="3"/>
      <c r="G591" s="7"/>
      <c r="H591" s="7">
        <v>120</v>
      </c>
      <c r="I591" s="12"/>
      <c r="J591" s="5" t="e">
        <f>+SUMIFS(#REF!,#REF!,Planning[[#This Row],[Tarifa]],#REF!,Planning[[#This Row],[Proyectos]])</f>
        <v>#REF!</v>
      </c>
      <c r="K591" s="5" t="e">
        <f>Planning[[#This Row],[Horas Planificadas]]+Planning[[#This Row],[Horas ajustadas adicionales]]-Planning[[#This Row],[Horas utilizadas]]</f>
        <v>#REF!</v>
      </c>
      <c r="L591" s="7"/>
      <c r="M591" s="19" t="e">
        <f>Planning[[#This Row],[Saldo]]-Planning[[#This Row],[Saldo estimado]]</f>
        <v>#REF!</v>
      </c>
      <c r="N591" s="60" t="e">
        <f>+SUMIFS(#REF!,#REF!,Planning[[#This Row],[Proyectos]],#REF!,Planning[[#This Row],[Tipo de Tarea y especialidad]])</f>
        <v>#REF!</v>
      </c>
      <c r="O591" s="19">
        <f t="shared" si="18"/>
        <v>10</v>
      </c>
      <c r="P591" s="19">
        <f t="shared" si="19"/>
        <v>2024</v>
      </c>
      <c r="Q591" s="19" t="e">
        <f>+SUMIFS(#REF!,#REF!,Planning[[#This Row],[Tarifa]],#REF!,Planning[[#This Row],[Proyectos]],#REF!,Planning[[#This Row],[Mes]],#REF!,Planning[[#This Row],[Año]])</f>
        <v>#REF!</v>
      </c>
      <c r="R591" s="19" t="str">
        <f>TEXT(Planning[[#This Row],[Mes]]*29,"mmmm")</f>
        <v>October</v>
      </c>
      <c r="S5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1" s="228"/>
      <c r="U591" s="43" t="e">
        <f>IF(Planning[[#This Row],[Horas Planificadas]]&lt;&gt;0,+K591/Planning[[#This Row],[Horas Planificadas]],0)</f>
        <v>#REF!</v>
      </c>
      <c r="V591" s="43" t="e">
        <f>IF(Planning[[#This Row],[Horas Planificadas]]&lt;&gt;0,Planning[[#This Row],[Horas utilizadas]]/Planning[[#This Row],[Horas Planificadas]],0)</f>
        <v>#REF!</v>
      </c>
      <c r="W591" s="44">
        <f>Planning[[#This Row],[Horas Planificadas]]+Planning[[#This Row],[Horas ajustadas adicionales]]</f>
        <v>120</v>
      </c>
      <c r="X591" s="142"/>
    </row>
    <row r="592" spans="1:24" ht="12.75" customHeight="1" x14ac:dyDescent="0.2">
      <c r="A592" s="7"/>
      <c r="B592" s="7"/>
      <c r="C592" s="3"/>
      <c r="D592" s="3" t="s">
        <v>189</v>
      </c>
      <c r="E592" s="33" t="s">
        <v>30</v>
      </c>
      <c r="F592" s="3"/>
      <c r="G592" s="7"/>
      <c r="H592" s="7">
        <v>120</v>
      </c>
      <c r="I592" s="12"/>
      <c r="J592" s="5" t="e">
        <f>+SUMIFS(#REF!,#REF!,Planning[[#This Row],[Tarifa]],#REF!,Planning[[#This Row],[Proyectos]])</f>
        <v>#REF!</v>
      </c>
      <c r="K592" s="5" t="e">
        <f>Planning[[#This Row],[Horas Planificadas]]+Planning[[#This Row],[Horas ajustadas adicionales]]-Planning[[#This Row],[Horas utilizadas]]</f>
        <v>#REF!</v>
      </c>
      <c r="L592" s="7"/>
      <c r="M592" s="19" t="e">
        <f>Planning[[#This Row],[Saldo]]-Planning[[#This Row],[Saldo estimado]]</f>
        <v>#REF!</v>
      </c>
      <c r="N592" s="60" t="e">
        <f>+SUMIFS(#REF!,#REF!,Planning[[#This Row],[Proyectos]],#REF!,Planning[[#This Row],[Tipo de Tarea y especialidad]])</f>
        <v>#REF!</v>
      </c>
      <c r="O592" s="19">
        <f t="shared" si="18"/>
        <v>10</v>
      </c>
      <c r="P592" s="19">
        <f t="shared" si="19"/>
        <v>2024</v>
      </c>
      <c r="Q592" s="19" t="e">
        <f>+SUMIFS(#REF!,#REF!,Planning[[#This Row],[Tarifa]],#REF!,Planning[[#This Row],[Proyectos]],#REF!,Planning[[#This Row],[Mes]],#REF!,Planning[[#This Row],[Año]])</f>
        <v>#REF!</v>
      </c>
      <c r="R592" s="19" t="str">
        <f>TEXT(Planning[[#This Row],[Mes]]*29,"mmmm")</f>
        <v>October</v>
      </c>
      <c r="S5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2" s="228"/>
      <c r="U592" s="43" t="e">
        <f>IF(Planning[[#This Row],[Horas Planificadas]]&lt;&gt;0,+K592/Planning[[#This Row],[Horas Planificadas]],0)</f>
        <v>#REF!</v>
      </c>
      <c r="V592" s="43" t="e">
        <f>IF(Planning[[#This Row],[Horas Planificadas]]&lt;&gt;0,Planning[[#This Row],[Horas utilizadas]]/Planning[[#This Row],[Horas Planificadas]],0)</f>
        <v>#REF!</v>
      </c>
      <c r="W592" s="44">
        <f>Planning[[#This Row],[Horas Planificadas]]+Planning[[#This Row],[Horas ajustadas adicionales]]</f>
        <v>120</v>
      </c>
      <c r="X592" s="142"/>
    </row>
    <row r="593" spans="1:24" ht="12.75" customHeight="1" x14ac:dyDescent="0.2">
      <c r="A593" s="7"/>
      <c r="B593" s="7"/>
      <c r="C593" s="3"/>
      <c r="D593" s="3" t="s">
        <v>189</v>
      </c>
      <c r="E593" s="33" t="s">
        <v>31</v>
      </c>
      <c r="F593" s="3"/>
      <c r="G593" s="7"/>
      <c r="H593" s="7">
        <v>100</v>
      </c>
      <c r="I593" s="12"/>
      <c r="J593" s="5" t="e">
        <f>+SUMIFS(#REF!,#REF!,Planning[[#This Row],[Tarifa]],#REF!,Planning[[#This Row],[Proyectos]])</f>
        <v>#REF!</v>
      </c>
      <c r="K593" s="5" t="e">
        <f>Planning[[#This Row],[Horas Planificadas]]+Planning[[#This Row],[Horas ajustadas adicionales]]-Planning[[#This Row],[Horas utilizadas]]</f>
        <v>#REF!</v>
      </c>
      <c r="L593" s="7"/>
      <c r="M593" s="19" t="e">
        <f>Planning[[#This Row],[Saldo]]-Planning[[#This Row],[Saldo estimado]]</f>
        <v>#REF!</v>
      </c>
      <c r="N593" s="60" t="e">
        <f>+SUMIFS(#REF!,#REF!,Planning[[#This Row],[Proyectos]],#REF!,Planning[[#This Row],[Tipo de Tarea y especialidad]])</f>
        <v>#REF!</v>
      </c>
      <c r="O593" s="19">
        <f t="shared" si="18"/>
        <v>10</v>
      </c>
      <c r="P593" s="19">
        <f t="shared" si="19"/>
        <v>2024</v>
      </c>
      <c r="Q593" s="19" t="e">
        <f>+SUMIFS(#REF!,#REF!,Planning[[#This Row],[Tarifa]],#REF!,Planning[[#This Row],[Proyectos]],#REF!,Planning[[#This Row],[Mes]],#REF!,Planning[[#This Row],[Año]])</f>
        <v>#REF!</v>
      </c>
      <c r="R593" s="19" t="str">
        <f>TEXT(Planning[[#This Row],[Mes]]*29,"mmmm")</f>
        <v>October</v>
      </c>
      <c r="S5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3" s="228"/>
      <c r="U593" s="43" t="e">
        <f>IF(Planning[[#This Row],[Horas Planificadas]]&lt;&gt;0,+K593/Planning[[#This Row],[Horas Planificadas]],0)</f>
        <v>#REF!</v>
      </c>
      <c r="V593" s="43" t="e">
        <f>IF(Planning[[#This Row],[Horas Planificadas]]&lt;&gt;0,Planning[[#This Row],[Horas utilizadas]]/Planning[[#This Row],[Horas Planificadas]],0)</f>
        <v>#REF!</v>
      </c>
      <c r="W593" s="44">
        <f>Planning[[#This Row],[Horas Planificadas]]+Planning[[#This Row],[Horas ajustadas adicionales]]</f>
        <v>100</v>
      </c>
      <c r="X593" s="142"/>
    </row>
    <row r="594" spans="1:24" ht="12.75" customHeight="1" x14ac:dyDescent="0.2">
      <c r="A594" s="7"/>
      <c r="B594" s="7"/>
      <c r="C594" s="3"/>
      <c r="D594" s="3" t="s">
        <v>189</v>
      </c>
      <c r="E594" s="33" t="s">
        <v>32</v>
      </c>
      <c r="F594" s="3"/>
      <c r="G594" s="7"/>
      <c r="H594" s="7">
        <v>194</v>
      </c>
      <c r="I594" s="12"/>
      <c r="J594" s="5" t="e">
        <f>+SUMIFS(#REF!,#REF!,Planning[[#This Row],[Tarifa]],#REF!,Planning[[#This Row],[Proyectos]])</f>
        <v>#REF!</v>
      </c>
      <c r="K594" s="5" t="e">
        <f>Planning[[#This Row],[Horas Planificadas]]+Planning[[#This Row],[Horas ajustadas adicionales]]-Planning[[#This Row],[Horas utilizadas]]</f>
        <v>#REF!</v>
      </c>
      <c r="L594" s="7"/>
      <c r="M594" s="19" t="e">
        <f>Planning[[#This Row],[Saldo]]-Planning[[#This Row],[Saldo estimado]]</f>
        <v>#REF!</v>
      </c>
      <c r="N594" s="60" t="e">
        <f>+SUMIFS(#REF!,#REF!,Planning[[#This Row],[Proyectos]],#REF!,Planning[[#This Row],[Tipo de Tarea y especialidad]])</f>
        <v>#REF!</v>
      </c>
      <c r="O594" s="19">
        <f t="shared" si="18"/>
        <v>10</v>
      </c>
      <c r="P594" s="19">
        <f t="shared" si="19"/>
        <v>2024</v>
      </c>
      <c r="Q594" s="19" t="e">
        <f>+SUMIFS(#REF!,#REF!,Planning[[#This Row],[Tarifa]],#REF!,Planning[[#This Row],[Proyectos]],#REF!,Planning[[#This Row],[Mes]],#REF!,Planning[[#This Row],[Año]])</f>
        <v>#REF!</v>
      </c>
      <c r="R594" s="19" t="str">
        <f>TEXT(Planning[[#This Row],[Mes]]*29,"mmmm")</f>
        <v>October</v>
      </c>
      <c r="S5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4" s="228"/>
      <c r="U594" s="43" t="e">
        <f>IF(Planning[[#This Row],[Horas Planificadas]]&lt;&gt;0,+K594/Planning[[#This Row],[Horas Planificadas]],0)</f>
        <v>#REF!</v>
      </c>
      <c r="V594" s="43" t="e">
        <f>IF(Planning[[#This Row],[Horas Planificadas]]&lt;&gt;0,Planning[[#This Row],[Horas utilizadas]]/Planning[[#This Row],[Horas Planificadas]],0)</f>
        <v>#REF!</v>
      </c>
      <c r="W594" s="44">
        <f>Planning[[#This Row],[Horas Planificadas]]+Planning[[#This Row],[Horas ajustadas adicionales]]</f>
        <v>194</v>
      </c>
      <c r="X594" s="142"/>
    </row>
    <row r="595" spans="1:24" ht="12.75" customHeight="1" x14ac:dyDescent="0.2">
      <c r="A595" s="7"/>
      <c r="B595" s="7"/>
      <c r="C595" s="3"/>
      <c r="D595" s="3" t="s">
        <v>190</v>
      </c>
      <c r="E595" s="33" t="s">
        <v>28</v>
      </c>
      <c r="F595" s="3"/>
      <c r="G595" s="7"/>
      <c r="H595" s="7">
        <v>0</v>
      </c>
      <c r="I595" s="12"/>
      <c r="J595" s="5" t="e">
        <f>+SUMIFS(#REF!,#REF!,Planning[[#This Row],[Tarifa]],#REF!,Planning[[#This Row],[Proyectos]])</f>
        <v>#REF!</v>
      </c>
      <c r="K595" s="5" t="e">
        <f>Planning[[#This Row],[Horas Planificadas]]+Planning[[#This Row],[Horas ajustadas adicionales]]-Planning[[#This Row],[Horas utilizadas]]</f>
        <v>#REF!</v>
      </c>
      <c r="L595" s="7"/>
      <c r="M595" s="19" t="e">
        <f>Planning[[#This Row],[Saldo]]-Planning[[#This Row],[Saldo estimado]]</f>
        <v>#REF!</v>
      </c>
      <c r="N595" s="60" t="e">
        <f>+SUMIFS(#REF!,#REF!,Planning[[#This Row],[Proyectos]],#REF!,Planning[[#This Row],[Tipo de Tarea y especialidad]])</f>
        <v>#REF!</v>
      </c>
      <c r="O595" s="19">
        <f t="shared" si="18"/>
        <v>10</v>
      </c>
      <c r="P595" s="19">
        <f t="shared" si="19"/>
        <v>2024</v>
      </c>
      <c r="Q595" s="19" t="e">
        <f>+SUMIFS(#REF!,#REF!,Planning[[#This Row],[Tarifa]],#REF!,Planning[[#This Row],[Proyectos]],#REF!,Planning[[#This Row],[Mes]],#REF!,Planning[[#This Row],[Año]])</f>
        <v>#REF!</v>
      </c>
      <c r="R595" s="19" t="str">
        <f>TEXT(Planning[[#This Row],[Mes]]*29,"mmmm")</f>
        <v>October</v>
      </c>
      <c r="S5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5" s="228"/>
      <c r="U595" s="43">
        <f>IF(Planning[[#This Row],[Horas Planificadas]]&lt;&gt;0,+K595/Planning[[#This Row],[Horas Planificadas]],0)</f>
        <v>0</v>
      </c>
      <c r="V595" s="43">
        <f>IF(Planning[[#This Row],[Horas Planificadas]]&lt;&gt;0,Planning[[#This Row],[Horas utilizadas]]/Planning[[#This Row],[Horas Planificadas]],0)</f>
        <v>0</v>
      </c>
      <c r="W595" s="44">
        <f>Planning[[#This Row],[Horas Planificadas]]+Planning[[#This Row],[Horas ajustadas adicionales]]</f>
        <v>0</v>
      </c>
      <c r="X595" s="142"/>
    </row>
    <row r="596" spans="1:24" ht="12.75" customHeight="1" x14ac:dyDescent="0.2">
      <c r="A596" s="7"/>
      <c r="B596" s="7"/>
      <c r="C596" s="3"/>
      <c r="D596" s="3" t="s">
        <v>190</v>
      </c>
      <c r="E596" s="33" t="s">
        <v>30</v>
      </c>
      <c r="F596" s="3"/>
      <c r="G596" s="7"/>
      <c r="H596" s="7">
        <v>60</v>
      </c>
      <c r="I596" s="12"/>
      <c r="J596" s="5" t="e">
        <f>+SUMIFS(#REF!,#REF!,Planning[[#This Row],[Tarifa]],#REF!,Planning[[#This Row],[Proyectos]])</f>
        <v>#REF!</v>
      </c>
      <c r="K596" s="5" t="e">
        <f>Planning[[#This Row],[Horas Planificadas]]+Planning[[#This Row],[Horas ajustadas adicionales]]-Planning[[#This Row],[Horas utilizadas]]</f>
        <v>#REF!</v>
      </c>
      <c r="L596" s="7"/>
      <c r="M596" s="19" t="e">
        <f>Planning[[#This Row],[Saldo]]-Planning[[#This Row],[Saldo estimado]]</f>
        <v>#REF!</v>
      </c>
      <c r="N596" s="60" t="e">
        <f>+SUMIFS(#REF!,#REF!,Planning[[#This Row],[Proyectos]],#REF!,Planning[[#This Row],[Tipo de Tarea y especialidad]])</f>
        <v>#REF!</v>
      </c>
      <c r="O596" s="19">
        <f t="shared" si="18"/>
        <v>10</v>
      </c>
      <c r="P596" s="19">
        <f t="shared" si="19"/>
        <v>2024</v>
      </c>
      <c r="Q596" s="19" t="e">
        <f>+SUMIFS(#REF!,#REF!,Planning[[#This Row],[Tarifa]],#REF!,Planning[[#This Row],[Proyectos]],#REF!,Planning[[#This Row],[Mes]],#REF!,Planning[[#This Row],[Año]])</f>
        <v>#REF!</v>
      </c>
      <c r="R596" s="19" t="str">
        <f>TEXT(Planning[[#This Row],[Mes]]*29,"mmmm")</f>
        <v>October</v>
      </c>
      <c r="S5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6" s="228"/>
      <c r="U596" s="43" t="e">
        <f>IF(Planning[[#This Row],[Horas Planificadas]]&lt;&gt;0,+K596/Planning[[#This Row],[Horas Planificadas]],0)</f>
        <v>#REF!</v>
      </c>
      <c r="V596" s="43" t="e">
        <f>IF(Planning[[#This Row],[Horas Planificadas]]&lt;&gt;0,Planning[[#This Row],[Horas utilizadas]]/Planning[[#This Row],[Horas Planificadas]],0)</f>
        <v>#REF!</v>
      </c>
      <c r="W596" s="44">
        <f>Planning[[#This Row],[Horas Planificadas]]+Planning[[#This Row],[Horas ajustadas adicionales]]</f>
        <v>60</v>
      </c>
      <c r="X596" s="142"/>
    </row>
    <row r="597" spans="1:24" ht="12.75" customHeight="1" x14ac:dyDescent="0.2">
      <c r="A597" s="7"/>
      <c r="B597" s="7"/>
      <c r="C597" s="3"/>
      <c r="D597" s="3" t="s">
        <v>190</v>
      </c>
      <c r="E597" s="33" t="s">
        <v>31</v>
      </c>
      <c r="F597" s="3"/>
      <c r="G597" s="7"/>
      <c r="H597" s="7">
        <v>12</v>
      </c>
      <c r="I597" s="12"/>
      <c r="J597" s="5" t="e">
        <f>+SUMIFS(#REF!,#REF!,Planning[[#This Row],[Tarifa]],#REF!,Planning[[#This Row],[Proyectos]])</f>
        <v>#REF!</v>
      </c>
      <c r="K597" s="5" t="e">
        <f>Planning[[#This Row],[Horas Planificadas]]+Planning[[#This Row],[Horas ajustadas adicionales]]-Planning[[#This Row],[Horas utilizadas]]</f>
        <v>#REF!</v>
      </c>
      <c r="L597" s="7"/>
      <c r="M597" s="19" t="e">
        <f>Planning[[#This Row],[Saldo]]-Planning[[#This Row],[Saldo estimado]]</f>
        <v>#REF!</v>
      </c>
      <c r="N597" s="60" t="e">
        <f>+SUMIFS(#REF!,#REF!,Planning[[#This Row],[Proyectos]],#REF!,Planning[[#This Row],[Tipo de Tarea y especialidad]])</f>
        <v>#REF!</v>
      </c>
      <c r="O597" s="19">
        <f t="shared" si="18"/>
        <v>10</v>
      </c>
      <c r="P597" s="19">
        <f t="shared" si="19"/>
        <v>2024</v>
      </c>
      <c r="Q597" s="19" t="e">
        <f>+SUMIFS(#REF!,#REF!,Planning[[#This Row],[Tarifa]],#REF!,Planning[[#This Row],[Proyectos]],#REF!,Planning[[#This Row],[Mes]],#REF!,Planning[[#This Row],[Año]])</f>
        <v>#REF!</v>
      </c>
      <c r="R597" s="19" t="str">
        <f>TEXT(Planning[[#This Row],[Mes]]*29,"mmmm")</f>
        <v>October</v>
      </c>
      <c r="S5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7" s="228"/>
      <c r="U597" s="43" t="e">
        <f>IF(Planning[[#This Row],[Horas Planificadas]]&lt;&gt;0,+K597/Planning[[#This Row],[Horas Planificadas]],0)</f>
        <v>#REF!</v>
      </c>
      <c r="V597" s="43" t="e">
        <f>IF(Planning[[#This Row],[Horas Planificadas]]&lt;&gt;0,Planning[[#This Row],[Horas utilizadas]]/Planning[[#This Row],[Horas Planificadas]],0)</f>
        <v>#REF!</v>
      </c>
      <c r="W597" s="44">
        <f>Planning[[#This Row],[Horas Planificadas]]+Planning[[#This Row],[Horas ajustadas adicionales]]</f>
        <v>12</v>
      </c>
      <c r="X597" s="142"/>
    </row>
    <row r="598" spans="1:24" ht="12.75" customHeight="1" x14ac:dyDescent="0.2">
      <c r="A598" s="7"/>
      <c r="B598" s="7"/>
      <c r="C598" s="3"/>
      <c r="D598" s="3" t="s">
        <v>190</v>
      </c>
      <c r="E598" s="33" t="s">
        <v>32</v>
      </c>
      <c r="F598" s="3"/>
      <c r="G598" s="7"/>
      <c r="H598" s="7">
        <v>31</v>
      </c>
      <c r="I598" s="12"/>
      <c r="J598" s="5" t="e">
        <f>+SUMIFS(#REF!,#REF!,Planning[[#This Row],[Tarifa]],#REF!,Planning[[#This Row],[Proyectos]])</f>
        <v>#REF!</v>
      </c>
      <c r="K598" s="5" t="e">
        <f>Planning[[#This Row],[Horas Planificadas]]+Planning[[#This Row],[Horas ajustadas adicionales]]-Planning[[#This Row],[Horas utilizadas]]</f>
        <v>#REF!</v>
      </c>
      <c r="L598" s="7"/>
      <c r="M598" s="19" t="e">
        <f>Planning[[#This Row],[Saldo]]-Planning[[#This Row],[Saldo estimado]]</f>
        <v>#REF!</v>
      </c>
      <c r="N598" s="60" t="e">
        <f>+SUMIFS(#REF!,#REF!,Planning[[#This Row],[Proyectos]],#REF!,Planning[[#This Row],[Tipo de Tarea y especialidad]])</f>
        <v>#REF!</v>
      </c>
      <c r="O598" s="19">
        <f t="shared" si="18"/>
        <v>10</v>
      </c>
      <c r="P598" s="19">
        <f t="shared" si="19"/>
        <v>2024</v>
      </c>
      <c r="Q598" s="19" t="e">
        <f>+SUMIFS(#REF!,#REF!,Planning[[#This Row],[Tarifa]],#REF!,Planning[[#This Row],[Proyectos]],#REF!,Planning[[#This Row],[Mes]],#REF!,Planning[[#This Row],[Año]])</f>
        <v>#REF!</v>
      </c>
      <c r="R598" s="19" t="str">
        <f>TEXT(Planning[[#This Row],[Mes]]*29,"mmmm")</f>
        <v>October</v>
      </c>
      <c r="S5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8" s="228"/>
      <c r="U598" s="43" t="e">
        <f>IF(Planning[[#This Row],[Horas Planificadas]]&lt;&gt;0,+K598/Planning[[#This Row],[Horas Planificadas]],0)</f>
        <v>#REF!</v>
      </c>
      <c r="V598" s="43" t="e">
        <f>IF(Planning[[#This Row],[Horas Planificadas]]&lt;&gt;0,Planning[[#This Row],[Horas utilizadas]]/Planning[[#This Row],[Horas Planificadas]],0)</f>
        <v>#REF!</v>
      </c>
      <c r="W598" s="44">
        <f>Planning[[#This Row],[Horas Planificadas]]+Planning[[#This Row],[Horas ajustadas adicionales]]</f>
        <v>31</v>
      </c>
      <c r="X598" s="142"/>
    </row>
    <row r="599" spans="1:24" ht="12.75" customHeight="1" x14ac:dyDescent="0.2">
      <c r="A599" s="7"/>
      <c r="B599" s="7"/>
      <c r="C599" s="3"/>
      <c r="D599" s="3" t="s">
        <v>191</v>
      </c>
      <c r="E599" s="33" t="s">
        <v>28</v>
      </c>
      <c r="F599" s="3"/>
      <c r="G599" s="7"/>
      <c r="H599" s="7">
        <v>120</v>
      </c>
      <c r="I599" s="12"/>
      <c r="J599" s="5" t="e">
        <f>+SUMIFS(#REF!,#REF!,Planning[[#This Row],[Tarifa]],#REF!,Planning[[#This Row],[Proyectos]])</f>
        <v>#REF!</v>
      </c>
      <c r="K599" s="5" t="e">
        <f>Planning[[#This Row],[Horas Planificadas]]+Planning[[#This Row],[Horas ajustadas adicionales]]-Planning[[#This Row],[Horas utilizadas]]</f>
        <v>#REF!</v>
      </c>
      <c r="L599" s="7"/>
      <c r="M599" s="19" t="e">
        <f>Planning[[#This Row],[Saldo]]-Planning[[#This Row],[Saldo estimado]]</f>
        <v>#REF!</v>
      </c>
      <c r="N599" s="60" t="e">
        <f>+SUMIFS(#REF!,#REF!,Planning[[#This Row],[Proyectos]],#REF!,Planning[[#This Row],[Tipo de Tarea y especialidad]])</f>
        <v>#REF!</v>
      </c>
      <c r="O599" s="19">
        <f t="shared" si="18"/>
        <v>10</v>
      </c>
      <c r="P599" s="19">
        <f t="shared" si="19"/>
        <v>2024</v>
      </c>
      <c r="Q599" s="19" t="e">
        <f>+SUMIFS(#REF!,#REF!,Planning[[#This Row],[Tarifa]],#REF!,Planning[[#This Row],[Proyectos]],#REF!,Planning[[#This Row],[Mes]],#REF!,Planning[[#This Row],[Año]])</f>
        <v>#REF!</v>
      </c>
      <c r="R599" s="19" t="str">
        <f>TEXT(Planning[[#This Row],[Mes]]*29,"mmmm")</f>
        <v>October</v>
      </c>
      <c r="S5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9" s="228"/>
      <c r="U599" s="43" t="e">
        <f>IF(Planning[[#This Row],[Horas Planificadas]]&lt;&gt;0,+K599/Planning[[#This Row],[Horas Planificadas]],0)</f>
        <v>#REF!</v>
      </c>
      <c r="V599" s="43" t="e">
        <f>IF(Planning[[#This Row],[Horas Planificadas]]&lt;&gt;0,Planning[[#This Row],[Horas utilizadas]]/Planning[[#This Row],[Horas Planificadas]],0)</f>
        <v>#REF!</v>
      </c>
      <c r="W599" s="44">
        <f>Planning[[#This Row],[Horas Planificadas]]+Planning[[#This Row],[Horas ajustadas adicionales]]</f>
        <v>120</v>
      </c>
      <c r="X599" s="142"/>
    </row>
    <row r="600" spans="1:24" ht="12.75" customHeight="1" x14ac:dyDescent="0.2">
      <c r="A600" s="7"/>
      <c r="B600" s="7"/>
      <c r="C600" s="3"/>
      <c r="D600" s="3" t="s">
        <v>191</v>
      </c>
      <c r="E600" s="33" t="s">
        <v>30</v>
      </c>
      <c r="F600" s="3"/>
      <c r="G600" s="7"/>
      <c r="H600" s="7">
        <v>40</v>
      </c>
      <c r="I600" s="12"/>
      <c r="J600" s="5" t="e">
        <f>+SUMIFS(#REF!,#REF!,Planning[[#This Row],[Tarifa]],#REF!,Planning[[#This Row],[Proyectos]])</f>
        <v>#REF!</v>
      </c>
      <c r="K600" s="5" t="e">
        <f>Planning[[#This Row],[Horas Planificadas]]+Planning[[#This Row],[Horas ajustadas adicionales]]-Planning[[#This Row],[Horas utilizadas]]</f>
        <v>#REF!</v>
      </c>
      <c r="L600" s="7"/>
      <c r="M600" s="19" t="e">
        <f>Planning[[#This Row],[Saldo]]-Planning[[#This Row],[Saldo estimado]]</f>
        <v>#REF!</v>
      </c>
      <c r="N600" s="60" t="e">
        <f>+SUMIFS(#REF!,#REF!,Planning[[#This Row],[Proyectos]],#REF!,Planning[[#This Row],[Tipo de Tarea y especialidad]])</f>
        <v>#REF!</v>
      </c>
      <c r="O600" s="19">
        <f t="shared" si="18"/>
        <v>10</v>
      </c>
      <c r="P600" s="19">
        <f t="shared" si="19"/>
        <v>2024</v>
      </c>
      <c r="Q600" s="19" t="e">
        <f>+SUMIFS(#REF!,#REF!,Planning[[#This Row],[Tarifa]],#REF!,Planning[[#This Row],[Proyectos]],#REF!,Planning[[#This Row],[Mes]],#REF!,Planning[[#This Row],[Año]])</f>
        <v>#REF!</v>
      </c>
      <c r="R600" s="19" t="str">
        <f>TEXT(Planning[[#This Row],[Mes]]*29,"mmmm")</f>
        <v>October</v>
      </c>
      <c r="S6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0" s="228"/>
      <c r="U600" s="43" t="e">
        <f>IF(Planning[[#This Row],[Horas Planificadas]]&lt;&gt;0,+K600/Planning[[#This Row],[Horas Planificadas]],0)</f>
        <v>#REF!</v>
      </c>
      <c r="V600" s="43" t="e">
        <f>IF(Planning[[#This Row],[Horas Planificadas]]&lt;&gt;0,Planning[[#This Row],[Horas utilizadas]]/Planning[[#This Row],[Horas Planificadas]],0)</f>
        <v>#REF!</v>
      </c>
      <c r="W600" s="44">
        <f>Planning[[#This Row],[Horas Planificadas]]+Planning[[#This Row],[Horas ajustadas adicionales]]</f>
        <v>40</v>
      </c>
      <c r="X600" s="142"/>
    </row>
    <row r="601" spans="1:24" ht="12.75" customHeight="1" x14ac:dyDescent="0.2">
      <c r="A601" s="7"/>
      <c r="B601" s="7"/>
      <c r="C601" s="3"/>
      <c r="D601" s="3" t="s">
        <v>191</v>
      </c>
      <c r="E601" s="33" t="s">
        <v>31</v>
      </c>
      <c r="F601" s="3"/>
      <c r="G601" s="7"/>
      <c r="H601" s="7">
        <v>40</v>
      </c>
      <c r="I601" s="12"/>
      <c r="J601" s="5" t="e">
        <f>+SUMIFS(#REF!,#REF!,Planning[[#This Row],[Tarifa]],#REF!,Planning[[#This Row],[Proyectos]])</f>
        <v>#REF!</v>
      </c>
      <c r="K601" s="5" t="e">
        <f>Planning[[#This Row],[Horas Planificadas]]+Planning[[#This Row],[Horas ajustadas adicionales]]-Planning[[#This Row],[Horas utilizadas]]</f>
        <v>#REF!</v>
      </c>
      <c r="L601" s="7"/>
      <c r="M601" s="19" t="e">
        <f>Planning[[#This Row],[Saldo]]-Planning[[#This Row],[Saldo estimado]]</f>
        <v>#REF!</v>
      </c>
      <c r="N601" s="60" t="e">
        <f>+SUMIFS(#REF!,#REF!,Planning[[#This Row],[Proyectos]],#REF!,Planning[[#This Row],[Tipo de Tarea y especialidad]])</f>
        <v>#REF!</v>
      </c>
      <c r="O601" s="19">
        <f t="shared" si="18"/>
        <v>10</v>
      </c>
      <c r="P601" s="19">
        <f t="shared" si="19"/>
        <v>2024</v>
      </c>
      <c r="Q601" s="19" t="e">
        <f>+SUMIFS(#REF!,#REF!,Planning[[#This Row],[Tarifa]],#REF!,Planning[[#This Row],[Proyectos]],#REF!,Planning[[#This Row],[Mes]],#REF!,Planning[[#This Row],[Año]])</f>
        <v>#REF!</v>
      </c>
      <c r="R601" s="19" t="str">
        <f>TEXT(Planning[[#This Row],[Mes]]*29,"mmmm")</f>
        <v>October</v>
      </c>
      <c r="S6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1" s="228"/>
      <c r="U601" s="43" t="e">
        <f>IF(Planning[[#This Row],[Horas Planificadas]]&lt;&gt;0,+K601/Planning[[#This Row],[Horas Planificadas]],0)</f>
        <v>#REF!</v>
      </c>
      <c r="V601" s="43" t="e">
        <f>IF(Planning[[#This Row],[Horas Planificadas]]&lt;&gt;0,Planning[[#This Row],[Horas utilizadas]]/Planning[[#This Row],[Horas Planificadas]],0)</f>
        <v>#REF!</v>
      </c>
      <c r="W601" s="44">
        <f>Planning[[#This Row],[Horas Planificadas]]+Planning[[#This Row],[Horas ajustadas adicionales]]</f>
        <v>40</v>
      </c>
      <c r="X601" s="142"/>
    </row>
    <row r="602" spans="1:24" ht="12.75" customHeight="1" x14ac:dyDescent="0.2">
      <c r="A602" s="7"/>
      <c r="B602" s="7"/>
      <c r="C602" s="3"/>
      <c r="D602" s="3" t="s">
        <v>191</v>
      </c>
      <c r="E602" s="33" t="s">
        <v>32</v>
      </c>
      <c r="F602" s="3"/>
      <c r="G602" s="7"/>
      <c r="H602" s="7">
        <v>28</v>
      </c>
      <c r="I602" s="12"/>
      <c r="J602" s="5" t="e">
        <f>+SUMIFS(#REF!,#REF!,Planning[[#This Row],[Tarifa]],#REF!,Planning[[#This Row],[Proyectos]])</f>
        <v>#REF!</v>
      </c>
      <c r="K602" s="5" t="e">
        <f>Planning[[#This Row],[Horas Planificadas]]+Planning[[#This Row],[Horas ajustadas adicionales]]-Planning[[#This Row],[Horas utilizadas]]</f>
        <v>#REF!</v>
      </c>
      <c r="L602" s="7"/>
      <c r="M602" s="19" t="e">
        <f>Planning[[#This Row],[Saldo]]-Planning[[#This Row],[Saldo estimado]]</f>
        <v>#REF!</v>
      </c>
      <c r="N602" s="60" t="e">
        <f>+SUMIFS(#REF!,#REF!,Planning[[#This Row],[Proyectos]],#REF!,Planning[[#This Row],[Tipo de Tarea y especialidad]])</f>
        <v>#REF!</v>
      </c>
      <c r="O602" s="19">
        <f t="shared" si="18"/>
        <v>10</v>
      </c>
      <c r="P602" s="19">
        <f t="shared" si="19"/>
        <v>2024</v>
      </c>
      <c r="Q602" s="19" t="e">
        <f>+SUMIFS(#REF!,#REF!,Planning[[#This Row],[Tarifa]],#REF!,Planning[[#This Row],[Proyectos]],#REF!,Planning[[#This Row],[Mes]],#REF!,Planning[[#This Row],[Año]])</f>
        <v>#REF!</v>
      </c>
      <c r="R602" s="19" t="str">
        <f>TEXT(Planning[[#This Row],[Mes]]*29,"mmmm")</f>
        <v>October</v>
      </c>
      <c r="S6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2" s="228"/>
      <c r="U602" s="43" t="e">
        <f>IF(Planning[[#This Row],[Horas Planificadas]]&lt;&gt;0,+K602/Planning[[#This Row],[Horas Planificadas]],0)</f>
        <v>#REF!</v>
      </c>
      <c r="V602" s="43" t="e">
        <f>IF(Planning[[#This Row],[Horas Planificadas]]&lt;&gt;0,Planning[[#This Row],[Horas utilizadas]]/Planning[[#This Row],[Horas Planificadas]],0)</f>
        <v>#REF!</v>
      </c>
      <c r="W602" s="44">
        <f>Planning[[#This Row],[Horas Planificadas]]+Planning[[#This Row],[Horas ajustadas adicionales]]</f>
        <v>28</v>
      </c>
      <c r="X602" s="142"/>
    </row>
    <row r="603" spans="1:24" ht="12.75" customHeight="1" x14ac:dyDescent="0.2">
      <c r="A603" s="7"/>
      <c r="B603" s="7"/>
      <c r="C603" s="3"/>
      <c r="D603" s="3" t="s">
        <v>192</v>
      </c>
      <c r="E603" s="33" t="s">
        <v>28</v>
      </c>
      <c r="F603" s="3"/>
      <c r="G603" s="7"/>
      <c r="H603" s="7">
        <v>0</v>
      </c>
      <c r="I603" s="12"/>
      <c r="J603" s="5" t="e">
        <f>+SUMIFS(#REF!,#REF!,Planning[[#This Row],[Tarifa]],#REF!,Planning[[#This Row],[Proyectos]])</f>
        <v>#REF!</v>
      </c>
      <c r="K603" s="5" t="e">
        <f>Planning[[#This Row],[Horas Planificadas]]+Planning[[#This Row],[Horas ajustadas adicionales]]-Planning[[#This Row],[Horas utilizadas]]</f>
        <v>#REF!</v>
      </c>
      <c r="L603" s="7"/>
      <c r="M603" s="19" t="e">
        <f>Planning[[#This Row],[Saldo]]-Planning[[#This Row],[Saldo estimado]]</f>
        <v>#REF!</v>
      </c>
      <c r="N603" s="60" t="e">
        <f>+SUMIFS(#REF!,#REF!,Planning[[#This Row],[Proyectos]],#REF!,Planning[[#This Row],[Tipo de Tarea y especialidad]])</f>
        <v>#REF!</v>
      </c>
      <c r="O603" s="19">
        <f t="shared" si="18"/>
        <v>10</v>
      </c>
      <c r="P603" s="19">
        <f t="shared" si="19"/>
        <v>2024</v>
      </c>
      <c r="Q603" s="19" t="e">
        <f>+SUMIFS(#REF!,#REF!,Planning[[#This Row],[Tarifa]],#REF!,Planning[[#This Row],[Proyectos]],#REF!,Planning[[#This Row],[Mes]],#REF!,Planning[[#This Row],[Año]])</f>
        <v>#REF!</v>
      </c>
      <c r="R603" s="19" t="str">
        <f>TEXT(Planning[[#This Row],[Mes]]*29,"mmmm")</f>
        <v>October</v>
      </c>
      <c r="S6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3" s="228"/>
      <c r="U603" s="43">
        <f>IF(Planning[[#This Row],[Horas Planificadas]]&lt;&gt;0,+K603/Planning[[#This Row],[Horas Planificadas]],0)</f>
        <v>0</v>
      </c>
      <c r="V603" s="43">
        <f>IF(Planning[[#This Row],[Horas Planificadas]]&lt;&gt;0,Planning[[#This Row],[Horas utilizadas]]/Planning[[#This Row],[Horas Planificadas]],0)</f>
        <v>0</v>
      </c>
      <c r="W603" s="44">
        <f>Planning[[#This Row],[Horas Planificadas]]+Planning[[#This Row],[Horas ajustadas adicionales]]</f>
        <v>0</v>
      </c>
      <c r="X603" s="142"/>
    </row>
    <row r="604" spans="1:24" ht="12.75" customHeight="1" x14ac:dyDescent="0.2">
      <c r="A604" s="7"/>
      <c r="B604" s="7"/>
      <c r="C604" s="3"/>
      <c r="D604" s="3" t="s">
        <v>192</v>
      </c>
      <c r="E604" s="33" t="s">
        <v>30</v>
      </c>
      <c r="F604" s="3"/>
      <c r="G604" s="7"/>
      <c r="H604" s="7">
        <v>0</v>
      </c>
      <c r="I604" s="12"/>
      <c r="J604" s="5" t="e">
        <f>+SUMIFS(#REF!,#REF!,Planning[[#This Row],[Tarifa]],#REF!,Planning[[#This Row],[Proyectos]])</f>
        <v>#REF!</v>
      </c>
      <c r="K604" s="5" t="e">
        <f>Planning[[#This Row],[Horas Planificadas]]+Planning[[#This Row],[Horas ajustadas adicionales]]-Planning[[#This Row],[Horas utilizadas]]</f>
        <v>#REF!</v>
      </c>
      <c r="L604" s="7"/>
      <c r="M604" s="19" t="e">
        <f>Planning[[#This Row],[Saldo]]-Planning[[#This Row],[Saldo estimado]]</f>
        <v>#REF!</v>
      </c>
      <c r="N604" s="60" t="e">
        <f>+SUMIFS(#REF!,#REF!,Planning[[#This Row],[Proyectos]],#REF!,Planning[[#This Row],[Tipo de Tarea y especialidad]])</f>
        <v>#REF!</v>
      </c>
      <c r="O604" s="19">
        <f t="shared" si="18"/>
        <v>10</v>
      </c>
      <c r="P604" s="19">
        <f t="shared" si="19"/>
        <v>2024</v>
      </c>
      <c r="Q604" s="19" t="e">
        <f>+SUMIFS(#REF!,#REF!,Planning[[#This Row],[Tarifa]],#REF!,Planning[[#This Row],[Proyectos]],#REF!,Planning[[#This Row],[Mes]],#REF!,Planning[[#This Row],[Año]])</f>
        <v>#REF!</v>
      </c>
      <c r="R604" s="19" t="str">
        <f>TEXT(Planning[[#This Row],[Mes]]*29,"mmmm")</f>
        <v>October</v>
      </c>
      <c r="S6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4" s="228"/>
      <c r="U604" s="43">
        <f>IF(Planning[[#This Row],[Horas Planificadas]]&lt;&gt;0,+K604/Planning[[#This Row],[Horas Planificadas]],0)</f>
        <v>0</v>
      </c>
      <c r="V604" s="43">
        <f>IF(Planning[[#This Row],[Horas Planificadas]]&lt;&gt;0,Planning[[#This Row],[Horas utilizadas]]/Planning[[#This Row],[Horas Planificadas]],0)</f>
        <v>0</v>
      </c>
      <c r="W604" s="44">
        <f>Planning[[#This Row],[Horas Planificadas]]+Planning[[#This Row],[Horas ajustadas adicionales]]</f>
        <v>0</v>
      </c>
      <c r="X604" s="142"/>
    </row>
    <row r="605" spans="1:24" ht="12.75" customHeight="1" x14ac:dyDescent="0.2">
      <c r="A605" s="7"/>
      <c r="B605" s="7"/>
      <c r="C605" s="3"/>
      <c r="D605" s="3" t="s">
        <v>192</v>
      </c>
      <c r="E605" s="33" t="s">
        <v>31</v>
      </c>
      <c r="F605" s="3"/>
      <c r="G605" s="7"/>
      <c r="H605" s="7">
        <v>0</v>
      </c>
      <c r="I605" s="12"/>
      <c r="J605" s="5" t="e">
        <f>+SUMIFS(#REF!,#REF!,Planning[[#This Row],[Tarifa]],#REF!,Planning[[#This Row],[Proyectos]])</f>
        <v>#REF!</v>
      </c>
      <c r="K605" s="5" t="e">
        <f>Planning[[#This Row],[Horas Planificadas]]+Planning[[#This Row],[Horas ajustadas adicionales]]-Planning[[#This Row],[Horas utilizadas]]</f>
        <v>#REF!</v>
      </c>
      <c r="L605" s="7"/>
      <c r="M605" s="19" t="e">
        <f>Planning[[#This Row],[Saldo]]-Planning[[#This Row],[Saldo estimado]]</f>
        <v>#REF!</v>
      </c>
      <c r="N605" s="60" t="e">
        <f>+SUMIFS(#REF!,#REF!,Planning[[#This Row],[Proyectos]],#REF!,Planning[[#This Row],[Tipo de Tarea y especialidad]])</f>
        <v>#REF!</v>
      </c>
      <c r="O605" s="19">
        <f t="shared" si="18"/>
        <v>10</v>
      </c>
      <c r="P605" s="19">
        <f t="shared" si="19"/>
        <v>2024</v>
      </c>
      <c r="Q605" s="19" t="e">
        <f>+SUMIFS(#REF!,#REF!,Planning[[#This Row],[Tarifa]],#REF!,Planning[[#This Row],[Proyectos]],#REF!,Planning[[#This Row],[Mes]],#REF!,Planning[[#This Row],[Año]])</f>
        <v>#REF!</v>
      </c>
      <c r="R605" s="19" t="str">
        <f>TEXT(Planning[[#This Row],[Mes]]*29,"mmmm")</f>
        <v>October</v>
      </c>
      <c r="S6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5" s="228"/>
      <c r="U605" s="43">
        <f>IF(Planning[[#This Row],[Horas Planificadas]]&lt;&gt;0,+K605/Planning[[#This Row],[Horas Planificadas]],0)</f>
        <v>0</v>
      </c>
      <c r="V605" s="43">
        <f>IF(Planning[[#This Row],[Horas Planificadas]]&lt;&gt;0,Planning[[#This Row],[Horas utilizadas]]/Planning[[#This Row],[Horas Planificadas]],0)</f>
        <v>0</v>
      </c>
      <c r="W605" s="44">
        <f>Planning[[#This Row],[Horas Planificadas]]+Planning[[#This Row],[Horas ajustadas adicionales]]</f>
        <v>0</v>
      </c>
      <c r="X605" s="142"/>
    </row>
    <row r="606" spans="1:24" ht="12.75" customHeight="1" x14ac:dyDescent="0.2">
      <c r="A606" s="7"/>
      <c r="B606" s="7"/>
      <c r="C606" s="3"/>
      <c r="D606" s="3" t="s">
        <v>192</v>
      </c>
      <c r="E606" s="33" t="s">
        <v>32</v>
      </c>
      <c r="F606" s="3"/>
      <c r="G606" s="7"/>
      <c r="H606" s="7">
        <v>40</v>
      </c>
      <c r="I606" s="12"/>
      <c r="J606" s="5" t="e">
        <f>+SUMIFS(#REF!,#REF!,Planning[[#This Row],[Tarifa]],#REF!,Planning[[#This Row],[Proyectos]])</f>
        <v>#REF!</v>
      </c>
      <c r="K606" s="5" t="e">
        <f>Planning[[#This Row],[Horas Planificadas]]+Planning[[#This Row],[Horas ajustadas adicionales]]-Planning[[#This Row],[Horas utilizadas]]</f>
        <v>#REF!</v>
      </c>
      <c r="L606" s="7"/>
      <c r="M606" s="19" t="e">
        <f>Planning[[#This Row],[Saldo]]-Planning[[#This Row],[Saldo estimado]]</f>
        <v>#REF!</v>
      </c>
      <c r="N606" s="60" t="e">
        <f>+SUMIFS(#REF!,#REF!,Planning[[#This Row],[Proyectos]],#REF!,Planning[[#This Row],[Tipo de Tarea y especialidad]])</f>
        <v>#REF!</v>
      </c>
      <c r="O606" s="19">
        <f t="shared" si="18"/>
        <v>10</v>
      </c>
      <c r="P606" s="19">
        <f t="shared" si="19"/>
        <v>2024</v>
      </c>
      <c r="Q606" s="19" t="e">
        <f>+SUMIFS(#REF!,#REF!,Planning[[#This Row],[Tarifa]],#REF!,Planning[[#This Row],[Proyectos]],#REF!,Planning[[#This Row],[Mes]],#REF!,Planning[[#This Row],[Año]])</f>
        <v>#REF!</v>
      </c>
      <c r="R606" s="19" t="str">
        <f>TEXT(Planning[[#This Row],[Mes]]*29,"mmmm")</f>
        <v>October</v>
      </c>
      <c r="S6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6" s="228"/>
      <c r="U606" s="43" t="e">
        <f>IF(Planning[[#This Row],[Horas Planificadas]]&lt;&gt;0,+K606/Planning[[#This Row],[Horas Planificadas]],0)</f>
        <v>#REF!</v>
      </c>
      <c r="V606" s="43" t="e">
        <f>IF(Planning[[#This Row],[Horas Planificadas]]&lt;&gt;0,Planning[[#This Row],[Horas utilizadas]]/Planning[[#This Row],[Horas Planificadas]],0)</f>
        <v>#REF!</v>
      </c>
      <c r="W606" s="44">
        <f>Planning[[#This Row],[Horas Planificadas]]+Planning[[#This Row],[Horas ajustadas adicionales]]</f>
        <v>40</v>
      </c>
      <c r="X606" s="142"/>
    </row>
    <row r="607" spans="1:24" ht="12.75" customHeight="1" x14ac:dyDescent="0.2">
      <c r="A607" s="7"/>
      <c r="B607" s="7"/>
      <c r="C607" s="3"/>
      <c r="D607" s="3" t="s">
        <v>193</v>
      </c>
      <c r="E607" s="4" t="s">
        <v>28</v>
      </c>
      <c r="F607" s="3"/>
      <c r="G607" s="9"/>
      <c r="H607" s="12">
        <v>0</v>
      </c>
      <c r="I607" s="12"/>
      <c r="J607" s="5" t="e">
        <f>+SUMIFS(#REF!,#REF!,Planning[[#This Row],[Tarifa]],#REF!,Planning[[#This Row],[Proyectos]])</f>
        <v>#REF!</v>
      </c>
      <c r="K607" s="27" t="e">
        <f>Planning[[#This Row],[Horas Planificadas]]+Planning[[#This Row],[Horas ajustadas adicionales]]-Planning[[#This Row],[Horas utilizadas]]</f>
        <v>#REF!</v>
      </c>
      <c r="L607" s="7"/>
      <c r="M607" s="34" t="e">
        <f>Planning[[#This Row],[Saldo]]-Planning[[#This Row],[Saldo estimado]]</f>
        <v>#REF!</v>
      </c>
      <c r="N607" s="62" t="e">
        <f>+SUMIFS(#REF!,#REF!,Planning[[#This Row],[Proyectos]],#REF!,Planning[[#This Row],[Tipo de Tarea y especialidad]])</f>
        <v>#REF!</v>
      </c>
      <c r="O607" s="34">
        <f t="shared" si="18"/>
        <v>10</v>
      </c>
      <c r="P607" s="34">
        <f t="shared" si="19"/>
        <v>2024</v>
      </c>
      <c r="Q607" s="34" t="e">
        <f>+SUMIFS(#REF!,#REF!,Planning[[#This Row],[Tarifa]],#REF!,Planning[[#This Row],[Proyectos]],#REF!,Planning[[#This Row],[Mes]],#REF!,Planning[[#This Row],[Año]])</f>
        <v>#REF!</v>
      </c>
      <c r="R607" s="34" t="str">
        <f>TEXT(Planning[[#This Row],[Mes]]*29,"mmmm")</f>
        <v>October</v>
      </c>
      <c r="S60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7" s="228"/>
      <c r="U607" s="43">
        <f>IF(Planning[[#This Row],[Horas Planificadas]]&lt;&gt;0,+K607/Planning[[#This Row],[Horas Planificadas]],0)</f>
        <v>0</v>
      </c>
      <c r="V607" s="43">
        <f>IF(Planning[[#This Row],[Horas Planificadas]]&lt;&gt;0,Planning[[#This Row],[Horas utilizadas]]/Planning[[#This Row],[Horas Planificadas]],0)</f>
        <v>0</v>
      </c>
      <c r="W607" s="44">
        <f>Planning[[#This Row],[Horas Planificadas]]+Planning[[#This Row],[Horas ajustadas adicionales]]</f>
        <v>0</v>
      </c>
      <c r="X607" s="142"/>
    </row>
    <row r="608" spans="1:24" x14ac:dyDescent="0.2">
      <c r="A608" s="7"/>
      <c r="B608" s="7"/>
      <c r="C608" s="3"/>
      <c r="D608" s="3" t="s">
        <v>193</v>
      </c>
      <c r="E608" s="4" t="s">
        <v>30</v>
      </c>
      <c r="F608" s="3"/>
      <c r="G608" s="9"/>
      <c r="H608" s="9">
        <v>172</v>
      </c>
      <c r="I608" s="12"/>
      <c r="J608" s="5" t="e">
        <f>+SUMIFS(#REF!,#REF!,Planning[[#This Row],[Tarifa]],#REF!,Planning[[#This Row],[Proyectos]])</f>
        <v>#REF!</v>
      </c>
      <c r="K608" s="5" t="e">
        <f>Planning[[#This Row],[Horas Planificadas]]+Planning[[#This Row],[Horas ajustadas adicionales]]-Planning[[#This Row],[Horas utilizadas]]</f>
        <v>#REF!</v>
      </c>
      <c r="L608" s="7"/>
      <c r="M608" s="19" t="e">
        <f>Planning[[#This Row],[Saldo]]-Planning[[#This Row],[Saldo estimado]]</f>
        <v>#REF!</v>
      </c>
      <c r="N608" s="60" t="e">
        <f>+SUMIFS(#REF!,#REF!,Planning[[#This Row],[Proyectos]],#REF!,Planning[[#This Row],[Tipo de Tarea y especialidad]])</f>
        <v>#REF!</v>
      </c>
      <c r="O608" s="19">
        <f t="shared" si="18"/>
        <v>10</v>
      </c>
      <c r="P608" s="19">
        <f t="shared" si="19"/>
        <v>2024</v>
      </c>
      <c r="Q608" s="19" t="e">
        <f>+SUMIFS(#REF!,#REF!,Planning[[#This Row],[Tarifa]],#REF!,Planning[[#This Row],[Proyectos]],#REF!,Planning[[#This Row],[Mes]],#REF!,Planning[[#This Row],[Año]])</f>
        <v>#REF!</v>
      </c>
      <c r="R608" s="19" t="str">
        <f>TEXT(Planning[[#This Row],[Mes]]*29,"mmmm")</f>
        <v>October</v>
      </c>
      <c r="S6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8" s="228"/>
      <c r="U608" s="43" t="e">
        <f>IF(Planning[[#This Row],[Horas Planificadas]]&lt;&gt;0,+K608/Planning[[#This Row],[Horas Planificadas]],0)</f>
        <v>#REF!</v>
      </c>
      <c r="V608" s="43" t="e">
        <f>IF(Planning[[#This Row],[Horas Planificadas]]&lt;&gt;0,Planning[[#This Row],[Horas utilizadas]]/Planning[[#This Row],[Horas Planificadas]],0)</f>
        <v>#REF!</v>
      </c>
      <c r="W608" s="44">
        <f>Planning[[#This Row],[Horas Planificadas]]+Planning[[#This Row],[Horas ajustadas adicionales]]</f>
        <v>172</v>
      </c>
      <c r="X608" s="142"/>
    </row>
    <row r="609" spans="1:24" x14ac:dyDescent="0.2">
      <c r="A609" s="7"/>
      <c r="B609" s="7"/>
      <c r="C609" s="3"/>
      <c r="D609" s="3" t="s">
        <v>193</v>
      </c>
      <c r="E609" s="4" t="s">
        <v>31</v>
      </c>
      <c r="F609" s="3"/>
      <c r="G609" s="9"/>
      <c r="H609" s="9">
        <v>120</v>
      </c>
      <c r="I609" s="12"/>
      <c r="J609" s="5" t="e">
        <f>+SUMIFS(#REF!,#REF!,Planning[[#This Row],[Tarifa]],#REF!,Planning[[#This Row],[Proyectos]])</f>
        <v>#REF!</v>
      </c>
      <c r="K609" s="5" t="e">
        <f>Planning[[#This Row],[Horas Planificadas]]+Planning[[#This Row],[Horas ajustadas adicionales]]-Planning[[#This Row],[Horas utilizadas]]</f>
        <v>#REF!</v>
      </c>
      <c r="L609" s="7"/>
      <c r="M609" s="19" t="e">
        <f>Planning[[#This Row],[Saldo]]-Planning[[#This Row],[Saldo estimado]]</f>
        <v>#REF!</v>
      </c>
      <c r="N609" s="60" t="e">
        <f>+SUMIFS(#REF!,#REF!,Planning[[#This Row],[Proyectos]],#REF!,Planning[[#This Row],[Tipo de Tarea y especialidad]])</f>
        <v>#REF!</v>
      </c>
      <c r="O609" s="19">
        <f t="shared" si="18"/>
        <v>10</v>
      </c>
      <c r="P609" s="19">
        <f t="shared" si="19"/>
        <v>2024</v>
      </c>
      <c r="Q609" s="19" t="e">
        <f>+SUMIFS(#REF!,#REF!,Planning[[#This Row],[Tarifa]],#REF!,Planning[[#This Row],[Proyectos]],#REF!,Planning[[#This Row],[Mes]],#REF!,Planning[[#This Row],[Año]])</f>
        <v>#REF!</v>
      </c>
      <c r="R609" s="19" t="str">
        <f>TEXT(Planning[[#This Row],[Mes]]*29,"mmmm")</f>
        <v>October</v>
      </c>
      <c r="S6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9" s="228"/>
      <c r="U609" s="43" t="e">
        <f>IF(Planning[[#This Row],[Horas Planificadas]]&lt;&gt;0,+K609/Planning[[#This Row],[Horas Planificadas]],0)</f>
        <v>#REF!</v>
      </c>
      <c r="V609" s="43" t="e">
        <f>IF(Planning[[#This Row],[Horas Planificadas]]&lt;&gt;0,Planning[[#This Row],[Horas utilizadas]]/Planning[[#This Row],[Horas Planificadas]],0)</f>
        <v>#REF!</v>
      </c>
      <c r="W609" s="44">
        <f>Planning[[#This Row],[Horas Planificadas]]+Planning[[#This Row],[Horas ajustadas adicionales]]</f>
        <v>120</v>
      </c>
      <c r="X609" s="142"/>
    </row>
    <row r="610" spans="1:24" ht="22.5" x14ac:dyDescent="0.2">
      <c r="A610" s="7"/>
      <c r="B610" s="7"/>
      <c r="C610" s="3"/>
      <c r="D610" s="3" t="s">
        <v>193</v>
      </c>
      <c r="E610" s="4" t="s">
        <v>32</v>
      </c>
      <c r="F610" s="3"/>
      <c r="G610" s="9"/>
      <c r="H610" s="12">
        <v>248</v>
      </c>
      <c r="I610" s="12"/>
      <c r="J610" s="5" t="e">
        <f>+SUMIFS(#REF!,#REF!,Planning[[#This Row],[Tarifa]],#REF!,Planning[[#This Row],[Proyectos]])</f>
        <v>#REF!</v>
      </c>
      <c r="K610" s="27" t="e">
        <f>Planning[[#This Row],[Horas Planificadas]]+Planning[[#This Row],[Horas ajustadas adicionales]]-Planning[[#This Row],[Horas utilizadas]]</f>
        <v>#REF!</v>
      </c>
      <c r="L610" s="7"/>
      <c r="M610" s="19" t="e">
        <f>Planning[[#This Row],[Saldo]]-Planning[[#This Row],[Saldo estimado]]</f>
        <v>#REF!</v>
      </c>
      <c r="N610" s="60" t="e">
        <f>+SUMIFS(#REF!,#REF!,Planning[[#This Row],[Proyectos]],#REF!,Planning[[#This Row],[Tipo de Tarea y especialidad]])</f>
        <v>#REF!</v>
      </c>
      <c r="O610" s="19">
        <f t="shared" si="18"/>
        <v>10</v>
      </c>
      <c r="P610" s="19">
        <f t="shared" si="19"/>
        <v>2024</v>
      </c>
      <c r="Q610" s="19" t="e">
        <f>+SUMIFS(#REF!,#REF!,Planning[[#This Row],[Tarifa]],#REF!,Planning[[#This Row],[Proyectos]],#REF!,Planning[[#This Row],[Mes]],#REF!,Planning[[#This Row],[Año]])</f>
        <v>#REF!</v>
      </c>
      <c r="R610" s="19" t="str">
        <f>TEXT(Planning[[#This Row],[Mes]]*29,"mmmm")</f>
        <v>October</v>
      </c>
      <c r="S6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10" s="228"/>
      <c r="U610" s="43" t="e">
        <f>IF(Planning[[#This Row],[Horas Planificadas]]&lt;&gt;0,+K610/Planning[[#This Row],[Horas Planificadas]],0)</f>
        <v>#REF!</v>
      </c>
      <c r="V610" s="43" t="e">
        <f>IF(Planning[[#This Row],[Horas Planificadas]]&lt;&gt;0,Planning[[#This Row],[Horas utilizadas]]/Planning[[#This Row],[Horas Planificadas]],0)</f>
        <v>#REF!</v>
      </c>
      <c r="W610" s="44">
        <f>Planning[[#This Row],[Horas Planificadas]]+Planning[[#This Row],[Horas ajustadas adicionales]]</f>
        <v>248</v>
      </c>
      <c r="X610" s="142"/>
    </row>
    <row r="611" spans="1:24" ht="22.5" x14ac:dyDescent="0.2">
      <c r="A611" s="7"/>
      <c r="B611" s="7"/>
      <c r="C611" s="3"/>
      <c r="D611" s="3" t="s">
        <v>194</v>
      </c>
      <c r="E611" s="4" t="s">
        <v>28</v>
      </c>
      <c r="F611" s="3"/>
      <c r="G611" s="9"/>
      <c r="H611" s="9">
        <v>162</v>
      </c>
      <c r="I611" s="12"/>
      <c r="J611" s="5" t="e">
        <f>+SUMIFS(#REF!,#REF!,Planning[[#This Row],[Tarifa]],#REF!,Planning[[#This Row],[Proyectos]])</f>
        <v>#REF!</v>
      </c>
      <c r="K611" s="5" t="e">
        <f>Planning[[#This Row],[Horas Planificadas]]+Planning[[#This Row],[Horas ajustadas adicionales]]-Planning[[#This Row],[Horas utilizadas]]</f>
        <v>#REF!</v>
      </c>
      <c r="L611" s="7"/>
      <c r="M611" s="19" t="e">
        <f>Planning[[#This Row],[Saldo]]-Planning[[#This Row],[Saldo estimado]]</f>
        <v>#REF!</v>
      </c>
      <c r="N611" s="60" t="e">
        <f>+SUMIFS(#REF!,#REF!,Planning[[#This Row],[Proyectos]],#REF!,Planning[[#This Row],[Tipo de Tarea y especialidad]])</f>
        <v>#REF!</v>
      </c>
      <c r="O611" s="19">
        <f t="shared" si="18"/>
        <v>10</v>
      </c>
      <c r="P611" s="19">
        <f t="shared" si="19"/>
        <v>2024</v>
      </c>
      <c r="Q611" s="19" t="e">
        <f>+SUMIFS(#REF!,#REF!,Planning[[#This Row],[Tarifa]],#REF!,Planning[[#This Row],[Proyectos]],#REF!,Planning[[#This Row],[Mes]],#REF!,Planning[[#This Row],[Año]])</f>
        <v>#REF!</v>
      </c>
      <c r="R611" s="19" t="str">
        <f>TEXT(Planning[[#This Row],[Mes]]*29,"mmmm")</f>
        <v>October</v>
      </c>
      <c r="S6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11" s="228"/>
      <c r="U611" s="43" t="e">
        <f>IF(Planning[[#This Row],[Horas Planificadas]]&lt;&gt;0,+K611/Planning[[#This Row],[Horas Planificadas]],0)</f>
        <v>#REF!</v>
      </c>
      <c r="V611" s="43" t="e">
        <f>IF(Planning[[#This Row],[Horas Planificadas]]&lt;&gt;0,Planning[[#This Row],[Horas utilizadas]]/Planning[[#This Row],[Horas Planificadas]],0)</f>
        <v>#REF!</v>
      </c>
      <c r="W611" s="44">
        <f>Planning[[#This Row],[Horas Planificadas]]+Planning[[#This Row],[Horas ajustadas adicionales]]</f>
        <v>162</v>
      </c>
      <c r="X611" s="142"/>
    </row>
    <row r="612" spans="1:24" x14ac:dyDescent="0.2">
      <c r="A612" s="7"/>
      <c r="B612" s="7"/>
      <c r="C612" s="3"/>
      <c r="D612" s="3" t="s">
        <v>194</v>
      </c>
      <c r="E612" s="4" t="s">
        <v>30</v>
      </c>
      <c r="F612" s="3"/>
      <c r="G612" s="9"/>
      <c r="H612" s="9">
        <v>106</v>
      </c>
      <c r="I612" s="12"/>
      <c r="J612" s="5" t="e">
        <f>+SUMIFS(#REF!,#REF!,Planning[[#This Row],[Tarifa]],#REF!,Planning[[#This Row],[Proyectos]])</f>
        <v>#REF!</v>
      </c>
      <c r="K612" s="5" t="e">
        <f>Planning[[#This Row],[Horas Planificadas]]+Planning[[#This Row],[Horas ajustadas adicionales]]-Planning[[#This Row],[Horas utilizadas]]</f>
        <v>#REF!</v>
      </c>
      <c r="L612" s="7"/>
      <c r="M612" s="19" t="e">
        <f>Planning[[#This Row],[Saldo]]-Planning[[#This Row],[Saldo estimado]]</f>
        <v>#REF!</v>
      </c>
      <c r="N612" s="60" t="e">
        <f>+SUMIFS(#REF!,#REF!,Planning[[#This Row],[Proyectos]],#REF!,Planning[[#This Row],[Tipo de Tarea y especialidad]])</f>
        <v>#REF!</v>
      </c>
      <c r="O612" s="19">
        <f t="shared" si="18"/>
        <v>10</v>
      </c>
      <c r="P612" s="19">
        <f t="shared" si="19"/>
        <v>2024</v>
      </c>
      <c r="Q612" s="19" t="e">
        <f>+SUMIFS(#REF!,#REF!,Planning[[#This Row],[Tarifa]],#REF!,Planning[[#This Row],[Proyectos]],#REF!,Planning[[#This Row],[Mes]],#REF!,Planning[[#This Row],[Año]])</f>
        <v>#REF!</v>
      </c>
      <c r="R612" s="19" t="str">
        <f>TEXT(Planning[[#This Row],[Mes]]*29,"mmmm")</f>
        <v>October</v>
      </c>
      <c r="S6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12" s="228"/>
      <c r="U612" s="43" t="e">
        <f>IF(Planning[[#This Row],[Horas Planificadas]]&lt;&gt;0,+K612/Planning[[#This Row],[Horas Planificadas]],0)</f>
        <v>#REF!</v>
      </c>
      <c r="V612" s="43" t="e">
        <f>IF(Planning[[#This Row],[Horas Planificadas]]&lt;&gt;0,Planning[[#This Row],[Horas utilizadas]]/Planning[[#This Row],[Horas Planificadas]],0)</f>
        <v>#REF!</v>
      </c>
      <c r="W612" s="44">
        <f>Planning[[#This Row],[Horas Planificadas]]+Planning[[#This Row],[Horas ajustadas adicionales]]</f>
        <v>106</v>
      </c>
      <c r="X612" s="142"/>
    </row>
    <row r="613" spans="1:24" x14ac:dyDescent="0.2">
      <c r="A613" s="7"/>
      <c r="B613" s="7"/>
      <c r="C613" s="3"/>
      <c r="D613" s="3" t="s">
        <v>194</v>
      </c>
      <c r="E613" s="4" t="s">
        <v>31</v>
      </c>
      <c r="F613" s="3"/>
      <c r="G613" s="9"/>
      <c r="H613" s="9">
        <v>37</v>
      </c>
      <c r="I613" s="12"/>
      <c r="J613" s="5" t="e">
        <f>+SUMIFS(#REF!,#REF!,Planning[[#This Row],[Tarifa]],#REF!,Planning[[#This Row],[Proyectos]])</f>
        <v>#REF!</v>
      </c>
      <c r="K613" s="5" t="e">
        <f>Planning[[#This Row],[Horas Planificadas]]+Planning[[#This Row],[Horas ajustadas adicionales]]-Planning[[#This Row],[Horas utilizadas]]</f>
        <v>#REF!</v>
      </c>
      <c r="L613" s="7"/>
      <c r="M613" s="19" t="e">
        <f>Planning[[#This Row],[Saldo]]-Planning[[#This Row],[Saldo estimado]]</f>
        <v>#REF!</v>
      </c>
      <c r="N613" s="60" t="e">
        <f>+SUMIFS(#REF!,#REF!,Planning[[#This Row],[Proyectos]],#REF!,Planning[[#This Row],[Tipo de Tarea y especialidad]])</f>
        <v>#REF!</v>
      </c>
      <c r="O613" s="19">
        <f t="shared" si="18"/>
        <v>10</v>
      </c>
      <c r="P613" s="19">
        <f t="shared" si="19"/>
        <v>2024</v>
      </c>
      <c r="Q613" s="19" t="e">
        <f>+SUMIFS(#REF!,#REF!,Planning[[#This Row],[Tarifa]],#REF!,Planning[[#This Row],[Proyectos]],#REF!,Planning[[#This Row],[Mes]],#REF!,Planning[[#This Row],[Año]])</f>
        <v>#REF!</v>
      </c>
      <c r="R613" s="19" t="str">
        <f>TEXT(Planning[[#This Row],[Mes]]*29,"mmmm")</f>
        <v>October</v>
      </c>
      <c r="S6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13" s="228"/>
      <c r="U613" s="43" t="e">
        <f>IF(Planning[[#This Row],[Horas Planificadas]]&lt;&gt;0,+K613/Planning[[#This Row],[Horas Planificadas]],0)</f>
        <v>#REF!</v>
      </c>
      <c r="V613" s="43" t="e">
        <f>IF(Planning[[#This Row],[Horas Planificadas]]&lt;&gt;0,Planning[[#This Row],[Horas utilizadas]]/Planning[[#This Row],[Horas Planificadas]],0)</f>
        <v>#REF!</v>
      </c>
      <c r="W613" s="44">
        <f>Planning[[#This Row],[Horas Planificadas]]+Planning[[#This Row],[Horas ajustadas adicionales]]</f>
        <v>37</v>
      </c>
      <c r="X613" s="142"/>
    </row>
    <row r="614" spans="1:24" ht="22.5" x14ac:dyDescent="0.2">
      <c r="A614" s="7"/>
      <c r="B614" s="7"/>
      <c r="C614" s="3"/>
      <c r="D614" s="3" t="s">
        <v>194</v>
      </c>
      <c r="E614" s="4" t="s">
        <v>32</v>
      </c>
      <c r="F614" s="3"/>
      <c r="G614" s="9"/>
      <c r="H614" s="9">
        <v>0</v>
      </c>
      <c r="I614" s="12"/>
      <c r="J614" s="5" t="e">
        <f>+SUMIFS(#REF!,#REF!,Planning[[#This Row],[Tarifa]],#REF!,Planning[[#This Row],[Proyectos]])</f>
        <v>#REF!</v>
      </c>
      <c r="K614" s="5" t="e">
        <f>Planning[[#This Row],[Horas Planificadas]]+Planning[[#This Row],[Horas ajustadas adicionales]]-Planning[[#This Row],[Horas utilizadas]]</f>
        <v>#REF!</v>
      </c>
      <c r="L614" s="7"/>
      <c r="M614" s="19" t="e">
        <f>Planning[[#This Row],[Saldo]]-Planning[[#This Row],[Saldo estimado]]</f>
        <v>#REF!</v>
      </c>
      <c r="N614" s="60" t="e">
        <f>+SUMIFS(#REF!,#REF!,Planning[[#This Row],[Proyectos]],#REF!,Planning[[#This Row],[Tipo de Tarea y especialidad]])</f>
        <v>#REF!</v>
      </c>
      <c r="O614" s="19">
        <f t="shared" si="18"/>
        <v>10</v>
      </c>
      <c r="P614" s="19">
        <f t="shared" si="19"/>
        <v>2024</v>
      </c>
      <c r="Q614" s="19" t="e">
        <f>+SUMIFS(#REF!,#REF!,Planning[[#This Row],[Tarifa]],#REF!,Planning[[#This Row],[Proyectos]],#REF!,Planning[[#This Row],[Mes]],#REF!,Planning[[#This Row],[Año]])</f>
        <v>#REF!</v>
      </c>
      <c r="R614" s="19" t="str">
        <f>TEXT(Planning[[#This Row],[Mes]]*29,"mmmm")</f>
        <v>October</v>
      </c>
      <c r="S6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14" s="228"/>
      <c r="U614" s="43">
        <f>IF(Planning[[#This Row],[Horas Planificadas]]&lt;&gt;0,+K614/Planning[[#This Row],[Horas Planificadas]],0)</f>
        <v>0</v>
      </c>
      <c r="V614" s="43">
        <f>IF(Planning[[#This Row],[Horas Planificadas]]&lt;&gt;0,Planning[[#This Row],[Horas utilizadas]]/Planning[[#This Row],[Horas Planificadas]],0)</f>
        <v>0</v>
      </c>
      <c r="W614" s="44">
        <f>Planning[[#This Row],[Horas Planificadas]]+Planning[[#This Row],[Horas ajustadas adicionales]]</f>
        <v>0</v>
      </c>
      <c r="X614" s="142"/>
    </row>
    <row r="615" spans="1:24" ht="22.5" x14ac:dyDescent="0.2">
      <c r="A615" s="7"/>
      <c r="B615" s="7"/>
      <c r="C615" s="3"/>
      <c r="D615" s="3" t="s">
        <v>195</v>
      </c>
      <c r="E615" s="4" t="s">
        <v>28</v>
      </c>
      <c r="F615" s="3"/>
      <c r="G615" s="9"/>
      <c r="H615" s="9">
        <v>504</v>
      </c>
      <c r="I615" s="12"/>
      <c r="J615" s="5" t="e">
        <f>+SUMIFS(#REF!,#REF!,Planning[[#This Row],[Tarifa]],#REF!,Planning[[#This Row],[Proyectos]])</f>
        <v>#REF!</v>
      </c>
      <c r="K615" s="5" t="e">
        <f>Planning[[#This Row],[Horas Planificadas]]+Planning[[#This Row],[Horas ajustadas adicionales]]-Planning[[#This Row],[Horas utilizadas]]</f>
        <v>#REF!</v>
      </c>
      <c r="L615" s="7"/>
      <c r="M615" s="19" t="e">
        <f>Planning[[#This Row],[Saldo]]-Planning[[#This Row],[Saldo estimado]]</f>
        <v>#REF!</v>
      </c>
      <c r="N615" s="60" t="e">
        <f>+SUMIFS(#REF!,#REF!,Planning[[#This Row],[Proyectos]],#REF!,Planning[[#This Row],[Tipo de Tarea y especialidad]])</f>
        <v>#REF!</v>
      </c>
      <c r="O615" s="19">
        <f t="shared" si="18"/>
        <v>10</v>
      </c>
      <c r="P615" s="19">
        <f t="shared" si="19"/>
        <v>2024</v>
      </c>
      <c r="Q615" s="19" t="e">
        <f>+SUMIFS(#REF!,#REF!,Planning[[#This Row],[Tarifa]],#REF!,Planning[[#This Row],[Proyectos]],#REF!,Planning[[#This Row],[Mes]],#REF!,Planning[[#This Row],[Año]])</f>
        <v>#REF!</v>
      </c>
      <c r="R615" s="19" t="str">
        <f>TEXT(Planning[[#This Row],[Mes]]*29,"mmmm")</f>
        <v>October</v>
      </c>
      <c r="S6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15" s="228"/>
      <c r="U615" s="43" t="e">
        <f>IF(Planning[[#This Row],[Horas Planificadas]]&lt;&gt;0,+K615/Planning[[#This Row],[Horas Planificadas]],0)</f>
        <v>#REF!</v>
      </c>
      <c r="V615" s="43" t="e">
        <f>IF(Planning[[#This Row],[Horas Planificadas]]&lt;&gt;0,Planning[[#This Row],[Horas utilizadas]]/Planning[[#This Row],[Horas Planificadas]],0)</f>
        <v>#REF!</v>
      </c>
      <c r="W615" s="44">
        <f>Planning[[#This Row],[Horas Planificadas]]+Planning[[#This Row],[Horas ajustadas adicionales]]</f>
        <v>504</v>
      </c>
      <c r="X615" s="142"/>
    </row>
    <row r="616" spans="1:24" x14ac:dyDescent="0.2">
      <c r="A616" s="7"/>
      <c r="B616" s="7"/>
      <c r="C616" s="3"/>
      <c r="D616" s="3" t="s">
        <v>195</v>
      </c>
      <c r="E616" s="4" t="s">
        <v>30</v>
      </c>
      <c r="F616" s="3"/>
      <c r="G616" s="9"/>
      <c r="H616" s="9">
        <v>302</v>
      </c>
      <c r="I616" s="12"/>
      <c r="J616" s="5" t="e">
        <f>+SUMIFS(#REF!,#REF!,Planning[[#This Row],[Tarifa]],#REF!,Planning[[#This Row],[Proyectos]])</f>
        <v>#REF!</v>
      </c>
      <c r="K616" s="5" t="e">
        <f>Planning[[#This Row],[Horas Planificadas]]+Planning[[#This Row],[Horas ajustadas adicionales]]-Planning[[#This Row],[Horas utilizadas]]</f>
        <v>#REF!</v>
      </c>
      <c r="L616" s="7"/>
      <c r="M616" s="19" t="e">
        <f>Planning[[#This Row],[Saldo]]-Planning[[#This Row],[Saldo estimado]]</f>
        <v>#REF!</v>
      </c>
      <c r="N616" s="60" t="e">
        <f>+SUMIFS(#REF!,#REF!,Planning[[#This Row],[Proyectos]],#REF!,Planning[[#This Row],[Tipo de Tarea y especialidad]])</f>
        <v>#REF!</v>
      </c>
      <c r="O616" s="19">
        <f t="shared" si="18"/>
        <v>10</v>
      </c>
      <c r="P616" s="19">
        <f t="shared" si="19"/>
        <v>2024</v>
      </c>
      <c r="Q616" s="19" t="e">
        <f>+SUMIFS(#REF!,#REF!,Planning[[#This Row],[Tarifa]],#REF!,Planning[[#This Row],[Proyectos]],#REF!,Planning[[#This Row],[Mes]],#REF!,Planning[[#This Row],[Año]])</f>
        <v>#REF!</v>
      </c>
      <c r="R616" s="19" t="str">
        <f>TEXT(Planning[[#This Row],[Mes]]*29,"mmmm")</f>
        <v>October</v>
      </c>
      <c r="S6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16" s="228"/>
      <c r="U616" s="43" t="e">
        <f>IF(Planning[[#This Row],[Horas Planificadas]]&lt;&gt;0,+K616/Planning[[#This Row],[Horas Planificadas]],0)</f>
        <v>#REF!</v>
      </c>
      <c r="V616" s="43" t="e">
        <f>IF(Planning[[#This Row],[Horas Planificadas]]&lt;&gt;0,Planning[[#This Row],[Horas utilizadas]]/Planning[[#This Row],[Horas Planificadas]],0)</f>
        <v>#REF!</v>
      </c>
      <c r="W616" s="44">
        <f>Planning[[#This Row],[Horas Planificadas]]+Planning[[#This Row],[Horas ajustadas adicionales]]</f>
        <v>302</v>
      </c>
      <c r="X616" s="142"/>
    </row>
    <row r="617" spans="1:24" x14ac:dyDescent="0.2">
      <c r="A617" s="7"/>
      <c r="B617" s="7"/>
      <c r="C617" s="3"/>
      <c r="D617" s="3" t="s">
        <v>195</v>
      </c>
      <c r="E617" s="4" t="s">
        <v>31</v>
      </c>
      <c r="F617" s="3"/>
      <c r="G617" s="9"/>
      <c r="H617" s="9">
        <v>61</v>
      </c>
      <c r="I617" s="12"/>
      <c r="J617" s="5" t="e">
        <f>+SUMIFS(#REF!,#REF!,Planning[[#This Row],[Tarifa]],#REF!,Planning[[#This Row],[Proyectos]])</f>
        <v>#REF!</v>
      </c>
      <c r="K617" s="5" t="e">
        <f>Planning[[#This Row],[Horas Planificadas]]+Planning[[#This Row],[Horas ajustadas adicionales]]-Planning[[#This Row],[Horas utilizadas]]</f>
        <v>#REF!</v>
      </c>
      <c r="L617" s="7"/>
      <c r="M617" s="19" t="e">
        <f>Planning[[#This Row],[Saldo]]-Planning[[#This Row],[Saldo estimado]]</f>
        <v>#REF!</v>
      </c>
      <c r="N617" s="60" t="e">
        <f>+SUMIFS(#REF!,#REF!,Planning[[#This Row],[Proyectos]],#REF!,Planning[[#This Row],[Tipo de Tarea y especialidad]])</f>
        <v>#REF!</v>
      </c>
      <c r="O617" s="19">
        <f t="shared" si="18"/>
        <v>10</v>
      </c>
      <c r="P617" s="19">
        <f t="shared" si="19"/>
        <v>2024</v>
      </c>
      <c r="Q617" s="19" t="e">
        <f>+SUMIFS(#REF!,#REF!,Planning[[#This Row],[Tarifa]],#REF!,Planning[[#This Row],[Proyectos]],#REF!,Planning[[#This Row],[Mes]],#REF!,Planning[[#This Row],[Año]])</f>
        <v>#REF!</v>
      </c>
      <c r="R617" s="19" t="str">
        <f>TEXT(Planning[[#This Row],[Mes]]*29,"mmmm")</f>
        <v>October</v>
      </c>
      <c r="S6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17" s="228"/>
      <c r="U617" s="43" t="e">
        <f>IF(Planning[[#This Row],[Horas Planificadas]]&lt;&gt;0,+K617/Planning[[#This Row],[Horas Planificadas]],0)</f>
        <v>#REF!</v>
      </c>
      <c r="V617" s="43" t="e">
        <f>IF(Planning[[#This Row],[Horas Planificadas]]&lt;&gt;0,Planning[[#This Row],[Horas utilizadas]]/Planning[[#This Row],[Horas Planificadas]],0)</f>
        <v>#REF!</v>
      </c>
      <c r="W617" s="44">
        <f>Planning[[#This Row],[Horas Planificadas]]+Planning[[#This Row],[Horas ajustadas adicionales]]</f>
        <v>61</v>
      </c>
      <c r="X617" s="142"/>
    </row>
    <row r="618" spans="1:24" ht="22.5" x14ac:dyDescent="0.2">
      <c r="A618" s="7"/>
      <c r="B618" s="7"/>
      <c r="C618" s="3"/>
      <c r="D618" s="3" t="s">
        <v>195</v>
      </c>
      <c r="E618" s="4" t="s">
        <v>32</v>
      </c>
      <c r="F618" s="3"/>
      <c r="G618" s="9"/>
      <c r="H618" s="9">
        <v>135</v>
      </c>
      <c r="I618" s="12"/>
      <c r="J618" s="5" t="e">
        <f>+SUMIFS(#REF!,#REF!,Planning[[#This Row],[Tarifa]],#REF!,Planning[[#This Row],[Proyectos]])</f>
        <v>#REF!</v>
      </c>
      <c r="K618" s="5" t="e">
        <f>Planning[[#This Row],[Horas Planificadas]]+Planning[[#This Row],[Horas ajustadas adicionales]]-Planning[[#This Row],[Horas utilizadas]]</f>
        <v>#REF!</v>
      </c>
      <c r="L618" s="7"/>
      <c r="M618" s="19" t="e">
        <f>Planning[[#This Row],[Saldo]]-Planning[[#This Row],[Saldo estimado]]</f>
        <v>#REF!</v>
      </c>
      <c r="N618" s="60" t="e">
        <f>+SUMIFS(#REF!,#REF!,Planning[[#This Row],[Proyectos]],#REF!,Planning[[#This Row],[Tipo de Tarea y especialidad]])</f>
        <v>#REF!</v>
      </c>
      <c r="O618" s="19">
        <f t="shared" si="18"/>
        <v>10</v>
      </c>
      <c r="P618" s="19">
        <f t="shared" si="19"/>
        <v>2024</v>
      </c>
      <c r="Q618" s="19" t="e">
        <f>+SUMIFS(#REF!,#REF!,Planning[[#This Row],[Tarifa]],#REF!,Planning[[#This Row],[Proyectos]],#REF!,Planning[[#This Row],[Mes]],#REF!,Planning[[#This Row],[Año]])</f>
        <v>#REF!</v>
      </c>
      <c r="R618" s="19" t="str">
        <f>TEXT(Planning[[#This Row],[Mes]]*29,"mmmm")</f>
        <v>October</v>
      </c>
      <c r="S6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18" s="228"/>
      <c r="U618" s="43" t="e">
        <f>IF(Planning[[#This Row],[Horas Planificadas]]&lt;&gt;0,+K618/Planning[[#This Row],[Horas Planificadas]],0)</f>
        <v>#REF!</v>
      </c>
      <c r="V618" s="43" t="e">
        <f>IF(Planning[[#This Row],[Horas Planificadas]]&lt;&gt;0,Planning[[#This Row],[Horas utilizadas]]/Planning[[#This Row],[Horas Planificadas]],0)</f>
        <v>#REF!</v>
      </c>
      <c r="W618" s="44">
        <f>Planning[[#This Row],[Horas Planificadas]]+Planning[[#This Row],[Horas ajustadas adicionales]]</f>
        <v>135</v>
      </c>
      <c r="X618" s="142"/>
    </row>
    <row r="619" spans="1:24" ht="22.5" x14ac:dyDescent="0.2">
      <c r="A619" s="7"/>
      <c r="B619" s="7"/>
      <c r="C619" s="3"/>
      <c r="D619" s="3" t="s">
        <v>196</v>
      </c>
      <c r="E619" s="4" t="s">
        <v>28</v>
      </c>
      <c r="F619" s="3"/>
      <c r="G619" s="9"/>
      <c r="H619" s="12">
        <v>0</v>
      </c>
      <c r="I619" s="12"/>
      <c r="J619" s="5" t="e">
        <f>+SUMIFS(#REF!,#REF!,Planning[[#This Row],[Tarifa]],#REF!,Planning[[#This Row],[Proyectos]])</f>
        <v>#REF!</v>
      </c>
      <c r="K619" s="27" t="e">
        <f>Planning[[#This Row],[Horas Planificadas]]+Planning[[#This Row],[Horas ajustadas adicionales]]-Planning[[#This Row],[Horas utilizadas]]</f>
        <v>#REF!</v>
      </c>
      <c r="L619" s="7"/>
      <c r="M619" s="19" t="e">
        <f>Planning[[#This Row],[Saldo]]-Planning[[#This Row],[Saldo estimado]]</f>
        <v>#REF!</v>
      </c>
      <c r="N619" s="60" t="e">
        <f>+SUMIFS(#REF!,#REF!,Planning[[#This Row],[Proyectos]],#REF!,Planning[[#This Row],[Tipo de Tarea y especialidad]])</f>
        <v>#REF!</v>
      </c>
      <c r="O619" s="19">
        <f t="shared" si="18"/>
        <v>10</v>
      </c>
      <c r="P619" s="19">
        <f t="shared" si="19"/>
        <v>2024</v>
      </c>
      <c r="Q619" s="19" t="e">
        <f>+SUMIFS(#REF!,#REF!,Planning[[#This Row],[Tarifa]],#REF!,Planning[[#This Row],[Proyectos]],#REF!,Planning[[#This Row],[Mes]],#REF!,Planning[[#This Row],[Año]])</f>
        <v>#REF!</v>
      </c>
      <c r="R619" s="19" t="str">
        <f>TEXT(Planning[[#This Row],[Mes]]*29,"mmmm")</f>
        <v>October</v>
      </c>
      <c r="S6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19" s="228"/>
      <c r="U619" s="43">
        <f>IF(Planning[[#This Row],[Horas Planificadas]]&lt;&gt;0,+K619/Planning[[#This Row],[Horas Planificadas]],0)</f>
        <v>0</v>
      </c>
      <c r="V619" s="43">
        <f>IF(Planning[[#This Row],[Horas Planificadas]]&lt;&gt;0,Planning[[#This Row],[Horas utilizadas]]/Planning[[#This Row],[Horas Planificadas]],0)</f>
        <v>0</v>
      </c>
      <c r="W619" s="44">
        <f>Planning[[#This Row],[Horas Planificadas]]+Planning[[#This Row],[Horas ajustadas adicionales]]</f>
        <v>0</v>
      </c>
      <c r="X619" s="142"/>
    </row>
    <row r="620" spans="1:24" x14ac:dyDescent="0.2">
      <c r="A620" s="7"/>
      <c r="B620" s="7"/>
      <c r="C620" s="3"/>
      <c r="D620" s="3" t="s">
        <v>196</v>
      </c>
      <c r="E620" s="4" t="s">
        <v>30</v>
      </c>
      <c r="F620" s="3"/>
      <c r="G620" s="9"/>
      <c r="H620" s="9">
        <v>72</v>
      </c>
      <c r="I620" s="12"/>
      <c r="J620" s="5" t="e">
        <f>+SUMIFS(#REF!,#REF!,Planning[[#This Row],[Tarifa]],#REF!,Planning[[#This Row],[Proyectos]])</f>
        <v>#REF!</v>
      </c>
      <c r="K620" s="5" t="e">
        <f>Planning[[#This Row],[Horas Planificadas]]+Planning[[#This Row],[Horas ajustadas adicionales]]-Planning[[#This Row],[Horas utilizadas]]</f>
        <v>#REF!</v>
      </c>
      <c r="L620" s="7"/>
      <c r="M620" s="19" t="e">
        <f>Planning[[#This Row],[Saldo]]-Planning[[#This Row],[Saldo estimado]]</f>
        <v>#REF!</v>
      </c>
      <c r="N620" s="60" t="e">
        <f>+SUMIFS(#REF!,#REF!,Planning[[#This Row],[Proyectos]],#REF!,Planning[[#This Row],[Tipo de Tarea y especialidad]])</f>
        <v>#REF!</v>
      </c>
      <c r="O620" s="19">
        <f t="shared" si="18"/>
        <v>10</v>
      </c>
      <c r="P620" s="19">
        <f t="shared" si="19"/>
        <v>2024</v>
      </c>
      <c r="Q620" s="19" t="e">
        <f>+SUMIFS(#REF!,#REF!,Planning[[#This Row],[Tarifa]],#REF!,Planning[[#This Row],[Proyectos]],#REF!,Planning[[#This Row],[Mes]],#REF!,Planning[[#This Row],[Año]])</f>
        <v>#REF!</v>
      </c>
      <c r="R620" s="19" t="str">
        <f>TEXT(Planning[[#This Row],[Mes]]*29,"mmmm")</f>
        <v>October</v>
      </c>
      <c r="S6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20" s="228"/>
      <c r="U620" s="43" t="e">
        <f>IF(Planning[[#This Row],[Horas Planificadas]]&lt;&gt;0,+K620/Planning[[#This Row],[Horas Planificadas]],0)</f>
        <v>#REF!</v>
      </c>
      <c r="V620" s="43" t="e">
        <f>IF(Planning[[#This Row],[Horas Planificadas]]&lt;&gt;0,Planning[[#This Row],[Horas utilizadas]]/Planning[[#This Row],[Horas Planificadas]],0)</f>
        <v>#REF!</v>
      </c>
      <c r="W620" s="44">
        <f>Planning[[#This Row],[Horas Planificadas]]+Planning[[#This Row],[Horas ajustadas adicionales]]</f>
        <v>72</v>
      </c>
      <c r="X620" s="142"/>
    </row>
    <row r="621" spans="1:24" x14ac:dyDescent="0.2">
      <c r="A621" s="7"/>
      <c r="B621" s="7"/>
      <c r="C621" s="3"/>
      <c r="D621" s="3" t="s">
        <v>196</v>
      </c>
      <c r="E621" s="4" t="s">
        <v>31</v>
      </c>
      <c r="F621" s="3"/>
      <c r="G621" s="9"/>
      <c r="H621" s="9">
        <v>15</v>
      </c>
      <c r="I621" s="12"/>
      <c r="J621" s="5" t="e">
        <f>+SUMIFS(#REF!,#REF!,Planning[[#This Row],[Tarifa]],#REF!,Planning[[#This Row],[Proyectos]])</f>
        <v>#REF!</v>
      </c>
      <c r="K621" s="5" t="e">
        <f>Planning[[#This Row],[Horas Planificadas]]+Planning[[#This Row],[Horas ajustadas adicionales]]-Planning[[#This Row],[Horas utilizadas]]</f>
        <v>#REF!</v>
      </c>
      <c r="L621" s="7"/>
      <c r="M621" s="19" t="e">
        <f>Planning[[#This Row],[Saldo]]-Planning[[#This Row],[Saldo estimado]]</f>
        <v>#REF!</v>
      </c>
      <c r="N621" s="60" t="e">
        <f>+SUMIFS(#REF!,#REF!,Planning[[#This Row],[Proyectos]],#REF!,Planning[[#This Row],[Tipo de Tarea y especialidad]])</f>
        <v>#REF!</v>
      </c>
      <c r="O621" s="19">
        <f t="shared" si="18"/>
        <v>10</v>
      </c>
      <c r="P621" s="19">
        <f t="shared" si="19"/>
        <v>2024</v>
      </c>
      <c r="Q621" s="19" t="e">
        <f>+SUMIFS(#REF!,#REF!,Planning[[#This Row],[Tarifa]],#REF!,Planning[[#This Row],[Proyectos]],#REF!,Planning[[#This Row],[Mes]],#REF!,Planning[[#This Row],[Año]])</f>
        <v>#REF!</v>
      </c>
      <c r="R621" s="19" t="str">
        <f>TEXT(Planning[[#This Row],[Mes]]*29,"mmmm")</f>
        <v>October</v>
      </c>
      <c r="S6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21" s="228"/>
      <c r="U621" s="43" t="e">
        <f>IF(Planning[[#This Row],[Horas Planificadas]]&lt;&gt;0,+K621/Planning[[#This Row],[Horas Planificadas]],0)</f>
        <v>#REF!</v>
      </c>
      <c r="V621" s="43" t="e">
        <f>IF(Planning[[#This Row],[Horas Planificadas]]&lt;&gt;0,Planning[[#This Row],[Horas utilizadas]]/Planning[[#This Row],[Horas Planificadas]],0)</f>
        <v>#REF!</v>
      </c>
      <c r="W621" s="44">
        <f>Planning[[#This Row],[Horas Planificadas]]+Planning[[#This Row],[Horas ajustadas adicionales]]</f>
        <v>15</v>
      </c>
      <c r="X621" s="142"/>
    </row>
    <row r="622" spans="1:24" ht="22.5" x14ac:dyDescent="0.2">
      <c r="A622" s="7"/>
      <c r="B622" s="7"/>
      <c r="C622" s="3"/>
      <c r="D622" s="3" t="s">
        <v>196</v>
      </c>
      <c r="E622" s="4" t="s">
        <v>32</v>
      </c>
      <c r="F622" s="3"/>
      <c r="G622" s="9"/>
      <c r="H622" s="9">
        <v>90</v>
      </c>
      <c r="I622" s="12"/>
      <c r="J622" s="5" t="e">
        <f>+SUMIFS(#REF!,#REF!,Planning[[#This Row],[Tarifa]],#REF!,Planning[[#This Row],[Proyectos]])</f>
        <v>#REF!</v>
      </c>
      <c r="K622" s="5" t="e">
        <f>Planning[[#This Row],[Horas Planificadas]]+Planning[[#This Row],[Horas ajustadas adicionales]]-Planning[[#This Row],[Horas utilizadas]]</f>
        <v>#REF!</v>
      </c>
      <c r="L622" s="7"/>
      <c r="M622" s="19" t="e">
        <f>Planning[[#This Row],[Saldo]]-Planning[[#This Row],[Saldo estimado]]</f>
        <v>#REF!</v>
      </c>
      <c r="N622" s="60" t="e">
        <f>+SUMIFS(#REF!,#REF!,Planning[[#This Row],[Proyectos]],#REF!,Planning[[#This Row],[Tipo de Tarea y especialidad]])</f>
        <v>#REF!</v>
      </c>
      <c r="O622" s="19">
        <f t="shared" si="18"/>
        <v>10</v>
      </c>
      <c r="P622" s="19">
        <f t="shared" si="19"/>
        <v>2024</v>
      </c>
      <c r="Q622" s="19" t="e">
        <f>+SUMIFS(#REF!,#REF!,Planning[[#This Row],[Tarifa]],#REF!,Planning[[#This Row],[Proyectos]],#REF!,Planning[[#This Row],[Mes]],#REF!,Planning[[#This Row],[Año]])</f>
        <v>#REF!</v>
      </c>
      <c r="R622" s="19" t="str">
        <f>TEXT(Planning[[#This Row],[Mes]]*29,"mmmm")</f>
        <v>October</v>
      </c>
      <c r="S6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22" s="228"/>
      <c r="U622" s="43" t="e">
        <f>IF(Planning[[#This Row],[Horas Planificadas]]&lt;&gt;0,+K622/Planning[[#This Row],[Horas Planificadas]],0)</f>
        <v>#REF!</v>
      </c>
      <c r="V622" s="43" t="e">
        <f>IF(Planning[[#This Row],[Horas Planificadas]]&lt;&gt;0,Planning[[#This Row],[Horas utilizadas]]/Planning[[#This Row],[Horas Planificadas]],0)</f>
        <v>#REF!</v>
      </c>
      <c r="W622" s="44">
        <f>Planning[[#This Row],[Horas Planificadas]]+Planning[[#This Row],[Horas ajustadas adicionales]]</f>
        <v>90</v>
      </c>
      <c r="X622" s="142"/>
    </row>
    <row r="623" spans="1:24" ht="12.75" customHeight="1" x14ac:dyDescent="0.2">
      <c r="A623" s="7" t="s">
        <v>168</v>
      </c>
      <c r="B623" s="7" t="s">
        <v>169</v>
      </c>
      <c r="C623" s="3"/>
      <c r="D623" s="3" t="s">
        <v>197</v>
      </c>
      <c r="E623" s="33" t="s">
        <v>28</v>
      </c>
      <c r="F623" s="3"/>
      <c r="G623" s="7">
        <v>3599</v>
      </c>
      <c r="H623" s="24">
        <f>SUM(H624:H625)</f>
        <v>4717</v>
      </c>
      <c r="I623" s="14"/>
      <c r="J623" s="14" t="e">
        <f>SUM(J624:J625)</f>
        <v>#REF!</v>
      </c>
      <c r="K623" s="18" t="e">
        <f>SUM(K624:K625)</f>
        <v>#REF!</v>
      </c>
      <c r="L623" s="15">
        <f>SUM(L624:L625)</f>
        <v>0</v>
      </c>
      <c r="M623" s="28" t="e">
        <f>SUM(M624:M625)</f>
        <v>#REF!</v>
      </c>
      <c r="N623" s="63"/>
      <c r="O623" s="24">
        <f t="shared" si="18"/>
        <v>10</v>
      </c>
      <c r="P623" s="24">
        <f t="shared" si="19"/>
        <v>2024</v>
      </c>
      <c r="Q623" s="28" t="e">
        <f>SUM(Q624:Q625)</f>
        <v>#REF!</v>
      </c>
      <c r="R623" s="24" t="str">
        <f>TEXT(Planning[[#This Row],[Mes]]*29,"mmmm")</f>
        <v>October</v>
      </c>
      <c r="S623"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23" s="212" t="s">
        <v>198</v>
      </c>
      <c r="U623" s="43" t="e">
        <f>IF(Planning[[#This Row],[Horas Planificadas]]&lt;&gt;0,+K623/Planning[[#This Row],[Horas Planificadas]],0)</f>
        <v>#REF!</v>
      </c>
      <c r="V623" s="43" t="e">
        <f>IF(Planning[[#This Row],[Horas Planificadas]]&lt;&gt;0,Planning[[#This Row],[Horas utilizadas]]/Planning[[#This Row],[Horas Planificadas]],0)</f>
        <v>#REF!</v>
      </c>
      <c r="W623" s="44">
        <f>Planning[[#This Row],[Horas Planificadas]]+Planning[[#This Row],[Horas ajustadas adicionales]]</f>
        <v>4717</v>
      </c>
      <c r="X623" s="142"/>
    </row>
    <row r="624" spans="1:24" ht="12.75" customHeight="1" x14ac:dyDescent="0.2">
      <c r="A624" s="7" t="s">
        <v>168</v>
      </c>
      <c r="B624" s="7" t="s">
        <v>169</v>
      </c>
      <c r="C624" s="3"/>
      <c r="D624" s="3" t="s">
        <v>197</v>
      </c>
      <c r="E624" s="33"/>
      <c r="F624" s="3" t="s">
        <v>120</v>
      </c>
      <c r="G624" s="7"/>
      <c r="H624" s="7">
        <v>3486</v>
      </c>
      <c r="I624" s="12"/>
      <c r="J624" s="5" t="e">
        <f>SUM(SUMIFS(#REF!,#REF!,Planning[[#This Row],[Tipo de Tarea y especialidad]],#REF!,Planning[[#This Row],[Proyectos Reiwa]]),SUMIFS(#REF!,#REF!,Planning[[#This Row],[Tipo de Tarea y especialidad]],#REF!,Planning[[#This Row],[Proyectos]]))</f>
        <v>#REF!</v>
      </c>
      <c r="K624" s="5" t="e">
        <f>Planning[[#This Row],[Horas Planificadas]]+Planning[[#This Row],[Horas ajustadas adicionales]]-Planning[[#This Row],[Horas utilizadas]]</f>
        <v>#REF!</v>
      </c>
      <c r="L624" s="7">
        <v>0</v>
      </c>
      <c r="M624" s="19" t="e">
        <f>Planning[[#This Row],[Saldo]]-Planning[[#This Row],[Saldo estimado]]</f>
        <v>#REF!</v>
      </c>
      <c r="N624" s="64" t="e">
        <f>+SUMIFS(#REF!,#REF!,Planning[[#This Row],[Proyectos]],#REF!,Planning[[#This Row],[Tipo de Tarea y especialidad]])</f>
        <v>#REF!</v>
      </c>
      <c r="O624" s="49">
        <f t="shared" si="18"/>
        <v>10</v>
      </c>
      <c r="P624" s="49">
        <f t="shared" si="19"/>
        <v>2024</v>
      </c>
      <c r="Q6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24" s="49" t="str">
        <f>TEXT(Planning[[#This Row],[Mes]]*29,"mmmm")</f>
        <v>October</v>
      </c>
      <c r="S62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24" s="213"/>
      <c r="U624" s="43" t="e">
        <f>IF(Planning[[#This Row],[Horas Planificadas]]&lt;&gt;0,+K624/Planning[[#This Row],[Horas Planificadas]],0)</f>
        <v>#REF!</v>
      </c>
      <c r="V624" s="43" t="e">
        <f>IF(Planning[[#This Row],[Horas Planificadas]]&lt;&gt;0,Planning[[#This Row],[Horas utilizadas]]/Planning[[#This Row],[Horas Planificadas]],0)</f>
        <v>#REF!</v>
      </c>
      <c r="W624" s="44">
        <f>Planning[[#This Row],[Horas Planificadas]]+Planning[[#This Row],[Horas ajustadas adicionales]]</f>
        <v>3486</v>
      </c>
      <c r="X624" s="142"/>
    </row>
    <row r="625" spans="1:24" ht="12.75" customHeight="1" x14ac:dyDescent="0.2">
      <c r="A625" s="7" t="s">
        <v>168</v>
      </c>
      <c r="B625" s="7" t="s">
        <v>169</v>
      </c>
      <c r="C625" s="3"/>
      <c r="D625" s="3" t="s">
        <v>197</v>
      </c>
      <c r="E625" s="33"/>
      <c r="F625" s="3" t="s">
        <v>121</v>
      </c>
      <c r="G625" s="7"/>
      <c r="H625" s="7">
        <v>1231</v>
      </c>
      <c r="I625" s="12"/>
      <c r="J625" s="5" t="e">
        <f>SUM(SUMIFS(#REF!,#REF!,Planning[[#This Row],[Tipo de Tarea y especialidad]],#REF!,Planning[[#This Row],[Proyectos Reiwa]]),SUMIFS(#REF!,#REF!,Planning[[#This Row],[Tipo de Tarea y especialidad]],#REF!,Planning[[#This Row],[Proyectos]]))</f>
        <v>#REF!</v>
      </c>
      <c r="K625" s="5" t="e">
        <f>Planning[[#This Row],[Horas Planificadas]]+Planning[[#This Row],[Horas ajustadas adicionales]]-Planning[[#This Row],[Horas utilizadas]]</f>
        <v>#REF!</v>
      </c>
      <c r="L625" s="7">
        <v>0</v>
      </c>
      <c r="M625" s="19" t="e">
        <f>Planning[[#This Row],[Saldo]]-Planning[[#This Row],[Saldo estimado]]</f>
        <v>#REF!</v>
      </c>
      <c r="N625" s="64" t="e">
        <f>+SUMIFS(#REF!,#REF!,Planning[[#This Row],[Proyectos]],#REF!,Planning[[#This Row],[Tipo de Tarea y especialidad]])</f>
        <v>#REF!</v>
      </c>
      <c r="O625" s="49">
        <f t="shared" si="18"/>
        <v>10</v>
      </c>
      <c r="P625" s="49">
        <f t="shared" si="19"/>
        <v>2024</v>
      </c>
      <c r="Q6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25" s="49" t="str">
        <f>TEXT(Planning[[#This Row],[Mes]]*29,"mmmm")</f>
        <v>October</v>
      </c>
      <c r="S62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25" s="213"/>
      <c r="U625" s="43" t="e">
        <f>IF(Planning[[#This Row],[Horas Planificadas]]&lt;&gt;0,+K625/Planning[[#This Row],[Horas Planificadas]],0)</f>
        <v>#REF!</v>
      </c>
      <c r="V625" s="43" t="e">
        <f>IF(Planning[[#This Row],[Horas Planificadas]]&lt;&gt;0,Planning[[#This Row],[Horas utilizadas]]/Planning[[#This Row],[Horas Planificadas]],0)</f>
        <v>#REF!</v>
      </c>
      <c r="W625" s="44">
        <f>Planning[[#This Row],[Horas Planificadas]]+Planning[[#This Row],[Horas ajustadas adicionales]]</f>
        <v>1231</v>
      </c>
      <c r="X625" s="142"/>
    </row>
    <row r="626" spans="1:24" ht="12.75" customHeight="1" x14ac:dyDescent="0.2">
      <c r="A626" s="7" t="s">
        <v>168</v>
      </c>
      <c r="B626" s="7" t="s">
        <v>169</v>
      </c>
      <c r="C626" s="3"/>
      <c r="D626" s="3" t="s">
        <v>197</v>
      </c>
      <c r="E626" s="33" t="s">
        <v>30</v>
      </c>
      <c r="F626" s="3"/>
      <c r="G626" s="7">
        <v>3559</v>
      </c>
      <c r="H626" s="24">
        <f>SUM(H627:H633)</f>
        <v>6724</v>
      </c>
      <c r="I626" s="14"/>
      <c r="J626" s="14" t="e">
        <f>SUM(J627:J633)</f>
        <v>#REF!</v>
      </c>
      <c r="K626" s="18" t="e">
        <f>SUM(K627:K633)</f>
        <v>#REF!</v>
      </c>
      <c r="L626" s="15">
        <f>SUM(L627:L633)</f>
        <v>0</v>
      </c>
      <c r="M626" s="16" t="e">
        <f>SUM(M627:M633)</f>
        <v>#REF!</v>
      </c>
      <c r="N626" s="64"/>
      <c r="O626" s="50">
        <f t="shared" si="18"/>
        <v>10</v>
      </c>
      <c r="P626" s="50">
        <f t="shared" si="19"/>
        <v>2024</v>
      </c>
      <c r="Q626" s="16" t="e">
        <f>SUM(Q627:Q633)</f>
        <v>#REF!</v>
      </c>
      <c r="R626" s="50" t="str">
        <f>TEXT(Planning[[#This Row],[Mes]]*29,"mmmm")</f>
        <v>October</v>
      </c>
      <c r="S62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26" s="213"/>
      <c r="U626" s="43" t="e">
        <f>IF(Planning[[#This Row],[Horas Planificadas]]&lt;&gt;0,+K626/Planning[[#This Row],[Horas Planificadas]],0)</f>
        <v>#REF!</v>
      </c>
      <c r="V626" s="43" t="e">
        <f>IF(Planning[[#This Row],[Horas Planificadas]]&lt;&gt;0,Planning[[#This Row],[Horas utilizadas]]/Planning[[#This Row],[Horas Planificadas]],0)</f>
        <v>#REF!</v>
      </c>
      <c r="W626" s="44">
        <f>Planning[[#This Row],[Horas Planificadas]]+Planning[[#This Row],[Horas ajustadas adicionales]]</f>
        <v>6724</v>
      </c>
      <c r="X626" s="142"/>
    </row>
    <row r="627" spans="1:24" ht="12.75" customHeight="1" x14ac:dyDescent="0.2">
      <c r="A627" s="7" t="s">
        <v>168</v>
      </c>
      <c r="B627" s="7" t="s">
        <v>169</v>
      </c>
      <c r="C627" s="3"/>
      <c r="D627" s="3" t="s">
        <v>197</v>
      </c>
      <c r="E627" s="33"/>
      <c r="F627" s="3" t="s">
        <v>122</v>
      </c>
      <c r="G627" s="7"/>
      <c r="H627" s="7">
        <v>3580</v>
      </c>
      <c r="I627" s="12"/>
      <c r="J627" s="5" t="e">
        <f>SUM(SUMIFS(#REF!,#REF!,Planning[[#This Row],[Tipo de Tarea y especialidad]],#REF!,Planning[[#This Row],[Proyectos Reiwa]]),SUMIFS(#REF!,#REF!,Planning[[#This Row],[Tipo de Tarea y especialidad]],#REF!,Planning[[#This Row],[Proyectos]]))</f>
        <v>#REF!</v>
      </c>
      <c r="K627" s="5" t="e">
        <f>Planning[[#This Row],[Horas Planificadas]]+Planning[[#This Row],[Horas ajustadas adicionales]]-Planning[[#This Row],[Horas utilizadas]]</f>
        <v>#REF!</v>
      </c>
      <c r="L627" s="7">
        <v>0</v>
      </c>
      <c r="M627" s="19" t="e">
        <f>Planning[[#This Row],[Saldo]]-Planning[[#This Row],[Saldo estimado]]</f>
        <v>#REF!</v>
      </c>
      <c r="N627" s="64" t="e">
        <f>+SUMIFS(#REF!,#REF!,Planning[[#This Row],[Proyectos]],#REF!,Planning[[#This Row],[Tipo de Tarea y especialidad]])</f>
        <v>#REF!</v>
      </c>
      <c r="O627" s="49">
        <f t="shared" si="18"/>
        <v>10</v>
      </c>
      <c r="P627" s="49">
        <f t="shared" si="19"/>
        <v>2024</v>
      </c>
      <c r="Q6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27" s="49" t="str">
        <f>TEXT(Planning[[#This Row],[Mes]]*29,"mmmm")</f>
        <v>October</v>
      </c>
      <c r="S62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27" s="213"/>
      <c r="U627" s="43" t="e">
        <f>IF(Planning[[#This Row],[Horas Planificadas]]&lt;&gt;0,+K627/Planning[[#This Row],[Horas Planificadas]],0)</f>
        <v>#REF!</v>
      </c>
      <c r="V627" s="43" t="e">
        <f>IF(Planning[[#This Row],[Horas Planificadas]]&lt;&gt;0,Planning[[#This Row],[Horas utilizadas]]/Planning[[#This Row],[Horas Planificadas]],0)</f>
        <v>#REF!</v>
      </c>
      <c r="W627" s="44">
        <f>Planning[[#This Row],[Horas Planificadas]]+Planning[[#This Row],[Horas ajustadas adicionales]]</f>
        <v>3580</v>
      </c>
      <c r="X627" s="142"/>
    </row>
    <row r="628" spans="1:24" ht="12.75" customHeight="1" x14ac:dyDescent="0.2">
      <c r="A628" s="7" t="s">
        <v>168</v>
      </c>
      <c r="B628" s="7" t="s">
        <v>169</v>
      </c>
      <c r="C628" s="3"/>
      <c r="D628" s="3" t="s">
        <v>197</v>
      </c>
      <c r="E628" s="33"/>
      <c r="F628" s="3" t="s">
        <v>123</v>
      </c>
      <c r="G628" s="7"/>
      <c r="H628" s="7">
        <v>3135</v>
      </c>
      <c r="I628" s="12"/>
      <c r="J628" s="5" t="e">
        <f>SUM(SUMIFS(#REF!,#REF!,Planning[[#This Row],[Tipo de Tarea y especialidad]],#REF!,Planning[[#This Row],[Proyectos Reiwa]]),SUMIFS(#REF!,#REF!,Planning[[#This Row],[Tipo de Tarea y especialidad]],#REF!,Planning[[#This Row],[Proyectos]]))</f>
        <v>#REF!</v>
      </c>
      <c r="K628" s="5" t="e">
        <f>Planning[[#This Row],[Horas Planificadas]]+Planning[[#This Row],[Horas ajustadas adicionales]]-Planning[[#This Row],[Horas utilizadas]]</f>
        <v>#REF!</v>
      </c>
      <c r="L628" s="7">
        <v>0</v>
      </c>
      <c r="M628" s="19" t="e">
        <f>Planning[[#This Row],[Saldo]]-Planning[[#This Row],[Saldo estimado]]</f>
        <v>#REF!</v>
      </c>
      <c r="N628" s="64" t="e">
        <f>+SUMIFS(#REF!,#REF!,Planning[[#This Row],[Proyectos]],#REF!,Planning[[#This Row],[Tipo de Tarea y especialidad]])</f>
        <v>#REF!</v>
      </c>
      <c r="O628" s="49">
        <f t="shared" si="18"/>
        <v>10</v>
      </c>
      <c r="P628" s="49">
        <f t="shared" si="19"/>
        <v>2024</v>
      </c>
      <c r="Q6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28" s="49" t="str">
        <f>TEXT(Planning[[#This Row],[Mes]]*29,"mmmm")</f>
        <v>October</v>
      </c>
      <c r="S62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28" s="213"/>
      <c r="U628" s="43" t="e">
        <f>IF(Planning[[#This Row],[Horas Planificadas]]&lt;&gt;0,+K628/Planning[[#This Row],[Horas Planificadas]],0)</f>
        <v>#REF!</v>
      </c>
      <c r="V628" s="43" t="e">
        <f>IF(Planning[[#This Row],[Horas Planificadas]]&lt;&gt;0,Planning[[#This Row],[Horas utilizadas]]/Planning[[#This Row],[Horas Planificadas]],0)</f>
        <v>#REF!</v>
      </c>
      <c r="W628" s="44">
        <f>Planning[[#This Row],[Horas Planificadas]]+Planning[[#This Row],[Horas ajustadas adicionales]]</f>
        <v>3135</v>
      </c>
      <c r="X628" s="142"/>
    </row>
    <row r="629" spans="1:24" ht="12.75" customHeight="1" x14ac:dyDescent="0.2">
      <c r="A629" s="7" t="s">
        <v>168</v>
      </c>
      <c r="B629" s="7" t="s">
        <v>169</v>
      </c>
      <c r="C629" s="3"/>
      <c r="D629" s="3" t="s">
        <v>197</v>
      </c>
      <c r="E629" s="33"/>
      <c r="F629" s="3" t="s">
        <v>124</v>
      </c>
      <c r="G629" s="7"/>
      <c r="H629" s="7">
        <v>9</v>
      </c>
      <c r="I629" s="12"/>
      <c r="J629" s="5" t="e">
        <f>SUM(SUMIFS(#REF!,#REF!,Planning[[#This Row],[Tipo de Tarea y especialidad]],#REF!,Planning[[#This Row],[Proyectos Reiwa]]),SUMIFS(#REF!,#REF!,Planning[[#This Row],[Tipo de Tarea y especialidad]],#REF!,Planning[[#This Row],[Proyectos]]))</f>
        <v>#REF!</v>
      </c>
      <c r="K629" s="5" t="e">
        <f>Planning[[#This Row],[Horas Planificadas]]+Planning[[#This Row],[Horas ajustadas adicionales]]-Planning[[#This Row],[Horas utilizadas]]</f>
        <v>#REF!</v>
      </c>
      <c r="L629" s="7">
        <v>0</v>
      </c>
      <c r="M629" s="19" t="e">
        <f>Planning[[#This Row],[Saldo]]-Planning[[#This Row],[Saldo estimado]]</f>
        <v>#REF!</v>
      </c>
      <c r="N629" s="64" t="e">
        <f>+SUMIFS(#REF!,#REF!,Planning[[#This Row],[Proyectos]],#REF!,Planning[[#This Row],[Tipo de Tarea y especialidad]])</f>
        <v>#REF!</v>
      </c>
      <c r="O629" s="49">
        <f t="shared" si="18"/>
        <v>10</v>
      </c>
      <c r="P629" s="49">
        <f t="shared" si="19"/>
        <v>2024</v>
      </c>
      <c r="Q6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29" s="49" t="str">
        <f>TEXT(Planning[[#This Row],[Mes]]*29,"mmmm")</f>
        <v>October</v>
      </c>
      <c r="S62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29" s="213"/>
      <c r="U629" s="43" t="e">
        <f>IF(Planning[[#This Row],[Horas Planificadas]]&lt;&gt;0,+K629/Planning[[#This Row],[Horas Planificadas]],0)</f>
        <v>#REF!</v>
      </c>
      <c r="V629" s="43" t="e">
        <f>IF(Planning[[#This Row],[Horas Planificadas]]&lt;&gt;0,Planning[[#This Row],[Horas utilizadas]]/Planning[[#This Row],[Horas Planificadas]],0)</f>
        <v>#REF!</v>
      </c>
      <c r="W629" s="44">
        <f>Planning[[#This Row],[Horas Planificadas]]+Planning[[#This Row],[Horas ajustadas adicionales]]</f>
        <v>9</v>
      </c>
      <c r="X629" s="142"/>
    </row>
    <row r="630" spans="1:24" ht="12.75" customHeight="1" x14ac:dyDescent="0.2">
      <c r="A630" s="7" t="s">
        <v>168</v>
      </c>
      <c r="B630" s="7" t="s">
        <v>169</v>
      </c>
      <c r="C630" s="3"/>
      <c r="D630" s="3" t="s">
        <v>197</v>
      </c>
      <c r="E630" s="33"/>
      <c r="F630" s="3" t="s">
        <v>125</v>
      </c>
      <c r="G630" s="7"/>
      <c r="H630" s="7"/>
      <c r="I630" s="12"/>
      <c r="J630" s="5" t="e">
        <f>SUM(SUMIFS(#REF!,#REF!,Planning[[#This Row],[Tipo de Tarea y especialidad]],#REF!,Planning[[#This Row],[Proyectos Reiwa]]),SUMIFS(#REF!,#REF!,Planning[[#This Row],[Tipo de Tarea y especialidad]],#REF!,Planning[[#This Row],[Proyectos]]))</f>
        <v>#REF!</v>
      </c>
      <c r="K630" s="5" t="e">
        <f>Planning[[#This Row],[Horas Planificadas]]+Planning[[#This Row],[Horas ajustadas adicionales]]-Planning[[#This Row],[Horas utilizadas]]</f>
        <v>#REF!</v>
      </c>
      <c r="L630" s="7">
        <v>0</v>
      </c>
      <c r="M630" s="19" t="e">
        <f>Planning[[#This Row],[Saldo]]-Planning[[#This Row],[Saldo estimado]]</f>
        <v>#REF!</v>
      </c>
      <c r="N630" s="64" t="e">
        <f>+SUMIFS(#REF!,#REF!,Planning[[#This Row],[Proyectos]],#REF!,Planning[[#This Row],[Tipo de Tarea y especialidad]])</f>
        <v>#REF!</v>
      </c>
      <c r="O630" s="49">
        <f t="shared" si="18"/>
        <v>10</v>
      </c>
      <c r="P630" s="49">
        <f t="shared" si="19"/>
        <v>2024</v>
      </c>
      <c r="Q6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30" s="49" t="str">
        <f>TEXT(Planning[[#This Row],[Mes]]*29,"mmmm")</f>
        <v>October</v>
      </c>
      <c r="S63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30" s="213"/>
      <c r="U630" s="43">
        <f>IF(Planning[[#This Row],[Horas Planificadas]]&lt;&gt;0,+K630/Planning[[#This Row],[Horas Planificadas]],0)</f>
        <v>0</v>
      </c>
      <c r="V630" s="43">
        <f>IF(Planning[[#This Row],[Horas Planificadas]]&lt;&gt;0,Planning[[#This Row],[Horas utilizadas]]/Planning[[#This Row],[Horas Planificadas]],0)</f>
        <v>0</v>
      </c>
      <c r="W630" s="44">
        <f>Planning[[#This Row],[Horas Planificadas]]+Planning[[#This Row],[Horas ajustadas adicionales]]</f>
        <v>0</v>
      </c>
      <c r="X630" s="142"/>
    </row>
    <row r="631" spans="1:24" ht="12.75" customHeight="1" x14ac:dyDescent="0.2">
      <c r="A631" s="7" t="s">
        <v>168</v>
      </c>
      <c r="B631" s="7" t="s">
        <v>169</v>
      </c>
      <c r="C631" s="3"/>
      <c r="D631" s="3" t="s">
        <v>197</v>
      </c>
      <c r="E631" s="33"/>
      <c r="F631" s="3" t="s">
        <v>126</v>
      </c>
      <c r="G631" s="7"/>
      <c r="H631" s="7"/>
      <c r="I631" s="12"/>
      <c r="J631" s="5" t="e">
        <f>SUM(SUMIFS(#REF!,#REF!,Planning[[#This Row],[Tipo de Tarea y especialidad]],#REF!,Planning[[#This Row],[Proyectos Reiwa]]),SUMIFS(#REF!,#REF!,Planning[[#This Row],[Tipo de Tarea y especialidad]],#REF!,Planning[[#This Row],[Proyectos]]))</f>
        <v>#REF!</v>
      </c>
      <c r="K631" s="5" t="e">
        <f>Planning[[#This Row],[Horas Planificadas]]+Planning[[#This Row],[Horas ajustadas adicionales]]-Planning[[#This Row],[Horas utilizadas]]</f>
        <v>#REF!</v>
      </c>
      <c r="L631" s="7">
        <v>0</v>
      </c>
      <c r="M631" s="19" t="e">
        <f>Planning[[#This Row],[Saldo]]-Planning[[#This Row],[Saldo estimado]]</f>
        <v>#REF!</v>
      </c>
      <c r="N631" s="64" t="e">
        <f>+SUMIFS(#REF!,#REF!,Planning[[#This Row],[Proyectos]],#REF!,Planning[[#This Row],[Tipo de Tarea y especialidad]])</f>
        <v>#REF!</v>
      </c>
      <c r="O631" s="49">
        <f t="shared" si="18"/>
        <v>10</v>
      </c>
      <c r="P631" s="49">
        <f t="shared" si="19"/>
        <v>2024</v>
      </c>
      <c r="Q6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31" s="49" t="str">
        <f>TEXT(Planning[[#This Row],[Mes]]*29,"mmmm")</f>
        <v>October</v>
      </c>
      <c r="S63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31" s="213"/>
      <c r="U631" s="43">
        <f>IF(Planning[[#This Row],[Horas Planificadas]]&lt;&gt;0,+K631/Planning[[#This Row],[Horas Planificadas]],0)</f>
        <v>0</v>
      </c>
      <c r="V631" s="43">
        <f>IF(Planning[[#This Row],[Horas Planificadas]]&lt;&gt;0,Planning[[#This Row],[Horas utilizadas]]/Planning[[#This Row],[Horas Planificadas]],0)</f>
        <v>0</v>
      </c>
      <c r="W631" s="44">
        <f>Planning[[#This Row],[Horas Planificadas]]+Planning[[#This Row],[Horas ajustadas adicionales]]</f>
        <v>0</v>
      </c>
      <c r="X631" s="142"/>
    </row>
    <row r="632" spans="1:24" ht="12.75" customHeight="1" x14ac:dyDescent="0.2">
      <c r="A632" s="7" t="s">
        <v>168</v>
      </c>
      <c r="B632" s="7" t="s">
        <v>169</v>
      </c>
      <c r="C632" s="3"/>
      <c r="D632" s="3" t="s">
        <v>197</v>
      </c>
      <c r="E632" s="33"/>
      <c r="F632" s="3" t="s">
        <v>127</v>
      </c>
      <c r="G632" s="7"/>
      <c r="H632" s="7"/>
      <c r="I632" s="12"/>
      <c r="J632" s="5" t="e">
        <f>SUM(SUMIFS(#REF!,#REF!,Planning[[#This Row],[Tipo de Tarea y especialidad]],#REF!,Planning[[#This Row],[Proyectos Reiwa]]),SUMIFS(#REF!,#REF!,Planning[[#This Row],[Tipo de Tarea y especialidad]],#REF!,Planning[[#This Row],[Proyectos]]))</f>
        <v>#REF!</v>
      </c>
      <c r="K632" s="5" t="e">
        <f>Planning[[#This Row],[Horas Planificadas]]+Planning[[#This Row],[Horas ajustadas adicionales]]-Planning[[#This Row],[Horas utilizadas]]</f>
        <v>#REF!</v>
      </c>
      <c r="L632" s="7">
        <v>0</v>
      </c>
      <c r="M632" s="19" t="e">
        <f>Planning[[#This Row],[Saldo]]-Planning[[#This Row],[Saldo estimado]]</f>
        <v>#REF!</v>
      </c>
      <c r="N632" s="64" t="e">
        <f>+SUMIFS(#REF!,#REF!,Planning[[#This Row],[Proyectos]],#REF!,Planning[[#This Row],[Tipo de Tarea y especialidad]])</f>
        <v>#REF!</v>
      </c>
      <c r="O632" s="49">
        <f t="shared" si="18"/>
        <v>10</v>
      </c>
      <c r="P632" s="49">
        <f t="shared" si="19"/>
        <v>2024</v>
      </c>
      <c r="Q6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32" s="49" t="str">
        <f>TEXT(Planning[[#This Row],[Mes]]*29,"mmmm")</f>
        <v>October</v>
      </c>
      <c r="S63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32" s="213"/>
      <c r="U632" s="43">
        <f>IF(Planning[[#This Row],[Horas Planificadas]]&lt;&gt;0,+K632/Planning[[#This Row],[Horas Planificadas]],0)</f>
        <v>0</v>
      </c>
      <c r="V632" s="43">
        <f>IF(Planning[[#This Row],[Horas Planificadas]]&lt;&gt;0,Planning[[#This Row],[Horas utilizadas]]/Planning[[#This Row],[Horas Planificadas]],0)</f>
        <v>0</v>
      </c>
      <c r="W632" s="44">
        <f>Planning[[#This Row],[Horas Planificadas]]+Planning[[#This Row],[Horas ajustadas adicionales]]</f>
        <v>0</v>
      </c>
      <c r="X632" s="142"/>
    </row>
    <row r="633" spans="1:24" ht="12.75" customHeight="1" x14ac:dyDescent="0.2">
      <c r="A633" s="7" t="s">
        <v>168</v>
      </c>
      <c r="B633" s="7" t="s">
        <v>169</v>
      </c>
      <c r="C633" s="3"/>
      <c r="D633" s="3" t="s">
        <v>197</v>
      </c>
      <c r="E633" s="33"/>
      <c r="F633" s="3" t="s">
        <v>128</v>
      </c>
      <c r="G633" s="7"/>
      <c r="H633" s="7"/>
      <c r="I633" s="12"/>
      <c r="J633" s="5" t="e">
        <f>SUM(SUMIFS(#REF!,#REF!,Planning[[#This Row],[Tipo de Tarea y especialidad]],#REF!,Planning[[#This Row],[Proyectos Reiwa]]),SUMIFS(#REF!,#REF!,Planning[[#This Row],[Tipo de Tarea y especialidad]],#REF!,Planning[[#This Row],[Proyectos]]))</f>
        <v>#REF!</v>
      </c>
      <c r="K633" s="5" t="e">
        <f>Planning[[#This Row],[Horas Planificadas]]+Planning[[#This Row],[Horas ajustadas adicionales]]-Planning[[#This Row],[Horas utilizadas]]</f>
        <v>#REF!</v>
      </c>
      <c r="L633" s="7">
        <v>0</v>
      </c>
      <c r="M633" s="19" t="e">
        <f>Planning[[#This Row],[Saldo]]-Planning[[#This Row],[Saldo estimado]]</f>
        <v>#REF!</v>
      </c>
      <c r="N633" s="64" t="e">
        <f>+SUMIFS(#REF!,#REF!,Planning[[#This Row],[Proyectos]],#REF!,Planning[[#This Row],[Tipo de Tarea y especialidad]])</f>
        <v>#REF!</v>
      </c>
      <c r="O633" s="49">
        <f t="shared" si="18"/>
        <v>10</v>
      </c>
      <c r="P633" s="49">
        <f t="shared" si="19"/>
        <v>2024</v>
      </c>
      <c r="Q6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33" s="49" t="str">
        <f>TEXT(Planning[[#This Row],[Mes]]*29,"mmmm")</f>
        <v>October</v>
      </c>
      <c r="S63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33" s="213"/>
      <c r="U633" s="43">
        <f>IF(Planning[[#This Row],[Horas Planificadas]]&lt;&gt;0,+K633/Planning[[#This Row],[Horas Planificadas]],0)</f>
        <v>0</v>
      </c>
      <c r="V633" s="43">
        <f>IF(Planning[[#This Row],[Horas Planificadas]]&lt;&gt;0,Planning[[#This Row],[Horas utilizadas]]/Planning[[#This Row],[Horas Planificadas]],0)</f>
        <v>0</v>
      </c>
      <c r="W633" s="44">
        <f>Planning[[#This Row],[Horas Planificadas]]+Planning[[#This Row],[Horas ajustadas adicionales]]</f>
        <v>0</v>
      </c>
      <c r="X633" s="142"/>
    </row>
    <row r="634" spans="1:24" ht="12.75" customHeight="1" x14ac:dyDescent="0.2">
      <c r="A634" s="7" t="s">
        <v>168</v>
      </c>
      <c r="B634" s="7" t="s">
        <v>169</v>
      </c>
      <c r="C634" s="3"/>
      <c r="D634" s="3" t="s">
        <v>197</v>
      </c>
      <c r="E634" s="33" t="s">
        <v>31</v>
      </c>
      <c r="F634" s="3" t="s">
        <v>31</v>
      </c>
      <c r="G634" s="7">
        <v>786</v>
      </c>
      <c r="H634" s="15">
        <v>786</v>
      </c>
      <c r="I634" s="18"/>
      <c r="J634" s="14" t="e">
        <f>+SUMIFS(#REF!,#REF!,Planning[[#This Row],[Tarifa]],#REF!,Planning[[#This Row],[Proyectos]])</f>
        <v>#REF!</v>
      </c>
      <c r="K634" s="14" t="e">
        <f>Planning[[#This Row],[Horas Planificadas]]+Planning[[#This Row],[Horas ajustadas adicionales]]-Planning[[#This Row],[Horas utilizadas]]</f>
        <v>#REF!</v>
      </c>
      <c r="L634" s="15"/>
      <c r="M634" s="16" t="e">
        <f>Planning[[#This Row],[Saldo]]-Planning[[#This Row],[Saldo estimado]]</f>
        <v>#REF!</v>
      </c>
      <c r="N634" s="64"/>
      <c r="O634" s="50">
        <f t="shared" si="18"/>
        <v>10</v>
      </c>
      <c r="P634" s="50">
        <f t="shared" si="19"/>
        <v>2024</v>
      </c>
      <c r="Q634" s="16" t="e">
        <f>+SUMIFS(#REF!,#REF!,Planning[[#This Row],[Tarifa]],#REF!,Planning[[#This Row],[Proyectos]],#REF!,Planning[[#This Row],[Mes]],#REF!,Planning[[#This Row],[Año]])</f>
        <v>#REF!</v>
      </c>
      <c r="R634" s="50" t="str">
        <f>TEXT(Planning[[#This Row],[Mes]]*29,"mmmm")</f>
        <v>October</v>
      </c>
      <c r="S63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34" s="213"/>
      <c r="U634" s="43" t="e">
        <f>IF(Planning[[#This Row],[Horas Planificadas]]&lt;&gt;0,+K634/Planning[[#This Row],[Horas Planificadas]],0)</f>
        <v>#REF!</v>
      </c>
      <c r="V634" s="43" t="e">
        <f>IF(Planning[[#This Row],[Horas Planificadas]]&lt;&gt;0,Planning[[#This Row],[Horas utilizadas]]/Planning[[#This Row],[Horas Planificadas]],0)</f>
        <v>#REF!</v>
      </c>
      <c r="W634" s="44">
        <f>Planning[[#This Row],[Horas Planificadas]]+Planning[[#This Row],[Horas ajustadas adicionales]]</f>
        <v>786</v>
      </c>
      <c r="X634" s="142"/>
    </row>
    <row r="635" spans="1:24" ht="12.75" customHeight="1" x14ac:dyDescent="0.2">
      <c r="A635" s="7" t="s">
        <v>168</v>
      </c>
      <c r="B635" s="7" t="s">
        <v>169</v>
      </c>
      <c r="C635" s="3"/>
      <c r="D635" s="3" t="s">
        <v>197</v>
      </c>
      <c r="E635" s="33" t="s">
        <v>32</v>
      </c>
      <c r="F635" s="3"/>
      <c r="G635" s="7">
        <v>1613</v>
      </c>
      <c r="H635" s="24">
        <f>SUM(H636:H638)</f>
        <v>1992</v>
      </c>
      <c r="I635" s="14"/>
      <c r="J635" s="14" t="e">
        <f>SUM(J636:J638)</f>
        <v>#REF!</v>
      </c>
      <c r="K635" s="18" t="e">
        <f>SUM(K636:K638)</f>
        <v>#REF!</v>
      </c>
      <c r="L635" s="15">
        <f>SUM(L636:L638)</f>
        <v>0</v>
      </c>
      <c r="M635" s="16" t="e">
        <f>SUM(M636:M638)</f>
        <v>#REF!</v>
      </c>
      <c r="N635" s="64"/>
      <c r="O635" s="50">
        <f t="shared" si="18"/>
        <v>10</v>
      </c>
      <c r="P635" s="50">
        <f t="shared" si="19"/>
        <v>2024</v>
      </c>
      <c r="Q635" s="16" t="e">
        <f>SUM(Q636:Q638)</f>
        <v>#REF!</v>
      </c>
      <c r="R635" s="50" t="str">
        <f>TEXT(Planning[[#This Row],[Mes]]*29,"mmmm")</f>
        <v>October</v>
      </c>
      <c r="S63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35" s="213"/>
      <c r="U635" s="43" t="e">
        <f>IF(Planning[[#This Row],[Horas Planificadas]]&lt;&gt;0,+K635/Planning[[#This Row],[Horas Planificadas]],0)</f>
        <v>#REF!</v>
      </c>
      <c r="V635" s="43" t="e">
        <f>IF(Planning[[#This Row],[Horas Planificadas]]&lt;&gt;0,Planning[[#This Row],[Horas utilizadas]]/Planning[[#This Row],[Horas Planificadas]],0)</f>
        <v>#REF!</v>
      </c>
      <c r="W635" s="44">
        <f>Planning[[#This Row],[Horas Planificadas]]+Planning[[#This Row],[Horas ajustadas adicionales]]</f>
        <v>1992</v>
      </c>
      <c r="X635" s="142"/>
    </row>
    <row r="636" spans="1:24" ht="12.75" customHeight="1" x14ac:dyDescent="0.2">
      <c r="A636" s="7" t="s">
        <v>168</v>
      </c>
      <c r="B636" s="7" t="s">
        <v>169</v>
      </c>
      <c r="C636" s="3"/>
      <c r="D636" s="3" t="s">
        <v>197</v>
      </c>
      <c r="E636" s="33"/>
      <c r="F636" s="3" t="s">
        <v>129</v>
      </c>
      <c r="G636" s="7"/>
      <c r="H636" s="7">
        <v>944</v>
      </c>
      <c r="I636" s="12"/>
      <c r="J636" s="5" t="e">
        <f>SUM(SUMIFS(#REF!,#REF!,Planning[[#This Row],[Tipo de Tarea y especialidad]],#REF!,Planning[[#This Row],[Proyectos Reiwa]]),SUMIFS(#REF!,#REF!,Planning[[#This Row],[Tipo de Tarea y especialidad]],#REF!,Planning[[#This Row],[Proyectos]]))</f>
        <v>#REF!</v>
      </c>
      <c r="K636" s="5" t="e">
        <f>Planning[[#This Row],[Horas Planificadas]]+Planning[[#This Row],[Horas ajustadas adicionales]]-Planning[[#This Row],[Horas utilizadas]]</f>
        <v>#REF!</v>
      </c>
      <c r="L636" s="7">
        <v>0</v>
      </c>
      <c r="M636" s="19" t="e">
        <f>Planning[[#This Row],[Saldo]]-Planning[[#This Row],[Saldo estimado]]</f>
        <v>#REF!</v>
      </c>
      <c r="N636" s="64" t="e">
        <f>+SUMIFS(#REF!,#REF!,Planning[[#This Row],[Proyectos]],#REF!,Planning[[#This Row],[Tipo de Tarea y especialidad]])</f>
        <v>#REF!</v>
      </c>
      <c r="O636" s="49">
        <f t="shared" si="18"/>
        <v>10</v>
      </c>
      <c r="P636" s="49">
        <f t="shared" si="19"/>
        <v>2024</v>
      </c>
      <c r="Q6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36" s="49" t="str">
        <f>TEXT(Planning[[#This Row],[Mes]]*29,"mmmm")</f>
        <v>October</v>
      </c>
      <c r="S63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36" s="213"/>
      <c r="U636" s="43" t="e">
        <f>IF(Planning[[#This Row],[Horas Planificadas]]&lt;&gt;0,+K636/Planning[[#This Row],[Horas Planificadas]],0)</f>
        <v>#REF!</v>
      </c>
      <c r="V636" s="43" t="e">
        <f>IF(Planning[[#This Row],[Horas Planificadas]]&lt;&gt;0,Planning[[#This Row],[Horas utilizadas]]/Planning[[#This Row],[Horas Planificadas]],0)</f>
        <v>#REF!</v>
      </c>
      <c r="W636" s="44">
        <f>Planning[[#This Row],[Horas Planificadas]]+Planning[[#This Row],[Horas ajustadas adicionales]]</f>
        <v>944</v>
      </c>
      <c r="X636" s="142"/>
    </row>
    <row r="637" spans="1:24" ht="12.75" customHeight="1" x14ac:dyDescent="0.2">
      <c r="A637" s="7" t="s">
        <v>168</v>
      </c>
      <c r="B637" s="7" t="s">
        <v>169</v>
      </c>
      <c r="C637" s="3"/>
      <c r="D637" s="3" t="s">
        <v>197</v>
      </c>
      <c r="E637" s="33"/>
      <c r="F637" s="3" t="s">
        <v>130</v>
      </c>
      <c r="G637" s="7"/>
      <c r="H637" s="7">
        <v>1048</v>
      </c>
      <c r="I637" s="12"/>
      <c r="J637" s="5" t="e">
        <f>SUM(SUMIFS(#REF!,#REF!,Planning[[#This Row],[Tipo de Tarea y especialidad]],#REF!,Planning[[#This Row],[Proyectos Reiwa]]),SUMIFS(#REF!,#REF!,Planning[[#This Row],[Tipo de Tarea y especialidad]],#REF!,Planning[[#This Row],[Proyectos]]))</f>
        <v>#REF!</v>
      </c>
      <c r="K637" s="5" t="e">
        <f>Planning[[#This Row],[Horas Planificadas]]+Planning[[#This Row],[Horas ajustadas adicionales]]-Planning[[#This Row],[Horas utilizadas]]</f>
        <v>#REF!</v>
      </c>
      <c r="L637" s="7">
        <v>0</v>
      </c>
      <c r="M637" s="19" t="e">
        <f>Planning[[#This Row],[Saldo]]-Planning[[#This Row],[Saldo estimado]]</f>
        <v>#REF!</v>
      </c>
      <c r="N637" s="64" t="e">
        <f>+SUMIFS(#REF!,#REF!,Planning[[#This Row],[Proyectos]],#REF!,Planning[[#This Row],[Tipo de Tarea y especialidad]])</f>
        <v>#REF!</v>
      </c>
      <c r="O637" s="49">
        <f t="shared" si="18"/>
        <v>10</v>
      </c>
      <c r="P637" s="49">
        <f t="shared" si="19"/>
        <v>2024</v>
      </c>
      <c r="Q6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37" s="49" t="str">
        <f>TEXT(Planning[[#This Row],[Mes]]*29,"mmmm")</f>
        <v>October</v>
      </c>
      <c r="S63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37" s="213"/>
      <c r="U637" s="43" t="e">
        <f>IF(Planning[[#This Row],[Horas Planificadas]]&lt;&gt;0,+K637/Planning[[#This Row],[Horas Planificadas]],0)</f>
        <v>#REF!</v>
      </c>
      <c r="V637" s="43" t="e">
        <f>IF(Planning[[#This Row],[Horas Planificadas]]&lt;&gt;0,Planning[[#This Row],[Horas utilizadas]]/Planning[[#This Row],[Horas Planificadas]],0)</f>
        <v>#REF!</v>
      </c>
      <c r="W637" s="44">
        <f>Planning[[#This Row],[Horas Planificadas]]+Planning[[#This Row],[Horas ajustadas adicionales]]</f>
        <v>1048</v>
      </c>
      <c r="X637" s="142"/>
    </row>
    <row r="638" spans="1:24" ht="12.75" customHeight="1" x14ac:dyDescent="0.2">
      <c r="A638" s="7" t="s">
        <v>168</v>
      </c>
      <c r="B638" s="7" t="s">
        <v>169</v>
      </c>
      <c r="C638" s="3"/>
      <c r="D638" s="3" t="s">
        <v>197</v>
      </c>
      <c r="E638" s="33"/>
      <c r="F638" s="3" t="s">
        <v>131</v>
      </c>
      <c r="G638" s="7"/>
      <c r="H638" s="7"/>
      <c r="I638" s="12"/>
      <c r="J638" s="5" t="e">
        <f>SUM(SUMIFS(#REF!,#REF!,Planning[[#This Row],[Tipo de Tarea y especialidad]],#REF!,Planning[[#This Row],[Proyectos Reiwa]]),SUMIFS(#REF!,#REF!,Planning[[#This Row],[Tipo de Tarea y especialidad]],#REF!,Planning[[#This Row],[Proyectos]]))</f>
        <v>#REF!</v>
      </c>
      <c r="K638" s="5" t="e">
        <f>Planning[[#This Row],[Horas Planificadas]]+Planning[[#This Row],[Horas ajustadas adicionales]]-Planning[[#This Row],[Horas utilizadas]]</f>
        <v>#REF!</v>
      </c>
      <c r="L638" s="7">
        <v>0</v>
      </c>
      <c r="M638" s="19" t="e">
        <f>Planning[[#This Row],[Saldo]]-Planning[[#This Row],[Saldo estimado]]</f>
        <v>#REF!</v>
      </c>
      <c r="N638" s="65" t="e">
        <f>+SUMIFS(#REF!,#REF!,Planning[[#This Row],[Proyectos]],#REF!,Planning[[#This Row],[Tipo de Tarea y especialidad]])</f>
        <v>#REF!</v>
      </c>
      <c r="O638" s="51">
        <f t="shared" si="18"/>
        <v>10</v>
      </c>
      <c r="P638" s="51">
        <f t="shared" si="19"/>
        <v>2024</v>
      </c>
      <c r="Q6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38" s="51" t="str">
        <f>TEXT(Planning[[#This Row],[Mes]]*29,"mmmm")</f>
        <v>October</v>
      </c>
      <c r="S638"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38" s="214"/>
      <c r="U638" s="43">
        <f>IF(Planning[[#This Row],[Horas Planificadas]]&lt;&gt;0,+K638/Planning[[#This Row],[Horas Planificadas]],0)</f>
        <v>0</v>
      </c>
      <c r="V638" s="43">
        <f>IF(Planning[[#This Row],[Horas Planificadas]]&lt;&gt;0,Planning[[#This Row],[Horas utilizadas]]/Planning[[#This Row],[Horas Planificadas]],0)</f>
        <v>0</v>
      </c>
      <c r="W638" s="44">
        <f>Planning[[#This Row],[Horas Planificadas]]+Planning[[#This Row],[Horas ajustadas adicionales]]</f>
        <v>0</v>
      </c>
      <c r="X638" s="142"/>
    </row>
    <row r="639" spans="1:24" ht="12.75" customHeight="1" x14ac:dyDescent="0.2">
      <c r="A639" s="7"/>
      <c r="B639" s="7"/>
      <c r="C639" s="3"/>
      <c r="D639" s="3" t="s">
        <v>199</v>
      </c>
      <c r="E639" s="33" t="s">
        <v>28</v>
      </c>
      <c r="F639" s="3"/>
      <c r="G639" s="7"/>
      <c r="H639" s="7">
        <v>80</v>
      </c>
      <c r="I639" s="12"/>
      <c r="J639" s="5" t="e">
        <f>+SUMIFS(#REF!,#REF!,Planning[[#This Row],[Tarifa]],#REF!,Planning[[#This Row],[Proyectos]])</f>
        <v>#REF!</v>
      </c>
      <c r="K639" s="5" t="e">
        <f>Planning[[#This Row],[Horas Planificadas]]+Planning[[#This Row],[Horas ajustadas adicionales]]-Planning[[#This Row],[Horas utilizadas]]</f>
        <v>#REF!</v>
      </c>
      <c r="L639" s="7"/>
      <c r="M639" s="19" t="e">
        <f>Planning[[#This Row],[Saldo]]-Planning[[#This Row],[Saldo estimado]]</f>
        <v>#REF!</v>
      </c>
      <c r="N639" s="60" t="e">
        <f>+SUMIFS(#REF!,#REF!,Planning[[#This Row],[Proyectos]],#REF!,Planning[[#This Row],[Tipo de Tarea y especialidad]])</f>
        <v>#REF!</v>
      </c>
      <c r="O639" s="19">
        <f t="shared" si="18"/>
        <v>10</v>
      </c>
      <c r="P639" s="19">
        <f t="shared" si="19"/>
        <v>2024</v>
      </c>
      <c r="Q639" s="19" t="e">
        <f>+SUMIFS(#REF!,#REF!,Planning[[#This Row],[Tarifa]],#REF!,Planning[[#This Row],[Proyectos]],#REF!,Planning[[#This Row],[Mes]],#REF!,Planning[[#This Row],[Año]])</f>
        <v>#REF!</v>
      </c>
      <c r="R639" s="19" t="str">
        <f>TEXT(Planning[[#This Row],[Mes]]*29,"mmmm")</f>
        <v>October</v>
      </c>
      <c r="S6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39" s="228"/>
      <c r="U639" s="43" t="e">
        <f>IF(Planning[[#This Row],[Horas Planificadas]]&lt;&gt;0,+K639/Planning[[#This Row],[Horas Planificadas]],0)</f>
        <v>#REF!</v>
      </c>
      <c r="V639" s="43" t="e">
        <f>IF(Planning[[#This Row],[Horas Planificadas]]&lt;&gt;0,Planning[[#This Row],[Horas utilizadas]]/Planning[[#This Row],[Horas Planificadas]],0)</f>
        <v>#REF!</v>
      </c>
      <c r="W639" s="44">
        <f>Planning[[#This Row],[Horas Planificadas]]+Planning[[#This Row],[Horas ajustadas adicionales]]</f>
        <v>80</v>
      </c>
      <c r="X639" s="142"/>
    </row>
    <row r="640" spans="1:24" ht="12.75" customHeight="1" x14ac:dyDescent="0.2">
      <c r="A640" s="7"/>
      <c r="B640" s="7"/>
      <c r="C640" s="3"/>
      <c r="D640" s="3" t="s">
        <v>199</v>
      </c>
      <c r="E640" s="33" t="s">
        <v>30</v>
      </c>
      <c r="F640" s="3"/>
      <c r="G640" s="7"/>
      <c r="H640" s="7">
        <v>160</v>
      </c>
      <c r="I640" s="12"/>
      <c r="J640" s="5" t="e">
        <f>+SUMIFS(#REF!,#REF!,Planning[[#This Row],[Tarifa]],#REF!,Planning[[#This Row],[Proyectos]])</f>
        <v>#REF!</v>
      </c>
      <c r="K640" s="5" t="e">
        <f>Planning[[#This Row],[Horas Planificadas]]+Planning[[#This Row],[Horas ajustadas adicionales]]-Planning[[#This Row],[Horas utilizadas]]</f>
        <v>#REF!</v>
      </c>
      <c r="L640" s="7"/>
      <c r="M640" s="19" t="e">
        <f>Planning[[#This Row],[Saldo]]-Planning[[#This Row],[Saldo estimado]]</f>
        <v>#REF!</v>
      </c>
      <c r="N640" s="60" t="e">
        <f>+SUMIFS(#REF!,#REF!,Planning[[#This Row],[Proyectos]],#REF!,Planning[[#This Row],[Tipo de Tarea y especialidad]])</f>
        <v>#REF!</v>
      </c>
      <c r="O640" s="19">
        <f t="shared" si="18"/>
        <v>10</v>
      </c>
      <c r="P640" s="19">
        <f t="shared" si="19"/>
        <v>2024</v>
      </c>
      <c r="Q640" s="19" t="e">
        <f>+SUMIFS(#REF!,#REF!,Planning[[#This Row],[Tarifa]],#REF!,Planning[[#This Row],[Proyectos]],#REF!,Planning[[#This Row],[Mes]],#REF!,Planning[[#This Row],[Año]])</f>
        <v>#REF!</v>
      </c>
      <c r="R640" s="19" t="str">
        <f>TEXT(Planning[[#This Row],[Mes]]*29,"mmmm")</f>
        <v>October</v>
      </c>
      <c r="S6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40" s="228"/>
      <c r="U640" s="43" t="e">
        <f>IF(Planning[[#This Row],[Horas Planificadas]]&lt;&gt;0,+K640/Planning[[#This Row],[Horas Planificadas]],0)</f>
        <v>#REF!</v>
      </c>
      <c r="V640" s="43" t="e">
        <f>IF(Planning[[#This Row],[Horas Planificadas]]&lt;&gt;0,Planning[[#This Row],[Horas utilizadas]]/Planning[[#This Row],[Horas Planificadas]],0)</f>
        <v>#REF!</v>
      </c>
      <c r="W640" s="44">
        <f>Planning[[#This Row],[Horas Planificadas]]+Planning[[#This Row],[Horas ajustadas adicionales]]</f>
        <v>160</v>
      </c>
      <c r="X640" s="142"/>
    </row>
    <row r="641" spans="1:24" ht="12.75" customHeight="1" x14ac:dyDescent="0.2">
      <c r="A641" s="7"/>
      <c r="B641" s="7"/>
      <c r="C641" s="3"/>
      <c r="D641" s="3" t="s">
        <v>199</v>
      </c>
      <c r="E641" s="33" t="s">
        <v>31</v>
      </c>
      <c r="F641" s="3"/>
      <c r="G641" s="7"/>
      <c r="H641" s="7">
        <v>160</v>
      </c>
      <c r="I641" s="12"/>
      <c r="J641" s="5" t="e">
        <f>+SUMIFS(#REF!,#REF!,Planning[[#This Row],[Tarifa]],#REF!,Planning[[#This Row],[Proyectos]])</f>
        <v>#REF!</v>
      </c>
      <c r="K641" s="5" t="e">
        <f>Planning[[#This Row],[Horas Planificadas]]+Planning[[#This Row],[Horas ajustadas adicionales]]-Planning[[#This Row],[Horas utilizadas]]</f>
        <v>#REF!</v>
      </c>
      <c r="L641" s="7"/>
      <c r="M641" s="19" t="e">
        <f>Planning[[#This Row],[Saldo]]-Planning[[#This Row],[Saldo estimado]]</f>
        <v>#REF!</v>
      </c>
      <c r="N641" s="60" t="e">
        <f>+SUMIFS(#REF!,#REF!,Planning[[#This Row],[Proyectos]],#REF!,Planning[[#This Row],[Tipo de Tarea y especialidad]])</f>
        <v>#REF!</v>
      </c>
      <c r="O641" s="19">
        <f t="shared" si="18"/>
        <v>10</v>
      </c>
      <c r="P641" s="19">
        <f t="shared" si="19"/>
        <v>2024</v>
      </c>
      <c r="Q641" s="19" t="e">
        <f>+SUMIFS(#REF!,#REF!,Planning[[#This Row],[Tarifa]],#REF!,Planning[[#This Row],[Proyectos]],#REF!,Planning[[#This Row],[Mes]],#REF!,Planning[[#This Row],[Año]])</f>
        <v>#REF!</v>
      </c>
      <c r="R641" s="19" t="str">
        <f>TEXT(Planning[[#This Row],[Mes]]*29,"mmmm")</f>
        <v>October</v>
      </c>
      <c r="S6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41" s="228"/>
      <c r="U641" s="43" t="e">
        <f>IF(Planning[[#This Row],[Horas Planificadas]]&lt;&gt;0,+K641/Planning[[#This Row],[Horas Planificadas]],0)</f>
        <v>#REF!</v>
      </c>
      <c r="V641" s="43" t="e">
        <f>IF(Planning[[#This Row],[Horas Planificadas]]&lt;&gt;0,Planning[[#This Row],[Horas utilizadas]]/Planning[[#This Row],[Horas Planificadas]],0)</f>
        <v>#REF!</v>
      </c>
      <c r="W641" s="44">
        <f>Planning[[#This Row],[Horas Planificadas]]+Planning[[#This Row],[Horas ajustadas adicionales]]</f>
        <v>160</v>
      </c>
      <c r="X641" s="142"/>
    </row>
    <row r="642" spans="1:24" ht="12.75" customHeight="1" x14ac:dyDescent="0.2">
      <c r="A642" s="7"/>
      <c r="B642" s="7"/>
      <c r="C642" s="3"/>
      <c r="D642" s="3" t="s">
        <v>199</v>
      </c>
      <c r="E642" s="33" t="s">
        <v>32</v>
      </c>
      <c r="F642" s="3"/>
      <c r="G642" s="7"/>
      <c r="H642" s="7">
        <v>48</v>
      </c>
      <c r="I642" s="12"/>
      <c r="J642" s="5" t="e">
        <f>+SUMIFS(#REF!,#REF!,Planning[[#This Row],[Tarifa]],#REF!,Planning[[#This Row],[Proyectos]])</f>
        <v>#REF!</v>
      </c>
      <c r="K642" s="5" t="e">
        <f>Planning[[#This Row],[Horas Planificadas]]+Planning[[#This Row],[Horas ajustadas adicionales]]-Planning[[#This Row],[Horas utilizadas]]</f>
        <v>#REF!</v>
      </c>
      <c r="L642" s="7"/>
      <c r="M642" s="19" t="e">
        <f>Planning[[#This Row],[Saldo]]-Planning[[#This Row],[Saldo estimado]]</f>
        <v>#REF!</v>
      </c>
      <c r="N642" s="60" t="e">
        <f>+SUMIFS(#REF!,#REF!,Planning[[#This Row],[Proyectos]],#REF!,Planning[[#This Row],[Tipo de Tarea y especialidad]])</f>
        <v>#REF!</v>
      </c>
      <c r="O642" s="19">
        <f t="shared" si="18"/>
        <v>10</v>
      </c>
      <c r="P642" s="19">
        <f t="shared" si="19"/>
        <v>2024</v>
      </c>
      <c r="Q642" s="19" t="e">
        <f>+SUMIFS(#REF!,#REF!,Planning[[#This Row],[Tarifa]],#REF!,Planning[[#This Row],[Proyectos]],#REF!,Planning[[#This Row],[Mes]],#REF!,Planning[[#This Row],[Año]])</f>
        <v>#REF!</v>
      </c>
      <c r="R642" s="19" t="str">
        <f>TEXT(Planning[[#This Row],[Mes]]*29,"mmmm")</f>
        <v>October</v>
      </c>
      <c r="S6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42" s="228"/>
      <c r="U642" s="43" t="e">
        <f>IF(Planning[[#This Row],[Horas Planificadas]]&lt;&gt;0,+K642/Planning[[#This Row],[Horas Planificadas]],0)</f>
        <v>#REF!</v>
      </c>
      <c r="V642" s="43" t="e">
        <f>IF(Planning[[#This Row],[Horas Planificadas]]&lt;&gt;0,Planning[[#This Row],[Horas utilizadas]]/Planning[[#This Row],[Horas Planificadas]],0)</f>
        <v>#REF!</v>
      </c>
      <c r="W642" s="44">
        <f>Planning[[#This Row],[Horas Planificadas]]+Planning[[#This Row],[Horas ajustadas adicionales]]</f>
        <v>48</v>
      </c>
      <c r="X642" s="142"/>
    </row>
    <row r="643" spans="1:24" ht="12.75" customHeight="1" x14ac:dyDescent="0.2">
      <c r="A643" s="7"/>
      <c r="B643" s="7"/>
      <c r="C643" s="3"/>
      <c r="D643" s="3" t="s">
        <v>200</v>
      </c>
      <c r="E643" s="4" t="s">
        <v>28</v>
      </c>
      <c r="F643" s="3"/>
      <c r="G643" s="9"/>
      <c r="H643" s="12">
        <v>860</v>
      </c>
      <c r="I643" s="12"/>
      <c r="J643" s="5" t="e">
        <f>+SUMIFS(#REF!,#REF!,Planning[[#This Row],[Tarifa]],#REF!,Planning[[#This Row],[Proyectos]])</f>
        <v>#REF!</v>
      </c>
      <c r="K643" s="27" t="e">
        <f>Planning[[#This Row],[Horas Planificadas]]+Planning[[#This Row],[Horas ajustadas adicionales]]-Planning[[#This Row],[Horas utilizadas]]</f>
        <v>#REF!</v>
      </c>
      <c r="L643" s="7"/>
      <c r="M643" s="34" t="e">
        <f>Planning[[#This Row],[Saldo]]-Planning[[#This Row],[Saldo estimado]]</f>
        <v>#REF!</v>
      </c>
      <c r="N643" s="62" t="e">
        <f>+SUMIFS(#REF!,#REF!,Planning[[#This Row],[Proyectos]],#REF!,Planning[[#This Row],[Tipo de Tarea y especialidad]])</f>
        <v>#REF!</v>
      </c>
      <c r="O643" s="34">
        <f t="shared" si="18"/>
        <v>10</v>
      </c>
      <c r="P643" s="34">
        <f t="shared" si="19"/>
        <v>2024</v>
      </c>
      <c r="Q643" s="34" t="e">
        <f>+SUMIFS(#REF!,#REF!,Planning[[#This Row],[Tarifa]],#REF!,Planning[[#This Row],[Proyectos]],#REF!,Planning[[#This Row],[Mes]],#REF!,Planning[[#This Row],[Año]])</f>
        <v>#REF!</v>
      </c>
      <c r="R643" s="34" t="str">
        <f>TEXT(Planning[[#This Row],[Mes]]*29,"mmmm")</f>
        <v>October</v>
      </c>
      <c r="S64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43" s="228"/>
      <c r="U643" s="43" t="e">
        <f>IF(Planning[[#This Row],[Horas Planificadas]]&lt;&gt;0,+K643/Planning[[#This Row],[Horas Planificadas]],0)</f>
        <v>#REF!</v>
      </c>
      <c r="V643" s="43" t="e">
        <f>IF(Planning[[#This Row],[Horas Planificadas]]&lt;&gt;0,Planning[[#This Row],[Horas utilizadas]]/Planning[[#This Row],[Horas Planificadas]],0)</f>
        <v>#REF!</v>
      </c>
      <c r="W643" s="44">
        <f>Planning[[#This Row],[Horas Planificadas]]+Planning[[#This Row],[Horas ajustadas adicionales]]</f>
        <v>860</v>
      </c>
      <c r="X643" s="142"/>
    </row>
    <row r="644" spans="1:24" ht="12.75" customHeight="1" x14ac:dyDescent="0.2">
      <c r="A644" s="7"/>
      <c r="B644" s="7"/>
      <c r="C644" s="3"/>
      <c r="D644" s="3" t="s">
        <v>200</v>
      </c>
      <c r="E644" s="4" t="s">
        <v>30</v>
      </c>
      <c r="F644" s="3"/>
      <c r="G644" s="9"/>
      <c r="H644" s="9">
        <v>924</v>
      </c>
      <c r="I644" s="12"/>
      <c r="J644" s="5" t="e">
        <f>+SUMIFS(#REF!,#REF!,Planning[[#This Row],[Tarifa]],#REF!,Planning[[#This Row],[Proyectos]])</f>
        <v>#REF!</v>
      </c>
      <c r="K644" s="5" t="e">
        <f>Planning[[#This Row],[Horas Planificadas]]+Planning[[#This Row],[Horas ajustadas adicionales]]-Planning[[#This Row],[Horas utilizadas]]</f>
        <v>#REF!</v>
      </c>
      <c r="L644" s="7"/>
      <c r="M644" s="19" t="e">
        <f>Planning[[#This Row],[Saldo]]-Planning[[#This Row],[Saldo estimado]]</f>
        <v>#REF!</v>
      </c>
      <c r="N644" s="60" t="e">
        <f>+SUMIFS(#REF!,#REF!,Planning[[#This Row],[Proyectos]],#REF!,Planning[[#This Row],[Tipo de Tarea y especialidad]])</f>
        <v>#REF!</v>
      </c>
      <c r="O644" s="19">
        <f t="shared" si="18"/>
        <v>10</v>
      </c>
      <c r="P644" s="19">
        <f t="shared" si="19"/>
        <v>2024</v>
      </c>
      <c r="Q644" s="19" t="e">
        <f>+SUMIFS(#REF!,#REF!,Planning[[#This Row],[Tarifa]],#REF!,Planning[[#This Row],[Proyectos]],#REF!,Planning[[#This Row],[Mes]],#REF!,Planning[[#This Row],[Año]])</f>
        <v>#REF!</v>
      </c>
      <c r="R644" s="19" t="str">
        <f>TEXT(Planning[[#This Row],[Mes]]*29,"mmmm")</f>
        <v>October</v>
      </c>
      <c r="S6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44" s="228"/>
      <c r="U644" s="43" t="e">
        <f>IF(Planning[[#This Row],[Horas Planificadas]]&lt;&gt;0,+K644/Planning[[#This Row],[Horas Planificadas]],0)</f>
        <v>#REF!</v>
      </c>
      <c r="V644" s="43" t="e">
        <f>IF(Planning[[#This Row],[Horas Planificadas]]&lt;&gt;0,Planning[[#This Row],[Horas utilizadas]]/Planning[[#This Row],[Horas Planificadas]],0)</f>
        <v>#REF!</v>
      </c>
      <c r="W644" s="44">
        <f>Planning[[#This Row],[Horas Planificadas]]+Planning[[#This Row],[Horas ajustadas adicionales]]</f>
        <v>924</v>
      </c>
      <c r="X644" s="142"/>
    </row>
    <row r="645" spans="1:24" ht="12.75" customHeight="1" x14ac:dyDescent="0.2">
      <c r="A645" s="7"/>
      <c r="B645" s="7"/>
      <c r="C645" s="3"/>
      <c r="D645" s="3" t="s">
        <v>200</v>
      </c>
      <c r="E645" s="4" t="s">
        <v>31</v>
      </c>
      <c r="F645" s="3"/>
      <c r="G645" s="9"/>
      <c r="H645" s="9">
        <v>234</v>
      </c>
      <c r="I645" s="12"/>
      <c r="J645" s="5" t="e">
        <f>+SUMIFS(#REF!,#REF!,Planning[[#This Row],[Tarifa]],#REF!,Planning[[#This Row],[Proyectos]])</f>
        <v>#REF!</v>
      </c>
      <c r="K645" s="5" t="e">
        <f>Planning[[#This Row],[Horas Planificadas]]+Planning[[#This Row],[Horas ajustadas adicionales]]-Planning[[#This Row],[Horas utilizadas]]</f>
        <v>#REF!</v>
      </c>
      <c r="L645" s="7"/>
      <c r="M645" s="19" t="e">
        <f>Planning[[#This Row],[Saldo]]-Planning[[#This Row],[Saldo estimado]]</f>
        <v>#REF!</v>
      </c>
      <c r="N645" s="60" t="e">
        <f>+SUMIFS(#REF!,#REF!,Planning[[#This Row],[Proyectos]],#REF!,Planning[[#This Row],[Tipo de Tarea y especialidad]])</f>
        <v>#REF!</v>
      </c>
      <c r="O645" s="19">
        <f t="shared" si="18"/>
        <v>10</v>
      </c>
      <c r="P645" s="19">
        <f t="shared" si="19"/>
        <v>2024</v>
      </c>
      <c r="Q645" s="19" t="e">
        <f>+SUMIFS(#REF!,#REF!,Planning[[#This Row],[Tarifa]],#REF!,Planning[[#This Row],[Proyectos]],#REF!,Planning[[#This Row],[Mes]],#REF!,Planning[[#This Row],[Año]])</f>
        <v>#REF!</v>
      </c>
      <c r="R645" s="19" t="str">
        <f>TEXT(Planning[[#This Row],[Mes]]*29,"mmmm")</f>
        <v>October</v>
      </c>
      <c r="S6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45" s="228"/>
      <c r="U645" s="43" t="e">
        <f>IF(Planning[[#This Row],[Horas Planificadas]]&lt;&gt;0,+K645/Planning[[#This Row],[Horas Planificadas]],0)</f>
        <v>#REF!</v>
      </c>
      <c r="V645" s="43" t="e">
        <f>IF(Planning[[#This Row],[Horas Planificadas]]&lt;&gt;0,Planning[[#This Row],[Horas utilizadas]]/Planning[[#This Row],[Horas Planificadas]],0)</f>
        <v>#REF!</v>
      </c>
      <c r="W645" s="44">
        <f>Planning[[#This Row],[Horas Planificadas]]+Planning[[#This Row],[Horas ajustadas adicionales]]</f>
        <v>234</v>
      </c>
      <c r="X645" s="142"/>
    </row>
    <row r="646" spans="1:24" ht="12.75" customHeight="1" x14ac:dyDescent="0.2">
      <c r="A646" s="7"/>
      <c r="B646" s="7"/>
      <c r="C646" s="3"/>
      <c r="D646" s="3" t="s">
        <v>200</v>
      </c>
      <c r="E646" s="4" t="s">
        <v>32</v>
      </c>
      <c r="F646" s="3"/>
      <c r="G646" s="9"/>
      <c r="H646" s="12">
        <v>668</v>
      </c>
      <c r="I646" s="12"/>
      <c r="J646" s="5" t="e">
        <f>+SUMIFS(#REF!,#REF!,Planning[[#This Row],[Tarifa]],#REF!,Planning[[#This Row],[Proyectos]])</f>
        <v>#REF!</v>
      </c>
      <c r="K646" s="27" t="e">
        <f>Planning[[#This Row],[Horas Planificadas]]+Planning[[#This Row],[Horas ajustadas adicionales]]-Planning[[#This Row],[Horas utilizadas]]</f>
        <v>#REF!</v>
      </c>
      <c r="L646" s="7"/>
      <c r="M646" s="19" t="e">
        <f>Planning[[#This Row],[Saldo]]-Planning[[#This Row],[Saldo estimado]]</f>
        <v>#REF!</v>
      </c>
      <c r="N646" s="60" t="e">
        <f>+SUMIFS(#REF!,#REF!,Planning[[#This Row],[Proyectos]],#REF!,Planning[[#This Row],[Tipo de Tarea y especialidad]])</f>
        <v>#REF!</v>
      </c>
      <c r="O646" s="19">
        <f t="shared" si="18"/>
        <v>10</v>
      </c>
      <c r="P646" s="19">
        <f t="shared" si="19"/>
        <v>2024</v>
      </c>
      <c r="Q646" s="19" t="e">
        <f>+SUMIFS(#REF!,#REF!,Planning[[#This Row],[Tarifa]],#REF!,Planning[[#This Row],[Proyectos]],#REF!,Planning[[#This Row],[Mes]],#REF!,Planning[[#This Row],[Año]])</f>
        <v>#REF!</v>
      </c>
      <c r="R646" s="19" t="str">
        <f>TEXT(Planning[[#This Row],[Mes]]*29,"mmmm")</f>
        <v>October</v>
      </c>
      <c r="S6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46" s="228"/>
      <c r="U646" s="43" t="e">
        <f>IF(Planning[[#This Row],[Horas Planificadas]]&lt;&gt;0,+K646/Planning[[#This Row],[Horas Planificadas]],0)</f>
        <v>#REF!</v>
      </c>
      <c r="V646" s="43" t="e">
        <f>IF(Planning[[#This Row],[Horas Planificadas]]&lt;&gt;0,Planning[[#This Row],[Horas utilizadas]]/Planning[[#This Row],[Horas Planificadas]],0)</f>
        <v>#REF!</v>
      </c>
      <c r="W646" s="44">
        <f>Planning[[#This Row],[Horas Planificadas]]+Planning[[#This Row],[Horas ajustadas adicionales]]</f>
        <v>668</v>
      </c>
      <c r="X646" s="142"/>
    </row>
    <row r="647" spans="1:24" ht="12.75" customHeight="1" x14ac:dyDescent="0.2">
      <c r="A647" s="7"/>
      <c r="B647" s="7"/>
      <c r="C647" s="3"/>
      <c r="D647" s="3" t="s">
        <v>201</v>
      </c>
      <c r="E647" s="4" t="s">
        <v>28</v>
      </c>
      <c r="F647" s="3"/>
      <c r="G647" s="9"/>
      <c r="H647" s="9">
        <v>180</v>
      </c>
      <c r="I647" s="12"/>
      <c r="J647" s="5" t="e">
        <f>+SUMIFS(#REF!,#REF!,Planning[[#This Row],[Tarifa]],#REF!,Planning[[#This Row],[Proyectos]])</f>
        <v>#REF!</v>
      </c>
      <c r="K647" s="5" t="e">
        <f>Planning[[#This Row],[Horas Planificadas]]+Planning[[#This Row],[Horas ajustadas adicionales]]-Planning[[#This Row],[Horas utilizadas]]</f>
        <v>#REF!</v>
      </c>
      <c r="L647" s="7"/>
      <c r="M647" s="19" t="e">
        <f>Planning[[#This Row],[Saldo]]-Planning[[#This Row],[Saldo estimado]]</f>
        <v>#REF!</v>
      </c>
      <c r="N647" s="60" t="e">
        <f>+SUMIFS(#REF!,#REF!,Planning[[#This Row],[Proyectos]],#REF!,Planning[[#This Row],[Tipo de Tarea y especialidad]])</f>
        <v>#REF!</v>
      </c>
      <c r="O647" s="19">
        <f t="shared" ref="O647:O710" si="20">$L$4</f>
        <v>10</v>
      </c>
      <c r="P647" s="19">
        <f t="shared" ref="P647:P710" si="21">$M$4</f>
        <v>2024</v>
      </c>
      <c r="Q647" s="19" t="e">
        <f>+SUMIFS(#REF!,#REF!,Planning[[#This Row],[Tarifa]],#REF!,Planning[[#This Row],[Proyectos]],#REF!,Planning[[#This Row],[Mes]],#REF!,Planning[[#This Row],[Año]])</f>
        <v>#REF!</v>
      </c>
      <c r="R647" s="19" t="str">
        <f>TEXT(Planning[[#This Row],[Mes]]*29,"mmmm")</f>
        <v>October</v>
      </c>
      <c r="S6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47" s="228"/>
      <c r="U647" s="43" t="e">
        <f>IF(Planning[[#This Row],[Horas Planificadas]]&lt;&gt;0,+K647/Planning[[#This Row],[Horas Planificadas]],0)</f>
        <v>#REF!</v>
      </c>
      <c r="V647" s="43" t="e">
        <f>IF(Planning[[#This Row],[Horas Planificadas]]&lt;&gt;0,Planning[[#This Row],[Horas utilizadas]]/Planning[[#This Row],[Horas Planificadas]],0)</f>
        <v>#REF!</v>
      </c>
      <c r="W647" s="44">
        <f>Planning[[#This Row],[Horas Planificadas]]+Planning[[#This Row],[Horas ajustadas adicionales]]</f>
        <v>180</v>
      </c>
      <c r="X647" s="142"/>
    </row>
    <row r="648" spans="1:24" ht="12.75" customHeight="1" x14ac:dyDescent="0.2">
      <c r="A648" s="7"/>
      <c r="B648" s="7"/>
      <c r="C648" s="3"/>
      <c r="D648" s="3" t="s">
        <v>201</v>
      </c>
      <c r="E648" s="4" t="s">
        <v>30</v>
      </c>
      <c r="F648" s="3"/>
      <c r="G648" s="9"/>
      <c r="H648" s="9">
        <v>191</v>
      </c>
      <c r="I648" s="12"/>
      <c r="J648" s="5" t="e">
        <f>+SUMIFS(#REF!,#REF!,Planning[[#This Row],[Tarifa]],#REF!,Planning[[#This Row],[Proyectos]])</f>
        <v>#REF!</v>
      </c>
      <c r="K648" s="5" t="e">
        <f>Planning[[#This Row],[Horas Planificadas]]+Planning[[#This Row],[Horas ajustadas adicionales]]-Planning[[#This Row],[Horas utilizadas]]</f>
        <v>#REF!</v>
      </c>
      <c r="L648" s="7"/>
      <c r="M648" s="19" t="e">
        <f>Planning[[#This Row],[Saldo]]-Planning[[#This Row],[Saldo estimado]]</f>
        <v>#REF!</v>
      </c>
      <c r="N648" s="60" t="e">
        <f>+SUMIFS(#REF!,#REF!,Planning[[#This Row],[Proyectos]],#REF!,Planning[[#This Row],[Tipo de Tarea y especialidad]])</f>
        <v>#REF!</v>
      </c>
      <c r="O648" s="19">
        <f t="shared" si="20"/>
        <v>10</v>
      </c>
      <c r="P648" s="19">
        <f t="shared" si="21"/>
        <v>2024</v>
      </c>
      <c r="Q648" s="19" t="e">
        <f>+SUMIFS(#REF!,#REF!,Planning[[#This Row],[Tarifa]],#REF!,Planning[[#This Row],[Proyectos]],#REF!,Planning[[#This Row],[Mes]],#REF!,Planning[[#This Row],[Año]])</f>
        <v>#REF!</v>
      </c>
      <c r="R648" s="19" t="str">
        <f>TEXT(Planning[[#This Row],[Mes]]*29,"mmmm")</f>
        <v>October</v>
      </c>
      <c r="S6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48" s="228"/>
      <c r="U648" s="43" t="e">
        <f>IF(Planning[[#This Row],[Horas Planificadas]]&lt;&gt;0,+K648/Planning[[#This Row],[Horas Planificadas]],0)</f>
        <v>#REF!</v>
      </c>
      <c r="V648" s="43" t="e">
        <f>IF(Planning[[#This Row],[Horas Planificadas]]&lt;&gt;0,Planning[[#This Row],[Horas utilizadas]]/Planning[[#This Row],[Horas Planificadas]],0)</f>
        <v>#REF!</v>
      </c>
      <c r="W648" s="44">
        <f>Planning[[#This Row],[Horas Planificadas]]+Planning[[#This Row],[Horas ajustadas adicionales]]</f>
        <v>191</v>
      </c>
      <c r="X648" s="142"/>
    </row>
    <row r="649" spans="1:24" ht="12.75" customHeight="1" x14ac:dyDescent="0.2">
      <c r="A649" s="7"/>
      <c r="B649" s="7"/>
      <c r="C649" s="3"/>
      <c r="D649" s="3" t="s">
        <v>201</v>
      </c>
      <c r="E649" s="4" t="s">
        <v>31</v>
      </c>
      <c r="F649" s="3"/>
      <c r="G649" s="9"/>
      <c r="H649" s="9">
        <v>60</v>
      </c>
      <c r="I649" s="12"/>
      <c r="J649" s="5" t="e">
        <f>+SUMIFS(#REF!,#REF!,Planning[[#This Row],[Tarifa]],#REF!,Planning[[#This Row],[Proyectos]])</f>
        <v>#REF!</v>
      </c>
      <c r="K649" s="5" t="e">
        <f>Planning[[#This Row],[Horas Planificadas]]+Planning[[#This Row],[Horas ajustadas adicionales]]-Planning[[#This Row],[Horas utilizadas]]</f>
        <v>#REF!</v>
      </c>
      <c r="L649" s="7"/>
      <c r="M649" s="19" t="e">
        <f>Planning[[#This Row],[Saldo]]-Planning[[#This Row],[Saldo estimado]]</f>
        <v>#REF!</v>
      </c>
      <c r="N649" s="60" t="e">
        <f>+SUMIFS(#REF!,#REF!,Planning[[#This Row],[Proyectos]],#REF!,Planning[[#This Row],[Tipo de Tarea y especialidad]])</f>
        <v>#REF!</v>
      </c>
      <c r="O649" s="19">
        <f t="shared" si="20"/>
        <v>10</v>
      </c>
      <c r="P649" s="19">
        <f t="shared" si="21"/>
        <v>2024</v>
      </c>
      <c r="Q649" s="19" t="e">
        <f>+SUMIFS(#REF!,#REF!,Planning[[#This Row],[Tarifa]],#REF!,Planning[[#This Row],[Proyectos]],#REF!,Planning[[#This Row],[Mes]],#REF!,Planning[[#This Row],[Año]])</f>
        <v>#REF!</v>
      </c>
      <c r="R649" s="19" t="str">
        <f>TEXT(Planning[[#This Row],[Mes]]*29,"mmmm")</f>
        <v>October</v>
      </c>
      <c r="S6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49" s="228"/>
      <c r="U649" s="43" t="e">
        <f>IF(Planning[[#This Row],[Horas Planificadas]]&lt;&gt;0,+K649/Planning[[#This Row],[Horas Planificadas]],0)</f>
        <v>#REF!</v>
      </c>
      <c r="V649" s="43" t="e">
        <f>IF(Planning[[#This Row],[Horas Planificadas]]&lt;&gt;0,Planning[[#This Row],[Horas utilizadas]]/Planning[[#This Row],[Horas Planificadas]],0)</f>
        <v>#REF!</v>
      </c>
      <c r="W649" s="44">
        <f>Planning[[#This Row],[Horas Planificadas]]+Planning[[#This Row],[Horas ajustadas adicionales]]</f>
        <v>60</v>
      </c>
      <c r="X649" s="142"/>
    </row>
    <row r="650" spans="1:24" ht="12.75" customHeight="1" x14ac:dyDescent="0.2">
      <c r="A650" s="7"/>
      <c r="B650" s="7"/>
      <c r="C650" s="3"/>
      <c r="D650" s="3" t="s">
        <v>201</v>
      </c>
      <c r="E650" s="4" t="s">
        <v>32</v>
      </c>
      <c r="F650" s="3"/>
      <c r="G650" s="9"/>
      <c r="H650" s="9">
        <v>65</v>
      </c>
      <c r="I650" s="12"/>
      <c r="J650" s="5" t="e">
        <f>+SUMIFS(#REF!,#REF!,Planning[[#This Row],[Tarifa]],#REF!,Planning[[#This Row],[Proyectos]])</f>
        <v>#REF!</v>
      </c>
      <c r="K650" s="5" t="e">
        <f>Planning[[#This Row],[Horas Planificadas]]+Planning[[#This Row],[Horas ajustadas adicionales]]-Planning[[#This Row],[Horas utilizadas]]</f>
        <v>#REF!</v>
      </c>
      <c r="L650" s="7"/>
      <c r="M650" s="19" t="e">
        <f>Planning[[#This Row],[Saldo]]-Planning[[#This Row],[Saldo estimado]]</f>
        <v>#REF!</v>
      </c>
      <c r="N650" s="60" t="e">
        <f>+SUMIFS(#REF!,#REF!,Planning[[#This Row],[Proyectos]],#REF!,Planning[[#This Row],[Tipo de Tarea y especialidad]])</f>
        <v>#REF!</v>
      </c>
      <c r="O650" s="19">
        <f t="shared" si="20"/>
        <v>10</v>
      </c>
      <c r="P650" s="19">
        <f t="shared" si="21"/>
        <v>2024</v>
      </c>
      <c r="Q650" s="19" t="e">
        <f>+SUMIFS(#REF!,#REF!,Planning[[#This Row],[Tarifa]],#REF!,Planning[[#This Row],[Proyectos]],#REF!,Planning[[#This Row],[Mes]],#REF!,Planning[[#This Row],[Año]])</f>
        <v>#REF!</v>
      </c>
      <c r="R650" s="19" t="str">
        <f>TEXT(Planning[[#This Row],[Mes]]*29,"mmmm")</f>
        <v>October</v>
      </c>
      <c r="S6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50" s="228"/>
      <c r="U650" s="43" t="e">
        <f>IF(Planning[[#This Row],[Horas Planificadas]]&lt;&gt;0,+K650/Planning[[#This Row],[Horas Planificadas]],0)</f>
        <v>#REF!</v>
      </c>
      <c r="V650" s="43" t="e">
        <f>IF(Planning[[#This Row],[Horas Planificadas]]&lt;&gt;0,Planning[[#This Row],[Horas utilizadas]]/Planning[[#This Row],[Horas Planificadas]],0)</f>
        <v>#REF!</v>
      </c>
      <c r="W650" s="44">
        <f>Planning[[#This Row],[Horas Planificadas]]+Planning[[#This Row],[Horas ajustadas adicionales]]</f>
        <v>65</v>
      </c>
      <c r="X650" s="142"/>
    </row>
    <row r="651" spans="1:24" ht="12.75" customHeight="1" x14ac:dyDescent="0.2">
      <c r="A651" s="7"/>
      <c r="B651" s="7"/>
      <c r="C651" s="3"/>
      <c r="D651" s="3" t="s">
        <v>202</v>
      </c>
      <c r="E651" s="4" t="s">
        <v>28</v>
      </c>
      <c r="F651" s="3"/>
      <c r="G651" s="9"/>
      <c r="H651" s="9">
        <v>568</v>
      </c>
      <c r="I651" s="12"/>
      <c r="J651" s="5" t="e">
        <f>+SUMIFS(#REF!,#REF!,Planning[[#This Row],[Tarifa]],#REF!,Planning[[#This Row],[Proyectos]])</f>
        <v>#REF!</v>
      </c>
      <c r="K651" s="5" t="e">
        <f>Planning[[#This Row],[Horas Planificadas]]+Planning[[#This Row],[Horas ajustadas adicionales]]-Planning[[#This Row],[Horas utilizadas]]</f>
        <v>#REF!</v>
      </c>
      <c r="L651" s="7"/>
      <c r="M651" s="19" t="e">
        <f>Planning[[#This Row],[Saldo]]-Planning[[#This Row],[Saldo estimado]]</f>
        <v>#REF!</v>
      </c>
      <c r="N651" s="60" t="e">
        <f>+SUMIFS(#REF!,#REF!,Planning[[#This Row],[Proyectos]],#REF!,Planning[[#This Row],[Tipo de Tarea y especialidad]])</f>
        <v>#REF!</v>
      </c>
      <c r="O651" s="19">
        <f t="shared" si="20"/>
        <v>10</v>
      </c>
      <c r="P651" s="19">
        <f t="shared" si="21"/>
        <v>2024</v>
      </c>
      <c r="Q651" s="19" t="e">
        <f>+SUMIFS(#REF!,#REF!,Planning[[#This Row],[Tarifa]],#REF!,Planning[[#This Row],[Proyectos]],#REF!,Planning[[#This Row],[Mes]],#REF!,Planning[[#This Row],[Año]])</f>
        <v>#REF!</v>
      </c>
      <c r="R651" s="19" t="str">
        <f>TEXT(Planning[[#This Row],[Mes]]*29,"mmmm")</f>
        <v>October</v>
      </c>
      <c r="S6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51" s="228"/>
      <c r="U651" s="43" t="e">
        <f>IF(Planning[[#This Row],[Horas Planificadas]]&lt;&gt;0,+K651/Planning[[#This Row],[Horas Planificadas]],0)</f>
        <v>#REF!</v>
      </c>
      <c r="V651" s="43" t="e">
        <f>IF(Planning[[#This Row],[Horas Planificadas]]&lt;&gt;0,Planning[[#This Row],[Horas utilizadas]]/Planning[[#This Row],[Horas Planificadas]],0)</f>
        <v>#REF!</v>
      </c>
      <c r="W651" s="44">
        <f>Planning[[#This Row],[Horas Planificadas]]+Planning[[#This Row],[Horas ajustadas adicionales]]</f>
        <v>568</v>
      </c>
      <c r="X651" s="142"/>
    </row>
    <row r="652" spans="1:24" ht="12.75" customHeight="1" x14ac:dyDescent="0.2">
      <c r="A652" s="7"/>
      <c r="B652" s="7"/>
      <c r="C652" s="3"/>
      <c r="D652" s="3" t="s">
        <v>202</v>
      </c>
      <c r="E652" s="4" t="s">
        <v>30</v>
      </c>
      <c r="F652" s="3"/>
      <c r="G652" s="9"/>
      <c r="H652" s="9">
        <v>405</v>
      </c>
      <c r="I652" s="12"/>
      <c r="J652" s="5" t="e">
        <f>+SUMIFS(#REF!,#REF!,Planning[[#This Row],[Tarifa]],#REF!,Planning[[#This Row],[Proyectos]])</f>
        <v>#REF!</v>
      </c>
      <c r="K652" s="5" t="e">
        <f>Planning[[#This Row],[Horas Planificadas]]+Planning[[#This Row],[Horas ajustadas adicionales]]-Planning[[#This Row],[Horas utilizadas]]</f>
        <v>#REF!</v>
      </c>
      <c r="L652" s="7"/>
      <c r="M652" s="19" t="e">
        <f>Planning[[#This Row],[Saldo]]-Planning[[#This Row],[Saldo estimado]]</f>
        <v>#REF!</v>
      </c>
      <c r="N652" s="60" t="e">
        <f>+SUMIFS(#REF!,#REF!,Planning[[#This Row],[Proyectos]],#REF!,Planning[[#This Row],[Tipo de Tarea y especialidad]])</f>
        <v>#REF!</v>
      </c>
      <c r="O652" s="19">
        <f t="shared" si="20"/>
        <v>10</v>
      </c>
      <c r="P652" s="19">
        <f t="shared" si="21"/>
        <v>2024</v>
      </c>
      <c r="Q652" s="19" t="e">
        <f>+SUMIFS(#REF!,#REF!,Planning[[#This Row],[Tarifa]],#REF!,Planning[[#This Row],[Proyectos]],#REF!,Planning[[#This Row],[Mes]],#REF!,Planning[[#This Row],[Año]])</f>
        <v>#REF!</v>
      </c>
      <c r="R652" s="19" t="str">
        <f>TEXT(Planning[[#This Row],[Mes]]*29,"mmmm")</f>
        <v>October</v>
      </c>
      <c r="S6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52" s="228"/>
      <c r="U652" s="43" t="e">
        <f>IF(Planning[[#This Row],[Horas Planificadas]]&lt;&gt;0,+K652/Planning[[#This Row],[Horas Planificadas]],0)</f>
        <v>#REF!</v>
      </c>
      <c r="V652" s="43" t="e">
        <f>IF(Planning[[#This Row],[Horas Planificadas]]&lt;&gt;0,Planning[[#This Row],[Horas utilizadas]]/Planning[[#This Row],[Horas Planificadas]],0)</f>
        <v>#REF!</v>
      </c>
      <c r="W652" s="44">
        <f>Planning[[#This Row],[Horas Planificadas]]+Planning[[#This Row],[Horas ajustadas adicionales]]</f>
        <v>405</v>
      </c>
      <c r="X652" s="142"/>
    </row>
    <row r="653" spans="1:24" ht="12.75" customHeight="1" x14ac:dyDescent="0.2">
      <c r="A653" s="7"/>
      <c r="B653" s="7"/>
      <c r="C653" s="3"/>
      <c r="D653" s="3" t="s">
        <v>202</v>
      </c>
      <c r="E653" s="4" t="s">
        <v>31</v>
      </c>
      <c r="F653" s="3"/>
      <c r="G653" s="9"/>
      <c r="H653" s="9">
        <v>60</v>
      </c>
      <c r="I653" s="12"/>
      <c r="J653" s="5" t="e">
        <f>+SUMIFS(#REF!,#REF!,Planning[[#This Row],[Tarifa]],#REF!,Planning[[#This Row],[Proyectos]])</f>
        <v>#REF!</v>
      </c>
      <c r="K653" s="5" t="e">
        <f>Planning[[#This Row],[Horas Planificadas]]+Planning[[#This Row],[Horas ajustadas adicionales]]-Planning[[#This Row],[Horas utilizadas]]</f>
        <v>#REF!</v>
      </c>
      <c r="L653" s="7"/>
      <c r="M653" s="19" t="e">
        <f>Planning[[#This Row],[Saldo]]-Planning[[#This Row],[Saldo estimado]]</f>
        <v>#REF!</v>
      </c>
      <c r="N653" s="60" t="e">
        <f>+SUMIFS(#REF!,#REF!,Planning[[#This Row],[Proyectos]],#REF!,Planning[[#This Row],[Tipo de Tarea y especialidad]])</f>
        <v>#REF!</v>
      </c>
      <c r="O653" s="19">
        <f t="shared" si="20"/>
        <v>10</v>
      </c>
      <c r="P653" s="19">
        <f t="shared" si="21"/>
        <v>2024</v>
      </c>
      <c r="Q653" s="19" t="e">
        <f>+SUMIFS(#REF!,#REF!,Planning[[#This Row],[Tarifa]],#REF!,Planning[[#This Row],[Proyectos]],#REF!,Planning[[#This Row],[Mes]],#REF!,Planning[[#This Row],[Año]])</f>
        <v>#REF!</v>
      </c>
      <c r="R653" s="19" t="str">
        <f>TEXT(Planning[[#This Row],[Mes]]*29,"mmmm")</f>
        <v>October</v>
      </c>
      <c r="S6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53" s="228"/>
      <c r="U653" s="43" t="e">
        <f>IF(Planning[[#This Row],[Horas Planificadas]]&lt;&gt;0,+K653/Planning[[#This Row],[Horas Planificadas]],0)</f>
        <v>#REF!</v>
      </c>
      <c r="V653" s="43" t="e">
        <f>IF(Planning[[#This Row],[Horas Planificadas]]&lt;&gt;0,Planning[[#This Row],[Horas utilizadas]]/Planning[[#This Row],[Horas Planificadas]],0)</f>
        <v>#REF!</v>
      </c>
      <c r="W653" s="44">
        <f>Planning[[#This Row],[Horas Planificadas]]+Planning[[#This Row],[Horas ajustadas adicionales]]</f>
        <v>60</v>
      </c>
      <c r="X653" s="142"/>
    </row>
    <row r="654" spans="1:24" ht="12.75" customHeight="1" x14ac:dyDescent="0.2">
      <c r="A654" s="7"/>
      <c r="B654" s="7"/>
      <c r="C654" s="3"/>
      <c r="D654" s="3" t="s">
        <v>202</v>
      </c>
      <c r="E654" s="4" t="s">
        <v>32</v>
      </c>
      <c r="F654" s="3"/>
      <c r="G654" s="9"/>
      <c r="H654" s="9">
        <v>153</v>
      </c>
      <c r="I654" s="12"/>
      <c r="J654" s="5" t="e">
        <f>+SUMIFS(#REF!,#REF!,Planning[[#This Row],[Tarifa]],#REF!,Planning[[#This Row],[Proyectos]])</f>
        <v>#REF!</v>
      </c>
      <c r="K654" s="5" t="e">
        <f>Planning[[#This Row],[Horas Planificadas]]+Planning[[#This Row],[Horas ajustadas adicionales]]-Planning[[#This Row],[Horas utilizadas]]</f>
        <v>#REF!</v>
      </c>
      <c r="L654" s="7"/>
      <c r="M654" s="19" t="e">
        <f>Planning[[#This Row],[Saldo]]-Planning[[#This Row],[Saldo estimado]]</f>
        <v>#REF!</v>
      </c>
      <c r="N654" s="60" t="e">
        <f>+SUMIFS(#REF!,#REF!,Planning[[#This Row],[Proyectos]],#REF!,Planning[[#This Row],[Tipo de Tarea y especialidad]])</f>
        <v>#REF!</v>
      </c>
      <c r="O654" s="19">
        <f t="shared" si="20"/>
        <v>10</v>
      </c>
      <c r="P654" s="19">
        <f t="shared" si="21"/>
        <v>2024</v>
      </c>
      <c r="Q654" s="19" t="e">
        <f>+SUMIFS(#REF!,#REF!,Planning[[#This Row],[Tarifa]],#REF!,Planning[[#This Row],[Proyectos]],#REF!,Planning[[#This Row],[Mes]],#REF!,Planning[[#This Row],[Año]])</f>
        <v>#REF!</v>
      </c>
      <c r="R654" s="19" t="str">
        <f>TEXT(Planning[[#This Row],[Mes]]*29,"mmmm")</f>
        <v>October</v>
      </c>
      <c r="S6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54" s="228"/>
      <c r="U654" s="43" t="e">
        <f>IF(Planning[[#This Row],[Horas Planificadas]]&lt;&gt;0,+K654/Planning[[#This Row],[Horas Planificadas]],0)</f>
        <v>#REF!</v>
      </c>
      <c r="V654" s="43" t="e">
        <f>IF(Planning[[#This Row],[Horas Planificadas]]&lt;&gt;0,Planning[[#This Row],[Horas utilizadas]]/Planning[[#This Row],[Horas Planificadas]],0)</f>
        <v>#REF!</v>
      </c>
      <c r="W654" s="44">
        <f>Planning[[#This Row],[Horas Planificadas]]+Planning[[#This Row],[Horas ajustadas adicionales]]</f>
        <v>153</v>
      </c>
      <c r="X654" s="142"/>
    </row>
    <row r="655" spans="1:24" ht="12.75" customHeight="1" x14ac:dyDescent="0.2">
      <c r="A655" s="7"/>
      <c r="B655" s="7"/>
      <c r="C655" s="3"/>
      <c r="D655" s="3" t="s">
        <v>203</v>
      </c>
      <c r="E655" s="4" t="s">
        <v>28</v>
      </c>
      <c r="F655" s="3"/>
      <c r="G655" s="9"/>
      <c r="H655" s="12">
        <v>89</v>
      </c>
      <c r="I655" s="12"/>
      <c r="J655" s="5" t="e">
        <f>+SUMIFS(#REF!,#REF!,Planning[[#This Row],[Tarifa]],#REF!,Planning[[#This Row],[Proyectos]])</f>
        <v>#REF!</v>
      </c>
      <c r="K655" s="27" t="e">
        <f>Planning[[#This Row],[Horas Planificadas]]+Planning[[#This Row],[Horas ajustadas adicionales]]-Planning[[#This Row],[Horas utilizadas]]</f>
        <v>#REF!</v>
      </c>
      <c r="L655" s="7"/>
      <c r="M655" s="19" t="e">
        <f>Planning[[#This Row],[Saldo]]-Planning[[#This Row],[Saldo estimado]]</f>
        <v>#REF!</v>
      </c>
      <c r="N655" s="60" t="e">
        <f>+SUMIFS(#REF!,#REF!,Planning[[#This Row],[Proyectos]],#REF!,Planning[[#This Row],[Tipo de Tarea y especialidad]])</f>
        <v>#REF!</v>
      </c>
      <c r="O655" s="19">
        <f t="shared" si="20"/>
        <v>10</v>
      </c>
      <c r="P655" s="19">
        <f t="shared" si="21"/>
        <v>2024</v>
      </c>
      <c r="Q655" s="19" t="e">
        <f>+SUMIFS(#REF!,#REF!,Planning[[#This Row],[Tarifa]],#REF!,Planning[[#This Row],[Proyectos]],#REF!,Planning[[#This Row],[Mes]],#REF!,Planning[[#This Row],[Año]])</f>
        <v>#REF!</v>
      </c>
      <c r="R655" s="19" t="str">
        <f>TEXT(Planning[[#This Row],[Mes]]*29,"mmmm")</f>
        <v>October</v>
      </c>
      <c r="S6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55" s="228"/>
      <c r="U655" s="43" t="e">
        <f>IF(Planning[[#This Row],[Horas Planificadas]]&lt;&gt;0,+K655/Planning[[#This Row],[Horas Planificadas]],0)</f>
        <v>#REF!</v>
      </c>
      <c r="V655" s="43" t="e">
        <f>IF(Planning[[#This Row],[Horas Planificadas]]&lt;&gt;0,Planning[[#This Row],[Horas utilizadas]]/Planning[[#This Row],[Horas Planificadas]],0)</f>
        <v>#REF!</v>
      </c>
      <c r="W655" s="44">
        <f>Planning[[#This Row],[Horas Planificadas]]+Planning[[#This Row],[Horas ajustadas adicionales]]</f>
        <v>89</v>
      </c>
      <c r="X655" s="142"/>
    </row>
    <row r="656" spans="1:24" ht="12.75" customHeight="1" x14ac:dyDescent="0.2">
      <c r="A656" s="7"/>
      <c r="B656" s="7"/>
      <c r="C656" s="3"/>
      <c r="D656" s="3" t="s">
        <v>203</v>
      </c>
      <c r="E656" s="4" t="s">
        <v>30</v>
      </c>
      <c r="F656" s="3"/>
      <c r="G656" s="9"/>
      <c r="H656" s="9">
        <v>180</v>
      </c>
      <c r="I656" s="12"/>
      <c r="J656" s="5" t="e">
        <f>+SUMIFS(#REF!,#REF!,Planning[[#This Row],[Tarifa]],#REF!,Planning[[#This Row],[Proyectos]])</f>
        <v>#REF!</v>
      </c>
      <c r="K656" s="5" t="e">
        <f>Planning[[#This Row],[Horas Planificadas]]+Planning[[#This Row],[Horas ajustadas adicionales]]-Planning[[#This Row],[Horas utilizadas]]</f>
        <v>#REF!</v>
      </c>
      <c r="L656" s="7"/>
      <c r="M656" s="19" t="e">
        <f>Planning[[#This Row],[Saldo]]-Planning[[#This Row],[Saldo estimado]]</f>
        <v>#REF!</v>
      </c>
      <c r="N656" s="60" t="e">
        <f>+SUMIFS(#REF!,#REF!,Planning[[#This Row],[Proyectos]],#REF!,Planning[[#This Row],[Tipo de Tarea y especialidad]])</f>
        <v>#REF!</v>
      </c>
      <c r="O656" s="19">
        <f t="shared" si="20"/>
        <v>10</v>
      </c>
      <c r="P656" s="19">
        <f t="shared" si="21"/>
        <v>2024</v>
      </c>
      <c r="Q656" s="19" t="e">
        <f>+SUMIFS(#REF!,#REF!,Planning[[#This Row],[Tarifa]],#REF!,Planning[[#This Row],[Proyectos]],#REF!,Planning[[#This Row],[Mes]],#REF!,Planning[[#This Row],[Año]])</f>
        <v>#REF!</v>
      </c>
      <c r="R656" s="19" t="str">
        <f>TEXT(Planning[[#This Row],[Mes]]*29,"mmmm")</f>
        <v>October</v>
      </c>
      <c r="S6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56" s="228"/>
      <c r="U656" s="43" t="e">
        <f>IF(Planning[[#This Row],[Horas Planificadas]]&lt;&gt;0,+K656/Planning[[#This Row],[Horas Planificadas]],0)</f>
        <v>#REF!</v>
      </c>
      <c r="V656" s="43" t="e">
        <f>IF(Planning[[#This Row],[Horas Planificadas]]&lt;&gt;0,Planning[[#This Row],[Horas utilizadas]]/Planning[[#This Row],[Horas Planificadas]],0)</f>
        <v>#REF!</v>
      </c>
      <c r="W656" s="44">
        <f>Planning[[#This Row],[Horas Planificadas]]+Planning[[#This Row],[Horas ajustadas adicionales]]</f>
        <v>180</v>
      </c>
      <c r="X656" s="142"/>
    </row>
    <row r="657" spans="1:24" ht="12.75" customHeight="1" x14ac:dyDescent="0.2">
      <c r="A657" s="7"/>
      <c r="B657" s="7"/>
      <c r="C657" s="3"/>
      <c r="D657" s="3" t="s">
        <v>203</v>
      </c>
      <c r="E657" s="4" t="s">
        <v>31</v>
      </c>
      <c r="F657" s="3"/>
      <c r="G657" s="9"/>
      <c r="H657" s="9">
        <v>77</v>
      </c>
      <c r="I657" s="12"/>
      <c r="J657" s="5" t="e">
        <f>+SUMIFS(#REF!,#REF!,Planning[[#This Row],[Tarifa]],#REF!,Planning[[#This Row],[Proyectos]])</f>
        <v>#REF!</v>
      </c>
      <c r="K657" s="5" t="e">
        <f>Planning[[#This Row],[Horas Planificadas]]+Planning[[#This Row],[Horas ajustadas adicionales]]-Planning[[#This Row],[Horas utilizadas]]</f>
        <v>#REF!</v>
      </c>
      <c r="L657" s="7"/>
      <c r="M657" s="19" t="e">
        <f>Planning[[#This Row],[Saldo]]-Planning[[#This Row],[Saldo estimado]]</f>
        <v>#REF!</v>
      </c>
      <c r="N657" s="60" t="e">
        <f>+SUMIFS(#REF!,#REF!,Planning[[#This Row],[Proyectos]],#REF!,Planning[[#This Row],[Tipo de Tarea y especialidad]])</f>
        <v>#REF!</v>
      </c>
      <c r="O657" s="19">
        <f t="shared" si="20"/>
        <v>10</v>
      </c>
      <c r="P657" s="19">
        <f t="shared" si="21"/>
        <v>2024</v>
      </c>
      <c r="Q657" s="19" t="e">
        <f>+SUMIFS(#REF!,#REF!,Planning[[#This Row],[Tarifa]],#REF!,Planning[[#This Row],[Proyectos]],#REF!,Planning[[#This Row],[Mes]],#REF!,Planning[[#This Row],[Año]])</f>
        <v>#REF!</v>
      </c>
      <c r="R657" s="19" t="str">
        <f>TEXT(Planning[[#This Row],[Mes]]*29,"mmmm")</f>
        <v>October</v>
      </c>
      <c r="S6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57" s="228"/>
      <c r="U657" s="43" t="e">
        <f>IF(Planning[[#This Row],[Horas Planificadas]]&lt;&gt;0,+K657/Planning[[#This Row],[Horas Planificadas]],0)</f>
        <v>#REF!</v>
      </c>
      <c r="V657" s="43" t="e">
        <f>IF(Planning[[#This Row],[Horas Planificadas]]&lt;&gt;0,Planning[[#This Row],[Horas utilizadas]]/Planning[[#This Row],[Horas Planificadas]],0)</f>
        <v>#REF!</v>
      </c>
      <c r="W657" s="44">
        <f>Planning[[#This Row],[Horas Planificadas]]+Planning[[#This Row],[Horas ajustadas adicionales]]</f>
        <v>77</v>
      </c>
      <c r="X657" s="142"/>
    </row>
    <row r="658" spans="1:24" ht="12.75" customHeight="1" x14ac:dyDescent="0.2">
      <c r="A658" s="7"/>
      <c r="B658" s="7"/>
      <c r="C658" s="3"/>
      <c r="D658" s="3" t="s">
        <v>203</v>
      </c>
      <c r="E658" s="4" t="s">
        <v>32</v>
      </c>
      <c r="F658" s="3"/>
      <c r="G658" s="9"/>
      <c r="H658" s="9">
        <v>63</v>
      </c>
      <c r="I658" s="12"/>
      <c r="J658" s="5" t="e">
        <f>+SUMIFS(#REF!,#REF!,Planning[[#This Row],[Tarifa]],#REF!,Planning[[#This Row],[Proyectos]])</f>
        <v>#REF!</v>
      </c>
      <c r="K658" s="5" t="e">
        <f>Planning[[#This Row],[Horas Planificadas]]+Planning[[#This Row],[Horas ajustadas adicionales]]-Planning[[#This Row],[Horas utilizadas]]</f>
        <v>#REF!</v>
      </c>
      <c r="L658" s="7"/>
      <c r="M658" s="19" t="e">
        <f>Planning[[#This Row],[Saldo]]-Planning[[#This Row],[Saldo estimado]]</f>
        <v>#REF!</v>
      </c>
      <c r="N658" s="60" t="e">
        <f>+SUMIFS(#REF!,#REF!,Planning[[#This Row],[Proyectos]],#REF!,Planning[[#This Row],[Tipo de Tarea y especialidad]])</f>
        <v>#REF!</v>
      </c>
      <c r="O658" s="19">
        <f t="shared" si="20"/>
        <v>10</v>
      </c>
      <c r="P658" s="19">
        <f t="shared" si="21"/>
        <v>2024</v>
      </c>
      <c r="Q658" s="19" t="e">
        <f>+SUMIFS(#REF!,#REF!,Planning[[#This Row],[Tarifa]],#REF!,Planning[[#This Row],[Proyectos]],#REF!,Planning[[#This Row],[Mes]],#REF!,Planning[[#This Row],[Año]])</f>
        <v>#REF!</v>
      </c>
      <c r="R658" s="19" t="str">
        <f>TEXT(Planning[[#This Row],[Mes]]*29,"mmmm")</f>
        <v>October</v>
      </c>
      <c r="S6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58" s="228"/>
      <c r="U658" s="43" t="e">
        <f>IF(Planning[[#This Row],[Horas Planificadas]]&lt;&gt;0,+K658/Planning[[#This Row],[Horas Planificadas]],0)</f>
        <v>#REF!</v>
      </c>
      <c r="V658" s="43" t="e">
        <f>IF(Planning[[#This Row],[Horas Planificadas]]&lt;&gt;0,Planning[[#This Row],[Horas utilizadas]]/Planning[[#This Row],[Horas Planificadas]],0)</f>
        <v>#REF!</v>
      </c>
      <c r="W658" s="44">
        <f>Planning[[#This Row],[Horas Planificadas]]+Planning[[#This Row],[Horas ajustadas adicionales]]</f>
        <v>63</v>
      </c>
      <c r="X658" s="142"/>
    </row>
    <row r="659" spans="1:24" ht="12.75" customHeight="1" x14ac:dyDescent="0.2">
      <c r="A659" s="7" t="s">
        <v>204</v>
      </c>
      <c r="B659" s="7" t="s">
        <v>205</v>
      </c>
      <c r="C659" s="3"/>
      <c r="D659" s="3" t="s">
        <v>206</v>
      </c>
      <c r="E659" s="33" t="s">
        <v>28</v>
      </c>
      <c r="F659" s="3"/>
      <c r="G659" s="7">
        <v>9</v>
      </c>
      <c r="H659" s="24">
        <f>SUM(H660:H661)</f>
        <v>117</v>
      </c>
      <c r="I659" s="14"/>
      <c r="J659" s="14" t="e">
        <f>SUM(J660:J661)</f>
        <v>#REF!</v>
      </c>
      <c r="K659" s="18" t="e">
        <f>SUM(K660:K661)</f>
        <v>#REF!</v>
      </c>
      <c r="L659" s="15">
        <f>SUM(L660:L661)</f>
        <v>0</v>
      </c>
      <c r="M659" s="28" t="e">
        <f>SUM(M660:M661)</f>
        <v>#REF!</v>
      </c>
      <c r="N659" s="61"/>
      <c r="O659" s="28">
        <f t="shared" si="20"/>
        <v>10</v>
      </c>
      <c r="P659" s="28">
        <f t="shared" si="21"/>
        <v>2024</v>
      </c>
      <c r="Q659" s="28" t="e">
        <f>SUM(Q660:Q661)</f>
        <v>#REF!</v>
      </c>
      <c r="R659" s="28" t="str">
        <f>TEXT(Planning[[#This Row],[Mes]]*29,"mmmm")</f>
        <v>October</v>
      </c>
      <c r="S6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59" s="192" t="s">
        <v>207</v>
      </c>
      <c r="U659" s="43" t="e">
        <f>IF(Planning[[#This Row],[Horas Planificadas]]&lt;&gt;0,+K659/Planning[[#This Row],[Horas Planificadas]],0)</f>
        <v>#REF!</v>
      </c>
      <c r="V659" s="43" t="e">
        <f>IF(Planning[[#This Row],[Horas Planificadas]]&lt;&gt;0,Planning[[#This Row],[Horas utilizadas]]/Planning[[#This Row],[Horas Planificadas]],0)</f>
        <v>#REF!</v>
      </c>
      <c r="W659" s="44">
        <f>Planning[[#This Row],[Horas Planificadas]]+Planning[[#This Row],[Horas ajustadas adicionales]]</f>
        <v>117</v>
      </c>
      <c r="X659" s="142"/>
    </row>
    <row r="660" spans="1:24" ht="12.75" customHeight="1" x14ac:dyDescent="0.2">
      <c r="A660" s="7" t="s">
        <v>204</v>
      </c>
      <c r="B660" s="7" t="s">
        <v>205</v>
      </c>
      <c r="C660" s="3"/>
      <c r="D660" s="3" t="s">
        <v>206</v>
      </c>
      <c r="E660" s="33"/>
      <c r="F660" s="3" t="s">
        <v>120</v>
      </c>
      <c r="G660" s="7"/>
      <c r="H660" s="7">
        <v>9</v>
      </c>
      <c r="I660" s="12"/>
      <c r="J660" s="5" t="e">
        <f>SUM(SUMIFS(#REF!,#REF!,Planning[[#This Row],[Tipo de Tarea y especialidad]],#REF!,Planning[[#This Row],[Proyectos Reiwa]]),SUMIFS(#REF!,#REF!,Planning[[#This Row],[Tipo de Tarea y especialidad]],#REF!,Planning[[#This Row],[Proyectos]]))</f>
        <v>#REF!</v>
      </c>
      <c r="K660" s="5" t="e">
        <f>Planning[[#This Row],[Horas Planificadas]]+Planning[[#This Row],[Horas ajustadas adicionales]]-Planning[[#This Row],[Horas utilizadas]]</f>
        <v>#REF!</v>
      </c>
      <c r="L660" s="7">
        <v>0</v>
      </c>
      <c r="M660" s="19" t="e">
        <f>Planning[[#This Row],[Saldo]]-Planning[[#This Row],[Saldo estimado]]</f>
        <v>#REF!</v>
      </c>
      <c r="N660" s="60" t="e">
        <f>+SUMIFS(#REF!,#REF!,Planning[[#This Row],[Proyectos]],#REF!,Planning[[#This Row],[Tipo de Tarea y especialidad]])</f>
        <v>#REF!</v>
      </c>
      <c r="O660" s="19">
        <f t="shared" si="20"/>
        <v>10</v>
      </c>
      <c r="P660" s="19">
        <f t="shared" si="21"/>
        <v>2024</v>
      </c>
      <c r="Q6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60" s="19" t="str">
        <f>TEXT(Planning[[#This Row],[Mes]]*29,"mmmm")</f>
        <v>October</v>
      </c>
      <c r="S6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60" s="193"/>
      <c r="U660" s="43" t="e">
        <f>IF(Planning[[#This Row],[Horas Planificadas]]&lt;&gt;0,+K660/Planning[[#This Row],[Horas Planificadas]],0)</f>
        <v>#REF!</v>
      </c>
      <c r="V660" s="43" t="e">
        <f>IF(Planning[[#This Row],[Horas Planificadas]]&lt;&gt;0,Planning[[#This Row],[Horas utilizadas]]/Planning[[#This Row],[Horas Planificadas]],0)</f>
        <v>#REF!</v>
      </c>
      <c r="W660" s="44">
        <f>Planning[[#This Row],[Horas Planificadas]]+Planning[[#This Row],[Horas ajustadas adicionales]]</f>
        <v>9</v>
      </c>
      <c r="X660" s="142"/>
    </row>
    <row r="661" spans="1:24" ht="12.75" customHeight="1" x14ac:dyDescent="0.2">
      <c r="A661" s="7" t="s">
        <v>204</v>
      </c>
      <c r="B661" s="7" t="s">
        <v>205</v>
      </c>
      <c r="C661" s="3"/>
      <c r="D661" s="3" t="s">
        <v>206</v>
      </c>
      <c r="E661" s="33"/>
      <c r="F661" s="3" t="s">
        <v>121</v>
      </c>
      <c r="G661" s="7"/>
      <c r="H661" s="7">
        <v>108</v>
      </c>
      <c r="I661" s="12">
        <v>-81</v>
      </c>
      <c r="J661" s="5" t="e">
        <f>SUM(SUMIFS(#REF!,#REF!,Planning[[#This Row],[Tipo de Tarea y especialidad]],#REF!,Planning[[#This Row],[Proyectos Reiwa]]),SUMIFS(#REF!,#REF!,Planning[[#This Row],[Tipo de Tarea y especialidad]],#REF!,Planning[[#This Row],[Proyectos]]))</f>
        <v>#REF!</v>
      </c>
      <c r="K661" s="5" t="e">
        <f>Planning[[#This Row],[Horas Planificadas]]+Planning[[#This Row],[Horas ajustadas adicionales]]-Planning[[#This Row],[Horas utilizadas]]</f>
        <v>#REF!</v>
      </c>
      <c r="L661" s="7">
        <v>0</v>
      </c>
      <c r="M661" s="19" t="e">
        <f>Planning[[#This Row],[Saldo]]-Planning[[#This Row],[Saldo estimado]]</f>
        <v>#REF!</v>
      </c>
      <c r="N661" s="60" t="e">
        <f>+SUMIFS(#REF!,#REF!,Planning[[#This Row],[Proyectos]],#REF!,Planning[[#This Row],[Tipo de Tarea y especialidad]])</f>
        <v>#REF!</v>
      </c>
      <c r="O661" s="19">
        <f t="shared" si="20"/>
        <v>10</v>
      </c>
      <c r="P661" s="19">
        <f t="shared" si="21"/>
        <v>2024</v>
      </c>
      <c r="Q6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61" s="19" t="str">
        <f>TEXT(Planning[[#This Row],[Mes]]*29,"mmmm")</f>
        <v>October</v>
      </c>
      <c r="S6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61" s="193"/>
      <c r="U661" s="43" t="e">
        <f>IF(Planning[[#This Row],[Horas Planificadas]]&lt;&gt;0,+K661/Planning[[#This Row],[Horas Planificadas]],0)</f>
        <v>#REF!</v>
      </c>
      <c r="V661" s="43" t="e">
        <f>IF(Planning[[#This Row],[Horas Planificadas]]&lt;&gt;0,Planning[[#This Row],[Horas utilizadas]]/Planning[[#This Row],[Horas Planificadas]],0)</f>
        <v>#REF!</v>
      </c>
      <c r="W661" s="44">
        <f>Planning[[#This Row],[Horas Planificadas]]+Planning[[#This Row],[Horas ajustadas adicionales]]</f>
        <v>27</v>
      </c>
      <c r="X661" s="142"/>
    </row>
    <row r="662" spans="1:24" ht="12.75" customHeight="1" x14ac:dyDescent="0.2">
      <c r="A662" s="7" t="s">
        <v>204</v>
      </c>
      <c r="B662" s="7" t="s">
        <v>205</v>
      </c>
      <c r="C662" s="3"/>
      <c r="D662" s="3" t="s">
        <v>206</v>
      </c>
      <c r="E662" s="33" t="s">
        <v>30</v>
      </c>
      <c r="F662" s="3"/>
      <c r="G662" s="7">
        <v>297</v>
      </c>
      <c r="H662" s="24">
        <f>SUM(H663:H669)</f>
        <v>297</v>
      </c>
      <c r="I662" s="14"/>
      <c r="J662" s="14" t="e">
        <f>SUM(J663:J669)</f>
        <v>#REF!</v>
      </c>
      <c r="K662" s="18" t="e">
        <f>SUM(K663:K669)</f>
        <v>#REF!</v>
      </c>
      <c r="L662" s="15">
        <f>SUM(L663:L669)</f>
        <v>0</v>
      </c>
      <c r="M662" s="16" t="e">
        <f>SUM(M663:M669)</f>
        <v>#REF!</v>
      </c>
      <c r="N662" s="60"/>
      <c r="O662" s="16">
        <f t="shared" si="20"/>
        <v>10</v>
      </c>
      <c r="P662" s="16">
        <f t="shared" si="21"/>
        <v>2024</v>
      </c>
      <c r="Q662" s="16" t="e">
        <f>SUM(Q663:Q669)</f>
        <v>#REF!</v>
      </c>
      <c r="R662" s="16" t="str">
        <f>TEXT(Planning[[#This Row],[Mes]]*29,"mmmm")</f>
        <v>October</v>
      </c>
      <c r="S6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62" s="193"/>
      <c r="U662" s="43" t="e">
        <f>IF(Planning[[#This Row],[Horas Planificadas]]&lt;&gt;0,+K662/Planning[[#This Row],[Horas Planificadas]],0)</f>
        <v>#REF!</v>
      </c>
      <c r="V662" s="43" t="e">
        <f>IF(Planning[[#This Row],[Horas Planificadas]]&lt;&gt;0,Planning[[#This Row],[Horas utilizadas]]/Planning[[#This Row],[Horas Planificadas]],0)</f>
        <v>#REF!</v>
      </c>
      <c r="W662" s="44">
        <f>Planning[[#This Row],[Horas Planificadas]]+Planning[[#This Row],[Horas ajustadas adicionales]]</f>
        <v>297</v>
      </c>
      <c r="X662" s="142"/>
    </row>
    <row r="663" spans="1:24" ht="12.75" customHeight="1" x14ac:dyDescent="0.2">
      <c r="A663" s="7" t="s">
        <v>204</v>
      </c>
      <c r="B663" s="7" t="s">
        <v>205</v>
      </c>
      <c r="C663" s="3"/>
      <c r="D663" s="3" t="s">
        <v>206</v>
      </c>
      <c r="E663" s="33"/>
      <c r="F663" s="3" t="s">
        <v>122</v>
      </c>
      <c r="G663" s="7"/>
      <c r="H663" s="7"/>
      <c r="I663" s="12"/>
      <c r="J663" s="5" t="e">
        <f>SUM(SUMIFS(#REF!,#REF!,Planning[[#This Row],[Tipo de Tarea y especialidad]],#REF!,Planning[[#This Row],[Proyectos Reiwa]]),SUMIFS(#REF!,#REF!,Planning[[#This Row],[Tipo de Tarea y especialidad]],#REF!,Planning[[#This Row],[Proyectos]]))</f>
        <v>#REF!</v>
      </c>
      <c r="K663" s="5" t="e">
        <f>Planning[[#This Row],[Horas Planificadas]]+Planning[[#This Row],[Horas ajustadas adicionales]]-Planning[[#This Row],[Horas utilizadas]]</f>
        <v>#REF!</v>
      </c>
      <c r="L663" s="7"/>
      <c r="M663" s="19" t="e">
        <f>Planning[[#This Row],[Saldo]]-Planning[[#This Row],[Saldo estimado]]</f>
        <v>#REF!</v>
      </c>
      <c r="N663" s="60" t="e">
        <f>+SUMIFS(#REF!,#REF!,Planning[[#This Row],[Proyectos]],#REF!,Planning[[#This Row],[Tipo de Tarea y especialidad]])</f>
        <v>#REF!</v>
      </c>
      <c r="O663" s="19">
        <f t="shared" si="20"/>
        <v>10</v>
      </c>
      <c r="P663" s="19">
        <f t="shared" si="21"/>
        <v>2024</v>
      </c>
      <c r="Q6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63" s="19" t="str">
        <f>TEXT(Planning[[#This Row],[Mes]]*29,"mmmm")</f>
        <v>October</v>
      </c>
      <c r="S6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63" s="193"/>
      <c r="U663" s="43">
        <f>IF(Planning[[#This Row],[Horas Planificadas]]&lt;&gt;0,+K663/Planning[[#This Row],[Horas Planificadas]],0)</f>
        <v>0</v>
      </c>
      <c r="V663" s="43">
        <f>IF(Planning[[#This Row],[Horas Planificadas]]&lt;&gt;0,Planning[[#This Row],[Horas utilizadas]]/Planning[[#This Row],[Horas Planificadas]],0)</f>
        <v>0</v>
      </c>
      <c r="W663" s="44">
        <f>Planning[[#This Row],[Horas Planificadas]]+Planning[[#This Row],[Horas ajustadas adicionales]]</f>
        <v>0</v>
      </c>
      <c r="X663" s="142"/>
    </row>
    <row r="664" spans="1:24" ht="12.75" customHeight="1" x14ac:dyDescent="0.2">
      <c r="A664" s="7" t="s">
        <v>204</v>
      </c>
      <c r="B664" s="7" t="s">
        <v>205</v>
      </c>
      <c r="C664" s="3"/>
      <c r="D664" s="3" t="s">
        <v>206</v>
      </c>
      <c r="E664" s="33"/>
      <c r="F664" s="3" t="s">
        <v>123</v>
      </c>
      <c r="G664" s="7"/>
      <c r="H664" s="7">
        <v>234</v>
      </c>
      <c r="I664" s="12">
        <f>-(81-36)</f>
        <v>-45</v>
      </c>
      <c r="J664" s="5" t="e">
        <f>SUM(SUMIFS(#REF!,#REF!,Planning[[#This Row],[Tipo de Tarea y especialidad]],#REF!,Planning[[#This Row],[Proyectos Reiwa]]),SUMIFS(#REF!,#REF!,Planning[[#This Row],[Tipo de Tarea y especialidad]],#REF!,Planning[[#This Row],[Proyectos]]))</f>
        <v>#REF!</v>
      </c>
      <c r="K664" s="5" t="e">
        <f>Planning[[#This Row],[Horas Planificadas]]+Planning[[#This Row],[Horas ajustadas adicionales]]-Planning[[#This Row],[Horas utilizadas]]</f>
        <v>#REF!</v>
      </c>
      <c r="L664" s="7">
        <v>0</v>
      </c>
      <c r="M664" s="19" t="e">
        <f>Planning[[#This Row],[Saldo]]-Planning[[#This Row],[Saldo estimado]]</f>
        <v>#REF!</v>
      </c>
      <c r="N664" s="60" t="e">
        <f>+SUMIFS(#REF!,#REF!,Planning[[#This Row],[Proyectos]],#REF!,Planning[[#This Row],[Tipo de Tarea y especialidad]])</f>
        <v>#REF!</v>
      </c>
      <c r="O664" s="19">
        <f t="shared" si="20"/>
        <v>10</v>
      </c>
      <c r="P664" s="19">
        <f t="shared" si="21"/>
        <v>2024</v>
      </c>
      <c r="Q6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64" s="19" t="str">
        <f>TEXT(Planning[[#This Row],[Mes]]*29,"mmmm")</f>
        <v>October</v>
      </c>
      <c r="S6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64" s="193"/>
      <c r="U664" s="43" t="e">
        <f>IF(Planning[[#This Row],[Horas Planificadas]]&lt;&gt;0,+K664/Planning[[#This Row],[Horas Planificadas]],0)</f>
        <v>#REF!</v>
      </c>
      <c r="V664" s="43" t="e">
        <f>IF(Planning[[#This Row],[Horas Planificadas]]&lt;&gt;0,Planning[[#This Row],[Horas utilizadas]]/Planning[[#This Row],[Horas Planificadas]],0)</f>
        <v>#REF!</v>
      </c>
      <c r="W664" s="44">
        <f>Planning[[#This Row],[Horas Planificadas]]+Planning[[#This Row],[Horas ajustadas adicionales]]</f>
        <v>189</v>
      </c>
      <c r="X664" s="142"/>
    </row>
    <row r="665" spans="1:24" ht="12.75" customHeight="1" x14ac:dyDescent="0.2">
      <c r="A665" s="7" t="s">
        <v>204</v>
      </c>
      <c r="B665" s="7" t="s">
        <v>205</v>
      </c>
      <c r="C665" s="3"/>
      <c r="D665" s="3" t="s">
        <v>206</v>
      </c>
      <c r="E665" s="33"/>
      <c r="F665" s="3" t="s">
        <v>124</v>
      </c>
      <c r="G665" s="7"/>
      <c r="H665" s="7"/>
      <c r="I665" s="12"/>
      <c r="J665" s="5" t="e">
        <f>SUM(SUMIFS(#REF!,#REF!,Planning[[#This Row],[Tipo de Tarea y especialidad]],#REF!,Planning[[#This Row],[Proyectos Reiwa]]),SUMIFS(#REF!,#REF!,Planning[[#This Row],[Tipo de Tarea y especialidad]],#REF!,Planning[[#This Row],[Proyectos]]))</f>
        <v>#REF!</v>
      </c>
      <c r="K665" s="5" t="e">
        <f>Planning[[#This Row],[Horas Planificadas]]+Planning[[#This Row],[Horas ajustadas adicionales]]-Planning[[#This Row],[Horas utilizadas]]</f>
        <v>#REF!</v>
      </c>
      <c r="L665" s="7"/>
      <c r="M665" s="19" t="e">
        <f>Planning[[#This Row],[Saldo]]-Planning[[#This Row],[Saldo estimado]]</f>
        <v>#REF!</v>
      </c>
      <c r="N665" s="60" t="e">
        <f>+SUMIFS(#REF!,#REF!,Planning[[#This Row],[Proyectos]],#REF!,Planning[[#This Row],[Tipo de Tarea y especialidad]])</f>
        <v>#REF!</v>
      </c>
      <c r="O665" s="19">
        <f t="shared" si="20"/>
        <v>10</v>
      </c>
      <c r="P665" s="19">
        <f t="shared" si="21"/>
        <v>2024</v>
      </c>
      <c r="Q6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65" s="19" t="str">
        <f>TEXT(Planning[[#This Row],[Mes]]*29,"mmmm")</f>
        <v>October</v>
      </c>
      <c r="S6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65" s="193"/>
      <c r="U665" s="43">
        <f>IF(Planning[[#This Row],[Horas Planificadas]]&lt;&gt;0,+K665/Planning[[#This Row],[Horas Planificadas]],0)</f>
        <v>0</v>
      </c>
      <c r="V665" s="43">
        <f>IF(Planning[[#This Row],[Horas Planificadas]]&lt;&gt;0,Planning[[#This Row],[Horas utilizadas]]/Planning[[#This Row],[Horas Planificadas]],0)</f>
        <v>0</v>
      </c>
      <c r="W665" s="44">
        <f>Planning[[#This Row],[Horas Planificadas]]+Planning[[#This Row],[Horas ajustadas adicionales]]</f>
        <v>0</v>
      </c>
      <c r="X665" s="142"/>
    </row>
    <row r="666" spans="1:24" ht="12.75" customHeight="1" x14ac:dyDescent="0.2">
      <c r="A666" s="7" t="s">
        <v>204</v>
      </c>
      <c r="B666" s="7" t="s">
        <v>205</v>
      </c>
      <c r="C666" s="3"/>
      <c r="D666" s="3" t="s">
        <v>206</v>
      </c>
      <c r="E666" s="33"/>
      <c r="F666" s="3" t="s">
        <v>125</v>
      </c>
      <c r="G666" s="7"/>
      <c r="H666" s="7">
        <v>63</v>
      </c>
      <c r="I666" s="12"/>
      <c r="J666" s="5" t="e">
        <f>SUM(SUMIFS(#REF!,#REF!,Planning[[#This Row],[Tipo de Tarea y especialidad]],#REF!,Planning[[#This Row],[Proyectos Reiwa]]),SUMIFS(#REF!,#REF!,Planning[[#This Row],[Tipo de Tarea y especialidad]],#REF!,Planning[[#This Row],[Proyectos]]))</f>
        <v>#REF!</v>
      </c>
      <c r="K666" s="5" t="e">
        <f>Planning[[#This Row],[Horas Planificadas]]+Planning[[#This Row],[Horas ajustadas adicionales]]-Planning[[#This Row],[Horas utilizadas]]</f>
        <v>#REF!</v>
      </c>
      <c r="L666" s="7">
        <v>0</v>
      </c>
      <c r="M666" s="19" t="e">
        <f>Planning[[#This Row],[Saldo]]-Planning[[#This Row],[Saldo estimado]]</f>
        <v>#REF!</v>
      </c>
      <c r="N666" s="60" t="e">
        <f>+SUMIFS(#REF!,#REF!,Planning[[#This Row],[Proyectos]],#REF!,Planning[[#This Row],[Tipo de Tarea y especialidad]])</f>
        <v>#REF!</v>
      </c>
      <c r="O666" s="19">
        <f t="shared" si="20"/>
        <v>10</v>
      </c>
      <c r="P666" s="19">
        <f t="shared" si="21"/>
        <v>2024</v>
      </c>
      <c r="Q6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66" s="19" t="str">
        <f>TEXT(Planning[[#This Row],[Mes]]*29,"mmmm")</f>
        <v>October</v>
      </c>
      <c r="S6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66" s="193"/>
      <c r="U666" s="43" t="e">
        <f>IF(Planning[[#This Row],[Horas Planificadas]]&lt;&gt;0,+K666/Planning[[#This Row],[Horas Planificadas]],0)</f>
        <v>#REF!</v>
      </c>
      <c r="V666" s="43" t="e">
        <f>IF(Planning[[#This Row],[Horas Planificadas]]&lt;&gt;0,Planning[[#This Row],[Horas utilizadas]]/Planning[[#This Row],[Horas Planificadas]],0)</f>
        <v>#REF!</v>
      </c>
      <c r="W666" s="44">
        <f>Planning[[#This Row],[Horas Planificadas]]+Planning[[#This Row],[Horas ajustadas adicionales]]</f>
        <v>63</v>
      </c>
      <c r="X666" s="142"/>
    </row>
    <row r="667" spans="1:24" ht="12.75" customHeight="1" x14ac:dyDescent="0.2">
      <c r="A667" s="7" t="s">
        <v>204</v>
      </c>
      <c r="B667" s="7" t="s">
        <v>205</v>
      </c>
      <c r="C667" s="3"/>
      <c r="D667" s="3" t="s">
        <v>206</v>
      </c>
      <c r="E667" s="33"/>
      <c r="F667" s="3" t="s">
        <v>126</v>
      </c>
      <c r="G667" s="7"/>
      <c r="H667" s="7"/>
      <c r="I667" s="12"/>
      <c r="J667" s="5" t="e">
        <f>SUM(SUMIFS(#REF!,#REF!,Planning[[#This Row],[Tipo de Tarea y especialidad]],#REF!,Planning[[#This Row],[Proyectos Reiwa]]),SUMIFS(#REF!,#REF!,Planning[[#This Row],[Tipo de Tarea y especialidad]],#REF!,Planning[[#This Row],[Proyectos]]))</f>
        <v>#REF!</v>
      </c>
      <c r="K667" s="5" t="e">
        <f>Planning[[#This Row],[Horas Planificadas]]+Planning[[#This Row],[Horas ajustadas adicionales]]-Planning[[#This Row],[Horas utilizadas]]</f>
        <v>#REF!</v>
      </c>
      <c r="L667" s="7"/>
      <c r="M667" s="19" t="e">
        <f>Planning[[#This Row],[Saldo]]-Planning[[#This Row],[Saldo estimado]]</f>
        <v>#REF!</v>
      </c>
      <c r="N667" s="60" t="e">
        <f>+SUMIFS(#REF!,#REF!,Planning[[#This Row],[Proyectos]],#REF!,Planning[[#This Row],[Tipo de Tarea y especialidad]])</f>
        <v>#REF!</v>
      </c>
      <c r="O667" s="19">
        <f t="shared" si="20"/>
        <v>10</v>
      </c>
      <c r="P667" s="19">
        <f t="shared" si="21"/>
        <v>2024</v>
      </c>
      <c r="Q6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67" s="19" t="str">
        <f>TEXT(Planning[[#This Row],[Mes]]*29,"mmmm")</f>
        <v>October</v>
      </c>
      <c r="S6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67" s="193"/>
      <c r="U667" s="43">
        <f>IF(Planning[[#This Row],[Horas Planificadas]]&lt;&gt;0,+K667/Planning[[#This Row],[Horas Planificadas]],0)</f>
        <v>0</v>
      </c>
      <c r="V667" s="43">
        <f>IF(Planning[[#This Row],[Horas Planificadas]]&lt;&gt;0,Planning[[#This Row],[Horas utilizadas]]/Planning[[#This Row],[Horas Planificadas]],0)</f>
        <v>0</v>
      </c>
      <c r="W667" s="44">
        <f>Planning[[#This Row],[Horas Planificadas]]+Planning[[#This Row],[Horas ajustadas adicionales]]</f>
        <v>0</v>
      </c>
      <c r="X667" s="142"/>
    </row>
    <row r="668" spans="1:24" ht="12.75" customHeight="1" x14ac:dyDescent="0.2">
      <c r="A668" s="7" t="s">
        <v>204</v>
      </c>
      <c r="B668" s="7" t="s">
        <v>205</v>
      </c>
      <c r="C668" s="3"/>
      <c r="D668" s="3" t="s">
        <v>206</v>
      </c>
      <c r="E668" s="33"/>
      <c r="F668" s="3" t="s">
        <v>127</v>
      </c>
      <c r="G668" s="7"/>
      <c r="H668" s="7"/>
      <c r="I668" s="12"/>
      <c r="J668" s="5" t="e">
        <f>SUM(SUMIFS(#REF!,#REF!,Planning[[#This Row],[Tipo de Tarea y especialidad]],#REF!,Planning[[#This Row],[Proyectos Reiwa]]),SUMIFS(#REF!,#REF!,Planning[[#This Row],[Tipo de Tarea y especialidad]],#REF!,Planning[[#This Row],[Proyectos]]))</f>
        <v>#REF!</v>
      </c>
      <c r="K668" s="5" t="e">
        <f>Planning[[#This Row],[Horas Planificadas]]+Planning[[#This Row],[Horas ajustadas adicionales]]-Planning[[#This Row],[Horas utilizadas]]</f>
        <v>#REF!</v>
      </c>
      <c r="L668" s="7">
        <v>0</v>
      </c>
      <c r="M668" s="19" t="e">
        <f>Planning[[#This Row],[Saldo]]-Planning[[#This Row],[Saldo estimado]]</f>
        <v>#REF!</v>
      </c>
      <c r="N668" s="60" t="e">
        <f>+SUMIFS(#REF!,#REF!,Planning[[#This Row],[Proyectos]],#REF!,Planning[[#This Row],[Tipo de Tarea y especialidad]])</f>
        <v>#REF!</v>
      </c>
      <c r="O668" s="19">
        <f t="shared" si="20"/>
        <v>10</v>
      </c>
      <c r="P668" s="19">
        <f t="shared" si="21"/>
        <v>2024</v>
      </c>
      <c r="Q6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68" s="19" t="str">
        <f>TEXT(Planning[[#This Row],[Mes]]*29,"mmmm")</f>
        <v>October</v>
      </c>
      <c r="S6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68" s="193"/>
      <c r="U668" s="43">
        <f>IF(Planning[[#This Row],[Horas Planificadas]]&lt;&gt;0,+K668/Planning[[#This Row],[Horas Planificadas]],0)</f>
        <v>0</v>
      </c>
      <c r="V668" s="43">
        <f>IF(Planning[[#This Row],[Horas Planificadas]]&lt;&gt;0,Planning[[#This Row],[Horas utilizadas]]/Planning[[#This Row],[Horas Planificadas]],0)</f>
        <v>0</v>
      </c>
      <c r="W668" s="44">
        <f>Planning[[#This Row],[Horas Planificadas]]+Planning[[#This Row],[Horas ajustadas adicionales]]</f>
        <v>0</v>
      </c>
      <c r="X668" s="142"/>
    </row>
    <row r="669" spans="1:24" ht="12.75" customHeight="1" x14ac:dyDescent="0.2">
      <c r="A669" s="7" t="s">
        <v>204</v>
      </c>
      <c r="B669" s="7" t="s">
        <v>205</v>
      </c>
      <c r="C669" s="3"/>
      <c r="D669" s="3" t="s">
        <v>206</v>
      </c>
      <c r="E669" s="33"/>
      <c r="F669" s="3" t="s">
        <v>128</v>
      </c>
      <c r="G669" s="7"/>
      <c r="H669" s="7"/>
      <c r="I669" s="12"/>
      <c r="J669" s="5" t="e">
        <f>SUM(SUMIFS(#REF!,#REF!,Planning[[#This Row],[Tipo de Tarea y especialidad]],#REF!,Planning[[#This Row],[Proyectos Reiwa]]),SUMIFS(#REF!,#REF!,Planning[[#This Row],[Tipo de Tarea y especialidad]],#REF!,Planning[[#This Row],[Proyectos]]))</f>
        <v>#REF!</v>
      </c>
      <c r="K669" s="5" t="e">
        <f>Planning[[#This Row],[Horas Planificadas]]+Planning[[#This Row],[Horas ajustadas adicionales]]-Planning[[#This Row],[Horas utilizadas]]</f>
        <v>#REF!</v>
      </c>
      <c r="L669" s="7"/>
      <c r="M669" s="19" t="e">
        <f>Planning[[#This Row],[Saldo]]-Planning[[#This Row],[Saldo estimado]]</f>
        <v>#REF!</v>
      </c>
      <c r="N669" s="60" t="e">
        <f>+SUMIFS(#REF!,#REF!,Planning[[#This Row],[Proyectos]],#REF!,Planning[[#This Row],[Tipo de Tarea y especialidad]])</f>
        <v>#REF!</v>
      </c>
      <c r="O669" s="19">
        <f t="shared" si="20"/>
        <v>10</v>
      </c>
      <c r="P669" s="19">
        <f t="shared" si="21"/>
        <v>2024</v>
      </c>
      <c r="Q6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69" s="19" t="str">
        <f>TEXT(Planning[[#This Row],[Mes]]*29,"mmmm")</f>
        <v>October</v>
      </c>
      <c r="S6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69" s="193"/>
      <c r="U669" s="43">
        <f>IF(Planning[[#This Row],[Horas Planificadas]]&lt;&gt;0,+K669/Planning[[#This Row],[Horas Planificadas]],0)</f>
        <v>0</v>
      </c>
      <c r="V669" s="43">
        <f>IF(Planning[[#This Row],[Horas Planificadas]]&lt;&gt;0,Planning[[#This Row],[Horas utilizadas]]/Planning[[#This Row],[Horas Planificadas]],0)</f>
        <v>0</v>
      </c>
      <c r="W669" s="44">
        <f>Planning[[#This Row],[Horas Planificadas]]+Planning[[#This Row],[Horas ajustadas adicionales]]</f>
        <v>0</v>
      </c>
      <c r="X669" s="142"/>
    </row>
    <row r="670" spans="1:24" ht="12.75" customHeight="1" x14ac:dyDescent="0.2">
      <c r="A670" s="7" t="s">
        <v>204</v>
      </c>
      <c r="B670" s="7" t="s">
        <v>205</v>
      </c>
      <c r="C670" s="3"/>
      <c r="D670" s="3" t="s">
        <v>206</v>
      </c>
      <c r="E670" s="33" t="s">
        <v>31</v>
      </c>
      <c r="F670" s="3" t="s">
        <v>31</v>
      </c>
      <c r="G670" s="7">
        <v>48</v>
      </c>
      <c r="H670" s="15">
        <v>48</v>
      </c>
      <c r="I670" s="18"/>
      <c r="J670" s="14" t="e">
        <f>+SUMIFS(#REF!,#REF!,Planning[[#This Row],[Tarifa]],#REF!,Planning[[#This Row],[Proyectos]])</f>
        <v>#REF!</v>
      </c>
      <c r="K670" s="14" t="e">
        <f>Planning[[#This Row],[Horas Planificadas]]+Planning[[#This Row],[Horas ajustadas adicionales]]-Planning[[#This Row],[Horas utilizadas]]</f>
        <v>#REF!</v>
      </c>
      <c r="L670" s="15">
        <v>0</v>
      </c>
      <c r="M670" s="16" t="e">
        <f>Planning[[#This Row],[Saldo]]-Planning[[#This Row],[Saldo estimado]]</f>
        <v>#REF!</v>
      </c>
      <c r="N670" s="60"/>
      <c r="O670" s="16">
        <f t="shared" si="20"/>
        <v>10</v>
      </c>
      <c r="P670" s="16">
        <f t="shared" si="21"/>
        <v>2024</v>
      </c>
      <c r="Q670" s="16" t="e">
        <f>+SUMIFS(#REF!,#REF!,Planning[[#This Row],[Tarifa]],#REF!,Planning[[#This Row],[Proyectos]],#REF!,Planning[[#This Row],[Mes]],#REF!,Planning[[#This Row],[Año]])</f>
        <v>#REF!</v>
      </c>
      <c r="R670" s="16" t="str">
        <f>TEXT(Planning[[#This Row],[Mes]]*29,"mmmm")</f>
        <v>October</v>
      </c>
      <c r="S6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70" s="193"/>
      <c r="U670" s="43" t="e">
        <f>IF(Planning[[#This Row],[Horas Planificadas]]&lt;&gt;0,+K670/Planning[[#This Row],[Horas Planificadas]],0)</f>
        <v>#REF!</v>
      </c>
      <c r="V670" s="43" t="e">
        <f>IF(Planning[[#This Row],[Horas Planificadas]]&lt;&gt;0,Planning[[#This Row],[Horas utilizadas]]/Planning[[#This Row],[Horas Planificadas]],0)</f>
        <v>#REF!</v>
      </c>
      <c r="W670" s="44">
        <f>Planning[[#This Row],[Horas Planificadas]]+Planning[[#This Row],[Horas ajustadas adicionales]]</f>
        <v>48</v>
      </c>
      <c r="X670" s="142"/>
    </row>
    <row r="671" spans="1:24" ht="12.75" customHeight="1" x14ac:dyDescent="0.2">
      <c r="A671" s="7" t="s">
        <v>204</v>
      </c>
      <c r="B671" s="7" t="s">
        <v>205</v>
      </c>
      <c r="C671" s="3"/>
      <c r="D671" s="3" t="s">
        <v>206</v>
      </c>
      <c r="E671" s="33" t="s">
        <v>32</v>
      </c>
      <c r="F671" s="3"/>
      <c r="G671" s="7">
        <v>90</v>
      </c>
      <c r="H671" s="24">
        <f>SUM(H672:H674)</f>
        <v>90</v>
      </c>
      <c r="I671" s="14"/>
      <c r="J671" s="14" t="e">
        <f>SUM(J672:J674)</f>
        <v>#REF!</v>
      </c>
      <c r="K671" s="18" t="e">
        <f>SUM(K672:K674)</f>
        <v>#REF!</v>
      </c>
      <c r="L671" s="15">
        <f>SUM(L672:L674)</f>
        <v>0</v>
      </c>
      <c r="M671" s="16" t="e">
        <f>SUM(M672:M674)</f>
        <v>#REF!</v>
      </c>
      <c r="N671" s="60"/>
      <c r="O671" s="16">
        <f t="shared" si="20"/>
        <v>10</v>
      </c>
      <c r="P671" s="16">
        <f t="shared" si="21"/>
        <v>2024</v>
      </c>
      <c r="Q671" s="16" t="e">
        <f>SUM(Q672:Q674)</f>
        <v>#REF!</v>
      </c>
      <c r="R671" s="16" t="str">
        <f>TEXT(Planning[[#This Row],[Mes]]*29,"mmmm")</f>
        <v>October</v>
      </c>
      <c r="S6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71" s="193"/>
      <c r="U671" s="43" t="e">
        <f>IF(Planning[[#This Row],[Horas Planificadas]]&lt;&gt;0,+K671/Planning[[#This Row],[Horas Planificadas]],0)</f>
        <v>#REF!</v>
      </c>
      <c r="V671" s="43" t="e">
        <f>IF(Planning[[#This Row],[Horas Planificadas]]&lt;&gt;0,Planning[[#This Row],[Horas utilizadas]]/Planning[[#This Row],[Horas Planificadas]],0)</f>
        <v>#REF!</v>
      </c>
      <c r="W671" s="44">
        <f>Planning[[#This Row],[Horas Planificadas]]+Planning[[#This Row],[Horas ajustadas adicionales]]</f>
        <v>90</v>
      </c>
      <c r="X671" s="142"/>
    </row>
    <row r="672" spans="1:24" ht="12.75" customHeight="1" x14ac:dyDescent="0.2">
      <c r="A672" s="7" t="s">
        <v>204</v>
      </c>
      <c r="B672" s="7" t="s">
        <v>205</v>
      </c>
      <c r="C672" s="3"/>
      <c r="D672" s="3" t="s">
        <v>206</v>
      </c>
      <c r="E672" s="33"/>
      <c r="F672" s="3" t="s">
        <v>129</v>
      </c>
      <c r="G672" s="7"/>
      <c r="H672" s="7"/>
      <c r="I672" s="12"/>
      <c r="J672" s="5" t="e">
        <f>SUM(SUMIFS(#REF!,#REF!,Planning[[#This Row],[Tipo de Tarea y especialidad]],#REF!,Planning[[#This Row],[Proyectos Reiwa]]),SUMIFS(#REF!,#REF!,Planning[[#This Row],[Tipo de Tarea y especialidad]],#REF!,Planning[[#This Row],[Proyectos]]))</f>
        <v>#REF!</v>
      </c>
      <c r="K672" s="5" t="e">
        <f>Planning[[#This Row],[Horas Planificadas]]+Planning[[#This Row],[Horas ajustadas adicionales]]-Planning[[#This Row],[Horas utilizadas]]</f>
        <v>#REF!</v>
      </c>
      <c r="L672" s="7"/>
      <c r="M672" s="19" t="e">
        <f>Planning[[#This Row],[Saldo]]-Planning[[#This Row],[Saldo estimado]]</f>
        <v>#REF!</v>
      </c>
      <c r="N672" s="60" t="e">
        <f>+SUMIFS(#REF!,#REF!,Planning[[#This Row],[Proyectos]],#REF!,Planning[[#This Row],[Tipo de Tarea y especialidad]])</f>
        <v>#REF!</v>
      </c>
      <c r="O672" s="19">
        <f t="shared" si="20"/>
        <v>10</v>
      </c>
      <c r="P672" s="19">
        <f t="shared" si="21"/>
        <v>2024</v>
      </c>
      <c r="Q6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72" s="19" t="str">
        <f>TEXT(Planning[[#This Row],[Mes]]*29,"mmmm")</f>
        <v>October</v>
      </c>
      <c r="S6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72" s="193"/>
      <c r="U672" s="43">
        <f>IF(Planning[[#This Row],[Horas Planificadas]]&lt;&gt;0,+K672/Planning[[#This Row],[Horas Planificadas]],0)</f>
        <v>0</v>
      </c>
      <c r="V672" s="43">
        <f>IF(Planning[[#This Row],[Horas Planificadas]]&lt;&gt;0,Planning[[#This Row],[Horas utilizadas]]/Planning[[#This Row],[Horas Planificadas]],0)</f>
        <v>0</v>
      </c>
      <c r="W672" s="44">
        <f>Planning[[#This Row],[Horas Planificadas]]+Planning[[#This Row],[Horas ajustadas adicionales]]</f>
        <v>0</v>
      </c>
      <c r="X672" s="142"/>
    </row>
    <row r="673" spans="1:24" ht="12.75" customHeight="1" x14ac:dyDescent="0.2">
      <c r="A673" s="7" t="s">
        <v>204</v>
      </c>
      <c r="B673" s="7" t="s">
        <v>205</v>
      </c>
      <c r="C673" s="3"/>
      <c r="D673" s="3" t="s">
        <v>206</v>
      </c>
      <c r="E673" s="33"/>
      <c r="F673" s="3" t="s">
        <v>130</v>
      </c>
      <c r="G673" s="7"/>
      <c r="H673" s="7">
        <v>90</v>
      </c>
      <c r="I673" s="12"/>
      <c r="J673" s="5" t="e">
        <f>SUM(SUMIFS(#REF!,#REF!,Planning[[#This Row],[Tipo de Tarea y especialidad]],#REF!,Planning[[#This Row],[Proyectos Reiwa]]),SUMIFS(#REF!,#REF!,Planning[[#This Row],[Tipo de Tarea y especialidad]],#REF!,Planning[[#This Row],[Proyectos]]))</f>
        <v>#REF!</v>
      </c>
      <c r="K673" s="5" t="e">
        <f>Planning[[#This Row],[Horas Planificadas]]+Planning[[#This Row],[Horas ajustadas adicionales]]-Planning[[#This Row],[Horas utilizadas]]</f>
        <v>#REF!</v>
      </c>
      <c r="L673" s="7">
        <v>0</v>
      </c>
      <c r="M673" s="19" t="e">
        <f>Planning[[#This Row],[Saldo]]-Planning[[#This Row],[Saldo estimado]]</f>
        <v>#REF!</v>
      </c>
      <c r="N673" s="60" t="e">
        <f>+SUMIFS(#REF!,#REF!,Planning[[#This Row],[Proyectos]],#REF!,Planning[[#This Row],[Tipo de Tarea y especialidad]])</f>
        <v>#REF!</v>
      </c>
      <c r="O673" s="19">
        <f t="shared" si="20"/>
        <v>10</v>
      </c>
      <c r="P673" s="19">
        <f t="shared" si="21"/>
        <v>2024</v>
      </c>
      <c r="Q6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73" s="19" t="str">
        <f>TEXT(Planning[[#This Row],[Mes]]*29,"mmmm")</f>
        <v>October</v>
      </c>
      <c r="S6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73" s="193"/>
      <c r="U673" s="43" t="e">
        <f>IF(Planning[[#This Row],[Horas Planificadas]]&lt;&gt;0,+K673/Planning[[#This Row],[Horas Planificadas]],0)</f>
        <v>#REF!</v>
      </c>
      <c r="V673" s="43" t="e">
        <f>IF(Planning[[#This Row],[Horas Planificadas]]&lt;&gt;0,Planning[[#This Row],[Horas utilizadas]]/Planning[[#This Row],[Horas Planificadas]],0)</f>
        <v>#REF!</v>
      </c>
      <c r="W673" s="44">
        <f>Planning[[#This Row],[Horas Planificadas]]+Planning[[#This Row],[Horas ajustadas adicionales]]</f>
        <v>90</v>
      </c>
      <c r="X673" s="142"/>
    </row>
    <row r="674" spans="1:24" ht="12.75" customHeight="1" x14ac:dyDescent="0.2">
      <c r="A674" s="7" t="s">
        <v>204</v>
      </c>
      <c r="B674" s="7" t="s">
        <v>205</v>
      </c>
      <c r="C674" s="3"/>
      <c r="D674" s="3" t="s">
        <v>206</v>
      </c>
      <c r="E674" s="33"/>
      <c r="F674" s="3" t="s">
        <v>131</v>
      </c>
      <c r="G674" s="7"/>
      <c r="H674" s="7"/>
      <c r="I674" s="12"/>
      <c r="J674" s="5" t="e">
        <f>SUM(SUMIFS(#REF!,#REF!,Planning[[#This Row],[Tipo de Tarea y especialidad]],#REF!,Planning[[#This Row],[Proyectos Reiwa]]),SUMIFS(#REF!,#REF!,Planning[[#This Row],[Tipo de Tarea y especialidad]],#REF!,Planning[[#This Row],[Proyectos]]))</f>
        <v>#REF!</v>
      </c>
      <c r="K674" s="5" t="e">
        <f>Planning[[#This Row],[Horas Planificadas]]+Planning[[#This Row],[Horas ajustadas adicionales]]-Planning[[#This Row],[Horas utilizadas]]</f>
        <v>#REF!</v>
      </c>
      <c r="L674" s="7"/>
      <c r="M674" s="19" t="e">
        <f>Planning[[#This Row],[Saldo]]-Planning[[#This Row],[Saldo estimado]]</f>
        <v>#REF!</v>
      </c>
      <c r="N674" s="60" t="e">
        <f>+SUMIFS(#REF!,#REF!,Planning[[#This Row],[Proyectos]],#REF!,Planning[[#This Row],[Tipo de Tarea y especialidad]])</f>
        <v>#REF!</v>
      </c>
      <c r="O674" s="19">
        <f t="shared" si="20"/>
        <v>10</v>
      </c>
      <c r="P674" s="19">
        <f t="shared" si="21"/>
        <v>2024</v>
      </c>
      <c r="Q6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74" s="19" t="str">
        <f>TEXT(Planning[[#This Row],[Mes]]*29,"mmmm")</f>
        <v>October</v>
      </c>
      <c r="S6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74" s="193"/>
      <c r="U674" s="43">
        <f>IF(Planning[[#This Row],[Horas Planificadas]]&lt;&gt;0,+K674/Planning[[#This Row],[Horas Planificadas]],0)</f>
        <v>0</v>
      </c>
      <c r="V674" s="43">
        <f>IF(Planning[[#This Row],[Horas Planificadas]]&lt;&gt;0,Planning[[#This Row],[Horas utilizadas]]/Planning[[#This Row],[Horas Planificadas]],0)</f>
        <v>0</v>
      </c>
      <c r="W674" s="44">
        <f>Planning[[#This Row],[Horas Planificadas]]+Planning[[#This Row],[Horas ajustadas adicionales]]</f>
        <v>0</v>
      </c>
      <c r="X674" s="142"/>
    </row>
    <row r="675" spans="1:24" ht="12.75" customHeight="1" x14ac:dyDescent="0.2">
      <c r="A675" s="7"/>
      <c r="B675" s="7"/>
      <c r="C675" s="3"/>
      <c r="D675" s="3" t="s">
        <v>208</v>
      </c>
      <c r="E675" s="33" t="s">
        <v>28</v>
      </c>
      <c r="F675" s="3"/>
      <c r="G675" s="7"/>
      <c r="H675" s="7">
        <v>0</v>
      </c>
      <c r="I675" s="12"/>
      <c r="J675" s="5" t="e">
        <f>+SUMIFS(#REF!,#REF!,Planning[[#This Row],[Tarifa]],#REF!,Planning[[#This Row],[Proyectos]])</f>
        <v>#REF!</v>
      </c>
      <c r="K675" s="5" t="e">
        <f>Planning[[#This Row],[Horas Planificadas]]+Planning[[#This Row],[Horas ajustadas adicionales]]-Planning[[#This Row],[Horas utilizadas]]</f>
        <v>#REF!</v>
      </c>
      <c r="L675" s="7"/>
      <c r="M675" s="19" t="e">
        <f>Planning[[#This Row],[Saldo]]-Planning[[#This Row],[Saldo estimado]]</f>
        <v>#REF!</v>
      </c>
      <c r="N675" s="60" t="e">
        <f>+SUMIFS(#REF!,#REF!,Planning[[#This Row],[Proyectos]],#REF!,Planning[[#This Row],[Tipo de Tarea y especialidad]])</f>
        <v>#REF!</v>
      </c>
      <c r="O675" s="19">
        <f t="shared" si="20"/>
        <v>10</v>
      </c>
      <c r="P675" s="19">
        <f t="shared" si="21"/>
        <v>2024</v>
      </c>
      <c r="Q675" s="19" t="e">
        <f>+SUMIFS(#REF!,#REF!,Planning[[#This Row],[Tarifa]],#REF!,Planning[[#This Row],[Proyectos]],#REF!,Planning[[#This Row],[Mes]],#REF!,Planning[[#This Row],[Año]])</f>
        <v>#REF!</v>
      </c>
      <c r="R675" s="19" t="str">
        <f>TEXT(Planning[[#This Row],[Mes]]*29,"mmmm")</f>
        <v>October</v>
      </c>
      <c r="S6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75" s="228"/>
      <c r="U675" s="43">
        <f>IF(Planning[[#This Row],[Horas Planificadas]]&lt;&gt;0,+K675/Planning[[#This Row],[Horas Planificadas]],0)</f>
        <v>0</v>
      </c>
      <c r="V675" s="43">
        <f>IF(Planning[[#This Row],[Horas Planificadas]]&lt;&gt;0,Planning[[#This Row],[Horas utilizadas]]/Planning[[#This Row],[Horas Planificadas]],0)</f>
        <v>0</v>
      </c>
      <c r="W675" s="44">
        <f>Planning[[#This Row],[Horas Planificadas]]+Planning[[#This Row],[Horas ajustadas adicionales]]</f>
        <v>0</v>
      </c>
      <c r="X675" s="142"/>
    </row>
    <row r="676" spans="1:24" ht="12.75" customHeight="1" x14ac:dyDescent="0.2">
      <c r="A676" s="7"/>
      <c r="B676" s="7"/>
      <c r="C676" s="3"/>
      <c r="D676" s="3" t="s">
        <v>208</v>
      </c>
      <c r="E676" s="33" t="s">
        <v>30</v>
      </c>
      <c r="F676" s="3"/>
      <c r="G676" s="7"/>
      <c r="H676" s="7">
        <v>126</v>
      </c>
      <c r="I676" s="12"/>
      <c r="J676" s="5" t="e">
        <f>+SUMIFS(#REF!,#REF!,Planning[[#This Row],[Tarifa]],#REF!,Planning[[#This Row],[Proyectos]])</f>
        <v>#REF!</v>
      </c>
      <c r="K676" s="5" t="e">
        <f>Planning[[#This Row],[Horas Planificadas]]+Planning[[#This Row],[Horas ajustadas adicionales]]-Planning[[#This Row],[Horas utilizadas]]</f>
        <v>#REF!</v>
      </c>
      <c r="L676" s="7"/>
      <c r="M676" s="19" t="e">
        <f>Planning[[#This Row],[Saldo]]-Planning[[#This Row],[Saldo estimado]]</f>
        <v>#REF!</v>
      </c>
      <c r="N676" s="60" t="e">
        <f>+SUMIFS(#REF!,#REF!,Planning[[#This Row],[Proyectos]],#REF!,Planning[[#This Row],[Tipo de Tarea y especialidad]])</f>
        <v>#REF!</v>
      </c>
      <c r="O676" s="19">
        <f t="shared" si="20"/>
        <v>10</v>
      </c>
      <c r="P676" s="19">
        <f t="shared" si="21"/>
        <v>2024</v>
      </c>
      <c r="Q676" s="19" t="e">
        <f>+SUMIFS(#REF!,#REF!,Planning[[#This Row],[Tarifa]],#REF!,Planning[[#This Row],[Proyectos]],#REF!,Planning[[#This Row],[Mes]],#REF!,Planning[[#This Row],[Año]])</f>
        <v>#REF!</v>
      </c>
      <c r="R676" s="19" t="str">
        <f>TEXT(Planning[[#This Row],[Mes]]*29,"mmmm")</f>
        <v>October</v>
      </c>
      <c r="S6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76" s="228"/>
      <c r="U676" s="43" t="e">
        <f>IF(Planning[[#This Row],[Horas Planificadas]]&lt;&gt;0,+K676/Planning[[#This Row],[Horas Planificadas]],0)</f>
        <v>#REF!</v>
      </c>
      <c r="V676" s="43" t="e">
        <f>IF(Planning[[#This Row],[Horas Planificadas]]&lt;&gt;0,Planning[[#This Row],[Horas utilizadas]]/Planning[[#This Row],[Horas Planificadas]],0)</f>
        <v>#REF!</v>
      </c>
      <c r="W676" s="44">
        <f>Planning[[#This Row],[Horas Planificadas]]+Planning[[#This Row],[Horas ajustadas adicionales]]</f>
        <v>126</v>
      </c>
      <c r="X676" s="142"/>
    </row>
    <row r="677" spans="1:24" ht="12.75" customHeight="1" x14ac:dyDescent="0.2">
      <c r="A677" s="7"/>
      <c r="B677" s="7"/>
      <c r="C677" s="3"/>
      <c r="D677" s="3" t="s">
        <v>208</v>
      </c>
      <c r="E677" s="33" t="s">
        <v>31</v>
      </c>
      <c r="F677" s="3"/>
      <c r="G677" s="7"/>
      <c r="H677" s="7">
        <v>18</v>
      </c>
      <c r="I677" s="12"/>
      <c r="J677" s="5" t="e">
        <f>+SUMIFS(#REF!,#REF!,Planning[[#This Row],[Tarifa]],#REF!,Planning[[#This Row],[Proyectos]])</f>
        <v>#REF!</v>
      </c>
      <c r="K677" s="5" t="e">
        <f>Planning[[#This Row],[Horas Planificadas]]+Planning[[#This Row],[Horas ajustadas adicionales]]-Planning[[#This Row],[Horas utilizadas]]</f>
        <v>#REF!</v>
      </c>
      <c r="L677" s="7"/>
      <c r="M677" s="19" t="e">
        <f>Planning[[#This Row],[Saldo]]-Planning[[#This Row],[Saldo estimado]]</f>
        <v>#REF!</v>
      </c>
      <c r="N677" s="60" t="e">
        <f>+SUMIFS(#REF!,#REF!,Planning[[#This Row],[Proyectos]],#REF!,Planning[[#This Row],[Tipo de Tarea y especialidad]])</f>
        <v>#REF!</v>
      </c>
      <c r="O677" s="19">
        <f t="shared" si="20"/>
        <v>10</v>
      </c>
      <c r="P677" s="19">
        <f t="shared" si="21"/>
        <v>2024</v>
      </c>
      <c r="Q677" s="19" t="e">
        <f>+SUMIFS(#REF!,#REF!,Planning[[#This Row],[Tarifa]],#REF!,Planning[[#This Row],[Proyectos]],#REF!,Planning[[#This Row],[Mes]],#REF!,Planning[[#This Row],[Año]])</f>
        <v>#REF!</v>
      </c>
      <c r="R677" s="19" t="str">
        <f>TEXT(Planning[[#This Row],[Mes]]*29,"mmmm")</f>
        <v>October</v>
      </c>
      <c r="S6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77" s="228"/>
      <c r="U677" s="43" t="e">
        <f>IF(Planning[[#This Row],[Horas Planificadas]]&lt;&gt;0,+K677/Planning[[#This Row],[Horas Planificadas]],0)</f>
        <v>#REF!</v>
      </c>
      <c r="V677" s="43" t="e">
        <f>IF(Planning[[#This Row],[Horas Planificadas]]&lt;&gt;0,Planning[[#This Row],[Horas utilizadas]]/Planning[[#This Row],[Horas Planificadas]],0)</f>
        <v>#REF!</v>
      </c>
      <c r="W677" s="44">
        <f>Planning[[#This Row],[Horas Planificadas]]+Planning[[#This Row],[Horas ajustadas adicionales]]</f>
        <v>18</v>
      </c>
      <c r="X677" s="142"/>
    </row>
    <row r="678" spans="1:24" ht="12.75" customHeight="1" x14ac:dyDescent="0.2">
      <c r="A678" s="7"/>
      <c r="B678" s="7"/>
      <c r="C678" s="3"/>
      <c r="D678" s="3" t="s">
        <v>208</v>
      </c>
      <c r="E678" s="33" t="s">
        <v>32</v>
      </c>
      <c r="F678" s="3"/>
      <c r="G678" s="7"/>
      <c r="H678" s="7">
        <v>45</v>
      </c>
      <c r="I678" s="12"/>
      <c r="J678" s="5" t="e">
        <f>+SUMIFS(#REF!,#REF!,Planning[[#This Row],[Tarifa]],#REF!,Planning[[#This Row],[Proyectos]])</f>
        <v>#REF!</v>
      </c>
      <c r="K678" s="5" t="e">
        <f>Planning[[#This Row],[Horas Planificadas]]+Planning[[#This Row],[Horas ajustadas adicionales]]-Planning[[#This Row],[Horas utilizadas]]</f>
        <v>#REF!</v>
      </c>
      <c r="L678" s="7"/>
      <c r="M678" s="19" t="e">
        <f>Planning[[#This Row],[Saldo]]-Planning[[#This Row],[Saldo estimado]]</f>
        <v>#REF!</v>
      </c>
      <c r="N678" s="60" t="e">
        <f>+SUMIFS(#REF!,#REF!,Planning[[#This Row],[Proyectos]],#REF!,Planning[[#This Row],[Tipo de Tarea y especialidad]])</f>
        <v>#REF!</v>
      </c>
      <c r="O678" s="19">
        <f t="shared" si="20"/>
        <v>10</v>
      </c>
      <c r="P678" s="19">
        <f t="shared" si="21"/>
        <v>2024</v>
      </c>
      <c r="Q678" s="19" t="e">
        <f>+SUMIFS(#REF!,#REF!,Planning[[#This Row],[Tarifa]],#REF!,Planning[[#This Row],[Proyectos]],#REF!,Planning[[#This Row],[Mes]],#REF!,Planning[[#This Row],[Año]])</f>
        <v>#REF!</v>
      </c>
      <c r="R678" s="19" t="str">
        <f>TEXT(Planning[[#This Row],[Mes]]*29,"mmmm")</f>
        <v>October</v>
      </c>
      <c r="S6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78" s="228"/>
      <c r="U678" s="43" t="e">
        <f>IF(Planning[[#This Row],[Horas Planificadas]]&lt;&gt;0,+K678/Planning[[#This Row],[Horas Planificadas]],0)</f>
        <v>#REF!</v>
      </c>
      <c r="V678" s="43" t="e">
        <f>IF(Planning[[#This Row],[Horas Planificadas]]&lt;&gt;0,Planning[[#This Row],[Horas utilizadas]]/Planning[[#This Row],[Horas Planificadas]],0)</f>
        <v>#REF!</v>
      </c>
      <c r="W678" s="44">
        <f>Planning[[#This Row],[Horas Planificadas]]+Planning[[#This Row],[Horas ajustadas adicionales]]</f>
        <v>45</v>
      </c>
      <c r="X678" s="142"/>
    </row>
    <row r="679" spans="1:24" ht="22.5" x14ac:dyDescent="0.2">
      <c r="A679" s="7"/>
      <c r="B679" s="7"/>
      <c r="C679" s="3"/>
      <c r="D679" s="3" t="s">
        <v>209</v>
      </c>
      <c r="E679" s="4" t="s">
        <v>28</v>
      </c>
      <c r="F679" s="3"/>
      <c r="G679" s="9"/>
      <c r="H679" s="12">
        <v>0</v>
      </c>
      <c r="I679" s="12"/>
      <c r="J679" s="5" t="e">
        <f>+SUMIFS(#REF!,#REF!,Planning[[#This Row],[Tarifa]],#REF!,Planning[[#This Row],[Proyectos]])</f>
        <v>#REF!</v>
      </c>
      <c r="K679" s="27" t="e">
        <f>Planning[[#This Row],[Horas Planificadas]]+Planning[[#This Row],[Horas ajustadas adicionales]]-Planning[[#This Row],[Horas utilizadas]]</f>
        <v>#REF!</v>
      </c>
      <c r="L679" s="7"/>
      <c r="M679" s="34" t="e">
        <f>Planning[[#This Row],[Saldo]]-Planning[[#This Row],[Saldo estimado]]</f>
        <v>#REF!</v>
      </c>
      <c r="N679" s="62" t="e">
        <f>+SUMIFS(#REF!,#REF!,Planning[[#This Row],[Proyectos]],#REF!,Planning[[#This Row],[Tipo de Tarea y especialidad]])</f>
        <v>#REF!</v>
      </c>
      <c r="O679" s="34">
        <f t="shared" si="20"/>
        <v>10</v>
      </c>
      <c r="P679" s="34">
        <f t="shared" si="21"/>
        <v>2024</v>
      </c>
      <c r="Q679" s="34" t="e">
        <f>+SUMIFS(#REF!,#REF!,Planning[[#This Row],[Tarifa]],#REF!,Planning[[#This Row],[Proyectos]],#REF!,Planning[[#This Row],[Mes]],#REF!,Planning[[#This Row],[Año]])</f>
        <v>#REF!</v>
      </c>
      <c r="R679" s="34" t="str">
        <f>TEXT(Planning[[#This Row],[Mes]]*29,"mmmm")</f>
        <v>October</v>
      </c>
      <c r="S67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79" s="228"/>
      <c r="U679" s="43">
        <f>IF(Planning[[#This Row],[Horas Planificadas]]&lt;&gt;0,+K679/Planning[[#This Row],[Horas Planificadas]],0)</f>
        <v>0</v>
      </c>
      <c r="V679" s="43">
        <f>IF(Planning[[#This Row],[Horas Planificadas]]&lt;&gt;0,Planning[[#This Row],[Horas utilizadas]]/Planning[[#This Row],[Horas Planificadas]],0)</f>
        <v>0</v>
      </c>
      <c r="W679" s="44">
        <f>Planning[[#This Row],[Horas Planificadas]]+Planning[[#This Row],[Horas ajustadas adicionales]]</f>
        <v>0</v>
      </c>
      <c r="X679" s="142"/>
    </row>
    <row r="680" spans="1:24" x14ac:dyDescent="0.2">
      <c r="A680" s="7"/>
      <c r="B680" s="7"/>
      <c r="C680" s="3"/>
      <c r="D680" s="3" t="s">
        <v>209</v>
      </c>
      <c r="E680" s="4" t="s">
        <v>30</v>
      </c>
      <c r="F680" s="3"/>
      <c r="G680" s="9"/>
      <c r="H680" s="9">
        <v>0</v>
      </c>
      <c r="I680" s="12"/>
      <c r="J680" s="5" t="e">
        <f>+SUMIFS(#REF!,#REF!,Planning[[#This Row],[Tarifa]],#REF!,Planning[[#This Row],[Proyectos]])</f>
        <v>#REF!</v>
      </c>
      <c r="K680" s="5" t="e">
        <f>Planning[[#This Row],[Horas Planificadas]]+Planning[[#This Row],[Horas ajustadas adicionales]]-Planning[[#This Row],[Horas utilizadas]]</f>
        <v>#REF!</v>
      </c>
      <c r="L680" s="7"/>
      <c r="M680" s="19" t="e">
        <f>Planning[[#This Row],[Saldo]]-Planning[[#This Row],[Saldo estimado]]</f>
        <v>#REF!</v>
      </c>
      <c r="N680" s="60" t="e">
        <f>+SUMIFS(#REF!,#REF!,Planning[[#This Row],[Proyectos]],#REF!,Planning[[#This Row],[Tipo de Tarea y especialidad]])</f>
        <v>#REF!</v>
      </c>
      <c r="O680" s="19">
        <f t="shared" si="20"/>
        <v>10</v>
      </c>
      <c r="P680" s="19">
        <f t="shared" si="21"/>
        <v>2024</v>
      </c>
      <c r="Q680" s="19" t="e">
        <f>+SUMIFS(#REF!,#REF!,Planning[[#This Row],[Tarifa]],#REF!,Planning[[#This Row],[Proyectos]],#REF!,Planning[[#This Row],[Mes]],#REF!,Planning[[#This Row],[Año]])</f>
        <v>#REF!</v>
      </c>
      <c r="R680" s="19" t="str">
        <f>TEXT(Planning[[#This Row],[Mes]]*29,"mmmm")</f>
        <v>October</v>
      </c>
      <c r="S6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80" s="228"/>
      <c r="U680" s="43">
        <f>IF(Planning[[#This Row],[Horas Planificadas]]&lt;&gt;0,+K680/Planning[[#This Row],[Horas Planificadas]],0)</f>
        <v>0</v>
      </c>
      <c r="V680" s="43">
        <f>IF(Planning[[#This Row],[Horas Planificadas]]&lt;&gt;0,Planning[[#This Row],[Horas utilizadas]]/Planning[[#This Row],[Horas Planificadas]],0)</f>
        <v>0</v>
      </c>
      <c r="W680" s="44">
        <f>Planning[[#This Row],[Horas Planificadas]]+Planning[[#This Row],[Horas ajustadas adicionales]]</f>
        <v>0</v>
      </c>
      <c r="X680" s="142"/>
    </row>
    <row r="681" spans="1:24" x14ac:dyDescent="0.2">
      <c r="A681" s="7"/>
      <c r="B681" s="7"/>
      <c r="C681" s="3"/>
      <c r="D681" s="3" t="s">
        <v>209</v>
      </c>
      <c r="E681" s="4" t="s">
        <v>31</v>
      </c>
      <c r="F681" s="3"/>
      <c r="G681" s="9"/>
      <c r="H681" s="9">
        <v>0</v>
      </c>
      <c r="I681" s="12"/>
      <c r="J681" s="5" t="e">
        <f>+SUMIFS(#REF!,#REF!,Planning[[#This Row],[Tarifa]],#REF!,Planning[[#This Row],[Proyectos]])</f>
        <v>#REF!</v>
      </c>
      <c r="K681" s="5" t="e">
        <f>Planning[[#This Row],[Horas Planificadas]]+Planning[[#This Row],[Horas ajustadas adicionales]]-Planning[[#This Row],[Horas utilizadas]]</f>
        <v>#REF!</v>
      </c>
      <c r="L681" s="7"/>
      <c r="M681" s="19" t="e">
        <f>Planning[[#This Row],[Saldo]]-Planning[[#This Row],[Saldo estimado]]</f>
        <v>#REF!</v>
      </c>
      <c r="N681" s="60" t="e">
        <f>+SUMIFS(#REF!,#REF!,Planning[[#This Row],[Proyectos]],#REF!,Planning[[#This Row],[Tipo de Tarea y especialidad]])</f>
        <v>#REF!</v>
      </c>
      <c r="O681" s="19">
        <f t="shared" si="20"/>
        <v>10</v>
      </c>
      <c r="P681" s="19">
        <f t="shared" si="21"/>
        <v>2024</v>
      </c>
      <c r="Q681" s="19" t="e">
        <f>+SUMIFS(#REF!,#REF!,Planning[[#This Row],[Tarifa]],#REF!,Planning[[#This Row],[Proyectos]],#REF!,Planning[[#This Row],[Mes]],#REF!,Planning[[#This Row],[Año]])</f>
        <v>#REF!</v>
      </c>
      <c r="R681" s="19" t="str">
        <f>TEXT(Planning[[#This Row],[Mes]]*29,"mmmm")</f>
        <v>October</v>
      </c>
      <c r="S6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81" s="228"/>
      <c r="U681" s="43">
        <f>IF(Planning[[#This Row],[Horas Planificadas]]&lt;&gt;0,+K681/Planning[[#This Row],[Horas Planificadas]],0)</f>
        <v>0</v>
      </c>
      <c r="V681" s="43">
        <f>IF(Planning[[#This Row],[Horas Planificadas]]&lt;&gt;0,Planning[[#This Row],[Horas utilizadas]]/Planning[[#This Row],[Horas Planificadas]],0)</f>
        <v>0</v>
      </c>
      <c r="W681" s="44">
        <f>Planning[[#This Row],[Horas Planificadas]]+Planning[[#This Row],[Horas ajustadas adicionales]]</f>
        <v>0</v>
      </c>
      <c r="X681" s="142"/>
    </row>
    <row r="682" spans="1:24" ht="22.5" x14ac:dyDescent="0.2">
      <c r="A682" s="7"/>
      <c r="B682" s="7"/>
      <c r="C682" s="3"/>
      <c r="D682" s="3" t="s">
        <v>209</v>
      </c>
      <c r="E682" s="4" t="s">
        <v>32</v>
      </c>
      <c r="F682" s="3"/>
      <c r="G682" s="9"/>
      <c r="H682" s="12">
        <v>9</v>
      </c>
      <c r="I682" s="12"/>
      <c r="J682" s="5" t="e">
        <f>+SUMIFS(#REF!,#REF!,Planning[[#This Row],[Tarifa]],#REF!,Planning[[#This Row],[Proyectos]])</f>
        <v>#REF!</v>
      </c>
      <c r="K682" s="27" t="e">
        <f>Planning[[#This Row],[Horas Planificadas]]+Planning[[#This Row],[Horas ajustadas adicionales]]-Planning[[#This Row],[Horas utilizadas]]</f>
        <v>#REF!</v>
      </c>
      <c r="L682" s="7"/>
      <c r="M682" s="19" t="e">
        <f>Planning[[#This Row],[Saldo]]-Planning[[#This Row],[Saldo estimado]]</f>
        <v>#REF!</v>
      </c>
      <c r="N682" s="60" t="e">
        <f>+SUMIFS(#REF!,#REF!,Planning[[#This Row],[Proyectos]],#REF!,Planning[[#This Row],[Tipo de Tarea y especialidad]])</f>
        <v>#REF!</v>
      </c>
      <c r="O682" s="19">
        <f t="shared" si="20"/>
        <v>10</v>
      </c>
      <c r="P682" s="19">
        <f t="shared" si="21"/>
        <v>2024</v>
      </c>
      <c r="Q682" s="19" t="e">
        <f>+SUMIFS(#REF!,#REF!,Planning[[#This Row],[Tarifa]],#REF!,Planning[[#This Row],[Proyectos]],#REF!,Planning[[#This Row],[Mes]],#REF!,Planning[[#This Row],[Año]])</f>
        <v>#REF!</v>
      </c>
      <c r="R682" s="19" t="str">
        <f>TEXT(Planning[[#This Row],[Mes]]*29,"mmmm")</f>
        <v>October</v>
      </c>
      <c r="S6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82" s="228"/>
      <c r="U682" s="43" t="e">
        <f>IF(Planning[[#This Row],[Horas Planificadas]]&lt;&gt;0,+K682/Planning[[#This Row],[Horas Planificadas]],0)</f>
        <v>#REF!</v>
      </c>
      <c r="V682" s="43" t="e">
        <f>IF(Planning[[#This Row],[Horas Planificadas]]&lt;&gt;0,Planning[[#This Row],[Horas utilizadas]]/Planning[[#This Row],[Horas Planificadas]],0)</f>
        <v>#REF!</v>
      </c>
      <c r="W682" s="44">
        <f>Planning[[#This Row],[Horas Planificadas]]+Planning[[#This Row],[Horas ajustadas adicionales]]</f>
        <v>9</v>
      </c>
      <c r="X682" s="142"/>
    </row>
    <row r="683" spans="1:24" ht="22.5" x14ac:dyDescent="0.2">
      <c r="A683" s="7"/>
      <c r="B683" s="7"/>
      <c r="C683" s="3"/>
      <c r="D683" s="3" t="s">
        <v>210</v>
      </c>
      <c r="E683" s="4" t="s">
        <v>28</v>
      </c>
      <c r="F683" s="3"/>
      <c r="G683" s="9"/>
      <c r="H683" s="9">
        <v>1016</v>
      </c>
      <c r="I683" s="12"/>
      <c r="J683" s="5" t="e">
        <f>+SUMIFS(#REF!,#REF!,Planning[[#This Row],[Tarifa]],#REF!,Planning[[#This Row],[Proyectos]])</f>
        <v>#REF!</v>
      </c>
      <c r="K683" s="5" t="e">
        <f>Planning[[#This Row],[Horas Planificadas]]+Planning[[#This Row],[Horas ajustadas adicionales]]-Planning[[#This Row],[Horas utilizadas]]</f>
        <v>#REF!</v>
      </c>
      <c r="L683" s="7"/>
      <c r="M683" s="19" t="e">
        <f>Planning[[#This Row],[Saldo]]-Planning[[#This Row],[Saldo estimado]]</f>
        <v>#REF!</v>
      </c>
      <c r="N683" s="60" t="e">
        <f>+SUMIFS(#REF!,#REF!,Planning[[#This Row],[Proyectos]],#REF!,Planning[[#This Row],[Tipo de Tarea y especialidad]])</f>
        <v>#REF!</v>
      </c>
      <c r="O683" s="19">
        <f t="shared" si="20"/>
        <v>10</v>
      </c>
      <c r="P683" s="19">
        <f t="shared" si="21"/>
        <v>2024</v>
      </c>
      <c r="Q683" s="19" t="e">
        <f>+SUMIFS(#REF!,#REF!,Planning[[#This Row],[Tarifa]],#REF!,Planning[[#This Row],[Proyectos]],#REF!,Planning[[#This Row],[Mes]],#REF!,Planning[[#This Row],[Año]])</f>
        <v>#REF!</v>
      </c>
      <c r="R683" s="19" t="str">
        <f>TEXT(Planning[[#This Row],[Mes]]*29,"mmmm")</f>
        <v>October</v>
      </c>
      <c r="S6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83" s="228"/>
      <c r="U683" s="43" t="e">
        <f>IF(Planning[[#This Row],[Horas Planificadas]]&lt;&gt;0,+K683/Planning[[#This Row],[Horas Planificadas]],0)</f>
        <v>#REF!</v>
      </c>
      <c r="V683" s="43" t="e">
        <f>IF(Planning[[#This Row],[Horas Planificadas]]&lt;&gt;0,Planning[[#This Row],[Horas utilizadas]]/Planning[[#This Row],[Horas Planificadas]],0)</f>
        <v>#REF!</v>
      </c>
      <c r="W683" s="44">
        <f>Planning[[#This Row],[Horas Planificadas]]+Planning[[#This Row],[Horas ajustadas adicionales]]</f>
        <v>1016</v>
      </c>
      <c r="X683" s="142"/>
    </row>
    <row r="684" spans="1:24" x14ac:dyDescent="0.2">
      <c r="A684" s="7"/>
      <c r="B684" s="7"/>
      <c r="C684" s="3"/>
      <c r="D684" s="3" t="s">
        <v>210</v>
      </c>
      <c r="E684" s="4" t="s">
        <v>30</v>
      </c>
      <c r="F684" s="3"/>
      <c r="G684" s="9"/>
      <c r="H684" s="9">
        <v>909</v>
      </c>
      <c r="I684" s="12"/>
      <c r="J684" s="5" t="e">
        <f>+SUMIFS(#REF!,#REF!,Planning[[#This Row],[Tarifa]],#REF!,Planning[[#This Row],[Proyectos]])</f>
        <v>#REF!</v>
      </c>
      <c r="K684" s="5" t="e">
        <f>Planning[[#This Row],[Horas Planificadas]]+Planning[[#This Row],[Horas ajustadas adicionales]]-Planning[[#This Row],[Horas utilizadas]]</f>
        <v>#REF!</v>
      </c>
      <c r="L684" s="7"/>
      <c r="M684" s="19" t="e">
        <f>Planning[[#This Row],[Saldo]]-Planning[[#This Row],[Saldo estimado]]</f>
        <v>#REF!</v>
      </c>
      <c r="N684" s="60" t="e">
        <f>+SUMIFS(#REF!,#REF!,Planning[[#This Row],[Proyectos]],#REF!,Planning[[#This Row],[Tipo de Tarea y especialidad]])</f>
        <v>#REF!</v>
      </c>
      <c r="O684" s="19">
        <f t="shared" si="20"/>
        <v>10</v>
      </c>
      <c r="P684" s="19">
        <f t="shared" si="21"/>
        <v>2024</v>
      </c>
      <c r="Q684" s="19" t="e">
        <f>+SUMIFS(#REF!,#REF!,Planning[[#This Row],[Tarifa]],#REF!,Planning[[#This Row],[Proyectos]],#REF!,Planning[[#This Row],[Mes]],#REF!,Planning[[#This Row],[Año]])</f>
        <v>#REF!</v>
      </c>
      <c r="R684" s="19" t="str">
        <f>TEXT(Planning[[#This Row],[Mes]]*29,"mmmm")</f>
        <v>October</v>
      </c>
      <c r="S6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84" s="228"/>
      <c r="U684" s="43" t="e">
        <f>IF(Planning[[#This Row],[Horas Planificadas]]&lt;&gt;0,+K684/Planning[[#This Row],[Horas Planificadas]],0)</f>
        <v>#REF!</v>
      </c>
      <c r="V684" s="43" t="e">
        <f>IF(Planning[[#This Row],[Horas Planificadas]]&lt;&gt;0,Planning[[#This Row],[Horas utilizadas]]/Planning[[#This Row],[Horas Planificadas]],0)</f>
        <v>#REF!</v>
      </c>
      <c r="W684" s="44">
        <f>Planning[[#This Row],[Horas Planificadas]]+Planning[[#This Row],[Horas ajustadas adicionales]]</f>
        <v>909</v>
      </c>
      <c r="X684" s="142"/>
    </row>
    <row r="685" spans="1:24" x14ac:dyDescent="0.2">
      <c r="A685" s="7"/>
      <c r="B685" s="7"/>
      <c r="C685" s="3"/>
      <c r="D685" s="3" t="s">
        <v>210</v>
      </c>
      <c r="E685" s="4" t="s">
        <v>31</v>
      </c>
      <c r="F685" s="3"/>
      <c r="G685" s="9"/>
      <c r="H685" s="9">
        <v>137</v>
      </c>
      <c r="I685" s="12"/>
      <c r="J685" s="5" t="e">
        <f>+SUMIFS(#REF!,#REF!,Planning[[#This Row],[Tarifa]],#REF!,Planning[[#This Row],[Proyectos]])</f>
        <v>#REF!</v>
      </c>
      <c r="K685" s="5" t="e">
        <f>Planning[[#This Row],[Horas Planificadas]]+Planning[[#This Row],[Horas ajustadas adicionales]]-Planning[[#This Row],[Horas utilizadas]]</f>
        <v>#REF!</v>
      </c>
      <c r="L685" s="7"/>
      <c r="M685" s="19" t="e">
        <f>Planning[[#This Row],[Saldo]]-Planning[[#This Row],[Saldo estimado]]</f>
        <v>#REF!</v>
      </c>
      <c r="N685" s="60" t="e">
        <f>+SUMIFS(#REF!,#REF!,Planning[[#This Row],[Proyectos]],#REF!,Planning[[#This Row],[Tipo de Tarea y especialidad]])</f>
        <v>#REF!</v>
      </c>
      <c r="O685" s="19">
        <f t="shared" si="20"/>
        <v>10</v>
      </c>
      <c r="P685" s="19">
        <f t="shared" si="21"/>
        <v>2024</v>
      </c>
      <c r="Q685" s="19" t="e">
        <f>+SUMIFS(#REF!,#REF!,Planning[[#This Row],[Tarifa]],#REF!,Planning[[#This Row],[Proyectos]],#REF!,Planning[[#This Row],[Mes]],#REF!,Planning[[#This Row],[Año]])</f>
        <v>#REF!</v>
      </c>
      <c r="R685" s="19" t="str">
        <f>TEXT(Planning[[#This Row],[Mes]]*29,"mmmm")</f>
        <v>October</v>
      </c>
      <c r="S6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85" s="228"/>
      <c r="U685" s="43" t="e">
        <f>IF(Planning[[#This Row],[Horas Planificadas]]&lt;&gt;0,+K685/Planning[[#This Row],[Horas Planificadas]],0)</f>
        <v>#REF!</v>
      </c>
      <c r="V685" s="43" t="e">
        <f>IF(Planning[[#This Row],[Horas Planificadas]]&lt;&gt;0,Planning[[#This Row],[Horas utilizadas]]/Planning[[#This Row],[Horas Planificadas]],0)</f>
        <v>#REF!</v>
      </c>
      <c r="W685" s="44">
        <f>Planning[[#This Row],[Horas Planificadas]]+Planning[[#This Row],[Horas ajustadas adicionales]]</f>
        <v>137</v>
      </c>
      <c r="X685" s="142"/>
    </row>
    <row r="686" spans="1:24" ht="22.5" x14ac:dyDescent="0.2">
      <c r="A686" s="7"/>
      <c r="B686" s="7"/>
      <c r="C686" s="3"/>
      <c r="D686" s="3" t="s">
        <v>210</v>
      </c>
      <c r="E686" s="4" t="s">
        <v>32</v>
      </c>
      <c r="F686" s="3"/>
      <c r="G686" s="9"/>
      <c r="H686" s="9">
        <v>540</v>
      </c>
      <c r="I686" s="12"/>
      <c r="J686" s="5" t="e">
        <f>+SUMIFS(#REF!,#REF!,Planning[[#This Row],[Tarifa]],#REF!,Planning[[#This Row],[Proyectos]])</f>
        <v>#REF!</v>
      </c>
      <c r="K686" s="5" t="e">
        <f>Planning[[#This Row],[Horas Planificadas]]+Planning[[#This Row],[Horas ajustadas adicionales]]-Planning[[#This Row],[Horas utilizadas]]</f>
        <v>#REF!</v>
      </c>
      <c r="L686" s="7"/>
      <c r="M686" s="19" t="e">
        <f>Planning[[#This Row],[Saldo]]-Planning[[#This Row],[Saldo estimado]]</f>
        <v>#REF!</v>
      </c>
      <c r="N686" s="60" t="e">
        <f>+SUMIFS(#REF!,#REF!,Planning[[#This Row],[Proyectos]],#REF!,Planning[[#This Row],[Tipo de Tarea y especialidad]])</f>
        <v>#REF!</v>
      </c>
      <c r="O686" s="19">
        <f t="shared" si="20"/>
        <v>10</v>
      </c>
      <c r="P686" s="19">
        <f t="shared" si="21"/>
        <v>2024</v>
      </c>
      <c r="Q686" s="19" t="e">
        <f>+SUMIFS(#REF!,#REF!,Planning[[#This Row],[Tarifa]],#REF!,Planning[[#This Row],[Proyectos]],#REF!,Planning[[#This Row],[Mes]],#REF!,Planning[[#This Row],[Año]])</f>
        <v>#REF!</v>
      </c>
      <c r="R686" s="19" t="str">
        <f>TEXT(Planning[[#This Row],[Mes]]*29,"mmmm")</f>
        <v>October</v>
      </c>
      <c r="S6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86" s="228"/>
      <c r="U686" s="43" t="e">
        <f>IF(Planning[[#This Row],[Horas Planificadas]]&lt;&gt;0,+K686/Planning[[#This Row],[Horas Planificadas]],0)</f>
        <v>#REF!</v>
      </c>
      <c r="V686" s="43" t="e">
        <f>IF(Planning[[#This Row],[Horas Planificadas]]&lt;&gt;0,Planning[[#This Row],[Horas utilizadas]]/Planning[[#This Row],[Horas Planificadas]],0)</f>
        <v>#REF!</v>
      </c>
      <c r="W686" s="44">
        <f>Planning[[#This Row],[Horas Planificadas]]+Planning[[#This Row],[Horas ajustadas adicionales]]</f>
        <v>540</v>
      </c>
      <c r="X686" s="142"/>
    </row>
    <row r="687" spans="1:24" ht="22.5" x14ac:dyDescent="0.2">
      <c r="A687" s="7"/>
      <c r="B687" s="7"/>
      <c r="C687" s="3"/>
      <c r="D687" s="3" t="s">
        <v>211</v>
      </c>
      <c r="E687" s="4" t="s">
        <v>28</v>
      </c>
      <c r="F687" s="3"/>
      <c r="G687" s="9"/>
      <c r="H687" s="9">
        <v>120</v>
      </c>
      <c r="I687" s="12"/>
      <c r="J687" s="5" t="e">
        <f>+SUMIFS(#REF!,#REF!,Planning[[#This Row],[Tarifa]],#REF!,Planning[[#This Row],[Proyectos]])</f>
        <v>#REF!</v>
      </c>
      <c r="K687" s="5" t="e">
        <f>Planning[[#This Row],[Horas Planificadas]]+Planning[[#This Row],[Horas ajustadas adicionales]]-Planning[[#This Row],[Horas utilizadas]]</f>
        <v>#REF!</v>
      </c>
      <c r="L687" s="7"/>
      <c r="M687" s="19" t="e">
        <f>Planning[[#This Row],[Saldo]]-Planning[[#This Row],[Saldo estimado]]</f>
        <v>#REF!</v>
      </c>
      <c r="N687" s="60" t="e">
        <f>+SUMIFS(#REF!,#REF!,Planning[[#This Row],[Proyectos]],#REF!,Planning[[#This Row],[Tipo de Tarea y especialidad]])</f>
        <v>#REF!</v>
      </c>
      <c r="O687" s="19">
        <f t="shared" si="20"/>
        <v>10</v>
      </c>
      <c r="P687" s="19">
        <f t="shared" si="21"/>
        <v>2024</v>
      </c>
      <c r="Q687" s="19" t="e">
        <f>+SUMIFS(#REF!,#REF!,Planning[[#This Row],[Tarifa]],#REF!,Planning[[#This Row],[Proyectos]],#REF!,Planning[[#This Row],[Mes]],#REF!,Planning[[#This Row],[Año]])</f>
        <v>#REF!</v>
      </c>
      <c r="R687" s="19" t="str">
        <f>TEXT(Planning[[#This Row],[Mes]]*29,"mmmm")</f>
        <v>October</v>
      </c>
      <c r="S6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87" s="228"/>
      <c r="U687" s="43" t="e">
        <f>IF(Planning[[#This Row],[Horas Planificadas]]&lt;&gt;0,+K687/Planning[[#This Row],[Horas Planificadas]],0)</f>
        <v>#REF!</v>
      </c>
      <c r="V687" s="43" t="e">
        <f>IF(Planning[[#This Row],[Horas Planificadas]]&lt;&gt;0,Planning[[#This Row],[Horas utilizadas]]/Planning[[#This Row],[Horas Planificadas]],0)</f>
        <v>#REF!</v>
      </c>
      <c r="W687" s="44">
        <f>Planning[[#This Row],[Horas Planificadas]]+Planning[[#This Row],[Horas ajustadas adicionales]]</f>
        <v>120</v>
      </c>
      <c r="X687" s="142"/>
    </row>
    <row r="688" spans="1:24" x14ac:dyDescent="0.2">
      <c r="A688" s="7"/>
      <c r="B688" s="7"/>
      <c r="C688" s="3"/>
      <c r="D688" s="3" t="s">
        <v>211</v>
      </c>
      <c r="E688" s="4" t="s">
        <v>30</v>
      </c>
      <c r="F688" s="3"/>
      <c r="G688" s="9"/>
      <c r="H688" s="9">
        <v>240</v>
      </c>
      <c r="I688" s="12"/>
      <c r="J688" s="5" t="e">
        <f>+SUMIFS(#REF!,#REF!,Planning[[#This Row],[Tarifa]],#REF!,Planning[[#This Row],[Proyectos]])</f>
        <v>#REF!</v>
      </c>
      <c r="K688" s="5" t="e">
        <f>Planning[[#This Row],[Horas Planificadas]]+Planning[[#This Row],[Horas ajustadas adicionales]]-Planning[[#This Row],[Horas utilizadas]]</f>
        <v>#REF!</v>
      </c>
      <c r="L688" s="7"/>
      <c r="M688" s="19" t="e">
        <f>Planning[[#This Row],[Saldo]]-Planning[[#This Row],[Saldo estimado]]</f>
        <v>#REF!</v>
      </c>
      <c r="N688" s="60" t="e">
        <f>+SUMIFS(#REF!,#REF!,Planning[[#This Row],[Proyectos]],#REF!,Planning[[#This Row],[Tipo de Tarea y especialidad]])</f>
        <v>#REF!</v>
      </c>
      <c r="O688" s="19">
        <f t="shared" si="20"/>
        <v>10</v>
      </c>
      <c r="P688" s="19">
        <f t="shared" si="21"/>
        <v>2024</v>
      </c>
      <c r="Q688" s="19" t="e">
        <f>+SUMIFS(#REF!,#REF!,Planning[[#This Row],[Tarifa]],#REF!,Planning[[#This Row],[Proyectos]],#REF!,Planning[[#This Row],[Mes]],#REF!,Planning[[#This Row],[Año]])</f>
        <v>#REF!</v>
      </c>
      <c r="R688" s="19" t="str">
        <f>TEXT(Planning[[#This Row],[Mes]]*29,"mmmm")</f>
        <v>October</v>
      </c>
      <c r="S6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88" s="228"/>
      <c r="U688" s="43" t="e">
        <f>IF(Planning[[#This Row],[Horas Planificadas]]&lt;&gt;0,+K688/Planning[[#This Row],[Horas Planificadas]],0)</f>
        <v>#REF!</v>
      </c>
      <c r="V688" s="43" t="e">
        <f>IF(Planning[[#This Row],[Horas Planificadas]]&lt;&gt;0,Planning[[#This Row],[Horas utilizadas]]/Planning[[#This Row],[Horas Planificadas]],0)</f>
        <v>#REF!</v>
      </c>
      <c r="W688" s="44">
        <f>Planning[[#This Row],[Horas Planificadas]]+Planning[[#This Row],[Horas ajustadas adicionales]]</f>
        <v>240</v>
      </c>
      <c r="X688" s="142"/>
    </row>
    <row r="689" spans="1:24" x14ac:dyDescent="0.2">
      <c r="A689" s="7"/>
      <c r="B689" s="7"/>
      <c r="C689" s="3"/>
      <c r="D689" s="3" t="s">
        <v>211</v>
      </c>
      <c r="E689" s="4" t="s">
        <v>31</v>
      </c>
      <c r="F689" s="3"/>
      <c r="G689" s="9"/>
      <c r="H689" s="9">
        <v>320</v>
      </c>
      <c r="I689" s="12"/>
      <c r="J689" s="5" t="e">
        <f>+SUMIFS(#REF!,#REF!,Planning[[#This Row],[Tarifa]],#REF!,Planning[[#This Row],[Proyectos]])</f>
        <v>#REF!</v>
      </c>
      <c r="K689" s="5" t="e">
        <f>Planning[[#This Row],[Horas Planificadas]]+Planning[[#This Row],[Horas ajustadas adicionales]]-Planning[[#This Row],[Horas utilizadas]]</f>
        <v>#REF!</v>
      </c>
      <c r="L689" s="7"/>
      <c r="M689" s="19" t="e">
        <f>Planning[[#This Row],[Saldo]]-Planning[[#This Row],[Saldo estimado]]</f>
        <v>#REF!</v>
      </c>
      <c r="N689" s="60" t="e">
        <f>+SUMIFS(#REF!,#REF!,Planning[[#This Row],[Proyectos]],#REF!,Planning[[#This Row],[Tipo de Tarea y especialidad]])</f>
        <v>#REF!</v>
      </c>
      <c r="O689" s="19">
        <f t="shared" si="20"/>
        <v>10</v>
      </c>
      <c r="P689" s="19">
        <f t="shared" si="21"/>
        <v>2024</v>
      </c>
      <c r="Q689" s="19" t="e">
        <f>+SUMIFS(#REF!,#REF!,Planning[[#This Row],[Tarifa]],#REF!,Planning[[#This Row],[Proyectos]],#REF!,Planning[[#This Row],[Mes]],#REF!,Planning[[#This Row],[Año]])</f>
        <v>#REF!</v>
      </c>
      <c r="R689" s="19" t="str">
        <f>TEXT(Planning[[#This Row],[Mes]]*29,"mmmm")</f>
        <v>October</v>
      </c>
      <c r="S6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89" s="228"/>
      <c r="U689" s="43" t="e">
        <f>IF(Planning[[#This Row],[Horas Planificadas]]&lt;&gt;0,+K689/Planning[[#This Row],[Horas Planificadas]],0)</f>
        <v>#REF!</v>
      </c>
      <c r="V689" s="43" t="e">
        <f>IF(Planning[[#This Row],[Horas Planificadas]]&lt;&gt;0,Planning[[#This Row],[Horas utilizadas]]/Planning[[#This Row],[Horas Planificadas]],0)</f>
        <v>#REF!</v>
      </c>
      <c r="W689" s="44">
        <f>Planning[[#This Row],[Horas Planificadas]]+Planning[[#This Row],[Horas ajustadas adicionales]]</f>
        <v>320</v>
      </c>
      <c r="X689" s="142"/>
    </row>
    <row r="690" spans="1:24" ht="22.5" x14ac:dyDescent="0.2">
      <c r="A690" s="7"/>
      <c r="B690" s="7"/>
      <c r="C690" s="3"/>
      <c r="D690" s="3" t="s">
        <v>211</v>
      </c>
      <c r="E690" s="4" t="s">
        <v>32</v>
      </c>
      <c r="F690" s="3"/>
      <c r="G690" s="9"/>
      <c r="H690" s="9">
        <v>96</v>
      </c>
      <c r="I690" s="12"/>
      <c r="J690" s="5" t="e">
        <f>+SUMIFS(#REF!,#REF!,Planning[[#This Row],[Tarifa]],#REF!,Planning[[#This Row],[Proyectos]])</f>
        <v>#REF!</v>
      </c>
      <c r="K690" s="5" t="e">
        <f>Planning[[#This Row],[Horas Planificadas]]+Planning[[#This Row],[Horas ajustadas adicionales]]-Planning[[#This Row],[Horas utilizadas]]</f>
        <v>#REF!</v>
      </c>
      <c r="L690" s="7"/>
      <c r="M690" s="19" t="e">
        <f>Planning[[#This Row],[Saldo]]-Planning[[#This Row],[Saldo estimado]]</f>
        <v>#REF!</v>
      </c>
      <c r="N690" s="60" t="e">
        <f>+SUMIFS(#REF!,#REF!,Planning[[#This Row],[Proyectos]],#REF!,Planning[[#This Row],[Tipo de Tarea y especialidad]])</f>
        <v>#REF!</v>
      </c>
      <c r="O690" s="19">
        <f t="shared" si="20"/>
        <v>10</v>
      </c>
      <c r="P690" s="19">
        <f t="shared" si="21"/>
        <v>2024</v>
      </c>
      <c r="Q690" s="19" t="e">
        <f>+SUMIFS(#REF!,#REF!,Planning[[#This Row],[Tarifa]],#REF!,Planning[[#This Row],[Proyectos]],#REF!,Planning[[#This Row],[Mes]],#REF!,Planning[[#This Row],[Año]])</f>
        <v>#REF!</v>
      </c>
      <c r="R690" s="19" t="str">
        <f>TEXT(Planning[[#This Row],[Mes]]*29,"mmmm")</f>
        <v>October</v>
      </c>
      <c r="S6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90" s="228"/>
      <c r="U690" s="43" t="e">
        <f>IF(Planning[[#This Row],[Horas Planificadas]]&lt;&gt;0,+K690/Planning[[#This Row],[Horas Planificadas]],0)</f>
        <v>#REF!</v>
      </c>
      <c r="V690" s="43" t="e">
        <f>IF(Planning[[#This Row],[Horas Planificadas]]&lt;&gt;0,Planning[[#This Row],[Horas utilizadas]]/Planning[[#This Row],[Horas Planificadas]],0)</f>
        <v>#REF!</v>
      </c>
      <c r="W690" s="44">
        <f>Planning[[#This Row],[Horas Planificadas]]+Planning[[#This Row],[Horas ajustadas adicionales]]</f>
        <v>96</v>
      </c>
      <c r="X690" s="142"/>
    </row>
    <row r="691" spans="1:24" ht="22.5" x14ac:dyDescent="0.2">
      <c r="A691" s="7"/>
      <c r="B691" s="7"/>
      <c r="C691" s="3"/>
      <c r="D691" s="3" t="s">
        <v>212</v>
      </c>
      <c r="E691" s="4" t="s">
        <v>28</v>
      </c>
      <c r="F691" s="3"/>
      <c r="G691" s="9"/>
      <c r="H691" s="12">
        <v>300</v>
      </c>
      <c r="I691" s="12"/>
      <c r="J691" s="5" t="e">
        <f>+SUMIFS(#REF!,#REF!,Planning[[#This Row],[Tarifa]],#REF!,Planning[[#This Row],[Proyectos]])</f>
        <v>#REF!</v>
      </c>
      <c r="K691" s="27" t="e">
        <f>Planning[[#This Row],[Horas Planificadas]]+Planning[[#This Row],[Horas ajustadas adicionales]]-Planning[[#This Row],[Horas utilizadas]]</f>
        <v>#REF!</v>
      </c>
      <c r="L691" s="7"/>
      <c r="M691" s="19" t="e">
        <f>Planning[[#This Row],[Saldo]]-Planning[[#This Row],[Saldo estimado]]</f>
        <v>#REF!</v>
      </c>
      <c r="N691" s="60" t="e">
        <f>+SUMIFS(#REF!,#REF!,Planning[[#This Row],[Proyectos]],#REF!,Planning[[#This Row],[Tipo de Tarea y especialidad]])</f>
        <v>#REF!</v>
      </c>
      <c r="O691" s="19">
        <f t="shared" si="20"/>
        <v>10</v>
      </c>
      <c r="P691" s="19">
        <f t="shared" si="21"/>
        <v>2024</v>
      </c>
      <c r="Q691" s="19" t="e">
        <f>+SUMIFS(#REF!,#REF!,Planning[[#This Row],[Tarifa]],#REF!,Planning[[#This Row],[Proyectos]],#REF!,Planning[[#This Row],[Mes]],#REF!,Planning[[#This Row],[Año]])</f>
        <v>#REF!</v>
      </c>
      <c r="R691" s="19" t="str">
        <f>TEXT(Planning[[#This Row],[Mes]]*29,"mmmm")</f>
        <v>October</v>
      </c>
      <c r="S6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91" s="228"/>
      <c r="U691" s="43" t="e">
        <f>IF(Planning[[#This Row],[Horas Planificadas]]&lt;&gt;0,+K691/Planning[[#This Row],[Horas Planificadas]],0)</f>
        <v>#REF!</v>
      </c>
      <c r="V691" s="43" t="e">
        <f>IF(Planning[[#This Row],[Horas Planificadas]]&lt;&gt;0,Planning[[#This Row],[Horas utilizadas]]/Planning[[#This Row],[Horas Planificadas]],0)</f>
        <v>#REF!</v>
      </c>
      <c r="W691" s="44">
        <f>Planning[[#This Row],[Horas Planificadas]]+Planning[[#This Row],[Horas ajustadas adicionales]]</f>
        <v>300</v>
      </c>
      <c r="X691" s="142"/>
    </row>
    <row r="692" spans="1:24" x14ac:dyDescent="0.2">
      <c r="A692" s="7"/>
      <c r="B692" s="7"/>
      <c r="C692" s="3"/>
      <c r="D692" s="3" t="s">
        <v>212</v>
      </c>
      <c r="E692" s="4" t="s">
        <v>30</v>
      </c>
      <c r="F692" s="3"/>
      <c r="G692" s="9"/>
      <c r="H692" s="9">
        <v>460</v>
      </c>
      <c r="I692" s="12"/>
      <c r="J692" s="5" t="e">
        <f>+SUMIFS(#REF!,#REF!,Planning[[#This Row],[Tarifa]],#REF!,Planning[[#This Row],[Proyectos]])</f>
        <v>#REF!</v>
      </c>
      <c r="K692" s="5" t="e">
        <f>Planning[[#This Row],[Horas Planificadas]]+Planning[[#This Row],[Horas ajustadas adicionales]]-Planning[[#This Row],[Horas utilizadas]]</f>
        <v>#REF!</v>
      </c>
      <c r="L692" s="7"/>
      <c r="M692" s="19" t="e">
        <f>Planning[[#This Row],[Saldo]]-Planning[[#This Row],[Saldo estimado]]</f>
        <v>#REF!</v>
      </c>
      <c r="N692" s="60" t="e">
        <f>+SUMIFS(#REF!,#REF!,Planning[[#This Row],[Proyectos]],#REF!,Planning[[#This Row],[Tipo de Tarea y especialidad]])</f>
        <v>#REF!</v>
      </c>
      <c r="O692" s="19">
        <f t="shared" si="20"/>
        <v>10</v>
      </c>
      <c r="P692" s="19">
        <f t="shared" si="21"/>
        <v>2024</v>
      </c>
      <c r="Q692" s="19" t="e">
        <f>+SUMIFS(#REF!,#REF!,Planning[[#This Row],[Tarifa]],#REF!,Planning[[#This Row],[Proyectos]],#REF!,Planning[[#This Row],[Mes]],#REF!,Planning[[#This Row],[Año]])</f>
        <v>#REF!</v>
      </c>
      <c r="R692" s="19" t="str">
        <f>TEXT(Planning[[#This Row],[Mes]]*29,"mmmm")</f>
        <v>October</v>
      </c>
      <c r="S6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92" s="228"/>
      <c r="U692" s="43" t="e">
        <f>IF(Planning[[#This Row],[Horas Planificadas]]&lt;&gt;0,+K692/Planning[[#This Row],[Horas Planificadas]],0)</f>
        <v>#REF!</v>
      </c>
      <c r="V692" s="43" t="e">
        <f>IF(Planning[[#This Row],[Horas Planificadas]]&lt;&gt;0,Planning[[#This Row],[Horas utilizadas]]/Planning[[#This Row],[Horas Planificadas]],0)</f>
        <v>#REF!</v>
      </c>
      <c r="W692" s="44">
        <f>Planning[[#This Row],[Horas Planificadas]]+Planning[[#This Row],[Horas ajustadas adicionales]]</f>
        <v>460</v>
      </c>
      <c r="X692" s="142"/>
    </row>
    <row r="693" spans="1:24" x14ac:dyDescent="0.2">
      <c r="A693" s="7"/>
      <c r="B693" s="7"/>
      <c r="C693" s="3"/>
      <c r="D693" s="3" t="s">
        <v>212</v>
      </c>
      <c r="E693" s="4" t="s">
        <v>31</v>
      </c>
      <c r="F693" s="3"/>
      <c r="G693" s="9"/>
      <c r="H693" s="9">
        <v>340</v>
      </c>
      <c r="I693" s="12"/>
      <c r="J693" s="5" t="e">
        <f>+SUMIFS(#REF!,#REF!,Planning[[#This Row],[Tarifa]],#REF!,Planning[[#This Row],[Proyectos]])</f>
        <v>#REF!</v>
      </c>
      <c r="K693" s="5" t="e">
        <f>Planning[[#This Row],[Horas Planificadas]]+Planning[[#This Row],[Horas ajustadas adicionales]]-Planning[[#This Row],[Horas utilizadas]]</f>
        <v>#REF!</v>
      </c>
      <c r="L693" s="7"/>
      <c r="M693" s="19" t="e">
        <f>Planning[[#This Row],[Saldo]]-Planning[[#This Row],[Saldo estimado]]</f>
        <v>#REF!</v>
      </c>
      <c r="N693" s="60" t="e">
        <f>+SUMIFS(#REF!,#REF!,Planning[[#This Row],[Proyectos]],#REF!,Planning[[#This Row],[Tipo de Tarea y especialidad]])</f>
        <v>#REF!</v>
      </c>
      <c r="O693" s="19">
        <f t="shared" si="20"/>
        <v>10</v>
      </c>
      <c r="P693" s="19">
        <f t="shared" si="21"/>
        <v>2024</v>
      </c>
      <c r="Q693" s="19" t="e">
        <f>+SUMIFS(#REF!,#REF!,Planning[[#This Row],[Tarifa]],#REF!,Planning[[#This Row],[Proyectos]],#REF!,Planning[[#This Row],[Mes]],#REF!,Planning[[#This Row],[Año]])</f>
        <v>#REF!</v>
      </c>
      <c r="R693" s="19" t="str">
        <f>TEXT(Planning[[#This Row],[Mes]]*29,"mmmm")</f>
        <v>October</v>
      </c>
      <c r="S6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93" s="228"/>
      <c r="U693" s="43" t="e">
        <f>IF(Planning[[#This Row],[Horas Planificadas]]&lt;&gt;0,+K693/Planning[[#This Row],[Horas Planificadas]],0)</f>
        <v>#REF!</v>
      </c>
      <c r="V693" s="43" t="e">
        <f>IF(Planning[[#This Row],[Horas Planificadas]]&lt;&gt;0,Planning[[#This Row],[Horas utilizadas]]/Planning[[#This Row],[Horas Planificadas]],0)</f>
        <v>#REF!</v>
      </c>
      <c r="W693" s="44">
        <f>Planning[[#This Row],[Horas Planificadas]]+Planning[[#This Row],[Horas ajustadas adicionales]]</f>
        <v>340</v>
      </c>
      <c r="X693" s="142"/>
    </row>
    <row r="694" spans="1:24" ht="22.5" x14ac:dyDescent="0.2">
      <c r="A694" s="7"/>
      <c r="B694" s="7"/>
      <c r="C694" s="3"/>
      <c r="D694" s="3" t="s">
        <v>212</v>
      </c>
      <c r="E694" s="4" t="s">
        <v>32</v>
      </c>
      <c r="F694" s="3"/>
      <c r="G694" s="9"/>
      <c r="H694" s="9">
        <v>280</v>
      </c>
      <c r="I694" s="12"/>
      <c r="J694" s="5" t="e">
        <f>+SUMIFS(#REF!,#REF!,Planning[[#This Row],[Tarifa]],#REF!,Planning[[#This Row],[Proyectos]])</f>
        <v>#REF!</v>
      </c>
      <c r="K694" s="5" t="e">
        <f>Planning[[#This Row],[Horas Planificadas]]+Planning[[#This Row],[Horas ajustadas adicionales]]-Planning[[#This Row],[Horas utilizadas]]</f>
        <v>#REF!</v>
      </c>
      <c r="L694" s="7"/>
      <c r="M694" s="19" t="e">
        <f>Planning[[#This Row],[Saldo]]-Planning[[#This Row],[Saldo estimado]]</f>
        <v>#REF!</v>
      </c>
      <c r="N694" s="60" t="e">
        <f>+SUMIFS(#REF!,#REF!,Planning[[#This Row],[Proyectos]],#REF!,Planning[[#This Row],[Tipo de Tarea y especialidad]])</f>
        <v>#REF!</v>
      </c>
      <c r="O694" s="19">
        <f t="shared" si="20"/>
        <v>10</v>
      </c>
      <c r="P694" s="19">
        <f t="shared" si="21"/>
        <v>2024</v>
      </c>
      <c r="Q694" s="19" t="e">
        <f>+SUMIFS(#REF!,#REF!,Planning[[#This Row],[Tarifa]],#REF!,Planning[[#This Row],[Proyectos]],#REF!,Planning[[#This Row],[Mes]],#REF!,Planning[[#This Row],[Año]])</f>
        <v>#REF!</v>
      </c>
      <c r="R694" s="19" t="str">
        <f>TEXT(Planning[[#This Row],[Mes]]*29,"mmmm")</f>
        <v>October</v>
      </c>
      <c r="S6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94" s="228"/>
      <c r="U694" s="43" t="e">
        <f>IF(Planning[[#This Row],[Horas Planificadas]]&lt;&gt;0,+K694/Planning[[#This Row],[Horas Planificadas]],0)</f>
        <v>#REF!</v>
      </c>
      <c r="V694" s="43" t="e">
        <f>IF(Planning[[#This Row],[Horas Planificadas]]&lt;&gt;0,Planning[[#This Row],[Horas utilizadas]]/Planning[[#This Row],[Horas Planificadas]],0)</f>
        <v>#REF!</v>
      </c>
      <c r="W694" s="44">
        <f>Planning[[#This Row],[Horas Planificadas]]+Planning[[#This Row],[Horas ajustadas adicionales]]</f>
        <v>280</v>
      </c>
      <c r="X694" s="142"/>
    </row>
    <row r="695" spans="1:24" ht="12.75" customHeight="1" x14ac:dyDescent="0.2">
      <c r="A695" s="7" t="s">
        <v>168</v>
      </c>
      <c r="B695" s="7" t="s">
        <v>178</v>
      </c>
      <c r="C695" s="3"/>
      <c r="D695" s="3" t="s">
        <v>213</v>
      </c>
      <c r="E695" s="33" t="s">
        <v>28</v>
      </c>
      <c r="F695" s="3"/>
      <c r="G695" s="7">
        <v>1328</v>
      </c>
      <c r="H695" s="24">
        <f>SUM(H696:H697)</f>
        <v>2852</v>
      </c>
      <c r="I695" s="14"/>
      <c r="J695" s="14" t="e">
        <f>SUM(J696:J697)</f>
        <v>#REF!</v>
      </c>
      <c r="K695" s="18" t="e">
        <f>SUM(K696:K697)</f>
        <v>#REF!</v>
      </c>
      <c r="L695" s="15">
        <f>SUM(L696:L697)</f>
        <v>0</v>
      </c>
      <c r="M695" s="28" t="e">
        <f>SUM(M696:M697)</f>
        <v>#REF!</v>
      </c>
      <c r="N695" s="61"/>
      <c r="O695" s="28">
        <f t="shared" si="20"/>
        <v>10</v>
      </c>
      <c r="P695" s="28">
        <f t="shared" si="21"/>
        <v>2024</v>
      </c>
      <c r="Q695" s="28" t="e">
        <f>SUM(Q696:Q697)</f>
        <v>#REF!</v>
      </c>
      <c r="R695" s="28" t="str">
        <f>TEXT(Planning[[#This Row],[Mes]]*29,"mmmm")</f>
        <v>October</v>
      </c>
      <c r="S6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95" s="192" t="s">
        <v>214</v>
      </c>
      <c r="U695" s="43" t="e">
        <f>IF(Planning[[#This Row],[Horas Planificadas]]&lt;&gt;0,+K695/Planning[[#This Row],[Horas Planificadas]],0)</f>
        <v>#REF!</v>
      </c>
      <c r="V695" s="43" t="e">
        <f>IF(Planning[[#This Row],[Horas Planificadas]]&lt;&gt;0,Planning[[#This Row],[Horas utilizadas]]/Planning[[#This Row],[Horas Planificadas]],0)</f>
        <v>#REF!</v>
      </c>
      <c r="W695" s="44">
        <f>Planning[[#This Row],[Horas Planificadas]]+Planning[[#This Row],[Horas ajustadas adicionales]]</f>
        <v>2852</v>
      </c>
      <c r="X695" s="142"/>
    </row>
    <row r="696" spans="1:24" ht="12.75" customHeight="1" x14ac:dyDescent="0.2">
      <c r="A696" s="7" t="s">
        <v>168</v>
      </c>
      <c r="B696" s="7" t="s">
        <v>178</v>
      </c>
      <c r="C696" s="3"/>
      <c r="D696" s="3" t="s">
        <v>213</v>
      </c>
      <c r="E696" s="33"/>
      <c r="F696" s="3" t="s">
        <v>120</v>
      </c>
      <c r="G696" s="7"/>
      <c r="H696" s="7">
        <v>1850</v>
      </c>
      <c r="I696" s="12"/>
      <c r="J696" s="5" t="e">
        <f>SUM(SUMIFS(#REF!,#REF!,Planning[[#This Row],[Tipo de Tarea y especialidad]],#REF!,Planning[[#This Row],[Proyectos Reiwa]]),SUMIFS(#REF!,#REF!,Planning[[#This Row],[Tipo de Tarea y especialidad]],#REF!,Planning[[#This Row],[Proyectos]]))</f>
        <v>#REF!</v>
      </c>
      <c r="K696" s="5" t="e">
        <f>Planning[[#This Row],[Horas Planificadas]]+Planning[[#This Row],[Horas ajustadas adicionales]]-Planning[[#This Row],[Horas utilizadas]]</f>
        <v>#REF!</v>
      </c>
      <c r="L696" s="7">
        <v>0</v>
      </c>
      <c r="M696" s="19" t="e">
        <f>Planning[[#This Row],[Saldo]]-Planning[[#This Row],[Saldo estimado]]</f>
        <v>#REF!</v>
      </c>
      <c r="N696" s="60" t="e">
        <f>+SUMIFS(#REF!,#REF!,Planning[[#This Row],[Proyectos]],#REF!,Planning[[#This Row],[Tipo de Tarea y especialidad]])</f>
        <v>#REF!</v>
      </c>
      <c r="O696" s="19">
        <f t="shared" si="20"/>
        <v>10</v>
      </c>
      <c r="P696" s="19">
        <f t="shared" si="21"/>
        <v>2024</v>
      </c>
      <c r="Q6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96" s="19" t="str">
        <f>TEXT(Planning[[#This Row],[Mes]]*29,"mmmm")</f>
        <v>October</v>
      </c>
      <c r="S6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96" s="193"/>
      <c r="U696" s="43" t="e">
        <f>IF(Planning[[#This Row],[Horas Planificadas]]&lt;&gt;0,+K696/Planning[[#This Row],[Horas Planificadas]],0)</f>
        <v>#REF!</v>
      </c>
      <c r="V696" s="43" t="e">
        <f>IF(Planning[[#This Row],[Horas Planificadas]]&lt;&gt;0,Planning[[#This Row],[Horas utilizadas]]/Planning[[#This Row],[Horas Planificadas]],0)</f>
        <v>#REF!</v>
      </c>
      <c r="W696" s="44">
        <f>Planning[[#This Row],[Horas Planificadas]]+Planning[[#This Row],[Horas ajustadas adicionales]]</f>
        <v>1850</v>
      </c>
      <c r="X696" s="142"/>
    </row>
    <row r="697" spans="1:24" ht="12.75" customHeight="1" x14ac:dyDescent="0.2">
      <c r="A697" s="7" t="s">
        <v>168</v>
      </c>
      <c r="B697" s="7" t="s">
        <v>178</v>
      </c>
      <c r="C697" s="3"/>
      <c r="D697" s="3" t="s">
        <v>213</v>
      </c>
      <c r="E697" s="33"/>
      <c r="F697" s="3" t="s">
        <v>121</v>
      </c>
      <c r="G697" s="7"/>
      <c r="H697" s="7">
        <v>1002</v>
      </c>
      <c r="I697" s="12"/>
      <c r="J697" s="5" t="e">
        <f>SUM(SUMIFS(#REF!,#REF!,Planning[[#This Row],[Tipo de Tarea y especialidad]],#REF!,Planning[[#This Row],[Proyectos Reiwa]]),SUMIFS(#REF!,#REF!,Planning[[#This Row],[Tipo de Tarea y especialidad]],#REF!,Planning[[#This Row],[Proyectos]]))</f>
        <v>#REF!</v>
      </c>
      <c r="K697" s="5" t="e">
        <f>Planning[[#This Row],[Horas Planificadas]]+Planning[[#This Row],[Horas ajustadas adicionales]]-Planning[[#This Row],[Horas utilizadas]]</f>
        <v>#REF!</v>
      </c>
      <c r="L697" s="7">
        <v>0</v>
      </c>
      <c r="M697" s="19" t="e">
        <f>Planning[[#This Row],[Saldo]]-Planning[[#This Row],[Saldo estimado]]</f>
        <v>#REF!</v>
      </c>
      <c r="N697" s="60" t="e">
        <f>+SUMIFS(#REF!,#REF!,Planning[[#This Row],[Proyectos]],#REF!,Planning[[#This Row],[Tipo de Tarea y especialidad]])</f>
        <v>#REF!</v>
      </c>
      <c r="O697" s="19">
        <f t="shared" si="20"/>
        <v>10</v>
      </c>
      <c r="P697" s="19">
        <f t="shared" si="21"/>
        <v>2024</v>
      </c>
      <c r="Q6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97" s="19" t="str">
        <f>TEXT(Planning[[#This Row],[Mes]]*29,"mmmm")</f>
        <v>October</v>
      </c>
      <c r="S6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97" s="193"/>
      <c r="U697" s="43" t="e">
        <f>IF(Planning[[#This Row],[Horas Planificadas]]&lt;&gt;0,+K697/Planning[[#This Row],[Horas Planificadas]],0)</f>
        <v>#REF!</v>
      </c>
      <c r="V697" s="43" t="e">
        <f>IF(Planning[[#This Row],[Horas Planificadas]]&lt;&gt;0,Planning[[#This Row],[Horas utilizadas]]/Planning[[#This Row],[Horas Planificadas]],0)</f>
        <v>#REF!</v>
      </c>
      <c r="W697" s="44">
        <f>Planning[[#This Row],[Horas Planificadas]]+Planning[[#This Row],[Horas ajustadas adicionales]]</f>
        <v>1002</v>
      </c>
      <c r="X697" s="142"/>
    </row>
    <row r="698" spans="1:24" ht="12.75" customHeight="1" x14ac:dyDescent="0.2">
      <c r="A698" s="7" t="s">
        <v>168</v>
      </c>
      <c r="B698" s="7" t="s">
        <v>178</v>
      </c>
      <c r="C698" s="3"/>
      <c r="D698" s="3" t="s">
        <v>213</v>
      </c>
      <c r="E698" s="33" t="s">
        <v>30</v>
      </c>
      <c r="F698" s="3"/>
      <c r="G698" s="7">
        <v>1234</v>
      </c>
      <c r="H698" s="24">
        <f>SUM(H699:H705)</f>
        <v>2211</v>
      </c>
      <c r="I698" s="14"/>
      <c r="J698" s="14" t="e">
        <f>SUM(J699:J705)</f>
        <v>#REF!</v>
      </c>
      <c r="K698" s="18" t="e">
        <f>SUM(K699:K705)</f>
        <v>#REF!</v>
      </c>
      <c r="L698" s="15">
        <f>SUM(L699:L705)</f>
        <v>0</v>
      </c>
      <c r="M698" s="16" t="e">
        <f>SUM(M699:M705)</f>
        <v>#REF!</v>
      </c>
      <c r="N698" s="60"/>
      <c r="O698" s="16">
        <f t="shared" si="20"/>
        <v>10</v>
      </c>
      <c r="P698" s="16">
        <f t="shared" si="21"/>
        <v>2024</v>
      </c>
      <c r="Q698" s="16" t="e">
        <f>SUM(Q699:Q705)</f>
        <v>#REF!</v>
      </c>
      <c r="R698" s="16" t="str">
        <f>TEXT(Planning[[#This Row],[Mes]]*29,"mmmm")</f>
        <v>October</v>
      </c>
      <c r="S6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98" s="193"/>
      <c r="U698" s="43" t="e">
        <f>IF(Planning[[#This Row],[Horas Planificadas]]&lt;&gt;0,+K698/Planning[[#This Row],[Horas Planificadas]],0)</f>
        <v>#REF!</v>
      </c>
      <c r="V698" s="43" t="e">
        <f>IF(Planning[[#This Row],[Horas Planificadas]]&lt;&gt;0,Planning[[#This Row],[Horas utilizadas]]/Planning[[#This Row],[Horas Planificadas]],0)</f>
        <v>#REF!</v>
      </c>
      <c r="W698" s="44">
        <f>Planning[[#This Row],[Horas Planificadas]]+Planning[[#This Row],[Horas ajustadas adicionales]]</f>
        <v>2211</v>
      </c>
      <c r="X698" s="142"/>
    </row>
    <row r="699" spans="1:24" ht="12.75" customHeight="1" x14ac:dyDescent="0.2">
      <c r="A699" s="7" t="s">
        <v>168</v>
      </c>
      <c r="B699" s="7" t="s">
        <v>178</v>
      </c>
      <c r="C699" s="3"/>
      <c r="D699" s="3" t="s">
        <v>213</v>
      </c>
      <c r="E699" s="33"/>
      <c r="F699" s="3" t="s">
        <v>122</v>
      </c>
      <c r="G699" s="7"/>
      <c r="H699" s="7">
        <v>1017</v>
      </c>
      <c r="I699" s="12"/>
      <c r="J699" s="5" t="e">
        <f>SUM(SUMIFS(#REF!,#REF!,Planning[[#This Row],[Tipo de Tarea y especialidad]],#REF!,Planning[[#This Row],[Proyectos Reiwa]]),SUMIFS(#REF!,#REF!,Planning[[#This Row],[Tipo de Tarea y especialidad]],#REF!,Planning[[#This Row],[Proyectos]]))</f>
        <v>#REF!</v>
      </c>
      <c r="K699" s="5" t="e">
        <f>Planning[[#This Row],[Horas Planificadas]]+Planning[[#This Row],[Horas ajustadas adicionales]]-Planning[[#This Row],[Horas utilizadas]]</f>
        <v>#REF!</v>
      </c>
      <c r="L699" s="7">
        <v>0</v>
      </c>
      <c r="M699" s="19" t="e">
        <f>Planning[[#This Row],[Saldo]]-Planning[[#This Row],[Saldo estimado]]</f>
        <v>#REF!</v>
      </c>
      <c r="N699" s="60" t="e">
        <f>+SUMIFS(#REF!,#REF!,Planning[[#This Row],[Proyectos]],#REF!,Planning[[#This Row],[Tipo de Tarea y especialidad]])</f>
        <v>#REF!</v>
      </c>
      <c r="O699" s="19">
        <f t="shared" si="20"/>
        <v>10</v>
      </c>
      <c r="P699" s="19">
        <f t="shared" si="21"/>
        <v>2024</v>
      </c>
      <c r="Q6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99" s="19" t="str">
        <f>TEXT(Planning[[#This Row],[Mes]]*29,"mmmm")</f>
        <v>October</v>
      </c>
      <c r="S6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99" s="193"/>
      <c r="U699" s="43" t="e">
        <f>IF(Planning[[#This Row],[Horas Planificadas]]&lt;&gt;0,+K699/Planning[[#This Row],[Horas Planificadas]],0)</f>
        <v>#REF!</v>
      </c>
      <c r="V699" s="43" t="e">
        <f>IF(Planning[[#This Row],[Horas Planificadas]]&lt;&gt;0,Planning[[#This Row],[Horas utilizadas]]/Planning[[#This Row],[Horas Planificadas]],0)</f>
        <v>#REF!</v>
      </c>
      <c r="W699" s="44">
        <f>Planning[[#This Row],[Horas Planificadas]]+Planning[[#This Row],[Horas ajustadas adicionales]]</f>
        <v>1017</v>
      </c>
      <c r="X699" s="142"/>
    </row>
    <row r="700" spans="1:24" ht="12.75" customHeight="1" x14ac:dyDescent="0.2">
      <c r="A700" s="7" t="s">
        <v>168</v>
      </c>
      <c r="B700" s="7" t="s">
        <v>178</v>
      </c>
      <c r="C700" s="3"/>
      <c r="D700" s="3" t="s">
        <v>213</v>
      </c>
      <c r="E700" s="33"/>
      <c r="F700" s="3" t="s">
        <v>123</v>
      </c>
      <c r="G700" s="7"/>
      <c r="H700" s="7">
        <v>1122</v>
      </c>
      <c r="I700" s="12"/>
      <c r="J700" s="5" t="e">
        <f>SUM(SUMIFS(#REF!,#REF!,Planning[[#This Row],[Tipo de Tarea y especialidad]],#REF!,Planning[[#This Row],[Proyectos Reiwa]]),SUMIFS(#REF!,#REF!,Planning[[#This Row],[Tipo de Tarea y especialidad]],#REF!,Planning[[#This Row],[Proyectos]]))</f>
        <v>#REF!</v>
      </c>
      <c r="K700" s="5" t="e">
        <f>Planning[[#This Row],[Horas Planificadas]]+Planning[[#This Row],[Horas ajustadas adicionales]]-Planning[[#This Row],[Horas utilizadas]]</f>
        <v>#REF!</v>
      </c>
      <c r="L700" s="7">
        <v>0</v>
      </c>
      <c r="M700" s="19" t="e">
        <f>Planning[[#This Row],[Saldo]]-Planning[[#This Row],[Saldo estimado]]</f>
        <v>#REF!</v>
      </c>
      <c r="N700" s="60" t="e">
        <f>+SUMIFS(#REF!,#REF!,Planning[[#This Row],[Proyectos]],#REF!,Planning[[#This Row],[Tipo de Tarea y especialidad]])</f>
        <v>#REF!</v>
      </c>
      <c r="O700" s="19">
        <f t="shared" si="20"/>
        <v>10</v>
      </c>
      <c r="P700" s="19">
        <f t="shared" si="21"/>
        <v>2024</v>
      </c>
      <c r="Q7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00" s="19" t="str">
        <f>TEXT(Planning[[#This Row],[Mes]]*29,"mmmm")</f>
        <v>October</v>
      </c>
      <c r="S7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00" s="193"/>
      <c r="U700" s="43" t="e">
        <f>IF(Planning[[#This Row],[Horas Planificadas]]&lt;&gt;0,+K700/Planning[[#This Row],[Horas Planificadas]],0)</f>
        <v>#REF!</v>
      </c>
      <c r="V700" s="43" t="e">
        <f>IF(Planning[[#This Row],[Horas Planificadas]]&lt;&gt;0,Planning[[#This Row],[Horas utilizadas]]/Planning[[#This Row],[Horas Planificadas]],0)</f>
        <v>#REF!</v>
      </c>
      <c r="W700" s="44">
        <f>Planning[[#This Row],[Horas Planificadas]]+Planning[[#This Row],[Horas ajustadas adicionales]]</f>
        <v>1122</v>
      </c>
      <c r="X700" s="142"/>
    </row>
    <row r="701" spans="1:24" ht="12.75" customHeight="1" x14ac:dyDescent="0.2">
      <c r="A701" s="7" t="s">
        <v>168</v>
      </c>
      <c r="B701" s="7" t="s">
        <v>178</v>
      </c>
      <c r="C701" s="3"/>
      <c r="D701" s="3" t="s">
        <v>213</v>
      </c>
      <c r="E701" s="33"/>
      <c r="F701" s="3" t="s">
        <v>124</v>
      </c>
      <c r="G701" s="7"/>
      <c r="H701" s="7"/>
      <c r="I701" s="12"/>
      <c r="J701" s="5" t="e">
        <f>SUM(SUMIFS(#REF!,#REF!,Planning[[#This Row],[Tipo de Tarea y especialidad]],#REF!,Planning[[#This Row],[Proyectos Reiwa]]),SUMIFS(#REF!,#REF!,Planning[[#This Row],[Tipo de Tarea y especialidad]],#REF!,Planning[[#This Row],[Proyectos]]))</f>
        <v>#REF!</v>
      </c>
      <c r="K701" s="5" t="e">
        <f>Planning[[#This Row],[Horas Planificadas]]+Planning[[#This Row],[Horas ajustadas adicionales]]-Planning[[#This Row],[Horas utilizadas]]</f>
        <v>#REF!</v>
      </c>
      <c r="L701" s="7"/>
      <c r="M701" s="19" t="e">
        <f>Planning[[#This Row],[Saldo]]-Planning[[#This Row],[Saldo estimado]]</f>
        <v>#REF!</v>
      </c>
      <c r="N701" s="60" t="e">
        <f>+SUMIFS(#REF!,#REF!,Planning[[#This Row],[Proyectos]],#REF!,Planning[[#This Row],[Tipo de Tarea y especialidad]])</f>
        <v>#REF!</v>
      </c>
      <c r="O701" s="19">
        <f t="shared" si="20"/>
        <v>10</v>
      </c>
      <c r="P701" s="19">
        <f t="shared" si="21"/>
        <v>2024</v>
      </c>
      <c r="Q7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01" s="19" t="str">
        <f>TEXT(Planning[[#This Row],[Mes]]*29,"mmmm")</f>
        <v>October</v>
      </c>
      <c r="S7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01" s="193"/>
      <c r="U701" s="43">
        <f>IF(Planning[[#This Row],[Horas Planificadas]]&lt;&gt;0,+K701/Planning[[#This Row],[Horas Planificadas]],0)</f>
        <v>0</v>
      </c>
      <c r="V701" s="43">
        <f>IF(Planning[[#This Row],[Horas Planificadas]]&lt;&gt;0,Planning[[#This Row],[Horas utilizadas]]/Planning[[#This Row],[Horas Planificadas]],0)</f>
        <v>0</v>
      </c>
      <c r="W701" s="44">
        <f>Planning[[#This Row],[Horas Planificadas]]+Planning[[#This Row],[Horas ajustadas adicionales]]</f>
        <v>0</v>
      </c>
      <c r="X701" s="142"/>
    </row>
    <row r="702" spans="1:24" ht="12.75" customHeight="1" x14ac:dyDescent="0.2">
      <c r="A702" s="7" t="s">
        <v>168</v>
      </c>
      <c r="B702" s="7" t="s">
        <v>178</v>
      </c>
      <c r="C702" s="3"/>
      <c r="D702" s="3" t="s">
        <v>213</v>
      </c>
      <c r="E702" s="33"/>
      <c r="F702" s="3" t="s">
        <v>125</v>
      </c>
      <c r="G702" s="7"/>
      <c r="H702" s="7">
        <v>72</v>
      </c>
      <c r="I702" s="12"/>
      <c r="J702" s="5" t="e">
        <f>SUM(SUMIFS(#REF!,#REF!,Planning[[#This Row],[Tipo de Tarea y especialidad]],#REF!,Planning[[#This Row],[Proyectos Reiwa]]),SUMIFS(#REF!,#REF!,Planning[[#This Row],[Tipo de Tarea y especialidad]],#REF!,Planning[[#This Row],[Proyectos]]))</f>
        <v>#REF!</v>
      </c>
      <c r="K702" s="5" t="e">
        <f>Planning[[#This Row],[Horas Planificadas]]+Planning[[#This Row],[Horas ajustadas adicionales]]-Planning[[#This Row],[Horas utilizadas]]</f>
        <v>#REF!</v>
      </c>
      <c r="L702" s="7">
        <v>0</v>
      </c>
      <c r="M702" s="19" t="e">
        <f>Planning[[#This Row],[Saldo]]-Planning[[#This Row],[Saldo estimado]]</f>
        <v>#REF!</v>
      </c>
      <c r="N702" s="60" t="e">
        <f>+SUMIFS(#REF!,#REF!,Planning[[#This Row],[Proyectos]],#REF!,Planning[[#This Row],[Tipo de Tarea y especialidad]])</f>
        <v>#REF!</v>
      </c>
      <c r="O702" s="19">
        <f t="shared" si="20"/>
        <v>10</v>
      </c>
      <c r="P702" s="19">
        <f t="shared" si="21"/>
        <v>2024</v>
      </c>
      <c r="Q7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02" s="19" t="str">
        <f>TEXT(Planning[[#This Row],[Mes]]*29,"mmmm")</f>
        <v>October</v>
      </c>
      <c r="S7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02" s="193"/>
      <c r="U702" s="43" t="e">
        <f>IF(Planning[[#This Row],[Horas Planificadas]]&lt;&gt;0,+K702/Planning[[#This Row],[Horas Planificadas]],0)</f>
        <v>#REF!</v>
      </c>
      <c r="V702" s="43" t="e">
        <f>IF(Planning[[#This Row],[Horas Planificadas]]&lt;&gt;0,Planning[[#This Row],[Horas utilizadas]]/Planning[[#This Row],[Horas Planificadas]],0)</f>
        <v>#REF!</v>
      </c>
      <c r="W702" s="44">
        <f>Planning[[#This Row],[Horas Planificadas]]+Planning[[#This Row],[Horas ajustadas adicionales]]</f>
        <v>72</v>
      </c>
      <c r="X702" s="142"/>
    </row>
    <row r="703" spans="1:24" ht="12.75" customHeight="1" x14ac:dyDescent="0.2">
      <c r="A703" s="7" t="s">
        <v>168</v>
      </c>
      <c r="B703" s="7" t="s">
        <v>178</v>
      </c>
      <c r="C703" s="3"/>
      <c r="D703" s="3" t="s">
        <v>213</v>
      </c>
      <c r="E703" s="33"/>
      <c r="F703" s="3" t="s">
        <v>126</v>
      </c>
      <c r="G703" s="7"/>
      <c r="H703" s="7"/>
      <c r="I703" s="12"/>
      <c r="J703" s="5" t="e">
        <f>SUM(SUMIFS(#REF!,#REF!,Planning[[#This Row],[Tipo de Tarea y especialidad]],#REF!,Planning[[#This Row],[Proyectos Reiwa]]),SUMIFS(#REF!,#REF!,Planning[[#This Row],[Tipo de Tarea y especialidad]],#REF!,Planning[[#This Row],[Proyectos]]))</f>
        <v>#REF!</v>
      </c>
      <c r="K703" s="5" t="e">
        <f>Planning[[#This Row],[Horas Planificadas]]+Planning[[#This Row],[Horas ajustadas adicionales]]-Planning[[#This Row],[Horas utilizadas]]</f>
        <v>#REF!</v>
      </c>
      <c r="L703" s="7">
        <v>0</v>
      </c>
      <c r="M703" s="19" t="e">
        <f>Planning[[#This Row],[Saldo]]-Planning[[#This Row],[Saldo estimado]]</f>
        <v>#REF!</v>
      </c>
      <c r="N703" s="60" t="e">
        <f>+SUMIFS(#REF!,#REF!,Planning[[#This Row],[Proyectos]],#REF!,Planning[[#This Row],[Tipo de Tarea y especialidad]])</f>
        <v>#REF!</v>
      </c>
      <c r="O703" s="19">
        <f t="shared" si="20"/>
        <v>10</v>
      </c>
      <c r="P703" s="19">
        <f t="shared" si="21"/>
        <v>2024</v>
      </c>
      <c r="Q7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03" s="19" t="str">
        <f>TEXT(Planning[[#This Row],[Mes]]*29,"mmmm")</f>
        <v>October</v>
      </c>
      <c r="S7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03" s="193"/>
      <c r="U703" s="43">
        <f>IF(Planning[[#This Row],[Horas Planificadas]]&lt;&gt;0,+K703/Planning[[#This Row],[Horas Planificadas]],0)</f>
        <v>0</v>
      </c>
      <c r="V703" s="43">
        <f>IF(Planning[[#This Row],[Horas Planificadas]]&lt;&gt;0,Planning[[#This Row],[Horas utilizadas]]/Planning[[#This Row],[Horas Planificadas]],0)</f>
        <v>0</v>
      </c>
      <c r="W703" s="44">
        <f>Planning[[#This Row],[Horas Planificadas]]+Planning[[#This Row],[Horas ajustadas adicionales]]</f>
        <v>0</v>
      </c>
      <c r="X703" s="142"/>
    </row>
    <row r="704" spans="1:24" ht="12.75" customHeight="1" x14ac:dyDescent="0.2">
      <c r="A704" s="7" t="s">
        <v>168</v>
      </c>
      <c r="B704" s="7" t="s">
        <v>178</v>
      </c>
      <c r="C704" s="3"/>
      <c r="D704" s="3" t="s">
        <v>213</v>
      </c>
      <c r="E704" s="33"/>
      <c r="F704" s="3" t="s">
        <v>127</v>
      </c>
      <c r="G704" s="7"/>
      <c r="H704" s="7"/>
      <c r="I704" s="12"/>
      <c r="J704" s="5" t="e">
        <f>SUM(SUMIFS(#REF!,#REF!,Planning[[#This Row],[Tipo de Tarea y especialidad]],#REF!,Planning[[#This Row],[Proyectos Reiwa]]),SUMIFS(#REF!,#REF!,Planning[[#This Row],[Tipo de Tarea y especialidad]],#REF!,Planning[[#This Row],[Proyectos]]))</f>
        <v>#REF!</v>
      </c>
      <c r="K704" s="5" t="e">
        <f>Planning[[#This Row],[Horas Planificadas]]+Planning[[#This Row],[Horas ajustadas adicionales]]-Planning[[#This Row],[Horas utilizadas]]</f>
        <v>#REF!</v>
      </c>
      <c r="L704" s="7">
        <v>0</v>
      </c>
      <c r="M704" s="19" t="e">
        <f>Planning[[#This Row],[Saldo]]-Planning[[#This Row],[Saldo estimado]]</f>
        <v>#REF!</v>
      </c>
      <c r="N704" s="60" t="e">
        <f>+SUMIFS(#REF!,#REF!,Planning[[#This Row],[Proyectos]],#REF!,Planning[[#This Row],[Tipo de Tarea y especialidad]])</f>
        <v>#REF!</v>
      </c>
      <c r="O704" s="19">
        <f t="shared" si="20"/>
        <v>10</v>
      </c>
      <c r="P704" s="19">
        <f t="shared" si="21"/>
        <v>2024</v>
      </c>
      <c r="Q7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04" s="19" t="str">
        <f>TEXT(Planning[[#This Row],[Mes]]*29,"mmmm")</f>
        <v>October</v>
      </c>
      <c r="S7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04" s="193"/>
      <c r="U704" s="43">
        <f>IF(Planning[[#This Row],[Horas Planificadas]]&lt;&gt;0,+K704/Planning[[#This Row],[Horas Planificadas]],0)</f>
        <v>0</v>
      </c>
      <c r="V704" s="43">
        <f>IF(Planning[[#This Row],[Horas Planificadas]]&lt;&gt;0,Planning[[#This Row],[Horas utilizadas]]/Planning[[#This Row],[Horas Planificadas]],0)</f>
        <v>0</v>
      </c>
      <c r="W704" s="44">
        <f>Planning[[#This Row],[Horas Planificadas]]+Planning[[#This Row],[Horas ajustadas adicionales]]</f>
        <v>0</v>
      </c>
      <c r="X704" s="142"/>
    </row>
    <row r="705" spans="1:24" ht="12.75" customHeight="1" x14ac:dyDescent="0.2">
      <c r="A705" s="7" t="s">
        <v>168</v>
      </c>
      <c r="B705" s="7" t="s">
        <v>178</v>
      </c>
      <c r="C705" s="3"/>
      <c r="D705" s="3" t="s">
        <v>213</v>
      </c>
      <c r="E705" s="33"/>
      <c r="F705" s="3" t="s">
        <v>128</v>
      </c>
      <c r="G705" s="7"/>
      <c r="H705" s="7"/>
      <c r="I705" s="12"/>
      <c r="J705" s="5" t="e">
        <f>SUM(SUMIFS(#REF!,#REF!,Planning[[#This Row],[Tipo de Tarea y especialidad]],#REF!,Planning[[#This Row],[Proyectos Reiwa]]),SUMIFS(#REF!,#REF!,Planning[[#This Row],[Tipo de Tarea y especialidad]],#REF!,Planning[[#This Row],[Proyectos]]))</f>
        <v>#REF!</v>
      </c>
      <c r="K705" s="5" t="e">
        <f>Planning[[#This Row],[Horas Planificadas]]+Planning[[#This Row],[Horas ajustadas adicionales]]-Planning[[#This Row],[Horas utilizadas]]</f>
        <v>#REF!</v>
      </c>
      <c r="L705" s="7"/>
      <c r="M705" s="19" t="e">
        <f>Planning[[#This Row],[Saldo]]-Planning[[#This Row],[Saldo estimado]]</f>
        <v>#REF!</v>
      </c>
      <c r="N705" s="60" t="e">
        <f>+SUMIFS(#REF!,#REF!,Planning[[#This Row],[Proyectos]],#REF!,Planning[[#This Row],[Tipo de Tarea y especialidad]])</f>
        <v>#REF!</v>
      </c>
      <c r="O705" s="19">
        <f t="shared" si="20"/>
        <v>10</v>
      </c>
      <c r="P705" s="19">
        <f t="shared" si="21"/>
        <v>2024</v>
      </c>
      <c r="Q7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05" s="19" t="str">
        <f>TEXT(Planning[[#This Row],[Mes]]*29,"mmmm")</f>
        <v>October</v>
      </c>
      <c r="S7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05" s="193"/>
      <c r="U705" s="43">
        <f>IF(Planning[[#This Row],[Horas Planificadas]]&lt;&gt;0,+K705/Planning[[#This Row],[Horas Planificadas]],0)</f>
        <v>0</v>
      </c>
      <c r="V705" s="43">
        <f>IF(Planning[[#This Row],[Horas Planificadas]]&lt;&gt;0,Planning[[#This Row],[Horas utilizadas]]/Planning[[#This Row],[Horas Planificadas]],0)</f>
        <v>0</v>
      </c>
      <c r="W705" s="44">
        <f>Planning[[#This Row],[Horas Planificadas]]+Planning[[#This Row],[Horas ajustadas adicionales]]</f>
        <v>0</v>
      </c>
      <c r="X705" s="142"/>
    </row>
    <row r="706" spans="1:24" ht="12.75" customHeight="1" x14ac:dyDescent="0.2">
      <c r="A706" s="7" t="s">
        <v>168</v>
      </c>
      <c r="B706" s="7" t="s">
        <v>178</v>
      </c>
      <c r="C706" s="3"/>
      <c r="D706" s="3" t="s">
        <v>213</v>
      </c>
      <c r="E706" s="33" t="s">
        <v>31</v>
      </c>
      <c r="F706" s="3" t="s">
        <v>31</v>
      </c>
      <c r="G706" s="7">
        <v>166</v>
      </c>
      <c r="H706" s="15">
        <v>166</v>
      </c>
      <c r="I706" s="18"/>
      <c r="J706" s="14" t="e">
        <f>+SUMIFS(#REF!,#REF!,Planning[[#This Row],[Tarifa]],#REF!,Planning[[#This Row],[Proyectos]])</f>
        <v>#REF!</v>
      </c>
      <c r="K706" s="14" t="e">
        <f>Planning[[#This Row],[Horas Planificadas]]+Planning[[#This Row],[Horas ajustadas adicionales]]-Planning[[#This Row],[Horas utilizadas]]</f>
        <v>#REF!</v>
      </c>
      <c r="L706" s="15">
        <v>0</v>
      </c>
      <c r="M706" s="16" t="e">
        <f>Planning[[#This Row],[Saldo]]-Planning[[#This Row],[Saldo estimado]]</f>
        <v>#REF!</v>
      </c>
      <c r="N706" s="60"/>
      <c r="O706" s="16">
        <f t="shared" si="20"/>
        <v>10</v>
      </c>
      <c r="P706" s="16">
        <f t="shared" si="21"/>
        <v>2024</v>
      </c>
      <c r="Q706" s="16" t="e">
        <f>+SUMIFS(#REF!,#REF!,Planning[[#This Row],[Tarifa]],#REF!,Planning[[#This Row],[Proyectos]],#REF!,Planning[[#This Row],[Mes]],#REF!,Planning[[#This Row],[Año]])</f>
        <v>#REF!</v>
      </c>
      <c r="R706" s="16" t="str">
        <f>TEXT(Planning[[#This Row],[Mes]]*29,"mmmm")</f>
        <v>October</v>
      </c>
      <c r="S7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06" s="193"/>
      <c r="U706" s="43" t="e">
        <f>IF(Planning[[#This Row],[Horas Planificadas]]&lt;&gt;0,+K706/Planning[[#This Row],[Horas Planificadas]],0)</f>
        <v>#REF!</v>
      </c>
      <c r="V706" s="43" t="e">
        <f>IF(Planning[[#This Row],[Horas Planificadas]]&lt;&gt;0,Planning[[#This Row],[Horas utilizadas]]/Planning[[#This Row],[Horas Planificadas]],0)</f>
        <v>#REF!</v>
      </c>
      <c r="W706" s="44">
        <f>Planning[[#This Row],[Horas Planificadas]]+Planning[[#This Row],[Horas ajustadas adicionales]]</f>
        <v>166</v>
      </c>
      <c r="X706" s="142"/>
    </row>
    <row r="707" spans="1:24" ht="12.75" customHeight="1" x14ac:dyDescent="0.2">
      <c r="A707" s="7" t="s">
        <v>168</v>
      </c>
      <c r="B707" s="7" t="s">
        <v>178</v>
      </c>
      <c r="C707" s="3"/>
      <c r="D707" s="3" t="s">
        <v>213</v>
      </c>
      <c r="E707" s="33" t="s">
        <v>32</v>
      </c>
      <c r="F707" s="3"/>
      <c r="G707" s="7">
        <v>531</v>
      </c>
      <c r="H707" s="24">
        <f>SUM(H708:H710)</f>
        <v>650</v>
      </c>
      <c r="I707" s="14"/>
      <c r="J707" s="14" t="e">
        <f>SUM(J708:J710)</f>
        <v>#REF!</v>
      </c>
      <c r="K707" s="18" t="e">
        <f>SUM(K708:K710)</f>
        <v>#REF!</v>
      </c>
      <c r="L707" s="15">
        <f>SUM(L708:L710)</f>
        <v>0</v>
      </c>
      <c r="M707" s="16" t="e">
        <f>SUM(M708:M710)</f>
        <v>#REF!</v>
      </c>
      <c r="N707" s="60"/>
      <c r="O707" s="16">
        <f t="shared" si="20"/>
        <v>10</v>
      </c>
      <c r="P707" s="16">
        <f t="shared" si="21"/>
        <v>2024</v>
      </c>
      <c r="Q707" s="16" t="e">
        <f>SUM(Q708:Q710)</f>
        <v>#REF!</v>
      </c>
      <c r="R707" s="16" t="str">
        <f>TEXT(Planning[[#This Row],[Mes]]*29,"mmmm")</f>
        <v>October</v>
      </c>
      <c r="S7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07" s="193"/>
      <c r="U707" s="43" t="e">
        <f>IF(Planning[[#This Row],[Horas Planificadas]]&lt;&gt;0,+K707/Planning[[#This Row],[Horas Planificadas]],0)</f>
        <v>#REF!</v>
      </c>
      <c r="V707" s="43" t="e">
        <f>IF(Planning[[#This Row],[Horas Planificadas]]&lt;&gt;0,Planning[[#This Row],[Horas utilizadas]]/Planning[[#This Row],[Horas Planificadas]],0)</f>
        <v>#REF!</v>
      </c>
      <c r="W707" s="44">
        <f>Planning[[#This Row],[Horas Planificadas]]+Planning[[#This Row],[Horas ajustadas adicionales]]</f>
        <v>650</v>
      </c>
      <c r="X707" s="142"/>
    </row>
    <row r="708" spans="1:24" ht="12.75" customHeight="1" x14ac:dyDescent="0.2">
      <c r="A708" s="7" t="s">
        <v>168</v>
      </c>
      <c r="B708" s="7" t="s">
        <v>178</v>
      </c>
      <c r="C708" s="3"/>
      <c r="D708" s="3" t="s">
        <v>213</v>
      </c>
      <c r="E708" s="33"/>
      <c r="F708" s="3" t="s">
        <v>129</v>
      </c>
      <c r="G708" s="7"/>
      <c r="H708" s="7">
        <v>310</v>
      </c>
      <c r="I708" s="12"/>
      <c r="J708" s="5" t="e">
        <f>SUM(SUMIFS(#REF!,#REF!,Planning[[#This Row],[Tipo de Tarea y especialidad]],#REF!,Planning[[#This Row],[Proyectos Reiwa]]),SUMIFS(#REF!,#REF!,Planning[[#This Row],[Tipo de Tarea y especialidad]],#REF!,Planning[[#This Row],[Proyectos]]))</f>
        <v>#REF!</v>
      </c>
      <c r="K708" s="5" t="e">
        <f>Planning[[#This Row],[Horas Planificadas]]+Planning[[#This Row],[Horas ajustadas adicionales]]-Planning[[#This Row],[Horas utilizadas]]</f>
        <v>#REF!</v>
      </c>
      <c r="L708" s="7">
        <v>0</v>
      </c>
      <c r="M708" s="19" t="e">
        <f>Planning[[#This Row],[Saldo]]-Planning[[#This Row],[Saldo estimado]]</f>
        <v>#REF!</v>
      </c>
      <c r="N708" s="60" t="e">
        <f>+SUMIFS(#REF!,#REF!,Planning[[#This Row],[Proyectos]],#REF!,Planning[[#This Row],[Tipo de Tarea y especialidad]])</f>
        <v>#REF!</v>
      </c>
      <c r="O708" s="19">
        <f t="shared" si="20"/>
        <v>10</v>
      </c>
      <c r="P708" s="19">
        <f t="shared" si="21"/>
        <v>2024</v>
      </c>
      <c r="Q7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08" s="19" t="str">
        <f>TEXT(Planning[[#This Row],[Mes]]*29,"mmmm")</f>
        <v>October</v>
      </c>
      <c r="S7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08" s="193"/>
      <c r="U708" s="43" t="e">
        <f>IF(Planning[[#This Row],[Horas Planificadas]]&lt;&gt;0,+K708/Planning[[#This Row],[Horas Planificadas]],0)</f>
        <v>#REF!</v>
      </c>
      <c r="V708" s="43" t="e">
        <f>IF(Planning[[#This Row],[Horas Planificadas]]&lt;&gt;0,Planning[[#This Row],[Horas utilizadas]]/Planning[[#This Row],[Horas Planificadas]],0)</f>
        <v>#REF!</v>
      </c>
      <c r="W708" s="44">
        <f>Planning[[#This Row],[Horas Planificadas]]+Planning[[#This Row],[Horas ajustadas adicionales]]</f>
        <v>310</v>
      </c>
      <c r="X708" s="142"/>
    </row>
    <row r="709" spans="1:24" ht="12.75" customHeight="1" x14ac:dyDescent="0.2">
      <c r="A709" s="7" t="s">
        <v>168</v>
      </c>
      <c r="B709" s="7" t="s">
        <v>178</v>
      </c>
      <c r="C709" s="3"/>
      <c r="D709" s="3" t="s">
        <v>213</v>
      </c>
      <c r="E709" s="33"/>
      <c r="F709" s="3" t="s">
        <v>130</v>
      </c>
      <c r="G709" s="7"/>
      <c r="H709" s="7">
        <v>340</v>
      </c>
      <c r="I709" s="12"/>
      <c r="J709" s="5" t="e">
        <f>SUM(SUMIFS(#REF!,#REF!,Planning[[#This Row],[Tipo de Tarea y especialidad]],#REF!,Planning[[#This Row],[Proyectos Reiwa]]),SUMIFS(#REF!,#REF!,Planning[[#This Row],[Tipo de Tarea y especialidad]],#REF!,Planning[[#This Row],[Proyectos]]))</f>
        <v>#REF!</v>
      </c>
      <c r="K709" s="5" t="e">
        <f>Planning[[#This Row],[Horas Planificadas]]+Planning[[#This Row],[Horas ajustadas adicionales]]-Planning[[#This Row],[Horas utilizadas]]</f>
        <v>#REF!</v>
      </c>
      <c r="L709" s="7">
        <v>0</v>
      </c>
      <c r="M709" s="19" t="e">
        <f>Planning[[#This Row],[Saldo]]-Planning[[#This Row],[Saldo estimado]]</f>
        <v>#REF!</v>
      </c>
      <c r="N709" s="60" t="e">
        <f>+SUMIFS(#REF!,#REF!,Planning[[#This Row],[Proyectos]],#REF!,Planning[[#This Row],[Tipo de Tarea y especialidad]])</f>
        <v>#REF!</v>
      </c>
      <c r="O709" s="19">
        <f t="shared" si="20"/>
        <v>10</v>
      </c>
      <c r="P709" s="19">
        <f t="shared" si="21"/>
        <v>2024</v>
      </c>
      <c r="Q7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09" s="19" t="str">
        <f>TEXT(Planning[[#This Row],[Mes]]*29,"mmmm")</f>
        <v>October</v>
      </c>
      <c r="S7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09" s="193"/>
      <c r="U709" s="43" t="e">
        <f>IF(Planning[[#This Row],[Horas Planificadas]]&lt;&gt;0,+K709/Planning[[#This Row],[Horas Planificadas]],0)</f>
        <v>#REF!</v>
      </c>
      <c r="V709" s="43" t="e">
        <f>IF(Planning[[#This Row],[Horas Planificadas]]&lt;&gt;0,Planning[[#This Row],[Horas utilizadas]]/Planning[[#This Row],[Horas Planificadas]],0)</f>
        <v>#REF!</v>
      </c>
      <c r="W709" s="44">
        <f>Planning[[#This Row],[Horas Planificadas]]+Planning[[#This Row],[Horas ajustadas adicionales]]</f>
        <v>340</v>
      </c>
      <c r="X709" s="142"/>
    </row>
    <row r="710" spans="1:24" ht="12.75" customHeight="1" x14ac:dyDescent="0.2">
      <c r="A710" s="7" t="s">
        <v>168</v>
      </c>
      <c r="B710" s="7" t="s">
        <v>178</v>
      </c>
      <c r="C710" s="3"/>
      <c r="D710" s="3" t="s">
        <v>213</v>
      </c>
      <c r="E710" s="33"/>
      <c r="F710" s="3" t="s">
        <v>131</v>
      </c>
      <c r="G710" s="7"/>
      <c r="H710" s="7"/>
      <c r="I710" s="12"/>
      <c r="J710" s="5" t="e">
        <f>SUM(SUMIFS(#REF!,#REF!,Planning[[#This Row],[Tipo de Tarea y especialidad]],#REF!,Planning[[#This Row],[Proyectos Reiwa]]),SUMIFS(#REF!,#REF!,Planning[[#This Row],[Tipo de Tarea y especialidad]],#REF!,Planning[[#This Row],[Proyectos]]))</f>
        <v>#REF!</v>
      </c>
      <c r="K710" s="5" t="e">
        <f>Planning[[#This Row],[Horas Planificadas]]+Planning[[#This Row],[Horas ajustadas adicionales]]-Planning[[#This Row],[Horas utilizadas]]</f>
        <v>#REF!</v>
      </c>
      <c r="L710" s="7"/>
      <c r="M710" s="19" t="e">
        <f>Planning[[#This Row],[Saldo]]-Planning[[#This Row],[Saldo estimado]]</f>
        <v>#REF!</v>
      </c>
      <c r="N710" s="60" t="e">
        <f>+SUMIFS(#REF!,#REF!,Planning[[#This Row],[Proyectos]],#REF!,Planning[[#This Row],[Tipo de Tarea y especialidad]])</f>
        <v>#REF!</v>
      </c>
      <c r="O710" s="19">
        <f t="shared" si="20"/>
        <v>10</v>
      </c>
      <c r="P710" s="19">
        <f t="shared" si="21"/>
        <v>2024</v>
      </c>
      <c r="Q7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10" s="19" t="str">
        <f>TEXT(Planning[[#This Row],[Mes]]*29,"mmmm")</f>
        <v>October</v>
      </c>
      <c r="S7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10" s="193"/>
      <c r="U710" s="43">
        <f>IF(Planning[[#This Row],[Horas Planificadas]]&lt;&gt;0,+K710/Planning[[#This Row],[Horas Planificadas]],0)</f>
        <v>0</v>
      </c>
      <c r="V710" s="43">
        <f>IF(Planning[[#This Row],[Horas Planificadas]]&lt;&gt;0,Planning[[#This Row],[Horas utilizadas]]/Planning[[#This Row],[Horas Planificadas]],0)</f>
        <v>0</v>
      </c>
      <c r="W710" s="44">
        <f>Planning[[#This Row],[Horas Planificadas]]+Planning[[#This Row],[Horas ajustadas adicionales]]</f>
        <v>0</v>
      </c>
      <c r="X710" s="142"/>
    </row>
    <row r="711" spans="1:24" ht="12.75" customHeight="1" x14ac:dyDescent="0.2">
      <c r="A711" s="7"/>
      <c r="B711" s="7"/>
      <c r="C711" s="3"/>
      <c r="D711" s="3" t="s">
        <v>215</v>
      </c>
      <c r="E711" s="33" t="s">
        <v>28</v>
      </c>
      <c r="F711" s="3"/>
      <c r="G711" s="7"/>
      <c r="H711" s="7">
        <v>150</v>
      </c>
      <c r="I711" s="12"/>
      <c r="J711" s="5" t="e">
        <f>+SUMIFS(#REF!,#REF!,Planning[[#This Row],[Tarifa]],#REF!,Planning[[#This Row],[Proyectos]])</f>
        <v>#REF!</v>
      </c>
      <c r="K711" s="5" t="e">
        <f>Planning[[#This Row],[Horas Planificadas]]+Planning[[#This Row],[Horas ajustadas adicionales]]-Planning[[#This Row],[Horas utilizadas]]</f>
        <v>#REF!</v>
      </c>
      <c r="L711" s="7"/>
      <c r="M711" s="19" t="e">
        <f>Planning[[#This Row],[Saldo]]-Planning[[#This Row],[Saldo estimado]]</f>
        <v>#REF!</v>
      </c>
      <c r="N711" s="60" t="e">
        <f>+SUMIFS(#REF!,#REF!,Planning[[#This Row],[Proyectos]],#REF!,Planning[[#This Row],[Tipo de Tarea y especialidad]])</f>
        <v>#REF!</v>
      </c>
      <c r="O711" s="19">
        <f t="shared" ref="O711:O774" si="22">$L$4</f>
        <v>10</v>
      </c>
      <c r="P711" s="19">
        <f t="shared" ref="P711:P774" si="23">$M$4</f>
        <v>2024</v>
      </c>
      <c r="Q711" s="19" t="e">
        <f>+SUMIFS(#REF!,#REF!,Planning[[#This Row],[Tarifa]],#REF!,Planning[[#This Row],[Proyectos]],#REF!,Planning[[#This Row],[Mes]],#REF!,Planning[[#This Row],[Año]])</f>
        <v>#REF!</v>
      </c>
      <c r="R711" s="19" t="str">
        <f>TEXT(Planning[[#This Row],[Mes]]*29,"mmmm")</f>
        <v>October</v>
      </c>
      <c r="S7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11" s="228"/>
      <c r="U711" s="43" t="e">
        <f>IF(Planning[[#This Row],[Horas Planificadas]]&lt;&gt;0,+K711/Planning[[#This Row],[Horas Planificadas]],0)</f>
        <v>#REF!</v>
      </c>
      <c r="V711" s="43" t="e">
        <f>IF(Planning[[#This Row],[Horas Planificadas]]&lt;&gt;0,Planning[[#This Row],[Horas utilizadas]]/Planning[[#This Row],[Horas Planificadas]],0)</f>
        <v>#REF!</v>
      </c>
      <c r="W711" s="44">
        <f>Planning[[#This Row],[Horas Planificadas]]+Planning[[#This Row],[Horas ajustadas adicionales]]</f>
        <v>150</v>
      </c>
      <c r="X711" s="142"/>
    </row>
    <row r="712" spans="1:24" ht="12.75" customHeight="1" x14ac:dyDescent="0.2">
      <c r="A712" s="7"/>
      <c r="B712" s="7"/>
      <c r="C712" s="3"/>
      <c r="D712" s="3" t="s">
        <v>215</v>
      </c>
      <c r="E712" s="33" t="s">
        <v>30</v>
      </c>
      <c r="F712" s="3"/>
      <c r="G712" s="7"/>
      <c r="H712" s="7">
        <v>180</v>
      </c>
      <c r="I712" s="12"/>
      <c r="J712" s="5" t="e">
        <f>+SUMIFS(#REF!,#REF!,Planning[[#This Row],[Tarifa]],#REF!,Planning[[#This Row],[Proyectos]])</f>
        <v>#REF!</v>
      </c>
      <c r="K712" s="5" t="e">
        <f>Planning[[#This Row],[Horas Planificadas]]+Planning[[#This Row],[Horas ajustadas adicionales]]-Planning[[#This Row],[Horas utilizadas]]</f>
        <v>#REF!</v>
      </c>
      <c r="L712" s="7"/>
      <c r="M712" s="19" t="e">
        <f>Planning[[#This Row],[Saldo]]-Planning[[#This Row],[Saldo estimado]]</f>
        <v>#REF!</v>
      </c>
      <c r="N712" s="60" t="e">
        <f>+SUMIFS(#REF!,#REF!,Planning[[#This Row],[Proyectos]],#REF!,Planning[[#This Row],[Tipo de Tarea y especialidad]])</f>
        <v>#REF!</v>
      </c>
      <c r="O712" s="19">
        <f t="shared" si="22"/>
        <v>10</v>
      </c>
      <c r="P712" s="19">
        <f t="shared" si="23"/>
        <v>2024</v>
      </c>
      <c r="Q712" s="19" t="e">
        <f>+SUMIFS(#REF!,#REF!,Planning[[#This Row],[Tarifa]],#REF!,Planning[[#This Row],[Proyectos]],#REF!,Planning[[#This Row],[Mes]],#REF!,Planning[[#This Row],[Año]])</f>
        <v>#REF!</v>
      </c>
      <c r="R712" s="19" t="str">
        <f>TEXT(Planning[[#This Row],[Mes]]*29,"mmmm")</f>
        <v>October</v>
      </c>
      <c r="S7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12" s="228"/>
      <c r="U712" s="43" t="e">
        <f>IF(Planning[[#This Row],[Horas Planificadas]]&lt;&gt;0,+K712/Planning[[#This Row],[Horas Planificadas]],0)</f>
        <v>#REF!</v>
      </c>
      <c r="V712" s="43" t="e">
        <f>IF(Planning[[#This Row],[Horas Planificadas]]&lt;&gt;0,Planning[[#This Row],[Horas utilizadas]]/Planning[[#This Row],[Horas Planificadas]],0)</f>
        <v>#REF!</v>
      </c>
      <c r="W712" s="44">
        <f>Planning[[#This Row],[Horas Planificadas]]+Planning[[#This Row],[Horas ajustadas adicionales]]</f>
        <v>180</v>
      </c>
      <c r="X712" s="142"/>
    </row>
    <row r="713" spans="1:24" ht="12.75" customHeight="1" x14ac:dyDescent="0.2">
      <c r="A713" s="7"/>
      <c r="B713" s="7"/>
      <c r="C713" s="3"/>
      <c r="D713" s="3" t="s">
        <v>215</v>
      </c>
      <c r="E713" s="33" t="s">
        <v>31</v>
      </c>
      <c r="F713" s="3"/>
      <c r="G713" s="7"/>
      <c r="H713" s="7">
        <v>160</v>
      </c>
      <c r="I713" s="12"/>
      <c r="J713" s="5" t="e">
        <f>+SUMIFS(#REF!,#REF!,Planning[[#This Row],[Tarifa]],#REF!,Planning[[#This Row],[Proyectos]])</f>
        <v>#REF!</v>
      </c>
      <c r="K713" s="5" t="e">
        <f>Planning[[#This Row],[Horas Planificadas]]+Planning[[#This Row],[Horas ajustadas adicionales]]-Planning[[#This Row],[Horas utilizadas]]</f>
        <v>#REF!</v>
      </c>
      <c r="L713" s="7"/>
      <c r="M713" s="19" t="e">
        <f>Planning[[#This Row],[Saldo]]-Planning[[#This Row],[Saldo estimado]]</f>
        <v>#REF!</v>
      </c>
      <c r="N713" s="60" t="e">
        <f>+SUMIFS(#REF!,#REF!,Planning[[#This Row],[Proyectos]],#REF!,Planning[[#This Row],[Tipo de Tarea y especialidad]])</f>
        <v>#REF!</v>
      </c>
      <c r="O713" s="19">
        <f t="shared" si="22"/>
        <v>10</v>
      </c>
      <c r="P713" s="19">
        <f t="shared" si="23"/>
        <v>2024</v>
      </c>
      <c r="Q713" s="19" t="e">
        <f>+SUMIFS(#REF!,#REF!,Planning[[#This Row],[Tarifa]],#REF!,Planning[[#This Row],[Proyectos]],#REF!,Planning[[#This Row],[Mes]],#REF!,Planning[[#This Row],[Año]])</f>
        <v>#REF!</v>
      </c>
      <c r="R713" s="19" t="str">
        <f>TEXT(Planning[[#This Row],[Mes]]*29,"mmmm")</f>
        <v>October</v>
      </c>
      <c r="S7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13" s="228"/>
      <c r="U713" s="43" t="e">
        <f>IF(Planning[[#This Row],[Horas Planificadas]]&lt;&gt;0,+K713/Planning[[#This Row],[Horas Planificadas]],0)</f>
        <v>#REF!</v>
      </c>
      <c r="V713" s="43" t="e">
        <f>IF(Planning[[#This Row],[Horas Planificadas]]&lt;&gt;0,Planning[[#This Row],[Horas utilizadas]]/Planning[[#This Row],[Horas Planificadas]],0)</f>
        <v>#REF!</v>
      </c>
      <c r="W713" s="44">
        <f>Planning[[#This Row],[Horas Planificadas]]+Planning[[#This Row],[Horas ajustadas adicionales]]</f>
        <v>160</v>
      </c>
      <c r="X713" s="142"/>
    </row>
    <row r="714" spans="1:24" ht="12.75" customHeight="1" x14ac:dyDescent="0.2">
      <c r="A714" s="7"/>
      <c r="B714" s="7"/>
      <c r="C714" s="3"/>
      <c r="D714" s="3" t="s">
        <v>215</v>
      </c>
      <c r="E714" s="33" t="s">
        <v>32</v>
      </c>
      <c r="F714" s="3"/>
      <c r="G714" s="7"/>
      <c r="H714" s="7">
        <v>136</v>
      </c>
      <c r="I714" s="12"/>
      <c r="J714" s="5" t="e">
        <f>+SUMIFS(#REF!,#REF!,Planning[[#This Row],[Tarifa]],#REF!,Planning[[#This Row],[Proyectos]])</f>
        <v>#REF!</v>
      </c>
      <c r="K714" s="5" t="e">
        <f>Planning[[#This Row],[Horas Planificadas]]+Planning[[#This Row],[Horas ajustadas adicionales]]-Planning[[#This Row],[Horas utilizadas]]</f>
        <v>#REF!</v>
      </c>
      <c r="L714" s="7"/>
      <c r="M714" s="19" t="e">
        <f>Planning[[#This Row],[Saldo]]-Planning[[#This Row],[Saldo estimado]]</f>
        <v>#REF!</v>
      </c>
      <c r="N714" s="60" t="e">
        <f>+SUMIFS(#REF!,#REF!,Planning[[#This Row],[Proyectos]],#REF!,Planning[[#This Row],[Tipo de Tarea y especialidad]])</f>
        <v>#REF!</v>
      </c>
      <c r="O714" s="19">
        <f t="shared" si="22"/>
        <v>10</v>
      </c>
      <c r="P714" s="19">
        <f t="shared" si="23"/>
        <v>2024</v>
      </c>
      <c r="Q714" s="19" t="e">
        <f>+SUMIFS(#REF!,#REF!,Planning[[#This Row],[Tarifa]],#REF!,Planning[[#This Row],[Proyectos]],#REF!,Planning[[#This Row],[Mes]],#REF!,Planning[[#This Row],[Año]])</f>
        <v>#REF!</v>
      </c>
      <c r="R714" s="19" t="str">
        <f>TEXT(Planning[[#This Row],[Mes]]*29,"mmmm")</f>
        <v>October</v>
      </c>
      <c r="S7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14" s="228"/>
      <c r="U714" s="43" t="e">
        <f>IF(Planning[[#This Row],[Horas Planificadas]]&lt;&gt;0,+K714/Planning[[#This Row],[Horas Planificadas]],0)</f>
        <v>#REF!</v>
      </c>
      <c r="V714" s="43" t="e">
        <f>IF(Planning[[#This Row],[Horas Planificadas]]&lt;&gt;0,Planning[[#This Row],[Horas utilizadas]]/Planning[[#This Row],[Horas Planificadas]],0)</f>
        <v>#REF!</v>
      </c>
      <c r="W714" s="44">
        <f>Planning[[#This Row],[Horas Planificadas]]+Planning[[#This Row],[Horas ajustadas adicionales]]</f>
        <v>136</v>
      </c>
      <c r="X714" s="142"/>
    </row>
    <row r="715" spans="1:24" ht="22.5" x14ac:dyDescent="0.2">
      <c r="A715" s="7"/>
      <c r="B715" s="7"/>
      <c r="C715" s="3"/>
      <c r="D715" s="3" t="s">
        <v>216</v>
      </c>
      <c r="E715" s="4" t="s">
        <v>28</v>
      </c>
      <c r="F715" s="3"/>
      <c r="G715" s="9"/>
      <c r="H715" s="12">
        <v>50</v>
      </c>
      <c r="I715" s="12"/>
      <c r="J715" s="5" t="e">
        <f>+SUMIFS(#REF!,#REF!,Planning[[#This Row],[Tarifa]],#REF!,Planning[[#This Row],[Proyectos]])</f>
        <v>#REF!</v>
      </c>
      <c r="K715" s="27" t="e">
        <f>Planning[[#This Row],[Horas Planificadas]]+Planning[[#This Row],[Horas ajustadas adicionales]]-Planning[[#This Row],[Horas utilizadas]]</f>
        <v>#REF!</v>
      </c>
      <c r="L715" s="7"/>
      <c r="M715" s="34" t="e">
        <f>Planning[[#This Row],[Saldo]]-Planning[[#This Row],[Saldo estimado]]</f>
        <v>#REF!</v>
      </c>
      <c r="N715" s="62" t="e">
        <f>+SUMIFS(#REF!,#REF!,Planning[[#This Row],[Proyectos]],#REF!,Planning[[#This Row],[Tipo de Tarea y especialidad]])</f>
        <v>#REF!</v>
      </c>
      <c r="O715" s="34">
        <f t="shared" si="22"/>
        <v>10</v>
      </c>
      <c r="P715" s="34">
        <f t="shared" si="23"/>
        <v>2024</v>
      </c>
      <c r="Q715" s="34" t="e">
        <f>+SUMIFS(#REF!,#REF!,Planning[[#This Row],[Tarifa]],#REF!,Planning[[#This Row],[Proyectos]],#REF!,Planning[[#This Row],[Mes]],#REF!,Planning[[#This Row],[Año]])</f>
        <v>#REF!</v>
      </c>
      <c r="R715" s="34" t="str">
        <f>TEXT(Planning[[#This Row],[Mes]]*29,"mmmm")</f>
        <v>October</v>
      </c>
      <c r="S71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15" s="228"/>
      <c r="U715" s="43" t="e">
        <f>IF(Planning[[#This Row],[Horas Planificadas]]&lt;&gt;0,+K715/Planning[[#This Row],[Horas Planificadas]],0)</f>
        <v>#REF!</v>
      </c>
      <c r="V715" s="43" t="e">
        <f>IF(Planning[[#This Row],[Horas Planificadas]]&lt;&gt;0,Planning[[#This Row],[Horas utilizadas]]/Planning[[#This Row],[Horas Planificadas]],0)</f>
        <v>#REF!</v>
      </c>
      <c r="W715" s="44">
        <f>Planning[[#This Row],[Horas Planificadas]]+Planning[[#This Row],[Horas ajustadas adicionales]]</f>
        <v>50</v>
      </c>
      <c r="X715" s="142"/>
    </row>
    <row r="716" spans="1:24" x14ac:dyDescent="0.2">
      <c r="A716" s="7"/>
      <c r="B716" s="7"/>
      <c r="C716" s="3"/>
      <c r="D716" s="3" t="s">
        <v>216</v>
      </c>
      <c r="E716" s="4" t="s">
        <v>30</v>
      </c>
      <c r="F716" s="3"/>
      <c r="G716" s="9"/>
      <c r="H716" s="9">
        <v>117</v>
      </c>
      <c r="I716" s="12"/>
      <c r="J716" s="5" t="e">
        <f>+SUMIFS(#REF!,#REF!,Planning[[#This Row],[Tarifa]],#REF!,Planning[[#This Row],[Proyectos]])</f>
        <v>#REF!</v>
      </c>
      <c r="K716" s="5" t="e">
        <f>Planning[[#This Row],[Horas Planificadas]]+Planning[[#This Row],[Horas ajustadas adicionales]]-Planning[[#This Row],[Horas utilizadas]]</f>
        <v>#REF!</v>
      </c>
      <c r="L716" s="7"/>
      <c r="M716" s="19" t="e">
        <f>Planning[[#This Row],[Saldo]]-Planning[[#This Row],[Saldo estimado]]</f>
        <v>#REF!</v>
      </c>
      <c r="N716" s="60" t="e">
        <f>+SUMIFS(#REF!,#REF!,Planning[[#This Row],[Proyectos]],#REF!,Planning[[#This Row],[Tipo de Tarea y especialidad]])</f>
        <v>#REF!</v>
      </c>
      <c r="O716" s="19">
        <f t="shared" si="22"/>
        <v>10</v>
      </c>
      <c r="P716" s="19">
        <f t="shared" si="23"/>
        <v>2024</v>
      </c>
      <c r="Q716" s="19" t="e">
        <f>+SUMIFS(#REF!,#REF!,Planning[[#This Row],[Tarifa]],#REF!,Planning[[#This Row],[Proyectos]],#REF!,Planning[[#This Row],[Mes]],#REF!,Planning[[#This Row],[Año]])</f>
        <v>#REF!</v>
      </c>
      <c r="R716" s="19" t="str">
        <f>TEXT(Planning[[#This Row],[Mes]]*29,"mmmm")</f>
        <v>October</v>
      </c>
      <c r="S7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16" s="228"/>
      <c r="U716" s="43" t="e">
        <f>IF(Planning[[#This Row],[Horas Planificadas]]&lt;&gt;0,+K716/Planning[[#This Row],[Horas Planificadas]],0)</f>
        <v>#REF!</v>
      </c>
      <c r="V716" s="43" t="e">
        <f>IF(Planning[[#This Row],[Horas Planificadas]]&lt;&gt;0,Planning[[#This Row],[Horas utilizadas]]/Planning[[#This Row],[Horas Planificadas]],0)</f>
        <v>#REF!</v>
      </c>
      <c r="W716" s="44">
        <f>Planning[[#This Row],[Horas Planificadas]]+Planning[[#This Row],[Horas ajustadas adicionales]]</f>
        <v>117</v>
      </c>
      <c r="X716" s="142"/>
    </row>
    <row r="717" spans="1:24" x14ac:dyDescent="0.2">
      <c r="A717" s="7"/>
      <c r="B717" s="7"/>
      <c r="C717" s="3"/>
      <c r="D717" s="3" t="s">
        <v>216</v>
      </c>
      <c r="E717" s="4" t="s">
        <v>31</v>
      </c>
      <c r="F717" s="3"/>
      <c r="G717" s="9"/>
      <c r="H717" s="9">
        <v>62</v>
      </c>
      <c r="I717" s="12"/>
      <c r="J717" s="5" t="e">
        <f>+SUMIFS(#REF!,#REF!,Planning[[#This Row],[Tarifa]],#REF!,Planning[[#This Row],[Proyectos]])</f>
        <v>#REF!</v>
      </c>
      <c r="K717" s="5" t="e">
        <f>Planning[[#This Row],[Horas Planificadas]]+Planning[[#This Row],[Horas ajustadas adicionales]]-Planning[[#This Row],[Horas utilizadas]]</f>
        <v>#REF!</v>
      </c>
      <c r="L717" s="7"/>
      <c r="M717" s="19" t="e">
        <f>Planning[[#This Row],[Saldo]]-Planning[[#This Row],[Saldo estimado]]</f>
        <v>#REF!</v>
      </c>
      <c r="N717" s="60" t="e">
        <f>+SUMIFS(#REF!,#REF!,Planning[[#This Row],[Proyectos]],#REF!,Planning[[#This Row],[Tipo de Tarea y especialidad]])</f>
        <v>#REF!</v>
      </c>
      <c r="O717" s="19">
        <f t="shared" si="22"/>
        <v>10</v>
      </c>
      <c r="P717" s="19">
        <f t="shared" si="23"/>
        <v>2024</v>
      </c>
      <c r="Q717" s="19" t="e">
        <f>+SUMIFS(#REF!,#REF!,Planning[[#This Row],[Tarifa]],#REF!,Planning[[#This Row],[Proyectos]],#REF!,Planning[[#This Row],[Mes]],#REF!,Planning[[#This Row],[Año]])</f>
        <v>#REF!</v>
      </c>
      <c r="R717" s="19" t="str">
        <f>TEXT(Planning[[#This Row],[Mes]]*29,"mmmm")</f>
        <v>October</v>
      </c>
      <c r="S7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17" s="228"/>
      <c r="U717" s="43" t="e">
        <f>IF(Planning[[#This Row],[Horas Planificadas]]&lt;&gt;0,+K717/Planning[[#This Row],[Horas Planificadas]],0)</f>
        <v>#REF!</v>
      </c>
      <c r="V717" s="43" t="e">
        <f>IF(Planning[[#This Row],[Horas Planificadas]]&lt;&gt;0,Planning[[#This Row],[Horas utilizadas]]/Planning[[#This Row],[Horas Planificadas]],0)</f>
        <v>#REF!</v>
      </c>
      <c r="W717" s="44">
        <f>Planning[[#This Row],[Horas Planificadas]]+Planning[[#This Row],[Horas ajustadas adicionales]]</f>
        <v>62</v>
      </c>
      <c r="X717" s="142"/>
    </row>
    <row r="718" spans="1:24" ht="22.5" x14ac:dyDescent="0.2">
      <c r="A718" s="7"/>
      <c r="B718" s="7"/>
      <c r="C718" s="3"/>
      <c r="D718" s="3" t="s">
        <v>216</v>
      </c>
      <c r="E718" s="4" t="s">
        <v>32</v>
      </c>
      <c r="F718" s="3"/>
      <c r="G718" s="9"/>
      <c r="H718" s="12">
        <v>54</v>
      </c>
      <c r="I718" s="12"/>
      <c r="J718" s="5" t="e">
        <f>+SUMIFS(#REF!,#REF!,Planning[[#This Row],[Tarifa]],#REF!,Planning[[#This Row],[Proyectos]])</f>
        <v>#REF!</v>
      </c>
      <c r="K718" s="27" t="e">
        <f>Planning[[#This Row],[Horas Planificadas]]+Planning[[#This Row],[Horas ajustadas adicionales]]-Planning[[#This Row],[Horas utilizadas]]</f>
        <v>#REF!</v>
      </c>
      <c r="L718" s="7"/>
      <c r="M718" s="19" t="e">
        <f>Planning[[#This Row],[Saldo]]-Planning[[#This Row],[Saldo estimado]]</f>
        <v>#REF!</v>
      </c>
      <c r="N718" s="60" t="e">
        <f>+SUMIFS(#REF!,#REF!,Planning[[#This Row],[Proyectos]],#REF!,Planning[[#This Row],[Tipo de Tarea y especialidad]])</f>
        <v>#REF!</v>
      </c>
      <c r="O718" s="19">
        <f t="shared" si="22"/>
        <v>10</v>
      </c>
      <c r="P718" s="19">
        <f t="shared" si="23"/>
        <v>2024</v>
      </c>
      <c r="Q718" s="19" t="e">
        <f>+SUMIFS(#REF!,#REF!,Planning[[#This Row],[Tarifa]],#REF!,Planning[[#This Row],[Proyectos]],#REF!,Planning[[#This Row],[Mes]],#REF!,Planning[[#This Row],[Año]])</f>
        <v>#REF!</v>
      </c>
      <c r="R718" s="19" t="str">
        <f>TEXT(Planning[[#This Row],[Mes]]*29,"mmmm")</f>
        <v>October</v>
      </c>
      <c r="S7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18" s="228"/>
      <c r="U718" s="43" t="e">
        <f>IF(Planning[[#This Row],[Horas Planificadas]]&lt;&gt;0,+K718/Planning[[#This Row],[Horas Planificadas]],0)</f>
        <v>#REF!</v>
      </c>
      <c r="V718" s="43" t="e">
        <f>IF(Planning[[#This Row],[Horas Planificadas]]&lt;&gt;0,Planning[[#This Row],[Horas utilizadas]]/Planning[[#This Row],[Horas Planificadas]],0)</f>
        <v>#REF!</v>
      </c>
      <c r="W718" s="44">
        <f>Planning[[#This Row],[Horas Planificadas]]+Planning[[#This Row],[Horas ajustadas adicionales]]</f>
        <v>54</v>
      </c>
      <c r="X718" s="142"/>
    </row>
    <row r="719" spans="1:24" ht="22.5" x14ac:dyDescent="0.2">
      <c r="A719" s="7"/>
      <c r="B719" s="7"/>
      <c r="C719" s="3"/>
      <c r="D719" s="3" t="s">
        <v>217</v>
      </c>
      <c r="E719" s="4" t="s">
        <v>28</v>
      </c>
      <c r="F719" s="3"/>
      <c r="G719" s="9"/>
      <c r="H719" s="9">
        <v>80</v>
      </c>
      <c r="I719" s="12"/>
      <c r="J719" s="5" t="e">
        <f>+SUMIFS(#REF!,#REF!,Planning[[#This Row],[Tarifa]],#REF!,Planning[[#This Row],[Proyectos]])</f>
        <v>#REF!</v>
      </c>
      <c r="K719" s="5" t="e">
        <f>Planning[[#This Row],[Horas Planificadas]]+Planning[[#This Row],[Horas ajustadas adicionales]]-Planning[[#This Row],[Horas utilizadas]]</f>
        <v>#REF!</v>
      </c>
      <c r="L719" s="7"/>
      <c r="M719" s="19" t="e">
        <f>Planning[[#This Row],[Saldo]]-Planning[[#This Row],[Saldo estimado]]</f>
        <v>#REF!</v>
      </c>
      <c r="N719" s="60" t="e">
        <f>+SUMIFS(#REF!,#REF!,Planning[[#This Row],[Proyectos]],#REF!,Planning[[#This Row],[Tipo de Tarea y especialidad]])</f>
        <v>#REF!</v>
      </c>
      <c r="O719" s="19">
        <f t="shared" si="22"/>
        <v>10</v>
      </c>
      <c r="P719" s="19">
        <f t="shared" si="23"/>
        <v>2024</v>
      </c>
      <c r="Q719" s="19" t="e">
        <f>+SUMIFS(#REF!,#REF!,Planning[[#This Row],[Tarifa]],#REF!,Planning[[#This Row],[Proyectos]],#REF!,Planning[[#This Row],[Mes]],#REF!,Planning[[#This Row],[Año]])</f>
        <v>#REF!</v>
      </c>
      <c r="R719" s="19" t="str">
        <f>TEXT(Planning[[#This Row],[Mes]]*29,"mmmm")</f>
        <v>October</v>
      </c>
      <c r="S7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19" s="228"/>
      <c r="U719" s="43" t="e">
        <f>IF(Planning[[#This Row],[Horas Planificadas]]&lt;&gt;0,+K719/Planning[[#This Row],[Horas Planificadas]],0)</f>
        <v>#REF!</v>
      </c>
      <c r="V719" s="43" t="e">
        <f>IF(Planning[[#This Row],[Horas Planificadas]]&lt;&gt;0,Planning[[#This Row],[Horas utilizadas]]/Planning[[#This Row],[Horas Planificadas]],0)</f>
        <v>#REF!</v>
      </c>
      <c r="W719" s="44">
        <f>Planning[[#This Row],[Horas Planificadas]]+Planning[[#This Row],[Horas ajustadas adicionales]]</f>
        <v>80</v>
      </c>
      <c r="X719" s="142"/>
    </row>
    <row r="720" spans="1:24" x14ac:dyDescent="0.2">
      <c r="A720" s="7"/>
      <c r="B720" s="7"/>
      <c r="C720" s="3"/>
      <c r="D720" s="3" t="s">
        <v>217</v>
      </c>
      <c r="E720" s="4" t="s">
        <v>30</v>
      </c>
      <c r="F720" s="3"/>
      <c r="G720" s="9"/>
      <c r="H720" s="9">
        <v>120</v>
      </c>
      <c r="I720" s="12"/>
      <c r="J720" s="5" t="e">
        <f>+SUMIFS(#REF!,#REF!,Planning[[#This Row],[Tarifa]],#REF!,Planning[[#This Row],[Proyectos]])</f>
        <v>#REF!</v>
      </c>
      <c r="K720" s="5" t="e">
        <f>Planning[[#This Row],[Horas Planificadas]]+Planning[[#This Row],[Horas ajustadas adicionales]]-Planning[[#This Row],[Horas utilizadas]]</f>
        <v>#REF!</v>
      </c>
      <c r="L720" s="7"/>
      <c r="M720" s="19" t="e">
        <f>Planning[[#This Row],[Saldo]]-Planning[[#This Row],[Saldo estimado]]</f>
        <v>#REF!</v>
      </c>
      <c r="N720" s="60" t="e">
        <f>+SUMIFS(#REF!,#REF!,Planning[[#This Row],[Proyectos]],#REF!,Planning[[#This Row],[Tipo de Tarea y especialidad]])</f>
        <v>#REF!</v>
      </c>
      <c r="O720" s="19">
        <f t="shared" si="22"/>
        <v>10</v>
      </c>
      <c r="P720" s="19">
        <f t="shared" si="23"/>
        <v>2024</v>
      </c>
      <c r="Q720" s="19" t="e">
        <f>+SUMIFS(#REF!,#REF!,Planning[[#This Row],[Tarifa]],#REF!,Planning[[#This Row],[Proyectos]],#REF!,Planning[[#This Row],[Mes]],#REF!,Planning[[#This Row],[Año]])</f>
        <v>#REF!</v>
      </c>
      <c r="R720" s="19" t="str">
        <f>TEXT(Planning[[#This Row],[Mes]]*29,"mmmm")</f>
        <v>October</v>
      </c>
      <c r="S7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20" s="228"/>
      <c r="U720" s="43" t="e">
        <f>IF(Planning[[#This Row],[Horas Planificadas]]&lt;&gt;0,+K720/Planning[[#This Row],[Horas Planificadas]],0)</f>
        <v>#REF!</v>
      </c>
      <c r="V720" s="43" t="e">
        <f>IF(Planning[[#This Row],[Horas Planificadas]]&lt;&gt;0,Planning[[#This Row],[Horas utilizadas]]/Planning[[#This Row],[Horas Planificadas]],0)</f>
        <v>#REF!</v>
      </c>
      <c r="W720" s="44">
        <f>Planning[[#This Row],[Horas Planificadas]]+Planning[[#This Row],[Horas ajustadas adicionales]]</f>
        <v>120</v>
      </c>
      <c r="X720" s="142"/>
    </row>
    <row r="721" spans="1:24" x14ac:dyDescent="0.2">
      <c r="A721" s="7"/>
      <c r="B721" s="7"/>
      <c r="C721" s="3"/>
      <c r="D721" s="3" t="s">
        <v>217</v>
      </c>
      <c r="E721" s="4" t="s">
        <v>31</v>
      </c>
      <c r="F721" s="3"/>
      <c r="G721" s="9"/>
      <c r="H721" s="9">
        <v>120</v>
      </c>
      <c r="I721" s="12"/>
      <c r="J721" s="5" t="e">
        <f>+SUMIFS(#REF!,#REF!,Planning[[#This Row],[Tarifa]],#REF!,Planning[[#This Row],[Proyectos]])</f>
        <v>#REF!</v>
      </c>
      <c r="K721" s="5" t="e">
        <f>Planning[[#This Row],[Horas Planificadas]]+Planning[[#This Row],[Horas ajustadas adicionales]]-Planning[[#This Row],[Horas utilizadas]]</f>
        <v>#REF!</v>
      </c>
      <c r="L721" s="7"/>
      <c r="M721" s="19" t="e">
        <f>Planning[[#This Row],[Saldo]]-Planning[[#This Row],[Saldo estimado]]</f>
        <v>#REF!</v>
      </c>
      <c r="N721" s="60" t="e">
        <f>+SUMIFS(#REF!,#REF!,Planning[[#This Row],[Proyectos]],#REF!,Planning[[#This Row],[Tipo de Tarea y especialidad]])</f>
        <v>#REF!</v>
      </c>
      <c r="O721" s="19">
        <f t="shared" si="22"/>
        <v>10</v>
      </c>
      <c r="P721" s="19">
        <f t="shared" si="23"/>
        <v>2024</v>
      </c>
      <c r="Q721" s="19" t="e">
        <f>+SUMIFS(#REF!,#REF!,Planning[[#This Row],[Tarifa]],#REF!,Planning[[#This Row],[Proyectos]],#REF!,Planning[[#This Row],[Mes]],#REF!,Planning[[#This Row],[Año]])</f>
        <v>#REF!</v>
      </c>
      <c r="R721" s="19" t="str">
        <f>TEXT(Planning[[#This Row],[Mes]]*29,"mmmm")</f>
        <v>October</v>
      </c>
      <c r="S7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21" s="228"/>
      <c r="U721" s="43" t="e">
        <f>IF(Planning[[#This Row],[Horas Planificadas]]&lt;&gt;0,+K721/Planning[[#This Row],[Horas Planificadas]],0)</f>
        <v>#REF!</v>
      </c>
      <c r="V721" s="43" t="e">
        <f>IF(Planning[[#This Row],[Horas Planificadas]]&lt;&gt;0,Planning[[#This Row],[Horas utilizadas]]/Planning[[#This Row],[Horas Planificadas]],0)</f>
        <v>#REF!</v>
      </c>
      <c r="W721" s="44">
        <f>Planning[[#This Row],[Horas Planificadas]]+Planning[[#This Row],[Horas ajustadas adicionales]]</f>
        <v>120</v>
      </c>
      <c r="X721" s="142"/>
    </row>
    <row r="722" spans="1:24" ht="22.5" x14ac:dyDescent="0.2">
      <c r="A722" s="7"/>
      <c r="B722" s="7"/>
      <c r="C722" s="3"/>
      <c r="D722" s="3" t="s">
        <v>217</v>
      </c>
      <c r="E722" s="4" t="s">
        <v>32</v>
      </c>
      <c r="F722" s="3"/>
      <c r="G722" s="9"/>
      <c r="H722" s="9">
        <v>40</v>
      </c>
      <c r="I722" s="12"/>
      <c r="J722" s="5" t="e">
        <f>+SUMIFS(#REF!,#REF!,Planning[[#This Row],[Tarifa]],#REF!,Planning[[#This Row],[Proyectos]])</f>
        <v>#REF!</v>
      </c>
      <c r="K722" s="5" t="e">
        <f>Planning[[#This Row],[Horas Planificadas]]+Planning[[#This Row],[Horas ajustadas adicionales]]-Planning[[#This Row],[Horas utilizadas]]</f>
        <v>#REF!</v>
      </c>
      <c r="L722" s="7"/>
      <c r="M722" s="19" t="e">
        <f>Planning[[#This Row],[Saldo]]-Planning[[#This Row],[Saldo estimado]]</f>
        <v>#REF!</v>
      </c>
      <c r="N722" s="60" t="e">
        <f>+SUMIFS(#REF!,#REF!,Planning[[#This Row],[Proyectos]],#REF!,Planning[[#This Row],[Tipo de Tarea y especialidad]])</f>
        <v>#REF!</v>
      </c>
      <c r="O722" s="19">
        <f t="shared" si="22"/>
        <v>10</v>
      </c>
      <c r="P722" s="19">
        <f t="shared" si="23"/>
        <v>2024</v>
      </c>
      <c r="Q722" s="19" t="e">
        <f>+SUMIFS(#REF!,#REF!,Planning[[#This Row],[Tarifa]],#REF!,Planning[[#This Row],[Proyectos]],#REF!,Planning[[#This Row],[Mes]],#REF!,Planning[[#This Row],[Año]])</f>
        <v>#REF!</v>
      </c>
      <c r="R722" s="19" t="str">
        <f>TEXT(Planning[[#This Row],[Mes]]*29,"mmmm")</f>
        <v>October</v>
      </c>
      <c r="S7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22" s="228"/>
      <c r="U722" s="43" t="e">
        <f>IF(Planning[[#This Row],[Horas Planificadas]]&lt;&gt;0,+K722/Planning[[#This Row],[Horas Planificadas]],0)</f>
        <v>#REF!</v>
      </c>
      <c r="V722" s="43" t="e">
        <f>IF(Planning[[#This Row],[Horas Planificadas]]&lt;&gt;0,Planning[[#This Row],[Horas utilizadas]]/Planning[[#This Row],[Horas Planificadas]],0)</f>
        <v>#REF!</v>
      </c>
      <c r="W722" s="44">
        <f>Planning[[#This Row],[Horas Planificadas]]+Planning[[#This Row],[Horas ajustadas adicionales]]</f>
        <v>40</v>
      </c>
      <c r="X722" s="142"/>
    </row>
    <row r="723" spans="1:24" ht="22.5" x14ac:dyDescent="0.2">
      <c r="A723" s="7"/>
      <c r="B723" s="7"/>
      <c r="C723" s="3"/>
      <c r="D723" s="3" t="s">
        <v>218</v>
      </c>
      <c r="E723" s="4" t="s">
        <v>28</v>
      </c>
      <c r="F723" s="3"/>
      <c r="G723" s="9"/>
      <c r="H723" s="9">
        <v>136</v>
      </c>
      <c r="I723" s="12"/>
      <c r="J723" s="5" t="e">
        <f>+SUMIFS(#REF!,#REF!,Planning[[#This Row],[Tarifa]],#REF!,Planning[[#This Row],[Proyectos]])</f>
        <v>#REF!</v>
      </c>
      <c r="K723" s="5" t="e">
        <f>Planning[[#This Row],[Horas Planificadas]]+Planning[[#This Row],[Horas ajustadas adicionales]]-Planning[[#This Row],[Horas utilizadas]]</f>
        <v>#REF!</v>
      </c>
      <c r="L723" s="7"/>
      <c r="M723" s="19" t="e">
        <f>Planning[[#This Row],[Saldo]]-Planning[[#This Row],[Saldo estimado]]</f>
        <v>#REF!</v>
      </c>
      <c r="N723" s="60" t="e">
        <f>+SUMIFS(#REF!,#REF!,Planning[[#This Row],[Proyectos]],#REF!,Planning[[#This Row],[Tipo de Tarea y especialidad]])</f>
        <v>#REF!</v>
      </c>
      <c r="O723" s="19">
        <f t="shared" si="22"/>
        <v>10</v>
      </c>
      <c r="P723" s="19">
        <f t="shared" si="23"/>
        <v>2024</v>
      </c>
      <c r="Q723" s="19" t="e">
        <f>+SUMIFS(#REF!,#REF!,Planning[[#This Row],[Tarifa]],#REF!,Planning[[#This Row],[Proyectos]],#REF!,Planning[[#This Row],[Mes]],#REF!,Planning[[#This Row],[Año]])</f>
        <v>#REF!</v>
      </c>
      <c r="R723" s="19" t="str">
        <f>TEXT(Planning[[#This Row],[Mes]]*29,"mmmm")</f>
        <v>October</v>
      </c>
      <c r="S7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23" s="228"/>
      <c r="U723" s="43" t="e">
        <f>IF(Planning[[#This Row],[Horas Planificadas]]&lt;&gt;0,+K723/Planning[[#This Row],[Horas Planificadas]],0)</f>
        <v>#REF!</v>
      </c>
      <c r="V723" s="43" t="e">
        <f>IF(Planning[[#This Row],[Horas Planificadas]]&lt;&gt;0,Planning[[#This Row],[Horas utilizadas]]/Planning[[#This Row],[Horas Planificadas]],0)</f>
        <v>#REF!</v>
      </c>
      <c r="W723" s="44">
        <f>Planning[[#This Row],[Horas Planificadas]]+Planning[[#This Row],[Horas ajustadas adicionales]]</f>
        <v>136</v>
      </c>
      <c r="X723" s="142"/>
    </row>
    <row r="724" spans="1:24" x14ac:dyDescent="0.2">
      <c r="A724" s="7"/>
      <c r="B724" s="7"/>
      <c r="C724" s="3"/>
      <c r="D724" s="3" t="s">
        <v>218</v>
      </c>
      <c r="E724" s="4" t="s">
        <v>30</v>
      </c>
      <c r="F724" s="3"/>
      <c r="G724" s="9"/>
      <c r="H724" s="9">
        <v>171</v>
      </c>
      <c r="I724" s="12"/>
      <c r="J724" s="5" t="e">
        <f>+SUMIFS(#REF!,#REF!,Planning[[#This Row],[Tarifa]],#REF!,Planning[[#This Row],[Proyectos]])</f>
        <v>#REF!</v>
      </c>
      <c r="K724" s="5" t="e">
        <f>Planning[[#This Row],[Horas Planificadas]]+Planning[[#This Row],[Horas ajustadas adicionales]]-Planning[[#This Row],[Horas utilizadas]]</f>
        <v>#REF!</v>
      </c>
      <c r="L724" s="7"/>
      <c r="M724" s="19" t="e">
        <f>Planning[[#This Row],[Saldo]]-Planning[[#This Row],[Saldo estimado]]</f>
        <v>#REF!</v>
      </c>
      <c r="N724" s="60" t="e">
        <f>+SUMIFS(#REF!,#REF!,Planning[[#This Row],[Proyectos]],#REF!,Planning[[#This Row],[Tipo de Tarea y especialidad]])</f>
        <v>#REF!</v>
      </c>
      <c r="O724" s="19">
        <f t="shared" si="22"/>
        <v>10</v>
      </c>
      <c r="P724" s="19">
        <f t="shared" si="23"/>
        <v>2024</v>
      </c>
      <c r="Q724" s="19" t="e">
        <f>+SUMIFS(#REF!,#REF!,Planning[[#This Row],[Tarifa]],#REF!,Planning[[#This Row],[Proyectos]],#REF!,Planning[[#This Row],[Mes]],#REF!,Planning[[#This Row],[Año]])</f>
        <v>#REF!</v>
      </c>
      <c r="R724" s="19" t="str">
        <f>TEXT(Planning[[#This Row],[Mes]]*29,"mmmm")</f>
        <v>October</v>
      </c>
      <c r="S7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24" s="228"/>
      <c r="U724" s="43" t="e">
        <f>IF(Planning[[#This Row],[Horas Planificadas]]&lt;&gt;0,+K724/Planning[[#This Row],[Horas Planificadas]],0)</f>
        <v>#REF!</v>
      </c>
      <c r="V724" s="43" t="e">
        <f>IF(Planning[[#This Row],[Horas Planificadas]]&lt;&gt;0,Planning[[#This Row],[Horas utilizadas]]/Planning[[#This Row],[Horas Planificadas]],0)</f>
        <v>#REF!</v>
      </c>
      <c r="W724" s="44">
        <f>Planning[[#This Row],[Horas Planificadas]]+Planning[[#This Row],[Horas ajustadas adicionales]]</f>
        <v>171</v>
      </c>
      <c r="X724" s="142"/>
    </row>
    <row r="725" spans="1:24" x14ac:dyDescent="0.2">
      <c r="A725" s="7"/>
      <c r="B725" s="7"/>
      <c r="C725" s="3"/>
      <c r="D725" s="3" t="s">
        <v>218</v>
      </c>
      <c r="E725" s="4" t="s">
        <v>31</v>
      </c>
      <c r="F725" s="3"/>
      <c r="G725" s="9"/>
      <c r="H725" s="9">
        <v>143</v>
      </c>
      <c r="I725" s="12"/>
      <c r="J725" s="5" t="e">
        <f>+SUMIFS(#REF!,#REF!,Planning[[#This Row],[Tarifa]],#REF!,Planning[[#This Row],[Proyectos]])</f>
        <v>#REF!</v>
      </c>
      <c r="K725" s="5" t="e">
        <f>Planning[[#This Row],[Horas Planificadas]]+Planning[[#This Row],[Horas ajustadas adicionales]]-Planning[[#This Row],[Horas utilizadas]]</f>
        <v>#REF!</v>
      </c>
      <c r="L725" s="7"/>
      <c r="M725" s="19" t="e">
        <f>Planning[[#This Row],[Saldo]]-Planning[[#This Row],[Saldo estimado]]</f>
        <v>#REF!</v>
      </c>
      <c r="N725" s="60" t="e">
        <f>+SUMIFS(#REF!,#REF!,Planning[[#This Row],[Proyectos]],#REF!,Planning[[#This Row],[Tipo de Tarea y especialidad]])</f>
        <v>#REF!</v>
      </c>
      <c r="O725" s="19">
        <f t="shared" si="22"/>
        <v>10</v>
      </c>
      <c r="P725" s="19">
        <f t="shared" si="23"/>
        <v>2024</v>
      </c>
      <c r="Q725" s="19" t="e">
        <f>+SUMIFS(#REF!,#REF!,Planning[[#This Row],[Tarifa]],#REF!,Planning[[#This Row],[Proyectos]],#REF!,Planning[[#This Row],[Mes]],#REF!,Planning[[#This Row],[Año]])</f>
        <v>#REF!</v>
      </c>
      <c r="R725" s="19" t="str">
        <f>TEXT(Planning[[#This Row],[Mes]]*29,"mmmm")</f>
        <v>October</v>
      </c>
      <c r="S7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25" s="228"/>
      <c r="U725" s="43" t="e">
        <f>IF(Planning[[#This Row],[Horas Planificadas]]&lt;&gt;0,+K725/Planning[[#This Row],[Horas Planificadas]],0)</f>
        <v>#REF!</v>
      </c>
      <c r="V725" s="43" t="e">
        <f>IF(Planning[[#This Row],[Horas Planificadas]]&lt;&gt;0,Planning[[#This Row],[Horas utilizadas]]/Planning[[#This Row],[Horas Planificadas]],0)</f>
        <v>#REF!</v>
      </c>
      <c r="W725" s="44">
        <f>Planning[[#This Row],[Horas Planificadas]]+Planning[[#This Row],[Horas ajustadas adicionales]]</f>
        <v>143</v>
      </c>
      <c r="X725" s="142"/>
    </row>
    <row r="726" spans="1:24" ht="22.5" x14ac:dyDescent="0.2">
      <c r="A726" s="7"/>
      <c r="B726" s="7"/>
      <c r="C726" s="3"/>
      <c r="D726" s="3" t="s">
        <v>218</v>
      </c>
      <c r="E726" s="4" t="s">
        <v>32</v>
      </c>
      <c r="F726" s="3"/>
      <c r="G726" s="9"/>
      <c r="H726" s="9">
        <v>117</v>
      </c>
      <c r="I726" s="12"/>
      <c r="J726" s="5" t="e">
        <f>+SUMIFS(#REF!,#REF!,Planning[[#This Row],[Tarifa]],#REF!,Planning[[#This Row],[Proyectos]])</f>
        <v>#REF!</v>
      </c>
      <c r="K726" s="5" t="e">
        <f>Planning[[#This Row],[Horas Planificadas]]+Planning[[#This Row],[Horas ajustadas adicionales]]-Planning[[#This Row],[Horas utilizadas]]</f>
        <v>#REF!</v>
      </c>
      <c r="L726" s="7"/>
      <c r="M726" s="19" t="e">
        <f>Planning[[#This Row],[Saldo]]-Planning[[#This Row],[Saldo estimado]]</f>
        <v>#REF!</v>
      </c>
      <c r="N726" s="60" t="e">
        <f>+SUMIFS(#REF!,#REF!,Planning[[#This Row],[Proyectos]],#REF!,Planning[[#This Row],[Tipo de Tarea y especialidad]])</f>
        <v>#REF!</v>
      </c>
      <c r="O726" s="19">
        <f t="shared" si="22"/>
        <v>10</v>
      </c>
      <c r="P726" s="19">
        <f t="shared" si="23"/>
        <v>2024</v>
      </c>
      <c r="Q726" s="19" t="e">
        <f>+SUMIFS(#REF!,#REF!,Planning[[#This Row],[Tarifa]],#REF!,Planning[[#This Row],[Proyectos]],#REF!,Planning[[#This Row],[Mes]],#REF!,Planning[[#This Row],[Año]])</f>
        <v>#REF!</v>
      </c>
      <c r="R726" s="19" t="str">
        <f>TEXT(Planning[[#This Row],[Mes]]*29,"mmmm")</f>
        <v>October</v>
      </c>
      <c r="S7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26" s="228"/>
      <c r="U726" s="43" t="e">
        <f>IF(Planning[[#This Row],[Horas Planificadas]]&lt;&gt;0,+K726/Planning[[#This Row],[Horas Planificadas]],0)</f>
        <v>#REF!</v>
      </c>
      <c r="V726" s="43" t="e">
        <f>IF(Planning[[#This Row],[Horas Planificadas]]&lt;&gt;0,Planning[[#This Row],[Horas utilizadas]]/Planning[[#This Row],[Horas Planificadas]],0)</f>
        <v>#REF!</v>
      </c>
      <c r="W726" s="44">
        <f>Planning[[#This Row],[Horas Planificadas]]+Planning[[#This Row],[Horas ajustadas adicionales]]</f>
        <v>117</v>
      </c>
      <c r="X726" s="142"/>
    </row>
    <row r="727" spans="1:24" ht="22.5" x14ac:dyDescent="0.2">
      <c r="A727" s="7"/>
      <c r="B727" s="7"/>
      <c r="C727" s="3"/>
      <c r="D727" s="3" t="s">
        <v>219</v>
      </c>
      <c r="E727" s="4" t="s">
        <v>28</v>
      </c>
      <c r="F727" s="3"/>
      <c r="G727" s="9"/>
      <c r="H727" s="12">
        <v>45</v>
      </c>
      <c r="I727" s="12"/>
      <c r="J727" s="5" t="e">
        <f>+SUMIFS(#REF!,#REF!,Planning[[#This Row],[Tarifa]],#REF!,Planning[[#This Row],[Proyectos]])</f>
        <v>#REF!</v>
      </c>
      <c r="K727" s="27" t="e">
        <f>Planning[[#This Row],[Horas Planificadas]]+Planning[[#This Row],[Horas ajustadas adicionales]]-Planning[[#This Row],[Horas utilizadas]]</f>
        <v>#REF!</v>
      </c>
      <c r="L727" s="7"/>
      <c r="M727" s="19" t="e">
        <f>Planning[[#This Row],[Saldo]]-Planning[[#This Row],[Saldo estimado]]</f>
        <v>#REF!</v>
      </c>
      <c r="N727" s="60" t="e">
        <f>+SUMIFS(#REF!,#REF!,Planning[[#This Row],[Proyectos]],#REF!,Planning[[#This Row],[Tipo de Tarea y especialidad]])</f>
        <v>#REF!</v>
      </c>
      <c r="O727" s="19">
        <f t="shared" si="22"/>
        <v>10</v>
      </c>
      <c r="P727" s="19">
        <f t="shared" si="23"/>
        <v>2024</v>
      </c>
      <c r="Q727" s="19" t="e">
        <f>+SUMIFS(#REF!,#REF!,Planning[[#This Row],[Tarifa]],#REF!,Planning[[#This Row],[Proyectos]],#REF!,Planning[[#This Row],[Mes]],#REF!,Planning[[#This Row],[Año]])</f>
        <v>#REF!</v>
      </c>
      <c r="R727" s="19" t="str">
        <f>TEXT(Planning[[#This Row],[Mes]]*29,"mmmm")</f>
        <v>October</v>
      </c>
      <c r="S7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27" s="228"/>
      <c r="U727" s="43" t="e">
        <f>IF(Planning[[#This Row],[Horas Planificadas]]&lt;&gt;0,+K727/Planning[[#This Row],[Horas Planificadas]],0)</f>
        <v>#REF!</v>
      </c>
      <c r="V727" s="43" t="e">
        <f>IF(Planning[[#This Row],[Horas Planificadas]]&lt;&gt;0,Planning[[#This Row],[Horas utilizadas]]/Planning[[#This Row],[Horas Planificadas]],0)</f>
        <v>#REF!</v>
      </c>
      <c r="W727" s="44">
        <f>Planning[[#This Row],[Horas Planificadas]]+Planning[[#This Row],[Horas ajustadas adicionales]]</f>
        <v>45</v>
      </c>
      <c r="X727" s="142"/>
    </row>
    <row r="728" spans="1:24" x14ac:dyDescent="0.2">
      <c r="A728" s="7"/>
      <c r="B728" s="7"/>
      <c r="C728" s="3"/>
      <c r="D728" s="3" t="s">
        <v>219</v>
      </c>
      <c r="E728" s="4" t="s">
        <v>30</v>
      </c>
      <c r="F728" s="3"/>
      <c r="G728" s="9"/>
      <c r="H728" s="9">
        <v>100</v>
      </c>
      <c r="I728" s="12"/>
      <c r="J728" s="5" t="e">
        <f>+SUMIFS(#REF!,#REF!,Planning[[#This Row],[Tarifa]],#REF!,Planning[[#This Row],[Proyectos]])</f>
        <v>#REF!</v>
      </c>
      <c r="K728" s="5" t="e">
        <f>Planning[[#This Row],[Horas Planificadas]]+Planning[[#This Row],[Horas ajustadas adicionales]]-Planning[[#This Row],[Horas utilizadas]]</f>
        <v>#REF!</v>
      </c>
      <c r="L728" s="7"/>
      <c r="M728" s="19" t="e">
        <f>Planning[[#This Row],[Saldo]]-Planning[[#This Row],[Saldo estimado]]</f>
        <v>#REF!</v>
      </c>
      <c r="N728" s="60" t="e">
        <f>+SUMIFS(#REF!,#REF!,Planning[[#This Row],[Proyectos]],#REF!,Planning[[#This Row],[Tipo de Tarea y especialidad]])</f>
        <v>#REF!</v>
      </c>
      <c r="O728" s="19">
        <f t="shared" si="22"/>
        <v>10</v>
      </c>
      <c r="P728" s="19">
        <f t="shared" si="23"/>
        <v>2024</v>
      </c>
      <c r="Q728" s="19" t="e">
        <f>+SUMIFS(#REF!,#REF!,Planning[[#This Row],[Tarifa]],#REF!,Planning[[#This Row],[Proyectos]],#REF!,Planning[[#This Row],[Mes]],#REF!,Planning[[#This Row],[Año]])</f>
        <v>#REF!</v>
      </c>
      <c r="R728" s="19" t="str">
        <f>TEXT(Planning[[#This Row],[Mes]]*29,"mmmm")</f>
        <v>October</v>
      </c>
      <c r="S7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28" s="228"/>
      <c r="U728" s="43" t="e">
        <f>IF(Planning[[#This Row],[Horas Planificadas]]&lt;&gt;0,+K728/Planning[[#This Row],[Horas Planificadas]],0)</f>
        <v>#REF!</v>
      </c>
      <c r="V728" s="43" t="e">
        <f>IF(Planning[[#This Row],[Horas Planificadas]]&lt;&gt;0,Planning[[#This Row],[Horas utilizadas]]/Planning[[#This Row],[Horas Planificadas]],0)</f>
        <v>#REF!</v>
      </c>
      <c r="W728" s="44">
        <f>Planning[[#This Row],[Horas Planificadas]]+Planning[[#This Row],[Horas ajustadas adicionales]]</f>
        <v>100</v>
      </c>
      <c r="X728" s="142"/>
    </row>
    <row r="729" spans="1:24" x14ac:dyDescent="0.2">
      <c r="A729" s="7"/>
      <c r="B729" s="7"/>
      <c r="C729" s="3"/>
      <c r="D729" s="3" t="s">
        <v>219</v>
      </c>
      <c r="E729" s="4" t="s">
        <v>31</v>
      </c>
      <c r="F729" s="3"/>
      <c r="G729" s="9"/>
      <c r="H729" s="9">
        <v>202</v>
      </c>
      <c r="I729" s="12"/>
      <c r="J729" s="5" t="e">
        <f>+SUMIFS(#REF!,#REF!,Planning[[#This Row],[Tarifa]],#REF!,Planning[[#This Row],[Proyectos]])</f>
        <v>#REF!</v>
      </c>
      <c r="K729" s="5" t="e">
        <f>Planning[[#This Row],[Horas Planificadas]]+Planning[[#This Row],[Horas ajustadas adicionales]]-Planning[[#This Row],[Horas utilizadas]]</f>
        <v>#REF!</v>
      </c>
      <c r="L729" s="7"/>
      <c r="M729" s="19" t="e">
        <f>Planning[[#This Row],[Saldo]]-Planning[[#This Row],[Saldo estimado]]</f>
        <v>#REF!</v>
      </c>
      <c r="N729" s="60" t="e">
        <f>+SUMIFS(#REF!,#REF!,Planning[[#This Row],[Proyectos]],#REF!,Planning[[#This Row],[Tipo de Tarea y especialidad]])</f>
        <v>#REF!</v>
      </c>
      <c r="O729" s="19">
        <f t="shared" si="22"/>
        <v>10</v>
      </c>
      <c r="P729" s="19">
        <f t="shared" si="23"/>
        <v>2024</v>
      </c>
      <c r="Q729" s="19" t="e">
        <f>+SUMIFS(#REF!,#REF!,Planning[[#This Row],[Tarifa]],#REF!,Planning[[#This Row],[Proyectos]],#REF!,Planning[[#This Row],[Mes]],#REF!,Planning[[#This Row],[Año]])</f>
        <v>#REF!</v>
      </c>
      <c r="R729" s="19" t="str">
        <f>TEXT(Planning[[#This Row],[Mes]]*29,"mmmm")</f>
        <v>October</v>
      </c>
      <c r="S7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29" s="228"/>
      <c r="U729" s="43" t="e">
        <f>IF(Planning[[#This Row],[Horas Planificadas]]&lt;&gt;0,+K729/Planning[[#This Row],[Horas Planificadas]],0)</f>
        <v>#REF!</v>
      </c>
      <c r="V729" s="43" t="e">
        <f>IF(Planning[[#This Row],[Horas Planificadas]]&lt;&gt;0,Planning[[#This Row],[Horas utilizadas]]/Planning[[#This Row],[Horas Planificadas]],0)</f>
        <v>#REF!</v>
      </c>
      <c r="W729" s="44">
        <f>Planning[[#This Row],[Horas Planificadas]]+Planning[[#This Row],[Horas ajustadas adicionales]]</f>
        <v>202</v>
      </c>
      <c r="X729" s="142"/>
    </row>
    <row r="730" spans="1:24" ht="22.5" x14ac:dyDescent="0.2">
      <c r="A730" s="7"/>
      <c r="B730" s="7"/>
      <c r="C730" s="3"/>
      <c r="D730" s="3" t="s">
        <v>219</v>
      </c>
      <c r="E730" s="4" t="s">
        <v>32</v>
      </c>
      <c r="F730" s="3"/>
      <c r="G730" s="9"/>
      <c r="H730" s="9">
        <v>63</v>
      </c>
      <c r="I730" s="12"/>
      <c r="J730" s="5" t="e">
        <f>+SUMIFS(#REF!,#REF!,Planning[[#This Row],[Tarifa]],#REF!,Planning[[#This Row],[Proyectos]])</f>
        <v>#REF!</v>
      </c>
      <c r="K730" s="5" t="e">
        <f>Planning[[#This Row],[Horas Planificadas]]+Planning[[#This Row],[Horas ajustadas adicionales]]-Planning[[#This Row],[Horas utilizadas]]</f>
        <v>#REF!</v>
      </c>
      <c r="L730" s="7"/>
      <c r="M730" s="19" t="e">
        <f>Planning[[#This Row],[Saldo]]-Planning[[#This Row],[Saldo estimado]]</f>
        <v>#REF!</v>
      </c>
      <c r="N730" s="60" t="e">
        <f>+SUMIFS(#REF!,#REF!,Planning[[#This Row],[Proyectos]],#REF!,Planning[[#This Row],[Tipo de Tarea y especialidad]])</f>
        <v>#REF!</v>
      </c>
      <c r="O730" s="19">
        <f t="shared" si="22"/>
        <v>10</v>
      </c>
      <c r="P730" s="19">
        <f t="shared" si="23"/>
        <v>2024</v>
      </c>
      <c r="Q730" s="19" t="e">
        <f>+SUMIFS(#REF!,#REF!,Planning[[#This Row],[Tarifa]],#REF!,Planning[[#This Row],[Proyectos]],#REF!,Planning[[#This Row],[Mes]],#REF!,Planning[[#This Row],[Año]])</f>
        <v>#REF!</v>
      </c>
      <c r="R730" s="19" t="str">
        <f>TEXT(Planning[[#This Row],[Mes]]*29,"mmmm")</f>
        <v>October</v>
      </c>
      <c r="S7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30" s="228"/>
      <c r="U730" s="43" t="e">
        <f>IF(Planning[[#This Row],[Horas Planificadas]]&lt;&gt;0,+K730/Planning[[#This Row],[Horas Planificadas]],0)</f>
        <v>#REF!</v>
      </c>
      <c r="V730" s="43" t="e">
        <f>IF(Planning[[#This Row],[Horas Planificadas]]&lt;&gt;0,Planning[[#This Row],[Horas utilizadas]]/Planning[[#This Row],[Horas Planificadas]],0)</f>
        <v>#REF!</v>
      </c>
      <c r="W730" s="44">
        <f>Planning[[#This Row],[Horas Planificadas]]+Planning[[#This Row],[Horas ajustadas adicionales]]</f>
        <v>63</v>
      </c>
      <c r="X730" s="142"/>
    </row>
    <row r="731" spans="1:24" ht="12.75" customHeight="1" x14ac:dyDescent="0.2">
      <c r="A731" s="7" t="s">
        <v>117</v>
      </c>
      <c r="B731" s="7" t="s">
        <v>220</v>
      </c>
      <c r="C731" s="3"/>
      <c r="D731" s="3" t="s">
        <v>221</v>
      </c>
      <c r="E731" s="33" t="s">
        <v>28</v>
      </c>
      <c r="F731" s="3"/>
      <c r="G731" s="7">
        <v>1520</v>
      </c>
      <c r="H731" s="24">
        <f>SUM(H732:H733)</f>
        <v>1520</v>
      </c>
      <c r="I731" s="14"/>
      <c r="J731" s="14" t="e">
        <f>SUM(J732:J733)</f>
        <v>#REF!</v>
      </c>
      <c r="K731" s="18" t="e">
        <f>SUM(K732:K733)</f>
        <v>#REF!</v>
      </c>
      <c r="L731" s="15">
        <f>SUM(L732:L733)</f>
        <v>0</v>
      </c>
      <c r="M731" s="28" t="e">
        <f>SUM(M732:M733)</f>
        <v>#REF!</v>
      </c>
      <c r="N731" s="61"/>
      <c r="O731" s="28">
        <f t="shared" si="22"/>
        <v>10</v>
      </c>
      <c r="P731" s="28">
        <f t="shared" si="23"/>
        <v>2024</v>
      </c>
      <c r="Q731" s="28" t="e">
        <f>SUM(Q732:Q733)</f>
        <v>#REF!</v>
      </c>
      <c r="R731" s="28" t="str">
        <f>TEXT(Planning[[#This Row],[Mes]]*29,"mmmm")</f>
        <v>October</v>
      </c>
      <c r="S7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31" s="235" t="s">
        <v>222</v>
      </c>
      <c r="U731" s="43" t="e">
        <f>IF(Planning[[#This Row],[Horas Planificadas]]&lt;&gt;0,+K731/Planning[[#This Row],[Horas Planificadas]],0)</f>
        <v>#REF!</v>
      </c>
      <c r="V731" s="43" t="e">
        <f>IF(Planning[[#This Row],[Horas Planificadas]]&lt;&gt;0,Planning[[#This Row],[Horas utilizadas]]/Planning[[#This Row],[Horas Planificadas]],0)</f>
        <v>#REF!</v>
      </c>
      <c r="W731" s="44">
        <f>Planning[[#This Row],[Horas Planificadas]]+Planning[[#This Row],[Horas ajustadas adicionales]]</f>
        <v>1520</v>
      </c>
      <c r="X731" s="142"/>
    </row>
    <row r="732" spans="1:24" ht="12.75" customHeight="1" x14ac:dyDescent="0.2">
      <c r="A732" s="7" t="s">
        <v>117</v>
      </c>
      <c r="B732" s="7" t="s">
        <v>220</v>
      </c>
      <c r="C732" s="3"/>
      <c r="D732" s="3" t="s">
        <v>221</v>
      </c>
      <c r="E732" s="33"/>
      <c r="F732" s="3" t="s">
        <v>120</v>
      </c>
      <c r="G732" s="7"/>
      <c r="H732" s="7">
        <v>1520</v>
      </c>
      <c r="I732" s="12"/>
      <c r="J732" s="5" t="e">
        <f>SUM(SUMIFS(#REF!,#REF!,Planning[[#This Row],[Tipo de Tarea y especialidad]],#REF!,Planning[[#This Row],[Proyectos Reiwa]]),SUMIFS(#REF!,#REF!,Planning[[#This Row],[Tipo de Tarea y especialidad]],#REF!,Planning[[#This Row],[Proyectos]]))</f>
        <v>#REF!</v>
      </c>
      <c r="K732" s="5" t="e">
        <f>Planning[[#This Row],[Horas Planificadas]]+Planning[[#This Row],[Horas ajustadas adicionales]]-Planning[[#This Row],[Horas utilizadas]]</f>
        <v>#REF!</v>
      </c>
      <c r="L732" s="7">
        <v>0</v>
      </c>
      <c r="M732" s="19" t="e">
        <f>Planning[[#This Row],[Saldo]]-Planning[[#This Row],[Saldo estimado]]</f>
        <v>#REF!</v>
      </c>
      <c r="N732" s="60" t="e">
        <f>+SUMIFS(#REF!,#REF!,Planning[[#This Row],[Proyectos]],#REF!,Planning[[#This Row],[Tipo de Tarea y especialidad]])</f>
        <v>#REF!</v>
      </c>
      <c r="O732" s="19">
        <f t="shared" si="22"/>
        <v>10</v>
      </c>
      <c r="P732" s="19">
        <f t="shared" si="23"/>
        <v>2024</v>
      </c>
      <c r="Q7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32" s="19" t="str">
        <f>TEXT(Planning[[#This Row],[Mes]]*29,"mmmm")</f>
        <v>October</v>
      </c>
      <c r="S7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32" s="239"/>
      <c r="U732" s="43" t="e">
        <f>IF(Planning[[#This Row],[Horas Planificadas]]&lt;&gt;0,+K732/Planning[[#This Row],[Horas Planificadas]],0)</f>
        <v>#REF!</v>
      </c>
      <c r="V732" s="43" t="e">
        <f>IF(Planning[[#This Row],[Horas Planificadas]]&lt;&gt;0,Planning[[#This Row],[Horas utilizadas]]/Planning[[#This Row],[Horas Planificadas]],0)</f>
        <v>#REF!</v>
      </c>
      <c r="W732" s="44">
        <f>Planning[[#This Row],[Horas Planificadas]]+Planning[[#This Row],[Horas ajustadas adicionales]]</f>
        <v>1520</v>
      </c>
      <c r="X732" s="142"/>
    </row>
    <row r="733" spans="1:24" ht="12.75" customHeight="1" x14ac:dyDescent="0.2">
      <c r="A733" s="7" t="s">
        <v>117</v>
      </c>
      <c r="B733" s="7" t="s">
        <v>220</v>
      </c>
      <c r="C733" s="3"/>
      <c r="D733" s="3" t="s">
        <v>221</v>
      </c>
      <c r="E733" s="33"/>
      <c r="F733" s="3" t="s">
        <v>121</v>
      </c>
      <c r="G733" s="7"/>
      <c r="H733" s="7"/>
      <c r="I733" s="12"/>
      <c r="J733" s="5" t="e">
        <f>SUM(SUMIFS(#REF!,#REF!,Planning[[#This Row],[Tipo de Tarea y especialidad]],#REF!,Planning[[#This Row],[Proyectos Reiwa]]),SUMIFS(#REF!,#REF!,Planning[[#This Row],[Tipo de Tarea y especialidad]],#REF!,Planning[[#This Row],[Proyectos]]))</f>
        <v>#REF!</v>
      </c>
      <c r="K733" s="5" t="e">
        <f>Planning[[#This Row],[Horas Planificadas]]+Planning[[#This Row],[Horas ajustadas adicionales]]-Planning[[#This Row],[Horas utilizadas]]</f>
        <v>#REF!</v>
      </c>
      <c r="L733" s="7">
        <v>0</v>
      </c>
      <c r="M733" s="19" t="e">
        <f>Planning[[#This Row],[Saldo]]-Planning[[#This Row],[Saldo estimado]]</f>
        <v>#REF!</v>
      </c>
      <c r="N733" s="60" t="e">
        <f>+SUMIFS(#REF!,#REF!,Planning[[#This Row],[Proyectos]],#REF!,Planning[[#This Row],[Tipo de Tarea y especialidad]])</f>
        <v>#REF!</v>
      </c>
      <c r="O733" s="19">
        <f t="shared" si="22"/>
        <v>10</v>
      </c>
      <c r="P733" s="19">
        <f t="shared" si="23"/>
        <v>2024</v>
      </c>
      <c r="Q7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33" s="19" t="str">
        <f>TEXT(Planning[[#This Row],[Mes]]*29,"mmmm")</f>
        <v>October</v>
      </c>
      <c r="S7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33" s="239"/>
      <c r="U733" s="43">
        <f>IF(Planning[[#This Row],[Horas Planificadas]]&lt;&gt;0,+K733/Planning[[#This Row],[Horas Planificadas]],0)</f>
        <v>0</v>
      </c>
      <c r="V733" s="43">
        <f>IF(Planning[[#This Row],[Horas Planificadas]]&lt;&gt;0,Planning[[#This Row],[Horas utilizadas]]/Planning[[#This Row],[Horas Planificadas]],0)</f>
        <v>0</v>
      </c>
      <c r="W733" s="44">
        <f>Planning[[#This Row],[Horas Planificadas]]+Planning[[#This Row],[Horas ajustadas adicionales]]</f>
        <v>0</v>
      </c>
      <c r="X733" s="142"/>
    </row>
    <row r="734" spans="1:24" ht="12.75" customHeight="1" x14ac:dyDescent="0.2">
      <c r="A734" s="7" t="s">
        <v>117</v>
      </c>
      <c r="B734" s="7" t="s">
        <v>220</v>
      </c>
      <c r="C734" s="3"/>
      <c r="D734" s="3" t="s">
        <v>221</v>
      </c>
      <c r="E734" s="33" t="s">
        <v>30</v>
      </c>
      <c r="F734" s="3"/>
      <c r="G734" s="7">
        <v>1201</v>
      </c>
      <c r="H734" s="24">
        <f>SUM(H735:H741)</f>
        <v>1201</v>
      </c>
      <c r="I734" s="14"/>
      <c r="J734" s="14" t="e">
        <f>SUM(J735:J741)</f>
        <v>#REF!</v>
      </c>
      <c r="K734" s="18" t="e">
        <f>SUM(K735:K741)</f>
        <v>#REF!</v>
      </c>
      <c r="L734" s="15">
        <f>SUM(L735:L741)</f>
        <v>0</v>
      </c>
      <c r="M734" s="16" t="e">
        <f>SUM(M735:M741)</f>
        <v>#REF!</v>
      </c>
      <c r="N734" s="60"/>
      <c r="O734" s="16">
        <f t="shared" si="22"/>
        <v>10</v>
      </c>
      <c r="P734" s="16">
        <f t="shared" si="23"/>
        <v>2024</v>
      </c>
      <c r="Q734" s="16" t="e">
        <f>SUM(Q735:Q741)</f>
        <v>#REF!</v>
      </c>
      <c r="R734" s="16" t="str">
        <f>TEXT(Planning[[#This Row],[Mes]]*29,"mmmm")</f>
        <v>October</v>
      </c>
      <c r="S7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34" s="239"/>
      <c r="U734" s="43" t="e">
        <f>IF(Planning[[#This Row],[Horas Planificadas]]&lt;&gt;0,+K734/Planning[[#This Row],[Horas Planificadas]],0)</f>
        <v>#REF!</v>
      </c>
      <c r="V734" s="43" t="e">
        <f>IF(Planning[[#This Row],[Horas Planificadas]]&lt;&gt;0,Planning[[#This Row],[Horas utilizadas]]/Planning[[#This Row],[Horas Planificadas]],0)</f>
        <v>#REF!</v>
      </c>
      <c r="W734" s="44">
        <f>Planning[[#This Row],[Horas Planificadas]]+Planning[[#This Row],[Horas ajustadas adicionales]]</f>
        <v>1201</v>
      </c>
      <c r="X734" s="142"/>
    </row>
    <row r="735" spans="1:24" ht="12.75" customHeight="1" x14ac:dyDescent="0.2">
      <c r="A735" s="7" t="s">
        <v>117</v>
      </c>
      <c r="B735" s="7" t="s">
        <v>220</v>
      </c>
      <c r="C735" s="3"/>
      <c r="D735" s="3" t="s">
        <v>221</v>
      </c>
      <c r="E735" s="33"/>
      <c r="F735" s="3" t="s">
        <v>122</v>
      </c>
      <c r="G735" s="7"/>
      <c r="H735" s="7">
        <v>1201</v>
      </c>
      <c r="I735" s="12"/>
      <c r="J735" s="5" t="e">
        <f>SUM(SUMIFS(#REF!,#REF!,Planning[[#This Row],[Tipo de Tarea y especialidad]],#REF!,Planning[[#This Row],[Proyectos Reiwa]]),SUMIFS(#REF!,#REF!,Planning[[#This Row],[Tipo de Tarea y especialidad]],#REF!,Planning[[#This Row],[Proyectos]]))</f>
        <v>#REF!</v>
      </c>
      <c r="K735" s="5" t="e">
        <f>Planning[[#This Row],[Horas Planificadas]]+Planning[[#This Row],[Horas ajustadas adicionales]]-Planning[[#This Row],[Horas utilizadas]]</f>
        <v>#REF!</v>
      </c>
      <c r="L735" s="7">
        <v>0</v>
      </c>
      <c r="M735" s="19" t="e">
        <f>Planning[[#This Row],[Saldo]]-Planning[[#This Row],[Saldo estimado]]</f>
        <v>#REF!</v>
      </c>
      <c r="N735" s="60" t="e">
        <f>+SUMIFS(#REF!,#REF!,Planning[[#This Row],[Proyectos]],#REF!,Planning[[#This Row],[Tipo de Tarea y especialidad]])</f>
        <v>#REF!</v>
      </c>
      <c r="O735" s="19">
        <f t="shared" si="22"/>
        <v>10</v>
      </c>
      <c r="P735" s="19">
        <f t="shared" si="23"/>
        <v>2024</v>
      </c>
      <c r="Q7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35" s="19" t="str">
        <f>TEXT(Planning[[#This Row],[Mes]]*29,"mmmm")</f>
        <v>October</v>
      </c>
      <c r="S7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35" s="239"/>
      <c r="U735" s="43" t="e">
        <f>IF(Planning[[#This Row],[Horas Planificadas]]&lt;&gt;0,+K735/Planning[[#This Row],[Horas Planificadas]],0)</f>
        <v>#REF!</v>
      </c>
      <c r="V735" s="43" t="e">
        <f>IF(Planning[[#This Row],[Horas Planificadas]]&lt;&gt;0,Planning[[#This Row],[Horas utilizadas]]/Planning[[#This Row],[Horas Planificadas]],0)</f>
        <v>#REF!</v>
      </c>
      <c r="W735" s="44">
        <f>Planning[[#This Row],[Horas Planificadas]]+Planning[[#This Row],[Horas ajustadas adicionales]]</f>
        <v>1201</v>
      </c>
      <c r="X735" s="142"/>
    </row>
    <row r="736" spans="1:24" ht="12.75" customHeight="1" x14ac:dyDescent="0.2">
      <c r="A736" s="7" t="s">
        <v>117</v>
      </c>
      <c r="B736" s="7" t="s">
        <v>220</v>
      </c>
      <c r="C736" s="3"/>
      <c r="D736" s="3" t="s">
        <v>221</v>
      </c>
      <c r="E736" s="33"/>
      <c r="F736" s="3" t="s">
        <v>123</v>
      </c>
      <c r="G736" s="7"/>
      <c r="H736" s="7"/>
      <c r="I736" s="12"/>
      <c r="J736" s="5" t="e">
        <f>SUM(SUMIFS(#REF!,#REF!,Planning[[#This Row],[Tipo de Tarea y especialidad]],#REF!,Planning[[#This Row],[Proyectos Reiwa]]),SUMIFS(#REF!,#REF!,Planning[[#This Row],[Tipo de Tarea y especialidad]],#REF!,Planning[[#This Row],[Proyectos]]))</f>
        <v>#REF!</v>
      </c>
      <c r="K736" s="5" t="e">
        <f>Planning[[#This Row],[Horas Planificadas]]+Planning[[#This Row],[Horas ajustadas adicionales]]-Planning[[#This Row],[Horas utilizadas]]</f>
        <v>#REF!</v>
      </c>
      <c r="L736" s="7">
        <v>0</v>
      </c>
      <c r="M736" s="19" t="e">
        <f>Planning[[#This Row],[Saldo]]-Planning[[#This Row],[Saldo estimado]]</f>
        <v>#REF!</v>
      </c>
      <c r="N736" s="60" t="e">
        <f>+SUMIFS(#REF!,#REF!,Planning[[#This Row],[Proyectos]],#REF!,Planning[[#This Row],[Tipo de Tarea y especialidad]])</f>
        <v>#REF!</v>
      </c>
      <c r="O736" s="19">
        <f t="shared" si="22"/>
        <v>10</v>
      </c>
      <c r="P736" s="19">
        <f t="shared" si="23"/>
        <v>2024</v>
      </c>
      <c r="Q7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36" s="19" t="str">
        <f>TEXT(Planning[[#This Row],[Mes]]*29,"mmmm")</f>
        <v>October</v>
      </c>
      <c r="S7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36" s="239"/>
      <c r="U736" s="43">
        <f>IF(Planning[[#This Row],[Horas Planificadas]]&lt;&gt;0,+K736/Planning[[#This Row],[Horas Planificadas]],0)</f>
        <v>0</v>
      </c>
      <c r="V736" s="43">
        <f>IF(Planning[[#This Row],[Horas Planificadas]]&lt;&gt;0,Planning[[#This Row],[Horas utilizadas]]/Planning[[#This Row],[Horas Planificadas]],0)</f>
        <v>0</v>
      </c>
      <c r="W736" s="44">
        <f>Planning[[#This Row],[Horas Planificadas]]+Planning[[#This Row],[Horas ajustadas adicionales]]</f>
        <v>0</v>
      </c>
      <c r="X736" s="142"/>
    </row>
    <row r="737" spans="1:24" ht="12.75" customHeight="1" x14ac:dyDescent="0.2">
      <c r="A737" s="7" t="s">
        <v>117</v>
      </c>
      <c r="B737" s="7" t="s">
        <v>220</v>
      </c>
      <c r="C737" s="3"/>
      <c r="D737" s="3" t="s">
        <v>221</v>
      </c>
      <c r="E737" s="33"/>
      <c r="F737" s="3" t="s">
        <v>124</v>
      </c>
      <c r="G737" s="7"/>
      <c r="H737" s="7"/>
      <c r="I737" s="12"/>
      <c r="J737" s="5" t="e">
        <f>SUM(SUMIFS(#REF!,#REF!,Planning[[#This Row],[Tipo de Tarea y especialidad]],#REF!,Planning[[#This Row],[Proyectos Reiwa]]),SUMIFS(#REF!,#REF!,Planning[[#This Row],[Tipo de Tarea y especialidad]],#REF!,Planning[[#This Row],[Proyectos]]))</f>
        <v>#REF!</v>
      </c>
      <c r="K737" s="5" t="e">
        <f>Planning[[#This Row],[Horas Planificadas]]+Planning[[#This Row],[Horas ajustadas adicionales]]-Planning[[#This Row],[Horas utilizadas]]</f>
        <v>#REF!</v>
      </c>
      <c r="L737" s="7">
        <v>0</v>
      </c>
      <c r="M737" s="19" t="e">
        <f>Planning[[#This Row],[Saldo]]-Planning[[#This Row],[Saldo estimado]]</f>
        <v>#REF!</v>
      </c>
      <c r="N737" s="60" t="e">
        <f>+SUMIFS(#REF!,#REF!,Planning[[#This Row],[Proyectos]],#REF!,Planning[[#This Row],[Tipo de Tarea y especialidad]])</f>
        <v>#REF!</v>
      </c>
      <c r="O737" s="19">
        <f t="shared" si="22"/>
        <v>10</v>
      </c>
      <c r="P737" s="19">
        <f t="shared" si="23"/>
        <v>2024</v>
      </c>
      <c r="Q7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37" s="19" t="str">
        <f>TEXT(Planning[[#This Row],[Mes]]*29,"mmmm")</f>
        <v>October</v>
      </c>
      <c r="S7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37" s="239"/>
      <c r="U737" s="43">
        <f>IF(Planning[[#This Row],[Horas Planificadas]]&lt;&gt;0,+K737/Planning[[#This Row],[Horas Planificadas]],0)</f>
        <v>0</v>
      </c>
      <c r="V737" s="43">
        <f>IF(Planning[[#This Row],[Horas Planificadas]]&lt;&gt;0,Planning[[#This Row],[Horas utilizadas]]/Planning[[#This Row],[Horas Planificadas]],0)</f>
        <v>0</v>
      </c>
      <c r="W737" s="44">
        <f>Planning[[#This Row],[Horas Planificadas]]+Planning[[#This Row],[Horas ajustadas adicionales]]</f>
        <v>0</v>
      </c>
      <c r="X737" s="142"/>
    </row>
    <row r="738" spans="1:24" ht="12.75" customHeight="1" x14ac:dyDescent="0.2">
      <c r="A738" s="7" t="s">
        <v>117</v>
      </c>
      <c r="B738" s="7" t="s">
        <v>220</v>
      </c>
      <c r="C738" s="3"/>
      <c r="D738" s="3" t="s">
        <v>221</v>
      </c>
      <c r="E738" s="33"/>
      <c r="F738" s="3" t="s">
        <v>125</v>
      </c>
      <c r="G738" s="7"/>
      <c r="H738" s="7"/>
      <c r="I738" s="12"/>
      <c r="J738" s="5" t="e">
        <f>SUM(SUMIFS(#REF!,#REF!,Planning[[#This Row],[Tipo de Tarea y especialidad]],#REF!,Planning[[#This Row],[Proyectos Reiwa]]),SUMIFS(#REF!,#REF!,Planning[[#This Row],[Tipo de Tarea y especialidad]],#REF!,Planning[[#This Row],[Proyectos]]))</f>
        <v>#REF!</v>
      </c>
      <c r="K738" s="5" t="e">
        <f>Planning[[#This Row],[Horas Planificadas]]+Planning[[#This Row],[Horas ajustadas adicionales]]-Planning[[#This Row],[Horas utilizadas]]</f>
        <v>#REF!</v>
      </c>
      <c r="L738" s="7">
        <v>0</v>
      </c>
      <c r="M738" s="19" t="e">
        <f>Planning[[#This Row],[Saldo]]-Planning[[#This Row],[Saldo estimado]]</f>
        <v>#REF!</v>
      </c>
      <c r="N738" s="60" t="e">
        <f>+SUMIFS(#REF!,#REF!,Planning[[#This Row],[Proyectos]],#REF!,Planning[[#This Row],[Tipo de Tarea y especialidad]])</f>
        <v>#REF!</v>
      </c>
      <c r="O738" s="19">
        <f t="shared" si="22"/>
        <v>10</v>
      </c>
      <c r="P738" s="19">
        <f t="shared" si="23"/>
        <v>2024</v>
      </c>
      <c r="Q7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38" s="19" t="str">
        <f>TEXT(Planning[[#This Row],[Mes]]*29,"mmmm")</f>
        <v>October</v>
      </c>
      <c r="S7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38" s="239"/>
      <c r="U738" s="43">
        <f>IF(Planning[[#This Row],[Horas Planificadas]]&lt;&gt;0,+K738/Planning[[#This Row],[Horas Planificadas]],0)</f>
        <v>0</v>
      </c>
      <c r="V738" s="43">
        <f>IF(Planning[[#This Row],[Horas Planificadas]]&lt;&gt;0,Planning[[#This Row],[Horas utilizadas]]/Planning[[#This Row],[Horas Planificadas]],0)</f>
        <v>0</v>
      </c>
      <c r="W738" s="44">
        <f>Planning[[#This Row],[Horas Planificadas]]+Planning[[#This Row],[Horas ajustadas adicionales]]</f>
        <v>0</v>
      </c>
      <c r="X738" s="142"/>
    </row>
    <row r="739" spans="1:24" ht="12.75" customHeight="1" x14ac:dyDescent="0.2">
      <c r="A739" s="7" t="s">
        <v>117</v>
      </c>
      <c r="B739" s="7" t="s">
        <v>220</v>
      </c>
      <c r="C739" s="3"/>
      <c r="D739" s="3" t="s">
        <v>221</v>
      </c>
      <c r="E739" s="33"/>
      <c r="F739" s="3" t="s">
        <v>126</v>
      </c>
      <c r="G739" s="7"/>
      <c r="H739" s="7"/>
      <c r="I739" s="12"/>
      <c r="J739" s="5" t="e">
        <f>SUM(SUMIFS(#REF!,#REF!,Planning[[#This Row],[Tipo de Tarea y especialidad]],#REF!,Planning[[#This Row],[Proyectos Reiwa]]),SUMIFS(#REF!,#REF!,Planning[[#This Row],[Tipo de Tarea y especialidad]],#REF!,Planning[[#This Row],[Proyectos]]))</f>
        <v>#REF!</v>
      </c>
      <c r="K739" s="5" t="e">
        <f>Planning[[#This Row],[Horas Planificadas]]+Planning[[#This Row],[Horas ajustadas adicionales]]-Planning[[#This Row],[Horas utilizadas]]</f>
        <v>#REF!</v>
      </c>
      <c r="L739" s="7">
        <v>0</v>
      </c>
      <c r="M739" s="19" t="e">
        <f>Planning[[#This Row],[Saldo]]-Planning[[#This Row],[Saldo estimado]]</f>
        <v>#REF!</v>
      </c>
      <c r="N739" s="60" t="e">
        <f>+SUMIFS(#REF!,#REF!,Planning[[#This Row],[Proyectos]],#REF!,Planning[[#This Row],[Tipo de Tarea y especialidad]])</f>
        <v>#REF!</v>
      </c>
      <c r="O739" s="19">
        <f t="shared" si="22"/>
        <v>10</v>
      </c>
      <c r="P739" s="19">
        <f t="shared" si="23"/>
        <v>2024</v>
      </c>
      <c r="Q7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39" s="19" t="str">
        <f>TEXT(Planning[[#This Row],[Mes]]*29,"mmmm")</f>
        <v>October</v>
      </c>
      <c r="S7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39" s="239"/>
      <c r="U739" s="43">
        <f>IF(Planning[[#This Row],[Horas Planificadas]]&lt;&gt;0,+K739/Planning[[#This Row],[Horas Planificadas]],0)</f>
        <v>0</v>
      </c>
      <c r="V739" s="43">
        <f>IF(Planning[[#This Row],[Horas Planificadas]]&lt;&gt;0,Planning[[#This Row],[Horas utilizadas]]/Planning[[#This Row],[Horas Planificadas]],0)</f>
        <v>0</v>
      </c>
      <c r="W739" s="44">
        <f>Planning[[#This Row],[Horas Planificadas]]+Planning[[#This Row],[Horas ajustadas adicionales]]</f>
        <v>0</v>
      </c>
      <c r="X739" s="142"/>
    </row>
    <row r="740" spans="1:24" ht="12.75" customHeight="1" x14ac:dyDescent="0.2">
      <c r="A740" s="7" t="s">
        <v>117</v>
      </c>
      <c r="B740" s="7" t="s">
        <v>220</v>
      </c>
      <c r="C740" s="3"/>
      <c r="D740" s="3" t="s">
        <v>221</v>
      </c>
      <c r="E740" s="33"/>
      <c r="F740" s="3" t="s">
        <v>127</v>
      </c>
      <c r="G740" s="7"/>
      <c r="H740" s="7"/>
      <c r="I740" s="12"/>
      <c r="J740" s="5" t="e">
        <f>SUM(SUMIFS(#REF!,#REF!,Planning[[#This Row],[Tipo de Tarea y especialidad]],#REF!,Planning[[#This Row],[Proyectos Reiwa]]),SUMIFS(#REF!,#REF!,Planning[[#This Row],[Tipo de Tarea y especialidad]],#REF!,Planning[[#This Row],[Proyectos]]))</f>
        <v>#REF!</v>
      </c>
      <c r="K740" s="5" t="e">
        <f>Planning[[#This Row],[Horas Planificadas]]+Planning[[#This Row],[Horas ajustadas adicionales]]-Planning[[#This Row],[Horas utilizadas]]</f>
        <v>#REF!</v>
      </c>
      <c r="L740" s="7">
        <v>0</v>
      </c>
      <c r="M740" s="19" t="e">
        <f>Planning[[#This Row],[Saldo]]-Planning[[#This Row],[Saldo estimado]]</f>
        <v>#REF!</v>
      </c>
      <c r="N740" s="60" t="e">
        <f>+SUMIFS(#REF!,#REF!,Planning[[#This Row],[Proyectos]],#REF!,Planning[[#This Row],[Tipo de Tarea y especialidad]])</f>
        <v>#REF!</v>
      </c>
      <c r="O740" s="19">
        <f t="shared" si="22"/>
        <v>10</v>
      </c>
      <c r="P740" s="19">
        <f t="shared" si="23"/>
        <v>2024</v>
      </c>
      <c r="Q7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40" s="19" t="str">
        <f>TEXT(Planning[[#This Row],[Mes]]*29,"mmmm")</f>
        <v>October</v>
      </c>
      <c r="S7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40" s="239"/>
      <c r="U740" s="43">
        <f>IF(Planning[[#This Row],[Horas Planificadas]]&lt;&gt;0,+K740/Planning[[#This Row],[Horas Planificadas]],0)</f>
        <v>0</v>
      </c>
      <c r="V740" s="43">
        <f>IF(Planning[[#This Row],[Horas Planificadas]]&lt;&gt;0,Planning[[#This Row],[Horas utilizadas]]/Planning[[#This Row],[Horas Planificadas]],0)</f>
        <v>0</v>
      </c>
      <c r="W740" s="44">
        <f>Planning[[#This Row],[Horas Planificadas]]+Planning[[#This Row],[Horas ajustadas adicionales]]</f>
        <v>0</v>
      </c>
      <c r="X740" s="142"/>
    </row>
    <row r="741" spans="1:24" ht="12.75" customHeight="1" x14ac:dyDescent="0.2">
      <c r="A741" s="7" t="s">
        <v>117</v>
      </c>
      <c r="B741" s="7" t="s">
        <v>220</v>
      </c>
      <c r="C741" s="3"/>
      <c r="D741" s="3" t="s">
        <v>221</v>
      </c>
      <c r="E741" s="33"/>
      <c r="F741" s="3" t="s">
        <v>128</v>
      </c>
      <c r="G741" s="7"/>
      <c r="H741" s="7"/>
      <c r="I741" s="12"/>
      <c r="J741" s="5" t="e">
        <f>SUM(SUMIFS(#REF!,#REF!,Planning[[#This Row],[Tipo de Tarea y especialidad]],#REF!,Planning[[#This Row],[Proyectos Reiwa]]),SUMIFS(#REF!,#REF!,Planning[[#This Row],[Tipo de Tarea y especialidad]],#REF!,Planning[[#This Row],[Proyectos]]))</f>
        <v>#REF!</v>
      </c>
      <c r="K741" s="5" t="e">
        <f>Planning[[#This Row],[Horas Planificadas]]+Planning[[#This Row],[Horas ajustadas adicionales]]-Planning[[#This Row],[Horas utilizadas]]</f>
        <v>#REF!</v>
      </c>
      <c r="L741" s="7">
        <v>0</v>
      </c>
      <c r="M741" s="19" t="e">
        <f>Planning[[#This Row],[Saldo]]-Planning[[#This Row],[Saldo estimado]]</f>
        <v>#REF!</v>
      </c>
      <c r="N741" s="60" t="e">
        <f>+SUMIFS(#REF!,#REF!,Planning[[#This Row],[Proyectos]],#REF!,Planning[[#This Row],[Tipo de Tarea y especialidad]])</f>
        <v>#REF!</v>
      </c>
      <c r="O741" s="19">
        <f t="shared" si="22"/>
        <v>10</v>
      </c>
      <c r="P741" s="19">
        <f t="shared" si="23"/>
        <v>2024</v>
      </c>
      <c r="Q7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41" s="19" t="str">
        <f>TEXT(Planning[[#This Row],[Mes]]*29,"mmmm")</f>
        <v>October</v>
      </c>
      <c r="S7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41" s="239"/>
      <c r="U741" s="43">
        <f>IF(Planning[[#This Row],[Horas Planificadas]]&lt;&gt;0,+K741/Planning[[#This Row],[Horas Planificadas]],0)</f>
        <v>0</v>
      </c>
      <c r="V741" s="43">
        <f>IF(Planning[[#This Row],[Horas Planificadas]]&lt;&gt;0,Planning[[#This Row],[Horas utilizadas]]/Planning[[#This Row],[Horas Planificadas]],0)</f>
        <v>0</v>
      </c>
      <c r="W741" s="44">
        <f>Planning[[#This Row],[Horas Planificadas]]+Planning[[#This Row],[Horas ajustadas adicionales]]</f>
        <v>0</v>
      </c>
      <c r="X741" s="142"/>
    </row>
    <row r="742" spans="1:24" ht="12.75" customHeight="1" x14ac:dyDescent="0.2">
      <c r="A742" s="7" t="s">
        <v>117</v>
      </c>
      <c r="B742" s="7" t="s">
        <v>220</v>
      </c>
      <c r="C742" s="3"/>
      <c r="D742" s="3" t="s">
        <v>221</v>
      </c>
      <c r="E742" s="33" t="s">
        <v>31</v>
      </c>
      <c r="F742" s="3" t="s">
        <v>31</v>
      </c>
      <c r="G742" s="7">
        <v>176</v>
      </c>
      <c r="H742" s="15">
        <v>176</v>
      </c>
      <c r="I742" s="18"/>
      <c r="J742" s="14" t="e">
        <f>+SUMIFS(#REF!,#REF!,Planning[[#This Row],[Tarifa]],#REF!,Planning[[#This Row],[Proyectos]])</f>
        <v>#REF!</v>
      </c>
      <c r="K742" s="14" t="e">
        <f>Planning[[#This Row],[Horas Planificadas]]+Planning[[#This Row],[Horas ajustadas adicionales]]-Planning[[#This Row],[Horas utilizadas]]</f>
        <v>#REF!</v>
      </c>
      <c r="L742" s="15"/>
      <c r="M742" s="16" t="e">
        <f>Planning[[#This Row],[Saldo]]-Planning[[#This Row],[Saldo estimado]]</f>
        <v>#REF!</v>
      </c>
      <c r="N742" s="60"/>
      <c r="O742" s="16">
        <f t="shared" si="22"/>
        <v>10</v>
      </c>
      <c r="P742" s="16">
        <f t="shared" si="23"/>
        <v>2024</v>
      </c>
      <c r="Q742" s="16" t="e">
        <f>+SUMIFS(#REF!,#REF!,Planning[[#This Row],[Tarifa]],#REF!,Planning[[#This Row],[Proyectos]],#REF!,Planning[[#This Row],[Mes]],#REF!,Planning[[#This Row],[Año]])</f>
        <v>#REF!</v>
      </c>
      <c r="R742" s="16" t="str">
        <f>TEXT(Planning[[#This Row],[Mes]]*29,"mmmm")</f>
        <v>October</v>
      </c>
      <c r="S7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42" s="239"/>
      <c r="U742" s="43" t="e">
        <f>IF(Planning[[#This Row],[Horas Planificadas]]&lt;&gt;0,+K742/Planning[[#This Row],[Horas Planificadas]],0)</f>
        <v>#REF!</v>
      </c>
      <c r="V742" s="43" t="e">
        <f>IF(Planning[[#This Row],[Horas Planificadas]]&lt;&gt;0,Planning[[#This Row],[Horas utilizadas]]/Planning[[#This Row],[Horas Planificadas]],0)</f>
        <v>#REF!</v>
      </c>
      <c r="W742" s="44">
        <f>Planning[[#This Row],[Horas Planificadas]]+Planning[[#This Row],[Horas ajustadas adicionales]]</f>
        <v>176</v>
      </c>
      <c r="X742" s="142"/>
    </row>
    <row r="743" spans="1:24" ht="22.5" x14ac:dyDescent="0.2">
      <c r="A743" s="7" t="s">
        <v>117</v>
      </c>
      <c r="B743" s="7" t="s">
        <v>220</v>
      </c>
      <c r="C743" s="3"/>
      <c r="D743" s="3" t="s">
        <v>221</v>
      </c>
      <c r="E743" s="4" t="s">
        <v>32</v>
      </c>
      <c r="F743" s="3"/>
      <c r="G743" s="9">
        <v>441</v>
      </c>
      <c r="H743" s="14">
        <f>SUM(H744:H746)</f>
        <v>441</v>
      </c>
      <c r="I743" s="14"/>
      <c r="J743" s="14" t="e">
        <f>SUM(J744:J746)</f>
        <v>#REF!</v>
      </c>
      <c r="K743" s="15" t="e">
        <f>SUM(K744:K746)</f>
        <v>#REF!</v>
      </c>
      <c r="L743" s="15">
        <f>SUM(L744:L746)</f>
        <v>0</v>
      </c>
      <c r="M743" s="35" t="e">
        <f>SUM(M744:M746)</f>
        <v>#REF!</v>
      </c>
      <c r="N743" s="62"/>
      <c r="O743" s="35">
        <f t="shared" si="22"/>
        <v>10</v>
      </c>
      <c r="P743" s="35">
        <f t="shared" si="23"/>
        <v>2024</v>
      </c>
      <c r="Q743" s="16" t="e">
        <f>SUM(Q744:Q746)</f>
        <v>#REF!</v>
      </c>
      <c r="R743" s="16" t="str">
        <f>TEXT(Planning[[#This Row],[Mes]]*29,"mmmm")</f>
        <v>October</v>
      </c>
      <c r="S7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43" s="239"/>
      <c r="U743" s="43" t="e">
        <f>IF(Planning[[#This Row],[Horas Planificadas]]&lt;&gt;0,+K743/Planning[[#This Row],[Horas Planificadas]],0)</f>
        <v>#REF!</v>
      </c>
      <c r="V743" s="43" t="e">
        <f>IF(Planning[[#This Row],[Horas Planificadas]]&lt;&gt;0,Planning[[#This Row],[Horas utilizadas]]/Planning[[#This Row],[Horas Planificadas]],0)</f>
        <v>#REF!</v>
      </c>
      <c r="W743" s="44">
        <f>Planning[[#This Row],[Horas Planificadas]]+Planning[[#This Row],[Horas ajustadas adicionales]]</f>
        <v>441</v>
      </c>
      <c r="X743" s="142"/>
    </row>
    <row r="744" spans="1:24" x14ac:dyDescent="0.2">
      <c r="A744" s="7" t="s">
        <v>117</v>
      </c>
      <c r="B744" s="7" t="s">
        <v>220</v>
      </c>
      <c r="C744" s="3"/>
      <c r="D744" s="3" t="s">
        <v>221</v>
      </c>
      <c r="E744" s="4"/>
      <c r="F744" s="3" t="s">
        <v>129</v>
      </c>
      <c r="G744" s="9"/>
      <c r="H744" s="9">
        <v>441</v>
      </c>
      <c r="I744" s="12"/>
      <c r="J744" s="5" t="e">
        <f>SUM(SUMIFS(#REF!,#REF!,Planning[[#This Row],[Tipo de Tarea y especialidad]],#REF!,Planning[[#This Row],[Proyectos Reiwa]]),SUMIFS(#REF!,#REF!,Planning[[#This Row],[Tipo de Tarea y especialidad]],#REF!,Planning[[#This Row],[Proyectos]]))</f>
        <v>#REF!</v>
      </c>
      <c r="K744" s="5" t="e">
        <f>Planning[[#This Row],[Horas Planificadas]]+Planning[[#This Row],[Horas ajustadas adicionales]]-Planning[[#This Row],[Horas utilizadas]]</f>
        <v>#REF!</v>
      </c>
      <c r="L744" s="7">
        <v>0</v>
      </c>
      <c r="M744" s="19" t="e">
        <f>Planning[[#This Row],[Saldo]]-Planning[[#This Row],[Saldo estimado]]</f>
        <v>#REF!</v>
      </c>
      <c r="N744" s="60" t="e">
        <f>+SUMIFS(#REF!,#REF!,Planning[[#This Row],[Proyectos]],#REF!,Planning[[#This Row],[Tipo de Tarea y especialidad]])</f>
        <v>#REF!</v>
      </c>
      <c r="O744" s="19">
        <f t="shared" si="22"/>
        <v>10</v>
      </c>
      <c r="P744" s="19">
        <f t="shared" si="23"/>
        <v>2024</v>
      </c>
      <c r="Q7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44" s="19" t="str">
        <f>TEXT(Planning[[#This Row],[Mes]]*29,"mmmm")</f>
        <v>October</v>
      </c>
      <c r="S7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44" s="239"/>
      <c r="U744" s="43" t="e">
        <f>IF(Planning[[#This Row],[Horas Planificadas]]&lt;&gt;0,+K744/Planning[[#This Row],[Horas Planificadas]],0)</f>
        <v>#REF!</v>
      </c>
      <c r="V744" s="43" t="e">
        <f>IF(Planning[[#This Row],[Horas Planificadas]]&lt;&gt;0,Planning[[#This Row],[Horas utilizadas]]/Planning[[#This Row],[Horas Planificadas]],0)</f>
        <v>#REF!</v>
      </c>
      <c r="W744" s="44">
        <f>Planning[[#This Row],[Horas Planificadas]]+Planning[[#This Row],[Horas ajustadas adicionales]]</f>
        <v>441</v>
      </c>
      <c r="X744" s="142"/>
    </row>
    <row r="745" spans="1:24" x14ac:dyDescent="0.2">
      <c r="A745" s="7" t="s">
        <v>117</v>
      </c>
      <c r="B745" s="7" t="s">
        <v>220</v>
      </c>
      <c r="C745" s="3"/>
      <c r="D745" s="3" t="s">
        <v>221</v>
      </c>
      <c r="E745" s="4"/>
      <c r="F745" s="3" t="s">
        <v>130</v>
      </c>
      <c r="G745" s="9"/>
      <c r="H745" s="9"/>
      <c r="I745" s="12"/>
      <c r="J745" s="5" t="e">
        <f>SUM(SUMIFS(#REF!,#REF!,Planning[[#This Row],[Tipo de Tarea y especialidad]],#REF!,Planning[[#This Row],[Proyectos Reiwa]]),SUMIFS(#REF!,#REF!,Planning[[#This Row],[Tipo de Tarea y especialidad]],#REF!,Planning[[#This Row],[Proyectos]]))</f>
        <v>#REF!</v>
      </c>
      <c r="K745" s="5" t="e">
        <f>Planning[[#This Row],[Horas Planificadas]]+Planning[[#This Row],[Horas ajustadas adicionales]]-Planning[[#This Row],[Horas utilizadas]]</f>
        <v>#REF!</v>
      </c>
      <c r="L745" s="7">
        <v>0</v>
      </c>
      <c r="M745" s="19" t="e">
        <f>Planning[[#This Row],[Saldo]]-Planning[[#This Row],[Saldo estimado]]</f>
        <v>#REF!</v>
      </c>
      <c r="N745" s="60" t="e">
        <f>+SUMIFS(#REF!,#REF!,Planning[[#This Row],[Proyectos]],#REF!,Planning[[#This Row],[Tipo de Tarea y especialidad]])</f>
        <v>#REF!</v>
      </c>
      <c r="O745" s="19">
        <f t="shared" si="22"/>
        <v>10</v>
      </c>
      <c r="P745" s="19">
        <f t="shared" si="23"/>
        <v>2024</v>
      </c>
      <c r="Q7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45" s="19" t="str">
        <f>TEXT(Planning[[#This Row],[Mes]]*29,"mmmm")</f>
        <v>October</v>
      </c>
      <c r="S7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45" s="239"/>
      <c r="U745" s="43">
        <f>IF(Planning[[#This Row],[Horas Planificadas]]&lt;&gt;0,+K745/Planning[[#This Row],[Horas Planificadas]],0)</f>
        <v>0</v>
      </c>
      <c r="V745" s="43">
        <f>IF(Planning[[#This Row],[Horas Planificadas]]&lt;&gt;0,Planning[[#This Row],[Horas utilizadas]]/Planning[[#This Row],[Horas Planificadas]],0)</f>
        <v>0</v>
      </c>
      <c r="W745" s="44">
        <f>Planning[[#This Row],[Horas Planificadas]]+Planning[[#This Row],[Horas ajustadas adicionales]]</f>
        <v>0</v>
      </c>
      <c r="X745" s="142"/>
    </row>
    <row r="746" spans="1:24" ht="28.5" customHeight="1" x14ac:dyDescent="0.2">
      <c r="A746" s="7" t="s">
        <v>117</v>
      </c>
      <c r="B746" s="7" t="s">
        <v>220</v>
      </c>
      <c r="C746" s="3"/>
      <c r="D746" s="3" t="s">
        <v>221</v>
      </c>
      <c r="E746" s="4"/>
      <c r="F746" s="3" t="s">
        <v>131</v>
      </c>
      <c r="G746" s="9"/>
      <c r="H746" s="12"/>
      <c r="I746" s="12"/>
      <c r="J746" s="5" t="e">
        <f>SUM(SUMIFS(#REF!,#REF!,Planning[[#This Row],[Tipo de Tarea y especialidad]],#REF!,Planning[[#This Row],[Proyectos Reiwa]]),SUMIFS(#REF!,#REF!,Planning[[#This Row],[Tipo de Tarea y especialidad]],#REF!,Planning[[#This Row],[Proyectos]]))</f>
        <v>#REF!</v>
      </c>
      <c r="K746" s="27" t="e">
        <f>Planning[[#This Row],[Horas Planificadas]]+Planning[[#This Row],[Horas ajustadas adicionales]]-Planning[[#This Row],[Horas utilizadas]]</f>
        <v>#REF!</v>
      </c>
      <c r="L746" s="7">
        <v>0</v>
      </c>
      <c r="M746" s="19" t="e">
        <f>Planning[[#This Row],[Saldo]]-Planning[[#This Row],[Saldo estimado]]</f>
        <v>#REF!</v>
      </c>
      <c r="N746" s="60" t="e">
        <f>+SUMIFS(#REF!,#REF!,Planning[[#This Row],[Proyectos]],#REF!,Planning[[#This Row],[Tipo de Tarea y especialidad]])</f>
        <v>#REF!</v>
      </c>
      <c r="O746" s="19">
        <f t="shared" si="22"/>
        <v>10</v>
      </c>
      <c r="P746" s="19">
        <f t="shared" si="23"/>
        <v>2024</v>
      </c>
      <c r="Q7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46" s="19" t="str">
        <f>TEXT(Planning[[#This Row],[Mes]]*29,"mmmm")</f>
        <v>October</v>
      </c>
      <c r="S7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46" s="239"/>
      <c r="U746" s="43">
        <f>IF(Planning[[#This Row],[Horas Planificadas]]&lt;&gt;0,+K746/Planning[[#This Row],[Horas Planificadas]],0)</f>
        <v>0</v>
      </c>
      <c r="V746" s="43">
        <f>IF(Planning[[#This Row],[Horas Planificadas]]&lt;&gt;0,Planning[[#This Row],[Horas utilizadas]]/Planning[[#This Row],[Horas Planificadas]],0)</f>
        <v>0</v>
      </c>
      <c r="W746" s="44">
        <f>Planning[[#This Row],[Horas Planificadas]]+Planning[[#This Row],[Horas ajustadas adicionales]]</f>
        <v>0</v>
      </c>
      <c r="X746" s="142"/>
    </row>
    <row r="747" spans="1:24" ht="22.5" x14ac:dyDescent="0.2">
      <c r="A747" s="7"/>
      <c r="B747" s="7"/>
      <c r="C747" s="3"/>
      <c r="D747" s="3" t="s">
        <v>223</v>
      </c>
      <c r="E747" s="4" t="s">
        <v>28</v>
      </c>
      <c r="F747" s="3"/>
      <c r="G747" s="9"/>
      <c r="H747" s="9">
        <v>0</v>
      </c>
      <c r="I747" s="12"/>
      <c r="J747" s="5" t="e">
        <f>+SUMIFS(#REF!,#REF!,Planning[[#This Row],[Tarifa]],#REF!,Planning[[#This Row],[Proyectos]])</f>
        <v>#REF!</v>
      </c>
      <c r="K747" s="5" t="e">
        <f>Planning[[#This Row],[Horas Planificadas]]+Planning[[#This Row],[Horas ajustadas adicionales]]-Planning[[#This Row],[Horas utilizadas]]</f>
        <v>#REF!</v>
      </c>
      <c r="L747" s="7"/>
      <c r="M747" s="19" t="e">
        <f>Planning[[#This Row],[Saldo]]-Planning[[#This Row],[Saldo estimado]]</f>
        <v>#REF!</v>
      </c>
      <c r="N747" s="60" t="e">
        <f>+SUMIFS(#REF!,#REF!,Planning[[#This Row],[Proyectos]],#REF!,Planning[[#This Row],[Tipo de Tarea y especialidad]])</f>
        <v>#REF!</v>
      </c>
      <c r="O747" s="19">
        <f t="shared" si="22"/>
        <v>10</v>
      </c>
      <c r="P747" s="19">
        <f t="shared" si="23"/>
        <v>2024</v>
      </c>
      <c r="Q747" s="19" t="e">
        <f>+SUMIFS(#REF!,#REF!,Planning[[#This Row],[Tarifa]],#REF!,Planning[[#This Row],[Proyectos]],#REF!,Planning[[#This Row],[Mes]],#REF!,Planning[[#This Row],[Año]])</f>
        <v>#REF!</v>
      </c>
      <c r="R747" s="19" t="str">
        <f>TEXT(Planning[[#This Row],[Mes]]*29,"mmmm")</f>
        <v>October</v>
      </c>
      <c r="S7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47" s="228"/>
      <c r="U747" s="43">
        <f>IF(Planning[[#This Row],[Horas Planificadas]]&lt;&gt;0,+K747/Planning[[#This Row],[Horas Planificadas]],0)</f>
        <v>0</v>
      </c>
      <c r="V747" s="43">
        <f>IF(Planning[[#This Row],[Horas Planificadas]]&lt;&gt;0,Planning[[#This Row],[Horas utilizadas]]/Planning[[#This Row],[Horas Planificadas]],0)</f>
        <v>0</v>
      </c>
      <c r="W747" s="44">
        <f>Planning[[#This Row],[Horas Planificadas]]+Planning[[#This Row],[Horas ajustadas adicionales]]</f>
        <v>0</v>
      </c>
      <c r="X747" s="142"/>
    </row>
    <row r="748" spans="1:24" x14ac:dyDescent="0.2">
      <c r="A748" s="7"/>
      <c r="B748" s="7"/>
      <c r="C748" s="3"/>
      <c r="D748" s="3" t="s">
        <v>223</v>
      </c>
      <c r="E748" s="4" t="s">
        <v>30</v>
      </c>
      <c r="F748" s="3"/>
      <c r="G748" s="9"/>
      <c r="H748" s="9">
        <v>138</v>
      </c>
      <c r="I748" s="12"/>
      <c r="J748" s="5" t="e">
        <f>+SUMIFS(#REF!,#REF!,Planning[[#This Row],[Tarifa]],#REF!,Planning[[#This Row],[Proyectos]])</f>
        <v>#REF!</v>
      </c>
      <c r="K748" s="5" t="e">
        <f>Planning[[#This Row],[Horas Planificadas]]+Planning[[#This Row],[Horas ajustadas adicionales]]-Planning[[#This Row],[Horas utilizadas]]</f>
        <v>#REF!</v>
      </c>
      <c r="L748" s="7"/>
      <c r="M748" s="19" t="e">
        <f>Planning[[#This Row],[Saldo]]-Planning[[#This Row],[Saldo estimado]]</f>
        <v>#REF!</v>
      </c>
      <c r="N748" s="60" t="e">
        <f>+SUMIFS(#REF!,#REF!,Planning[[#This Row],[Proyectos]],#REF!,Planning[[#This Row],[Tipo de Tarea y especialidad]])</f>
        <v>#REF!</v>
      </c>
      <c r="O748" s="19">
        <f t="shared" si="22"/>
        <v>10</v>
      </c>
      <c r="P748" s="19">
        <f t="shared" si="23"/>
        <v>2024</v>
      </c>
      <c r="Q748" s="19" t="e">
        <f>+SUMIFS(#REF!,#REF!,Planning[[#This Row],[Tarifa]],#REF!,Planning[[#This Row],[Proyectos]],#REF!,Planning[[#This Row],[Mes]],#REF!,Planning[[#This Row],[Año]])</f>
        <v>#REF!</v>
      </c>
      <c r="R748" s="19" t="str">
        <f>TEXT(Planning[[#This Row],[Mes]]*29,"mmmm")</f>
        <v>October</v>
      </c>
      <c r="S7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48" s="228"/>
      <c r="U748" s="43" t="e">
        <f>IF(Planning[[#This Row],[Horas Planificadas]]&lt;&gt;0,+K748/Planning[[#This Row],[Horas Planificadas]],0)</f>
        <v>#REF!</v>
      </c>
      <c r="V748" s="43" t="e">
        <f>IF(Planning[[#This Row],[Horas Planificadas]]&lt;&gt;0,Planning[[#This Row],[Horas utilizadas]]/Planning[[#This Row],[Horas Planificadas]],0)</f>
        <v>#REF!</v>
      </c>
      <c r="W748" s="44">
        <f>Planning[[#This Row],[Horas Planificadas]]+Planning[[#This Row],[Horas ajustadas adicionales]]</f>
        <v>138</v>
      </c>
      <c r="X748" s="142"/>
    </row>
    <row r="749" spans="1:24" x14ac:dyDescent="0.2">
      <c r="A749" s="7"/>
      <c r="B749" s="7"/>
      <c r="C749" s="3"/>
      <c r="D749" s="3" t="s">
        <v>223</v>
      </c>
      <c r="E749" s="4" t="s">
        <v>31</v>
      </c>
      <c r="F749" s="3"/>
      <c r="G749" s="9"/>
      <c r="H749" s="9">
        <v>50</v>
      </c>
      <c r="I749" s="12"/>
      <c r="J749" s="5" t="e">
        <f>+SUMIFS(#REF!,#REF!,Planning[[#This Row],[Tarifa]],#REF!,Planning[[#This Row],[Proyectos]])</f>
        <v>#REF!</v>
      </c>
      <c r="K749" s="5" t="e">
        <f>Planning[[#This Row],[Horas Planificadas]]+Planning[[#This Row],[Horas ajustadas adicionales]]-Planning[[#This Row],[Horas utilizadas]]</f>
        <v>#REF!</v>
      </c>
      <c r="L749" s="7"/>
      <c r="M749" s="19" t="e">
        <f>Planning[[#This Row],[Saldo]]-Planning[[#This Row],[Saldo estimado]]</f>
        <v>#REF!</v>
      </c>
      <c r="N749" s="60" t="e">
        <f>+SUMIFS(#REF!,#REF!,Planning[[#This Row],[Proyectos]],#REF!,Planning[[#This Row],[Tipo de Tarea y especialidad]])</f>
        <v>#REF!</v>
      </c>
      <c r="O749" s="19">
        <f t="shared" si="22"/>
        <v>10</v>
      </c>
      <c r="P749" s="19">
        <f t="shared" si="23"/>
        <v>2024</v>
      </c>
      <c r="Q749" s="19" t="e">
        <f>+SUMIFS(#REF!,#REF!,Planning[[#This Row],[Tarifa]],#REF!,Planning[[#This Row],[Proyectos]],#REF!,Planning[[#This Row],[Mes]],#REF!,Planning[[#This Row],[Año]])</f>
        <v>#REF!</v>
      </c>
      <c r="R749" s="19" t="str">
        <f>TEXT(Planning[[#This Row],[Mes]]*29,"mmmm")</f>
        <v>October</v>
      </c>
      <c r="S7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49" s="228"/>
      <c r="U749" s="43" t="e">
        <f>IF(Planning[[#This Row],[Horas Planificadas]]&lt;&gt;0,+K749/Planning[[#This Row],[Horas Planificadas]],0)</f>
        <v>#REF!</v>
      </c>
      <c r="V749" s="43" t="e">
        <f>IF(Planning[[#This Row],[Horas Planificadas]]&lt;&gt;0,Planning[[#This Row],[Horas utilizadas]]/Planning[[#This Row],[Horas Planificadas]],0)</f>
        <v>#REF!</v>
      </c>
      <c r="W749" s="44">
        <f>Planning[[#This Row],[Horas Planificadas]]+Planning[[#This Row],[Horas ajustadas adicionales]]</f>
        <v>50</v>
      </c>
      <c r="X749" s="142"/>
    </row>
    <row r="750" spans="1:24" ht="22.5" x14ac:dyDescent="0.2">
      <c r="A750" s="7"/>
      <c r="B750" s="7"/>
      <c r="C750" s="3"/>
      <c r="D750" s="3" t="s">
        <v>223</v>
      </c>
      <c r="E750" s="4" t="s">
        <v>32</v>
      </c>
      <c r="F750" s="3"/>
      <c r="G750" s="9"/>
      <c r="H750" s="9">
        <v>0</v>
      </c>
      <c r="I750" s="12"/>
      <c r="J750" s="5" t="e">
        <f>+SUMIFS(#REF!,#REF!,Planning[[#This Row],[Tarifa]],#REF!,Planning[[#This Row],[Proyectos]])</f>
        <v>#REF!</v>
      </c>
      <c r="K750" s="5" t="e">
        <f>Planning[[#This Row],[Horas Planificadas]]+Planning[[#This Row],[Horas ajustadas adicionales]]-Planning[[#This Row],[Horas utilizadas]]</f>
        <v>#REF!</v>
      </c>
      <c r="L750" s="7"/>
      <c r="M750" s="19" t="e">
        <f>Planning[[#This Row],[Saldo]]-Planning[[#This Row],[Saldo estimado]]</f>
        <v>#REF!</v>
      </c>
      <c r="N750" s="60" t="e">
        <f>+SUMIFS(#REF!,#REF!,Planning[[#This Row],[Proyectos]],#REF!,Planning[[#This Row],[Tipo de Tarea y especialidad]])</f>
        <v>#REF!</v>
      </c>
      <c r="O750" s="19">
        <f t="shared" si="22"/>
        <v>10</v>
      </c>
      <c r="P750" s="19">
        <f t="shared" si="23"/>
        <v>2024</v>
      </c>
      <c r="Q750" s="19" t="e">
        <f>+SUMIFS(#REF!,#REF!,Planning[[#This Row],[Tarifa]],#REF!,Planning[[#This Row],[Proyectos]],#REF!,Planning[[#This Row],[Mes]],#REF!,Planning[[#This Row],[Año]])</f>
        <v>#REF!</v>
      </c>
      <c r="R750" s="19" t="str">
        <f>TEXT(Planning[[#This Row],[Mes]]*29,"mmmm")</f>
        <v>October</v>
      </c>
      <c r="S7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50" s="228"/>
      <c r="U750" s="43">
        <f>IF(Planning[[#This Row],[Horas Planificadas]]&lt;&gt;0,+K750/Planning[[#This Row],[Horas Planificadas]],0)</f>
        <v>0</v>
      </c>
      <c r="V750" s="43">
        <f>IF(Planning[[#This Row],[Horas Planificadas]]&lt;&gt;0,Planning[[#This Row],[Horas utilizadas]]/Planning[[#This Row],[Horas Planificadas]],0)</f>
        <v>0</v>
      </c>
      <c r="W750" s="44">
        <f>Planning[[#This Row],[Horas Planificadas]]+Planning[[#This Row],[Horas ajustadas adicionales]]</f>
        <v>0</v>
      </c>
      <c r="X750" s="142"/>
    </row>
    <row r="751" spans="1:24" ht="22.5" x14ac:dyDescent="0.2">
      <c r="A751" s="7"/>
      <c r="B751" s="7"/>
      <c r="C751" s="3"/>
      <c r="D751" s="3" t="s">
        <v>224</v>
      </c>
      <c r="E751" s="4" t="s">
        <v>28</v>
      </c>
      <c r="F751" s="3"/>
      <c r="G751" s="9"/>
      <c r="H751" s="9">
        <v>0</v>
      </c>
      <c r="I751" s="12"/>
      <c r="J751" s="5" t="e">
        <f>+SUMIFS(#REF!,#REF!,Planning[[#This Row],[Tarifa]],#REF!,Planning[[#This Row],[Proyectos]])</f>
        <v>#REF!</v>
      </c>
      <c r="K751" s="5" t="e">
        <f>Planning[[#This Row],[Horas Planificadas]]+Planning[[#This Row],[Horas ajustadas adicionales]]-Planning[[#This Row],[Horas utilizadas]]</f>
        <v>#REF!</v>
      </c>
      <c r="L751" s="7"/>
      <c r="M751" s="19" t="e">
        <f>Planning[[#This Row],[Saldo]]-Planning[[#This Row],[Saldo estimado]]</f>
        <v>#REF!</v>
      </c>
      <c r="N751" s="60" t="e">
        <f>+SUMIFS(#REF!,#REF!,Planning[[#This Row],[Proyectos]],#REF!,Planning[[#This Row],[Tipo de Tarea y especialidad]])</f>
        <v>#REF!</v>
      </c>
      <c r="O751" s="19">
        <f t="shared" si="22"/>
        <v>10</v>
      </c>
      <c r="P751" s="19">
        <f t="shared" si="23"/>
        <v>2024</v>
      </c>
      <c r="Q751" s="19" t="e">
        <f>+SUMIFS(#REF!,#REF!,Planning[[#This Row],[Tarifa]],#REF!,Planning[[#This Row],[Proyectos]],#REF!,Planning[[#This Row],[Mes]],#REF!,Planning[[#This Row],[Año]])</f>
        <v>#REF!</v>
      </c>
      <c r="R751" s="19" t="str">
        <f>TEXT(Planning[[#This Row],[Mes]]*29,"mmmm")</f>
        <v>October</v>
      </c>
      <c r="S7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51" s="228"/>
      <c r="U751" s="43">
        <f>IF(Planning[[#This Row],[Horas Planificadas]]&lt;&gt;0,+K751/Planning[[#This Row],[Horas Planificadas]],0)</f>
        <v>0</v>
      </c>
      <c r="V751" s="43">
        <f>IF(Planning[[#This Row],[Horas Planificadas]]&lt;&gt;0,Planning[[#This Row],[Horas utilizadas]]/Planning[[#This Row],[Horas Planificadas]],0)</f>
        <v>0</v>
      </c>
      <c r="W751" s="44">
        <f>Planning[[#This Row],[Horas Planificadas]]+Planning[[#This Row],[Horas ajustadas adicionales]]</f>
        <v>0</v>
      </c>
      <c r="X751" s="142"/>
    </row>
    <row r="752" spans="1:24" x14ac:dyDescent="0.2">
      <c r="A752" s="7"/>
      <c r="B752" s="7"/>
      <c r="C752" s="3"/>
      <c r="D752" s="3" t="s">
        <v>224</v>
      </c>
      <c r="E752" s="4" t="s">
        <v>30</v>
      </c>
      <c r="F752" s="3"/>
      <c r="G752" s="9"/>
      <c r="H752" s="9">
        <v>65</v>
      </c>
      <c r="I752" s="12"/>
      <c r="J752" s="5" t="e">
        <f>+SUMIFS(#REF!,#REF!,Planning[[#This Row],[Tarifa]],#REF!,Planning[[#This Row],[Proyectos]])</f>
        <v>#REF!</v>
      </c>
      <c r="K752" s="5" t="e">
        <f>Planning[[#This Row],[Horas Planificadas]]+Planning[[#This Row],[Horas ajustadas adicionales]]-Planning[[#This Row],[Horas utilizadas]]</f>
        <v>#REF!</v>
      </c>
      <c r="L752" s="7"/>
      <c r="M752" s="19" t="e">
        <f>Planning[[#This Row],[Saldo]]-Planning[[#This Row],[Saldo estimado]]</f>
        <v>#REF!</v>
      </c>
      <c r="N752" s="60" t="e">
        <f>+SUMIFS(#REF!,#REF!,Planning[[#This Row],[Proyectos]],#REF!,Planning[[#This Row],[Tipo de Tarea y especialidad]])</f>
        <v>#REF!</v>
      </c>
      <c r="O752" s="19">
        <f t="shared" si="22"/>
        <v>10</v>
      </c>
      <c r="P752" s="19">
        <f t="shared" si="23"/>
        <v>2024</v>
      </c>
      <c r="Q752" s="19" t="e">
        <f>+SUMIFS(#REF!,#REF!,Planning[[#This Row],[Tarifa]],#REF!,Planning[[#This Row],[Proyectos]],#REF!,Planning[[#This Row],[Mes]],#REF!,Planning[[#This Row],[Año]])</f>
        <v>#REF!</v>
      </c>
      <c r="R752" s="19" t="str">
        <f>TEXT(Planning[[#This Row],[Mes]]*29,"mmmm")</f>
        <v>October</v>
      </c>
      <c r="S7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52" s="228"/>
      <c r="U752" s="43" t="e">
        <f>IF(Planning[[#This Row],[Horas Planificadas]]&lt;&gt;0,+K752/Planning[[#This Row],[Horas Planificadas]],0)</f>
        <v>#REF!</v>
      </c>
      <c r="V752" s="43" t="e">
        <f>IF(Planning[[#This Row],[Horas Planificadas]]&lt;&gt;0,Planning[[#This Row],[Horas utilizadas]]/Planning[[#This Row],[Horas Planificadas]],0)</f>
        <v>#REF!</v>
      </c>
      <c r="W752" s="44">
        <f>Planning[[#This Row],[Horas Planificadas]]+Planning[[#This Row],[Horas ajustadas adicionales]]</f>
        <v>65</v>
      </c>
      <c r="X752" s="142"/>
    </row>
    <row r="753" spans="1:24" x14ac:dyDescent="0.2">
      <c r="A753" s="7"/>
      <c r="B753" s="7"/>
      <c r="C753" s="3"/>
      <c r="D753" s="3" t="s">
        <v>224</v>
      </c>
      <c r="E753" s="4" t="s">
        <v>31</v>
      </c>
      <c r="F753" s="3"/>
      <c r="G753" s="9"/>
      <c r="H753" s="9">
        <v>12</v>
      </c>
      <c r="I753" s="12"/>
      <c r="J753" s="5" t="e">
        <f>+SUMIFS(#REF!,#REF!,Planning[[#This Row],[Tarifa]],#REF!,Planning[[#This Row],[Proyectos]])</f>
        <v>#REF!</v>
      </c>
      <c r="K753" s="5" t="e">
        <f>Planning[[#This Row],[Horas Planificadas]]+Planning[[#This Row],[Horas ajustadas adicionales]]-Planning[[#This Row],[Horas utilizadas]]</f>
        <v>#REF!</v>
      </c>
      <c r="L753" s="7"/>
      <c r="M753" s="19" t="e">
        <f>Planning[[#This Row],[Saldo]]-Planning[[#This Row],[Saldo estimado]]</f>
        <v>#REF!</v>
      </c>
      <c r="N753" s="60" t="e">
        <f>+SUMIFS(#REF!,#REF!,Planning[[#This Row],[Proyectos]],#REF!,Planning[[#This Row],[Tipo de Tarea y especialidad]])</f>
        <v>#REF!</v>
      </c>
      <c r="O753" s="19">
        <f t="shared" si="22"/>
        <v>10</v>
      </c>
      <c r="P753" s="19">
        <f t="shared" si="23"/>
        <v>2024</v>
      </c>
      <c r="Q753" s="19" t="e">
        <f>+SUMIFS(#REF!,#REF!,Planning[[#This Row],[Tarifa]],#REF!,Planning[[#This Row],[Proyectos]],#REF!,Planning[[#This Row],[Mes]],#REF!,Planning[[#This Row],[Año]])</f>
        <v>#REF!</v>
      </c>
      <c r="R753" s="19" t="str">
        <f>TEXT(Planning[[#This Row],[Mes]]*29,"mmmm")</f>
        <v>October</v>
      </c>
      <c r="S7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53" s="228"/>
      <c r="U753" s="43" t="e">
        <f>IF(Planning[[#This Row],[Horas Planificadas]]&lt;&gt;0,+K753/Planning[[#This Row],[Horas Planificadas]],0)</f>
        <v>#REF!</v>
      </c>
      <c r="V753" s="43" t="e">
        <f>IF(Planning[[#This Row],[Horas Planificadas]]&lt;&gt;0,Planning[[#This Row],[Horas utilizadas]]/Planning[[#This Row],[Horas Planificadas]],0)</f>
        <v>#REF!</v>
      </c>
      <c r="W753" s="44">
        <f>Planning[[#This Row],[Horas Planificadas]]+Planning[[#This Row],[Horas ajustadas adicionales]]</f>
        <v>12</v>
      </c>
      <c r="X753" s="142"/>
    </row>
    <row r="754" spans="1:24" ht="22.5" x14ac:dyDescent="0.2">
      <c r="A754" s="7"/>
      <c r="B754" s="7"/>
      <c r="C754" s="3"/>
      <c r="D754" s="3" t="s">
        <v>224</v>
      </c>
      <c r="E754" s="4" t="s">
        <v>32</v>
      </c>
      <c r="F754" s="3"/>
      <c r="G754" s="9"/>
      <c r="H754" s="9">
        <v>27</v>
      </c>
      <c r="I754" s="12"/>
      <c r="J754" s="5" t="e">
        <f>+SUMIFS(#REF!,#REF!,Planning[[#This Row],[Tarifa]],#REF!,Planning[[#This Row],[Proyectos]])</f>
        <v>#REF!</v>
      </c>
      <c r="K754" s="5" t="e">
        <f>Planning[[#This Row],[Horas Planificadas]]+Planning[[#This Row],[Horas ajustadas adicionales]]-Planning[[#This Row],[Horas utilizadas]]</f>
        <v>#REF!</v>
      </c>
      <c r="L754" s="7"/>
      <c r="M754" s="19" t="e">
        <f>Planning[[#This Row],[Saldo]]-Planning[[#This Row],[Saldo estimado]]</f>
        <v>#REF!</v>
      </c>
      <c r="N754" s="60" t="e">
        <f>+SUMIFS(#REF!,#REF!,Planning[[#This Row],[Proyectos]],#REF!,Planning[[#This Row],[Tipo de Tarea y especialidad]])</f>
        <v>#REF!</v>
      </c>
      <c r="O754" s="19">
        <f t="shared" si="22"/>
        <v>10</v>
      </c>
      <c r="P754" s="19">
        <f t="shared" si="23"/>
        <v>2024</v>
      </c>
      <c r="Q754" s="19" t="e">
        <f>+SUMIFS(#REF!,#REF!,Planning[[#This Row],[Tarifa]],#REF!,Planning[[#This Row],[Proyectos]],#REF!,Planning[[#This Row],[Mes]],#REF!,Planning[[#This Row],[Año]])</f>
        <v>#REF!</v>
      </c>
      <c r="R754" s="19" t="str">
        <f>TEXT(Planning[[#This Row],[Mes]]*29,"mmmm")</f>
        <v>October</v>
      </c>
      <c r="S7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54" s="228"/>
      <c r="U754" s="43" t="e">
        <f>IF(Planning[[#This Row],[Horas Planificadas]]&lt;&gt;0,+K754/Planning[[#This Row],[Horas Planificadas]],0)</f>
        <v>#REF!</v>
      </c>
      <c r="V754" s="43" t="e">
        <f>IF(Planning[[#This Row],[Horas Planificadas]]&lt;&gt;0,Planning[[#This Row],[Horas utilizadas]]/Planning[[#This Row],[Horas Planificadas]],0)</f>
        <v>#REF!</v>
      </c>
      <c r="W754" s="44">
        <f>Planning[[#This Row],[Horas Planificadas]]+Planning[[#This Row],[Horas ajustadas adicionales]]</f>
        <v>27</v>
      </c>
      <c r="X754" s="142"/>
    </row>
    <row r="755" spans="1:24" ht="22.5" x14ac:dyDescent="0.2">
      <c r="A755" s="7"/>
      <c r="B755" s="7"/>
      <c r="C755" s="3"/>
      <c r="D755" s="3" t="s">
        <v>225</v>
      </c>
      <c r="E755" s="4" t="s">
        <v>28</v>
      </c>
      <c r="F755" s="3"/>
      <c r="G755" s="9"/>
      <c r="H755" s="12">
        <v>72</v>
      </c>
      <c r="I755" s="12"/>
      <c r="J755" s="5" t="e">
        <f>+SUMIFS(#REF!,#REF!,Planning[[#This Row],[Tarifa]],#REF!,Planning[[#This Row],[Proyectos]])</f>
        <v>#REF!</v>
      </c>
      <c r="K755" s="27" t="e">
        <f>Planning[[#This Row],[Horas Planificadas]]+Planning[[#This Row],[Horas ajustadas adicionales]]-Planning[[#This Row],[Horas utilizadas]]</f>
        <v>#REF!</v>
      </c>
      <c r="L755" s="7"/>
      <c r="M755" s="19" t="e">
        <f>Planning[[#This Row],[Saldo]]-Planning[[#This Row],[Saldo estimado]]</f>
        <v>#REF!</v>
      </c>
      <c r="N755" s="60" t="e">
        <f>+SUMIFS(#REF!,#REF!,Planning[[#This Row],[Proyectos]],#REF!,Planning[[#This Row],[Tipo de Tarea y especialidad]])</f>
        <v>#REF!</v>
      </c>
      <c r="O755" s="19">
        <f t="shared" si="22"/>
        <v>10</v>
      </c>
      <c r="P755" s="19">
        <f t="shared" si="23"/>
        <v>2024</v>
      </c>
      <c r="Q755" s="19" t="e">
        <f>+SUMIFS(#REF!,#REF!,Planning[[#This Row],[Tarifa]],#REF!,Planning[[#This Row],[Proyectos]],#REF!,Planning[[#This Row],[Mes]],#REF!,Planning[[#This Row],[Año]])</f>
        <v>#REF!</v>
      </c>
      <c r="R755" s="19" t="str">
        <f>TEXT(Planning[[#This Row],[Mes]]*29,"mmmm")</f>
        <v>October</v>
      </c>
      <c r="S7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55" s="228"/>
      <c r="U755" s="43" t="e">
        <f>IF(Planning[[#This Row],[Horas Planificadas]]&lt;&gt;0,+K755/Planning[[#This Row],[Horas Planificadas]],0)</f>
        <v>#REF!</v>
      </c>
      <c r="V755" s="43" t="e">
        <f>IF(Planning[[#This Row],[Horas Planificadas]]&lt;&gt;0,Planning[[#This Row],[Horas utilizadas]]/Planning[[#This Row],[Horas Planificadas]],0)</f>
        <v>#REF!</v>
      </c>
      <c r="W755" s="44">
        <f>Planning[[#This Row],[Horas Planificadas]]+Planning[[#This Row],[Horas ajustadas adicionales]]</f>
        <v>72</v>
      </c>
      <c r="X755" s="142"/>
    </row>
    <row r="756" spans="1:24" x14ac:dyDescent="0.2">
      <c r="A756" s="7"/>
      <c r="B756" s="7"/>
      <c r="C756" s="3"/>
      <c r="D756" s="3" t="s">
        <v>225</v>
      </c>
      <c r="E756" s="4" t="s">
        <v>30</v>
      </c>
      <c r="F756" s="3"/>
      <c r="G756" s="9"/>
      <c r="H756" s="9">
        <v>131</v>
      </c>
      <c r="I756" s="12"/>
      <c r="J756" s="5" t="e">
        <f>+SUMIFS(#REF!,#REF!,Planning[[#This Row],[Tarifa]],#REF!,Planning[[#This Row],[Proyectos]])</f>
        <v>#REF!</v>
      </c>
      <c r="K756" s="5" t="e">
        <f>Planning[[#This Row],[Horas Planificadas]]+Planning[[#This Row],[Horas ajustadas adicionales]]-Planning[[#This Row],[Horas utilizadas]]</f>
        <v>#REF!</v>
      </c>
      <c r="L756" s="7"/>
      <c r="M756" s="19" t="e">
        <f>Planning[[#This Row],[Saldo]]-Planning[[#This Row],[Saldo estimado]]</f>
        <v>#REF!</v>
      </c>
      <c r="N756" s="60" t="e">
        <f>+SUMIFS(#REF!,#REF!,Planning[[#This Row],[Proyectos]],#REF!,Planning[[#This Row],[Tipo de Tarea y especialidad]])</f>
        <v>#REF!</v>
      </c>
      <c r="O756" s="19">
        <f t="shared" si="22"/>
        <v>10</v>
      </c>
      <c r="P756" s="19">
        <f t="shared" si="23"/>
        <v>2024</v>
      </c>
      <c r="Q756" s="19" t="e">
        <f>+SUMIFS(#REF!,#REF!,Planning[[#This Row],[Tarifa]],#REF!,Planning[[#This Row],[Proyectos]],#REF!,Planning[[#This Row],[Mes]],#REF!,Planning[[#This Row],[Año]])</f>
        <v>#REF!</v>
      </c>
      <c r="R756" s="19" t="str">
        <f>TEXT(Planning[[#This Row],[Mes]]*29,"mmmm")</f>
        <v>October</v>
      </c>
      <c r="S7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56" s="228"/>
      <c r="U756" s="43" t="e">
        <f>IF(Planning[[#This Row],[Horas Planificadas]]&lt;&gt;0,+K756/Planning[[#This Row],[Horas Planificadas]],0)</f>
        <v>#REF!</v>
      </c>
      <c r="V756" s="43" t="e">
        <f>IF(Planning[[#This Row],[Horas Planificadas]]&lt;&gt;0,Planning[[#This Row],[Horas utilizadas]]/Planning[[#This Row],[Horas Planificadas]],0)</f>
        <v>#REF!</v>
      </c>
      <c r="W756" s="44">
        <f>Planning[[#This Row],[Horas Planificadas]]+Planning[[#This Row],[Horas ajustadas adicionales]]</f>
        <v>131</v>
      </c>
      <c r="X756" s="142"/>
    </row>
    <row r="757" spans="1:24" x14ac:dyDescent="0.2">
      <c r="A757" s="7"/>
      <c r="B757" s="7"/>
      <c r="C757" s="3"/>
      <c r="D757" s="3" t="s">
        <v>225</v>
      </c>
      <c r="E757" s="4" t="s">
        <v>31</v>
      </c>
      <c r="F757" s="3"/>
      <c r="G757" s="9"/>
      <c r="H757" s="9">
        <v>80</v>
      </c>
      <c r="I757" s="12"/>
      <c r="J757" s="5" t="e">
        <f>+SUMIFS(#REF!,#REF!,Planning[[#This Row],[Tarifa]],#REF!,Planning[[#This Row],[Proyectos]])</f>
        <v>#REF!</v>
      </c>
      <c r="K757" s="5" t="e">
        <f>Planning[[#This Row],[Horas Planificadas]]+Planning[[#This Row],[Horas ajustadas adicionales]]-Planning[[#This Row],[Horas utilizadas]]</f>
        <v>#REF!</v>
      </c>
      <c r="L757" s="7"/>
      <c r="M757" s="19" t="e">
        <f>Planning[[#This Row],[Saldo]]-Planning[[#This Row],[Saldo estimado]]</f>
        <v>#REF!</v>
      </c>
      <c r="N757" s="60" t="e">
        <f>+SUMIFS(#REF!,#REF!,Planning[[#This Row],[Proyectos]],#REF!,Planning[[#This Row],[Tipo de Tarea y especialidad]])</f>
        <v>#REF!</v>
      </c>
      <c r="O757" s="19">
        <f t="shared" si="22"/>
        <v>10</v>
      </c>
      <c r="P757" s="19">
        <f t="shared" si="23"/>
        <v>2024</v>
      </c>
      <c r="Q757" s="19" t="e">
        <f>+SUMIFS(#REF!,#REF!,Planning[[#This Row],[Tarifa]],#REF!,Planning[[#This Row],[Proyectos]],#REF!,Planning[[#This Row],[Mes]],#REF!,Planning[[#This Row],[Año]])</f>
        <v>#REF!</v>
      </c>
      <c r="R757" s="19" t="str">
        <f>TEXT(Planning[[#This Row],[Mes]]*29,"mmmm")</f>
        <v>October</v>
      </c>
      <c r="S7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57" s="228"/>
      <c r="U757" s="43" t="e">
        <f>IF(Planning[[#This Row],[Horas Planificadas]]&lt;&gt;0,+K757/Planning[[#This Row],[Horas Planificadas]],0)</f>
        <v>#REF!</v>
      </c>
      <c r="V757" s="43" t="e">
        <f>IF(Planning[[#This Row],[Horas Planificadas]]&lt;&gt;0,Planning[[#This Row],[Horas utilizadas]]/Planning[[#This Row],[Horas Planificadas]],0)</f>
        <v>#REF!</v>
      </c>
      <c r="W757" s="44">
        <f>Planning[[#This Row],[Horas Planificadas]]+Planning[[#This Row],[Horas ajustadas adicionales]]</f>
        <v>80</v>
      </c>
      <c r="X757" s="142"/>
    </row>
    <row r="758" spans="1:24" ht="22.5" x14ac:dyDescent="0.2">
      <c r="A758" s="7"/>
      <c r="B758" s="7"/>
      <c r="C758" s="3"/>
      <c r="D758" s="3" t="s">
        <v>225</v>
      </c>
      <c r="E758" s="4" t="s">
        <v>32</v>
      </c>
      <c r="F758" s="3"/>
      <c r="G758" s="9"/>
      <c r="H758" s="9">
        <v>0</v>
      </c>
      <c r="I758" s="12"/>
      <c r="J758" s="5" t="e">
        <f>+SUMIFS(#REF!,#REF!,Planning[[#This Row],[Tarifa]],#REF!,Planning[[#This Row],[Proyectos]])</f>
        <v>#REF!</v>
      </c>
      <c r="K758" s="5" t="e">
        <f>Planning[[#This Row],[Horas Planificadas]]+Planning[[#This Row],[Horas ajustadas adicionales]]-Planning[[#This Row],[Horas utilizadas]]</f>
        <v>#REF!</v>
      </c>
      <c r="L758" s="7"/>
      <c r="M758" s="19" t="e">
        <f>Planning[[#This Row],[Saldo]]-Planning[[#This Row],[Saldo estimado]]</f>
        <v>#REF!</v>
      </c>
      <c r="N758" s="60" t="e">
        <f>+SUMIFS(#REF!,#REF!,Planning[[#This Row],[Proyectos]],#REF!,Planning[[#This Row],[Tipo de Tarea y especialidad]])</f>
        <v>#REF!</v>
      </c>
      <c r="O758" s="19">
        <f t="shared" si="22"/>
        <v>10</v>
      </c>
      <c r="P758" s="19">
        <f t="shared" si="23"/>
        <v>2024</v>
      </c>
      <c r="Q758" s="19" t="e">
        <f>+SUMIFS(#REF!,#REF!,Planning[[#This Row],[Tarifa]],#REF!,Planning[[#This Row],[Proyectos]],#REF!,Planning[[#This Row],[Mes]],#REF!,Planning[[#This Row],[Año]])</f>
        <v>#REF!</v>
      </c>
      <c r="R758" s="19" t="str">
        <f>TEXT(Planning[[#This Row],[Mes]]*29,"mmmm")</f>
        <v>October</v>
      </c>
      <c r="S7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58" s="228"/>
      <c r="U758" s="43">
        <f>IF(Planning[[#This Row],[Horas Planificadas]]&lt;&gt;0,+K758/Planning[[#This Row],[Horas Planificadas]],0)</f>
        <v>0</v>
      </c>
      <c r="V758" s="43">
        <f>IF(Planning[[#This Row],[Horas Planificadas]]&lt;&gt;0,Planning[[#This Row],[Horas utilizadas]]/Planning[[#This Row],[Horas Planificadas]],0)</f>
        <v>0</v>
      </c>
      <c r="W758" s="44">
        <f>Planning[[#This Row],[Horas Planificadas]]+Planning[[#This Row],[Horas ajustadas adicionales]]</f>
        <v>0</v>
      </c>
      <c r="X758" s="142"/>
    </row>
    <row r="759" spans="1:24" ht="12.75" customHeight="1" x14ac:dyDescent="0.2">
      <c r="A759" s="7" t="s">
        <v>168</v>
      </c>
      <c r="B759" s="7" t="s">
        <v>118</v>
      </c>
      <c r="C759" s="3">
        <v>116870</v>
      </c>
      <c r="D759" s="3" t="s">
        <v>226</v>
      </c>
      <c r="E759" s="4" t="s">
        <v>28</v>
      </c>
      <c r="F759" s="3"/>
      <c r="G759" s="9">
        <v>7151</v>
      </c>
      <c r="H759" s="14">
        <f>SUM(H760:H761)</f>
        <v>8592</v>
      </c>
      <c r="I759" s="14"/>
      <c r="J759" s="14" t="e">
        <f>SUM(J760:J761)</f>
        <v>#REF!</v>
      </c>
      <c r="K759" s="15" t="e">
        <f>SUM(K760:K761)</f>
        <v>#REF!</v>
      </c>
      <c r="L759" s="15">
        <f>SUM(L760:L761)</f>
        <v>90</v>
      </c>
      <c r="M759" s="14" t="e">
        <f>SUM(M760:M761)</f>
        <v>#REF!</v>
      </c>
      <c r="N759" s="66"/>
      <c r="O759" s="14">
        <f t="shared" si="22"/>
        <v>10</v>
      </c>
      <c r="P759" s="14">
        <f t="shared" si="23"/>
        <v>2024</v>
      </c>
      <c r="Q759" s="28" t="e">
        <f>SUM(Q760:Q761)</f>
        <v>#REF!</v>
      </c>
      <c r="R759" s="28" t="str">
        <f>TEXT(Planning[[#This Row],[Mes]]*29,"mmmm")</f>
        <v>October</v>
      </c>
      <c r="S7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59" s="192" t="s">
        <v>227</v>
      </c>
      <c r="U759" s="43" t="e">
        <f>IF(Planning[[#This Row],[Horas Planificadas]]&lt;&gt;0,+K759/Planning[[#This Row],[Horas Planificadas]],0)</f>
        <v>#REF!</v>
      </c>
      <c r="V759" s="43" t="e">
        <f>IF(Planning[[#This Row],[Horas Planificadas]]&lt;&gt;0,Planning[[#This Row],[Horas utilizadas]]/Planning[[#This Row],[Horas Planificadas]],0)</f>
        <v>#REF!</v>
      </c>
      <c r="W759" s="44">
        <f>Planning[[#This Row],[Horas Planificadas]]+Planning[[#This Row],[Horas ajustadas adicionales]]</f>
        <v>8592</v>
      </c>
      <c r="X759" s="142"/>
    </row>
    <row r="760" spans="1:24" ht="12.75" customHeight="1" x14ac:dyDescent="0.2">
      <c r="A760" s="7" t="s">
        <v>168</v>
      </c>
      <c r="B760" s="7" t="s">
        <v>118</v>
      </c>
      <c r="C760" s="3">
        <v>116870</v>
      </c>
      <c r="D760" s="3" t="s">
        <v>226</v>
      </c>
      <c r="E760" s="4"/>
      <c r="F760" s="3" t="s">
        <v>120</v>
      </c>
      <c r="G760" s="9"/>
      <c r="H760" s="9">
        <v>5570</v>
      </c>
      <c r="I760" s="12"/>
      <c r="J760" s="5" t="e">
        <f>SUM(SUMIFS(#REF!,#REF!,Planning[[#This Row],[Tipo de Tarea y especialidad]],#REF!,Planning[[#This Row],[Proyectos Reiwa]]),SUMIFS(#REF!,#REF!,Planning[[#This Row],[Tipo de Tarea y especialidad]],#REF!,Planning[[#This Row],[Proyectos]]))</f>
        <v>#REF!</v>
      </c>
      <c r="K760" s="5" t="e">
        <f>Planning[[#This Row],[Horas Planificadas]]+Planning[[#This Row],[Horas ajustadas adicionales]]-Planning[[#This Row],[Horas utilizadas]]</f>
        <v>#REF!</v>
      </c>
      <c r="L760" s="7"/>
      <c r="M760" s="19" t="e">
        <f>Planning[[#This Row],[Saldo]]-Planning[[#This Row],[Saldo estimado]]</f>
        <v>#REF!</v>
      </c>
      <c r="N760" s="60" t="e">
        <f>+SUMIFS(#REF!,#REF!,Planning[[#This Row],[Proyectos]],#REF!,Planning[[#This Row],[Tipo de Tarea y especialidad]])</f>
        <v>#REF!</v>
      </c>
      <c r="O760" s="19">
        <f t="shared" si="22"/>
        <v>10</v>
      </c>
      <c r="P760" s="19">
        <f t="shared" si="23"/>
        <v>2024</v>
      </c>
      <c r="Q7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60" s="19" t="str">
        <f>TEXT(Planning[[#This Row],[Mes]]*29,"mmmm")</f>
        <v>October</v>
      </c>
      <c r="S7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60" s="193"/>
      <c r="U760" s="43" t="e">
        <f>IF(Planning[[#This Row],[Horas Planificadas]]&lt;&gt;0,+K760/Planning[[#This Row],[Horas Planificadas]],0)</f>
        <v>#REF!</v>
      </c>
      <c r="V760" s="43" t="e">
        <f>IF(Planning[[#This Row],[Horas Planificadas]]&lt;&gt;0,Planning[[#This Row],[Horas utilizadas]]/Planning[[#This Row],[Horas Planificadas]],0)</f>
        <v>#REF!</v>
      </c>
      <c r="W760" s="44">
        <f>Planning[[#This Row],[Horas Planificadas]]+Planning[[#This Row],[Horas ajustadas adicionales]]</f>
        <v>5570</v>
      </c>
      <c r="X760" s="142"/>
    </row>
    <row r="761" spans="1:24" ht="12.75" customHeight="1" x14ac:dyDescent="0.2">
      <c r="A761" s="7" t="s">
        <v>168</v>
      </c>
      <c r="B761" s="7" t="s">
        <v>118</v>
      </c>
      <c r="C761" s="3">
        <v>116870</v>
      </c>
      <c r="D761" s="3" t="s">
        <v>226</v>
      </c>
      <c r="E761" s="4"/>
      <c r="F761" s="3" t="s">
        <v>121</v>
      </c>
      <c r="G761" s="9"/>
      <c r="H761" s="9">
        <v>3022</v>
      </c>
      <c r="I761" s="12"/>
      <c r="J761" s="5" t="e">
        <f>SUM(SUMIFS(#REF!,#REF!,Planning[[#This Row],[Tipo de Tarea y especialidad]],#REF!,Planning[[#This Row],[Proyectos Reiwa]]),SUMIFS(#REF!,#REF!,Planning[[#This Row],[Tipo de Tarea y especialidad]],#REF!,Planning[[#This Row],[Proyectos]]))</f>
        <v>#REF!</v>
      </c>
      <c r="K761" s="5" t="e">
        <f>Planning[[#This Row],[Horas Planificadas]]+Planning[[#This Row],[Horas ajustadas adicionales]]-Planning[[#This Row],[Horas utilizadas]]</f>
        <v>#REF!</v>
      </c>
      <c r="L761" s="7">
        <v>90</v>
      </c>
      <c r="M761" s="19" t="e">
        <f>Planning[[#This Row],[Saldo]]-Planning[[#This Row],[Saldo estimado]]</f>
        <v>#REF!</v>
      </c>
      <c r="N761" s="60" t="e">
        <f>+SUMIFS(#REF!,#REF!,Planning[[#This Row],[Proyectos]],#REF!,Planning[[#This Row],[Tipo de Tarea y especialidad]])</f>
        <v>#REF!</v>
      </c>
      <c r="O761" s="19">
        <f t="shared" si="22"/>
        <v>10</v>
      </c>
      <c r="P761" s="19">
        <f t="shared" si="23"/>
        <v>2024</v>
      </c>
      <c r="Q7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61" s="19" t="str">
        <f>TEXT(Planning[[#This Row],[Mes]]*29,"mmmm")</f>
        <v>October</v>
      </c>
      <c r="S7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61" s="193"/>
      <c r="U761" s="43" t="e">
        <f>IF(Planning[[#This Row],[Horas Planificadas]]&lt;&gt;0,+K761/Planning[[#This Row],[Horas Planificadas]],0)</f>
        <v>#REF!</v>
      </c>
      <c r="V761" s="43" t="e">
        <f>IF(Planning[[#This Row],[Horas Planificadas]]&lt;&gt;0,Planning[[#This Row],[Horas utilizadas]]/Planning[[#This Row],[Horas Planificadas]],0)</f>
        <v>#REF!</v>
      </c>
      <c r="W761" s="44">
        <f>Planning[[#This Row],[Horas Planificadas]]+Planning[[#This Row],[Horas ajustadas adicionales]]</f>
        <v>3022</v>
      </c>
      <c r="X761" s="142"/>
    </row>
    <row r="762" spans="1:24" ht="12.75" customHeight="1" x14ac:dyDescent="0.2">
      <c r="A762" s="7" t="s">
        <v>168</v>
      </c>
      <c r="B762" s="7" t="s">
        <v>118</v>
      </c>
      <c r="C762" s="3">
        <v>116870</v>
      </c>
      <c r="D762" s="3" t="s">
        <v>226</v>
      </c>
      <c r="E762" s="4" t="s">
        <v>30</v>
      </c>
      <c r="F762" s="3"/>
      <c r="G762" s="9">
        <v>3598</v>
      </c>
      <c r="H762" s="14">
        <f>SUM(H763:H769)</f>
        <v>7724</v>
      </c>
      <c r="I762" s="14"/>
      <c r="J762" s="14" t="e">
        <f>SUM(J763:J769)</f>
        <v>#REF!</v>
      </c>
      <c r="K762" s="15" t="e">
        <f>SUM(K763:K769)</f>
        <v>#REF!</v>
      </c>
      <c r="L762" s="15">
        <f>SUM(L763:L769)</f>
        <v>264</v>
      </c>
      <c r="M762" s="16" t="e">
        <f>SUM(M763:M769)</f>
        <v>#REF!</v>
      </c>
      <c r="N762" s="60"/>
      <c r="O762" s="16">
        <f t="shared" si="22"/>
        <v>10</v>
      </c>
      <c r="P762" s="16">
        <f t="shared" si="23"/>
        <v>2024</v>
      </c>
      <c r="Q762" s="16" t="e">
        <f>SUM(Q763:Q769)</f>
        <v>#REF!</v>
      </c>
      <c r="R762" s="16" t="str">
        <f>TEXT(Planning[[#This Row],[Mes]]*29,"mmmm")</f>
        <v>October</v>
      </c>
      <c r="S7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62" s="193"/>
      <c r="U762" s="43" t="e">
        <f>IF(Planning[[#This Row],[Horas Planificadas]]&lt;&gt;0,+K762/Planning[[#This Row],[Horas Planificadas]],0)</f>
        <v>#REF!</v>
      </c>
      <c r="V762" s="43" t="e">
        <f>IF(Planning[[#This Row],[Horas Planificadas]]&lt;&gt;0,Planning[[#This Row],[Horas utilizadas]]/Planning[[#This Row],[Horas Planificadas]],0)</f>
        <v>#REF!</v>
      </c>
      <c r="W762" s="44">
        <f>Planning[[#This Row],[Horas Planificadas]]+Planning[[#This Row],[Horas ajustadas adicionales]]</f>
        <v>7724</v>
      </c>
      <c r="X762" s="142"/>
    </row>
    <row r="763" spans="1:24" ht="12.75" customHeight="1" x14ac:dyDescent="0.2">
      <c r="A763" s="7" t="s">
        <v>168</v>
      </c>
      <c r="B763" s="7" t="s">
        <v>118</v>
      </c>
      <c r="C763" s="3">
        <v>116870</v>
      </c>
      <c r="D763" s="3" t="s">
        <v>226</v>
      </c>
      <c r="E763" s="4"/>
      <c r="F763" s="3" t="s">
        <v>122</v>
      </c>
      <c r="G763" s="9"/>
      <c r="H763" s="9">
        <v>1325</v>
      </c>
      <c r="I763" s="12"/>
      <c r="J763" s="5" t="e">
        <f>SUM(SUMIFS(#REF!,#REF!,Planning[[#This Row],[Tipo de Tarea y especialidad]],#REF!,Planning[[#This Row],[Proyectos Reiwa]]),SUMIFS(#REF!,#REF!,Planning[[#This Row],[Tipo de Tarea y especialidad]],#REF!,Planning[[#This Row],[Proyectos]]))</f>
        <v>#REF!</v>
      </c>
      <c r="K763" s="5" t="e">
        <f>Planning[[#This Row],[Horas Planificadas]]+Planning[[#This Row],[Horas ajustadas adicionales]]-Planning[[#This Row],[Horas utilizadas]]</f>
        <v>#REF!</v>
      </c>
      <c r="L763" s="7">
        <v>108</v>
      </c>
      <c r="M763" s="19" t="e">
        <f>Planning[[#This Row],[Saldo]]-Planning[[#This Row],[Saldo estimado]]</f>
        <v>#REF!</v>
      </c>
      <c r="N763" s="60" t="e">
        <f>+SUMIFS(#REF!,#REF!,Planning[[#This Row],[Proyectos]],#REF!,Planning[[#This Row],[Tipo de Tarea y especialidad]])</f>
        <v>#REF!</v>
      </c>
      <c r="O763" s="19">
        <f t="shared" si="22"/>
        <v>10</v>
      </c>
      <c r="P763" s="19">
        <f t="shared" si="23"/>
        <v>2024</v>
      </c>
      <c r="Q7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63" s="19" t="str">
        <f>TEXT(Planning[[#This Row],[Mes]]*29,"mmmm")</f>
        <v>October</v>
      </c>
      <c r="S7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63" s="193"/>
      <c r="U763" s="43" t="e">
        <f>IF(Planning[[#This Row],[Horas Planificadas]]&lt;&gt;0,+K763/Planning[[#This Row],[Horas Planificadas]],0)</f>
        <v>#REF!</v>
      </c>
      <c r="V763" s="43" t="e">
        <f>IF(Planning[[#This Row],[Horas Planificadas]]&lt;&gt;0,Planning[[#This Row],[Horas utilizadas]]/Planning[[#This Row],[Horas Planificadas]],0)</f>
        <v>#REF!</v>
      </c>
      <c r="W763" s="44">
        <f>Planning[[#This Row],[Horas Planificadas]]+Planning[[#This Row],[Horas ajustadas adicionales]]</f>
        <v>1325</v>
      </c>
      <c r="X763" s="142"/>
    </row>
    <row r="764" spans="1:24" ht="12.75" customHeight="1" x14ac:dyDescent="0.2">
      <c r="A764" s="7" t="s">
        <v>168</v>
      </c>
      <c r="B764" s="7" t="s">
        <v>118</v>
      </c>
      <c r="C764" s="3">
        <v>116870</v>
      </c>
      <c r="D764" s="3" t="s">
        <v>226</v>
      </c>
      <c r="E764" s="4"/>
      <c r="F764" s="3" t="s">
        <v>123</v>
      </c>
      <c r="G764" s="9"/>
      <c r="H764" s="9">
        <v>1952</v>
      </c>
      <c r="I764" s="12"/>
      <c r="J764" s="5" t="e">
        <f>SUM(SUMIFS(#REF!,#REF!,Planning[[#This Row],[Tipo de Tarea y especialidad]],#REF!,Planning[[#This Row],[Proyectos Reiwa]]),SUMIFS(#REF!,#REF!,Planning[[#This Row],[Tipo de Tarea y especialidad]],#REF!,Planning[[#This Row],[Proyectos]]))</f>
        <v>#REF!</v>
      </c>
      <c r="K764" s="5" t="e">
        <f>Planning[[#This Row],[Horas Planificadas]]+Planning[[#This Row],[Horas ajustadas adicionales]]-Planning[[#This Row],[Horas utilizadas]]</f>
        <v>#REF!</v>
      </c>
      <c r="L764" s="7">
        <v>81</v>
      </c>
      <c r="M764" s="19" t="e">
        <f>Planning[[#This Row],[Saldo]]-Planning[[#This Row],[Saldo estimado]]</f>
        <v>#REF!</v>
      </c>
      <c r="N764" s="60" t="e">
        <f>+SUMIFS(#REF!,#REF!,Planning[[#This Row],[Proyectos]],#REF!,Planning[[#This Row],[Tipo de Tarea y especialidad]])</f>
        <v>#REF!</v>
      </c>
      <c r="O764" s="19">
        <f t="shared" si="22"/>
        <v>10</v>
      </c>
      <c r="P764" s="19">
        <f t="shared" si="23"/>
        <v>2024</v>
      </c>
      <c r="Q7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64" s="19" t="str">
        <f>TEXT(Planning[[#This Row],[Mes]]*29,"mmmm")</f>
        <v>October</v>
      </c>
      <c r="S7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64" s="193"/>
      <c r="U764" s="43" t="e">
        <f>IF(Planning[[#This Row],[Horas Planificadas]]&lt;&gt;0,+K764/Planning[[#This Row],[Horas Planificadas]],0)</f>
        <v>#REF!</v>
      </c>
      <c r="V764" s="43" t="e">
        <f>IF(Planning[[#This Row],[Horas Planificadas]]&lt;&gt;0,Planning[[#This Row],[Horas utilizadas]]/Planning[[#This Row],[Horas Planificadas]],0)</f>
        <v>#REF!</v>
      </c>
      <c r="W764" s="44">
        <f>Planning[[#This Row],[Horas Planificadas]]+Planning[[#This Row],[Horas ajustadas adicionales]]</f>
        <v>1952</v>
      </c>
      <c r="X764" s="142"/>
    </row>
    <row r="765" spans="1:24" ht="12.75" customHeight="1" x14ac:dyDescent="0.2">
      <c r="A765" s="7" t="s">
        <v>168</v>
      </c>
      <c r="B765" s="7" t="s">
        <v>118</v>
      </c>
      <c r="C765" s="3">
        <v>116870</v>
      </c>
      <c r="D765" s="3" t="s">
        <v>226</v>
      </c>
      <c r="E765" s="4"/>
      <c r="F765" s="3" t="s">
        <v>124</v>
      </c>
      <c r="G765" s="9"/>
      <c r="H765" s="9"/>
      <c r="I765" s="12"/>
      <c r="J765" s="5" t="e">
        <f>SUM(SUMIFS(#REF!,#REF!,Planning[[#This Row],[Tipo de Tarea y especialidad]],#REF!,Planning[[#This Row],[Proyectos Reiwa]]),SUMIFS(#REF!,#REF!,Planning[[#This Row],[Tipo de Tarea y especialidad]],#REF!,Planning[[#This Row],[Proyectos]]))</f>
        <v>#REF!</v>
      </c>
      <c r="K765" s="5" t="e">
        <f>Planning[[#This Row],[Horas Planificadas]]+Planning[[#This Row],[Horas ajustadas adicionales]]-Planning[[#This Row],[Horas utilizadas]]</f>
        <v>#REF!</v>
      </c>
      <c r="L765" s="7"/>
      <c r="M765" s="19" t="e">
        <f>Planning[[#This Row],[Saldo]]-Planning[[#This Row],[Saldo estimado]]</f>
        <v>#REF!</v>
      </c>
      <c r="N765" s="60" t="e">
        <f>+SUMIFS(#REF!,#REF!,Planning[[#This Row],[Proyectos]],#REF!,Planning[[#This Row],[Tipo de Tarea y especialidad]])</f>
        <v>#REF!</v>
      </c>
      <c r="O765" s="19">
        <f t="shared" si="22"/>
        <v>10</v>
      </c>
      <c r="P765" s="19">
        <f t="shared" si="23"/>
        <v>2024</v>
      </c>
      <c r="Q7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65" s="19" t="str">
        <f>TEXT(Planning[[#This Row],[Mes]]*29,"mmmm")</f>
        <v>October</v>
      </c>
      <c r="S7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65" s="193"/>
      <c r="U765" s="43">
        <f>IF(Planning[[#This Row],[Horas Planificadas]]&lt;&gt;0,+K765/Planning[[#This Row],[Horas Planificadas]],0)</f>
        <v>0</v>
      </c>
      <c r="V765" s="43">
        <f>IF(Planning[[#This Row],[Horas Planificadas]]&lt;&gt;0,Planning[[#This Row],[Horas utilizadas]]/Planning[[#This Row],[Horas Planificadas]],0)</f>
        <v>0</v>
      </c>
      <c r="W765" s="44">
        <f>Planning[[#This Row],[Horas Planificadas]]+Planning[[#This Row],[Horas ajustadas adicionales]]</f>
        <v>0</v>
      </c>
      <c r="X765" s="142"/>
    </row>
    <row r="766" spans="1:24" ht="12.75" customHeight="1" x14ac:dyDescent="0.2">
      <c r="A766" s="7" t="s">
        <v>168</v>
      </c>
      <c r="B766" s="7" t="s">
        <v>118</v>
      </c>
      <c r="C766" s="3">
        <v>116870</v>
      </c>
      <c r="D766" s="3" t="s">
        <v>226</v>
      </c>
      <c r="E766" s="4"/>
      <c r="F766" s="3" t="s">
        <v>125</v>
      </c>
      <c r="G766" s="9"/>
      <c r="H766" s="9">
        <v>1047</v>
      </c>
      <c r="I766" s="12"/>
      <c r="J766" s="5" t="e">
        <f>SUM(SUMIFS(#REF!,#REF!,Planning[[#This Row],[Tipo de Tarea y especialidad]],#REF!,Planning[[#This Row],[Proyectos Reiwa]]),SUMIFS(#REF!,#REF!,Planning[[#This Row],[Tipo de Tarea y especialidad]],#REF!,Planning[[#This Row],[Proyectos]]))</f>
        <v>#REF!</v>
      </c>
      <c r="K766" s="5" t="e">
        <f>Planning[[#This Row],[Horas Planificadas]]+Planning[[#This Row],[Horas ajustadas adicionales]]-Planning[[#This Row],[Horas utilizadas]]</f>
        <v>#REF!</v>
      </c>
      <c r="L766" s="7">
        <v>75</v>
      </c>
      <c r="M766" s="19" t="e">
        <f>Planning[[#This Row],[Saldo]]-Planning[[#This Row],[Saldo estimado]]</f>
        <v>#REF!</v>
      </c>
      <c r="N766" s="60" t="e">
        <f>+SUMIFS(#REF!,#REF!,Planning[[#This Row],[Proyectos]],#REF!,Planning[[#This Row],[Tipo de Tarea y especialidad]])</f>
        <v>#REF!</v>
      </c>
      <c r="O766" s="19">
        <f t="shared" si="22"/>
        <v>10</v>
      </c>
      <c r="P766" s="19">
        <f t="shared" si="23"/>
        <v>2024</v>
      </c>
      <c r="Q7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66" s="19" t="str">
        <f>TEXT(Planning[[#This Row],[Mes]]*29,"mmmm")</f>
        <v>October</v>
      </c>
      <c r="S7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66" s="193"/>
      <c r="U766" s="43" t="e">
        <f>IF(Planning[[#This Row],[Horas Planificadas]]&lt;&gt;0,+K766/Planning[[#This Row],[Horas Planificadas]],0)</f>
        <v>#REF!</v>
      </c>
      <c r="V766" s="43" t="e">
        <f>IF(Planning[[#This Row],[Horas Planificadas]]&lt;&gt;0,Planning[[#This Row],[Horas utilizadas]]/Planning[[#This Row],[Horas Planificadas]],0)</f>
        <v>#REF!</v>
      </c>
      <c r="W766" s="44">
        <f>Planning[[#This Row],[Horas Planificadas]]+Planning[[#This Row],[Horas ajustadas adicionales]]</f>
        <v>1047</v>
      </c>
      <c r="X766" s="142"/>
    </row>
    <row r="767" spans="1:24" ht="12.75" customHeight="1" x14ac:dyDescent="0.2">
      <c r="A767" s="7" t="s">
        <v>168</v>
      </c>
      <c r="B767" s="7" t="s">
        <v>118</v>
      </c>
      <c r="C767" s="3">
        <v>116870</v>
      </c>
      <c r="D767" s="3" t="s">
        <v>226</v>
      </c>
      <c r="E767" s="4"/>
      <c r="F767" s="3" t="s">
        <v>126</v>
      </c>
      <c r="G767" s="9"/>
      <c r="H767" s="9">
        <v>2100</v>
      </c>
      <c r="I767" s="12"/>
      <c r="J767" s="5" t="e">
        <f>SUM(SUMIFS(#REF!,#REF!,Planning[[#This Row],[Tipo de Tarea y especialidad]],#REF!,Planning[[#This Row],[Proyectos Reiwa]]),SUMIFS(#REF!,#REF!,Planning[[#This Row],[Tipo de Tarea y especialidad]],#REF!,Planning[[#This Row],[Proyectos]]))</f>
        <v>#REF!</v>
      </c>
      <c r="K767" s="5" t="e">
        <f>Planning[[#This Row],[Horas Planificadas]]+Planning[[#This Row],[Horas ajustadas adicionales]]-Planning[[#This Row],[Horas utilizadas]]</f>
        <v>#REF!</v>
      </c>
      <c r="L767" s="7"/>
      <c r="M767" s="19" t="e">
        <f>Planning[[#This Row],[Saldo]]-Planning[[#This Row],[Saldo estimado]]</f>
        <v>#REF!</v>
      </c>
      <c r="N767" s="60" t="e">
        <f>+SUMIFS(#REF!,#REF!,Planning[[#This Row],[Proyectos]],#REF!,Planning[[#This Row],[Tipo de Tarea y especialidad]])</f>
        <v>#REF!</v>
      </c>
      <c r="O767" s="19">
        <f t="shared" si="22"/>
        <v>10</v>
      </c>
      <c r="P767" s="19">
        <f t="shared" si="23"/>
        <v>2024</v>
      </c>
      <c r="Q7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67" s="19" t="str">
        <f>TEXT(Planning[[#This Row],[Mes]]*29,"mmmm")</f>
        <v>October</v>
      </c>
      <c r="S7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67" s="193"/>
      <c r="U767" s="43" t="e">
        <f>IF(Planning[[#This Row],[Horas Planificadas]]&lt;&gt;0,+K767/Planning[[#This Row],[Horas Planificadas]],0)</f>
        <v>#REF!</v>
      </c>
      <c r="V767" s="43" t="e">
        <f>IF(Planning[[#This Row],[Horas Planificadas]]&lt;&gt;0,Planning[[#This Row],[Horas utilizadas]]/Planning[[#This Row],[Horas Planificadas]],0)</f>
        <v>#REF!</v>
      </c>
      <c r="W767" s="44">
        <f>Planning[[#This Row],[Horas Planificadas]]+Planning[[#This Row],[Horas ajustadas adicionales]]</f>
        <v>2100</v>
      </c>
      <c r="X767" s="142"/>
    </row>
    <row r="768" spans="1:24" ht="12.75" customHeight="1" x14ac:dyDescent="0.2">
      <c r="A768" s="7" t="s">
        <v>168</v>
      </c>
      <c r="B768" s="7" t="s">
        <v>118</v>
      </c>
      <c r="C768" s="3">
        <v>116870</v>
      </c>
      <c r="D768" s="3" t="s">
        <v>226</v>
      </c>
      <c r="E768" s="4"/>
      <c r="F768" s="3" t="s">
        <v>127</v>
      </c>
      <c r="G768" s="9"/>
      <c r="H768" s="9">
        <v>1300</v>
      </c>
      <c r="I768" s="12"/>
      <c r="J768" s="5" t="e">
        <f>SUM(SUMIFS(#REF!,#REF!,Planning[[#This Row],[Tipo de Tarea y especialidad]],#REF!,Planning[[#This Row],[Proyectos Reiwa]]),SUMIFS(#REF!,#REF!,Planning[[#This Row],[Tipo de Tarea y especialidad]],#REF!,Planning[[#This Row],[Proyectos]]))</f>
        <v>#REF!</v>
      </c>
      <c r="K768" s="5" t="e">
        <f>Planning[[#This Row],[Horas Planificadas]]+Planning[[#This Row],[Horas ajustadas adicionales]]-Planning[[#This Row],[Horas utilizadas]]</f>
        <v>#REF!</v>
      </c>
      <c r="L768" s="7"/>
      <c r="M768" s="19" t="e">
        <f>Planning[[#This Row],[Saldo]]-Planning[[#This Row],[Saldo estimado]]</f>
        <v>#REF!</v>
      </c>
      <c r="N768" s="60" t="e">
        <f>+SUMIFS(#REF!,#REF!,Planning[[#This Row],[Proyectos]],#REF!,Planning[[#This Row],[Tipo de Tarea y especialidad]])</f>
        <v>#REF!</v>
      </c>
      <c r="O768" s="19">
        <f t="shared" si="22"/>
        <v>10</v>
      </c>
      <c r="P768" s="19">
        <f t="shared" si="23"/>
        <v>2024</v>
      </c>
      <c r="Q7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68" s="19" t="str">
        <f>TEXT(Planning[[#This Row],[Mes]]*29,"mmmm")</f>
        <v>October</v>
      </c>
      <c r="S7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68" s="193"/>
      <c r="U768" s="43" t="e">
        <f>IF(Planning[[#This Row],[Horas Planificadas]]&lt;&gt;0,+K768/Planning[[#This Row],[Horas Planificadas]],0)</f>
        <v>#REF!</v>
      </c>
      <c r="V768" s="43" t="e">
        <f>IF(Planning[[#This Row],[Horas Planificadas]]&lt;&gt;0,Planning[[#This Row],[Horas utilizadas]]/Planning[[#This Row],[Horas Planificadas]],0)</f>
        <v>#REF!</v>
      </c>
      <c r="W768" s="44">
        <f>Planning[[#This Row],[Horas Planificadas]]+Planning[[#This Row],[Horas ajustadas adicionales]]</f>
        <v>1300</v>
      </c>
      <c r="X768" s="142"/>
    </row>
    <row r="769" spans="1:24" ht="12.75" customHeight="1" x14ac:dyDescent="0.2">
      <c r="A769" s="7" t="s">
        <v>168</v>
      </c>
      <c r="B769" s="7" t="s">
        <v>118</v>
      </c>
      <c r="C769" s="3">
        <v>116870</v>
      </c>
      <c r="D769" s="3" t="s">
        <v>226</v>
      </c>
      <c r="E769" s="4"/>
      <c r="F769" s="3" t="s">
        <v>128</v>
      </c>
      <c r="G769" s="9"/>
      <c r="H769" s="9"/>
      <c r="I769" s="12"/>
      <c r="J769" s="5" t="e">
        <f>SUM(SUMIFS(#REF!,#REF!,Planning[[#This Row],[Tipo de Tarea y especialidad]],#REF!,Planning[[#This Row],[Proyectos Reiwa]]),SUMIFS(#REF!,#REF!,Planning[[#This Row],[Tipo de Tarea y especialidad]],#REF!,Planning[[#This Row],[Proyectos]]))</f>
        <v>#REF!</v>
      </c>
      <c r="K769" s="5" t="e">
        <f>Planning[[#This Row],[Horas Planificadas]]+Planning[[#This Row],[Horas ajustadas adicionales]]-Planning[[#This Row],[Horas utilizadas]]</f>
        <v>#REF!</v>
      </c>
      <c r="L769" s="7"/>
      <c r="M769" s="19" t="e">
        <f>Planning[[#This Row],[Saldo]]-Planning[[#This Row],[Saldo estimado]]</f>
        <v>#REF!</v>
      </c>
      <c r="N769" s="60" t="e">
        <f>+SUMIFS(#REF!,#REF!,Planning[[#This Row],[Proyectos]],#REF!,Planning[[#This Row],[Tipo de Tarea y especialidad]])</f>
        <v>#REF!</v>
      </c>
      <c r="O769" s="19">
        <f t="shared" si="22"/>
        <v>10</v>
      </c>
      <c r="P769" s="19">
        <f t="shared" si="23"/>
        <v>2024</v>
      </c>
      <c r="Q7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69" s="19" t="str">
        <f>TEXT(Planning[[#This Row],[Mes]]*29,"mmmm")</f>
        <v>October</v>
      </c>
      <c r="S7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69" s="193"/>
      <c r="U769" s="43">
        <f>IF(Planning[[#This Row],[Horas Planificadas]]&lt;&gt;0,+K769/Planning[[#This Row],[Horas Planificadas]],0)</f>
        <v>0</v>
      </c>
      <c r="V769" s="43">
        <f>IF(Planning[[#This Row],[Horas Planificadas]]&lt;&gt;0,Planning[[#This Row],[Horas utilizadas]]/Planning[[#This Row],[Horas Planificadas]],0)</f>
        <v>0</v>
      </c>
      <c r="W769" s="44">
        <f>Planning[[#This Row],[Horas Planificadas]]+Planning[[#This Row],[Horas ajustadas adicionales]]</f>
        <v>0</v>
      </c>
      <c r="X769" s="142"/>
    </row>
    <row r="770" spans="1:24" ht="12.75" customHeight="1" x14ac:dyDescent="0.2">
      <c r="A770" s="7" t="s">
        <v>168</v>
      </c>
      <c r="B770" s="7" t="s">
        <v>118</v>
      </c>
      <c r="C770" s="3">
        <v>116870</v>
      </c>
      <c r="D770" s="3" t="s">
        <v>226</v>
      </c>
      <c r="E770" s="4" t="s">
        <v>31</v>
      </c>
      <c r="F770" s="3" t="s">
        <v>31</v>
      </c>
      <c r="G770" s="9">
        <v>832</v>
      </c>
      <c r="H770" s="17">
        <v>832</v>
      </c>
      <c r="I770" s="18"/>
      <c r="J770" s="14" t="e">
        <f>+SUMIFS(#REF!,#REF!,Planning[[#This Row],[Tarifa]],#REF!,Planning[[#This Row],[Proyectos]])</f>
        <v>#REF!</v>
      </c>
      <c r="K770" s="14" t="e">
        <f>Planning[[#This Row],[Horas Planificadas]]+Planning[[#This Row],[Horas ajustadas adicionales]]-Planning[[#This Row],[Horas utilizadas]]</f>
        <v>#REF!</v>
      </c>
      <c r="L770" s="15">
        <v>0</v>
      </c>
      <c r="M770" s="16" t="e">
        <f>Planning[[#This Row],[Saldo]]-Planning[[#This Row],[Saldo estimado]]</f>
        <v>#REF!</v>
      </c>
      <c r="N770" s="60"/>
      <c r="O770" s="16">
        <f t="shared" si="22"/>
        <v>10</v>
      </c>
      <c r="P770" s="16">
        <f t="shared" si="23"/>
        <v>2024</v>
      </c>
      <c r="Q770" s="16" t="e">
        <f>+SUMIFS(#REF!,#REF!,Planning[[#This Row],[Tarifa]],#REF!,Planning[[#This Row],[Proyectos]],#REF!,Planning[[#This Row],[Mes]],#REF!,Planning[[#This Row],[Año]])</f>
        <v>#REF!</v>
      </c>
      <c r="R770" s="16" t="str">
        <f>TEXT(Planning[[#This Row],[Mes]]*29,"mmmm")</f>
        <v>October</v>
      </c>
      <c r="S7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70" s="193"/>
      <c r="U770" s="43" t="e">
        <f>IF(Planning[[#This Row],[Horas Planificadas]]&lt;&gt;0,+K770/Planning[[#This Row],[Horas Planificadas]],0)</f>
        <v>#REF!</v>
      </c>
      <c r="V770" s="43" t="e">
        <f>IF(Planning[[#This Row],[Horas Planificadas]]&lt;&gt;0,Planning[[#This Row],[Horas utilizadas]]/Planning[[#This Row],[Horas Planificadas]],0)</f>
        <v>#REF!</v>
      </c>
      <c r="W770" s="44">
        <f>Planning[[#This Row],[Horas Planificadas]]+Planning[[#This Row],[Horas ajustadas adicionales]]</f>
        <v>832</v>
      </c>
      <c r="X770" s="142"/>
    </row>
    <row r="771" spans="1:24" ht="12.75" customHeight="1" x14ac:dyDescent="0.2">
      <c r="A771" s="7" t="s">
        <v>168</v>
      </c>
      <c r="B771" s="7" t="s">
        <v>118</v>
      </c>
      <c r="C771" s="3">
        <v>116870</v>
      </c>
      <c r="D771" s="3" t="s">
        <v>226</v>
      </c>
      <c r="E771" s="4" t="s">
        <v>32</v>
      </c>
      <c r="F771" s="3"/>
      <c r="G771" s="9">
        <v>1826</v>
      </c>
      <c r="H771" s="14">
        <f>SUM(H772:H774)</f>
        <v>2150</v>
      </c>
      <c r="I771" s="14"/>
      <c r="J771" s="14" t="e">
        <f>SUM(J772:J774)</f>
        <v>#REF!</v>
      </c>
      <c r="K771" s="15" t="e">
        <f>SUM(K772:K774)</f>
        <v>#REF!</v>
      </c>
      <c r="L771" s="15">
        <f>SUM(L772:L774)</f>
        <v>1746</v>
      </c>
      <c r="M771" s="16" t="e">
        <f>SUM(M772:M774)</f>
        <v>#REF!</v>
      </c>
      <c r="N771" s="60"/>
      <c r="O771" s="16">
        <f t="shared" si="22"/>
        <v>10</v>
      </c>
      <c r="P771" s="16">
        <f t="shared" si="23"/>
        <v>2024</v>
      </c>
      <c r="Q771" s="16" t="e">
        <f>SUM(Q772:Q774)</f>
        <v>#REF!</v>
      </c>
      <c r="R771" s="16" t="str">
        <f>TEXT(Planning[[#This Row],[Mes]]*29,"mmmm")</f>
        <v>October</v>
      </c>
      <c r="S7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71" s="193"/>
      <c r="U771" s="43" t="e">
        <f>IF(Planning[[#This Row],[Horas Planificadas]]&lt;&gt;0,+K771/Planning[[#This Row],[Horas Planificadas]],0)</f>
        <v>#REF!</v>
      </c>
      <c r="V771" s="43" t="e">
        <f>IF(Planning[[#This Row],[Horas Planificadas]]&lt;&gt;0,Planning[[#This Row],[Horas utilizadas]]/Planning[[#This Row],[Horas Planificadas]],0)</f>
        <v>#REF!</v>
      </c>
      <c r="W771" s="44">
        <f>Planning[[#This Row],[Horas Planificadas]]+Planning[[#This Row],[Horas ajustadas adicionales]]</f>
        <v>2150</v>
      </c>
      <c r="X771" s="142"/>
    </row>
    <row r="772" spans="1:24" ht="12.75" customHeight="1" x14ac:dyDescent="0.2">
      <c r="A772" s="7" t="s">
        <v>168</v>
      </c>
      <c r="B772" s="7" t="s">
        <v>118</v>
      </c>
      <c r="C772" s="3">
        <v>116870</v>
      </c>
      <c r="D772" s="3" t="s">
        <v>226</v>
      </c>
      <c r="E772" s="4"/>
      <c r="F772" s="3" t="s">
        <v>129</v>
      </c>
      <c r="G772" s="9"/>
      <c r="H772" s="9">
        <v>1125</v>
      </c>
      <c r="I772" s="12"/>
      <c r="J772" s="5" t="e">
        <f>SUM(SUMIFS(#REF!,#REF!,Planning[[#This Row],[Tipo de Tarea y especialidad]],#REF!,Planning[[#This Row],[Proyectos Reiwa]]),SUMIFS(#REF!,#REF!,Planning[[#This Row],[Tipo de Tarea y especialidad]],#REF!,Planning[[#This Row],[Proyectos]]))</f>
        <v>#REF!</v>
      </c>
      <c r="K772" s="5" t="e">
        <f>Planning[[#This Row],[Horas Planificadas]]+Planning[[#This Row],[Horas ajustadas adicionales]]-Planning[[#This Row],[Horas utilizadas]]</f>
        <v>#REF!</v>
      </c>
      <c r="L772" s="7">
        <v>793</v>
      </c>
      <c r="M772" s="19" t="e">
        <f>Planning[[#This Row],[Saldo]]-Planning[[#This Row],[Saldo estimado]]</f>
        <v>#REF!</v>
      </c>
      <c r="N772" s="60" t="e">
        <f>+SUMIFS(#REF!,#REF!,Planning[[#This Row],[Proyectos]],#REF!,Planning[[#This Row],[Tipo de Tarea y especialidad]])</f>
        <v>#REF!</v>
      </c>
      <c r="O772" s="19">
        <f t="shared" si="22"/>
        <v>10</v>
      </c>
      <c r="P772" s="19">
        <f t="shared" si="23"/>
        <v>2024</v>
      </c>
      <c r="Q7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72" s="19" t="str">
        <f>TEXT(Planning[[#This Row],[Mes]]*29,"mmmm")</f>
        <v>October</v>
      </c>
      <c r="S7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72" s="193"/>
      <c r="U772" s="43" t="e">
        <f>IF(Planning[[#This Row],[Horas Planificadas]]&lt;&gt;0,+K772/Planning[[#This Row],[Horas Planificadas]],0)</f>
        <v>#REF!</v>
      </c>
      <c r="V772" s="43" t="e">
        <f>IF(Planning[[#This Row],[Horas Planificadas]]&lt;&gt;0,Planning[[#This Row],[Horas utilizadas]]/Planning[[#This Row],[Horas Planificadas]],0)</f>
        <v>#REF!</v>
      </c>
      <c r="W772" s="44">
        <f>Planning[[#This Row],[Horas Planificadas]]+Planning[[#This Row],[Horas ajustadas adicionales]]</f>
        <v>1125</v>
      </c>
      <c r="X772" s="142"/>
    </row>
    <row r="773" spans="1:24" ht="12.75" customHeight="1" x14ac:dyDescent="0.2">
      <c r="A773" s="7" t="s">
        <v>168</v>
      </c>
      <c r="B773" s="7" t="s">
        <v>118</v>
      </c>
      <c r="C773" s="3">
        <v>116870</v>
      </c>
      <c r="D773" s="3" t="s">
        <v>226</v>
      </c>
      <c r="E773" s="4"/>
      <c r="F773" s="3" t="s">
        <v>130</v>
      </c>
      <c r="G773" s="9"/>
      <c r="H773" s="9">
        <v>1025</v>
      </c>
      <c r="I773" s="12"/>
      <c r="J773" s="5" t="e">
        <f>SUM(SUMIFS(#REF!,#REF!,Planning[[#This Row],[Tipo de Tarea y especialidad]],#REF!,Planning[[#This Row],[Proyectos Reiwa]]),SUMIFS(#REF!,#REF!,Planning[[#This Row],[Tipo de Tarea y especialidad]],#REF!,Planning[[#This Row],[Proyectos]]))</f>
        <v>#REF!</v>
      </c>
      <c r="K773" s="5" t="e">
        <f>Planning[[#This Row],[Horas Planificadas]]+Planning[[#This Row],[Horas ajustadas adicionales]]-Planning[[#This Row],[Horas utilizadas]]</f>
        <v>#REF!</v>
      </c>
      <c r="L773" s="7">
        <v>953</v>
      </c>
      <c r="M773" s="19" t="e">
        <f>Planning[[#This Row],[Saldo]]-Planning[[#This Row],[Saldo estimado]]</f>
        <v>#REF!</v>
      </c>
      <c r="N773" s="60" t="e">
        <f>+SUMIFS(#REF!,#REF!,Planning[[#This Row],[Proyectos]],#REF!,Planning[[#This Row],[Tipo de Tarea y especialidad]])</f>
        <v>#REF!</v>
      </c>
      <c r="O773" s="19">
        <f t="shared" si="22"/>
        <v>10</v>
      </c>
      <c r="P773" s="19">
        <f t="shared" si="23"/>
        <v>2024</v>
      </c>
      <c r="Q7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73" s="19" t="str">
        <f>TEXT(Planning[[#This Row],[Mes]]*29,"mmmm")</f>
        <v>October</v>
      </c>
      <c r="S7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73" s="193"/>
      <c r="U773" s="43" t="e">
        <f>IF(Planning[[#This Row],[Horas Planificadas]]&lt;&gt;0,+K773/Planning[[#This Row],[Horas Planificadas]],0)</f>
        <v>#REF!</v>
      </c>
      <c r="V773" s="43" t="e">
        <f>IF(Planning[[#This Row],[Horas Planificadas]]&lt;&gt;0,Planning[[#This Row],[Horas utilizadas]]/Planning[[#This Row],[Horas Planificadas]],0)</f>
        <v>#REF!</v>
      </c>
      <c r="W773" s="44">
        <f>Planning[[#This Row],[Horas Planificadas]]+Planning[[#This Row],[Horas ajustadas adicionales]]</f>
        <v>1025</v>
      </c>
      <c r="X773" s="142"/>
    </row>
    <row r="774" spans="1:24" ht="12.75" customHeight="1" x14ac:dyDescent="0.2">
      <c r="A774" s="7" t="s">
        <v>168</v>
      </c>
      <c r="B774" s="7" t="s">
        <v>118</v>
      </c>
      <c r="C774" s="3">
        <v>116870</v>
      </c>
      <c r="D774" s="3" t="s">
        <v>226</v>
      </c>
      <c r="E774" s="4"/>
      <c r="F774" s="3" t="s">
        <v>131</v>
      </c>
      <c r="G774" s="9"/>
      <c r="H774" s="9"/>
      <c r="I774" s="12"/>
      <c r="J774" s="5" t="e">
        <f>SUM(SUMIFS(#REF!,#REF!,Planning[[#This Row],[Tipo de Tarea y especialidad]],#REF!,Planning[[#This Row],[Proyectos Reiwa]]),SUMIFS(#REF!,#REF!,Planning[[#This Row],[Tipo de Tarea y especialidad]],#REF!,Planning[[#This Row],[Proyectos]]))</f>
        <v>#REF!</v>
      </c>
      <c r="K774" s="5" t="e">
        <f>Planning[[#This Row],[Horas Planificadas]]+Planning[[#This Row],[Horas ajustadas adicionales]]-Planning[[#This Row],[Horas utilizadas]]</f>
        <v>#REF!</v>
      </c>
      <c r="L774" s="7"/>
      <c r="M774" s="19" t="e">
        <f>Planning[[#This Row],[Saldo]]-Planning[[#This Row],[Saldo estimado]]</f>
        <v>#REF!</v>
      </c>
      <c r="N774" s="60" t="e">
        <f>+SUMIFS(#REF!,#REF!,Planning[[#This Row],[Proyectos]],#REF!,Planning[[#This Row],[Tipo de Tarea y especialidad]])</f>
        <v>#REF!</v>
      </c>
      <c r="O774" s="19">
        <f t="shared" si="22"/>
        <v>10</v>
      </c>
      <c r="P774" s="19">
        <f t="shared" si="23"/>
        <v>2024</v>
      </c>
      <c r="Q7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74" s="19" t="str">
        <f>TEXT(Planning[[#This Row],[Mes]]*29,"mmmm")</f>
        <v>October</v>
      </c>
      <c r="S7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74" s="193"/>
      <c r="U774" s="43">
        <f>IF(Planning[[#This Row],[Horas Planificadas]]&lt;&gt;0,+K774/Planning[[#This Row],[Horas Planificadas]],0)</f>
        <v>0</v>
      </c>
      <c r="V774" s="43">
        <f>IF(Planning[[#This Row],[Horas Planificadas]]&lt;&gt;0,Planning[[#This Row],[Horas utilizadas]]/Planning[[#This Row],[Horas Planificadas]],0)</f>
        <v>0</v>
      </c>
      <c r="W774" s="44">
        <f>Planning[[#This Row],[Horas Planificadas]]+Planning[[#This Row],[Horas ajustadas adicionales]]</f>
        <v>0</v>
      </c>
      <c r="X774" s="142"/>
    </row>
    <row r="775" spans="1:24" ht="12.75" customHeight="1" x14ac:dyDescent="0.2">
      <c r="A775" s="7" t="s">
        <v>168</v>
      </c>
      <c r="B775" s="7" t="s">
        <v>205</v>
      </c>
      <c r="C775" s="3"/>
      <c r="D775" s="3" t="s">
        <v>228</v>
      </c>
      <c r="E775" s="33" t="s">
        <v>28</v>
      </c>
      <c r="F775" s="3"/>
      <c r="G775" s="7">
        <v>420</v>
      </c>
      <c r="H775" s="24">
        <f>SUM(H776:H777)</f>
        <v>537</v>
      </c>
      <c r="I775" s="14"/>
      <c r="J775" s="14" t="e">
        <f>SUM(J776:J777)</f>
        <v>#REF!</v>
      </c>
      <c r="K775" s="18" t="e">
        <f>SUM(K776:K777)</f>
        <v>#REF!</v>
      </c>
      <c r="L775" s="15">
        <f>SUM(L776:L777)</f>
        <v>0</v>
      </c>
      <c r="M775" s="28" t="e">
        <f>SUM(M776:M777)</f>
        <v>#REF!</v>
      </c>
      <c r="N775" s="61"/>
      <c r="O775" s="28">
        <f t="shared" ref="O775:O838" si="24">$L$4</f>
        <v>10</v>
      </c>
      <c r="P775" s="28">
        <f t="shared" ref="P775:P838" si="25">$M$4</f>
        <v>2024</v>
      </c>
      <c r="Q775" s="28" t="e">
        <f>SUM(Q776:Q777)</f>
        <v>#REF!</v>
      </c>
      <c r="R775" s="28" t="str">
        <f>TEXT(Planning[[#This Row],[Mes]]*29,"mmmm")</f>
        <v>October</v>
      </c>
      <c r="S7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75" s="215" t="s">
        <v>229</v>
      </c>
      <c r="U775" s="43" t="e">
        <f>IF(Planning[[#This Row],[Horas Planificadas]]&lt;&gt;0,+K775/Planning[[#This Row],[Horas Planificadas]],0)</f>
        <v>#REF!</v>
      </c>
      <c r="V775" s="43" t="e">
        <f>IF(Planning[[#This Row],[Horas Planificadas]]&lt;&gt;0,Planning[[#This Row],[Horas utilizadas]]/Planning[[#This Row],[Horas Planificadas]],0)</f>
        <v>#REF!</v>
      </c>
      <c r="W775" s="44">
        <f>Planning[[#This Row],[Horas Planificadas]]+Planning[[#This Row],[Horas ajustadas adicionales]]</f>
        <v>537</v>
      </c>
      <c r="X775" s="142"/>
    </row>
    <row r="776" spans="1:24" ht="12.75" customHeight="1" x14ac:dyDescent="0.2">
      <c r="A776" s="7" t="s">
        <v>168</v>
      </c>
      <c r="B776" s="7" t="s">
        <v>205</v>
      </c>
      <c r="C776" s="3"/>
      <c r="D776" s="3" t="s">
        <v>228</v>
      </c>
      <c r="E776" s="33"/>
      <c r="F776" s="3" t="s">
        <v>120</v>
      </c>
      <c r="G776" s="7"/>
      <c r="H776" s="7">
        <v>420</v>
      </c>
      <c r="I776" s="12"/>
      <c r="J776" s="5" t="e">
        <f>SUM(SUMIFS(#REF!,#REF!,Planning[[#This Row],[Tipo de Tarea y especialidad]],#REF!,Planning[[#This Row],[Proyectos Reiwa]]),SUMIFS(#REF!,#REF!,Planning[[#This Row],[Tipo de Tarea y especialidad]],#REF!,Planning[[#This Row],[Proyectos]]))</f>
        <v>#REF!</v>
      </c>
      <c r="K776" s="5" t="e">
        <f>Planning[[#This Row],[Horas Planificadas]]+Planning[[#This Row],[Horas ajustadas adicionales]]-Planning[[#This Row],[Horas utilizadas]]</f>
        <v>#REF!</v>
      </c>
      <c r="L776" s="7">
        <v>0</v>
      </c>
      <c r="M776" s="19" t="e">
        <f>Planning[[#This Row],[Saldo]]-Planning[[#This Row],[Saldo estimado]]</f>
        <v>#REF!</v>
      </c>
      <c r="N776" s="60" t="e">
        <f>+SUMIFS(#REF!,#REF!,Planning[[#This Row],[Proyectos]],#REF!,Planning[[#This Row],[Tipo de Tarea y especialidad]])</f>
        <v>#REF!</v>
      </c>
      <c r="O776" s="19">
        <f t="shared" si="24"/>
        <v>10</v>
      </c>
      <c r="P776" s="19">
        <f t="shared" si="25"/>
        <v>2024</v>
      </c>
      <c r="Q7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76" s="19" t="str">
        <f>TEXT(Planning[[#This Row],[Mes]]*29,"mmmm")</f>
        <v>October</v>
      </c>
      <c r="S7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76" s="193"/>
      <c r="U776" s="43" t="e">
        <f>IF(Planning[[#This Row],[Horas Planificadas]]&lt;&gt;0,+K776/Planning[[#This Row],[Horas Planificadas]],0)</f>
        <v>#REF!</v>
      </c>
      <c r="V776" s="43" t="e">
        <f>IF(Planning[[#This Row],[Horas Planificadas]]&lt;&gt;0,Planning[[#This Row],[Horas utilizadas]]/Planning[[#This Row],[Horas Planificadas]],0)</f>
        <v>#REF!</v>
      </c>
      <c r="W776" s="44">
        <f>Planning[[#This Row],[Horas Planificadas]]+Planning[[#This Row],[Horas ajustadas adicionales]]</f>
        <v>420</v>
      </c>
      <c r="X776" s="142"/>
    </row>
    <row r="777" spans="1:24" ht="12.75" customHeight="1" x14ac:dyDescent="0.2">
      <c r="A777" s="7" t="s">
        <v>168</v>
      </c>
      <c r="B777" s="7" t="s">
        <v>205</v>
      </c>
      <c r="C777" s="3"/>
      <c r="D777" s="3" t="s">
        <v>228</v>
      </c>
      <c r="E777" s="33"/>
      <c r="F777" s="3" t="s">
        <v>121</v>
      </c>
      <c r="G777" s="7"/>
      <c r="H777" s="7">
        <v>117</v>
      </c>
      <c r="I777" s="12"/>
      <c r="J777" s="5" t="e">
        <f>SUM(SUMIFS(#REF!,#REF!,Planning[[#This Row],[Tipo de Tarea y especialidad]],#REF!,Planning[[#This Row],[Proyectos Reiwa]]),SUMIFS(#REF!,#REF!,Planning[[#This Row],[Tipo de Tarea y especialidad]],#REF!,Planning[[#This Row],[Proyectos]]))</f>
        <v>#REF!</v>
      </c>
      <c r="K777" s="5" t="e">
        <f>Planning[[#This Row],[Horas Planificadas]]+Planning[[#This Row],[Horas ajustadas adicionales]]-Planning[[#This Row],[Horas utilizadas]]</f>
        <v>#REF!</v>
      </c>
      <c r="L777" s="7">
        <v>0</v>
      </c>
      <c r="M777" s="19" t="e">
        <f>Planning[[#This Row],[Saldo]]-Planning[[#This Row],[Saldo estimado]]</f>
        <v>#REF!</v>
      </c>
      <c r="N777" s="60" t="e">
        <f>+SUMIFS(#REF!,#REF!,Planning[[#This Row],[Proyectos]],#REF!,Planning[[#This Row],[Tipo de Tarea y especialidad]])</f>
        <v>#REF!</v>
      </c>
      <c r="O777" s="19">
        <f t="shared" si="24"/>
        <v>10</v>
      </c>
      <c r="P777" s="19">
        <f t="shared" si="25"/>
        <v>2024</v>
      </c>
      <c r="Q7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77" s="19" t="str">
        <f>TEXT(Planning[[#This Row],[Mes]]*29,"mmmm")</f>
        <v>October</v>
      </c>
      <c r="S7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77" s="193"/>
      <c r="U777" s="43" t="e">
        <f>IF(Planning[[#This Row],[Horas Planificadas]]&lt;&gt;0,+K777/Planning[[#This Row],[Horas Planificadas]],0)</f>
        <v>#REF!</v>
      </c>
      <c r="V777" s="43" t="e">
        <f>IF(Planning[[#This Row],[Horas Planificadas]]&lt;&gt;0,Planning[[#This Row],[Horas utilizadas]]/Planning[[#This Row],[Horas Planificadas]],0)</f>
        <v>#REF!</v>
      </c>
      <c r="W777" s="44">
        <f>Planning[[#This Row],[Horas Planificadas]]+Planning[[#This Row],[Horas ajustadas adicionales]]</f>
        <v>117</v>
      </c>
      <c r="X777" s="142"/>
    </row>
    <row r="778" spans="1:24" ht="12.75" customHeight="1" x14ac:dyDescent="0.2">
      <c r="A778" s="7" t="s">
        <v>168</v>
      </c>
      <c r="B778" s="7" t="s">
        <v>205</v>
      </c>
      <c r="C778" s="3"/>
      <c r="D778" s="3" t="s">
        <v>228</v>
      </c>
      <c r="E778" s="33" t="s">
        <v>30</v>
      </c>
      <c r="F778" s="3"/>
      <c r="G778" s="7">
        <v>504</v>
      </c>
      <c r="H778" s="24">
        <f>SUM(H779:H785)</f>
        <v>441</v>
      </c>
      <c r="I778" s="14"/>
      <c r="J778" s="14" t="e">
        <f>SUM(J779:J785)</f>
        <v>#REF!</v>
      </c>
      <c r="K778" s="18" t="e">
        <f>SUM(K779:K785)</f>
        <v>#REF!</v>
      </c>
      <c r="L778" s="15">
        <f>SUM(L779:L785)</f>
        <v>0</v>
      </c>
      <c r="M778" s="16" t="e">
        <f>SUM(M779:M785)</f>
        <v>#REF!</v>
      </c>
      <c r="N778" s="60"/>
      <c r="O778" s="16">
        <f t="shared" si="24"/>
        <v>10</v>
      </c>
      <c r="P778" s="16">
        <f t="shared" si="25"/>
        <v>2024</v>
      </c>
      <c r="Q778" s="16" t="e">
        <f>SUM(Q779:Q785)</f>
        <v>#REF!</v>
      </c>
      <c r="R778" s="16" t="str">
        <f>TEXT(Planning[[#This Row],[Mes]]*29,"mmmm")</f>
        <v>October</v>
      </c>
      <c r="S7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78" s="193"/>
      <c r="U778" s="43" t="e">
        <f>IF(Planning[[#This Row],[Horas Planificadas]]&lt;&gt;0,+K778/Planning[[#This Row],[Horas Planificadas]],0)</f>
        <v>#REF!</v>
      </c>
      <c r="V778" s="43" t="e">
        <f>IF(Planning[[#This Row],[Horas Planificadas]]&lt;&gt;0,Planning[[#This Row],[Horas utilizadas]]/Planning[[#This Row],[Horas Planificadas]],0)</f>
        <v>#REF!</v>
      </c>
      <c r="W778" s="44">
        <f>Planning[[#This Row],[Horas Planificadas]]+Planning[[#This Row],[Horas ajustadas adicionales]]</f>
        <v>441</v>
      </c>
      <c r="X778" s="142"/>
    </row>
    <row r="779" spans="1:24" ht="12.75" customHeight="1" x14ac:dyDescent="0.2">
      <c r="A779" s="7" t="s">
        <v>168</v>
      </c>
      <c r="B779" s="7" t="s">
        <v>205</v>
      </c>
      <c r="C779" s="3"/>
      <c r="D779" s="3" t="s">
        <v>228</v>
      </c>
      <c r="E779" s="33"/>
      <c r="F779" s="3" t="s">
        <v>122</v>
      </c>
      <c r="G779" s="7"/>
      <c r="H779" s="7"/>
      <c r="I779" s="12"/>
      <c r="J779" s="5" t="e">
        <f>SUM(SUMIFS(#REF!,#REF!,Planning[[#This Row],[Tipo de Tarea y especialidad]],#REF!,Planning[[#This Row],[Proyectos Reiwa]]),SUMIFS(#REF!,#REF!,Planning[[#This Row],[Tipo de Tarea y especialidad]],#REF!,Planning[[#This Row],[Proyectos]]))</f>
        <v>#REF!</v>
      </c>
      <c r="K779" s="5" t="e">
        <f>Planning[[#This Row],[Horas Planificadas]]+Planning[[#This Row],[Horas ajustadas adicionales]]-Planning[[#This Row],[Horas utilizadas]]</f>
        <v>#REF!</v>
      </c>
      <c r="L779" s="7"/>
      <c r="M779" s="19" t="e">
        <f>Planning[[#This Row],[Saldo]]-Planning[[#This Row],[Saldo estimado]]</f>
        <v>#REF!</v>
      </c>
      <c r="N779" s="60" t="e">
        <f>+SUMIFS(#REF!,#REF!,Planning[[#This Row],[Proyectos]],#REF!,Planning[[#This Row],[Tipo de Tarea y especialidad]])</f>
        <v>#REF!</v>
      </c>
      <c r="O779" s="19">
        <f t="shared" si="24"/>
        <v>10</v>
      </c>
      <c r="P779" s="19">
        <f t="shared" si="25"/>
        <v>2024</v>
      </c>
      <c r="Q7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79" s="19" t="str">
        <f>TEXT(Planning[[#This Row],[Mes]]*29,"mmmm")</f>
        <v>October</v>
      </c>
      <c r="S7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79" s="193"/>
      <c r="U779" s="43">
        <f>IF(Planning[[#This Row],[Horas Planificadas]]&lt;&gt;0,+K779/Planning[[#This Row],[Horas Planificadas]],0)</f>
        <v>0</v>
      </c>
      <c r="V779" s="43">
        <f>IF(Planning[[#This Row],[Horas Planificadas]]&lt;&gt;0,Planning[[#This Row],[Horas utilizadas]]/Planning[[#This Row],[Horas Planificadas]],0)</f>
        <v>0</v>
      </c>
      <c r="W779" s="44">
        <f>Planning[[#This Row],[Horas Planificadas]]+Planning[[#This Row],[Horas ajustadas adicionales]]</f>
        <v>0</v>
      </c>
      <c r="X779" s="142"/>
    </row>
    <row r="780" spans="1:24" ht="12.75" customHeight="1" x14ac:dyDescent="0.2">
      <c r="A780" s="7" t="s">
        <v>168</v>
      </c>
      <c r="B780" s="7" t="s">
        <v>205</v>
      </c>
      <c r="C780" s="3"/>
      <c r="D780" s="3" t="s">
        <v>228</v>
      </c>
      <c r="E780" s="33"/>
      <c r="F780" s="3" t="s">
        <v>123</v>
      </c>
      <c r="G780" s="7"/>
      <c r="H780" s="7">
        <v>279</v>
      </c>
      <c r="I780" s="12"/>
      <c r="J780" s="5" t="e">
        <f>SUM(SUMIFS(#REF!,#REF!,Planning[[#This Row],[Tipo de Tarea y especialidad]],#REF!,Planning[[#This Row],[Proyectos Reiwa]]),SUMIFS(#REF!,#REF!,Planning[[#This Row],[Tipo de Tarea y especialidad]],#REF!,Planning[[#This Row],[Proyectos]]))</f>
        <v>#REF!</v>
      </c>
      <c r="K780" s="5" t="e">
        <f>Planning[[#This Row],[Horas Planificadas]]+Planning[[#This Row],[Horas ajustadas adicionales]]-Planning[[#This Row],[Horas utilizadas]]</f>
        <v>#REF!</v>
      </c>
      <c r="L780" s="7">
        <v>0</v>
      </c>
      <c r="M780" s="19" t="e">
        <f>Planning[[#This Row],[Saldo]]-Planning[[#This Row],[Saldo estimado]]</f>
        <v>#REF!</v>
      </c>
      <c r="N780" s="60" t="e">
        <f>+SUMIFS(#REF!,#REF!,Planning[[#This Row],[Proyectos]],#REF!,Planning[[#This Row],[Tipo de Tarea y especialidad]])</f>
        <v>#REF!</v>
      </c>
      <c r="O780" s="19">
        <f t="shared" si="24"/>
        <v>10</v>
      </c>
      <c r="P780" s="19">
        <f t="shared" si="25"/>
        <v>2024</v>
      </c>
      <c r="Q7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80" s="19" t="str">
        <f>TEXT(Planning[[#This Row],[Mes]]*29,"mmmm")</f>
        <v>October</v>
      </c>
      <c r="S7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80" s="193"/>
      <c r="U780" s="43" t="e">
        <f>IF(Planning[[#This Row],[Horas Planificadas]]&lt;&gt;0,+K780/Planning[[#This Row],[Horas Planificadas]],0)</f>
        <v>#REF!</v>
      </c>
      <c r="V780" s="43" t="e">
        <f>IF(Planning[[#This Row],[Horas Planificadas]]&lt;&gt;0,Planning[[#This Row],[Horas utilizadas]]/Planning[[#This Row],[Horas Planificadas]],0)</f>
        <v>#REF!</v>
      </c>
      <c r="W780" s="44">
        <f>Planning[[#This Row],[Horas Planificadas]]+Planning[[#This Row],[Horas ajustadas adicionales]]</f>
        <v>279</v>
      </c>
      <c r="X780" s="142"/>
    </row>
    <row r="781" spans="1:24" ht="12.75" customHeight="1" x14ac:dyDescent="0.2">
      <c r="A781" s="7" t="s">
        <v>168</v>
      </c>
      <c r="B781" s="7" t="s">
        <v>205</v>
      </c>
      <c r="C781" s="3"/>
      <c r="D781" s="3" t="s">
        <v>228</v>
      </c>
      <c r="E781" s="33"/>
      <c r="F781" s="3" t="s">
        <v>124</v>
      </c>
      <c r="G781" s="7"/>
      <c r="H781" s="7"/>
      <c r="I781" s="12"/>
      <c r="J781" s="5" t="e">
        <f>SUM(SUMIFS(#REF!,#REF!,Planning[[#This Row],[Tipo de Tarea y especialidad]],#REF!,Planning[[#This Row],[Proyectos Reiwa]]),SUMIFS(#REF!,#REF!,Planning[[#This Row],[Tipo de Tarea y especialidad]],#REF!,Planning[[#This Row],[Proyectos]]))</f>
        <v>#REF!</v>
      </c>
      <c r="K781" s="5" t="e">
        <f>Planning[[#This Row],[Horas Planificadas]]+Planning[[#This Row],[Horas ajustadas adicionales]]-Planning[[#This Row],[Horas utilizadas]]</f>
        <v>#REF!</v>
      </c>
      <c r="L781" s="7"/>
      <c r="M781" s="19" t="e">
        <f>Planning[[#This Row],[Saldo]]-Planning[[#This Row],[Saldo estimado]]</f>
        <v>#REF!</v>
      </c>
      <c r="N781" s="60" t="e">
        <f>+SUMIFS(#REF!,#REF!,Planning[[#This Row],[Proyectos]],#REF!,Planning[[#This Row],[Tipo de Tarea y especialidad]])</f>
        <v>#REF!</v>
      </c>
      <c r="O781" s="19">
        <f t="shared" si="24"/>
        <v>10</v>
      </c>
      <c r="P781" s="19">
        <f t="shared" si="25"/>
        <v>2024</v>
      </c>
      <c r="Q7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81" s="19" t="str">
        <f>TEXT(Planning[[#This Row],[Mes]]*29,"mmmm")</f>
        <v>October</v>
      </c>
      <c r="S7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81" s="193"/>
      <c r="U781" s="43">
        <f>IF(Planning[[#This Row],[Horas Planificadas]]&lt;&gt;0,+K781/Planning[[#This Row],[Horas Planificadas]],0)</f>
        <v>0</v>
      </c>
      <c r="V781" s="43">
        <f>IF(Planning[[#This Row],[Horas Planificadas]]&lt;&gt;0,Planning[[#This Row],[Horas utilizadas]]/Planning[[#This Row],[Horas Planificadas]],0)</f>
        <v>0</v>
      </c>
      <c r="W781" s="44">
        <f>Planning[[#This Row],[Horas Planificadas]]+Planning[[#This Row],[Horas ajustadas adicionales]]</f>
        <v>0</v>
      </c>
      <c r="X781" s="142"/>
    </row>
    <row r="782" spans="1:24" ht="12.75" customHeight="1" x14ac:dyDescent="0.2">
      <c r="A782" s="7" t="s">
        <v>168</v>
      </c>
      <c r="B782" s="7" t="s">
        <v>205</v>
      </c>
      <c r="C782" s="3"/>
      <c r="D782" s="3" t="s">
        <v>228</v>
      </c>
      <c r="E782" s="33"/>
      <c r="F782" s="3" t="s">
        <v>125</v>
      </c>
      <c r="G782" s="7"/>
      <c r="H782" s="7">
        <v>108</v>
      </c>
      <c r="I782" s="12"/>
      <c r="J782" s="5" t="e">
        <f>SUM(SUMIFS(#REF!,#REF!,Planning[[#This Row],[Tipo de Tarea y especialidad]],#REF!,Planning[[#This Row],[Proyectos Reiwa]]),SUMIFS(#REF!,#REF!,Planning[[#This Row],[Tipo de Tarea y especialidad]],#REF!,Planning[[#This Row],[Proyectos]]))</f>
        <v>#REF!</v>
      </c>
      <c r="K782" s="5" t="e">
        <f>Planning[[#This Row],[Horas Planificadas]]+Planning[[#This Row],[Horas ajustadas adicionales]]-Planning[[#This Row],[Horas utilizadas]]</f>
        <v>#REF!</v>
      </c>
      <c r="L782" s="7">
        <v>0</v>
      </c>
      <c r="M782" s="19" t="e">
        <f>Planning[[#This Row],[Saldo]]-Planning[[#This Row],[Saldo estimado]]</f>
        <v>#REF!</v>
      </c>
      <c r="N782" s="60" t="e">
        <f>+SUMIFS(#REF!,#REF!,Planning[[#This Row],[Proyectos]],#REF!,Planning[[#This Row],[Tipo de Tarea y especialidad]])</f>
        <v>#REF!</v>
      </c>
      <c r="O782" s="19">
        <f t="shared" si="24"/>
        <v>10</v>
      </c>
      <c r="P782" s="19">
        <f t="shared" si="25"/>
        <v>2024</v>
      </c>
      <c r="Q7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82" s="19" t="str">
        <f>TEXT(Planning[[#This Row],[Mes]]*29,"mmmm")</f>
        <v>October</v>
      </c>
      <c r="S7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82" s="193"/>
      <c r="U782" s="43" t="e">
        <f>IF(Planning[[#This Row],[Horas Planificadas]]&lt;&gt;0,+K782/Planning[[#This Row],[Horas Planificadas]],0)</f>
        <v>#REF!</v>
      </c>
      <c r="V782" s="43" t="e">
        <f>IF(Planning[[#This Row],[Horas Planificadas]]&lt;&gt;0,Planning[[#This Row],[Horas utilizadas]]/Planning[[#This Row],[Horas Planificadas]],0)</f>
        <v>#REF!</v>
      </c>
      <c r="W782" s="44">
        <f>Planning[[#This Row],[Horas Planificadas]]+Planning[[#This Row],[Horas ajustadas adicionales]]</f>
        <v>108</v>
      </c>
      <c r="X782" s="142"/>
    </row>
    <row r="783" spans="1:24" ht="12.75" customHeight="1" x14ac:dyDescent="0.2">
      <c r="A783" s="7" t="s">
        <v>168</v>
      </c>
      <c r="B783" s="7" t="s">
        <v>205</v>
      </c>
      <c r="C783" s="3"/>
      <c r="D783" s="3" t="s">
        <v>228</v>
      </c>
      <c r="E783" s="33"/>
      <c r="F783" s="3" t="s">
        <v>126</v>
      </c>
      <c r="G783" s="7"/>
      <c r="H783" s="7"/>
      <c r="I783" s="12"/>
      <c r="J783" s="5" t="e">
        <f>SUM(SUMIFS(#REF!,#REF!,Planning[[#This Row],[Tipo de Tarea y especialidad]],#REF!,Planning[[#This Row],[Proyectos Reiwa]]),SUMIFS(#REF!,#REF!,Planning[[#This Row],[Tipo de Tarea y especialidad]],#REF!,Planning[[#This Row],[Proyectos]]))</f>
        <v>#REF!</v>
      </c>
      <c r="K783" s="5" t="e">
        <f>Planning[[#This Row],[Horas Planificadas]]+Planning[[#This Row],[Horas ajustadas adicionales]]-Planning[[#This Row],[Horas utilizadas]]</f>
        <v>#REF!</v>
      </c>
      <c r="L783" s="7"/>
      <c r="M783" s="19" t="e">
        <f>Planning[[#This Row],[Saldo]]-Planning[[#This Row],[Saldo estimado]]</f>
        <v>#REF!</v>
      </c>
      <c r="N783" s="60" t="e">
        <f>+SUMIFS(#REF!,#REF!,Planning[[#This Row],[Proyectos]],#REF!,Planning[[#This Row],[Tipo de Tarea y especialidad]])</f>
        <v>#REF!</v>
      </c>
      <c r="O783" s="19">
        <f t="shared" si="24"/>
        <v>10</v>
      </c>
      <c r="P783" s="19">
        <f t="shared" si="25"/>
        <v>2024</v>
      </c>
      <c r="Q7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83" s="19" t="str">
        <f>TEXT(Planning[[#This Row],[Mes]]*29,"mmmm")</f>
        <v>October</v>
      </c>
      <c r="S7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83" s="193"/>
      <c r="U783" s="43">
        <f>IF(Planning[[#This Row],[Horas Planificadas]]&lt;&gt;0,+K783/Planning[[#This Row],[Horas Planificadas]],0)</f>
        <v>0</v>
      </c>
      <c r="V783" s="43">
        <f>IF(Planning[[#This Row],[Horas Planificadas]]&lt;&gt;0,Planning[[#This Row],[Horas utilizadas]]/Planning[[#This Row],[Horas Planificadas]],0)</f>
        <v>0</v>
      </c>
      <c r="W783" s="44">
        <f>Planning[[#This Row],[Horas Planificadas]]+Planning[[#This Row],[Horas ajustadas adicionales]]</f>
        <v>0</v>
      </c>
      <c r="X783" s="142"/>
    </row>
    <row r="784" spans="1:24" ht="12.75" customHeight="1" x14ac:dyDescent="0.2">
      <c r="A784" s="7" t="s">
        <v>168</v>
      </c>
      <c r="B784" s="7" t="s">
        <v>205</v>
      </c>
      <c r="C784" s="3"/>
      <c r="D784" s="3" t="s">
        <v>228</v>
      </c>
      <c r="E784" s="33"/>
      <c r="F784" s="3" t="s">
        <v>127</v>
      </c>
      <c r="G784" s="7"/>
      <c r="H784" s="7">
        <v>54</v>
      </c>
      <c r="I784" s="12"/>
      <c r="J784" s="5" t="e">
        <f>SUM(SUMIFS(#REF!,#REF!,Planning[[#This Row],[Tipo de Tarea y especialidad]],#REF!,Planning[[#This Row],[Proyectos Reiwa]]),SUMIFS(#REF!,#REF!,Planning[[#This Row],[Tipo de Tarea y especialidad]],#REF!,Planning[[#This Row],[Proyectos]]))</f>
        <v>#REF!</v>
      </c>
      <c r="K784" s="5" t="e">
        <f>Planning[[#This Row],[Horas Planificadas]]+Planning[[#This Row],[Horas ajustadas adicionales]]-Planning[[#This Row],[Horas utilizadas]]</f>
        <v>#REF!</v>
      </c>
      <c r="L784" s="7">
        <v>0</v>
      </c>
      <c r="M784" s="19" t="e">
        <f>Planning[[#This Row],[Saldo]]-Planning[[#This Row],[Saldo estimado]]</f>
        <v>#REF!</v>
      </c>
      <c r="N784" s="60" t="e">
        <f>+SUMIFS(#REF!,#REF!,Planning[[#This Row],[Proyectos]],#REF!,Planning[[#This Row],[Tipo de Tarea y especialidad]])</f>
        <v>#REF!</v>
      </c>
      <c r="O784" s="19">
        <f t="shared" si="24"/>
        <v>10</v>
      </c>
      <c r="P784" s="19">
        <f t="shared" si="25"/>
        <v>2024</v>
      </c>
      <c r="Q7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84" s="19" t="str">
        <f>TEXT(Planning[[#This Row],[Mes]]*29,"mmmm")</f>
        <v>October</v>
      </c>
      <c r="S7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84" s="193"/>
      <c r="U784" s="43" t="e">
        <f>IF(Planning[[#This Row],[Horas Planificadas]]&lt;&gt;0,+K784/Planning[[#This Row],[Horas Planificadas]],0)</f>
        <v>#REF!</v>
      </c>
      <c r="V784" s="43" t="e">
        <f>IF(Planning[[#This Row],[Horas Planificadas]]&lt;&gt;0,Planning[[#This Row],[Horas utilizadas]]/Planning[[#This Row],[Horas Planificadas]],0)</f>
        <v>#REF!</v>
      </c>
      <c r="W784" s="44">
        <f>Planning[[#This Row],[Horas Planificadas]]+Planning[[#This Row],[Horas ajustadas adicionales]]</f>
        <v>54</v>
      </c>
      <c r="X784" s="142"/>
    </row>
    <row r="785" spans="1:24" ht="12.75" customHeight="1" x14ac:dyDescent="0.2">
      <c r="A785" s="7" t="s">
        <v>168</v>
      </c>
      <c r="B785" s="7" t="s">
        <v>205</v>
      </c>
      <c r="C785" s="3"/>
      <c r="D785" s="3" t="s">
        <v>228</v>
      </c>
      <c r="E785" s="33"/>
      <c r="F785" s="3" t="s">
        <v>128</v>
      </c>
      <c r="G785" s="7"/>
      <c r="H785" s="7"/>
      <c r="I785" s="12"/>
      <c r="J785" s="5" t="e">
        <f>SUM(SUMIFS(#REF!,#REF!,Planning[[#This Row],[Tipo de Tarea y especialidad]],#REF!,Planning[[#This Row],[Proyectos Reiwa]]),SUMIFS(#REF!,#REF!,Planning[[#This Row],[Tipo de Tarea y especialidad]],#REF!,Planning[[#This Row],[Proyectos]]))</f>
        <v>#REF!</v>
      </c>
      <c r="K785" s="5" t="e">
        <f>Planning[[#This Row],[Horas Planificadas]]+Planning[[#This Row],[Horas ajustadas adicionales]]-Planning[[#This Row],[Horas utilizadas]]</f>
        <v>#REF!</v>
      </c>
      <c r="L785" s="7"/>
      <c r="M785" s="19" t="e">
        <f>Planning[[#This Row],[Saldo]]-Planning[[#This Row],[Saldo estimado]]</f>
        <v>#REF!</v>
      </c>
      <c r="N785" s="60" t="e">
        <f>+SUMIFS(#REF!,#REF!,Planning[[#This Row],[Proyectos]],#REF!,Planning[[#This Row],[Tipo de Tarea y especialidad]])</f>
        <v>#REF!</v>
      </c>
      <c r="O785" s="19">
        <f t="shared" si="24"/>
        <v>10</v>
      </c>
      <c r="P785" s="19">
        <f t="shared" si="25"/>
        <v>2024</v>
      </c>
      <c r="Q7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85" s="19" t="str">
        <f>TEXT(Planning[[#This Row],[Mes]]*29,"mmmm")</f>
        <v>October</v>
      </c>
      <c r="S7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85" s="193"/>
      <c r="U785" s="43">
        <f>IF(Planning[[#This Row],[Horas Planificadas]]&lt;&gt;0,+K785/Planning[[#This Row],[Horas Planificadas]],0)</f>
        <v>0</v>
      </c>
      <c r="V785" s="43">
        <f>IF(Planning[[#This Row],[Horas Planificadas]]&lt;&gt;0,Planning[[#This Row],[Horas utilizadas]]/Planning[[#This Row],[Horas Planificadas]],0)</f>
        <v>0</v>
      </c>
      <c r="W785" s="44">
        <f>Planning[[#This Row],[Horas Planificadas]]+Planning[[#This Row],[Horas ajustadas adicionales]]</f>
        <v>0</v>
      </c>
      <c r="X785" s="142"/>
    </row>
    <row r="786" spans="1:24" ht="12.75" customHeight="1" x14ac:dyDescent="0.2">
      <c r="A786" s="7" t="s">
        <v>168</v>
      </c>
      <c r="B786" s="7" t="s">
        <v>205</v>
      </c>
      <c r="C786" s="3"/>
      <c r="D786" s="3" t="s">
        <v>228</v>
      </c>
      <c r="E786" s="33" t="s">
        <v>31</v>
      </c>
      <c r="F786" s="3" t="s">
        <v>31</v>
      </c>
      <c r="G786" s="7">
        <v>104</v>
      </c>
      <c r="H786" s="15">
        <v>104</v>
      </c>
      <c r="I786" s="18"/>
      <c r="J786" s="14" t="e">
        <f>+SUMIFS(#REF!,#REF!,Planning[[#This Row],[Tarifa]],#REF!,Planning[[#This Row],[Proyectos]])</f>
        <v>#REF!</v>
      </c>
      <c r="K786" s="14" t="e">
        <f>Planning[[#This Row],[Horas Planificadas]]+Planning[[#This Row],[Horas ajustadas adicionales]]-Planning[[#This Row],[Horas utilizadas]]</f>
        <v>#REF!</v>
      </c>
      <c r="L786" s="15"/>
      <c r="M786" s="16" t="e">
        <f>Planning[[#This Row],[Saldo]]-Planning[[#This Row],[Saldo estimado]]</f>
        <v>#REF!</v>
      </c>
      <c r="N786" s="60"/>
      <c r="O786" s="16">
        <f t="shared" si="24"/>
        <v>10</v>
      </c>
      <c r="P786" s="16">
        <f t="shared" si="25"/>
        <v>2024</v>
      </c>
      <c r="Q786" s="16" t="e">
        <f>+SUMIFS(#REF!,#REF!,Planning[[#This Row],[Tarifa]],#REF!,Planning[[#This Row],[Proyectos]],#REF!,Planning[[#This Row],[Mes]],#REF!,Planning[[#This Row],[Año]])</f>
        <v>#REF!</v>
      </c>
      <c r="R786" s="16" t="str">
        <f>TEXT(Planning[[#This Row],[Mes]]*29,"mmmm")</f>
        <v>October</v>
      </c>
      <c r="S7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86" s="193"/>
      <c r="U786" s="43" t="e">
        <f>IF(Planning[[#This Row],[Horas Planificadas]]&lt;&gt;0,+K786/Planning[[#This Row],[Horas Planificadas]],0)</f>
        <v>#REF!</v>
      </c>
      <c r="V786" s="43" t="e">
        <f>IF(Planning[[#This Row],[Horas Planificadas]]&lt;&gt;0,Planning[[#This Row],[Horas utilizadas]]/Planning[[#This Row],[Horas Planificadas]],0)</f>
        <v>#REF!</v>
      </c>
      <c r="W786" s="44">
        <f>Planning[[#This Row],[Horas Planificadas]]+Planning[[#This Row],[Horas ajustadas adicionales]]</f>
        <v>104</v>
      </c>
      <c r="X786" s="142"/>
    </row>
    <row r="787" spans="1:24" ht="12.75" customHeight="1" x14ac:dyDescent="0.2">
      <c r="A787" s="7" t="s">
        <v>168</v>
      </c>
      <c r="B787" s="7" t="s">
        <v>205</v>
      </c>
      <c r="C787" s="3"/>
      <c r="D787" s="3" t="s">
        <v>228</v>
      </c>
      <c r="E787" s="33" t="s">
        <v>32</v>
      </c>
      <c r="F787" s="3"/>
      <c r="G787" s="7">
        <v>135</v>
      </c>
      <c r="H787" s="24">
        <f>SUM(H788:H790)</f>
        <v>117</v>
      </c>
      <c r="I787" s="14"/>
      <c r="J787" s="14" t="e">
        <f>SUM(J788:J790)</f>
        <v>#REF!</v>
      </c>
      <c r="K787" s="18" t="e">
        <f>SUM(K788:K790)</f>
        <v>#REF!</v>
      </c>
      <c r="L787" s="15">
        <f>SUM(L788:L790)</f>
        <v>0</v>
      </c>
      <c r="M787" s="16" t="e">
        <f>SUM(M788:M790)</f>
        <v>#REF!</v>
      </c>
      <c r="N787" s="60"/>
      <c r="O787" s="16">
        <f t="shared" si="24"/>
        <v>10</v>
      </c>
      <c r="P787" s="16">
        <f t="shared" si="25"/>
        <v>2024</v>
      </c>
      <c r="Q787" s="16" t="e">
        <f>SUM(Q788:Q790)</f>
        <v>#REF!</v>
      </c>
      <c r="R787" s="16" t="str">
        <f>TEXT(Planning[[#This Row],[Mes]]*29,"mmmm")</f>
        <v>October</v>
      </c>
      <c r="S7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87" s="193"/>
      <c r="U787" s="43" t="e">
        <f>IF(Planning[[#This Row],[Horas Planificadas]]&lt;&gt;0,+K787/Planning[[#This Row],[Horas Planificadas]],0)</f>
        <v>#REF!</v>
      </c>
      <c r="V787" s="43" t="e">
        <f>IF(Planning[[#This Row],[Horas Planificadas]]&lt;&gt;0,Planning[[#This Row],[Horas utilizadas]]/Planning[[#This Row],[Horas Planificadas]],0)</f>
        <v>#REF!</v>
      </c>
      <c r="W787" s="44">
        <f>Planning[[#This Row],[Horas Planificadas]]+Planning[[#This Row],[Horas ajustadas adicionales]]</f>
        <v>117</v>
      </c>
      <c r="X787" s="142"/>
    </row>
    <row r="788" spans="1:24" ht="12.75" customHeight="1" x14ac:dyDescent="0.2">
      <c r="A788" s="7" t="s">
        <v>168</v>
      </c>
      <c r="B788" s="7" t="s">
        <v>205</v>
      </c>
      <c r="C788" s="3"/>
      <c r="D788" s="3" t="s">
        <v>228</v>
      </c>
      <c r="E788" s="33"/>
      <c r="F788" s="3" t="s">
        <v>129</v>
      </c>
      <c r="G788" s="7"/>
      <c r="H788" s="7"/>
      <c r="I788" s="12"/>
      <c r="J788" s="5" t="e">
        <f>SUM(SUMIFS(#REF!,#REF!,Planning[[#This Row],[Tipo de Tarea y especialidad]],#REF!,Planning[[#This Row],[Proyectos Reiwa]]),SUMIFS(#REF!,#REF!,Planning[[#This Row],[Tipo de Tarea y especialidad]],#REF!,Planning[[#This Row],[Proyectos]]))</f>
        <v>#REF!</v>
      </c>
      <c r="K788" s="5" t="e">
        <f>Planning[[#This Row],[Horas Planificadas]]+Planning[[#This Row],[Horas ajustadas adicionales]]-Planning[[#This Row],[Horas utilizadas]]</f>
        <v>#REF!</v>
      </c>
      <c r="L788" s="7"/>
      <c r="M788" s="19" t="e">
        <f>Planning[[#This Row],[Saldo]]-Planning[[#This Row],[Saldo estimado]]</f>
        <v>#REF!</v>
      </c>
      <c r="N788" s="60" t="e">
        <f>+SUMIFS(#REF!,#REF!,Planning[[#This Row],[Proyectos]],#REF!,Planning[[#This Row],[Tipo de Tarea y especialidad]])</f>
        <v>#REF!</v>
      </c>
      <c r="O788" s="19">
        <f t="shared" si="24"/>
        <v>10</v>
      </c>
      <c r="P788" s="19">
        <f t="shared" si="25"/>
        <v>2024</v>
      </c>
      <c r="Q7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88" s="19" t="str">
        <f>TEXT(Planning[[#This Row],[Mes]]*29,"mmmm")</f>
        <v>October</v>
      </c>
      <c r="S7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88" s="193"/>
      <c r="U788" s="43">
        <f>IF(Planning[[#This Row],[Horas Planificadas]]&lt;&gt;0,+K788/Planning[[#This Row],[Horas Planificadas]],0)</f>
        <v>0</v>
      </c>
      <c r="V788" s="43">
        <f>IF(Planning[[#This Row],[Horas Planificadas]]&lt;&gt;0,Planning[[#This Row],[Horas utilizadas]]/Planning[[#This Row],[Horas Planificadas]],0)</f>
        <v>0</v>
      </c>
      <c r="W788" s="44">
        <f>Planning[[#This Row],[Horas Planificadas]]+Planning[[#This Row],[Horas ajustadas adicionales]]</f>
        <v>0</v>
      </c>
      <c r="X788" s="142"/>
    </row>
    <row r="789" spans="1:24" ht="12.75" customHeight="1" x14ac:dyDescent="0.2">
      <c r="A789" s="7" t="s">
        <v>168</v>
      </c>
      <c r="B789" s="7" t="s">
        <v>205</v>
      </c>
      <c r="C789" s="3"/>
      <c r="D789" s="3" t="s">
        <v>228</v>
      </c>
      <c r="E789" s="33"/>
      <c r="F789" s="3" t="s">
        <v>130</v>
      </c>
      <c r="G789" s="7"/>
      <c r="H789" s="7">
        <v>117</v>
      </c>
      <c r="I789" s="12"/>
      <c r="J789" s="5" t="e">
        <f>SUM(SUMIFS(#REF!,#REF!,Planning[[#This Row],[Tipo de Tarea y especialidad]],#REF!,Planning[[#This Row],[Proyectos Reiwa]]),SUMIFS(#REF!,#REF!,Planning[[#This Row],[Tipo de Tarea y especialidad]],#REF!,Planning[[#This Row],[Proyectos]]))</f>
        <v>#REF!</v>
      </c>
      <c r="K789" s="5" t="e">
        <f>Planning[[#This Row],[Horas Planificadas]]+Planning[[#This Row],[Horas ajustadas adicionales]]-Planning[[#This Row],[Horas utilizadas]]</f>
        <v>#REF!</v>
      </c>
      <c r="L789" s="7">
        <v>0</v>
      </c>
      <c r="M789" s="19" t="e">
        <f>Planning[[#This Row],[Saldo]]-Planning[[#This Row],[Saldo estimado]]</f>
        <v>#REF!</v>
      </c>
      <c r="N789" s="60" t="e">
        <f>+SUMIFS(#REF!,#REF!,Planning[[#This Row],[Proyectos]],#REF!,Planning[[#This Row],[Tipo de Tarea y especialidad]])</f>
        <v>#REF!</v>
      </c>
      <c r="O789" s="19">
        <f t="shared" si="24"/>
        <v>10</v>
      </c>
      <c r="P789" s="19">
        <f t="shared" si="25"/>
        <v>2024</v>
      </c>
      <c r="Q7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89" s="19" t="str">
        <f>TEXT(Planning[[#This Row],[Mes]]*29,"mmmm")</f>
        <v>October</v>
      </c>
      <c r="S7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89" s="193"/>
      <c r="U789" s="43" t="e">
        <f>IF(Planning[[#This Row],[Horas Planificadas]]&lt;&gt;0,+K789/Planning[[#This Row],[Horas Planificadas]],0)</f>
        <v>#REF!</v>
      </c>
      <c r="V789" s="43" t="e">
        <f>IF(Planning[[#This Row],[Horas Planificadas]]&lt;&gt;0,Planning[[#This Row],[Horas utilizadas]]/Planning[[#This Row],[Horas Planificadas]],0)</f>
        <v>#REF!</v>
      </c>
      <c r="W789" s="44">
        <f>Planning[[#This Row],[Horas Planificadas]]+Planning[[#This Row],[Horas ajustadas adicionales]]</f>
        <v>117</v>
      </c>
      <c r="X789" s="142"/>
    </row>
    <row r="790" spans="1:24" ht="12.75" customHeight="1" x14ac:dyDescent="0.2">
      <c r="A790" s="7" t="s">
        <v>168</v>
      </c>
      <c r="B790" s="7" t="s">
        <v>205</v>
      </c>
      <c r="C790" s="3"/>
      <c r="D790" s="3" t="s">
        <v>228</v>
      </c>
      <c r="E790" s="33"/>
      <c r="F790" s="3" t="s">
        <v>131</v>
      </c>
      <c r="G790" s="7"/>
      <c r="H790" s="7"/>
      <c r="I790" s="12"/>
      <c r="J790" s="5" t="e">
        <f>SUM(SUMIFS(#REF!,#REF!,Planning[[#This Row],[Tipo de Tarea y especialidad]],#REF!,Planning[[#This Row],[Proyectos Reiwa]]),SUMIFS(#REF!,#REF!,Planning[[#This Row],[Tipo de Tarea y especialidad]],#REF!,Planning[[#This Row],[Proyectos]]))</f>
        <v>#REF!</v>
      </c>
      <c r="K790" s="5" t="e">
        <f>Planning[[#This Row],[Horas Planificadas]]+Planning[[#This Row],[Horas ajustadas adicionales]]-Planning[[#This Row],[Horas utilizadas]]</f>
        <v>#REF!</v>
      </c>
      <c r="L790" s="7"/>
      <c r="M790" s="19" t="e">
        <f>Planning[[#This Row],[Saldo]]-Planning[[#This Row],[Saldo estimado]]</f>
        <v>#REF!</v>
      </c>
      <c r="N790" s="60" t="e">
        <f>+SUMIFS(#REF!,#REF!,Planning[[#This Row],[Proyectos]],#REF!,Planning[[#This Row],[Tipo de Tarea y especialidad]])</f>
        <v>#REF!</v>
      </c>
      <c r="O790" s="19">
        <f t="shared" si="24"/>
        <v>10</v>
      </c>
      <c r="P790" s="19">
        <f t="shared" si="25"/>
        <v>2024</v>
      </c>
      <c r="Q7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790" s="19" t="str">
        <f>TEXT(Planning[[#This Row],[Mes]]*29,"mmmm")</f>
        <v>October</v>
      </c>
      <c r="S7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90" s="193"/>
      <c r="U790" s="43">
        <f>IF(Planning[[#This Row],[Horas Planificadas]]&lt;&gt;0,+K790/Planning[[#This Row],[Horas Planificadas]],0)</f>
        <v>0</v>
      </c>
      <c r="V790" s="43">
        <f>IF(Planning[[#This Row],[Horas Planificadas]]&lt;&gt;0,Planning[[#This Row],[Horas utilizadas]]/Planning[[#This Row],[Horas Planificadas]],0)</f>
        <v>0</v>
      </c>
      <c r="W790" s="44">
        <f>Planning[[#This Row],[Horas Planificadas]]+Planning[[#This Row],[Horas ajustadas adicionales]]</f>
        <v>0</v>
      </c>
      <c r="X790" s="142"/>
    </row>
    <row r="791" spans="1:24" ht="12.75" customHeight="1" x14ac:dyDescent="0.2">
      <c r="A791" s="7"/>
      <c r="B791" s="7"/>
      <c r="C791" s="3"/>
      <c r="D791" s="3" t="s">
        <v>230</v>
      </c>
      <c r="E791" s="33" t="s">
        <v>28</v>
      </c>
      <c r="F791" s="3"/>
      <c r="G791" s="7"/>
      <c r="H791" s="7">
        <v>0</v>
      </c>
      <c r="I791" s="12"/>
      <c r="J791" s="5" t="e">
        <f>+SUMIFS(#REF!,#REF!,Planning[[#This Row],[Tarifa]],#REF!,Planning[[#This Row],[Proyectos]])</f>
        <v>#REF!</v>
      </c>
      <c r="K791" s="5" t="e">
        <f>Planning[[#This Row],[Horas Planificadas]]+Planning[[#This Row],[Horas ajustadas adicionales]]-Planning[[#This Row],[Horas utilizadas]]</f>
        <v>#REF!</v>
      </c>
      <c r="L791" s="7"/>
      <c r="M791" s="19" t="e">
        <f>Planning[[#This Row],[Saldo]]-Planning[[#This Row],[Saldo estimado]]</f>
        <v>#REF!</v>
      </c>
      <c r="N791" s="60" t="e">
        <f>+SUMIFS(#REF!,#REF!,Planning[[#This Row],[Proyectos]],#REF!,Planning[[#This Row],[Tipo de Tarea y especialidad]])</f>
        <v>#REF!</v>
      </c>
      <c r="O791" s="19">
        <f t="shared" si="24"/>
        <v>10</v>
      </c>
      <c r="P791" s="19">
        <f t="shared" si="25"/>
        <v>2024</v>
      </c>
      <c r="Q791" s="19" t="e">
        <f>+SUMIFS(#REF!,#REF!,Planning[[#This Row],[Tarifa]],#REF!,Planning[[#This Row],[Proyectos]],#REF!,Planning[[#This Row],[Mes]],#REF!,Planning[[#This Row],[Año]])</f>
        <v>#REF!</v>
      </c>
      <c r="R791" s="19" t="str">
        <f>TEXT(Planning[[#This Row],[Mes]]*29,"mmmm")</f>
        <v>October</v>
      </c>
      <c r="S7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91" s="228"/>
      <c r="U791" s="43">
        <f>IF(Planning[[#This Row],[Horas Planificadas]]&lt;&gt;0,+K791/Planning[[#This Row],[Horas Planificadas]],0)</f>
        <v>0</v>
      </c>
      <c r="V791" s="43">
        <f>IF(Planning[[#This Row],[Horas Planificadas]]&lt;&gt;0,Planning[[#This Row],[Horas utilizadas]]/Planning[[#This Row],[Horas Planificadas]],0)</f>
        <v>0</v>
      </c>
      <c r="W791" s="44">
        <f>Planning[[#This Row],[Horas Planificadas]]+Planning[[#This Row],[Horas ajustadas adicionales]]</f>
        <v>0</v>
      </c>
      <c r="X791" s="142"/>
    </row>
    <row r="792" spans="1:24" ht="12.75" customHeight="1" x14ac:dyDescent="0.2">
      <c r="A792" s="7"/>
      <c r="B792" s="7"/>
      <c r="C792" s="3"/>
      <c r="D792" s="3" t="s">
        <v>230</v>
      </c>
      <c r="E792" s="33" t="s">
        <v>30</v>
      </c>
      <c r="F792" s="3"/>
      <c r="G792" s="7"/>
      <c r="H792" s="7">
        <v>134</v>
      </c>
      <c r="I792" s="12"/>
      <c r="J792" s="5" t="e">
        <f>+SUMIFS(#REF!,#REF!,Planning[[#This Row],[Tarifa]],#REF!,Planning[[#This Row],[Proyectos]])</f>
        <v>#REF!</v>
      </c>
      <c r="K792" s="5" t="e">
        <f>Planning[[#This Row],[Horas Planificadas]]+Planning[[#This Row],[Horas ajustadas adicionales]]-Planning[[#This Row],[Horas utilizadas]]</f>
        <v>#REF!</v>
      </c>
      <c r="L792" s="7"/>
      <c r="M792" s="19" t="e">
        <f>Planning[[#This Row],[Saldo]]-Planning[[#This Row],[Saldo estimado]]</f>
        <v>#REF!</v>
      </c>
      <c r="N792" s="60" t="e">
        <f>+SUMIFS(#REF!,#REF!,Planning[[#This Row],[Proyectos]],#REF!,Planning[[#This Row],[Tipo de Tarea y especialidad]])</f>
        <v>#REF!</v>
      </c>
      <c r="O792" s="19">
        <f t="shared" si="24"/>
        <v>10</v>
      </c>
      <c r="P792" s="19">
        <f t="shared" si="25"/>
        <v>2024</v>
      </c>
      <c r="Q792" s="19" t="e">
        <f>+SUMIFS(#REF!,#REF!,Planning[[#This Row],[Tarifa]],#REF!,Planning[[#This Row],[Proyectos]],#REF!,Planning[[#This Row],[Mes]],#REF!,Planning[[#This Row],[Año]])</f>
        <v>#REF!</v>
      </c>
      <c r="R792" s="19" t="str">
        <f>TEXT(Planning[[#This Row],[Mes]]*29,"mmmm")</f>
        <v>October</v>
      </c>
      <c r="S7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92" s="228"/>
      <c r="U792" s="43" t="e">
        <f>IF(Planning[[#This Row],[Horas Planificadas]]&lt;&gt;0,+K792/Planning[[#This Row],[Horas Planificadas]],0)</f>
        <v>#REF!</v>
      </c>
      <c r="V792" s="43" t="e">
        <f>IF(Planning[[#This Row],[Horas Planificadas]]&lt;&gt;0,Planning[[#This Row],[Horas utilizadas]]/Planning[[#This Row],[Horas Planificadas]],0)</f>
        <v>#REF!</v>
      </c>
      <c r="W792" s="44">
        <f>Planning[[#This Row],[Horas Planificadas]]+Planning[[#This Row],[Horas ajustadas adicionales]]</f>
        <v>134</v>
      </c>
      <c r="X792" s="142"/>
    </row>
    <row r="793" spans="1:24" ht="12.75" customHeight="1" x14ac:dyDescent="0.2">
      <c r="A793" s="7"/>
      <c r="B793" s="7"/>
      <c r="C793" s="3"/>
      <c r="D793" s="3" t="s">
        <v>230</v>
      </c>
      <c r="E793" s="33" t="s">
        <v>31</v>
      </c>
      <c r="F793" s="3"/>
      <c r="G793" s="7"/>
      <c r="H793" s="7">
        <v>4</v>
      </c>
      <c r="I793" s="12"/>
      <c r="J793" s="5" t="e">
        <f>+SUMIFS(#REF!,#REF!,Planning[[#This Row],[Tarifa]],#REF!,Planning[[#This Row],[Proyectos]])</f>
        <v>#REF!</v>
      </c>
      <c r="K793" s="5" t="e">
        <f>Planning[[#This Row],[Horas Planificadas]]+Planning[[#This Row],[Horas ajustadas adicionales]]-Planning[[#This Row],[Horas utilizadas]]</f>
        <v>#REF!</v>
      </c>
      <c r="L793" s="7"/>
      <c r="M793" s="19" t="e">
        <f>Planning[[#This Row],[Saldo]]-Planning[[#This Row],[Saldo estimado]]</f>
        <v>#REF!</v>
      </c>
      <c r="N793" s="60" t="e">
        <f>+SUMIFS(#REF!,#REF!,Planning[[#This Row],[Proyectos]],#REF!,Planning[[#This Row],[Tipo de Tarea y especialidad]])</f>
        <v>#REF!</v>
      </c>
      <c r="O793" s="19">
        <f t="shared" si="24"/>
        <v>10</v>
      </c>
      <c r="P793" s="19">
        <f t="shared" si="25"/>
        <v>2024</v>
      </c>
      <c r="Q793" s="19" t="e">
        <f>+SUMIFS(#REF!,#REF!,Planning[[#This Row],[Tarifa]],#REF!,Planning[[#This Row],[Proyectos]],#REF!,Planning[[#This Row],[Mes]],#REF!,Planning[[#This Row],[Año]])</f>
        <v>#REF!</v>
      </c>
      <c r="R793" s="19" t="str">
        <f>TEXT(Planning[[#This Row],[Mes]]*29,"mmmm")</f>
        <v>October</v>
      </c>
      <c r="S7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93" s="228"/>
      <c r="U793" s="43" t="e">
        <f>IF(Planning[[#This Row],[Horas Planificadas]]&lt;&gt;0,+K793/Planning[[#This Row],[Horas Planificadas]],0)</f>
        <v>#REF!</v>
      </c>
      <c r="V793" s="43" t="e">
        <f>IF(Planning[[#This Row],[Horas Planificadas]]&lt;&gt;0,Planning[[#This Row],[Horas utilizadas]]/Planning[[#This Row],[Horas Planificadas]],0)</f>
        <v>#REF!</v>
      </c>
      <c r="W793" s="44">
        <f>Planning[[#This Row],[Horas Planificadas]]+Planning[[#This Row],[Horas ajustadas adicionales]]</f>
        <v>4</v>
      </c>
      <c r="X793" s="142"/>
    </row>
    <row r="794" spans="1:24" ht="12.75" customHeight="1" x14ac:dyDescent="0.2">
      <c r="A794" s="7"/>
      <c r="B794" s="7"/>
      <c r="C794" s="3"/>
      <c r="D794" s="3" t="s">
        <v>230</v>
      </c>
      <c r="E794" s="33" t="s">
        <v>32</v>
      </c>
      <c r="F794" s="3"/>
      <c r="G794" s="7"/>
      <c r="H794" s="7">
        <v>54</v>
      </c>
      <c r="I794" s="12"/>
      <c r="J794" s="5" t="e">
        <f>+SUMIFS(#REF!,#REF!,Planning[[#This Row],[Tarifa]],#REF!,Planning[[#This Row],[Proyectos]])</f>
        <v>#REF!</v>
      </c>
      <c r="K794" s="5" t="e">
        <f>Planning[[#This Row],[Horas Planificadas]]+Planning[[#This Row],[Horas ajustadas adicionales]]-Planning[[#This Row],[Horas utilizadas]]</f>
        <v>#REF!</v>
      </c>
      <c r="L794" s="7"/>
      <c r="M794" s="19" t="e">
        <f>Planning[[#This Row],[Saldo]]-Planning[[#This Row],[Saldo estimado]]</f>
        <v>#REF!</v>
      </c>
      <c r="N794" s="60" t="e">
        <f>+SUMIFS(#REF!,#REF!,Planning[[#This Row],[Proyectos]],#REF!,Planning[[#This Row],[Tipo de Tarea y especialidad]])</f>
        <v>#REF!</v>
      </c>
      <c r="O794" s="19">
        <f t="shared" si="24"/>
        <v>10</v>
      </c>
      <c r="P794" s="19">
        <f t="shared" si="25"/>
        <v>2024</v>
      </c>
      <c r="Q794" s="19" t="e">
        <f>+SUMIFS(#REF!,#REF!,Planning[[#This Row],[Tarifa]],#REF!,Planning[[#This Row],[Proyectos]],#REF!,Planning[[#This Row],[Mes]],#REF!,Planning[[#This Row],[Año]])</f>
        <v>#REF!</v>
      </c>
      <c r="R794" s="19" t="str">
        <f>TEXT(Planning[[#This Row],[Mes]]*29,"mmmm")</f>
        <v>October</v>
      </c>
      <c r="S7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94" s="228"/>
      <c r="U794" s="43" t="e">
        <f>IF(Planning[[#This Row],[Horas Planificadas]]&lt;&gt;0,+K794/Planning[[#This Row],[Horas Planificadas]],0)</f>
        <v>#REF!</v>
      </c>
      <c r="V794" s="43" t="e">
        <f>IF(Planning[[#This Row],[Horas Planificadas]]&lt;&gt;0,Planning[[#This Row],[Horas utilizadas]]/Planning[[#This Row],[Horas Planificadas]],0)</f>
        <v>#REF!</v>
      </c>
      <c r="W794" s="44">
        <f>Planning[[#This Row],[Horas Planificadas]]+Planning[[#This Row],[Horas ajustadas adicionales]]</f>
        <v>54</v>
      </c>
      <c r="X794" s="142"/>
    </row>
    <row r="795" spans="1:24" ht="12.75" customHeight="1" x14ac:dyDescent="0.2">
      <c r="A795" s="7"/>
      <c r="B795" s="7"/>
      <c r="C795" s="3"/>
      <c r="D795" s="3" t="s">
        <v>231</v>
      </c>
      <c r="E795" s="33" t="s">
        <v>28</v>
      </c>
      <c r="F795" s="3"/>
      <c r="G795" s="7"/>
      <c r="H795" s="7">
        <v>0</v>
      </c>
      <c r="I795" s="12"/>
      <c r="J795" s="5" t="e">
        <f>+SUMIFS(#REF!,#REF!,Planning[[#This Row],[Tarifa]],#REF!,Planning[[#This Row],[Proyectos]])</f>
        <v>#REF!</v>
      </c>
      <c r="K795" s="5" t="e">
        <f>Planning[[#This Row],[Horas Planificadas]]+Planning[[#This Row],[Horas ajustadas adicionales]]-Planning[[#This Row],[Horas utilizadas]]</f>
        <v>#REF!</v>
      </c>
      <c r="L795" s="7"/>
      <c r="M795" s="19" t="e">
        <f>Planning[[#This Row],[Saldo]]-Planning[[#This Row],[Saldo estimado]]</f>
        <v>#REF!</v>
      </c>
      <c r="N795" s="60" t="e">
        <f>+SUMIFS(#REF!,#REF!,Planning[[#This Row],[Proyectos]],#REF!,Planning[[#This Row],[Tipo de Tarea y especialidad]])</f>
        <v>#REF!</v>
      </c>
      <c r="O795" s="19">
        <f t="shared" si="24"/>
        <v>10</v>
      </c>
      <c r="P795" s="19">
        <f t="shared" si="25"/>
        <v>2024</v>
      </c>
      <c r="Q795" s="19" t="e">
        <f>+SUMIFS(#REF!,#REF!,Planning[[#This Row],[Tarifa]],#REF!,Planning[[#This Row],[Proyectos]],#REF!,Planning[[#This Row],[Mes]],#REF!,Planning[[#This Row],[Año]])</f>
        <v>#REF!</v>
      </c>
      <c r="R795" s="19" t="str">
        <f>TEXT(Planning[[#This Row],[Mes]]*29,"mmmm")</f>
        <v>October</v>
      </c>
      <c r="S7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95" s="228"/>
      <c r="U795" s="43">
        <f>IF(Planning[[#This Row],[Horas Planificadas]]&lt;&gt;0,+K795/Planning[[#This Row],[Horas Planificadas]],0)</f>
        <v>0</v>
      </c>
      <c r="V795" s="43">
        <f>IF(Planning[[#This Row],[Horas Planificadas]]&lt;&gt;0,Planning[[#This Row],[Horas utilizadas]]/Planning[[#This Row],[Horas Planificadas]],0)</f>
        <v>0</v>
      </c>
      <c r="W795" s="44">
        <f>Planning[[#This Row],[Horas Planificadas]]+Planning[[#This Row],[Horas ajustadas adicionales]]</f>
        <v>0</v>
      </c>
      <c r="X795" s="142"/>
    </row>
    <row r="796" spans="1:24" ht="12.75" customHeight="1" x14ac:dyDescent="0.2">
      <c r="A796" s="7"/>
      <c r="B796" s="7"/>
      <c r="C796" s="3"/>
      <c r="D796" s="3" t="s">
        <v>231</v>
      </c>
      <c r="E796" s="33" t="s">
        <v>30</v>
      </c>
      <c r="F796" s="3"/>
      <c r="G796" s="7"/>
      <c r="H796" s="7">
        <v>80</v>
      </c>
      <c r="I796" s="12"/>
      <c r="J796" s="5" t="e">
        <f>+SUMIFS(#REF!,#REF!,Planning[[#This Row],[Tarifa]],#REF!,Planning[[#This Row],[Proyectos]])</f>
        <v>#REF!</v>
      </c>
      <c r="K796" s="5" t="e">
        <f>Planning[[#This Row],[Horas Planificadas]]+Planning[[#This Row],[Horas ajustadas adicionales]]-Planning[[#This Row],[Horas utilizadas]]</f>
        <v>#REF!</v>
      </c>
      <c r="L796" s="7"/>
      <c r="M796" s="19" t="e">
        <f>Planning[[#This Row],[Saldo]]-Planning[[#This Row],[Saldo estimado]]</f>
        <v>#REF!</v>
      </c>
      <c r="N796" s="60" t="e">
        <f>+SUMIFS(#REF!,#REF!,Planning[[#This Row],[Proyectos]],#REF!,Planning[[#This Row],[Tipo de Tarea y especialidad]])</f>
        <v>#REF!</v>
      </c>
      <c r="O796" s="19">
        <f t="shared" si="24"/>
        <v>10</v>
      </c>
      <c r="P796" s="19">
        <f t="shared" si="25"/>
        <v>2024</v>
      </c>
      <c r="Q796" s="19" t="e">
        <f>+SUMIFS(#REF!,#REF!,Planning[[#This Row],[Tarifa]],#REF!,Planning[[#This Row],[Proyectos]],#REF!,Planning[[#This Row],[Mes]],#REF!,Planning[[#This Row],[Año]])</f>
        <v>#REF!</v>
      </c>
      <c r="R796" s="19" t="str">
        <f>TEXT(Planning[[#This Row],[Mes]]*29,"mmmm")</f>
        <v>October</v>
      </c>
      <c r="S7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96" s="228"/>
      <c r="U796" s="43" t="e">
        <f>IF(Planning[[#This Row],[Horas Planificadas]]&lt;&gt;0,+K796/Planning[[#This Row],[Horas Planificadas]],0)</f>
        <v>#REF!</v>
      </c>
      <c r="V796" s="43" t="e">
        <f>IF(Planning[[#This Row],[Horas Planificadas]]&lt;&gt;0,Planning[[#This Row],[Horas utilizadas]]/Planning[[#This Row],[Horas Planificadas]],0)</f>
        <v>#REF!</v>
      </c>
      <c r="W796" s="44">
        <f>Planning[[#This Row],[Horas Planificadas]]+Planning[[#This Row],[Horas ajustadas adicionales]]</f>
        <v>80</v>
      </c>
      <c r="X796" s="142"/>
    </row>
    <row r="797" spans="1:24" ht="12.75" customHeight="1" x14ac:dyDescent="0.2">
      <c r="A797" s="7"/>
      <c r="B797" s="7"/>
      <c r="C797" s="3"/>
      <c r="D797" s="3" t="s">
        <v>231</v>
      </c>
      <c r="E797" s="33" t="s">
        <v>31</v>
      </c>
      <c r="F797" s="3"/>
      <c r="G797" s="7"/>
      <c r="H797" s="7">
        <v>4</v>
      </c>
      <c r="I797" s="12"/>
      <c r="J797" s="5" t="e">
        <f>+SUMIFS(#REF!,#REF!,Planning[[#This Row],[Tarifa]],#REF!,Planning[[#This Row],[Proyectos]])</f>
        <v>#REF!</v>
      </c>
      <c r="K797" s="5" t="e">
        <f>Planning[[#This Row],[Horas Planificadas]]+Planning[[#This Row],[Horas ajustadas adicionales]]-Planning[[#This Row],[Horas utilizadas]]</f>
        <v>#REF!</v>
      </c>
      <c r="L797" s="7"/>
      <c r="M797" s="19" t="e">
        <f>Planning[[#This Row],[Saldo]]-Planning[[#This Row],[Saldo estimado]]</f>
        <v>#REF!</v>
      </c>
      <c r="N797" s="60" t="e">
        <f>+SUMIFS(#REF!,#REF!,Planning[[#This Row],[Proyectos]],#REF!,Planning[[#This Row],[Tipo de Tarea y especialidad]])</f>
        <v>#REF!</v>
      </c>
      <c r="O797" s="19">
        <f t="shared" si="24"/>
        <v>10</v>
      </c>
      <c r="P797" s="19">
        <f t="shared" si="25"/>
        <v>2024</v>
      </c>
      <c r="Q797" s="19" t="e">
        <f>+SUMIFS(#REF!,#REF!,Planning[[#This Row],[Tarifa]],#REF!,Planning[[#This Row],[Proyectos]],#REF!,Planning[[#This Row],[Mes]],#REF!,Planning[[#This Row],[Año]])</f>
        <v>#REF!</v>
      </c>
      <c r="R797" s="19" t="str">
        <f>TEXT(Planning[[#This Row],[Mes]]*29,"mmmm")</f>
        <v>October</v>
      </c>
      <c r="S7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97" s="228"/>
      <c r="U797" s="43" t="e">
        <f>IF(Planning[[#This Row],[Horas Planificadas]]&lt;&gt;0,+K797/Planning[[#This Row],[Horas Planificadas]],0)</f>
        <v>#REF!</v>
      </c>
      <c r="V797" s="43" t="e">
        <f>IF(Planning[[#This Row],[Horas Planificadas]]&lt;&gt;0,Planning[[#This Row],[Horas utilizadas]]/Planning[[#This Row],[Horas Planificadas]],0)</f>
        <v>#REF!</v>
      </c>
      <c r="W797" s="44">
        <f>Planning[[#This Row],[Horas Planificadas]]+Planning[[#This Row],[Horas ajustadas adicionales]]</f>
        <v>4</v>
      </c>
      <c r="X797" s="142"/>
    </row>
    <row r="798" spans="1:24" ht="12.75" customHeight="1" x14ac:dyDescent="0.2">
      <c r="A798" s="7"/>
      <c r="B798" s="7"/>
      <c r="C798" s="3"/>
      <c r="D798" s="3" t="s">
        <v>231</v>
      </c>
      <c r="E798" s="33" t="s">
        <v>32</v>
      </c>
      <c r="F798" s="3"/>
      <c r="G798" s="7"/>
      <c r="H798" s="7">
        <v>27</v>
      </c>
      <c r="I798" s="12"/>
      <c r="J798" s="5" t="e">
        <f>+SUMIFS(#REF!,#REF!,Planning[[#This Row],[Tarifa]],#REF!,Planning[[#This Row],[Proyectos]])</f>
        <v>#REF!</v>
      </c>
      <c r="K798" s="5" t="e">
        <f>Planning[[#This Row],[Horas Planificadas]]+Planning[[#This Row],[Horas ajustadas adicionales]]-Planning[[#This Row],[Horas utilizadas]]</f>
        <v>#REF!</v>
      </c>
      <c r="L798" s="7"/>
      <c r="M798" s="19" t="e">
        <f>Planning[[#This Row],[Saldo]]-Planning[[#This Row],[Saldo estimado]]</f>
        <v>#REF!</v>
      </c>
      <c r="N798" s="60" t="e">
        <f>+SUMIFS(#REF!,#REF!,Planning[[#This Row],[Proyectos]],#REF!,Planning[[#This Row],[Tipo de Tarea y especialidad]])</f>
        <v>#REF!</v>
      </c>
      <c r="O798" s="19">
        <f t="shared" si="24"/>
        <v>10</v>
      </c>
      <c r="P798" s="19">
        <f t="shared" si="25"/>
        <v>2024</v>
      </c>
      <c r="Q798" s="19" t="e">
        <f>+SUMIFS(#REF!,#REF!,Planning[[#This Row],[Tarifa]],#REF!,Planning[[#This Row],[Proyectos]],#REF!,Planning[[#This Row],[Mes]],#REF!,Planning[[#This Row],[Año]])</f>
        <v>#REF!</v>
      </c>
      <c r="R798" s="19" t="str">
        <f>TEXT(Planning[[#This Row],[Mes]]*29,"mmmm")</f>
        <v>October</v>
      </c>
      <c r="S7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98" s="228"/>
      <c r="U798" s="43" t="e">
        <f>IF(Planning[[#This Row],[Horas Planificadas]]&lt;&gt;0,+K798/Planning[[#This Row],[Horas Planificadas]],0)</f>
        <v>#REF!</v>
      </c>
      <c r="V798" s="43" t="e">
        <f>IF(Planning[[#This Row],[Horas Planificadas]]&lt;&gt;0,Planning[[#This Row],[Horas utilizadas]]/Planning[[#This Row],[Horas Planificadas]],0)</f>
        <v>#REF!</v>
      </c>
      <c r="W798" s="44">
        <f>Planning[[#This Row],[Horas Planificadas]]+Planning[[#This Row],[Horas ajustadas adicionales]]</f>
        <v>27</v>
      </c>
      <c r="X798" s="142"/>
    </row>
    <row r="799" spans="1:24" ht="12.75" customHeight="1" x14ac:dyDescent="0.2">
      <c r="A799" s="7"/>
      <c r="B799" s="7"/>
      <c r="C799" s="3"/>
      <c r="D799" s="3" t="s">
        <v>232</v>
      </c>
      <c r="E799" s="33" t="s">
        <v>28</v>
      </c>
      <c r="F799" s="3"/>
      <c r="G799" s="7"/>
      <c r="H799" s="7">
        <v>0</v>
      </c>
      <c r="I799" s="12"/>
      <c r="J799" s="5" t="e">
        <f>+SUMIFS(#REF!,#REF!,Planning[[#This Row],[Tarifa]],#REF!,Planning[[#This Row],[Proyectos]])</f>
        <v>#REF!</v>
      </c>
      <c r="K799" s="5" t="e">
        <f>Planning[[#This Row],[Horas Planificadas]]+Planning[[#This Row],[Horas ajustadas adicionales]]-Planning[[#This Row],[Horas utilizadas]]</f>
        <v>#REF!</v>
      </c>
      <c r="L799" s="7"/>
      <c r="M799" s="19" t="e">
        <f>Planning[[#This Row],[Saldo]]-Planning[[#This Row],[Saldo estimado]]</f>
        <v>#REF!</v>
      </c>
      <c r="N799" s="60" t="e">
        <f>+SUMIFS(#REF!,#REF!,Planning[[#This Row],[Proyectos]],#REF!,Planning[[#This Row],[Tipo de Tarea y especialidad]])</f>
        <v>#REF!</v>
      </c>
      <c r="O799" s="19">
        <f t="shared" si="24"/>
        <v>10</v>
      </c>
      <c r="P799" s="19">
        <f t="shared" si="25"/>
        <v>2024</v>
      </c>
      <c r="Q799" s="19" t="e">
        <f>+SUMIFS(#REF!,#REF!,Planning[[#This Row],[Tarifa]],#REF!,Planning[[#This Row],[Proyectos]],#REF!,Planning[[#This Row],[Mes]],#REF!,Planning[[#This Row],[Año]])</f>
        <v>#REF!</v>
      </c>
      <c r="R799" s="19" t="str">
        <f>TEXT(Planning[[#This Row],[Mes]]*29,"mmmm")</f>
        <v>October</v>
      </c>
      <c r="S7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799" s="228"/>
      <c r="U799" s="43">
        <f>IF(Planning[[#This Row],[Horas Planificadas]]&lt;&gt;0,+K799/Planning[[#This Row],[Horas Planificadas]],0)</f>
        <v>0</v>
      </c>
      <c r="V799" s="43">
        <f>IF(Planning[[#This Row],[Horas Planificadas]]&lt;&gt;0,Planning[[#This Row],[Horas utilizadas]]/Planning[[#This Row],[Horas Planificadas]],0)</f>
        <v>0</v>
      </c>
      <c r="W799" s="44">
        <f>Planning[[#This Row],[Horas Planificadas]]+Planning[[#This Row],[Horas ajustadas adicionales]]</f>
        <v>0</v>
      </c>
      <c r="X799" s="142"/>
    </row>
    <row r="800" spans="1:24" ht="12.75" customHeight="1" x14ac:dyDescent="0.2">
      <c r="A800" s="7"/>
      <c r="B800" s="7"/>
      <c r="C800" s="3"/>
      <c r="D800" s="3" t="s">
        <v>232</v>
      </c>
      <c r="E800" s="33" t="s">
        <v>30</v>
      </c>
      <c r="F800" s="3"/>
      <c r="G800" s="7"/>
      <c r="H800" s="7">
        <v>144</v>
      </c>
      <c r="I800" s="12"/>
      <c r="J800" s="5" t="e">
        <f>+SUMIFS(#REF!,#REF!,Planning[[#This Row],[Tarifa]],#REF!,Planning[[#This Row],[Proyectos]])</f>
        <v>#REF!</v>
      </c>
      <c r="K800" s="5" t="e">
        <f>Planning[[#This Row],[Horas Planificadas]]+Planning[[#This Row],[Horas ajustadas adicionales]]-Planning[[#This Row],[Horas utilizadas]]</f>
        <v>#REF!</v>
      </c>
      <c r="L800" s="7"/>
      <c r="M800" s="19" t="e">
        <f>Planning[[#This Row],[Saldo]]-Planning[[#This Row],[Saldo estimado]]</f>
        <v>#REF!</v>
      </c>
      <c r="N800" s="60" t="e">
        <f>+SUMIFS(#REF!,#REF!,Planning[[#This Row],[Proyectos]],#REF!,Planning[[#This Row],[Tipo de Tarea y especialidad]])</f>
        <v>#REF!</v>
      </c>
      <c r="O800" s="19">
        <f t="shared" si="24"/>
        <v>10</v>
      </c>
      <c r="P800" s="19">
        <f t="shared" si="25"/>
        <v>2024</v>
      </c>
      <c r="Q800" s="19" t="e">
        <f>+SUMIFS(#REF!,#REF!,Planning[[#This Row],[Tarifa]],#REF!,Planning[[#This Row],[Proyectos]],#REF!,Planning[[#This Row],[Mes]],#REF!,Planning[[#This Row],[Año]])</f>
        <v>#REF!</v>
      </c>
      <c r="R800" s="19" t="str">
        <f>TEXT(Planning[[#This Row],[Mes]]*29,"mmmm")</f>
        <v>October</v>
      </c>
      <c r="S8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00" s="228"/>
      <c r="U800" s="43" t="e">
        <f>IF(Planning[[#This Row],[Horas Planificadas]]&lt;&gt;0,+K800/Planning[[#This Row],[Horas Planificadas]],0)</f>
        <v>#REF!</v>
      </c>
      <c r="V800" s="43" t="e">
        <f>IF(Planning[[#This Row],[Horas Planificadas]]&lt;&gt;0,Planning[[#This Row],[Horas utilizadas]]/Planning[[#This Row],[Horas Planificadas]],0)</f>
        <v>#REF!</v>
      </c>
      <c r="W800" s="44">
        <f>Planning[[#This Row],[Horas Planificadas]]+Planning[[#This Row],[Horas ajustadas adicionales]]</f>
        <v>144</v>
      </c>
      <c r="X800" s="142"/>
    </row>
    <row r="801" spans="1:24" ht="12.75" customHeight="1" x14ac:dyDescent="0.2">
      <c r="A801" s="7"/>
      <c r="B801" s="7"/>
      <c r="C801" s="3"/>
      <c r="D801" s="3" t="s">
        <v>232</v>
      </c>
      <c r="E801" s="33" t="s">
        <v>31</v>
      </c>
      <c r="F801" s="3"/>
      <c r="G801" s="7"/>
      <c r="H801" s="7">
        <v>4</v>
      </c>
      <c r="I801" s="12"/>
      <c r="J801" s="5" t="e">
        <f>+SUMIFS(#REF!,#REF!,Planning[[#This Row],[Tarifa]],#REF!,Planning[[#This Row],[Proyectos]])</f>
        <v>#REF!</v>
      </c>
      <c r="K801" s="5" t="e">
        <f>Planning[[#This Row],[Horas Planificadas]]+Planning[[#This Row],[Horas ajustadas adicionales]]-Planning[[#This Row],[Horas utilizadas]]</f>
        <v>#REF!</v>
      </c>
      <c r="L801" s="7"/>
      <c r="M801" s="19" t="e">
        <f>Planning[[#This Row],[Saldo]]-Planning[[#This Row],[Saldo estimado]]</f>
        <v>#REF!</v>
      </c>
      <c r="N801" s="60" t="e">
        <f>+SUMIFS(#REF!,#REF!,Planning[[#This Row],[Proyectos]],#REF!,Planning[[#This Row],[Tipo de Tarea y especialidad]])</f>
        <v>#REF!</v>
      </c>
      <c r="O801" s="19">
        <f t="shared" si="24"/>
        <v>10</v>
      </c>
      <c r="P801" s="19">
        <f t="shared" si="25"/>
        <v>2024</v>
      </c>
      <c r="Q801" s="19" t="e">
        <f>+SUMIFS(#REF!,#REF!,Planning[[#This Row],[Tarifa]],#REF!,Planning[[#This Row],[Proyectos]],#REF!,Planning[[#This Row],[Mes]],#REF!,Planning[[#This Row],[Año]])</f>
        <v>#REF!</v>
      </c>
      <c r="R801" s="19" t="str">
        <f>TEXT(Planning[[#This Row],[Mes]]*29,"mmmm")</f>
        <v>October</v>
      </c>
      <c r="S8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01" s="228"/>
      <c r="U801" s="43" t="e">
        <f>IF(Planning[[#This Row],[Horas Planificadas]]&lt;&gt;0,+K801/Planning[[#This Row],[Horas Planificadas]],0)</f>
        <v>#REF!</v>
      </c>
      <c r="V801" s="43" t="e">
        <f>IF(Planning[[#This Row],[Horas Planificadas]]&lt;&gt;0,Planning[[#This Row],[Horas utilizadas]]/Planning[[#This Row],[Horas Planificadas]],0)</f>
        <v>#REF!</v>
      </c>
      <c r="W801" s="44">
        <f>Planning[[#This Row],[Horas Planificadas]]+Planning[[#This Row],[Horas ajustadas adicionales]]</f>
        <v>4</v>
      </c>
      <c r="X801" s="142"/>
    </row>
    <row r="802" spans="1:24" ht="12.75" customHeight="1" x14ac:dyDescent="0.2">
      <c r="A802" s="7"/>
      <c r="B802" s="7"/>
      <c r="C802" s="3"/>
      <c r="D802" s="3" t="s">
        <v>232</v>
      </c>
      <c r="E802" s="33" t="s">
        <v>32</v>
      </c>
      <c r="F802" s="3"/>
      <c r="G802" s="7"/>
      <c r="H802" s="7">
        <v>63</v>
      </c>
      <c r="I802" s="12"/>
      <c r="J802" s="5" t="e">
        <f>+SUMIFS(#REF!,#REF!,Planning[[#This Row],[Tarifa]],#REF!,Planning[[#This Row],[Proyectos]])</f>
        <v>#REF!</v>
      </c>
      <c r="K802" s="5" t="e">
        <f>Planning[[#This Row],[Horas Planificadas]]+Planning[[#This Row],[Horas ajustadas adicionales]]-Planning[[#This Row],[Horas utilizadas]]</f>
        <v>#REF!</v>
      </c>
      <c r="L802" s="7"/>
      <c r="M802" s="19" t="e">
        <f>Planning[[#This Row],[Saldo]]-Planning[[#This Row],[Saldo estimado]]</f>
        <v>#REF!</v>
      </c>
      <c r="N802" s="60" t="e">
        <f>+SUMIFS(#REF!,#REF!,Planning[[#This Row],[Proyectos]],#REF!,Planning[[#This Row],[Tipo de Tarea y especialidad]])</f>
        <v>#REF!</v>
      </c>
      <c r="O802" s="19">
        <f t="shared" si="24"/>
        <v>10</v>
      </c>
      <c r="P802" s="19">
        <f t="shared" si="25"/>
        <v>2024</v>
      </c>
      <c r="Q802" s="19" t="e">
        <f>+SUMIFS(#REF!,#REF!,Planning[[#This Row],[Tarifa]],#REF!,Planning[[#This Row],[Proyectos]],#REF!,Planning[[#This Row],[Mes]],#REF!,Planning[[#This Row],[Año]])</f>
        <v>#REF!</v>
      </c>
      <c r="R802" s="19" t="str">
        <f>TEXT(Planning[[#This Row],[Mes]]*29,"mmmm")</f>
        <v>October</v>
      </c>
      <c r="S8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02" s="228"/>
      <c r="U802" s="43" t="e">
        <f>IF(Planning[[#This Row],[Horas Planificadas]]&lt;&gt;0,+K802/Planning[[#This Row],[Horas Planificadas]],0)</f>
        <v>#REF!</v>
      </c>
      <c r="V802" s="43" t="e">
        <f>IF(Planning[[#This Row],[Horas Planificadas]]&lt;&gt;0,Planning[[#This Row],[Horas utilizadas]]/Planning[[#This Row],[Horas Planificadas]],0)</f>
        <v>#REF!</v>
      </c>
      <c r="W802" s="44">
        <f>Planning[[#This Row],[Horas Planificadas]]+Planning[[#This Row],[Horas ajustadas adicionales]]</f>
        <v>63</v>
      </c>
      <c r="X802" s="142"/>
    </row>
    <row r="803" spans="1:24" ht="22.5" x14ac:dyDescent="0.2">
      <c r="A803" s="7"/>
      <c r="B803" s="7"/>
      <c r="C803" s="3"/>
      <c r="D803" s="3" t="s">
        <v>233</v>
      </c>
      <c r="E803" s="33" t="s">
        <v>28</v>
      </c>
      <c r="F803" s="3"/>
      <c r="G803" s="7"/>
      <c r="H803" s="7">
        <v>0</v>
      </c>
      <c r="I803" s="12"/>
      <c r="J803" s="5" t="e">
        <f>+SUMIFS(#REF!,#REF!,Planning[[#This Row],[Tarifa]],#REF!,Planning[[#This Row],[Proyectos]])</f>
        <v>#REF!</v>
      </c>
      <c r="K803" s="5" t="e">
        <f>Planning[[#This Row],[Horas Planificadas]]+Planning[[#This Row],[Horas ajustadas adicionales]]-Planning[[#This Row],[Horas utilizadas]]</f>
        <v>#REF!</v>
      </c>
      <c r="L803" s="7"/>
      <c r="M803" s="19" t="e">
        <f>Planning[[#This Row],[Saldo]]-Planning[[#This Row],[Saldo estimado]]</f>
        <v>#REF!</v>
      </c>
      <c r="N803" s="60" t="e">
        <f>+SUMIFS(#REF!,#REF!,Planning[[#This Row],[Proyectos]],#REF!,Planning[[#This Row],[Tipo de Tarea y especialidad]])</f>
        <v>#REF!</v>
      </c>
      <c r="O803" s="19">
        <f t="shared" si="24"/>
        <v>10</v>
      </c>
      <c r="P803" s="19">
        <f t="shared" si="25"/>
        <v>2024</v>
      </c>
      <c r="Q803" s="19" t="e">
        <f>+SUMIFS(#REF!,#REF!,Planning[[#This Row],[Tarifa]],#REF!,Planning[[#This Row],[Proyectos]],#REF!,Planning[[#This Row],[Mes]],#REF!,Planning[[#This Row],[Año]])</f>
        <v>#REF!</v>
      </c>
      <c r="R803" s="19" t="str">
        <f>TEXT(Planning[[#This Row],[Mes]]*29,"mmmm")</f>
        <v>October</v>
      </c>
      <c r="S8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03" s="228"/>
      <c r="U803" s="43">
        <f>IF(Planning[[#This Row],[Horas Planificadas]]&lt;&gt;0,+K803/Planning[[#This Row],[Horas Planificadas]],0)</f>
        <v>0</v>
      </c>
      <c r="V803" s="43">
        <f>IF(Planning[[#This Row],[Horas Planificadas]]&lt;&gt;0,Planning[[#This Row],[Horas utilizadas]]/Planning[[#This Row],[Horas Planificadas]],0)</f>
        <v>0</v>
      </c>
      <c r="W803" s="44">
        <f>Planning[[#This Row],[Horas Planificadas]]+Planning[[#This Row],[Horas ajustadas adicionales]]</f>
        <v>0</v>
      </c>
      <c r="X803" s="142"/>
    </row>
    <row r="804" spans="1:24" x14ac:dyDescent="0.2">
      <c r="A804" s="7"/>
      <c r="B804" s="7"/>
      <c r="C804" s="3"/>
      <c r="D804" s="3" t="s">
        <v>233</v>
      </c>
      <c r="E804" s="33" t="s">
        <v>30</v>
      </c>
      <c r="F804" s="3"/>
      <c r="G804" s="7"/>
      <c r="H804" s="7">
        <v>80</v>
      </c>
      <c r="I804" s="12"/>
      <c r="J804" s="5" t="e">
        <f>+SUMIFS(#REF!,#REF!,Planning[[#This Row],[Tarifa]],#REF!,Planning[[#This Row],[Proyectos]])</f>
        <v>#REF!</v>
      </c>
      <c r="K804" s="5" t="e">
        <f>Planning[[#This Row],[Horas Planificadas]]+Planning[[#This Row],[Horas ajustadas adicionales]]-Planning[[#This Row],[Horas utilizadas]]</f>
        <v>#REF!</v>
      </c>
      <c r="L804" s="7"/>
      <c r="M804" s="19" t="e">
        <f>Planning[[#This Row],[Saldo]]-Planning[[#This Row],[Saldo estimado]]</f>
        <v>#REF!</v>
      </c>
      <c r="N804" s="60" t="e">
        <f>+SUMIFS(#REF!,#REF!,Planning[[#This Row],[Proyectos]],#REF!,Planning[[#This Row],[Tipo de Tarea y especialidad]])</f>
        <v>#REF!</v>
      </c>
      <c r="O804" s="19">
        <f t="shared" si="24"/>
        <v>10</v>
      </c>
      <c r="P804" s="19">
        <f t="shared" si="25"/>
        <v>2024</v>
      </c>
      <c r="Q804" s="19" t="e">
        <f>+SUMIFS(#REF!,#REF!,Planning[[#This Row],[Tarifa]],#REF!,Planning[[#This Row],[Proyectos]],#REF!,Planning[[#This Row],[Mes]],#REF!,Planning[[#This Row],[Año]])</f>
        <v>#REF!</v>
      </c>
      <c r="R804" s="19" t="str">
        <f>TEXT(Planning[[#This Row],[Mes]]*29,"mmmm")</f>
        <v>October</v>
      </c>
      <c r="S8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04" s="228"/>
      <c r="U804" s="43" t="e">
        <f>IF(Planning[[#This Row],[Horas Planificadas]]&lt;&gt;0,+K804/Planning[[#This Row],[Horas Planificadas]],0)</f>
        <v>#REF!</v>
      </c>
      <c r="V804" s="43" t="e">
        <f>IF(Planning[[#This Row],[Horas Planificadas]]&lt;&gt;0,Planning[[#This Row],[Horas utilizadas]]/Planning[[#This Row],[Horas Planificadas]],0)</f>
        <v>#REF!</v>
      </c>
      <c r="W804" s="44">
        <f>Planning[[#This Row],[Horas Planificadas]]+Planning[[#This Row],[Horas ajustadas adicionales]]</f>
        <v>80</v>
      </c>
      <c r="X804" s="142"/>
    </row>
    <row r="805" spans="1:24" x14ac:dyDescent="0.2">
      <c r="A805" s="7"/>
      <c r="B805" s="7"/>
      <c r="C805" s="3"/>
      <c r="D805" s="3" t="s">
        <v>233</v>
      </c>
      <c r="E805" s="33" t="s">
        <v>31</v>
      </c>
      <c r="F805" s="3"/>
      <c r="G805" s="7"/>
      <c r="H805" s="7">
        <v>4</v>
      </c>
      <c r="I805" s="12"/>
      <c r="J805" s="5" t="e">
        <f>+SUMIFS(#REF!,#REF!,Planning[[#This Row],[Tarifa]],#REF!,Planning[[#This Row],[Proyectos]])</f>
        <v>#REF!</v>
      </c>
      <c r="K805" s="5" t="e">
        <f>Planning[[#This Row],[Horas Planificadas]]+Planning[[#This Row],[Horas ajustadas adicionales]]-Planning[[#This Row],[Horas utilizadas]]</f>
        <v>#REF!</v>
      </c>
      <c r="L805" s="7"/>
      <c r="M805" s="19" t="e">
        <f>Planning[[#This Row],[Saldo]]-Planning[[#This Row],[Saldo estimado]]</f>
        <v>#REF!</v>
      </c>
      <c r="N805" s="60" t="e">
        <f>+SUMIFS(#REF!,#REF!,Planning[[#This Row],[Proyectos]],#REF!,Planning[[#This Row],[Tipo de Tarea y especialidad]])</f>
        <v>#REF!</v>
      </c>
      <c r="O805" s="19">
        <f t="shared" si="24"/>
        <v>10</v>
      </c>
      <c r="P805" s="19">
        <f t="shared" si="25"/>
        <v>2024</v>
      </c>
      <c r="Q805" s="19" t="e">
        <f>+SUMIFS(#REF!,#REF!,Planning[[#This Row],[Tarifa]],#REF!,Planning[[#This Row],[Proyectos]],#REF!,Planning[[#This Row],[Mes]],#REF!,Planning[[#This Row],[Año]])</f>
        <v>#REF!</v>
      </c>
      <c r="R805" s="19" t="str">
        <f>TEXT(Planning[[#This Row],[Mes]]*29,"mmmm")</f>
        <v>October</v>
      </c>
      <c r="S8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05" s="228"/>
      <c r="U805" s="43" t="e">
        <f>IF(Planning[[#This Row],[Horas Planificadas]]&lt;&gt;0,+K805/Planning[[#This Row],[Horas Planificadas]],0)</f>
        <v>#REF!</v>
      </c>
      <c r="V805" s="43" t="e">
        <f>IF(Planning[[#This Row],[Horas Planificadas]]&lt;&gt;0,Planning[[#This Row],[Horas utilizadas]]/Planning[[#This Row],[Horas Planificadas]],0)</f>
        <v>#REF!</v>
      </c>
      <c r="W805" s="44">
        <f>Planning[[#This Row],[Horas Planificadas]]+Planning[[#This Row],[Horas ajustadas adicionales]]</f>
        <v>4</v>
      </c>
      <c r="X805" s="142"/>
    </row>
    <row r="806" spans="1:24" ht="22.5" x14ac:dyDescent="0.2">
      <c r="A806" s="7"/>
      <c r="B806" s="7"/>
      <c r="C806" s="3"/>
      <c r="D806" s="3" t="s">
        <v>233</v>
      </c>
      <c r="E806" s="33" t="s">
        <v>32</v>
      </c>
      <c r="F806" s="3"/>
      <c r="G806" s="7"/>
      <c r="H806" s="7">
        <v>45</v>
      </c>
      <c r="I806" s="12"/>
      <c r="J806" s="5" t="e">
        <f>+SUMIFS(#REF!,#REF!,Planning[[#This Row],[Tarifa]],#REF!,Planning[[#This Row],[Proyectos]])</f>
        <v>#REF!</v>
      </c>
      <c r="K806" s="5" t="e">
        <f>Planning[[#This Row],[Horas Planificadas]]+Planning[[#This Row],[Horas ajustadas adicionales]]-Planning[[#This Row],[Horas utilizadas]]</f>
        <v>#REF!</v>
      </c>
      <c r="L806" s="7"/>
      <c r="M806" s="19" t="e">
        <f>Planning[[#This Row],[Saldo]]-Planning[[#This Row],[Saldo estimado]]</f>
        <v>#REF!</v>
      </c>
      <c r="N806" s="60" t="e">
        <f>+SUMIFS(#REF!,#REF!,Planning[[#This Row],[Proyectos]],#REF!,Planning[[#This Row],[Tipo de Tarea y especialidad]])</f>
        <v>#REF!</v>
      </c>
      <c r="O806" s="19">
        <f t="shared" si="24"/>
        <v>10</v>
      </c>
      <c r="P806" s="19">
        <f t="shared" si="25"/>
        <v>2024</v>
      </c>
      <c r="Q806" s="19" t="e">
        <f>+SUMIFS(#REF!,#REF!,Planning[[#This Row],[Tarifa]],#REF!,Planning[[#This Row],[Proyectos]],#REF!,Planning[[#This Row],[Mes]],#REF!,Planning[[#This Row],[Año]])</f>
        <v>#REF!</v>
      </c>
      <c r="R806" s="19" t="str">
        <f>TEXT(Planning[[#This Row],[Mes]]*29,"mmmm")</f>
        <v>October</v>
      </c>
      <c r="S8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06" s="228"/>
      <c r="U806" s="43" t="e">
        <f>IF(Planning[[#This Row],[Horas Planificadas]]&lt;&gt;0,+K806/Planning[[#This Row],[Horas Planificadas]],0)</f>
        <v>#REF!</v>
      </c>
      <c r="V806" s="43" t="e">
        <f>IF(Planning[[#This Row],[Horas Planificadas]]&lt;&gt;0,Planning[[#This Row],[Horas utilizadas]]/Planning[[#This Row],[Horas Planificadas]],0)</f>
        <v>#REF!</v>
      </c>
      <c r="W806" s="44">
        <f>Planning[[#This Row],[Horas Planificadas]]+Planning[[#This Row],[Horas ajustadas adicionales]]</f>
        <v>45</v>
      </c>
      <c r="X806" s="142"/>
    </row>
    <row r="807" spans="1:24" ht="12.75" customHeight="1" x14ac:dyDescent="0.2">
      <c r="A807" s="7"/>
      <c r="B807" s="7"/>
      <c r="C807" s="3"/>
      <c r="D807" s="3" t="s">
        <v>234</v>
      </c>
      <c r="E807" s="33" t="s">
        <v>28</v>
      </c>
      <c r="F807" s="3"/>
      <c r="G807" s="7"/>
      <c r="H807" s="7">
        <v>0</v>
      </c>
      <c r="I807" s="12"/>
      <c r="J807" s="5" t="e">
        <f>+SUMIFS(#REF!,#REF!,Planning[[#This Row],[Tarifa]],#REF!,Planning[[#This Row],[Proyectos]])</f>
        <v>#REF!</v>
      </c>
      <c r="K807" s="5" t="e">
        <f>Planning[[#This Row],[Horas Planificadas]]+Planning[[#This Row],[Horas ajustadas adicionales]]-Planning[[#This Row],[Horas utilizadas]]</f>
        <v>#REF!</v>
      </c>
      <c r="L807" s="7"/>
      <c r="M807" s="19" t="e">
        <f>Planning[[#This Row],[Saldo]]-Planning[[#This Row],[Saldo estimado]]</f>
        <v>#REF!</v>
      </c>
      <c r="N807" s="60" t="e">
        <f>+SUMIFS(#REF!,#REF!,Planning[[#This Row],[Proyectos]],#REF!,Planning[[#This Row],[Tipo de Tarea y especialidad]])</f>
        <v>#REF!</v>
      </c>
      <c r="O807" s="19">
        <f t="shared" si="24"/>
        <v>10</v>
      </c>
      <c r="P807" s="19">
        <f t="shared" si="25"/>
        <v>2024</v>
      </c>
      <c r="Q807" s="19" t="e">
        <f>+SUMIFS(#REF!,#REF!,Planning[[#This Row],[Tarifa]],#REF!,Planning[[#This Row],[Proyectos]],#REF!,Planning[[#This Row],[Mes]],#REF!,Planning[[#This Row],[Año]])</f>
        <v>#REF!</v>
      </c>
      <c r="R807" s="19" t="str">
        <f>TEXT(Planning[[#This Row],[Mes]]*29,"mmmm")</f>
        <v>October</v>
      </c>
      <c r="S8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07" s="228"/>
      <c r="U807" s="43">
        <f>IF(Planning[[#This Row],[Horas Planificadas]]&lt;&gt;0,+K807/Planning[[#This Row],[Horas Planificadas]],0)</f>
        <v>0</v>
      </c>
      <c r="V807" s="43">
        <f>IF(Planning[[#This Row],[Horas Planificadas]]&lt;&gt;0,Planning[[#This Row],[Horas utilizadas]]/Planning[[#This Row],[Horas Planificadas]],0)</f>
        <v>0</v>
      </c>
      <c r="W807" s="44">
        <f>Planning[[#This Row],[Horas Planificadas]]+Planning[[#This Row],[Horas ajustadas adicionales]]</f>
        <v>0</v>
      </c>
      <c r="X807" s="142"/>
    </row>
    <row r="808" spans="1:24" ht="12.75" customHeight="1" x14ac:dyDescent="0.2">
      <c r="A808" s="7"/>
      <c r="B808" s="7"/>
      <c r="C808" s="3"/>
      <c r="D808" s="3" t="s">
        <v>234</v>
      </c>
      <c r="E808" s="33" t="s">
        <v>30</v>
      </c>
      <c r="F808" s="3"/>
      <c r="G808" s="7"/>
      <c r="H808" s="7">
        <v>48</v>
      </c>
      <c r="I808" s="12"/>
      <c r="J808" s="5" t="e">
        <f>+SUMIFS(#REF!,#REF!,Planning[[#This Row],[Tarifa]],#REF!,Planning[[#This Row],[Proyectos]])</f>
        <v>#REF!</v>
      </c>
      <c r="K808" s="5" t="e">
        <f>Planning[[#This Row],[Horas Planificadas]]+Planning[[#This Row],[Horas ajustadas adicionales]]-Planning[[#This Row],[Horas utilizadas]]</f>
        <v>#REF!</v>
      </c>
      <c r="L808" s="7"/>
      <c r="M808" s="19" t="e">
        <f>Planning[[#This Row],[Saldo]]-Planning[[#This Row],[Saldo estimado]]</f>
        <v>#REF!</v>
      </c>
      <c r="N808" s="60" t="e">
        <f>+SUMIFS(#REF!,#REF!,Planning[[#This Row],[Proyectos]],#REF!,Planning[[#This Row],[Tipo de Tarea y especialidad]])</f>
        <v>#REF!</v>
      </c>
      <c r="O808" s="19">
        <f t="shared" si="24"/>
        <v>10</v>
      </c>
      <c r="P808" s="19">
        <f t="shared" si="25"/>
        <v>2024</v>
      </c>
      <c r="Q808" s="19" t="e">
        <f>+SUMIFS(#REF!,#REF!,Planning[[#This Row],[Tarifa]],#REF!,Planning[[#This Row],[Proyectos]],#REF!,Planning[[#This Row],[Mes]],#REF!,Planning[[#This Row],[Año]])</f>
        <v>#REF!</v>
      </c>
      <c r="R808" s="19" t="str">
        <f>TEXT(Planning[[#This Row],[Mes]]*29,"mmmm")</f>
        <v>October</v>
      </c>
      <c r="S8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08" s="228"/>
      <c r="U808" s="43" t="e">
        <f>IF(Planning[[#This Row],[Horas Planificadas]]&lt;&gt;0,+K808/Planning[[#This Row],[Horas Planificadas]],0)</f>
        <v>#REF!</v>
      </c>
      <c r="V808" s="43" t="e">
        <f>IF(Planning[[#This Row],[Horas Planificadas]]&lt;&gt;0,Planning[[#This Row],[Horas utilizadas]]/Planning[[#This Row],[Horas Planificadas]],0)</f>
        <v>#REF!</v>
      </c>
      <c r="W808" s="44">
        <f>Planning[[#This Row],[Horas Planificadas]]+Planning[[#This Row],[Horas ajustadas adicionales]]</f>
        <v>48</v>
      </c>
      <c r="X808" s="142"/>
    </row>
    <row r="809" spans="1:24" ht="12.75" customHeight="1" x14ac:dyDescent="0.2">
      <c r="A809" s="7"/>
      <c r="B809" s="7"/>
      <c r="C809" s="3"/>
      <c r="D809" s="3" t="s">
        <v>234</v>
      </c>
      <c r="E809" s="33" t="s">
        <v>31</v>
      </c>
      <c r="F809" s="3"/>
      <c r="G809" s="7"/>
      <c r="H809" s="7">
        <v>4</v>
      </c>
      <c r="I809" s="12"/>
      <c r="J809" s="5" t="e">
        <f>+SUMIFS(#REF!,#REF!,Planning[[#This Row],[Tarifa]],#REF!,Planning[[#This Row],[Proyectos]])</f>
        <v>#REF!</v>
      </c>
      <c r="K809" s="5" t="e">
        <f>Planning[[#This Row],[Horas Planificadas]]+Planning[[#This Row],[Horas ajustadas adicionales]]-Planning[[#This Row],[Horas utilizadas]]</f>
        <v>#REF!</v>
      </c>
      <c r="L809" s="7"/>
      <c r="M809" s="19" t="e">
        <f>Planning[[#This Row],[Saldo]]-Planning[[#This Row],[Saldo estimado]]</f>
        <v>#REF!</v>
      </c>
      <c r="N809" s="60" t="e">
        <f>+SUMIFS(#REF!,#REF!,Planning[[#This Row],[Proyectos]],#REF!,Planning[[#This Row],[Tipo de Tarea y especialidad]])</f>
        <v>#REF!</v>
      </c>
      <c r="O809" s="19">
        <f t="shared" si="24"/>
        <v>10</v>
      </c>
      <c r="P809" s="19">
        <f t="shared" si="25"/>
        <v>2024</v>
      </c>
      <c r="Q809" s="19" t="e">
        <f>+SUMIFS(#REF!,#REF!,Planning[[#This Row],[Tarifa]],#REF!,Planning[[#This Row],[Proyectos]],#REF!,Planning[[#This Row],[Mes]],#REF!,Planning[[#This Row],[Año]])</f>
        <v>#REF!</v>
      </c>
      <c r="R809" s="19" t="str">
        <f>TEXT(Planning[[#This Row],[Mes]]*29,"mmmm")</f>
        <v>October</v>
      </c>
      <c r="S8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09" s="228"/>
      <c r="U809" s="43" t="e">
        <f>IF(Planning[[#This Row],[Horas Planificadas]]&lt;&gt;0,+K809/Planning[[#This Row],[Horas Planificadas]],0)</f>
        <v>#REF!</v>
      </c>
      <c r="V809" s="43" t="e">
        <f>IF(Planning[[#This Row],[Horas Planificadas]]&lt;&gt;0,Planning[[#This Row],[Horas utilizadas]]/Planning[[#This Row],[Horas Planificadas]],0)</f>
        <v>#REF!</v>
      </c>
      <c r="W809" s="44">
        <f>Planning[[#This Row],[Horas Planificadas]]+Planning[[#This Row],[Horas ajustadas adicionales]]</f>
        <v>4</v>
      </c>
      <c r="X809" s="142"/>
    </row>
    <row r="810" spans="1:24" ht="12.75" customHeight="1" x14ac:dyDescent="0.2">
      <c r="A810" s="7"/>
      <c r="B810" s="7"/>
      <c r="C810" s="3"/>
      <c r="D810" s="3" t="s">
        <v>234</v>
      </c>
      <c r="E810" s="33" t="s">
        <v>32</v>
      </c>
      <c r="F810" s="3"/>
      <c r="G810" s="7"/>
      <c r="H810" s="7">
        <v>36</v>
      </c>
      <c r="I810" s="12"/>
      <c r="J810" s="5" t="e">
        <f>+SUMIFS(#REF!,#REF!,Planning[[#This Row],[Tarifa]],#REF!,Planning[[#This Row],[Proyectos]])</f>
        <v>#REF!</v>
      </c>
      <c r="K810" s="5" t="e">
        <f>Planning[[#This Row],[Horas Planificadas]]+Planning[[#This Row],[Horas ajustadas adicionales]]-Planning[[#This Row],[Horas utilizadas]]</f>
        <v>#REF!</v>
      </c>
      <c r="L810" s="7"/>
      <c r="M810" s="19" t="e">
        <f>Planning[[#This Row],[Saldo]]-Planning[[#This Row],[Saldo estimado]]</f>
        <v>#REF!</v>
      </c>
      <c r="N810" s="60" t="e">
        <f>+SUMIFS(#REF!,#REF!,Planning[[#This Row],[Proyectos]],#REF!,Planning[[#This Row],[Tipo de Tarea y especialidad]])</f>
        <v>#REF!</v>
      </c>
      <c r="O810" s="19">
        <f t="shared" si="24"/>
        <v>10</v>
      </c>
      <c r="P810" s="19">
        <f t="shared" si="25"/>
        <v>2024</v>
      </c>
      <c r="Q810" s="19" t="e">
        <f>+SUMIFS(#REF!,#REF!,Planning[[#This Row],[Tarifa]],#REF!,Planning[[#This Row],[Proyectos]],#REF!,Planning[[#This Row],[Mes]],#REF!,Planning[[#This Row],[Año]])</f>
        <v>#REF!</v>
      </c>
      <c r="R810" s="19" t="str">
        <f>TEXT(Planning[[#This Row],[Mes]]*29,"mmmm")</f>
        <v>October</v>
      </c>
      <c r="S8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10" s="228"/>
      <c r="U810" s="43" t="e">
        <f>IF(Planning[[#This Row],[Horas Planificadas]]&lt;&gt;0,+K810/Planning[[#This Row],[Horas Planificadas]],0)</f>
        <v>#REF!</v>
      </c>
      <c r="V810" s="43" t="e">
        <f>IF(Planning[[#This Row],[Horas Planificadas]]&lt;&gt;0,Planning[[#This Row],[Horas utilizadas]]/Planning[[#This Row],[Horas Planificadas]],0)</f>
        <v>#REF!</v>
      </c>
      <c r="W810" s="44">
        <f>Planning[[#This Row],[Horas Planificadas]]+Planning[[#This Row],[Horas ajustadas adicionales]]</f>
        <v>36</v>
      </c>
      <c r="X810" s="142"/>
    </row>
    <row r="811" spans="1:24" ht="12.75" customHeight="1" x14ac:dyDescent="0.2">
      <c r="A811" s="7"/>
      <c r="B811" s="7"/>
      <c r="C811" s="3"/>
      <c r="D811" s="3" t="s">
        <v>235</v>
      </c>
      <c r="E811" s="33" t="s">
        <v>28</v>
      </c>
      <c r="F811" s="3"/>
      <c r="G811" s="7"/>
      <c r="H811" s="7">
        <v>205</v>
      </c>
      <c r="I811" s="12"/>
      <c r="J811" s="5" t="e">
        <f>+SUMIFS(#REF!,#REF!,Planning[[#This Row],[Tarifa]],#REF!,Planning[[#This Row],[Proyectos]])</f>
        <v>#REF!</v>
      </c>
      <c r="K811" s="5" t="e">
        <f>Planning[[#This Row],[Horas Planificadas]]+Planning[[#This Row],[Horas ajustadas adicionales]]-Planning[[#This Row],[Horas utilizadas]]</f>
        <v>#REF!</v>
      </c>
      <c r="L811" s="7"/>
      <c r="M811" s="19" t="e">
        <f>Planning[[#This Row],[Saldo]]-Planning[[#This Row],[Saldo estimado]]</f>
        <v>#REF!</v>
      </c>
      <c r="N811" s="60" t="e">
        <f>+SUMIFS(#REF!,#REF!,Planning[[#This Row],[Proyectos]],#REF!,Planning[[#This Row],[Tipo de Tarea y especialidad]])</f>
        <v>#REF!</v>
      </c>
      <c r="O811" s="19">
        <f t="shared" si="24"/>
        <v>10</v>
      </c>
      <c r="P811" s="19">
        <f t="shared" si="25"/>
        <v>2024</v>
      </c>
      <c r="Q811" s="19" t="e">
        <f>+SUMIFS(#REF!,#REF!,Planning[[#This Row],[Tarifa]],#REF!,Planning[[#This Row],[Proyectos]],#REF!,Planning[[#This Row],[Mes]],#REF!,Planning[[#This Row],[Año]])</f>
        <v>#REF!</v>
      </c>
      <c r="R811" s="19" t="str">
        <f>TEXT(Planning[[#This Row],[Mes]]*29,"mmmm")</f>
        <v>October</v>
      </c>
      <c r="S8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11" s="228"/>
      <c r="U811" s="43" t="e">
        <f>IF(Planning[[#This Row],[Horas Planificadas]]&lt;&gt;0,+K811/Planning[[#This Row],[Horas Planificadas]],0)</f>
        <v>#REF!</v>
      </c>
      <c r="V811" s="43" t="e">
        <f>IF(Planning[[#This Row],[Horas Planificadas]]&lt;&gt;0,Planning[[#This Row],[Horas utilizadas]]/Planning[[#This Row],[Horas Planificadas]],0)</f>
        <v>#REF!</v>
      </c>
      <c r="W811" s="44">
        <f>Planning[[#This Row],[Horas Planificadas]]+Planning[[#This Row],[Horas ajustadas adicionales]]</f>
        <v>205</v>
      </c>
      <c r="X811" s="142"/>
    </row>
    <row r="812" spans="1:24" ht="12.75" customHeight="1" x14ac:dyDescent="0.2">
      <c r="A812" s="7"/>
      <c r="B812" s="7"/>
      <c r="C812" s="3"/>
      <c r="D812" s="3" t="s">
        <v>235</v>
      </c>
      <c r="E812" s="33" t="s">
        <v>30</v>
      </c>
      <c r="F812" s="3"/>
      <c r="G812" s="7"/>
      <c r="H812" s="7">
        <v>224</v>
      </c>
      <c r="I812" s="12"/>
      <c r="J812" s="5" t="e">
        <f>+SUMIFS(#REF!,#REF!,Planning[[#This Row],[Tarifa]],#REF!,Planning[[#This Row],[Proyectos]])</f>
        <v>#REF!</v>
      </c>
      <c r="K812" s="5" t="e">
        <f>Planning[[#This Row],[Horas Planificadas]]+Planning[[#This Row],[Horas ajustadas adicionales]]-Planning[[#This Row],[Horas utilizadas]]</f>
        <v>#REF!</v>
      </c>
      <c r="L812" s="7"/>
      <c r="M812" s="19" t="e">
        <f>Planning[[#This Row],[Saldo]]-Planning[[#This Row],[Saldo estimado]]</f>
        <v>#REF!</v>
      </c>
      <c r="N812" s="60" t="e">
        <f>+SUMIFS(#REF!,#REF!,Planning[[#This Row],[Proyectos]],#REF!,Planning[[#This Row],[Tipo de Tarea y especialidad]])</f>
        <v>#REF!</v>
      </c>
      <c r="O812" s="19">
        <f t="shared" si="24"/>
        <v>10</v>
      </c>
      <c r="P812" s="19">
        <f t="shared" si="25"/>
        <v>2024</v>
      </c>
      <c r="Q812" s="19" t="e">
        <f>+SUMIFS(#REF!,#REF!,Planning[[#This Row],[Tarifa]],#REF!,Planning[[#This Row],[Proyectos]],#REF!,Planning[[#This Row],[Mes]],#REF!,Planning[[#This Row],[Año]])</f>
        <v>#REF!</v>
      </c>
      <c r="R812" s="19" t="str">
        <f>TEXT(Planning[[#This Row],[Mes]]*29,"mmmm")</f>
        <v>October</v>
      </c>
      <c r="S8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12" s="228"/>
      <c r="U812" s="43" t="e">
        <f>IF(Planning[[#This Row],[Horas Planificadas]]&lt;&gt;0,+K812/Planning[[#This Row],[Horas Planificadas]],0)</f>
        <v>#REF!</v>
      </c>
      <c r="V812" s="43" t="e">
        <f>IF(Planning[[#This Row],[Horas Planificadas]]&lt;&gt;0,Planning[[#This Row],[Horas utilizadas]]/Planning[[#This Row],[Horas Planificadas]],0)</f>
        <v>#REF!</v>
      </c>
      <c r="W812" s="44">
        <f>Planning[[#This Row],[Horas Planificadas]]+Planning[[#This Row],[Horas ajustadas adicionales]]</f>
        <v>224</v>
      </c>
      <c r="X812" s="142"/>
    </row>
    <row r="813" spans="1:24" ht="12.75" customHeight="1" x14ac:dyDescent="0.2">
      <c r="A813" s="7"/>
      <c r="B813" s="7"/>
      <c r="C813" s="3"/>
      <c r="D813" s="3" t="s">
        <v>235</v>
      </c>
      <c r="E813" s="33" t="s">
        <v>31</v>
      </c>
      <c r="F813" s="3"/>
      <c r="G813" s="7"/>
      <c r="H813" s="7">
        <v>130</v>
      </c>
      <c r="I813" s="12"/>
      <c r="J813" s="5" t="e">
        <f>+SUMIFS(#REF!,#REF!,Planning[[#This Row],[Tarifa]],#REF!,Planning[[#This Row],[Proyectos]])</f>
        <v>#REF!</v>
      </c>
      <c r="K813" s="5" t="e">
        <f>Planning[[#This Row],[Horas Planificadas]]+Planning[[#This Row],[Horas ajustadas adicionales]]-Planning[[#This Row],[Horas utilizadas]]</f>
        <v>#REF!</v>
      </c>
      <c r="L813" s="7"/>
      <c r="M813" s="19" t="e">
        <f>Planning[[#This Row],[Saldo]]-Planning[[#This Row],[Saldo estimado]]</f>
        <v>#REF!</v>
      </c>
      <c r="N813" s="60" t="e">
        <f>+SUMIFS(#REF!,#REF!,Planning[[#This Row],[Proyectos]],#REF!,Planning[[#This Row],[Tipo de Tarea y especialidad]])</f>
        <v>#REF!</v>
      </c>
      <c r="O813" s="19">
        <f t="shared" si="24"/>
        <v>10</v>
      </c>
      <c r="P813" s="19">
        <f t="shared" si="25"/>
        <v>2024</v>
      </c>
      <c r="Q813" s="19" t="e">
        <f>+SUMIFS(#REF!,#REF!,Planning[[#This Row],[Tarifa]],#REF!,Planning[[#This Row],[Proyectos]],#REF!,Planning[[#This Row],[Mes]],#REF!,Planning[[#This Row],[Año]])</f>
        <v>#REF!</v>
      </c>
      <c r="R813" s="19" t="str">
        <f>TEXT(Planning[[#This Row],[Mes]]*29,"mmmm")</f>
        <v>October</v>
      </c>
      <c r="S8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13" s="228"/>
      <c r="U813" s="43" t="e">
        <f>IF(Planning[[#This Row],[Horas Planificadas]]&lt;&gt;0,+K813/Planning[[#This Row],[Horas Planificadas]],0)</f>
        <v>#REF!</v>
      </c>
      <c r="V813" s="43" t="e">
        <f>IF(Planning[[#This Row],[Horas Planificadas]]&lt;&gt;0,Planning[[#This Row],[Horas utilizadas]]/Planning[[#This Row],[Horas Planificadas]],0)</f>
        <v>#REF!</v>
      </c>
      <c r="W813" s="44">
        <f>Planning[[#This Row],[Horas Planificadas]]+Planning[[#This Row],[Horas ajustadas adicionales]]</f>
        <v>130</v>
      </c>
      <c r="X813" s="142"/>
    </row>
    <row r="814" spans="1:24" ht="12.75" customHeight="1" x14ac:dyDescent="0.2">
      <c r="A814" s="7"/>
      <c r="B814" s="7"/>
      <c r="C814" s="3"/>
      <c r="D814" s="3" t="s">
        <v>235</v>
      </c>
      <c r="E814" s="33" t="s">
        <v>32</v>
      </c>
      <c r="F814" s="3"/>
      <c r="G814" s="7"/>
      <c r="H814" s="7">
        <v>184</v>
      </c>
      <c r="I814" s="12"/>
      <c r="J814" s="5" t="e">
        <f>+SUMIFS(#REF!,#REF!,Planning[[#This Row],[Tarifa]],#REF!,Planning[[#This Row],[Proyectos]])</f>
        <v>#REF!</v>
      </c>
      <c r="K814" s="5" t="e">
        <f>Planning[[#This Row],[Horas Planificadas]]+Planning[[#This Row],[Horas ajustadas adicionales]]-Planning[[#This Row],[Horas utilizadas]]</f>
        <v>#REF!</v>
      </c>
      <c r="L814" s="7"/>
      <c r="M814" s="19" t="e">
        <f>Planning[[#This Row],[Saldo]]-Planning[[#This Row],[Saldo estimado]]</f>
        <v>#REF!</v>
      </c>
      <c r="N814" s="60" t="e">
        <f>+SUMIFS(#REF!,#REF!,Planning[[#This Row],[Proyectos]],#REF!,Planning[[#This Row],[Tipo de Tarea y especialidad]])</f>
        <v>#REF!</v>
      </c>
      <c r="O814" s="19">
        <f t="shared" si="24"/>
        <v>10</v>
      </c>
      <c r="P814" s="19">
        <f t="shared" si="25"/>
        <v>2024</v>
      </c>
      <c r="Q814" s="19" t="e">
        <f>+SUMIFS(#REF!,#REF!,Planning[[#This Row],[Tarifa]],#REF!,Planning[[#This Row],[Proyectos]],#REF!,Planning[[#This Row],[Mes]],#REF!,Planning[[#This Row],[Año]])</f>
        <v>#REF!</v>
      </c>
      <c r="R814" s="19" t="str">
        <f>TEXT(Planning[[#This Row],[Mes]]*29,"mmmm")</f>
        <v>October</v>
      </c>
      <c r="S8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14" s="228"/>
      <c r="U814" s="43" t="e">
        <f>IF(Planning[[#This Row],[Horas Planificadas]]&lt;&gt;0,+K814/Planning[[#This Row],[Horas Planificadas]],0)</f>
        <v>#REF!</v>
      </c>
      <c r="V814" s="43" t="e">
        <f>IF(Planning[[#This Row],[Horas Planificadas]]&lt;&gt;0,Planning[[#This Row],[Horas utilizadas]]/Planning[[#This Row],[Horas Planificadas]],0)</f>
        <v>#REF!</v>
      </c>
      <c r="W814" s="44">
        <f>Planning[[#This Row],[Horas Planificadas]]+Planning[[#This Row],[Horas ajustadas adicionales]]</f>
        <v>184</v>
      </c>
      <c r="X814" s="142"/>
    </row>
    <row r="815" spans="1:24" ht="12.75" customHeight="1" x14ac:dyDescent="0.2">
      <c r="A815" s="7"/>
      <c r="B815" s="7"/>
      <c r="C815" s="3"/>
      <c r="D815" s="3" t="s">
        <v>236</v>
      </c>
      <c r="E815" s="33" t="s">
        <v>28</v>
      </c>
      <c r="F815" s="3"/>
      <c r="G815" s="7"/>
      <c r="H815" s="7">
        <v>40</v>
      </c>
      <c r="I815" s="12"/>
      <c r="J815" s="5" t="e">
        <f>+SUMIFS(#REF!,#REF!,Planning[[#This Row],[Tarifa]],#REF!,Planning[[#This Row],[Proyectos]])</f>
        <v>#REF!</v>
      </c>
      <c r="K815" s="5" t="e">
        <f>Planning[[#This Row],[Horas Planificadas]]+Planning[[#This Row],[Horas ajustadas adicionales]]-Planning[[#This Row],[Horas utilizadas]]</f>
        <v>#REF!</v>
      </c>
      <c r="L815" s="7"/>
      <c r="M815" s="19" t="e">
        <f>Planning[[#This Row],[Saldo]]-Planning[[#This Row],[Saldo estimado]]</f>
        <v>#REF!</v>
      </c>
      <c r="N815" s="60" t="e">
        <f>+SUMIFS(#REF!,#REF!,Planning[[#This Row],[Proyectos]],#REF!,Planning[[#This Row],[Tipo de Tarea y especialidad]])</f>
        <v>#REF!</v>
      </c>
      <c r="O815" s="19">
        <f t="shared" si="24"/>
        <v>10</v>
      </c>
      <c r="P815" s="19">
        <f t="shared" si="25"/>
        <v>2024</v>
      </c>
      <c r="Q815" s="19" t="e">
        <f>+SUMIFS(#REF!,#REF!,Planning[[#This Row],[Tarifa]],#REF!,Planning[[#This Row],[Proyectos]],#REF!,Planning[[#This Row],[Mes]],#REF!,Planning[[#This Row],[Año]])</f>
        <v>#REF!</v>
      </c>
      <c r="R815" s="19" t="str">
        <f>TEXT(Planning[[#This Row],[Mes]]*29,"mmmm")</f>
        <v>October</v>
      </c>
      <c r="S8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15" s="228"/>
      <c r="U815" s="43" t="e">
        <f>IF(Planning[[#This Row],[Horas Planificadas]]&lt;&gt;0,+K815/Planning[[#This Row],[Horas Planificadas]],0)</f>
        <v>#REF!</v>
      </c>
      <c r="V815" s="43" t="e">
        <f>IF(Planning[[#This Row],[Horas Planificadas]]&lt;&gt;0,Planning[[#This Row],[Horas utilizadas]]/Planning[[#This Row],[Horas Planificadas]],0)</f>
        <v>#REF!</v>
      </c>
      <c r="W815" s="44">
        <f>Planning[[#This Row],[Horas Planificadas]]+Planning[[#This Row],[Horas ajustadas adicionales]]</f>
        <v>40</v>
      </c>
      <c r="X815" s="142"/>
    </row>
    <row r="816" spans="1:24" ht="12.75" customHeight="1" x14ac:dyDescent="0.2">
      <c r="A816" s="7"/>
      <c r="B816" s="7"/>
      <c r="C816" s="3"/>
      <c r="D816" s="3" t="s">
        <v>236</v>
      </c>
      <c r="E816" s="33" t="s">
        <v>30</v>
      </c>
      <c r="F816" s="3"/>
      <c r="G816" s="7"/>
      <c r="H816" s="7">
        <v>0</v>
      </c>
      <c r="I816" s="12"/>
      <c r="J816" s="5" t="e">
        <f>+SUMIFS(#REF!,#REF!,Planning[[#This Row],[Tarifa]],#REF!,Planning[[#This Row],[Proyectos]])</f>
        <v>#REF!</v>
      </c>
      <c r="K816" s="5" t="e">
        <f>Planning[[#This Row],[Horas Planificadas]]+Planning[[#This Row],[Horas ajustadas adicionales]]-Planning[[#This Row],[Horas utilizadas]]</f>
        <v>#REF!</v>
      </c>
      <c r="L816" s="7"/>
      <c r="M816" s="19" t="e">
        <f>Planning[[#This Row],[Saldo]]-Planning[[#This Row],[Saldo estimado]]</f>
        <v>#REF!</v>
      </c>
      <c r="N816" s="60" t="e">
        <f>+SUMIFS(#REF!,#REF!,Planning[[#This Row],[Proyectos]],#REF!,Planning[[#This Row],[Tipo de Tarea y especialidad]])</f>
        <v>#REF!</v>
      </c>
      <c r="O816" s="19">
        <f t="shared" si="24"/>
        <v>10</v>
      </c>
      <c r="P816" s="19">
        <f t="shared" si="25"/>
        <v>2024</v>
      </c>
      <c r="Q816" s="19" t="e">
        <f>+SUMIFS(#REF!,#REF!,Planning[[#This Row],[Tarifa]],#REF!,Planning[[#This Row],[Proyectos]],#REF!,Planning[[#This Row],[Mes]],#REF!,Planning[[#This Row],[Año]])</f>
        <v>#REF!</v>
      </c>
      <c r="R816" s="19" t="str">
        <f>TEXT(Planning[[#This Row],[Mes]]*29,"mmmm")</f>
        <v>October</v>
      </c>
      <c r="S8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16" s="228"/>
      <c r="U816" s="43">
        <f>IF(Planning[[#This Row],[Horas Planificadas]]&lt;&gt;0,+K816/Planning[[#This Row],[Horas Planificadas]],0)</f>
        <v>0</v>
      </c>
      <c r="V816" s="43">
        <f>IF(Planning[[#This Row],[Horas Planificadas]]&lt;&gt;0,Planning[[#This Row],[Horas utilizadas]]/Planning[[#This Row],[Horas Planificadas]],0)</f>
        <v>0</v>
      </c>
      <c r="W816" s="44">
        <f>Planning[[#This Row],[Horas Planificadas]]+Planning[[#This Row],[Horas ajustadas adicionales]]</f>
        <v>0</v>
      </c>
      <c r="X816" s="142"/>
    </row>
    <row r="817" spans="1:24" ht="12.75" customHeight="1" x14ac:dyDescent="0.2">
      <c r="A817" s="7"/>
      <c r="B817" s="7"/>
      <c r="C817" s="3"/>
      <c r="D817" s="3" t="s">
        <v>236</v>
      </c>
      <c r="E817" s="33" t="s">
        <v>31</v>
      </c>
      <c r="F817" s="3"/>
      <c r="G817" s="7"/>
      <c r="H817" s="7">
        <v>120</v>
      </c>
      <c r="I817" s="12"/>
      <c r="J817" s="5" t="e">
        <f>+SUMIFS(#REF!,#REF!,Planning[[#This Row],[Tarifa]],#REF!,Planning[[#This Row],[Proyectos]])</f>
        <v>#REF!</v>
      </c>
      <c r="K817" s="5" t="e">
        <f>Planning[[#This Row],[Horas Planificadas]]+Planning[[#This Row],[Horas ajustadas adicionales]]-Planning[[#This Row],[Horas utilizadas]]</f>
        <v>#REF!</v>
      </c>
      <c r="L817" s="7"/>
      <c r="M817" s="19" t="e">
        <f>Planning[[#This Row],[Saldo]]-Planning[[#This Row],[Saldo estimado]]</f>
        <v>#REF!</v>
      </c>
      <c r="N817" s="60" t="e">
        <f>+SUMIFS(#REF!,#REF!,Planning[[#This Row],[Proyectos]],#REF!,Planning[[#This Row],[Tipo de Tarea y especialidad]])</f>
        <v>#REF!</v>
      </c>
      <c r="O817" s="19">
        <f t="shared" si="24"/>
        <v>10</v>
      </c>
      <c r="P817" s="19">
        <f t="shared" si="25"/>
        <v>2024</v>
      </c>
      <c r="Q817" s="19" t="e">
        <f>+SUMIFS(#REF!,#REF!,Planning[[#This Row],[Tarifa]],#REF!,Planning[[#This Row],[Proyectos]],#REF!,Planning[[#This Row],[Mes]],#REF!,Planning[[#This Row],[Año]])</f>
        <v>#REF!</v>
      </c>
      <c r="R817" s="19" t="str">
        <f>TEXT(Planning[[#This Row],[Mes]]*29,"mmmm")</f>
        <v>October</v>
      </c>
      <c r="S8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17" s="228"/>
      <c r="U817" s="43" t="e">
        <f>IF(Planning[[#This Row],[Horas Planificadas]]&lt;&gt;0,+K817/Planning[[#This Row],[Horas Planificadas]],0)</f>
        <v>#REF!</v>
      </c>
      <c r="V817" s="43" t="e">
        <f>IF(Planning[[#This Row],[Horas Planificadas]]&lt;&gt;0,Planning[[#This Row],[Horas utilizadas]]/Planning[[#This Row],[Horas Planificadas]],0)</f>
        <v>#REF!</v>
      </c>
      <c r="W817" s="44">
        <f>Planning[[#This Row],[Horas Planificadas]]+Planning[[#This Row],[Horas ajustadas adicionales]]</f>
        <v>120</v>
      </c>
      <c r="X817" s="142"/>
    </row>
    <row r="818" spans="1:24" ht="12.75" customHeight="1" x14ac:dyDescent="0.2">
      <c r="A818" s="7"/>
      <c r="B818" s="7"/>
      <c r="C818" s="3"/>
      <c r="D818" s="3" t="s">
        <v>236</v>
      </c>
      <c r="E818" s="33" t="s">
        <v>32</v>
      </c>
      <c r="F818" s="3"/>
      <c r="G818" s="7"/>
      <c r="H818" s="7">
        <v>200</v>
      </c>
      <c r="I818" s="12"/>
      <c r="J818" s="5" t="e">
        <f>+SUMIFS(#REF!,#REF!,Planning[[#This Row],[Tarifa]],#REF!,Planning[[#This Row],[Proyectos]])</f>
        <v>#REF!</v>
      </c>
      <c r="K818" s="5" t="e">
        <f>Planning[[#This Row],[Horas Planificadas]]+Planning[[#This Row],[Horas ajustadas adicionales]]-Planning[[#This Row],[Horas utilizadas]]</f>
        <v>#REF!</v>
      </c>
      <c r="L818" s="7"/>
      <c r="M818" s="19" t="e">
        <f>Planning[[#This Row],[Saldo]]-Planning[[#This Row],[Saldo estimado]]</f>
        <v>#REF!</v>
      </c>
      <c r="N818" s="60" t="e">
        <f>+SUMIFS(#REF!,#REF!,Planning[[#This Row],[Proyectos]],#REF!,Planning[[#This Row],[Tipo de Tarea y especialidad]])</f>
        <v>#REF!</v>
      </c>
      <c r="O818" s="19">
        <f t="shared" si="24"/>
        <v>10</v>
      </c>
      <c r="P818" s="19">
        <f t="shared" si="25"/>
        <v>2024</v>
      </c>
      <c r="Q818" s="19" t="e">
        <f>+SUMIFS(#REF!,#REF!,Planning[[#This Row],[Tarifa]],#REF!,Planning[[#This Row],[Proyectos]],#REF!,Planning[[#This Row],[Mes]],#REF!,Planning[[#This Row],[Año]])</f>
        <v>#REF!</v>
      </c>
      <c r="R818" s="19" t="str">
        <f>TEXT(Planning[[#This Row],[Mes]]*29,"mmmm")</f>
        <v>October</v>
      </c>
      <c r="S8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18" s="228"/>
      <c r="U818" s="43" t="e">
        <f>IF(Planning[[#This Row],[Horas Planificadas]]&lt;&gt;0,+K818/Planning[[#This Row],[Horas Planificadas]],0)</f>
        <v>#REF!</v>
      </c>
      <c r="V818" s="43" t="e">
        <f>IF(Planning[[#This Row],[Horas Planificadas]]&lt;&gt;0,Planning[[#This Row],[Horas utilizadas]]/Planning[[#This Row],[Horas Planificadas]],0)</f>
        <v>#REF!</v>
      </c>
      <c r="W818" s="44">
        <f>Planning[[#This Row],[Horas Planificadas]]+Planning[[#This Row],[Horas ajustadas adicionales]]</f>
        <v>200</v>
      </c>
      <c r="X818" s="142"/>
    </row>
    <row r="819" spans="1:24" ht="12.75" customHeight="1" x14ac:dyDescent="0.2">
      <c r="A819" s="7"/>
      <c r="B819" s="7"/>
      <c r="C819" s="3"/>
      <c r="D819" s="3" t="s">
        <v>237</v>
      </c>
      <c r="E819" s="33" t="s">
        <v>28</v>
      </c>
      <c r="F819" s="3"/>
      <c r="G819" s="7"/>
      <c r="H819" s="7">
        <v>0</v>
      </c>
      <c r="I819" s="12"/>
      <c r="J819" s="5" t="e">
        <f>+SUMIFS(#REF!,#REF!,Planning[[#This Row],[Tarifa]],#REF!,Planning[[#This Row],[Proyectos]])</f>
        <v>#REF!</v>
      </c>
      <c r="K819" s="5" t="e">
        <f>Planning[[#This Row],[Horas Planificadas]]+Planning[[#This Row],[Horas ajustadas adicionales]]-Planning[[#This Row],[Horas utilizadas]]</f>
        <v>#REF!</v>
      </c>
      <c r="L819" s="7"/>
      <c r="M819" s="19" t="e">
        <f>Planning[[#This Row],[Saldo]]-Planning[[#This Row],[Saldo estimado]]</f>
        <v>#REF!</v>
      </c>
      <c r="N819" s="60" t="e">
        <f>+SUMIFS(#REF!,#REF!,Planning[[#This Row],[Proyectos]],#REF!,Planning[[#This Row],[Tipo de Tarea y especialidad]])</f>
        <v>#REF!</v>
      </c>
      <c r="O819" s="19">
        <f t="shared" si="24"/>
        <v>10</v>
      </c>
      <c r="P819" s="19">
        <f t="shared" si="25"/>
        <v>2024</v>
      </c>
      <c r="Q819" s="19" t="e">
        <f>+SUMIFS(#REF!,#REF!,Planning[[#This Row],[Tarifa]],#REF!,Planning[[#This Row],[Proyectos]],#REF!,Planning[[#This Row],[Mes]],#REF!,Planning[[#This Row],[Año]])</f>
        <v>#REF!</v>
      </c>
      <c r="R819" s="19" t="str">
        <f>TEXT(Planning[[#This Row],[Mes]]*29,"mmmm")</f>
        <v>October</v>
      </c>
      <c r="S8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19" s="228"/>
      <c r="U819" s="43">
        <f>IF(Planning[[#This Row],[Horas Planificadas]]&lt;&gt;0,+K819/Planning[[#This Row],[Horas Planificadas]],0)</f>
        <v>0</v>
      </c>
      <c r="V819" s="43">
        <f>IF(Planning[[#This Row],[Horas Planificadas]]&lt;&gt;0,Planning[[#This Row],[Horas utilizadas]]/Planning[[#This Row],[Horas Planificadas]],0)</f>
        <v>0</v>
      </c>
      <c r="W819" s="44">
        <f>Planning[[#This Row],[Horas Planificadas]]+Planning[[#This Row],[Horas ajustadas adicionales]]</f>
        <v>0</v>
      </c>
      <c r="X819" s="142"/>
    </row>
    <row r="820" spans="1:24" ht="12.75" customHeight="1" x14ac:dyDescent="0.2">
      <c r="A820" s="7"/>
      <c r="B820" s="7"/>
      <c r="C820" s="3"/>
      <c r="D820" s="3" t="s">
        <v>237</v>
      </c>
      <c r="E820" s="33" t="s">
        <v>30</v>
      </c>
      <c r="F820" s="3"/>
      <c r="G820" s="7"/>
      <c r="H820" s="7">
        <v>1060</v>
      </c>
      <c r="I820" s="12"/>
      <c r="J820" s="5" t="e">
        <f>+SUMIFS(#REF!,#REF!,Planning[[#This Row],[Tarifa]],#REF!,Planning[[#This Row],[Proyectos]])</f>
        <v>#REF!</v>
      </c>
      <c r="K820" s="5" t="e">
        <f>Planning[[#This Row],[Horas Planificadas]]+Planning[[#This Row],[Horas ajustadas adicionales]]-Planning[[#This Row],[Horas utilizadas]]</f>
        <v>#REF!</v>
      </c>
      <c r="L820" s="7"/>
      <c r="M820" s="19" t="e">
        <f>Planning[[#This Row],[Saldo]]-Planning[[#This Row],[Saldo estimado]]</f>
        <v>#REF!</v>
      </c>
      <c r="N820" s="60" t="e">
        <f>+SUMIFS(#REF!,#REF!,Planning[[#This Row],[Proyectos]],#REF!,Planning[[#This Row],[Tipo de Tarea y especialidad]])</f>
        <v>#REF!</v>
      </c>
      <c r="O820" s="19">
        <f t="shared" si="24"/>
        <v>10</v>
      </c>
      <c r="P820" s="19">
        <f t="shared" si="25"/>
        <v>2024</v>
      </c>
      <c r="Q820" s="19" t="e">
        <f>+SUMIFS(#REF!,#REF!,Planning[[#This Row],[Tarifa]],#REF!,Planning[[#This Row],[Proyectos]],#REF!,Planning[[#This Row],[Mes]],#REF!,Planning[[#This Row],[Año]])</f>
        <v>#REF!</v>
      </c>
      <c r="R820" s="19" t="str">
        <f>TEXT(Planning[[#This Row],[Mes]]*29,"mmmm")</f>
        <v>October</v>
      </c>
      <c r="S8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20" s="228"/>
      <c r="U820" s="43" t="e">
        <f>IF(Planning[[#This Row],[Horas Planificadas]]&lt;&gt;0,+K820/Planning[[#This Row],[Horas Planificadas]],0)</f>
        <v>#REF!</v>
      </c>
      <c r="V820" s="43" t="e">
        <f>IF(Planning[[#This Row],[Horas Planificadas]]&lt;&gt;0,Planning[[#This Row],[Horas utilizadas]]/Planning[[#This Row],[Horas Planificadas]],0)</f>
        <v>#REF!</v>
      </c>
      <c r="W820" s="44">
        <f>Planning[[#This Row],[Horas Planificadas]]+Planning[[#This Row],[Horas ajustadas adicionales]]</f>
        <v>1060</v>
      </c>
      <c r="X820" s="142"/>
    </row>
    <row r="821" spans="1:24" ht="12.75" customHeight="1" x14ac:dyDescent="0.2">
      <c r="A821" s="7"/>
      <c r="B821" s="7"/>
      <c r="C821" s="3"/>
      <c r="D821" s="3" t="s">
        <v>237</v>
      </c>
      <c r="E821" s="33" t="s">
        <v>31</v>
      </c>
      <c r="F821" s="3"/>
      <c r="G821" s="7"/>
      <c r="H821" s="7">
        <v>207</v>
      </c>
      <c r="I821" s="12"/>
      <c r="J821" s="5" t="e">
        <f>+SUMIFS(#REF!,#REF!,Planning[[#This Row],[Tarifa]],#REF!,Planning[[#This Row],[Proyectos]])</f>
        <v>#REF!</v>
      </c>
      <c r="K821" s="5" t="e">
        <f>Planning[[#This Row],[Horas Planificadas]]+Planning[[#This Row],[Horas ajustadas adicionales]]-Planning[[#This Row],[Horas utilizadas]]</f>
        <v>#REF!</v>
      </c>
      <c r="L821" s="7"/>
      <c r="M821" s="19" t="e">
        <f>Planning[[#This Row],[Saldo]]-Planning[[#This Row],[Saldo estimado]]</f>
        <v>#REF!</v>
      </c>
      <c r="N821" s="60" t="e">
        <f>+SUMIFS(#REF!,#REF!,Planning[[#This Row],[Proyectos]],#REF!,Planning[[#This Row],[Tipo de Tarea y especialidad]])</f>
        <v>#REF!</v>
      </c>
      <c r="O821" s="19">
        <f t="shared" si="24"/>
        <v>10</v>
      </c>
      <c r="P821" s="19">
        <f t="shared" si="25"/>
        <v>2024</v>
      </c>
      <c r="Q821" s="19" t="e">
        <f>+SUMIFS(#REF!,#REF!,Planning[[#This Row],[Tarifa]],#REF!,Planning[[#This Row],[Proyectos]],#REF!,Planning[[#This Row],[Mes]],#REF!,Planning[[#This Row],[Año]])</f>
        <v>#REF!</v>
      </c>
      <c r="R821" s="19" t="str">
        <f>TEXT(Planning[[#This Row],[Mes]]*29,"mmmm")</f>
        <v>October</v>
      </c>
      <c r="S8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21" s="228"/>
      <c r="U821" s="43" t="e">
        <f>IF(Planning[[#This Row],[Horas Planificadas]]&lt;&gt;0,+K821/Planning[[#This Row],[Horas Planificadas]],0)</f>
        <v>#REF!</v>
      </c>
      <c r="V821" s="43" t="e">
        <f>IF(Planning[[#This Row],[Horas Planificadas]]&lt;&gt;0,Planning[[#This Row],[Horas utilizadas]]/Planning[[#This Row],[Horas Planificadas]],0)</f>
        <v>#REF!</v>
      </c>
      <c r="W821" s="44">
        <f>Planning[[#This Row],[Horas Planificadas]]+Planning[[#This Row],[Horas ajustadas adicionales]]</f>
        <v>207</v>
      </c>
      <c r="X821" s="142"/>
    </row>
    <row r="822" spans="1:24" ht="12.75" customHeight="1" x14ac:dyDescent="0.2">
      <c r="A822" s="7"/>
      <c r="B822" s="7"/>
      <c r="C822" s="3"/>
      <c r="D822" s="3" t="s">
        <v>237</v>
      </c>
      <c r="E822" s="33" t="s">
        <v>32</v>
      </c>
      <c r="F822" s="3"/>
      <c r="G822" s="7"/>
      <c r="H822" s="7">
        <v>558</v>
      </c>
      <c r="I822" s="12"/>
      <c r="J822" s="5" t="e">
        <f>+SUMIFS(#REF!,#REF!,Planning[[#This Row],[Tarifa]],#REF!,Planning[[#This Row],[Proyectos]])</f>
        <v>#REF!</v>
      </c>
      <c r="K822" s="5" t="e">
        <f>Planning[[#This Row],[Horas Planificadas]]+Planning[[#This Row],[Horas ajustadas adicionales]]-Planning[[#This Row],[Horas utilizadas]]</f>
        <v>#REF!</v>
      </c>
      <c r="L822" s="7"/>
      <c r="M822" s="19" t="e">
        <f>Planning[[#This Row],[Saldo]]-Planning[[#This Row],[Saldo estimado]]</f>
        <v>#REF!</v>
      </c>
      <c r="N822" s="60" t="e">
        <f>+SUMIFS(#REF!,#REF!,Planning[[#This Row],[Proyectos]],#REF!,Planning[[#This Row],[Tipo de Tarea y especialidad]])</f>
        <v>#REF!</v>
      </c>
      <c r="O822" s="19">
        <f t="shared" si="24"/>
        <v>10</v>
      </c>
      <c r="P822" s="19">
        <f t="shared" si="25"/>
        <v>2024</v>
      </c>
      <c r="Q822" s="19" t="e">
        <f>+SUMIFS(#REF!,#REF!,Planning[[#This Row],[Tarifa]],#REF!,Planning[[#This Row],[Proyectos]],#REF!,Planning[[#This Row],[Mes]],#REF!,Planning[[#This Row],[Año]])</f>
        <v>#REF!</v>
      </c>
      <c r="R822" s="19" t="str">
        <f>TEXT(Planning[[#This Row],[Mes]]*29,"mmmm")</f>
        <v>October</v>
      </c>
      <c r="S8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22" s="228"/>
      <c r="U822" s="43" t="e">
        <f>IF(Planning[[#This Row],[Horas Planificadas]]&lt;&gt;0,+K822/Planning[[#This Row],[Horas Planificadas]],0)</f>
        <v>#REF!</v>
      </c>
      <c r="V822" s="43" t="e">
        <f>IF(Planning[[#This Row],[Horas Planificadas]]&lt;&gt;0,Planning[[#This Row],[Horas utilizadas]]/Planning[[#This Row],[Horas Planificadas]],0)</f>
        <v>#REF!</v>
      </c>
      <c r="W822" s="44">
        <f>Planning[[#This Row],[Horas Planificadas]]+Planning[[#This Row],[Horas ajustadas adicionales]]</f>
        <v>558</v>
      </c>
      <c r="X822" s="142"/>
    </row>
    <row r="823" spans="1:24" ht="22.5" x14ac:dyDescent="0.2">
      <c r="A823" s="7"/>
      <c r="B823" s="7"/>
      <c r="C823" s="3"/>
      <c r="D823" s="3" t="s">
        <v>238</v>
      </c>
      <c r="E823" s="33" t="s">
        <v>28</v>
      </c>
      <c r="F823" s="3"/>
      <c r="G823" s="7"/>
      <c r="H823" s="7">
        <v>0</v>
      </c>
      <c r="I823" s="12"/>
      <c r="J823" s="5" t="e">
        <f>+SUMIFS(#REF!,#REF!,Planning[[#This Row],[Tarifa]],#REF!,Planning[[#This Row],[Proyectos]])</f>
        <v>#REF!</v>
      </c>
      <c r="K823" s="5" t="e">
        <f>Planning[[#This Row],[Horas Planificadas]]+Planning[[#This Row],[Horas ajustadas adicionales]]-Planning[[#This Row],[Horas utilizadas]]</f>
        <v>#REF!</v>
      </c>
      <c r="L823" s="7"/>
      <c r="M823" s="19" t="e">
        <f>Planning[[#This Row],[Saldo]]-Planning[[#This Row],[Saldo estimado]]</f>
        <v>#REF!</v>
      </c>
      <c r="N823" s="60" t="e">
        <f>+SUMIFS(#REF!,#REF!,Planning[[#This Row],[Proyectos]],#REF!,Planning[[#This Row],[Tipo de Tarea y especialidad]])</f>
        <v>#REF!</v>
      </c>
      <c r="O823" s="19">
        <f t="shared" si="24"/>
        <v>10</v>
      </c>
      <c r="P823" s="19">
        <f t="shared" si="25"/>
        <v>2024</v>
      </c>
      <c r="Q823" s="19" t="e">
        <f>+SUMIFS(#REF!,#REF!,Planning[[#This Row],[Tarifa]],#REF!,Planning[[#This Row],[Proyectos]],#REF!,Planning[[#This Row],[Mes]],#REF!,Planning[[#This Row],[Año]])</f>
        <v>#REF!</v>
      </c>
      <c r="R823" s="19" t="str">
        <f>TEXT(Planning[[#This Row],[Mes]]*29,"mmmm")</f>
        <v>October</v>
      </c>
      <c r="S8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23" s="228"/>
      <c r="U823" s="43">
        <f>IF(Planning[[#This Row],[Horas Planificadas]]&lt;&gt;0,+K823/Planning[[#This Row],[Horas Planificadas]],0)</f>
        <v>0</v>
      </c>
      <c r="V823" s="43">
        <f>IF(Planning[[#This Row],[Horas Planificadas]]&lt;&gt;0,Planning[[#This Row],[Horas utilizadas]]/Planning[[#This Row],[Horas Planificadas]],0)</f>
        <v>0</v>
      </c>
      <c r="W823" s="44">
        <f>Planning[[#This Row],[Horas Planificadas]]+Planning[[#This Row],[Horas ajustadas adicionales]]</f>
        <v>0</v>
      </c>
      <c r="X823" s="142"/>
    </row>
    <row r="824" spans="1:24" x14ac:dyDescent="0.2">
      <c r="A824" s="7"/>
      <c r="B824" s="7"/>
      <c r="C824" s="3"/>
      <c r="D824" s="3" t="s">
        <v>238</v>
      </c>
      <c r="E824" s="33" t="s">
        <v>30</v>
      </c>
      <c r="F824" s="3"/>
      <c r="G824" s="7"/>
      <c r="H824" s="7">
        <v>4</v>
      </c>
      <c r="I824" s="12"/>
      <c r="J824" s="5" t="e">
        <f>+SUMIFS(#REF!,#REF!,Planning[[#This Row],[Tarifa]],#REF!,Planning[[#This Row],[Proyectos]])</f>
        <v>#REF!</v>
      </c>
      <c r="K824" s="5" t="e">
        <f>Planning[[#This Row],[Horas Planificadas]]+Planning[[#This Row],[Horas ajustadas adicionales]]-Planning[[#This Row],[Horas utilizadas]]</f>
        <v>#REF!</v>
      </c>
      <c r="L824" s="7"/>
      <c r="M824" s="19" t="e">
        <f>Planning[[#This Row],[Saldo]]-Planning[[#This Row],[Saldo estimado]]</f>
        <v>#REF!</v>
      </c>
      <c r="N824" s="60" t="e">
        <f>+SUMIFS(#REF!,#REF!,Planning[[#This Row],[Proyectos]],#REF!,Planning[[#This Row],[Tipo de Tarea y especialidad]])</f>
        <v>#REF!</v>
      </c>
      <c r="O824" s="19">
        <f t="shared" si="24"/>
        <v>10</v>
      </c>
      <c r="P824" s="19">
        <f t="shared" si="25"/>
        <v>2024</v>
      </c>
      <c r="Q824" s="19" t="e">
        <f>+SUMIFS(#REF!,#REF!,Planning[[#This Row],[Tarifa]],#REF!,Planning[[#This Row],[Proyectos]],#REF!,Planning[[#This Row],[Mes]],#REF!,Planning[[#This Row],[Año]])</f>
        <v>#REF!</v>
      </c>
      <c r="R824" s="19" t="str">
        <f>TEXT(Planning[[#This Row],[Mes]]*29,"mmmm")</f>
        <v>October</v>
      </c>
      <c r="S8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24" s="228"/>
      <c r="U824" s="43" t="e">
        <f>IF(Planning[[#This Row],[Horas Planificadas]]&lt;&gt;0,+K824/Planning[[#This Row],[Horas Planificadas]],0)</f>
        <v>#REF!</v>
      </c>
      <c r="V824" s="43" t="e">
        <f>IF(Planning[[#This Row],[Horas Planificadas]]&lt;&gt;0,Planning[[#This Row],[Horas utilizadas]]/Planning[[#This Row],[Horas Planificadas]],0)</f>
        <v>#REF!</v>
      </c>
      <c r="W824" s="44">
        <f>Planning[[#This Row],[Horas Planificadas]]+Planning[[#This Row],[Horas ajustadas adicionales]]</f>
        <v>4</v>
      </c>
      <c r="X824" s="142"/>
    </row>
    <row r="825" spans="1:24" x14ac:dyDescent="0.2">
      <c r="A825" s="7"/>
      <c r="B825" s="7"/>
      <c r="C825" s="3"/>
      <c r="D825" s="3" t="s">
        <v>238</v>
      </c>
      <c r="E825" s="33" t="s">
        <v>31</v>
      </c>
      <c r="F825" s="3"/>
      <c r="G825" s="7"/>
      <c r="H825" s="7">
        <v>4</v>
      </c>
      <c r="I825" s="12"/>
      <c r="J825" s="5" t="e">
        <f>+SUMIFS(#REF!,#REF!,Planning[[#This Row],[Tarifa]],#REF!,Planning[[#This Row],[Proyectos]])</f>
        <v>#REF!</v>
      </c>
      <c r="K825" s="5" t="e">
        <f>Planning[[#This Row],[Horas Planificadas]]+Planning[[#This Row],[Horas ajustadas adicionales]]-Planning[[#This Row],[Horas utilizadas]]</f>
        <v>#REF!</v>
      </c>
      <c r="L825" s="7"/>
      <c r="M825" s="19" t="e">
        <f>Planning[[#This Row],[Saldo]]-Planning[[#This Row],[Saldo estimado]]</f>
        <v>#REF!</v>
      </c>
      <c r="N825" s="60" t="e">
        <f>+SUMIFS(#REF!,#REF!,Planning[[#This Row],[Proyectos]],#REF!,Planning[[#This Row],[Tipo de Tarea y especialidad]])</f>
        <v>#REF!</v>
      </c>
      <c r="O825" s="19">
        <f t="shared" si="24"/>
        <v>10</v>
      </c>
      <c r="P825" s="19">
        <f t="shared" si="25"/>
        <v>2024</v>
      </c>
      <c r="Q825" s="19" t="e">
        <f>+SUMIFS(#REF!,#REF!,Planning[[#This Row],[Tarifa]],#REF!,Planning[[#This Row],[Proyectos]],#REF!,Planning[[#This Row],[Mes]],#REF!,Planning[[#This Row],[Año]])</f>
        <v>#REF!</v>
      </c>
      <c r="R825" s="19" t="str">
        <f>TEXT(Planning[[#This Row],[Mes]]*29,"mmmm")</f>
        <v>October</v>
      </c>
      <c r="S8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25" s="228"/>
      <c r="U825" s="43" t="e">
        <f>IF(Planning[[#This Row],[Horas Planificadas]]&lt;&gt;0,+K825/Planning[[#This Row],[Horas Planificadas]],0)</f>
        <v>#REF!</v>
      </c>
      <c r="V825" s="43" t="e">
        <f>IF(Planning[[#This Row],[Horas Planificadas]]&lt;&gt;0,Planning[[#This Row],[Horas utilizadas]]/Planning[[#This Row],[Horas Planificadas]],0)</f>
        <v>#REF!</v>
      </c>
      <c r="W825" s="44">
        <f>Planning[[#This Row],[Horas Planificadas]]+Planning[[#This Row],[Horas ajustadas adicionales]]</f>
        <v>4</v>
      </c>
      <c r="X825" s="142"/>
    </row>
    <row r="826" spans="1:24" ht="22.5" x14ac:dyDescent="0.2">
      <c r="A826" s="7"/>
      <c r="B826" s="7"/>
      <c r="C826" s="3"/>
      <c r="D826" s="3" t="s">
        <v>238</v>
      </c>
      <c r="E826" s="33" t="s">
        <v>32</v>
      </c>
      <c r="F826" s="3"/>
      <c r="G826" s="7"/>
      <c r="H826" s="7">
        <v>0</v>
      </c>
      <c r="I826" s="12"/>
      <c r="J826" s="5" t="e">
        <f>+SUMIFS(#REF!,#REF!,Planning[[#This Row],[Tarifa]],#REF!,Planning[[#This Row],[Proyectos]])</f>
        <v>#REF!</v>
      </c>
      <c r="K826" s="5" t="e">
        <f>Planning[[#This Row],[Horas Planificadas]]+Planning[[#This Row],[Horas ajustadas adicionales]]-Planning[[#This Row],[Horas utilizadas]]</f>
        <v>#REF!</v>
      </c>
      <c r="L826" s="7"/>
      <c r="M826" s="19" t="e">
        <f>Planning[[#This Row],[Saldo]]-Planning[[#This Row],[Saldo estimado]]</f>
        <v>#REF!</v>
      </c>
      <c r="N826" s="60" t="e">
        <f>+SUMIFS(#REF!,#REF!,Planning[[#This Row],[Proyectos]],#REF!,Planning[[#This Row],[Tipo de Tarea y especialidad]])</f>
        <v>#REF!</v>
      </c>
      <c r="O826" s="19">
        <f t="shared" si="24"/>
        <v>10</v>
      </c>
      <c r="P826" s="19">
        <f t="shared" si="25"/>
        <v>2024</v>
      </c>
      <c r="Q826" s="19" t="e">
        <f>+SUMIFS(#REF!,#REF!,Planning[[#This Row],[Tarifa]],#REF!,Planning[[#This Row],[Proyectos]],#REF!,Planning[[#This Row],[Mes]],#REF!,Planning[[#This Row],[Año]])</f>
        <v>#REF!</v>
      </c>
      <c r="R826" s="19" t="str">
        <f>TEXT(Planning[[#This Row],[Mes]]*29,"mmmm")</f>
        <v>October</v>
      </c>
      <c r="S8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26" s="228"/>
      <c r="U826" s="43">
        <f>IF(Planning[[#This Row],[Horas Planificadas]]&lt;&gt;0,+K826/Planning[[#This Row],[Horas Planificadas]],0)</f>
        <v>0</v>
      </c>
      <c r="V826" s="43">
        <f>IF(Planning[[#This Row],[Horas Planificadas]]&lt;&gt;0,Planning[[#This Row],[Horas utilizadas]]/Planning[[#This Row],[Horas Planificadas]],0)</f>
        <v>0</v>
      </c>
      <c r="W826" s="44">
        <f>Planning[[#This Row],[Horas Planificadas]]+Planning[[#This Row],[Horas ajustadas adicionales]]</f>
        <v>0</v>
      </c>
      <c r="X826" s="142"/>
    </row>
    <row r="827" spans="1:24" ht="12.75" customHeight="1" x14ac:dyDescent="0.2">
      <c r="A827" s="7"/>
      <c r="B827" s="7"/>
      <c r="C827" s="3"/>
      <c r="D827" s="3" t="s">
        <v>239</v>
      </c>
      <c r="E827" s="33" t="s">
        <v>28</v>
      </c>
      <c r="F827" s="3"/>
      <c r="G827" s="7"/>
      <c r="H827" s="7">
        <v>0</v>
      </c>
      <c r="I827" s="12"/>
      <c r="J827" s="5" t="e">
        <f>+SUMIFS(#REF!,#REF!,Planning[[#This Row],[Tarifa]],#REF!,Planning[[#This Row],[Proyectos]])</f>
        <v>#REF!</v>
      </c>
      <c r="K827" s="5" t="e">
        <f>Planning[[#This Row],[Horas Planificadas]]+Planning[[#This Row],[Horas ajustadas adicionales]]-Planning[[#This Row],[Horas utilizadas]]</f>
        <v>#REF!</v>
      </c>
      <c r="L827" s="7"/>
      <c r="M827" s="19" t="e">
        <f>Planning[[#This Row],[Saldo]]-Planning[[#This Row],[Saldo estimado]]</f>
        <v>#REF!</v>
      </c>
      <c r="N827" s="60" t="e">
        <f>+SUMIFS(#REF!,#REF!,Planning[[#This Row],[Proyectos]],#REF!,Planning[[#This Row],[Tipo de Tarea y especialidad]])</f>
        <v>#REF!</v>
      </c>
      <c r="O827" s="19">
        <f t="shared" si="24"/>
        <v>10</v>
      </c>
      <c r="P827" s="19">
        <f t="shared" si="25"/>
        <v>2024</v>
      </c>
      <c r="Q827" s="19" t="e">
        <f>+SUMIFS(#REF!,#REF!,Planning[[#This Row],[Tarifa]],#REF!,Planning[[#This Row],[Proyectos]],#REF!,Planning[[#This Row],[Mes]],#REF!,Planning[[#This Row],[Año]])</f>
        <v>#REF!</v>
      </c>
      <c r="R827" s="19" t="str">
        <f>TEXT(Planning[[#This Row],[Mes]]*29,"mmmm")</f>
        <v>October</v>
      </c>
      <c r="S8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27" s="228"/>
      <c r="U827" s="43">
        <f>IF(Planning[[#This Row],[Horas Planificadas]]&lt;&gt;0,+K827/Planning[[#This Row],[Horas Planificadas]],0)</f>
        <v>0</v>
      </c>
      <c r="V827" s="43">
        <f>IF(Planning[[#This Row],[Horas Planificadas]]&lt;&gt;0,Planning[[#This Row],[Horas utilizadas]]/Planning[[#This Row],[Horas Planificadas]],0)</f>
        <v>0</v>
      </c>
      <c r="W827" s="44">
        <f>Planning[[#This Row],[Horas Planificadas]]+Planning[[#This Row],[Horas ajustadas adicionales]]</f>
        <v>0</v>
      </c>
      <c r="X827" s="142"/>
    </row>
    <row r="828" spans="1:24" ht="12.75" customHeight="1" x14ac:dyDescent="0.2">
      <c r="A828" s="7"/>
      <c r="B828" s="7"/>
      <c r="C828" s="3"/>
      <c r="D828" s="3" t="s">
        <v>239</v>
      </c>
      <c r="E828" s="33" t="s">
        <v>30</v>
      </c>
      <c r="F828" s="3"/>
      <c r="G828" s="7"/>
      <c r="H828" s="7">
        <v>18</v>
      </c>
      <c r="I828" s="12"/>
      <c r="J828" s="5" t="e">
        <f>+SUMIFS(#REF!,#REF!,Planning[[#This Row],[Tarifa]],#REF!,Planning[[#This Row],[Proyectos]])</f>
        <v>#REF!</v>
      </c>
      <c r="K828" s="5" t="e">
        <f>Planning[[#This Row],[Horas Planificadas]]+Planning[[#This Row],[Horas ajustadas adicionales]]-Planning[[#This Row],[Horas utilizadas]]</f>
        <v>#REF!</v>
      </c>
      <c r="L828" s="7"/>
      <c r="M828" s="19" t="e">
        <f>Planning[[#This Row],[Saldo]]-Planning[[#This Row],[Saldo estimado]]</f>
        <v>#REF!</v>
      </c>
      <c r="N828" s="60" t="e">
        <f>+SUMIFS(#REF!,#REF!,Planning[[#This Row],[Proyectos]],#REF!,Planning[[#This Row],[Tipo de Tarea y especialidad]])</f>
        <v>#REF!</v>
      </c>
      <c r="O828" s="19">
        <f t="shared" si="24"/>
        <v>10</v>
      </c>
      <c r="P828" s="19">
        <f t="shared" si="25"/>
        <v>2024</v>
      </c>
      <c r="Q828" s="19" t="e">
        <f>+SUMIFS(#REF!,#REF!,Planning[[#This Row],[Tarifa]],#REF!,Planning[[#This Row],[Proyectos]],#REF!,Planning[[#This Row],[Mes]],#REF!,Planning[[#This Row],[Año]])</f>
        <v>#REF!</v>
      </c>
      <c r="R828" s="19" t="str">
        <f>TEXT(Planning[[#This Row],[Mes]]*29,"mmmm")</f>
        <v>October</v>
      </c>
      <c r="S8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28" s="228"/>
      <c r="U828" s="43" t="e">
        <f>IF(Planning[[#This Row],[Horas Planificadas]]&lt;&gt;0,+K828/Planning[[#This Row],[Horas Planificadas]],0)</f>
        <v>#REF!</v>
      </c>
      <c r="V828" s="43" t="e">
        <f>IF(Planning[[#This Row],[Horas Planificadas]]&lt;&gt;0,Planning[[#This Row],[Horas utilizadas]]/Planning[[#This Row],[Horas Planificadas]],0)</f>
        <v>#REF!</v>
      </c>
      <c r="W828" s="44">
        <f>Planning[[#This Row],[Horas Planificadas]]+Planning[[#This Row],[Horas ajustadas adicionales]]</f>
        <v>18</v>
      </c>
      <c r="X828" s="142"/>
    </row>
    <row r="829" spans="1:24" ht="12.75" customHeight="1" x14ac:dyDescent="0.2">
      <c r="A829" s="7"/>
      <c r="B829" s="7"/>
      <c r="C829" s="3"/>
      <c r="D829" s="3" t="s">
        <v>239</v>
      </c>
      <c r="E829" s="33" t="s">
        <v>31</v>
      </c>
      <c r="F829" s="3"/>
      <c r="G829" s="7"/>
      <c r="H829" s="7">
        <v>9</v>
      </c>
      <c r="I829" s="12"/>
      <c r="J829" s="5" t="e">
        <f>+SUMIFS(#REF!,#REF!,Planning[[#This Row],[Tarifa]],#REF!,Planning[[#This Row],[Proyectos]])</f>
        <v>#REF!</v>
      </c>
      <c r="K829" s="5" t="e">
        <f>Planning[[#This Row],[Horas Planificadas]]+Planning[[#This Row],[Horas ajustadas adicionales]]-Planning[[#This Row],[Horas utilizadas]]</f>
        <v>#REF!</v>
      </c>
      <c r="L829" s="7"/>
      <c r="M829" s="19" t="e">
        <f>Planning[[#This Row],[Saldo]]-Planning[[#This Row],[Saldo estimado]]</f>
        <v>#REF!</v>
      </c>
      <c r="N829" s="60" t="e">
        <f>+SUMIFS(#REF!,#REF!,Planning[[#This Row],[Proyectos]],#REF!,Planning[[#This Row],[Tipo de Tarea y especialidad]])</f>
        <v>#REF!</v>
      </c>
      <c r="O829" s="19">
        <f t="shared" si="24"/>
        <v>10</v>
      </c>
      <c r="P829" s="19">
        <f t="shared" si="25"/>
        <v>2024</v>
      </c>
      <c r="Q829" s="19" t="e">
        <f>+SUMIFS(#REF!,#REF!,Planning[[#This Row],[Tarifa]],#REF!,Planning[[#This Row],[Proyectos]],#REF!,Planning[[#This Row],[Mes]],#REF!,Planning[[#This Row],[Año]])</f>
        <v>#REF!</v>
      </c>
      <c r="R829" s="19" t="str">
        <f>TEXT(Planning[[#This Row],[Mes]]*29,"mmmm")</f>
        <v>October</v>
      </c>
      <c r="S8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29" s="228"/>
      <c r="U829" s="43" t="e">
        <f>IF(Planning[[#This Row],[Horas Planificadas]]&lt;&gt;0,+K829/Planning[[#This Row],[Horas Planificadas]],0)</f>
        <v>#REF!</v>
      </c>
      <c r="V829" s="43" t="e">
        <f>IF(Planning[[#This Row],[Horas Planificadas]]&lt;&gt;0,Planning[[#This Row],[Horas utilizadas]]/Planning[[#This Row],[Horas Planificadas]],0)</f>
        <v>#REF!</v>
      </c>
      <c r="W829" s="44">
        <f>Planning[[#This Row],[Horas Planificadas]]+Planning[[#This Row],[Horas ajustadas adicionales]]</f>
        <v>9</v>
      </c>
      <c r="X829" s="142"/>
    </row>
    <row r="830" spans="1:24" ht="12.75" customHeight="1" x14ac:dyDescent="0.2">
      <c r="A830" s="7"/>
      <c r="B830" s="7"/>
      <c r="C830" s="3"/>
      <c r="D830" s="3" t="s">
        <v>239</v>
      </c>
      <c r="E830" s="33" t="s">
        <v>32</v>
      </c>
      <c r="F830" s="3"/>
      <c r="G830" s="7"/>
      <c r="H830" s="7">
        <v>63</v>
      </c>
      <c r="I830" s="12"/>
      <c r="J830" s="5" t="e">
        <f>+SUMIFS(#REF!,#REF!,Planning[[#This Row],[Tarifa]],#REF!,Planning[[#This Row],[Proyectos]])</f>
        <v>#REF!</v>
      </c>
      <c r="K830" s="5" t="e">
        <f>Planning[[#This Row],[Horas Planificadas]]+Planning[[#This Row],[Horas ajustadas adicionales]]-Planning[[#This Row],[Horas utilizadas]]</f>
        <v>#REF!</v>
      </c>
      <c r="L830" s="7"/>
      <c r="M830" s="19" t="e">
        <f>Planning[[#This Row],[Saldo]]-Planning[[#This Row],[Saldo estimado]]</f>
        <v>#REF!</v>
      </c>
      <c r="N830" s="60" t="e">
        <f>+SUMIFS(#REF!,#REF!,Planning[[#This Row],[Proyectos]],#REF!,Planning[[#This Row],[Tipo de Tarea y especialidad]])</f>
        <v>#REF!</v>
      </c>
      <c r="O830" s="19">
        <f t="shared" si="24"/>
        <v>10</v>
      </c>
      <c r="P830" s="19">
        <f t="shared" si="25"/>
        <v>2024</v>
      </c>
      <c r="Q830" s="19" t="e">
        <f>+SUMIFS(#REF!,#REF!,Planning[[#This Row],[Tarifa]],#REF!,Planning[[#This Row],[Proyectos]],#REF!,Planning[[#This Row],[Mes]],#REF!,Planning[[#This Row],[Año]])</f>
        <v>#REF!</v>
      </c>
      <c r="R830" s="19" t="str">
        <f>TEXT(Planning[[#This Row],[Mes]]*29,"mmmm")</f>
        <v>October</v>
      </c>
      <c r="S8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30" s="228"/>
      <c r="U830" s="43" t="e">
        <f>IF(Planning[[#This Row],[Horas Planificadas]]&lt;&gt;0,+K830/Planning[[#This Row],[Horas Planificadas]],0)</f>
        <v>#REF!</v>
      </c>
      <c r="V830" s="43" t="e">
        <f>IF(Planning[[#This Row],[Horas Planificadas]]&lt;&gt;0,Planning[[#This Row],[Horas utilizadas]]/Planning[[#This Row],[Horas Planificadas]],0)</f>
        <v>#REF!</v>
      </c>
      <c r="W830" s="44">
        <f>Planning[[#This Row],[Horas Planificadas]]+Planning[[#This Row],[Horas ajustadas adicionales]]</f>
        <v>63</v>
      </c>
      <c r="X830" s="142"/>
    </row>
    <row r="831" spans="1:24" ht="12.75" customHeight="1" x14ac:dyDescent="0.2">
      <c r="A831" s="7"/>
      <c r="B831" s="7"/>
      <c r="C831" s="3"/>
      <c r="D831" s="3" t="s">
        <v>240</v>
      </c>
      <c r="E831" s="33" t="s">
        <v>28</v>
      </c>
      <c r="F831" s="3"/>
      <c r="G831" s="7"/>
      <c r="H831" s="7">
        <v>0</v>
      </c>
      <c r="I831" s="12"/>
      <c r="J831" s="5" t="e">
        <f>+SUMIFS(#REF!,#REF!,Planning[[#This Row],[Tarifa]],#REF!,Planning[[#This Row],[Proyectos]])</f>
        <v>#REF!</v>
      </c>
      <c r="K831" s="5" t="e">
        <f>Planning[[#This Row],[Horas Planificadas]]+Planning[[#This Row],[Horas ajustadas adicionales]]-Planning[[#This Row],[Horas utilizadas]]</f>
        <v>#REF!</v>
      </c>
      <c r="L831" s="7"/>
      <c r="M831" s="19" t="e">
        <f>Planning[[#This Row],[Saldo]]-Planning[[#This Row],[Saldo estimado]]</f>
        <v>#REF!</v>
      </c>
      <c r="N831" s="60" t="e">
        <f>+SUMIFS(#REF!,#REF!,Planning[[#This Row],[Proyectos]],#REF!,Planning[[#This Row],[Tipo de Tarea y especialidad]])</f>
        <v>#REF!</v>
      </c>
      <c r="O831" s="19">
        <f t="shared" si="24"/>
        <v>10</v>
      </c>
      <c r="P831" s="19">
        <f t="shared" si="25"/>
        <v>2024</v>
      </c>
      <c r="Q831" s="19" t="e">
        <f>+SUMIFS(#REF!,#REF!,Planning[[#This Row],[Tarifa]],#REF!,Planning[[#This Row],[Proyectos]],#REF!,Planning[[#This Row],[Mes]],#REF!,Planning[[#This Row],[Año]])</f>
        <v>#REF!</v>
      </c>
      <c r="R831" s="19" t="str">
        <f>TEXT(Planning[[#This Row],[Mes]]*29,"mmmm")</f>
        <v>October</v>
      </c>
      <c r="S8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31" s="228"/>
      <c r="U831" s="43">
        <f>IF(Planning[[#This Row],[Horas Planificadas]]&lt;&gt;0,+K831/Planning[[#This Row],[Horas Planificadas]],0)</f>
        <v>0</v>
      </c>
      <c r="V831" s="43">
        <f>IF(Planning[[#This Row],[Horas Planificadas]]&lt;&gt;0,Planning[[#This Row],[Horas utilizadas]]/Planning[[#This Row],[Horas Planificadas]],0)</f>
        <v>0</v>
      </c>
      <c r="W831" s="44">
        <f>Planning[[#This Row],[Horas Planificadas]]+Planning[[#This Row],[Horas ajustadas adicionales]]</f>
        <v>0</v>
      </c>
      <c r="X831" s="142"/>
    </row>
    <row r="832" spans="1:24" ht="12.75" customHeight="1" x14ac:dyDescent="0.2">
      <c r="A832" s="7"/>
      <c r="B832" s="7"/>
      <c r="C832" s="3"/>
      <c r="D832" s="3" t="s">
        <v>240</v>
      </c>
      <c r="E832" s="33" t="s">
        <v>30</v>
      </c>
      <c r="F832" s="3"/>
      <c r="G832" s="7"/>
      <c r="H832" s="7">
        <v>36</v>
      </c>
      <c r="I832" s="12"/>
      <c r="J832" s="5" t="e">
        <f>+SUMIFS(#REF!,#REF!,Planning[[#This Row],[Tarifa]],#REF!,Planning[[#This Row],[Proyectos]])</f>
        <v>#REF!</v>
      </c>
      <c r="K832" s="5" t="e">
        <f>Planning[[#This Row],[Horas Planificadas]]+Planning[[#This Row],[Horas ajustadas adicionales]]-Planning[[#This Row],[Horas utilizadas]]</f>
        <v>#REF!</v>
      </c>
      <c r="L832" s="7"/>
      <c r="M832" s="19" t="e">
        <f>Planning[[#This Row],[Saldo]]-Planning[[#This Row],[Saldo estimado]]</f>
        <v>#REF!</v>
      </c>
      <c r="N832" s="60" t="e">
        <f>+SUMIFS(#REF!,#REF!,Planning[[#This Row],[Proyectos]],#REF!,Planning[[#This Row],[Tipo de Tarea y especialidad]])</f>
        <v>#REF!</v>
      </c>
      <c r="O832" s="19">
        <f t="shared" si="24"/>
        <v>10</v>
      </c>
      <c r="P832" s="19">
        <f t="shared" si="25"/>
        <v>2024</v>
      </c>
      <c r="Q832" s="19" t="e">
        <f>+SUMIFS(#REF!,#REF!,Planning[[#This Row],[Tarifa]],#REF!,Planning[[#This Row],[Proyectos]],#REF!,Planning[[#This Row],[Mes]],#REF!,Planning[[#This Row],[Año]])</f>
        <v>#REF!</v>
      </c>
      <c r="R832" s="19" t="str">
        <f>TEXT(Planning[[#This Row],[Mes]]*29,"mmmm")</f>
        <v>October</v>
      </c>
      <c r="S8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32" s="228"/>
      <c r="U832" s="43" t="e">
        <f>IF(Planning[[#This Row],[Horas Planificadas]]&lt;&gt;0,+K832/Planning[[#This Row],[Horas Planificadas]],0)</f>
        <v>#REF!</v>
      </c>
      <c r="V832" s="43" t="e">
        <f>IF(Planning[[#This Row],[Horas Planificadas]]&lt;&gt;0,Planning[[#This Row],[Horas utilizadas]]/Planning[[#This Row],[Horas Planificadas]],0)</f>
        <v>#REF!</v>
      </c>
      <c r="W832" s="44">
        <f>Planning[[#This Row],[Horas Planificadas]]+Planning[[#This Row],[Horas ajustadas adicionales]]</f>
        <v>36</v>
      </c>
      <c r="X832" s="142"/>
    </row>
    <row r="833" spans="1:24" ht="12.75" customHeight="1" x14ac:dyDescent="0.2">
      <c r="A833" s="7"/>
      <c r="B833" s="7"/>
      <c r="C833" s="3"/>
      <c r="D833" s="3" t="s">
        <v>240</v>
      </c>
      <c r="E833" s="33" t="s">
        <v>31</v>
      </c>
      <c r="F833" s="3"/>
      <c r="G833" s="7"/>
      <c r="H833" s="7">
        <v>8</v>
      </c>
      <c r="I833" s="12"/>
      <c r="J833" s="5" t="e">
        <f>+SUMIFS(#REF!,#REF!,Planning[[#This Row],[Tarifa]],#REF!,Planning[[#This Row],[Proyectos]])</f>
        <v>#REF!</v>
      </c>
      <c r="K833" s="5" t="e">
        <f>Planning[[#This Row],[Horas Planificadas]]+Planning[[#This Row],[Horas ajustadas adicionales]]-Planning[[#This Row],[Horas utilizadas]]</f>
        <v>#REF!</v>
      </c>
      <c r="L833" s="7"/>
      <c r="M833" s="19" t="e">
        <f>Planning[[#This Row],[Saldo]]-Planning[[#This Row],[Saldo estimado]]</f>
        <v>#REF!</v>
      </c>
      <c r="N833" s="60" t="e">
        <f>+SUMIFS(#REF!,#REF!,Planning[[#This Row],[Proyectos]],#REF!,Planning[[#This Row],[Tipo de Tarea y especialidad]])</f>
        <v>#REF!</v>
      </c>
      <c r="O833" s="19">
        <f t="shared" si="24"/>
        <v>10</v>
      </c>
      <c r="P833" s="19">
        <f t="shared" si="25"/>
        <v>2024</v>
      </c>
      <c r="Q833" s="19" t="e">
        <f>+SUMIFS(#REF!,#REF!,Planning[[#This Row],[Tarifa]],#REF!,Planning[[#This Row],[Proyectos]],#REF!,Planning[[#This Row],[Mes]],#REF!,Planning[[#This Row],[Año]])</f>
        <v>#REF!</v>
      </c>
      <c r="R833" s="19" t="str">
        <f>TEXT(Planning[[#This Row],[Mes]]*29,"mmmm")</f>
        <v>October</v>
      </c>
      <c r="S8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33" s="228"/>
      <c r="U833" s="43" t="e">
        <f>IF(Planning[[#This Row],[Horas Planificadas]]&lt;&gt;0,+K833/Planning[[#This Row],[Horas Planificadas]],0)</f>
        <v>#REF!</v>
      </c>
      <c r="V833" s="43" t="e">
        <f>IF(Planning[[#This Row],[Horas Planificadas]]&lt;&gt;0,Planning[[#This Row],[Horas utilizadas]]/Planning[[#This Row],[Horas Planificadas]],0)</f>
        <v>#REF!</v>
      </c>
      <c r="W833" s="44">
        <f>Planning[[#This Row],[Horas Planificadas]]+Planning[[#This Row],[Horas ajustadas adicionales]]</f>
        <v>8</v>
      </c>
      <c r="X833" s="142"/>
    </row>
    <row r="834" spans="1:24" ht="12.75" customHeight="1" x14ac:dyDescent="0.2">
      <c r="A834" s="7"/>
      <c r="B834" s="7"/>
      <c r="C834" s="3"/>
      <c r="D834" s="3" t="s">
        <v>240</v>
      </c>
      <c r="E834" s="33" t="s">
        <v>32</v>
      </c>
      <c r="F834" s="3"/>
      <c r="G834" s="7"/>
      <c r="H834" s="7">
        <v>0</v>
      </c>
      <c r="I834" s="12"/>
      <c r="J834" s="5" t="e">
        <f>+SUMIFS(#REF!,#REF!,Planning[[#This Row],[Tarifa]],#REF!,Planning[[#This Row],[Proyectos]])</f>
        <v>#REF!</v>
      </c>
      <c r="K834" s="5" t="e">
        <f>Planning[[#This Row],[Horas Planificadas]]+Planning[[#This Row],[Horas ajustadas adicionales]]-Planning[[#This Row],[Horas utilizadas]]</f>
        <v>#REF!</v>
      </c>
      <c r="L834" s="7"/>
      <c r="M834" s="19" t="e">
        <f>Planning[[#This Row],[Saldo]]-Planning[[#This Row],[Saldo estimado]]</f>
        <v>#REF!</v>
      </c>
      <c r="N834" s="60" t="e">
        <f>+SUMIFS(#REF!,#REF!,Planning[[#This Row],[Proyectos]],#REF!,Planning[[#This Row],[Tipo de Tarea y especialidad]])</f>
        <v>#REF!</v>
      </c>
      <c r="O834" s="19">
        <f t="shared" si="24"/>
        <v>10</v>
      </c>
      <c r="P834" s="19">
        <f t="shared" si="25"/>
        <v>2024</v>
      </c>
      <c r="Q834" s="19" t="e">
        <f>+SUMIFS(#REF!,#REF!,Planning[[#This Row],[Tarifa]],#REF!,Planning[[#This Row],[Proyectos]],#REF!,Planning[[#This Row],[Mes]],#REF!,Planning[[#This Row],[Año]])</f>
        <v>#REF!</v>
      </c>
      <c r="R834" s="19" t="str">
        <f>TEXT(Planning[[#This Row],[Mes]]*29,"mmmm")</f>
        <v>October</v>
      </c>
      <c r="S8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34" s="228"/>
      <c r="U834" s="43">
        <f>IF(Planning[[#This Row],[Horas Planificadas]]&lt;&gt;0,+K834/Planning[[#This Row],[Horas Planificadas]],0)</f>
        <v>0</v>
      </c>
      <c r="V834" s="43">
        <f>IF(Planning[[#This Row],[Horas Planificadas]]&lt;&gt;0,Planning[[#This Row],[Horas utilizadas]]/Planning[[#This Row],[Horas Planificadas]],0)</f>
        <v>0</v>
      </c>
      <c r="W834" s="44">
        <f>Planning[[#This Row],[Horas Planificadas]]+Planning[[#This Row],[Horas ajustadas adicionales]]</f>
        <v>0</v>
      </c>
      <c r="X834" s="142"/>
    </row>
    <row r="835" spans="1:24" ht="12.75" customHeight="1" x14ac:dyDescent="0.2">
      <c r="A835" s="7"/>
      <c r="B835" s="7"/>
      <c r="C835" s="3"/>
      <c r="D835" s="3" t="s">
        <v>241</v>
      </c>
      <c r="E835" s="33" t="s">
        <v>28</v>
      </c>
      <c r="F835" s="3"/>
      <c r="G835" s="7"/>
      <c r="H835" s="7">
        <v>170</v>
      </c>
      <c r="I835" s="12"/>
      <c r="J835" s="5" t="e">
        <f>+SUMIFS(#REF!,#REF!,Planning[[#This Row],[Tarifa]],#REF!,Planning[[#This Row],[Proyectos]])</f>
        <v>#REF!</v>
      </c>
      <c r="K835" s="5" t="e">
        <f>Planning[[#This Row],[Horas Planificadas]]+Planning[[#This Row],[Horas ajustadas adicionales]]-Planning[[#This Row],[Horas utilizadas]]</f>
        <v>#REF!</v>
      </c>
      <c r="L835" s="7"/>
      <c r="M835" s="19" t="e">
        <f>Planning[[#This Row],[Saldo]]-Planning[[#This Row],[Saldo estimado]]</f>
        <v>#REF!</v>
      </c>
      <c r="N835" s="60" t="e">
        <f>+SUMIFS(#REF!,#REF!,Planning[[#This Row],[Proyectos]],#REF!,Planning[[#This Row],[Tipo de Tarea y especialidad]])</f>
        <v>#REF!</v>
      </c>
      <c r="O835" s="19">
        <f t="shared" si="24"/>
        <v>10</v>
      </c>
      <c r="P835" s="19">
        <f t="shared" si="25"/>
        <v>2024</v>
      </c>
      <c r="Q835" s="19" t="e">
        <f>+SUMIFS(#REF!,#REF!,Planning[[#This Row],[Tarifa]],#REF!,Planning[[#This Row],[Proyectos]],#REF!,Planning[[#This Row],[Mes]],#REF!,Planning[[#This Row],[Año]])</f>
        <v>#REF!</v>
      </c>
      <c r="R835" s="19" t="str">
        <f>TEXT(Planning[[#This Row],[Mes]]*29,"mmmm")</f>
        <v>October</v>
      </c>
      <c r="S8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35" s="228"/>
      <c r="U835" s="43" t="e">
        <f>IF(Planning[[#This Row],[Horas Planificadas]]&lt;&gt;0,+K835/Planning[[#This Row],[Horas Planificadas]],0)</f>
        <v>#REF!</v>
      </c>
      <c r="V835" s="43" t="e">
        <f>IF(Planning[[#This Row],[Horas Planificadas]]&lt;&gt;0,Planning[[#This Row],[Horas utilizadas]]/Planning[[#This Row],[Horas Planificadas]],0)</f>
        <v>#REF!</v>
      </c>
      <c r="W835" s="44">
        <f>Planning[[#This Row],[Horas Planificadas]]+Planning[[#This Row],[Horas ajustadas adicionales]]</f>
        <v>170</v>
      </c>
      <c r="X835" s="142"/>
    </row>
    <row r="836" spans="1:24" ht="12.75" customHeight="1" x14ac:dyDescent="0.2">
      <c r="A836" s="7"/>
      <c r="B836" s="7"/>
      <c r="C836" s="3"/>
      <c r="D836" s="3" t="s">
        <v>241</v>
      </c>
      <c r="E836" s="33" t="s">
        <v>30</v>
      </c>
      <c r="F836" s="3"/>
      <c r="G836" s="7"/>
      <c r="H836" s="7">
        <v>170</v>
      </c>
      <c r="I836" s="12"/>
      <c r="J836" s="5" t="e">
        <f>+SUMIFS(#REF!,#REF!,Planning[[#This Row],[Tarifa]],#REF!,Planning[[#This Row],[Proyectos]])</f>
        <v>#REF!</v>
      </c>
      <c r="K836" s="5" t="e">
        <f>Planning[[#This Row],[Horas Planificadas]]+Planning[[#This Row],[Horas ajustadas adicionales]]-Planning[[#This Row],[Horas utilizadas]]</f>
        <v>#REF!</v>
      </c>
      <c r="L836" s="7"/>
      <c r="M836" s="19" t="e">
        <f>Planning[[#This Row],[Saldo]]-Planning[[#This Row],[Saldo estimado]]</f>
        <v>#REF!</v>
      </c>
      <c r="N836" s="60" t="e">
        <f>+SUMIFS(#REF!,#REF!,Planning[[#This Row],[Proyectos]],#REF!,Planning[[#This Row],[Tipo de Tarea y especialidad]])</f>
        <v>#REF!</v>
      </c>
      <c r="O836" s="19">
        <f t="shared" si="24"/>
        <v>10</v>
      </c>
      <c r="P836" s="19">
        <f t="shared" si="25"/>
        <v>2024</v>
      </c>
      <c r="Q836" s="19" t="e">
        <f>+SUMIFS(#REF!,#REF!,Planning[[#This Row],[Tarifa]],#REF!,Planning[[#This Row],[Proyectos]],#REF!,Planning[[#This Row],[Mes]],#REF!,Planning[[#This Row],[Año]])</f>
        <v>#REF!</v>
      </c>
      <c r="R836" s="19" t="str">
        <f>TEXT(Planning[[#This Row],[Mes]]*29,"mmmm")</f>
        <v>October</v>
      </c>
      <c r="S8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36" s="228"/>
      <c r="U836" s="43" t="e">
        <f>IF(Planning[[#This Row],[Horas Planificadas]]&lt;&gt;0,+K836/Planning[[#This Row],[Horas Planificadas]],0)</f>
        <v>#REF!</v>
      </c>
      <c r="V836" s="43" t="e">
        <f>IF(Planning[[#This Row],[Horas Planificadas]]&lt;&gt;0,Planning[[#This Row],[Horas utilizadas]]/Planning[[#This Row],[Horas Planificadas]],0)</f>
        <v>#REF!</v>
      </c>
      <c r="W836" s="44">
        <f>Planning[[#This Row],[Horas Planificadas]]+Planning[[#This Row],[Horas ajustadas adicionales]]</f>
        <v>170</v>
      </c>
      <c r="X836" s="142"/>
    </row>
    <row r="837" spans="1:24" ht="12.75" customHeight="1" x14ac:dyDescent="0.2">
      <c r="A837" s="7"/>
      <c r="B837" s="7"/>
      <c r="C837" s="3"/>
      <c r="D837" s="3" t="s">
        <v>241</v>
      </c>
      <c r="E837" s="33" t="s">
        <v>31</v>
      </c>
      <c r="F837" s="3"/>
      <c r="G837" s="7"/>
      <c r="H837" s="7">
        <v>160</v>
      </c>
      <c r="I837" s="12"/>
      <c r="J837" s="5" t="e">
        <f>+SUMIFS(#REF!,#REF!,Planning[[#This Row],[Tarifa]],#REF!,Planning[[#This Row],[Proyectos]])</f>
        <v>#REF!</v>
      </c>
      <c r="K837" s="5" t="e">
        <f>Planning[[#This Row],[Horas Planificadas]]+Planning[[#This Row],[Horas ajustadas adicionales]]-Planning[[#This Row],[Horas utilizadas]]</f>
        <v>#REF!</v>
      </c>
      <c r="L837" s="7"/>
      <c r="M837" s="19" t="e">
        <f>Planning[[#This Row],[Saldo]]-Planning[[#This Row],[Saldo estimado]]</f>
        <v>#REF!</v>
      </c>
      <c r="N837" s="60" t="e">
        <f>+SUMIFS(#REF!,#REF!,Planning[[#This Row],[Proyectos]],#REF!,Planning[[#This Row],[Tipo de Tarea y especialidad]])</f>
        <v>#REF!</v>
      </c>
      <c r="O837" s="19">
        <f t="shared" si="24"/>
        <v>10</v>
      </c>
      <c r="P837" s="19">
        <f t="shared" si="25"/>
        <v>2024</v>
      </c>
      <c r="Q837" s="19" t="e">
        <f>+SUMIFS(#REF!,#REF!,Planning[[#This Row],[Tarifa]],#REF!,Planning[[#This Row],[Proyectos]],#REF!,Planning[[#This Row],[Mes]],#REF!,Planning[[#This Row],[Año]])</f>
        <v>#REF!</v>
      </c>
      <c r="R837" s="19" t="str">
        <f>TEXT(Planning[[#This Row],[Mes]]*29,"mmmm")</f>
        <v>October</v>
      </c>
      <c r="S8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37" s="228"/>
      <c r="U837" s="43" t="e">
        <f>IF(Planning[[#This Row],[Horas Planificadas]]&lt;&gt;0,+K837/Planning[[#This Row],[Horas Planificadas]],0)</f>
        <v>#REF!</v>
      </c>
      <c r="V837" s="43" t="e">
        <f>IF(Planning[[#This Row],[Horas Planificadas]]&lt;&gt;0,Planning[[#This Row],[Horas utilizadas]]/Planning[[#This Row],[Horas Planificadas]],0)</f>
        <v>#REF!</v>
      </c>
      <c r="W837" s="44">
        <f>Planning[[#This Row],[Horas Planificadas]]+Planning[[#This Row],[Horas ajustadas adicionales]]</f>
        <v>160</v>
      </c>
      <c r="X837" s="142"/>
    </row>
    <row r="838" spans="1:24" ht="12.75" customHeight="1" x14ac:dyDescent="0.2">
      <c r="A838" s="7"/>
      <c r="B838" s="7"/>
      <c r="C838" s="3"/>
      <c r="D838" s="3" t="s">
        <v>241</v>
      </c>
      <c r="E838" s="33" t="s">
        <v>32</v>
      </c>
      <c r="F838" s="3"/>
      <c r="G838" s="7"/>
      <c r="H838" s="7">
        <v>226</v>
      </c>
      <c r="I838" s="12"/>
      <c r="J838" s="5" t="e">
        <f>+SUMIFS(#REF!,#REF!,Planning[[#This Row],[Tarifa]],#REF!,Planning[[#This Row],[Proyectos]])</f>
        <v>#REF!</v>
      </c>
      <c r="K838" s="5" t="e">
        <f>Planning[[#This Row],[Horas Planificadas]]+Planning[[#This Row],[Horas ajustadas adicionales]]-Planning[[#This Row],[Horas utilizadas]]</f>
        <v>#REF!</v>
      </c>
      <c r="L838" s="7"/>
      <c r="M838" s="19" t="e">
        <f>Planning[[#This Row],[Saldo]]-Planning[[#This Row],[Saldo estimado]]</f>
        <v>#REF!</v>
      </c>
      <c r="N838" s="60" t="e">
        <f>+SUMIFS(#REF!,#REF!,Planning[[#This Row],[Proyectos]],#REF!,Planning[[#This Row],[Tipo de Tarea y especialidad]])</f>
        <v>#REF!</v>
      </c>
      <c r="O838" s="19">
        <f t="shared" si="24"/>
        <v>10</v>
      </c>
      <c r="P838" s="19">
        <f t="shared" si="25"/>
        <v>2024</v>
      </c>
      <c r="Q838" s="19" t="e">
        <f>+SUMIFS(#REF!,#REF!,Planning[[#This Row],[Tarifa]],#REF!,Planning[[#This Row],[Proyectos]],#REF!,Planning[[#This Row],[Mes]],#REF!,Planning[[#This Row],[Año]])</f>
        <v>#REF!</v>
      </c>
      <c r="R838" s="19" t="str">
        <f>TEXT(Planning[[#This Row],[Mes]]*29,"mmmm")</f>
        <v>October</v>
      </c>
      <c r="S8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38" s="228"/>
      <c r="U838" s="43" t="e">
        <f>IF(Planning[[#This Row],[Horas Planificadas]]&lt;&gt;0,+K838/Planning[[#This Row],[Horas Planificadas]],0)</f>
        <v>#REF!</v>
      </c>
      <c r="V838" s="43" t="e">
        <f>IF(Planning[[#This Row],[Horas Planificadas]]&lt;&gt;0,Planning[[#This Row],[Horas utilizadas]]/Planning[[#This Row],[Horas Planificadas]],0)</f>
        <v>#REF!</v>
      </c>
      <c r="W838" s="44">
        <f>Planning[[#This Row],[Horas Planificadas]]+Planning[[#This Row],[Horas ajustadas adicionales]]</f>
        <v>226</v>
      </c>
      <c r="X838" s="142"/>
    </row>
    <row r="839" spans="1:24" ht="12.75" customHeight="1" x14ac:dyDescent="0.2">
      <c r="A839" s="7"/>
      <c r="B839" s="7"/>
      <c r="C839" s="3"/>
      <c r="D839" s="3" t="s">
        <v>242</v>
      </c>
      <c r="E839" s="33" t="s">
        <v>28</v>
      </c>
      <c r="F839" s="3"/>
      <c r="G839" s="7"/>
      <c r="H839" s="7">
        <v>1170</v>
      </c>
      <c r="I839" s="12"/>
      <c r="J839" s="5" t="e">
        <f>+SUMIFS(#REF!,#REF!,Planning[[#This Row],[Tarifa]],#REF!,Planning[[#This Row],[Proyectos]])</f>
        <v>#REF!</v>
      </c>
      <c r="K839" s="5" t="e">
        <f>Planning[[#This Row],[Horas Planificadas]]+Planning[[#This Row],[Horas ajustadas adicionales]]-Planning[[#This Row],[Horas utilizadas]]</f>
        <v>#REF!</v>
      </c>
      <c r="L839" s="7"/>
      <c r="M839" s="19" t="e">
        <f>Planning[[#This Row],[Saldo]]-Planning[[#This Row],[Saldo estimado]]</f>
        <v>#REF!</v>
      </c>
      <c r="N839" s="60" t="e">
        <f>+SUMIFS(#REF!,#REF!,Planning[[#This Row],[Proyectos]],#REF!,Planning[[#This Row],[Tipo de Tarea y especialidad]])</f>
        <v>#REF!</v>
      </c>
      <c r="O839" s="19">
        <f t="shared" ref="O839:O902" si="26">$L$4</f>
        <v>10</v>
      </c>
      <c r="P839" s="19">
        <f t="shared" ref="P839:P902" si="27">$M$4</f>
        <v>2024</v>
      </c>
      <c r="Q839" s="19" t="e">
        <f>+SUMIFS(#REF!,#REF!,Planning[[#This Row],[Tarifa]],#REF!,Planning[[#This Row],[Proyectos]],#REF!,Planning[[#This Row],[Mes]],#REF!,Planning[[#This Row],[Año]])</f>
        <v>#REF!</v>
      </c>
      <c r="R839" s="19" t="str">
        <f>TEXT(Planning[[#This Row],[Mes]]*29,"mmmm")</f>
        <v>October</v>
      </c>
      <c r="S8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39" s="228"/>
      <c r="U839" s="43" t="e">
        <f>IF(Planning[[#This Row],[Horas Planificadas]]&lt;&gt;0,+K839/Planning[[#This Row],[Horas Planificadas]],0)</f>
        <v>#REF!</v>
      </c>
      <c r="V839" s="43" t="e">
        <f>IF(Planning[[#This Row],[Horas Planificadas]]&lt;&gt;0,Planning[[#This Row],[Horas utilizadas]]/Planning[[#This Row],[Horas Planificadas]],0)</f>
        <v>#REF!</v>
      </c>
      <c r="W839" s="44">
        <f>Planning[[#This Row],[Horas Planificadas]]+Planning[[#This Row],[Horas ajustadas adicionales]]</f>
        <v>1170</v>
      </c>
      <c r="X839" s="142"/>
    </row>
    <row r="840" spans="1:24" ht="12.75" customHeight="1" x14ac:dyDescent="0.2">
      <c r="A840" s="7"/>
      <c r="B840" s="7"/>
      <c r="C840" s="3"/>
      <c r="D840" s="3" t="s">
        <v>242</v>
      </c>
      <c r="E840" s="33" t="s">
        <v>30</v>
      </c>
      <c r="F840" s="3"/>
      <c r="G840" s="7"/>
      <c r="H840" s="7">
        <v>866</v>
      </c>
      <c r="I840" s="12"/>
      <c r="J840" s="5" t="e">
        <f>+SUMIFS(#REF!,#REF!,Planning[[#This Row],[Tarifa]],#REF!,Planning[[#This Row],[Proyectos]])</f>
        <v>#REF!</v>
      </c>
      <c r="K840" s="5" t="e">
        <f>Planning[[#This Row],[Horas Planificadas]]+Planning[[#This Row],[Horas ajustadas adicionales]]-Planning[[#This Row],[Horas utilizadas]]</f>
        <v>#REF!</v>
      </c>
      <c r="L840" s="7"/>
      <c r="M840" s="19" t="e">
        <f>Planning[[#This Row],[Saldo]]-Planning[[#This Row],[Saldo estimado]]</f>
        <v>#REF!</v>
      </c>
      <c r="N840" s="60" t="e">
        <f>+SUMIFS(#REF!,#REF!,Planning[[#This Row],[Proyectos]],#REF!,Planning[[#This Row],[Tipo de Tarea y especialidad]])</f>
        <v>#REF!</v>
      </c>
      <c r="O840" s="19">
        <f t="shared" si="26"/>
        <v>10</v>
      </c>
      <c r="P840" s="19">
        <f t="shared" si="27"/>
        <v>2024</v>
      </c>
      <c r="Q840" s="19" t="e">
        <f>+SUMIFS(#REF!,#REF!,Planning[[#This Row],[Tarifa]],#REF!,Planning[[#This Row],[Proyectos]],#REF!,Planning[[#This Row],[Mes]],#REF!,Planning[[#This Row],[Año]])</f>
        <v>#REF!</v>
      </c>
      <c r="R840" s="19" t="str">
        <f>TEXT(Planning[[#This Row],[Mes]]*29,"mmmm")</f>
        <v>October</v>
      </c>
      <c r="S8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40" s="228"/>
      <c r="U840" s="43" t="e">
        <f>IF(Planning[[#This Row],[Horas Planificadas]]&lt;&gt;0,+K840/Planning[[#This Row],[Horas Planificadas]],0)</f>
        <v>#REF!</v>
      </c>
      <c r="V840" s="43" t="e">
        <f>IF(Planning[[#This Row],[Horas Planificadas]]&lt;&gt;0,Planning[[#This Row],[Horas utilizadas]]/Planning[[#This Row],[Horas Planificadas]],0)</f>
        <v>#REF!</v>
      </c>
      <c r="W840" s="44">
        <f>Planning[[#This Row],[Horas Planificadas]]+Planning[[#This Row],[Horas ajustadas adicionales]]</f>
        <v>866</v>
      </c>
      <c r="X840" s="142"/>
    </row>
    <row r="841" spans="1:24" ht="12.75" customHeight="1" x14ac:dyDescent="0.2">
      <c r="A841" s="7"/>
      <c r="B841" s="7"/>
      <c r="C841" s="3"/>
      <c r="D841" s="3" t="s">
        <v>242</v>
      </c>
      <c r="E841" s="33" t="s">
        <v>31</v>
      </c>
      <c r="F841" s="3"/>
      <c r="G841" s="7"/>
      <c r="H841" s="7">
        <v>257</v>
      </c>
      <c r="I841" s="12"/>
      <c r="J841" s="5" t="e">
        <f>+SUMIFS(#REF!,#REF!,Planning[[#This Row],[Tarifa]],#REF!,Planning[[#This Row],[Proyectos]])</f>
        <v>#REF!</v>
      </c>
      <c r="K841" s="5" t="e">
        <f>Planning[[#This Row],[Horas Planificadas]]+Planning[[#This Row],[Horas ajustadas adicionales]]-Planning[[#This Row],[Horas utilizadas]]</f>
        <v>#REF!</v>
      </c>
      <c r="L841" s="7"/>
      <c r="M841" s="19" t="e">
        <f>Planning[[#This Row],[Saldo]]-Planning[[#This Row],[Saldo estimado]]</f>
        <v>#REF!</v>
      </c>
      <c r="N841" s="60" t="e">
        <f>+SUMIFS(#REF!,#REF!,Planning[[#This Row],[Proyectos]],#REF!,Planning[[#This Row],[Tipo de Tarea y especialidad]])</f>
        <v>#REF!</v>
      </c>
      <c r="O841" s="19">
        <f t="shared" si="26"/>
        <v>10</v>
      </c>
      <c r="P841" s="19">
        <f t="shared" si="27"/>
        <v>2024</v>
      </c>
      <c r="Q841" s="19" t="e">
        <f>+SUMIFS(#REF!,#REF!,Planning[[#This Row],[Tarifa]],#REF!,Planning[[#This Row],[Proyectos]],#REF!,Planning[[#This Row],[Mes]],#REF!,Planning[[#This Row],[Año]])</f>
        <v>#REF!</v>
      </c>
      <c r="R841" s="19" t="str">
        <f>TEXT(Planning[[#This Row],[Mes]]*29,"mmmm")</f>
        <v>October</v>
      </c>
      <c r="S8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41" s="228"/>
      <c r="U841" s="43" t="e">
        <f>IF(Planning[[#This Row],[Horas Planificadas]]&lt;&gt;0,+K841/Planning[[#This Row],[Horas Planificadas]],0)</f>
        <v>#REF!</v>
      </c>
      <c r="V841" s="43" t="e">
        <f>IF(Planning[[#This Row],[Horas Planificadas]]&lt;&gt;0,Planning[[#This Row],[Horas utilizadas]]/Planning[[#This Row],[Horas Planificadas]],0)</f>
        <v>#REF!</v>
      </c>
      <c r="W841" s="44">
        <f>Planning[[#This Row],[Horas Planificadas]]+Planning[[#This Row],[Horas ajustadas adicionales]]</f>
        <v>257</v>
      </c>
      <c r="X841" s="142"/>
    </row>
    <row r="842" spans="1:24" ht="12.75" customHeight="1" x14ac:dyDescent="0.2">
      <c r="A842" s="7"/>
      <c r="B842" s="7"/>
      <c r="C842" s="3"/>
      <c r="D842" s="3" t="s">
        <v>242</v>
      </c>
      <c r="E842" s="33" t="s">
        <v>32</v>
      </c>
      <c r="F842" s="3"/>
      <c r="G842" s="7"/>
      <c r="H842" s="7">
        <v>462</v>
      </c>
      <c r="I842" s="12"/>
      <c r="J842" s="5" t="e">
        <f>+SUMIFS(#REF!,#REF!,Planning[[#This Row],[Tarifa]],#REF!,Planning[[#This Row],[Proyectos]])</f>
        <v>#REF!</v>
      </c>
      <c r="K842" s="5" t="e">
        <f>Planning[[#This Row],[Horas Planificadas]]+Planning[[#This Row],[Horas ajustadas adicionales]]-Planning[[#This Row],[Horas utilizadas]]</f>
        <v>#REF!</v>
      </c>
      <c r="L842" s="7"/>
      <c r="M842" s="19" t="e">
        <f>Planning[[#This Row],[Saldo]]-Planning[[#This Row],[Saldo estimado]]</f>
        <v>#REF!</v>
      </c>
      <c r="N842" s="60" t="e">
        <f>+SUMIFS(#REF!,#REF!,Planning[[#This Row],[Proyectos]],#REF!,Planning[[#This Row],[Tipo de Tarea y especialidad]])</f>
        <v>#REF!</v>
      </c>
      <c r="O842" s="19">
        <f t="shared" si="26"/>
        <v>10</v>
      </c>
      <c r="P842" s="19">
        <f t="shared" si="27"/>
        <v>2024</v>
      </c>
      <c r="Q842" s="19" t="e">
        <f>+SUMIFS(#REF!,#REF!,Planning[[#This Row],[Tarifa]],#REF!,Planning[[#This Row],[Proyectos]],#REF!,Planning[[#This Row],[Mes]],#REF!,Planning[[#This Row],[Año]])</f>
        <v>#REF!</v>
      </c>
      <c r="R842" s="19" t="str">
        <f>TEXT(Planning[[#This Row],[Mes]]*29,"mmmm")</f>
        <v>October</v>
      </c>
      <c r="S8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42" s="228"/>
      <c r="U842" s="43" t="e">
        <f>IF(Planning[[#This Row],[Horas Planificadas]]&lt;&gt;0,+K842/Planning[[#This Row],[Horas Planificadas]],0)</f>
        <v>#REF!</v>
      </c>
      <c r="V842" s="43" t="e">
        <f>IF(Planning[[#This Row],[Horas Planificadas]]&lt;&gt;0,Planning[[#This Row],[Horas utilizadas]]/Planning[[#This Row],[Horas Planificadas]],0)</f>
        <v>#REF!</v>
      </c>
      <c r="W842" s="44">
        <f>Planning[[#This Row],[Horas Planificadas]]+Planning[[#This Row],[Horas ajustadas adicionales]]</f>
        <v>462</v>
      </c>
      <c r="X842" s="142"/>
    </row>
    <row r="843" spans="1:24" ht="12.75" customHeight="1" x14ac:dyDescent="0.2">
      <c r="A843" s="7"/>
      <c r="B843" s="7"/>
      <c r="C843" s="3"/>
      <c r="D843" s="3" t="s">
        <v>243</v>
      </c>
      <c r="E843" s="33" t="s">
        <v>28</v>
      </c>
      <c r="F843" s="3"/>
      <c r="G843" s="7"/>
      <c r="H843" s="7">
        <v>0</v>
      </c>
      <c r="I843" s="12"/>
      <c r="J843" s="5" t="e">
        <f>+SUMIFS(#REF!,#REF!,Planning[[#This Row],[Tarifa]],#REF!,Planning[[#This Row],[Proyectos]])</f>
        <v>#REF!</v>
      </c>
      <c r="K843" s="5" t="e">
        <f>Planning[[#This Row],[Horas Planificadas]]+Planning[[#This Row],[Horas ajustadas adicionales]]-Planning[[#This Row],[Horas utilizadas]]</f>
        <v>#REF!</v>
      </c>
      <c r="L843" s="7"/>
      <c r="M843" s="19" t="e">
        <f>Planning[[#This Row],[Saldo]]-Planning[[#This Row],[Saldo estimado]]</f>
        <v>#REF!</v>
      </c>
      <c r="N843" s="60" t="e">
        <f>+SUMIFS(#REF!,#REF!,Planning[[#This Row],[Proyectos]],#REF!,Planning[[#This Row],[Tipo de Tarea y especialidad]])</f>
        <v>#REF!</v>
      </c>
      <c r="O843" s="19">
        <f t="shared" si="26"/>
        <v>10</v>
      </c>
      <c r="P843" s="19">
        <f t="shared" si="27"/>
        <v>2024</v>
      </c>
      <c r="Q843" s="19" t="e">
        <f>+SUMIFS(#REF!,#REF!,Planning[[#This Row],[Tarifa]],#REF!,Planning[[#This Row],[Proyectos]],#REF!,Planning[[#This Row],[Mes]],#REF!,Planning[[#This Row],[Año]])</f>
        <v>#REF!</v>
      </c>
      <c r="R843" s="19" t="str">
        <f>TEXT(Planning[[#This Row],[Mes]]*29,"mmmm")</f>
        <v>October</v>
      </c>
      <c r="S8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43" s="228"/>
      <c r="U843" s="43">
        <f>IF(Planning[[#This Row],[Horas Planificadas]]&lt;&gt;0,+K843/Planning[[#This Row],[Horas Planificadas]],0)</f>
        <v>0</v>
      </c>
      <c r="V843" s="43">
        <f>IF(Planning[[#This Row],[Horas Planificadas]]&lt;&gt;0,Planning[[#This Row],[Horas utilizadas]]/Planning[[#This Row],[Horas Planificadas]],0)</f>
        <v>0</v>
      </c>
      <c r="W843" s="44">
        <f>Planning[[#This Row],[Horas Planificadas]]+Planning[[#This Row],[Horas ajustadas adicionales]]</f>
        <v>0</v>
      </c>
      <c r="X843" s="142"/>
    </row>
    <row r="844" spans="1:24" ht="12.75" customHeight="1" x14ac:dyDescent="0.2">
      <c r="A844" s="7"/>
      <c r="B844" s="7"/>
      <c r="C844" s="3"/>
      <c r="D844" s="3" t="s">
        <v>243</v>
      </c>
      <c r="E844" s="33" t="s">
        <v>30</v>
      </c>
      <c r="F844" s="3"/>
      <c r="G844" s="7"/>
      <c r="H844" s="7">
        <v>108</v>
      </c>
      <c r="I844" s="12"/>
      <c r="J844" s="5" t="e">
        <f>+SUMIFS(#REF!,#REF!,Planning[[#This Row],[Tarifa]],#REF!,Planning[[#This Row],[Proyectos]])</f>
        <v>#REF!</v>
      </c>
      <c r="K844" s="5" t="e">
        <f>Planning[[#This Row],[Horas Planificadas]]+Planning[[#This Row],[Horas ajustadas adicionales]]-Planning[[#This Row],[Horas utilizadas]]</f>
        <v>#REF!</v>
      </c>
      <c r="L844" s="7"/>
      <c r="M844" s="19" t="e">
        <f>Planning[[#This Row],[Saldo]]-Planning[[#This Row],[Saldo estimado]]</f>
        <v>#REF!</v>
      </c>
      <c r="N844" s="60" t="e">
        <f>+SUMIFS(#REF!,#REF!,Planning[[#This Row],[Proyectos]],#REF!,Planning[[#This Row],[Tipo de Tarea y especialidad]])</f>
        <v>#REF!</v>
      </c>
      <c r="O844" s="19">
        <f t="shared" si="26"/>
        <v>10</v>
      </c>
      <c r="P844" s="19">
        <f t="shared" si="27"/>
        <v>2024</v>
      </c>
      <c r="Q844" s="19" t="e">
        <f>+SUMIFS(#REF!,#REF!,Planning[[#This Row],[Tarifa]],#REF!,Planning[[#This Row],[Proyectos]],#REF!,Planning[[#This Row],[Mes]],#REF!,Planning[[#This Row],[Año]])</f>
        <v>#REF!</v>
      </c>
      <c r="R844" s="19" t="str">
        <f>TEXT(Planning[[#This Row],[Mes]]*29,"mmmm")</f>
        <v>October</v>
      </c>
      <c r="S8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44" s="228"/>
      <c r="U844" s="43" t="e">
        <f>IF(Planning[[#This Row],[Horas Planificadas]]&lt;&gt;0,+K844/Planning[[#This Row],[Horas Planificadas]],0)</f>
        <v>#REF!</v>
      </c>
      <c r="V844" s="43" t="e">
        <f>IF(Planning[[#This Row],[Horas Planificadas]]&lt;&gt;0,Planning[[#This Row],[Horas utilizadas]]/Planning[[#This Row],[Horas Planificadas]],0)</f>
        <v>#REF!</v>
      </c>
      <c r="W844" s="44">
        <f>Planning[[#This Row],[Horas Planificadas]]+Planning[[#This Row],[Horas ajustadas adicionales]]</f>
        <v>108</v>
      </c>
      <c r="X844" s="142"/>
    </row>
    <row r="845" spans="1:24" ht="12.75" customHeight="1" x14ac:dyDescent="0.2">
      <c r="A845" s="7"/>
      <c r="B845" s="7"/>
      <c r="C845" s="3"/>
      <c r="D845" s="3" t="s">
        <v>243</v>
      </c>
      <c r="E845" s="33" t="s">
        <v>31</v>
      </c>
      <c r="F845" s="3"/>
      <c r="G845" s="7"/>
      <c r="H845" s="7">
        <v>32</v>
      </c>
      <c r="I845" s="12"/>
      <c r="J845" s="5" t="e">
        <f>+SUMIFS(#REF!,#REF!,Planning[[#This Row],[Tarifa]],#REF!,Planning[[#This Row],[Proyectos]])</f>
        <v>#REF!</v>
      </c>
      <c r="K845" s="5" t="e">
        <f>Planning[[#This Row],[Horas Planificadas]]+Planning[[#This Row],[Horas ajustadas adicionales]]-Planning[[#This Row],[Horas utilizadas]]</f>
        <v>#REF!</v>
      </c>
      <c r="L845" s="7"/>
      <c r="M845" s="19" t="e">
        <f>Planning[[#This Row],[Saldo]]-Planning[[#This Row],[Saldo estimado]]</f>
        <v>#REF!</v>
      </c>
      <c r="N845" s="60" t="e">
        <f>+SUMIFS(#REF!,#REF!,Planning[[#This Row],[Proyectos]],#REF!,Planning[[#This Row],[Tipo de Tarea y especialidad]])</f>
        <v>#REF!</v>
      </c>
      <c r="O845" s="19">
        <f t="shared" si="26"/>
        <v>10</v>
      </c>
      <c r="P845" s="19">
        <f t="shared" si="27"/>
        <v>2024</v>
      </c>
      <c r="Q845" s="19" t="e">
        <f>+SUMIFS(#REF!,#REF!,Planning[[#This Row],[Tarifa]],#REF!,Planning[[#This Row],[Proyectos]],#REF!,Planning[[#This Row],[Mes]],#REF!,Planning[[#This Row],[Año]])</f>
        <v>#REF!</v>
      </c>
      <c r="R845" s="19" t="str">
        <f>TEXT(Planning[[#This Row],[Mes]]*29,"mmmm")</f>
        <v>October</v>
      </c>
      <c r="S8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45" s="228"/>
      <c r="U845" s="43" t="e">
        <f>IF(Planning[[#This Row],[Horas Planificadas]]&lt;&gt;0,+K845/Planning[[#This Row],[Horas Planificadas]],0)</f>
        <v>#REF!</v>
      </c>
      <c r="V845" s="43" t="e">
        <f>IF(Planning[[#This Row],[Horas Planificadas]]&lt;&gt;0,Planning[[#This Row],[Horas utilizadas]]/Planning[[#This Row],[Horas Planificadas]],0)</f>
        <v>#REF!</v>
      </c>
      <c r="W845" s="44">
        <f>Planning[[#This Row],[Horas Planificadas]]+Planning[[#This Row],[Horas ajustadas adicionales]]</f>
        <v>32</v>
      </c>
      <c r="X845" s="142"/>
    </row>
    <row r="846" spans="1:24" ht="12.75" customHeight="1" x14ac:dyDescent="0.2">
      <c r="A846" s="7"/>
      <c r="B846" s="7"/>
      <c r="C846" s="3"/>
      <c r="D846" s="3" t="s">
        <v>243</v>
      </c>
      <c r="E846" s="33" t="s">
        <v>32</v>
      </c>
      <c r="F846" s="3"/>
      <c r="G846" s="7"/>
      <c r="H846" s="7">
        <v>45</v>
      </c>
      <c r="I846" s="12"/>
      <c r="J846" s="5" t="e">
        <f>+SUMIFS(#REF!,#REF!,Planning[[#This Row],[Tarifa]],#REF!,Planning[[#This Row],[Proyectos]])</f>
        <v>#REF!</v>
      </c>
      <c r="K846" s="5" t="e">
        <f>Planning[[#This Row],[Horas Planificadas]]+Planning[[#This Row],[Horas ajustadas adicionales]]-Planning[[#This Row],[Horas utilizadas]]</f>
        <v>#REF!</v>
      </c>
      <c r="L846" s="7"/>
      <c r="M846" s="19" t="e">
        <f>Planning[[#This Row],[Saldo]]-Planning[[#This Row],[Saldo estimado]]</f>
        <v>#REF!</v>
      </c>
      <c r="N846" s="60" t="e">
        <f>+SUMIFS(#REF!,#REF!,Planning[[#This Row],[Proyectos]],#REF!,Planning[[#This Row],[Tipo de Tarea y especialidad]])</f>
        <v>#REF!</v>
      </c>
      <c r="O846" s="19">
        <f t="shared" si="26"/>
        <v>10</v>
      </c>
      <c r="P846" s="19">
        <f t="shared" si="27"/>
        <v>2024</v>
      </c>
      <c r="Q846" s="19" t="e">
        <f>+SUMIFS(#REF!,#REF!,Planning[[#This Row],[Tarifa]],#REF!,Planning[[#This Row],[Proyectos]],#REF!,Planning[[#This Row],[Mes]],#REF!,Planning[[#This Row],[Año]])</f>
        <v>#REF!</v>
      </c>
      <c r="R846" s="19" t="str">
        <f>TEXT(Planning[[#This Row],[Mes]]*29,"mmmm")</f>
        <v>October</v>
      </c>
      <c r="S8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46" s="228"/>
      <c r="U846" s="43" t="e">
        <f>IF(Planning[[#This Row],[Horas Planificadas]]&lt;&gt;0,+K846/Planning[[#This Row],[Horas Planificadas]],0)</f>
        <v>#REF!</v>
      </c>
      <c r="V846" s="43" t="e">
        <f>IF(Planning[[#This Row],[Horas Planificadas]]&lt;&gt;0,Planning[[#This Row],[Horas utilizadas]]/Planning[[#This Row],[Horas Planificadas]],0)</f>
        <v>#REF!</v>
      </c>
      <c r="W846" s="44">
        <f>Planning[[#This Row],[Horas Planificadas]]+Planning[[#This Row],[Horas ajustadas adicionales]]</f>
        <v>45</v>
      </c>
      <c r="X846" s="142"/>
    </row>
    <row r="847" spans="1:24" ht="22.5" x14ac:dyDescent="0.2">
      <c r="A847" s="7"/>
      <c r="B847" s="7"/>
      <c r="C847" s="3"/>
      <c r="D847" s="3" t="s">
        <v>244</v>
      </c>
      <c r="E847" s="4" t="s">
        <v>28</v>
      </c>
      <c r="F847" s="3"/>
      <c r="G847" s="9"/>
      <c r="H847" s="12">
        <v>45</v>
      </c>
      <c r="I847" s="12"/>
      <c r="J847" s="5" t="e">
        <f>+SUMIFS(#REF!,#REF!,Planning[[#This Row],[Tarifa]],#REF!,Planning[[#This Row],[Proyectos]])</f>
        <v>#REF!</v>
      </c>
      <c r="K847" s="27" t="e">
        <f>Planning[[#This Row],[Horas Planificadas]]+Planning[[#This Row],[Horas ajustadas adicionales]]-Planning[[#This Row],[Horas utilizadas]]</f>
        <v>#REF!</v>
      </c>
      <c r="L847" s="7"/>
      <c r="M847" s="34" t="e">
        <f>Planning[[#This Row],[Saldo]]-Planning[[#This Row],[Saldo estimado]]</f>
        <v>#REF!</v>
      </c>
      <c r="N847" s="62" t="e">
        <f>+SUMIFS(#REF!,#REF!,Planning[[#This Row],[Proyectos]],#REF!,Planning[[#This Row],[Tipo de Tarea y especialidad]])</f>
        <v>#REF!</v>
      </c>
      <c r="O847" s="34">
        <f t="shared" si="26"/>
        <v>10</v>
      </c>
      <c r="P847" s="34">
        <f t="shared" si="27"/>
        <v>2024</v>
      </c>
      <c r="Q847" s="34" t="e">
        <f>+SUMIFS(#REF!,#REF!,Planning[[#This Row],[Tarifa]],#REF!,Planning[[#This Row],[Proyectos]],#REF!,Planning[[#This Row],[Mes]],#REF!,Planning[[#This Row],[Año]])</f>
        <v>#REF!</v>
      </c>
      <c r="R847" s="34" t="str">
        <f>TEXT(Planning[[#This Row],[Mes]]*29,"mmmm")</f>
        <v>October</v>
      </c>
      <c r="S84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47" s="228"/>
      <c r="U847" s="43" t="e">
        <f>IF(Planning[[#This Row],[Horas Planificadas]]&lt;&gt;0,+K847/Planning[[#This Row],[Horas Planificadas]],0)</f>
        <v>#REF!</v>
      </c>
      <c r="V847" s="43" t="e">
        <f>IF(Planning[[#This Row],[Horas Planificadas]]&lt;&gt;0,Planning[[#This Row],[Horas utilizadas]]/Planning[[#This Row],[Horas Planificadas]],0)</f>
        <v>#REF!</v>
      </c>
      <c r="W847" s="44">
        <f>Planning[[#This Row],[Horas Planificadas]]+Planning[[#This Row],[Horas ajustadas adicionales]]</f>
        <v>45</v>
      </c>
      <c r="X847" s="142"/>
    </row>
    <row r="848" spans="1:24" x14ac:dyDescent="0.2">
      <c r="A848" s="7"/>
      <c r="B848" s="7"/>
      <c r="C848" s="3"/>
      <c r="D848" s="3" t="s">
        <v>244</v>
      </c>
      <c r="E848" s="4" t="s">
        <v>30</v>
      </c>
      <c r="F848" s="3"/>
      <c r="G848" s="9"/>
      <c r="H848" s="9">
        <v>120</v>
      </c>
      <c r="I848" s="12"/>
      <c r="J848" s="5" t="e">
        <f>+SUMIFS(#REF!,#REF!,Planning[[#This Row],[Tarifa]],#REF!,Planning[[#This Row],[Proyectos]])</f>
        <v>#REF!</v>
      </c>
      <c r="K848" s="5" t="e">
        <f>Planning[[#This Row],[Horas Planificadas]]+Planning[[#This Row],[Horas ajustadas adicionales]]-Planning[[#This Row],[Horas utilizadas]]</f>
        <v>#REF!</v>
      </c>
      <c r="L848" s="7"/>
      <c r="M848" s="19" t="e">
        <f>Planning[[#This Row],[Saldo]]-Planning[[#This Row],[Saldo estimado]]</f>
        <v>#REF!</v>
      </c>
      <c r="N848" s="60" t="e">
        <f>+SUMIFS(#REF!,#REF!,Planning[[#This Row],[Proyectos]],#REF!,Planning[[#This Row],[Tipo de Tarea y especialidad]])</f>
        <v>#REF!</v>
      </c>
      <c r="O848" s="19">
        <f t="shared" si="26"/>
        <v>10</v>
      </c>
      <c r="P848" s="19">
        <f t="shared" si="27"/>
        <v>2024</v>
      </c>
      <c r="Q848" s="19" t="e">
        <f>+SUMIFS(#REF!,#REF!,Planning[[#This Row],[Tarifa]],#REF!,Planning[[#This Row],[Proyectos]],#REF!,Planning[[#This Row],[Mes]],#REF!,Planning[[#This Row],[Año]])</f>
        <v>#REF!</v>
      </c>
      <c r="R848" s="19" t="str">
        <f>TEXT(Planning[[#This Row],[Mes]]*29,"mmmm")</f>
        <v>October</v>
      </c>
      <c r="S8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48" s="228"/>
      <c r="U848" s="43" t="e">
        <f>IF(Planning[[#This Row],[Horas Planificadas]]&lt;&gt;0,+K848/Planning[[#This Row],[Horas Planificadas]],0)</f>
        <v>#REF!</v>
      </c>
      <c r="V848" s="43" t="e">
        <f>IF(Planning[[#This Row],[Horas Planificadas]]&lt;&gt;0,Planning[[#This Row],[Horas utilizadas]]/Planning[[#This Row],[Horas Planificadas]],0)</f>
        <v>#REF!</v>
      </c>
      <c r="W848" s="44">
        <f>Planning[[#This Row],[Horas Planificadas]]+Planning[[#This Row],[Horas ajustadas adicionales]]</f>
        <v>120</v>
      </c>
      <c r="X848" s="142"/>
    </row>
    <row r="849" spans="1:24" x14ac:dyDescent="0.2">
      <c r="A849" s="7"/>
      <c r="B849" s="7"/>
      <c r="C849" s="3"/>
      <c r="D849" s="3" t="s">
        <v>244</v>
      </c>
      <c r="E849" s="4" t="s">
        <v>31</v>
      </c>
      <c r="F849" s="3"/>
      <c r="G849" s="9"/>
      <c r="H849" s="9">
        <v>120</v>
      </c>
      <c r="I849" s="12"/>
      <c r="J849" s="5" t="e">
        <f>+SUMIFS(#REF!,#REF!,Planning[[#This Row],[Tarifa]],#REF!,Planning[[#This Row],[Proyectos]])</f>
        <v>#REF!</v>
      </c>
      <c r="K849" s="5" t="e">
        <f>Planning[[#This Row],[Horas Planificadas]]+Planning[[#This Row],[Horas ajustadas adicionales]]-Planning[[#This Row],[Horas utilizadas]]</f>
        <v>#REF!</v>
      </c>
      <c r="L849" s="7"/>
      <c r="M849" s="19" t="e">
        <f>Planning[[#This Row],[Saldo]]-Planning[[#This Row],[Saldo estimado]]</f>
        <v>#REF!</v>
      </c>
      <c r="N849" s="60" t="e">
        <f>+SUMIFS(#REF!,#REF!,Planning[[#This Row],[Proyectos]],#REF!,Planning[[#This Row],[Tipo de Tarea y especialidad]])</f>
        <v>#REF!</v>
      </c>
      <c r="O849" s="19">
        <f t="shared" si="26"/>
        <v>10</v>
      </c>
      <c r="P849" s="19">
        <f t="shared" si="27"/>
        <v>2024</v>
      </c>
      <c r="Q849" s="19" t="e">
        <f>+SUMIFS(#REF!,#REF!,Planning[[#This Row],[Tarifa]],#REF!,Planning[[#This Row],[Proyectos]],#REF!,Planning[[#This Row],[Mes]],#REF!,Planning[[#This Row],[Año]])</f>
        <v>#REF!</v>
      </c>
      <c r="R849" s="19" t="str">
        <f>TEXT(Planning[[#This Row],[Mes]]*29,"mmmm")</f>
        <v>October</v>
      </c>
      <c r="S8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49" s="228"/>
      <c r="U849" s="43" t="e">
        <f>IF(Planning[[#This Row],[Horas Planificadas]]&lt;&gt;0,+K849/Planning[[#This Row],[Horas Planificadas]],0)</f>
        <v>#REF!</v>
      </c>
      <c r="V849" s="43" t="e">
        <f>IF(Planning[[#This Row],[Horas Planificadas]]&lt;&gt;0,Planning[[#This Row],[Horas utilizadas]]/Planning[[#This Row],[Horas Planificadas]],0)</f>
        <v>#REF!</v>
      </c>
      <c r="W849" s="44">
        <f>Planning[[#This Row],[Horas Planificadas]]+Planning[[#This Row],[Horas ajustadas adicionales]]</f>
        <v>120</v>
      </c>
      <c r="X849" s="142"/>
    </row>
    <row r="850" spans="1:24" ht="22.5" x14ac:dyDescent="0.2">
      <c r="A850" s="7"/>
      <c r="B850" s="7"/>
      <c r="C850" s="3"/>
      <c r="D850" s="3" t="s">
        <v>244</v>
      </c>
      <c r="E850" s="4" t="s">
        <v>32</v>
      </c>
      <c r="F850" s="3"/>
      <c r="G850" s="9"/>
      <c r="H850" s="12">
        <v>36</v>
      </c>
      <c r="I850" s="12"/>
      <c r="J850" s="5" t="e">
        <f>+SUMIFS(#REF!,#REF!,Planning[[#This Row],[Tarifa]],#REF!,Planning[[#This Row],[Proyectos]])</f>
        <v>#REF!</v>
      </c>
      <c r="K850" s="27" t="e">
        <f>Planning[[#This Row],[Horas Planificadas]]+Planning[[#This Row],[Horas ajustadas adicionales]]-Planning[[#This Row],[Horas utilizadas]]</f>
        <v>#REF!</v>
      </c>
      <c r="L850" s="7"/>
      <c r="M850" s="19" t="e">
        <f>Planning[[#This Row],[Saldo]]-Planning[[#This Row],[Saldo estimado]]</f>
        <v>#REF!</v>
      </c>
      <c r="N850" s="60" t="e">
        <f>+SUMIFS(#REF!,#REF!,Planning[[#This Row],[Proyectos]],#REF!,Planning[[#This Row],[Tipo de Tarea y especialidad]])</f>
        <v>#REF!</v>
      </c>
      <c r="O850" s="19">
        <f t="shared" si="26"/>
        <v>10</v>
      </c>
      <c r="P850" s="19">
        <f t="shared" si="27"/>
        <v>2024</v>
      </c>
      <c r="Q850" s="19" t="e">
        <f>+SUMIFS(#REF!,#REF!,Planning[[#This Row],[Tarifa]],#REF!,Planning[[#This Row],[Proyectos]],#REF!,Planning[[#This Row],[Mes]],#REF!,Planning[[#This Row],[Año]])</f>
        <v>#REF!</v>
      </c>
      <c r="R850" s="19" t="str">
        <f>TEXT(Planning[[#This Row],[Mes]]*29,"mmmm")</f>
        <v>October</v>
      </c>
      <c r="S8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50" s="228"/>
      <c r="U850" s="43" t="e">
        <f>IF(Planning[[#This Row],[Horas Planificadas]]&lt;&gt;0,+K850/Planning[[#This Row],[Horas Planificadas]],0)</f>
        <v>#REF!</v>
      </c>
      <c r="V850" s="43" t="e">
        <f>IF(Planning[[#This Row],[Horas Planificadas]]&lt;&gt;0,Planning[[#This Row],[Horas utilizadas]]/Planning[[#This Row],[Horas Planificadas]],0)</f>
        <v>#REF!</v>
      </c>
      <c r="W850" s="44">
        <f>Planning[[#This Row],[Horas Planificadas]]+Planning[[#This Row],[Horas ajustadas adicionales]]</f>
        <v>36</v>
      </c>
      <c r="X850" s="142"/>
    </row>
    <row r="851" spans="1:24" ht="22.5" x14ac:dyDescent="0.2">
      <c r="A851" s="7"/>
      <c r="B851" s="7"/>
      <c r="C851" s="3"/>
      <c r="D851" s="3" t="s">
        <v>245</v>
      </c>
      <c r="E851" s="4" t="s">
        <v>28</v>
      </c>
      <c r="F851" s="3"/>
      <c r="G851" s="9"/>
      <c r="H851" s="9">
        <v>0</v>
      </c>
      <c r="I851" s="12"/>
      <c r="J851" s="5" t="e">
        <f>+SUMIFS(#REF!,#REF!,Planning[[#This Row],[Tarifa]],#REF!,Planning[[#This Row],[Proyectos]])</f>
        <v>#REF!</v>
      </c>
      <c r="K851" s="5" t="e">
        <f>Planning[[#This Row],[Horas Planificadas]]+Planning[[#This Row],[Horas ajustadas adicionales]]-Planning[[#This Row],[Horas utilizadas]]</f>
        <v>#REF!</v>
      </c>
      <c r="L851" s="7"/>
      <c r="M851" s="19" t="e">
        <f>Planning[[#This Row],[Saldo]]-Planning[[#This Row],[Saldo estimado]]</f>
        <v>#REF!</v>
      </c>
      <c r="N851" s="60" t="e">
        <f>+SUMIFS(#REF!,#REF!,Planning[[#This Row],[Proyectos]],#REF!,Planning[[#This Row],[Tipo de Tarea y especialidad]])</f>
        <v>#REF!</v>
      </c>
      <c r="O851" s="19">
        <f t="shared" si="26"/>
        <v>10</v>
      </c>
      <c r="P851" s="19">
        <f t="shared" si="27"/>
        <v>2024</v>
      </c>
      <c r="Q851" s="19" t="e">
        <f>+SUMIFS(#REF!,#REF!,Planning[[#This Row],[Tarifa]],#REF!,Planning[[#This Row],[Proyectos]],#REF!,Planning[[#This Row],[Mes]],#REF!,Planning[[#This Row],[Año]])</f>
        <v>#REF!</v>
      </c>
      <c r="R851" s="19" t="str">
        <f>TEXT(Planning[[#This Row],[Mes]]*29,"mmmm")</f>
        <v>October</v>
      </c>
      <c r="S8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51" s="228"/>
      <c r="U851" s="43">
        <f>IF(Planning[[#This Row],[Horas Planificadas]]&lt;&gt;0,+K851/Planning[[#This Row],[Horas Planificadas]],0)</f>
        <v>0</v>
      </c>
      <c r="V851" s="43">
        <f>IF(Planning[[#This Row],[Horas Planificadas]]&lt;&gt;0,Planning[[#This Row],[Horas utilizadas]]/Planning[[#This Row],[Horas Planificadas]],0)</f>
        <v>0</v>
      </c>
      <c r="W851" s="44">
        <f>Planning[[#This Row],[Horas Planificadas]]+Planning[[#This Row],[Horas ajustadas adicionales]]</f>
        <v>0</v>
      </c>
      <c r="X851" s="142"/>
    </row>
    <row r="852" spans="1:24" x14ac:dyDescent="0.2">
      <c r="A852" s="7"/>
      <c r="B852" s="7"/>
      <c r="C852" s="3"/>
      <c r="D852" s="3" t="s">
        <v>245</v>
      </c>
      <c r="E852" s="4" t="s">
        <v>30</v>
      </c>
      <c r="F852" s="3"/>
      <c r="G852" s="9"/>
      <c r="H852" s="9">
        <v>9</v>
      </c>
      <c r="I852" s="12"/>
      <c r="J852" s="5" t="e">
        <f>+SUMIFS(#REF!,#REF!,Planning[[#This Row],[Tarifa]],#REF!,Planning[[#This Row],[Proyectos]])</f>
        <v>#REF!</v>
      </c>
      <c r="K852" s="5" t="e">
        <f>Planning[[#This Row],[Horas Planificadas]]+Planning[[#This Row],[Horas ajustadas adicionales]]-Planning[[#This Row],[Horas utilizadas]]</f>
        <v>#REF!</v>
      </c>
      <c r="L852" s="7"/>
      <c r="M852" s="19" t="e">
        <f>Planning[[#This Row],[Saldo]]-Planning[[#This Row],[Saldo estimado]]</f>
        <v>#REF!</v>
      </c>
      <c r="N852" s="60" t="e">
        <f>+SUMIFS(#REF!,#REF!,Planning[[#This Row],[Proyectos]],#REF!,Planning[[#This Row],[Tipo de Tarea y especialidad]])</f>
        <v>#REF!</v>
      </c>
      <c r="O852" s="19">
        <f t="shared" si="26"/>
        <v>10</v>
      </c>
      <c r="P852" s="19">
        <f t="shared" si="27"/>
        <v>2024</v>
      </c>
      <c r="Q852" s="19" t="e">
        <f>+SUMIFS(#REF!,#REF!,Planning[[#This Row],[Tarifa]],#REF!,Planning[[#This Row],[Proyectos]],#REF!,Planning[[#This Row],[Mes]],#REF!,Planning[[#This Row],[Año]])</f>
        <v>#REF!</v>
      </c>
      <c r="R852" s="19" t="str">
        <f>TEXT(Planning[[#This Row],[Mes]]*29,"mmmm")</f>
        <v>October</v>
      </c>
      <c r="S8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52" s="228"/>
      <c r="U852" s="43" t="e">
        <f>IF(Planning[[#This Row],[Horas Planificadas]]&lt;&gt;0,+K852/Planning[[#This Row],[Horas Planificadas]],0)</f>
        <v>#REF!</v>
      </c>
      <c r="V852" s="43" t="e">
        <f>IF(Planning[[#This Row],[Horas Planificadas]]&lt;&gt;0,Planning[[#This Row],[Horas utilizadas]]/Planning[[#This Row],[Horas Planificadas]],0)</f>
        <v>#REF!</v>
      </c>
      <c r="W852" s="44">
        <f>Planning[[#This Row],[Horas Planificadas]]+Planning[[#This Row],[Horas ajustadas adicionales]]</f>
        <v>9</v>
      </c>
      <c r="X852" s="142"/>
    </row>
    <row r="853" spans="1:24" x14ac:dyDescent="0.2">
      <c r="A853" s="7"/>
      <c r="B853" s="7"/>
      <c r="C853" s="3"/>
      <c r="D853" s="3" t="s">
        <v>245</v>
      </c>
      <c r="E853" s="4" t="s">
        <v>31</v>
      </c>
      <c r="F853" s="3"/>
      <c r="G853" s="9"/>
      <c r="H853" s="9">
        <v>4</v>
      </c>
      <c r="I853" s="12"/>
      <c r="J853" s="5" t="e">
        <f>+SUMIFS(#REF!,#REF!,Planning[[#This Row],[Tarifa]],#REF!,Planning[[#This Row],[Proyectos]])</f>
        <v>#REF!</v>
      </c>
      <c r="K853" s="5" t="e">
        <f>Planning[[#This Row],[Horas Planificadas]]+Planning[[#This Row],[Horas ajustadas adicionales]]-Planning[[#This Row],[Horas utilizadas]]</f>
        <v>#REF!</v>
      </c>
      <c r="L853" s="7"/>
      <c r="M853" s="19" t="e">
        <f>Planning[[#This Row],[Saldo]]-Planning[[#This Row],[Saldo estimado]]</f>
        <v>#REF!</v>
      </c>
      <c r="N853" s="60" t="e">
        <f>+SUMIFS(#REF!,#REF!,Planning[[#This Row],[Proyectos]],#REF!,Planning[[#This Row],[Tipo de Tarea y especialidad]])</f>
        <v>#REF!</v>
      </c>
      <c r="O853" s="19">
        <f t="shared" si="26"/>
        <v>10</v>
      </c>
      <c r="P853" s="19">
        <f t="shared" si="27"/>
        <v>2024</v>
      </c>
      <c r="Q853" s="19" t="e">
        <f>+SUMIFS(#REF!,#REF!,Planning[[#This Row],[Tarifa]],#REF!,Planning[[#This Row],[Proyectos]],#REF!,Planning[[#This Row],[Mes]],#REF!,Planning[[#This Row],[Año]])</f>
        <v>#REF!</v>
      </c>
      <c r="R853" s="19" t="str">
        <f>TEXT(Planning[[#This Row],[Mes]]*29,"mmmm")</f>
        <v>October</v>
      </c>
      <c r="S8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53" s="228"/>
      <c r="U853" s="43" t="e">
        <f>IF(Planning[[#This Row],[Horas Planificadas]]&lt;&gt;0,+K853/Planning[[#This Row],[Horas Planificadas]],0)</f>
        <v>#REF!</v>
      </c>
      <c r="V853" s="43" t="e">
        <f>IF(Planning[[#This Row],[Horas Planificadas]]&lt;&gt;0,Planning[[#This Row],[Horas utilizadas]]/Planning[[#This Row],[Horas Planificadas]],0)</f>
        <v>#REF!</v>
      </c>
      <c r="W853" s="44">
        <f>Planning[[#This Row],[Horas Planificadas]]+Planning[[#This Row],[Horas ajustadas adicionales]]</f>
        <v>4</v>
      </c>
      <c r="X853" s="142"/>
    </row>
    <row r="854" spans="1:24" ht="22.5" x14ac:dyDescent="0.2">
      <c r="A854" s="7"/>
      <c r="B854" s="7"/>
      <c r="C854" s="3"/>
      <c r="D854" s="3" t="s">
        <v>245</v>
      </c>
      <c r="E854" s="4" t="s">
        <v>32</v>
      </c>
      <c r="F854" s="3"/>
      <c r="G854" s="9"/>
      <c r="H854" s="9">
        <v>63</v>
      </c>
      <c r="I854" s="12"/>
      <c r="J854" s="5" t="e">
        <f>+SUMIFS(#REF!,#REF!,Planning[[#This Row],[Tarifa]],#REF!,Planning[[#This Row],[Proyectos]])</f>
        <v>#REF!</v>
      </c>
      <c r="K854" s="5" t="e">
        <f>Planning[[#This Row],[Horas Planificadas]]+Planning[[#This Row],[Horas ajustadas adicionales]]-Planning[[#This Row],[Horas utilizadas]]</f>
        <v>#REF!</v>
      </c>
      <c r="L854" s="7"/>
      <c r="M854" s="19" t="e">
        <f>Planning[[#This Row],[Saldo]]-Planning[[#This Row],[Saldo estimado]]</f>
        <v>#REF!</v>
      </c>
      <c r="N854" s="60" t="e">
        <f>+SUMIFS(#REF!,#REF!,Planning[[#This Row],[Proyectos]],#REF!,Planning[[#This Row],[Tipo de Tarea y especialidad]])</f>
        <v>#REF!</v>
      </c>
      <c r="O854" s="19">
        <f t="shared" si="26"/>
        <v>10</v>
      </c>
      <c r="P854" s="19">
        <f t="shared" si="27"/>
        <v>2024</v>
      </c>
      <c r="Q854" s="19" t="e">
        <f>+SUMIFS(#REF!,#REF!,Planning[[#This Row],[Tarifa]],#REF!,Planning[[#This Row],[Proyectos]],#REF!,Planning[[#This Row],[Mes]],#REF!,Planning[[#This Row],[Año]])</f>
        <v>#REF!</v>
      </c>
      <c r="R854" s="19" t="str">
        <f>TEXT(Planning[[#This Row],[Mes]]*29,"mmmm")</f>
        <v>October</v>
      </c>
      <c r="S8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54" s="228"/>
      <c r="U854" s="43" t="e">
        <f>IF(Planning[[#This Row],[Horas Planificadas]]&lt;&gt;0,+K854/Planning[[#This Row],[Horas Planificadas]],0)</f>
        <v>#REF!</v>
      </c>
      <c r="V854" s="43" t="e">
        <f>IF(Planning[[#This Row],[Horas Planificadas]]&lt;&gt;0,Planning[[#This Row],[Horas utilizadas]]/Planning[[#This Row],[Horas Planificadas]],0)</f>
        <v>#REF!</v>
      </c>
      <c r="W854" s="44">
        <f>Planning[[#This Row],[Horas Planificadas]]+Planning[[#This Row],[Horas ajustadas adicionales]]</f>
        <v>63</v>
      </c>
      <c r="X854" s="142"/>
    </row>
    <row r="855" spans="1:24" ht="22.5" x14ac:dyDescent="0.2">
      <c r="A855" s="7"/>
      <c r="B855" s="7"/>
      <c r="C855" s="3"/>
      <c r="D855" s="3" t="s">
        <v>246</v>
      </c>
      <c r="E855" s="4" t="s">
        <v>28</v>
      </c>
      <c r="F855" s="3"/>
      <c r="G855" s="9"/>
      <c r="H855" s="9">
        <v>0</v>
      </c>
      <c r="I855" s="12"/>
      <c r="J855" s="5" t="e">
        <f>+SUMIFS(#REF!,#REF!,Planning[[#This Row],[Tarifa]],#REF!,Planning[[#This Row],[Proyectos]])</f>
        <v>#REF!</v>
      </c>
      <c r="K855" s="5" t="e">
        <f>Planning[[#This Row],[Horas Planificadas]]+Planning[[#This Row],[Horas ajustadas adicionales]]-Planning[[#This Row],[Horas utilizadas]]</f>
        <v>#REF!</v>
      </c>
      <c r="L855" s="7"/>
      <c r="M855" s="19" t="e">
        <f>Planning[[#This Row],[Saldo]]-Planning[[#This Row],[Saldo estimado]]</f>
        <v>#REF!</v>
      </c>
      <c r="N855" s="60" t="e">
        <f>+SUMIFS(#REF!,#REF!,Planning[[#This Row],[Proyectos]],#REF!,Planning[[#This Row],[Tipo de Tarea y especialidad]])</f>
        <v>#REF!</v>
      </c>
      <c r="O855" s="19">
        <f t="shared" si="26"/>
        <v>10</v>
      </c>
      <c r="P855" s="19">
        <f t="shared" si="27"/>
        <v>2024</v>
      </c>
      <c r="Q855" s="19" t="e">
        <f>+SUMIFS(#REF!,#REF!,Planning[[#This Row],[Tarifa]],#REF!,Planning[[#This Row],[Proyectos]],#REF!,Planning[[#This Row],[Mes]],#REF!,Planning[[#This Row],[Año]])</f>
        <v>#REF!</v>
      </c>
      <c r="R855" s="19" t="str">
        <f>TEXT(Planning[[#This Row],[Mes]]*29,"mmmm")</f>
        <v>October</v>
      </c>
      <c r="S8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55" s="228"/>
      <c r="U855" s="43">
        <f>IF(Planning[[#This Row],[Horas Planificadas]]&lt;&gt;0,+K855/Planning[[#This Row],[Horas Planificadas]],0)</f>
        <v>0</v>
      </c>
      <c r="V855" s="43">
        <f>IF(Planning[[#This Row],[Horas Planificadas]]&lt;&gt;0,Planning[[#This Row],[Horas utilizadas]]/Planning[[#This Row],[Horas Planificadas]],0)</f>
        <v>0</v>
      </c>
      <c r="W855" s="44">
        <f>Planning[[#This Row],[Horas Planificadas]]+Planning[[#This Row],[Horas ajustadas adicionales]]</f>
        <v>0</v>
      </c>
      <c r="X855" s="142"/>
    </row>
    <row r="856" spans="1:24" x14ac:dyDescent="0.2">
      <c r="A856" s="7"/>
      <c r="B856" s="7"/>
      <c r="C856" s="3"/>
      <c r="D856" s="3" t="s">
        <v>246</v>
      </c>
      <c r="E856" s="4" t="s">
        <v>30</v>
      </c>
      <c r="F856" s="3"/>
      <c r="G856" s="9"/>
      <c r="H856" s="9">
        <v>62</v>
      </c>
      <c r="I856" s="12"/>
      <c r="J856" s="5" t="e">
        <f>+SUMIFS(#REF!,#REF!,Planning[[#This Row],[Tarifa]],#REF!,Planning[[#This Row],[Proyectos]])</f>
        <v>#REF!</v>
      </c>
      <c r="K856" s="5" t="e">
        <f>Planning[[#This Row],[Horas Planificadas]]+Planning[[#This Row],[Horas ajustadas adicionales]]-Planning[[#This Row],[Horas utilizadas]]</f>
        <v>#REF!</v>
      </c>
      <c r="L856" s="7"/>
      <c r="M856" s="19" t="e">
        <f>Planning[[#This Row],[Saldo]]-Planning[[#This Row],[Saldo estimado]]</f>
        <v>#REF!</v>
      </c>
      <c r="N856" s="60" t="e">
        <f>+SUMIFS(#REF!,#REF!,Planning[[#This Row],[Proyectos]],#REF!,Planning[[#This Row],[Tipo de Tarea y especialidad]])</f>
        <v>#REF!</v>
      </c>
      <c r="O856" s="19">
        <f t="shared" si="26"/>
        <v>10</v>
      </c>
      <c r="P856" s="19">
        <f t="shared" si="27"/>
        <v>2024</v>
      </c>
      <c r="Q856" s="19" t="e">
        <f>+SUMIFS(#REF!,#REF!,Planning[[#This Row],[Tarifa]],#REF!,Planning[[#This Row],[Proyectos]],#REF!,Planning[[#This Row],[Mes]],#REF!,Planning[[#This Row],[Año]])</f>
        <v>#REF!</v>
      </c>
      <c r="R856" s="19" t="str">
        <f>TEXT(Planning[[#This Row],[Mes]]*29,"mmmm")</f>
        <v>October</v>
      </c>
      <c r="S8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56" s="228"/>
      <c r="U856" s="43" t="e">
        <f>IF(Planning[[#This Row],[Horas Planificadas]]&lt;&gt;0,+K856/Planning[[#This Row],[Horas Planificadas]],0)</f>
        <v>#REF!</v>
      </c>
      <c r="V856" s="43" t="e">
        <f>IF(Planning[[#This Row],[Horas Planificadas]]&lt;&gt;0,Planning[[#This Row],[Horas utilizadas]]/Planning[[#This Row],[Horas Planificadas]],0)</f>
        <v>#REF!</v>
      </c>
      <c r="W856" s="44">
        <f>Planning[[#This Row],[Horas Planificadas]]+Planning[[#This Row],[Horas ajustadas adicionales]]</f>
        <v>62</v>
      </c>
      <c r="X856" s="142"/>
    </row>
    <row r="857" spans="1:24" x14ac:dyDescent="0.2">
      <c r="A857" s="7"/>
      <c r="B857" s="7"/>
      <c r="C857" s="3"/>
      <c r="D857" s="3" t="s">
        <v>246</v>
      </c>
      <c r="E857" s="4" t="s">
        <v>31</v>
      </c>
      <c r="F857" s="3"/>
      <c r="G857" s="9"/>
      <c r="H857" s="9">
        <v>10</v>
      </c>
      <c r="I857" s="12"/>
      <c r="J857" s="5" t="e">
        <f>+SUMIFS(#REF!,#REF!,Planning[[#This Row],[Tarifa]],#REF!,Planning[[#This Row],[Proyectos]])</f>
        <v>#REF!</v>
      </c>
      <c r="K857" s="5" t="e">
        <f>Planning[[#This Row],[Horas Planificadas]]+Planning[[#This Row],[Horas ajustadas adicionales]]-Planning[[#This Row],[Horas utilizadas]]</f>
        <v>#REF!</v>
      </c>
      <c r="L857" s="7"/>
      <c r="M857" s="19" t="e">
        <f>Planning[[#This Row],[Saldo]]-Planning[[#This Row],[Saldo estimado]]</f>
        <v>#REF!</v>
      </c>
      <c r="N857" s="60" t="e">
        <f>+SUMIFS(#REF!,#REF!,Planning[[#This Row],[Proyectos]],#REF!,Planning[[#This Row],[Tipo de Tarea y especialidad]])</f>
        <v>#REF!</v>
      </c>
      <c r="O857" s="19">
        <f t="shared" si="26"/>
        <v>10</v>
      </c>
      <c r="P857" s="19">
        <f t="shared" si="27"/>
        <v>2024</v>
      </c>
      <c r="Q857" s="19" t="e">
        <f>+SUMIFS(#REF!,#REF!,Planning[[#This Row],[Tarifa]],#REF!,Planning[[#This Row],[Proyectos]],#REF!,Planning[[#This Row],[Mes]],#REF!,Planning[[#This Row],[Año]])</f>
        <v>#REF!</v>
      </c>
      <c r="R857" s="19" t="str">
        <f>TEXT(Planning[[#This Row],[Mes]]*29,"mmmm")</f>
        <v>October</v>
      </c>
      <c r="S8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57" s="228"/>
      <c r="U857" s="43" t="e">
        <f>IF(Planning[[#This Row],[Horas Planificadas]]&lt;&gt;0,+K857/Planning[[#This Row],[Horas Planificadas]],0)</f>
        <v>#REF!</v>
      </c>
      <c r="V857" s="43" t="e">
        <f>IF(Planning[[#This Row],[Horas Planificadas]]&lt;&gt;0,Planning[[#This Row],[Horas utilizadas]]/Planning[[#This Row],[Horas Planificadas]],0)</f>
        <v>#REF!</v>
      </c>
      <c r="W857" s="44">
        <f>Planning[[#This Row],[Horas Planificadas]]+Planning[[#This Row],[Horas ajustadas adicionales]]</f>
        <v>10</v>
      </c>
      <c r="X857" s="142"/>
    </row>
    <row r="858" spans="1:24" ht="22.5" x14ac:dyDescent="0.2">
      <c r="A858" s="7"/>
      <c r="B858" s="7"/>
      <c r="C858" s="3"/>
      <c r="D858" s="3" t="s">
        <v>246</v>
      </c>
      <c r="E858" s="4" t="s">
        <v>32</v>
      </c>
      <c r="F858" s="3"/>
      <c r="G858" s="9"/>
      <c r="H858" s="9">
        <v>27</v>
      </c>
      <c r="I858" s="12"/>
      <c r="J858" s="5" t="e">
        <f>+SUMIFS(#REF!,#REF!,Planning[[#This Row],[Tarifa]],#REF!,Planning[[#This Row],[Proyectos]])</f>
        <v>#REF!</v>
      </c>
      <c r="K858" s="5" t="e">
        <f>Planning[[#This Row],[Horas Planificadas]]+Planning[[#This Row],[Horas ajustadas adicionales]]-Planning[[#This Row],[Horas utilizadas]]</f>
        <v>#REF!</v>
      </c>
      <c r="L858" s="7"/>
      <c r="M858" s="19" t="e">
        <f>Planning[[#This Row],[Saldo]]-Planning[[#This Row],[Saldo estimado]]</f>
        <v>#REF!</v>
      </c>
      <c r="N858" s="60" t="e">
        <f>+SUMIFS(#REF!,#REF!,Planning[[#This Row],[Proyectos]],#REF!,Planning[[#This Row],[Tipo de Tarea y especialidad]])</f>
        <v>#REF!</v>
      </c>
      <c r="O858" s="19">
        <f t="shared" si="26"/>
        <v>10</v>
      </c>
      <c r="P858" s="19">
        <f t="shared" si="27"/>
        <v>2024</v>
      </c>
      <c r="Q858" s="19" t="e">
        <f>+SUMIFS(#REF!,#REF!,Planning[[#This Row],[Tarifa]],#REF!,Planning[[#This Row],[Proyectos]],#REF!,Planning[[#This Row],[Mes]],#REF!,Planning[[#This Row],[Año]])</f>
        <v>#REF!</v>
      </c>
      <c r="R858" s="19" t="str">
        <f>TEXT(Planning[[#This Row],[Mes]]*29,"mmmm")</f>
        <v>October</v>
      </c>
      <c r="S8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58" s="228"/>
      <c r="U858" s="43" t="e">
        <f>IF(Planning[[#This Row],[Horas Planificadas]]&lt;&gt;0,+K858/Planning[[#This Row],[Horas Planificadas]],0)</f>
        <v>#REF!</v>
      </c>
      <c r="V858" s="43" t="e">
        <f>IF(Planning[[#This Row],[Horas Planificadas]]&lt;&gt;0,Planning[[#This Row],[Horas utilizadas]]/Planning[[#This Row],[Horas Planificadas]],0)</f>
        <v>#REF!</v>
      </c>
      <c r="W858" s="44">
        <f>Planning[[#This Row],[Horas Planificadas]]+Planning[[#This Row],[Horas ajustadas adicionales]]</f>
        <v>27</v>
      </c>
      <c r="X858" s="142"/>
    </row>
    <row r="859" spans="1:24" ht="22.5" x14ac:dyDescent="0.2">
      <c r="A859" s="7"/>
      <c r="B859" s="7"/>
      <c r="C859" s="3"/>
      <c r="D859" s="3" t="s">
        <v>247</v>
      </c>
      <c r="E859" s="4" t="s">
        <v>28</v>
      </c>
      <c r="F859" s="3"/>
      <c r="G859" s="9"/>
      <c r="H859" s="12">
        <v>45</v>
      </c>
      <c r="I859" s="12"/>
      <c r="J859" s="5" t="e">
        <f>+SUMIFS(#REF!,#REF!,Planning[[#This Row],[Tarifa]],#REF!,Planning[[#This Row],[Proyectos]])</f>
        <v>#REF!</v>
      </c>
      <c r="K859" s="27" t="e">
        <f>Planning[[#This Row],[Horas Planificadas]]+Planning[[#This Row],[Horas ajustadas adicionales]]-Planning[[#This Row],[Horas utilizadas]]</f>
        <v>#REF!</v>
      </c>
      <c r="L859" s="7"/>
      <c r="M859" s="19" t="e">
        <f>Planning[[#This Row],[Saldo]]-Planning[[#This Row],[Saldo estimado]]</f>
        <v>#REF!</v>
      </c>
      <c r="N859" s="60" t="e">
        <f>+SUMIFS(#REF!,#REF!,Planning[[#This Row],[Proyectos]],#REF!,Planning[[#This Row],[Tipo de Tarea y especialidad]])</f>
        <v>#REF!</v>
      </c>
      <c r="O859" s="19">
        <f t="shared" si="26"/>
        <v>10</v>
      </c>
      <c r="P859" s="19">
        <f t="shared" si="27"/>
        <v>2024</v>
      </c>
      <c r="Q859" s="19" t="e">
        <f>+SUMIFS(#REF!,#REF!,Planning[[#This Row],[Tarifa]],#REF!,Planning[[#This Row],[Proyectos]],#REF!,Planning[[#This Row],[Mes]],#REF!,Planning[[#This Row],[Año]])</f>
        <v>#REF!</v>
      </c>
      <c r="R859" s="19" t="str">
        <f>TEXT(Planning[[#This Row],[Mes]]*29,"mmmm")</f>
        <v>October</v>
      </c>
      <c r="S8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59" s="228"/>
      <c r="U859" s="43" t="e">
        <f>IF(Planning[[#This Row],[Horas Planificadas]]&lt;&gt;0,+K859/Planning[[#This Row],[Horas Planificadas]],0)</f>
        <v>#REF!</v>
      </c>
      <c r="V859" s="43" t="e">
        <f>IF(Planning[[#This Row],[Horas Planificadas]]&lt;&gt;0,Planning[[#This Row],[Horas utilizadas]]/Planning[[#This Row],[Horas Planificadas]],0)</f>
        <v>#REF!</v>
      </c>
      <c r="W859" s="44">
        <f>Planning[[#This Row],[Horas Planificadas]]+Planning[[#This Row],[Horas ajustadas adicionales]]</f>
        <v>45</v>
      </c>
      <c r="X859" s="142"/>
    </row>
    <row r="860" spans="1:24" x14ac:dyDescent="0.2">
      <c r="A860" s="7"/>
      <c r="B860" s="7"/>
      <c r="C860" s="3"/>
      <c r="D860" s="3" t="s">
        <v>247</v>
      </c>
      <c r="E860" s="4" t="s">
        <v>30</v>
      </c>
      <c r="F860" s="3"/>
      <c r="G860" s="9"/>
      <c r="H860" s="9">
        <v>72</v>
      </c>
      <c r="I860" s="12"/>
      <c r="J860" s="5" t="e">
        <f>+SUMIFS(#REF!,#REF!,Planning[[#This Row],[Tarifa]],#REF!,Planning[[#This Row],[Proyectos]])</f>
        <v>#REF!</v>
      </c>
      <c r="K860" s="5" t="e">
        <f>Planning[[#This Row],[Horas Planificadas]]+Planning[[#This Row],[Horas ajustadas adicionales]]-Planning[[#This Row],[Horas utilizadas]]</f>
        <v>#REF!</v>
      </c>
      <c r="L860" s="7"/>
      <c r="M860" s="19" t="e">
        <f>Planning[[#This Row],[Saldo]]-Planning[[#This Row],[Saldo estimado]]</f>
        <v>#REF!</v>
      </c>
      <c r="N860" s="60" t="e">
        <f>+SUMIFS(#REF!,#REF!,Planning[[#This Row],[Proyectos]],#REF!,Planning[[#This Row],[Tipo de Tarea y especialidad]])</f>
        <v>#REF!</v>
      </c>
      <c r="O860" s="19">
        <f t="shared" si="26"/>
        <v>10</v>
      </c>
      <c r="P860" s="19">
        <f t="shared" si="27"/>
        <v>2024</v>
      </c>
      <c r="Q860" s="19" t="e">
        <f>+SUMIFS(#REF!,#REF!,Planning[[#This Row],[Tarifa]],#REF!,Planning[[#This Row],[Proyectos]],#REF!,Planning[[#This Row],[Mes]],#REF!,Planning[[#This Row],[Año]])</f>
        <v>#REF!</v>
      </c>
      <c r="R860" s="19" t="str">
        <f>TEXT(Planning[[#This Row],[Mes]]*29,"mmmm")</f>
        <v>October</v>
      </c>
      <c r="S8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60" s="228"/>
      <c r="U860" s="43" t="e">
        <f>IF(Planning[[#This Row],[Horas Planificadas]]&lt;&gt;0,+K860/Planning[[#This Row],[Horas Planificadas]],0)</f>
        <v>#REF!</v>
      </c>
      <c r="V860" s="43" t="e">
        <f>IF(Planning[[#This Row],[Horas Planificadas]]&lt;&gt;0,Planning[[#This Row],[Horas utilizadas]]/Planning[[#This Row],[Horas Planificadas]],0)</f>
        <v>#REF!</v>
      </c>
      <c r="W860" s="44">
        <f>Planning[[#This Row],[Horas Planificadas]]+Planning[[#This Row],[Horas ajustadas adicionales]]</f>
        <v>72</v>
      </c>
      <c r="X860" s="142"/>
    </row>
    <row r="861" spans="1:24" x14ac:dyDescent="0.2">
      <c r="A861" s="7"/>
      <c r="B861" s="7"/>
      <c r="C861" s="3"/>
      <c r="D861" s="3" t="s">
        <v>247</v>
      </c>
      <c r="E861" s="4" t="s">
        <v>31</v>
      </c>
      <c r="F861" s="3"/>
      <c r="G861" s="9"/>
      <c r="H861" s="9">
        <v>16</v>
      </c>
      <c r="I861" s="12"/>
      <c r="J861" s="5" t="e">
        <f>+SUMIFS(#REF!,#REF!,Planning[[#This Row],[Tarifa]],#REF!,Planning[[#This Row],[Proyectos]])</f>
        <v>#REF!</v>
      </c>
      <c r="K861" s="5" t="e">
        <f>Planning[[#This Row],[Horas Planificadas]]+Planning[[#This Row],[Horas ajustadas adicionales]]-Planning[[#This Row],[Horas utilizadas]]</f>
        <v>#REF!</v>
      </c>
      <c r="L861" s="7"/>
      <c r="M861" s="19" t="e">
        <f>Planning[[#This Row],[Saldo]]-Planning[[#This Row],[Saldo estimado]]</f>
        <v>#REF!</v>
      </c>
      <c r="N861" s="60" t="e">
        <f>+SUMIFS(#REF!,#REF!,Planning[[#This Row],[Proyectos]],#REF!,Planning[[#This Row],[Tipo de Tarea y especialidad]])</f>
        <v>#REF!</v>
      </c>
      <c r="O861" s="19">
        <f t="shared" si="26"/>
        <v>10</v>
      </c>
      <c r="P861" s="19">
        <f t="shared" si="27"/>
        <v>2024</v>
      </c>
      <c r="Q861" s="19" t="e">
        <f>+SUMIFS(#REF!,#REF!,Planning[[#This Row],[Tarifa]],#REF!,Planning[[#This Row],[Proyectos]],#REF!,Planning[[#This Row],[Mes]],#REF!,Planning[[#This Row],[Año]])</f>
        <v>#REF!</v>
      </c>
      <c r="R861" s="19" t="str">
        <f>TEXT(Planning[[#This Row],[Mes]]*29,"mmmm")</f>
        <v>October</v>
      </c>
      <c r="S8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61" s="228"/>
      <c r="U861" s="43" t="e">
        <f>IF(Planning[[#This Row],[Horas Planificadas]]&lt;&gt;0,+K861/Planning[[#This Row],[Horas Planificadas]],0)</f>
        <v>#REF!</v>
      </c>
      <c r="V861" s="43" t="e">
        <f>IF(Planning[[#This Row],[Horas Planificadas]]&lt;&gt;0,Planning[[#This Row],[Horas utilizadas]]/Planning[[#This Row],[Horas Planificadas]],0)</f>
        <v>#REF!</v>
      </c>
      <c r="W861" s="44">
        <f>Planning[[#This Row],[Horas Planificadas]]+Planning[[#This Row],[Horas ajustadas adicionales]]</f>
        <v>16</v>
      </c>
      <c r="X861" s="142"/>
    </row>
    <row r="862" spans="1:24" ht="22.5" x14ac:dyDescent="0.2">
      <c r="A862" s="7"/>
      <c r="B862" s="7"/>
      <c r="C862" s="3"/>
      <c r="D862" s="3" t="s">
        <v>247</v>
      </c>
      <c r="E862" s="4" t="s">
        <v>32</v>
      </c>
      <c r="F862" s="3"/>
      <c r="G862" s="9"/>
      <c r="H862" s="9">
        <v>0</v>
      </c>
      <c r="I862" s="12"/>
      <c r="J862" s="5" t="e">
        <f>+SUMIFS(#REF!,#REF!,Planning[[#This Row],[Tarifa]],#REF!,Planning[[#This Row],[Proyectos]])</f>
        <v>#REF!</v>
      </c>
      <c r="K862" s="5" t="e">
        <f>Planning[[#This Row],[Horas Planificadas]]+Planning[[#This Row],[Horas ajustadas adicionales]]-Planning[[#This Row],[Horas utilizadas]]</f>
        <v>#REF!</v>
      </c>
      <c r="L862" s="7"/>
      <c r="M862" s="19" t="e">
        <f>Planning[[#This Row],[Saldo]]-Planning[[#This Row],[Saldo estimado]]</f>
        <v>#REF!</v>
      </c>
      <c r="N862" s="60" t="e">
        <f>+SUMIFS(#REF!,#REF!,Planning[[#This Row],[Proyectos]],#REF!,Planning[[#This Row],[Tipo de Tarea y especialidad]])</f>
        <v>#REF!</v>
      </c>
      <c r="O862" s="19">
        <f t="shared" si="26"/>
        <v>10</v>
      </c>
      <c r="P862" s="19">
        <f t="shared" si="27"/>
        <v>2024</v>
      </c>
      <c r="Q862" s="19" t="e">
        <f>+SUMIFS(#REF!,#REF!,Planning[[#This Row],[Tarifa]],#REF!,Planning[[#This Row],[Proyectos]],#REF!,Planning[[#This Row],[Mes]],#REF!,Planning[[#This Row],[Año]])</f>
        <v>#REF!</v>
      </c>
      <c r="R862" s="19" t="str">
        <f>TEXT(Planning[[#This Row],[Mes]]*29,"mmmm")</f>
        <v>October</v>
      </c>
      <c r="S8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62" s="228"/>
      <c r="U862" s="43">
        <f>IF(Planning[[#This Row],[Horas Planificadas]]&lt;&gt;0,+K862/Planning[[#This Row],[Horas Planificadas]],0)</f>
        <v>0</v>
      </c>
      <c r="V862" s="43">
        <f>IF(Planning[[#This Row],[Horas Planificadas]]&lt;&gt;0,Planning[[#This Row],[Horas utilizadas]]/Planning[[#This Row],[Horas Planificadas]],0)</f>
        <v>0</v>
      </c>
      <c r="W862" s="44">
        <f>Planning[[#This Row],[Horas Planificadas]]+Planning[[#This Row],[Horas ajustadas adicionales]]</f>
        <v>0</v>
      </c>
      <c r="X862" s="142"/>
    </row>
    <row r="863" spans="1:24" ht="12.75" customHeight="1" x14ac:dyDescent="0.2">
      <c r="A863" s="7" t="s">
        <v>117</v>
      </c>
      <c r="B863" s="7" t="s">
        <v>220</v>
      </c>
      <c r="C863" s="3"/>
      <c r="D863" s="3" t="s">
        <v>248</v>
      </c>
      <c r="E863" s="33" t="s">
        <v>28</v>
      </c>
      <c r="F863" s="3"/>
      <c r="G863" s="7">
        <v>324</v>
      </c>
      <c r="H863" s="24">
        <f>SUM(H864:H865)</f>
        <v>324</v>
      </c>
      <c r="I863" s="14"/>
      <c r="J863" s="14" t="e">
        <f>SUM(J864:J865)</f>
        <v>#REF!</v>
      </c>
      <c r="K863" s="18" t="e">
        <f>SUM(K864:K865)</f>
        <v>#REF!</v>
      </c>
      <c r="L863" s="15">
        <f>SUM(L864:L865)</f>
        <v>0</v>
      </c>
      <c r="M863" s="28" t="e">
        <f>SUM(M864:M865)</f>
        <v>#REF!</v>
      </c>
      <c r="N863" s="61"/>
      <c r="O863" s="28">
        <f t="shared" si="26"/>
        <v>10</v>
      </c>
      <c r="P863" s="28">
        <f t="shared" si="27"/>
        <v>2024</v>
      </c>
      <c r="Q863" s="28" t="e">
        <f>SUM(Q864:Q865)</f>
        <v>#REF!</v>
      </c>
      <c r="R863" s="28" t="str">
        <f>TEXT(Planning[[#This Row],[Mes]]*29,"mmmm")</f>
        <v>October</v>
      </c>
      <c r="S8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63" s="235" t="s">
        <v>249</v>
      </c>
      <c r="U863" s="43" t="e">
        <f>IF(Planning[[#This Row],[Horas Planificadas]]&lt;&gt;0,+K863/Planning[[#This Row],[Horas Planificadas]],0)</f>
        <v>#REF!</v>
      </c>
      <c r="V863" s="43" t="e">
        <f>IF(Planning[[#This Row],[Horas Planificadas]]&lt;&gt;0,Planning[[#This Row],[Horas utilizadas]]/Planning[[#This Row],[Horas Planificadas]],0)</f>
        <v>#REF!</v>
      </c>
      <c r="W863" s="44">
        <f>Planning[[#This Row],[Horas Planificadas]]+Planning[[#This Row],[Horas ajustadas adicionales]]</f>
        <v>324</v>
      </c>
      <c r="X863" s="142"/>
    </row>
    <row r="864" spans="1:24" ht="12.75" customHeight="1" x14ac:dyDescent="0.2">
      <c r="A864" s="7" t="s">
        <v>117</v>
      </c>
      <c r="B864" s="7" t="s">
        <v>220</v>
      </c>
      <c r="C864" s="3"/>
      <c r="D864" s="3" t="s">
        <v>248</v>
      </c>
      <c r="E864" s="33"/>
      <c r="F864" s="3" t="s">
        <v>120</v>
      </c>
      <c r="G864" s="7"/>
      <c r="H864" s="7">
        <v>324</v>
      </c>
      <c r="I864" s="12"/>
      <c r="J864" s="5" t="e">
        <f>SUM(SUMIFS(#REF!,#REF!,Planning[[#This Row],[Tipo de Tarea y especialidad]],#REF!,Planning[[#This Row],[Proyectos Reiwa]]),SUMIFS(#REF!,#REF!,Planning[[#This Row],[Tipo de Tarea y especialidad]],#REF!,Planning[[#This Row],[Proyectos]]))</f>
        <v>#REF!</v>
      </c>
      <c r="K864" s="5" t="e">
        <f>Planning[[#This Row],[Horas Planificadas]]+Planning[[#This Row],[Horas ajustadas adicionales]]-Planning[[#This Row],[Horas utilizadas]]</f>
        <v>#REF!</v>
      </c>
      <c r="L864" s="7">
        <v>0</v>
      </c>
      <c r="M864" s="19" t="e">
        <f>Planning[[#This Row],[Saldo]]-Planning[[#This Row],[Saldo estimado]]</f>
        <v>#REF!</v>
      </c>
      <c r="N864" s="60" t="e">
        <f>+SUMIFS(#REF!,#REF!,Planning[[#This Row],[Proyectos]],#REF!,Planning[[#This Row],[Tipo de Tarea y especialidad]])</f>
        <v>#REF!</v>
      </c>
      <c r="O864" s="19">
        <f t="shared" si="26"/>
        <v>10</v>
      </c>
      <c r="P864" s="19">
        <f t="shared" si="27"/>
        <v>2024</v>
      </c>
      <c r="Q8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864" s="19" t="str">
        <f>TEXT(Planning[[#This Row],[Mes]]*29,"mmmm")</f>
        <v>October</v>
      </c>
      <c r="S8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64" s="239"/>
      <c r="U864" s="43" t="e">
        <f>IF(Planning[[#This Row],[Horas Planificadas]]&lt;&gt;0,+K864/Planning[[#This Row],[Horas Planificadas]],0)</f>
        <v>#REF!</v>
      </c>
      <c r="V864" s="43" t="e">
        <f>IF(Planning[[#This Row],[Horas Planificadas]]&lt;&gt;0,Planning[[#This Row],[Horas utilizadas]]/Planning[[#This Row],[Horas Planificadas]],0)</f>
        <v>#REF!</v>
      </c>
      <c r="W864" s="44">
        <f>Planning[[#This Row],[Horas Planificadas]]+Planning[[#This Row],[Horas ajustadas adicionales]]</f>
        <v>324</v>
      </c>
      <c r="X864" s="142"/>
    </row>
    <row r="865" spans="1:24" ht="12.75" customHeight="1" x14ac:dyDescent="0.2">
      <c r="A865" s="7" t="s">
        <v>117</v>
      </c>
      <c r="B865" s="7" t="s">
        <v>220</v>
      </c>
      <c r="C865" s="3"/>
      <c r="D865" s="3" t="s">
        <v>248</v>
      </c>
      <c r="E865" s="33"/>
      <c r="F865" s="3" t="s">
        <v>121</v>
      </c>
      <c r="G865" s="7"/>
      <c r="H865" s="7"/>
      <c r="I865" s="12"/>
      <c r="J865" s="5" t="e">
        <f>SUM(SUMIFS(#REF!,#REF!,Planning[[#This Row],[Tipo de Tarea y especialidad]],#REF!,Planning[[#This Row],[Proyectos Reiwa]]),SUMIFS(#REF!,#REF!,Planning[[#This Row],[Tipo de Tarea y especialidad]],#REF!,Planning[[#This Row],[Proyectos]]))</f>
        <v>#REF!</v>
      </c>
      <c r="K865" s="5" t="e">
        <f>Planning[[#This Row],[Horas Planificadas]]+Planning[[#This Row],[Horas ajustadas adicionales]]-Planning[[#This Row],[Horas utilizadas]]</f>
        <v>#REF!</v>
      </c>
      <c r="L865" s="7">
        <v>0</v>
      </c>
      <c r="M865" s="19" t="e">
        <f>Planning[[#This Row],[Saldo]]-Planning[[#This Row],[Saldo estimado]]</f>
        <v>#REF!</v>
      </c>
      <c r="N865" s="60" t="e">
        <f>+SUMIFS(#REF!,#REF!,Planning[[#This Row],[Proyectos]],#REF!,Planning[[#This Row],[Tipo de Tarea y especialidad]])</f>
        <v>#REF!</v>
      </c>
      <c r="O865" s="19">
        <f t="shared" si="26"/>
        <v>10</v>
      </c>
      <c r="P865" s="19">
        <f t="shared" si="27"/>
        <v>2024</v>
      </c>
      <c r="Q8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865" s="19" t="str">
        <f>TEXT(Planning[[#This Row],[Mes]]*29,"mmmm")</f>
        <v>October</v>
      </c>
      <c r="S8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65" s="239"/>
      <c r="U865" s="43">
        <f>IF(Planning[[#This Row],[Horas Planificadas]]&lt;&gt;0,+K865/Planning[[#This Row],[Horas Planificadas]],0)</f>
        <v>0</v>
      </c>
      <c r="V865" s="43">
        <f>IF(Planning[[#This Row],[Horas Planificadas]]&lt;&gt;0,Planning[[#This Row],[Horas utilizadas]]/Planning[[#This Row],[Horas Planificadas]],0)</f>
        <v>0</v>
      </c>
      <c r="W865" s="44">
        <f>Planning[[#This Row],[Horas Planificadas]]+Planning[[#This Row],[Horas ajustadas adicionales]]</f>
        <v>0</v>
      </c>
      <c r="X865" s="142"/>
    </row>
    <row r="866" spans="1:24" ht="12.75" customHeight="1" x14ac:dyDescent="0.2">
      <c r="A866" s="7" t="s">
        <v>117</v>
      </c>
      <c r="B866" s="7" t="s">
        <v>220</v>
      </c>
      <c r="C866" s="3"/>
      <c r="D866" s="3" t="s">
        <v>248</v>
      </c>
      <c r="E866" s="33" t="s">
        <v>30</v>
      </c>
      <c r="F866" s="3"/>
      <c r="G866" s="7">
        <v>340</v>
      </c>
      <c r="H866" s="24">
        <f>SUM(H867:H873)</f>
        <v>340</v>
      </c>
      <c r="I866" s="14"/>
      <c r="J866" s="14" t="e">
        <f>SUM(J867:J873)</f>
        <v>#REF!</v>
      </c>
      <c r="K866" s="18" t="e">
        <f>SUM(K867:K873)</f>
        <v>#REF!</v>
      </c>
      <c r="L866" s="15">
        <f>SUM(L867:L873)</f>
        <v>0</v>
      </c>
      <c r="M866" s="16" t="e">
        <f>SUM(M867:M873)</f>
        <v>#REF!</v>
      </c>
      <c r="N866" s="60"/>
      <c r="O866" s="16">
        <f t="shared" si="26"/>
        <v>10</v>
      </c>
      <c r="P866" s="16">
        <f t="shared" si="27"/>
        <v>2024</v>
      </c>
      <c r="Q866" s="16" t="e">
        <f>SUM(Q867:Q873)</f>
        <v>#REF!</v>
      </c>
      <c r="R866" s="16" t="str">
        <f>TEXT(Planning[[#This Row],[Mes]]*29,"mmmm")</f>
        <v>October</v>
      </c>
      <c r="S8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66" s="239"/>
      <c r="U866" s="43" t="e">
        <f>IF(Planning[[#This Row],[Horas Planificadas]]&lt;&gt;0,+K866/Planning[[#This Row],[Horas Planificadas]],0)</f>
        <v>#REF!</v>
      </c>
      <c r="V866" s="43" t="e">
        <f>IF(Planning[[#This Row],[Horas Planificadas]]&lt;&gt;0,Planning[[#This Row],[Horas utilizadas]]/Planning[[#This Row],[Horas Planificadas]],0)</f>
        <v>#REF!</v>
      </c>
      <c r="W866" s="44">
        <f>Planning[[#This Row],[Horas Planificadas]]+Planning[[#This Row],[Horas ajustadas adicionales]]</f>
        <v>340</v>
      </c>
      <c r="X866" s="142"/>
    </row>
    <row r="867" spans="1:24" ht="12.75" customHeight="1" x14ac:dyDescent="0.2">
      <c r="A867" s="7" t="s">
        <v>117</v>
      </c>
      <c r="B867" s="7" t="s">
        <v>220</v>
      </c>
      <c r="C867" s="3"/>
      <c r="D867" s="3" t="s">
        <v>248</v>
      </c>
      <c r="E867" s="33"/>
      <c r="F867" s="3" t="s">
        <v>122</v>
      </c>
      <c r="G867" s="7"/>
      <c r="H867" s="7">
        <v>340</v>
      </c>
      <c r="I867" s="12"/>
      <c r="J867" s="5" t="e">
        <f>SUM(SUMIFS(#REF!,#REF!,Planning[[#This Row],[Tipo de Tarea y especialidad]],#REF!,Planning[[#This Row],[Proyectos Reiwa]]),SUMIFS(#REF!,#REF!,Planning[[#This Row],[Tipo de Tarea y especialidad]],#REF!,Planning[[#This Row],[Proyectos]]))</f>
        <v>#REF!</v>
      </c>
      <c r="K867" s="5" t="e">
        <f>Planning[[#This Row],[Horas Planificadas]]+Planning[[#This Row],[Horas ajustadas adicionales]]-Planning[[#This Row],[Horas utilizadas]]</f>
        <v>#REF!</v>
      </c>
      <c r="L867" s="7">
        <v>0</v>
      </c>
      <c r="M867" s="19" t="e">
        <f>Planning[[#This Row],[Saldo]]-Planning[[#This Row],[Saldo estimado]]</f>
        <v>#REF!</v>
      </c>
      <c r="N867" s="60" t="e">
        <f>+SUMIFS(#REF!,#REF!,Planning[[#This Row],[Proyectos]],#REF!,Planning[[#This Row],[Tipo de Tarea y especialidad]])</f>
        <v>#REF!</v>
      </c>
      <c r="O867" s="19">
        <f t="shared" si="26"/>
        <v>10</v>
      </c>
      <c r="P867" s="19">
        <f t="shared" si="27"/>
        <v>2024</v>
      </c>
      <c r="Q8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867" s="19" t="str">
        <f>TEXT(Planning[[#This Row],[Mes]]*29,"mmmm")</f>
        <v>October</v>
      </c>
      <c r="S8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67" s="239"/>
      <c r="U867" s="43" t="e">
        <f>IF(Planning[[#This Row],[Horas Planificadas]]&lt;&gt;0,+K867/Planning[[#This Row],[Horas Planificadas]],0)</f>
        <v>#REF!</v>
      </c>
      <c r="V867" s="43" t="e">
        <f>IF(Planning[[#This Row],[Horas Planificadas]]&lt;&gt;0,Planning[[#This Row],[Horas utilizadas]]/Planning[[#This Row],[Horas Planificadas]],0)</f>
        <v>#REF!</v>
      </c>
      <c r="W867" s="44">
        <f>Planning[[#This Row],[Horas Planificadas]]+Planning[[#This Row],[Horas ajustadas adicionales]]</f>
        <v>340</v>
      </c>
      <c r="X867" s="142"/>
    </row>
    <row r="868" spans="1:24" ht="12.75" customHeight="1" x14ac:dyDescent="0.2">
      <c r="A868" s="7" t="s">
        <v>117</v>
      </c>
      <c r="B868" s="7" t="s">
        <v>220</v>
      </c>
      <c r="C868" s="3"/>
      <c r="D868" s="3" t="s">
        <v>248</v>
      </c>
      <c r="E868" s="33"/>
      <c r="F868" s="3" t="s">
        <v>123</v>
      </c>
      <c r="G868" s="7"/>
      <c r="H868" s="7"/>
      <c r="I868" s="12"/>
      <c r="J868" s="5" t="e">
        <f>SUM(SUMIFS(#REF!,#REF!,Planning[[#This Row],[Tipo de Tarea y especialidad]],#REF!,Planning[[#This Row],[Proyectos Reiwa]]),SUMIFS(#REF!,#REF!,Planning[[#This Row],[Tipo de Tarea y especialidad]],#REF!,Planning[[#This Row],[Proyectos]]))</f>
        <v>#REF!</v>
      </c>
      <c r="K868" s="5" t="e">
        <f>Planning[[#This Row],[Horas Planificadas]]+Planning[[#This Row],[Horas ajustadas adicionales]]-Planning[[#This Row],[Horas utilizadas]]</f>
        <v>#REF!</v>
      </c>
      <c r="L868" s="7">
        <v>0</v>
      </c>
      <c r="M868" s="19" t="e">
        <f>Planning[[#This Row],[Saldo]]-Planning[[#This Row],[Saldo estimado]]</f>
        <v>#REF!</v>
      </c>
      <c r="N868" s="60" t="e">
        <f>+SUMIFS(#REF!,#REF!,Planning[[#This Row],[Proyectos]],#REF!,Planning[[#This Row],[Tipo de Tarea y especialidad]])</f>
        <v>#REF!</v>
      </c>
      <c r="O868" s="19">
        <f t="shared" si="26"/>
        <v>10</v>
      </c>
      <c r="P868" s="19">
        <f t="shared" si="27"/>
        <v>2024</v>
      </c>
      <c r="Q8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868" s="19" t="str">
        <f>TEXT(Planning[[#This Row],[Mes]]*29,"mmmm")</f>
        <v>October</v>
      </c>
      <c r="S8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68" s="239"/>
      <c r="U868" s="43">
        <f>IF(Planning[[#This Row],[Horas Planificadas]]&lt;&gt;0,+K868/Planning[[#This Row],[Horas Planificadas]],0)</f>
        <v>0</v>
      </c>
      <c r="V868" s="43">
        <f>IF(Planning[[#This Row],[Horas Planificadas]]&lt;&gt;0,Planning[[#This Row],[Horas utilizadas]]/Planning[[#This Row],[Horas Planificadas]],0)</f>
        <v>0</v>
      </c>
      <c r="W868" s="44">
        <f>Planning[[#This Row],[Horas Planificadas]]+Planning[[#This Row],[Horas ajustadas adicionales]]</f>
        <v>0</v>
      </c>
      <c r="X868" s="142"/>
    </row>
    <row r="869" spans="1:24" ht="12.75" customHeight="1" x14ac:dyDescent="0.2">
      <c r="A869" s="7" t="s">
        <v>117</v>
      </c>
      <c r="B869" s="7" t="s">
        <v>220</v>
      </c>
      <c r="C869" s="3"/>
      <c r="D869" s="3" t="s">
        <v>248</v>
      </c>
      <c r="E869" s="33"/>
      <c r="F869" s="3" t="s">
        <v>124</v>
      </c>
      <c r="G869" s="7"/>
      <c r="H869" s="7"/>
      <c r="I869" s="12"/>
      <c r="J869" s="5" t="e">
        <f>SUM(SUMIFS(#REF!,#REF!,Planning[[#This Row],[Tipo de Tarea y especialidad]],#REF!,Planning[[#This Row],[Proyectos Reiwa]]),SUMIFS(#REF!,#REF!,Planning[[#This Row],[Tipo de Tarea y especialidad]],#REF!,Planning[[#This Row],[Proyectos]]))</f>
        <v>#REF!</v>
      </c>
      <c r="K869" s="5" t="e">
        <f>Planning[[#This Row],[Horas Planificadas]]+Planning[[#This Row],[Horas ajustadas adicionales]]-Planning[[#This Row],[Horas utilizadas]]</f>
        <v>#REF!</v>
      </c>
      <c r="L869" s="7">
        <v>0</v>
      </c>
      <c r="M869" s="19" t="e">
        <f>Planning[[#This Row],[Saldo]]-Planning[[#This Row],[Saldo estimado]]</f>
        <v>#REF!</v>
      </c>
      <c r="N869" s="60" t="e">
        <f>+SUMIFS(#REF!,#REF!,Planning[[#This Row],[Proyectos]],#REF!,Planning[[#This Row],[Tipo de Tarea y especialidad]])</f>
        <v>#REF!</v>
      </c>
      <c r="O869" s="19">
        <f t="shared" si="26"/>
        <v>10</v>
      </c>
      <c r="P869" s="19">
        <f t="shared" si="27"/>
        <v>2024</v>
      </c>
      <c r="Q8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869" s="19" t="str">
        <f>TEXT(Planning[[#This Row],[Mes]]*29,"mmmm")</f>
        <v>October</v>
      </c>
      <c r="S8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69" s="239"/>
      <c r="U869" s="43">
        <f>IF(Planning[[#This Row],[Horas Planificadas]]&lt;&gt;0,+K869/Planning[[#This Row],[Horas Planificadas]],0)</f>
        <v>0</v>
      </c>
      <c r="V869" s="43">
        <f>IF(Planning[[#This Row],[Horas Planificadas]]&lt;&gt;0,Planning[[#This Row],[Horas utilizadas]]/Planning[[#This Row],[Horas Planificadas]],0)</f>
        <v>0</v>
      </c>
      <c r="W869" s="44">
        <f>Planning[[#This Row],[Horas Planificadas]]+Planning[[#This Row],[Horas ajustadas adicionales]]</f>
        <v>0</v>
      </c>
      <c r="X869" s="142"/>
    </row>
    <row r="870" spans="1:24" ht="12.75" customHeight="1" x14ac:dyDescent="0.2">
      <c r="A870" s="7" t="s">
        <v>117</v>
      </c>
      <c r="B870" s="7" t="s">
        <v>220</v>
      </c>
      <c r="C870" s="3"/>
      <c r="D870" s="3" t="s">
        <v>248</v>
      </c>
      <c r="E870" s="33"/>
      <c r="F870" s="3" t="s">
        <v>125</v>
      </c>
      <c r="G870" s="7"/>
      <c r="H870" s="7"/>
      <c r="I870" s="12"/>
      <c r="J870" s="5" t="e">
        <f>SUM(SUMIFS(#REF!,#REF!,Planning[[#This Row],[Tipo de Tarea y especialidad]],#REF!,Planning[[#This Row],[Proyectos Reiwa]]),SUMIFS(#REF!,#REF!,Planning[[#This Row],[Tipo de Tarea y especialidad]],#REF!,Planning[[#This Row],[Proyectos]]))</f>
        <v>#REF!</v>
      </c>
      <c r="K870" s="5" t="e">
        <f>Planning[[#This Row],[Horas Planificadas]]+Planning[[#This Row],[Horas ajustadas adicionales]]-Planning[[#This Row],[Horas utilizadas]]</f>
        <v>#REF!</v>
      </c>
      <c r="L870" s="7">
        <v>0</v>
      </c>
      <c r="M870" s="19" t="e">
        <f>Planning[[#This Row],[Saldo]]-Planning[[#This Row],[Saldo estimado]]</f>
        <v>#REF!</v>
      </c>
      <c r="N870" s="60" t="e">
        <f>+SUMIFS(#REF!,#REF!,Planning[[#This Row],[Proyectos]],#REF!,Planning[[#This Row],[Tipo de Tarea y especialidad]])</f>
        <v>#REF!</v>
      </c>
      <c r="O870" s="19">
        <f t="shared" si="26"/>
        <v>10</v>
      </c>
      <c r="P870" s="19">
        <f t="shared" si="27"/>
        <v>2024</v>
      </c>
      <c r="Q8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870" s="19" t="str">
        <f>TEXT(Planning[[#This Row],[Mes]]*29,"mmmm")</f>
        <v>October</v>
      </c>
      <c r="S8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70" s="239"/>
      <c r="U870" s="43">
        <f>IF(Planning[[#This Row],[Horas Planificadas]]&lt;&gt;0,+K870/Planning[[#This Row],[Horas Planificadas]],0)</f>
        <v>0</v>
      </c>
      <c r="V870" s="43">
        <f>IF(Planning[[#This Row],[Horas Planificadas]]&lt;&gt;0,Planning[[#This Row],[Horas utilizadas]]/Planning[[#This Row],[Horas Planificadas]],0)</f>
        <v>0</v>
      </c>
      <c r="W870" s="44">
        <f>Planning[[#This Row],[Horas Planificadas]]+Planning[[#This Row],[Horas ajustadas adicionales]]</f>
        <v>0</v>
      </c>
      <c r="X870" s="142"/>
    </row>
    <row r="871" spans="1:24" ht="12.75" customHeight="1" x14ac:dyDescent="0.2">
      <c r="A871" s="7" t="s">
        <v>117</v>
      </c>
      <c r="B871" s="7" t="s">
        <v>220</v>
      </c>
      <c r="C871" s="3"/>
      <c r="D871" s="3" t="s">
        <v>248</v>
      </c>
      <c r="E871" s="33"/>
      <c r="F871" s="3" t="s">
        <v>126</v>
      </c>
      <c r="G871" s="7"/>
      <c r="H871" s="7"/>
      <c r="I871" s="12"/>
      <c r="J871" s="5" t="e">
        <f>SUM(SUMIFS(#REF!,#REF!,Planning[[#This Row],[Tipo de Tarea y especialidad]],#REF!,Planning[[#This Row],[Proyectos Reiwa]]),SUMIFS(#REF!,#REF!,Planning[[#This Row],[Tipo de Tarea y especialidad]],#REF!,Planning[[#This Row],[Proyectos]]))</f>
        <v>#REF!</v>
      </c>
      <c r="K871" s="5" t="e">
        <f>Planning[[#This Row],[Horas Planificadas]]+Planning[[#This Row],[Horas ajustadas adicionales]]-Planning[[#This Row],[Horas utilizadas]]</f>
        <v>#REF!</v>
      </c>
      <c r="L871" s="7">
        <v>0</v>
      </c>
      <c r="M871" s="19" t="e">
        <f>Planning[[#This Row],[Saldo]]-Planning[[#This Row],[Saldo estimado]]</f>
        <v>#REF!</v>
      </c>
      <c r="N871" s="60" t="e">
        <f>+SUMIFS(#REF!,#REF!,Planning[[#This Row],[Proyectos]],#REF!,Planning[[#This Row],[Tipo de Tarea y especialidad]])</f>
        <v>#REF!</v>
      </c>
      <c r="O871" s="19">
        <f t="shared" si="26"/>
        <v>10</v>
      </c>
      <c r="P871" s="19">
        <f t="shared" si="27"/>
        <v>2024</v>
      </c>
      <c r="Q8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871" s="19" t="str">
        <f>TEXT(Planning[[#This Row],[Mes]]*29,"mmmm")</f>
        <v>October</v>
      </c>
      <c r="S8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71" s="239"/>
      <c r="U871" s="43">
        <f>IF(Planning[[#This Row],[Horas Planificadas]]&lt;&gt;0,+K871/Planning[[#This Row],[Horas Planificadas]],0)</f>
        <v>0</v>
      </c>
      <c r="V871" s="43">
        <f>IF(Planning[[#This Row],[Horas Planificadas]]&lt;&gt;0,Planning[[#This Row],[Horas utilizadas]]/Planning[[#This Row],[Horas Planificadas]],0)</f>
        <v>0</v>
      </c>
      <c r="W871" s="44">
        <f>Planning[[#This Row],[Horas Planificadas]]+Planning[[#This Row],[Horas ajustadas adicionales]]</f>
        <v>0</v>
      </c>
      <c r="X871" s="142"/>
    </row>
    <row r="872" spans="1:24" ht="12.75" customHeight="1" x14ac:dyDescent="0.2">
      <c r="A872" s="7" t="s">
        <v>117</v>
      </c>
      <c r="B872" s="7" t="s">
        <v>220</v>
      </c>
      <c r="C872" s="3"/>
      <c r="D872" s="3" t="s">
        <v>248</v>
      </c>
      <c r="E872" s="33"/>
      <c r="F872" s="3" t="s">
        <v>127</v>
      </c>
      <c r="G872" s="7"/>
      <c r="H872" s="7"/>
      <c r="I872" s="12"/>
      <c r="J872" s="5" t="e">
        <f>SUM(SUMIFS(#REF!,#REF!,Planning[[#This Row],[Tipo de Tarea y especialidad]],#REF!,Planning[[#This Row],[Proyectos Reiwa]]),SUMIFS(#REF!,#REF!,Planning[[#This Row],[Tipo de Tarea y especialidad]],#REF!,Planning[[#This Row],[Proyectos]]))</f>
        <v>#REF!</v>
      </c>
      <c r="K872" s="5" t="e">
        <f>Planning[[#This Row],[Horas Planificadas]]+Planning[[#This Row],[Horas ajustadas adicionales]]-Planning[[#This Row],[Horas utilizadas]]</f>
        <v>#REF!</v>
      </c>
      <c r="L872" s="7">
        <v>0</v>
      </c>
      <c r="M872" s="19" t="e">
        <f>Planning[[#This Row],[Saldo]]-Planning[[#This Row],[Saldo estimado]]</f>
        <v>#REF!</v>
      </c>
      <c r="N872" s="60" t="e">
        <f>+SUMIFS(#REF!,#REF!,Planning[[#This Row],[Proyectos]],#REF!,Planning[[#This Row],[Tipo de Tarea y especialidad]])</f>
        <v>#REF!</v>
      </c>
      <c r="O872" s="19">
        <f t="shared" si="26"/>
        <v>10</v>
      </c>
      <c r="P872" s="19">
        <f t="shared" si="27"/>
        <v>2024</v>
      </c>
      <c r="Q8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872" s="19" t="str">
        <f>TEXT(Planning[[#This Row],[Mes]]*29,"mmmm")</f>
        <v>October</v>
      </c>
      <c r="S8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72" s="239"/>
      <c r="U872" s="43">
        <f>IF(Planning[[#This Row],[Horas Planificadas]]&lt;&gt;0,+K872/Planning[[#This Row],[Horas Planificadas]],0)</f>
        <v>0</v>
      </c>
      <c r="V872" s="43">
        <f>IF(Planning[[#This Row],[Horas Planificadas]]&lt;&gt;0,Planning[[#This Row],[Horas utilizadas]]/Planning[[#This Row],[Horas Planificadas]],0)</f>
        <v>0</v>
      </c>
      <c r="W872" s="44">
        <f>Planning[[#This Row],[Horas Planificadas]]+Planning[[#This Row],[Horas ajustadas adicionales]]</f>
        <v>0</v>
      </c>
      <c r="X872" s="142"/>
    </row>
    <row r="873" spans="1:24" ht="12.75" customHeight="1" x14ac:dyDescent="0.2">
      <c r="A873" s="7" t="s">
        <v>117</v>
      </c>
      <c r="B873" s="7" t="s">
        <v>220</v>
      </c>
      <c r="C873" s="3"/>
      <c r="D873" s="3" t="s">
        <v>248</v>
      </c>
      <c r="E873" s="33"/>
      <c r="F873" s="3" t="s">
        <v>128</v>
      </c>
      <c r="G873" s="7"/>
      <c r="H873" s="7"/>
      <c r="I873" s="12"/>
      <c r="J873" s="5" t="e">
        <f>SUM(SUMIFS(#REF!,#REF!,Planning[[#This Row],[Tipo de Tarea y especialidad]],#REF!,Planning[[#This Row],[Proyectos Reiwa]]),SUMIFS(#REF!,#REF!,Planning[[#This Row],[Tipo de Tarea y especialidad]],#REF!,Planning[[#This Row],[Proyectos]]))</f>
        <v>#REF!</v>
      </c>
      <c r="K873" s="5" t="e">
        <f>Planning[[#This Row],[Horas Planificadas]]+Planning[[#This Row],[Horas ajustadas adicionales]]-Planning[[#This Row],[Horas utilizadas]]</f>
        <v>#REF!</v>
      </c>
      <c r="L873" s="7">
        <v>0</v>
      </c>
      <c r="M873" s="19" t="e">
        <f>Planning[[#This Row],[Saldo]]-Planning[[#This Row],[Saldo estimado]]</f>
        <v>#REF!</v>
      </c>
      <c r="N873" s="60" t="e">
        <f>+SUMIFS(#REF!,#REF!,Planning[[#This Row],[Proyectos]],#REF!,Planning[[#This Row],[Tipo de Tarea y especialidad]])</f>
        <v>#REF!</v>
      </c>
      <c r="O873" s="19">
        <f t="shared" si="26"/>
        <v>10</v>
      </c>
      <c r="P873" s="19">
        <f t="shared" si="27"/>
        <v>2024</v>
      </c>
      <c r="Q8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873" s="19" t="str">
        <f>TEXT(Planning[[#This Row],[Mes]]*29,"mmmm")</f>
        <v>October</v>
      </c>
      <c r="S8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73" s="239"/>
      <c r="U873" s="43">
        <f>IF(Planning[[#This Row],[Horas Planificadas]]&lt;&gt;0,+K873/Planning[[#This Row],[Horas Planificadas]],0)</f>
        <v>0</v>
      </c>
      <c r="V873" s="43">
        <f>IF(Planning[[#This Row],[Horas Planificadas]]&lt;&gt;0,Planning[[#This Row],[Horas utilizadas]]/Planning[[#This Row],[Horas Planificadas]],0)</f>
        <v>0</v>
      </c>
      <c r="W873" s="44">
        <f>Planning[[#This Row],[Horas Planificadas]]+Planning[[#This Row],[Horas ajustadas adicionales]]</f>
        <v>0</v>
      </c>
      <c r="X873" s="142"/>
    </row>
    <row r="874" spans="1:24" ht="12.75" customHeight="1" x14ac:dyDescent="0.2">
      <c r="A874" s="7" t="s">
        <v>117</v>
      </c>
      <c r="B874" s="7" t="s">
        <v>220</v>
      </c>
      <c r="C874" s="3"/>
      <c r="D874" s="3" t="s">
        <v>248</v>
      </c>
      <c r="E874" s="33" t="s">
        <v>31</v>
      </c>
      <c r="F874" s="3" t="s">
        <v>31</v>
      </c>
      <c r="G874" s="7">
        <v>112</v>
      </c>
      <c r="H874" s="15">
        <v>112</v>
      </c>
      <c r="I874" s="18"/>
      <c r="J874" s="14" t="e">
        <f>+SUMIFS(#REF!,#REF!,Planning[[#This Row],[Tarifa]],#REF!,Planning[[#This Row],[Proyectos]])</f>
        <v>#REF!</v>
      </c>
      <c r="K874" s="14" t="e">
        <f>Planning[[#This Row],[Horas Planificadas]]+Planning[[#This Row],[Horas ajustadas adicionales]]-Planning[[#This Row],[Horas utilizadas]]</f>
        <v>#REF!</v>
      </c>
      <c r="L874" s="15">
        <v>0</v>
      </c>
      <c r="M874" s="16" t="e">
        <f>Planning[[#This Row],[Saldo]]-Planning[[#This Row],[Saldo estimado]]</f>
        <v>#REF!</v>
      </c>
      <c r="N874" s="60"/>
      <c r="O874" s="16">
        <f t="shared" si="26"/>
        <v>10</v>
      </c>
      <c r="P874" s="16">
        <f t="shared" si="27"/>
        <v>2024</v>
      </c>
      <c r="Q874" s="16" t="e">
        <f>+SUMIFS(#REF!,#REF!,Planning[[#This Row],[Tarifa]],#REF!,Planning[[#This Row],[Proyectos]],#REF!,Planning[[#This Row],[Mes]],#REF!,Planning[[#This Row],[Año]])</f>
        <v>#REF!</v>
      </c>
      <c r="R874" s="16" t="str">
        <f>TEXT(Planning[[#This Row],[Mes]]*29,"mmmm")</f>
        <v>October</v>
      </c>
      <c r="S8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74" s="239"/>
      <c r="U874" s="43" t="e">
        <f>IF(Planning[[#This Row],[Horas Planificadas]]&lt;&gt;0,+K874/Planning[[#This Row],[Horas Planificadas]],0)</f>
        <v>#REF!</v>
      </c>
      <c r="V874" s="43" t="e">
        <f>IF(Planning[[#This Row],[Horas Planificadas]]&lt;&gt;0,Planning[[#This Row],[Horas utilizadas]]/Planning[[#This Row],[Horas Planificadas]],0)</f>
        <v>#REF!</v>
      </c>
      <c r="W874" s="44">
        <f>Planning[[#This Row],[Horas Planificadas]]+Planning[[#This Row],[Horas ajustadas adicionales]]</f>
        <v>112</v>
      </c>
      <c r="X874" s="142"/>
    </row>
    <row r="875" spans="1:24" ht="12.75" customHeight="1" x14ac:dyDescent="0.2">
      <c r="A875" s="7" t="s">
        <v>117</v>
      </c>
      <c r="B875" s="7" t="s">
        <v>220</v>
      </c>
      <c r="C875" s="3"/>
      <c r="D875" s="3" t="s">
        <v>248</v>
      </c>
      <c r="E875" s="33" t="s">
        <v>32</v>
      </c>
      <c r="F875" s="3"/>
      <c r="G875" s="7">
        <v>95</v>
      </c>
      <c r="H875" s="24">
        <f>SUM(H876:H878)</f>
        <v>95</v>
      </c>
      <c r="I875" s="14"/>
      <c r="J875" s="14" t="e">
        <f>SUM(J876:J878)</f>
        <v>#REF!</v>
      </c>
      <c r="K875" s="18" t="e">
        <f>SUM(K876:K878)</f>
        <v>#REF!</v>
      </c>
      <c r="L875" s="15">
        <f>SUM(L876:L878)</f>
        <v>0</v>
      </c>
      <c r="M875" s="16" t="e">
        <f>SUM(M876:M878)</f>
        <v>#REF!</v>
      </c>
      <c r="N875" s="60"/>
      <c r="O875" s="16">
        <f t="shared" si="26"/>
        <v>10</v>
      </c>
      <c r="P875" s="16">
        <f t="shared" si="27"/>
        <v>2024</v>
      </c>
      <c r="Q875" s="16" t="e">
        <f>SUM(Q876:Q878)</f>
        <v>#REF!</v>
      </c>
      <c r="R875" s="16" t="str">
        <f>TEXT(Planning[[#This Row],[Mes]]*29,"mmmm")</f>
        <v>October</v>
      </c>
      <c r="S8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75" s="239"/>
      <c r="U875" s="43" t="e">
        <f>IF(Planning[[#This Row],[Horas Planificadas]]&lt;&gt;0,+K875/Planning[[#This Row],[Horas Planificadas]],0)</f>
        <v>#REF!</v>
      </c>
      <c r="V875" s="43" t="e">
        <f>IF(Planning[[#This Row],[Horas Planificadas]]&lt;&gt;0,Planning[[#This Row],[Horas utilizadas]]/Planning[[#This Row],[Horas Planificadas]],0)</f>
        <v>#REF!</v>
      </c>
      <c r="W875" s="44">
        <f>Planning[[#This Row],[Horas Planificadas]]+Planning[[#This Row],[Horas ajustadas adicionales]]</f>
        <v>95</v>
      </c>
      <c r="X875" s="142"/>
    </row>
    <row r="876" spans="1:24" ht="12.75" customHeight="1" x14ac:dyDescent="0.2">
      <c r="A876" s="7" t="s">
        <v>117</v>
      </c>
      <c r="B876" s="7" t="s">
        <v>220</v>
      </c>
      <c r="C876" s="3"/>
      <c r="D876" s="3" t="s">
        <v>248</v>
      </c>
      <c r="E876" s="33"/>
      <c r="F876" s="3" t="s">
        <v>129</v>
      </c>
      <c r="G876" s="7"/>
      <c r="H876" s="7">
        <v>95</v>
      </c>
      <c r="I876" s="12"/>
      <c r="J876" s="5" t="e">
        <f>SUM(SUMIFS(#REF!,#REF!,Planning[[#This Row],[Tipo de Tarea y especialidad]],#REF!,Planning[[#This Row],[Proyectos Reiwa]]),SUMIFS(#REF!,#REF!,Planning[[#This Row],[Tipo de Tarea y especialidad]],#REF!,Planning[[#This Row],[Proyectos]]))</f>
        <v>#REF!</v>
      </c>
      <c r="K876" s="5" t="e">
        <f>Planning[[#This Row],[Horas Planificadas]]+Planning[[#This Row],[Horas ajustadas adicionales]]-Planning[[#This Row],[Horas utilizadas]]</f>
        <v>#REF!</v>
      </c>
      <c r="L876" s="7">
        <v>0</v>
      </c>
      <c r="M876" s="19" t="e">
        <f>Planning[[#This Row],[Saldo]]-Planning[[#This Row],[Saldo estimado]]</f>
        <v>#REF!</v>
      </c>
      <c r="N876" s="60" t="e">
        <f>+SUMIFS(#REF!,#REF!,Planning[[#This Row],[Proyectos]],#REF!,Planning[[#This Row],[Tipo de Tarea y especialidad]])</f>
        <v>#REF!</v>
      </c>
      <c r="O876" s="19">
        <f t="shared" si="26"/>
        <v>10</v>
      </c>
      <c r="P876" s="19">
        <f t="shared" si="27"/>
        <v>2024</v>
      </c>
      <c r="Q8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876" s="19" t="str">
        <f>TEXT(Planning[[#This Row],[Mes]]*29,"mmmm")</f>
        <v>October</v>
      </c>
      <c r="S8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76" s="239"/>
      <c r="U876" s="43" t="e">
        <f>IF(Planning[[#This Row],[Horas Planificadas]]&lt;&gt;0,+K876/Planning[[#This Row],[Horas Planificadas]],0)</f>
        <v>#REF!</v>
      </c>
      <c r="V876" s="43" t="e">
        <f>IF(Planning[[#This Row],[Horas Planificadas]]&lt;&gt;0,Planning[[#This Row],[Horas utilizadas]]/Planning[[#This Row],[Horas Planificadas]],0)</f>
        <v>#REF!</v>
      </c>
      <c r="W876" s="44">
        <f>Planning[[#This Row],[Horas Planificadas]]+Planning[[#This Row],[Horas ajustadas adicionales]]</f>
        <v>95</v>
      </c>
      <c r="X876" s="142"/>
    </row>
    <row r="877" spans="1:24" ht="12.75" customHeight="1" x14ac:dyDescent="0.2">
      <c r="A877" s="7" t="s">
        <v>117</v>
      </c>
      <c r="B877" s="7" t="s">
        <v>220</v>
      </c>
      <c r="C877" s="3"/>
      <c r="D877" s="3" t="s">
        <v>248</v>
      </c>
      <c r="E877" s="33"/>
      <c r="F877" s="3" t="s">
        <v>130</v>
      </c>
      <c r="G877" s="7"/>
      <c r="H877" s="7"/>
      <c r="I877" s="12"/>
      <c r="J877" s="5" t="e">
        <f>SUM(SUMIFS(#REF!,#REF!,Planning[[#This Row],[Tipo de Tarea y especialidad]],#REF!,Planning[[#This Row],[Proyectos Reiwa]]),SUMIFS(#REF!,#REF!,Planning[[#This Row],[Tipo de Tarea y especialidad]],#REF!,Planning[[#This Row],[Proyectos]]))</f>
        <v>#REF!</v>
      </c>
      <c r="K877" s="5" t="e">
        <f>Planning[[#This Row],[Horas Planificadas]]+Planning[[#This Row],[Horas ajustadas adicionales]]-Planning[[#This Row],[Horas utilizadas]]</f>
        <v>#REF!</v>
      </c>
      <c r="L877" s="7">
        <v>0</v>
      </c>
      <c r="M877" s="19" t="e">
        <f>Planning[[#This Row],[Saldo]]-Planning[[#This Row],[Saldo estimado]]</f>
        <v>#REF!</v>
      </c>
      <c r="N877" s="60" t="e">
        <f>+SUMIFS(#REF!,#REF!,Planning[[#This Row],[Proyectos]],#REF!,Planning[[#This Row],[Tipo de Tarea y especialidad]])</f>
        <v>#REF!</v>
      </c>
      <c r="O877" s="19">
        <f t="shared" si="26"/>
        <v>10</v>
      </c>
      <c r="P877" s="19">
        <f t="shared" si="27"/>
        <v>2024</v>
      </c>
      <c r="Q8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877" s="19" t="str">
        <f>TEXT(Planning[[#This Row],[Mes]]*29,"mmmm")</f>
        <v>October</v>
      </c>
      <c r="S8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77" s="239"/>
      <c r="U877" s="43">
        <f>IF(Planning[[#This Row],[Horas Planificadas]]&lt;&gt;0,+K877/Planning[[#This Row],[Horas Planificadas]],0)</f>
        <v>0</v>
      </c>
      <c r="V877" s="43">
        <f>IF(Planning[[#This Row],[Horas Planificadas]]&lt;&gt;0,Planning[[#This Row],[Horas utilizadas]]/Planning[[#This Row],[Horas Planificadas]],0)</f>
        <v>0</v>
      </c>
      <c r="W877" s="44">
        <f>Planning[[#This Row],[Horas Planificadas]]+Planning[[#This Row],[Horas ajustadas adicionales]]</f>
        <v>0</v>
      </c>
      <c r="X877" s="142"/>
    </row>
    <row r="878" spans="1:24" ht="12.75" customHeight="1" x14ac:dyDescent="0.2">
      <c r="A878" s="7" t="s">
        <v>117</v>
      </c>
      <c r="B878" s="7" t="s">
        <v>220</v>
      </c>
      <c r="C878" s="3"/>
      <c r="D878" s="3" t="s">
        <v>248</v>
      </c>
      <c r="E878" s="33"/>
      <c r="F878" s="3" t="s">
        <v>131</v>
      </c>
      <c r="G878" s="7"/>
      <c r="H878" s="7"/>
      <c r="I878" s="12"/>
      <c r="J878" s="5" t="e">
        <f>SUM(SUMIFS(#REF!,#REF!,Planning[[#This Row],[Tipo de Tarea y especialidad]],#REF!,Planning[[#This Row],[Proyectos Reiwa]]),SUMIFS(#REF!,#REF!,Planning[[#This Row],[Tipo de Tarea y especialidad]],#REF!,Planning[[#This Row],[Proyectos]]))</f>
        <v>#REF!</v>
      </c>
      <c r="K878" s="5" t="e">
        <f>Planning[[#This Row],[Horas Planificadas]]+Planning[[#This Row],[Horas ajustadas adicionales]]-Planning[[#This Row],[Horas utilizadas]]</f>
        <v>#REF!</v>
      </c>
      <c r="L878" s="7">
        <v>0</v>
      </c>
      <c r="M878" s="19" t="e">
        <f>Planning[[#This Row],[Saldo]]-Planning[[#This Row],[Saldo estimado]]</f>
        <v>#REF!</v>
      </c>
      <c r="N878" s="60" t="e">
        <f>+SUMIFS(#REF!,#REF!,Planning[[#This Row],[Proyectos]],#REF!,Planning[[#This Row],[Tipo de Tarea y especialidad]])</f>
        <v>#REF!</v>
      </c>
      <c r="O878" s="19">
        <f t="shared" si="26"/>
        <v>10</v>
      </c>
      <c r="P878" s="19">
        <f t="shared" si="27"/>
        <v>2024</v>
      </c>
      <c r="Q8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878" s="19" t="str">
        <f>TEXT(Planning[[#This Row],[Mes]]*29,"mmmm")</f>
        <v>October</v>
      </c>
      <c r="S8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78" s="239"/>
      <c r="U878" s="43">
        <f>IF(Planning[[#This Row],[Horas Planificadas]]&lt;&gt;0,+K878/Planning[[#This Row],[Horas Planificadas]],0)</f>
        <v>0</v>
      </c>
      <c r="V878" s="43">
        <f>IF(Planning[[#This Row],[Horas Planificadas]]&lt;&gt;0,Planning[[#This Row],[Horas utilizadas]]/Planning[[#This Row],[Horas Planificadas]],0)</f>
        <v>0</v>
      </c>
      <c r="W878" s="44">
        <f>Planning[[#This Row],[Horas Planificadas]]+Planning[[#This Row],[Horas ajustadas adicionales]]</f>
        <v>0</v>
      </c>
      <c r="X878" s="142"/>
    </row>
    <row r="879" spans="1:24" ht="22.5" x14ac:dyDescent="0.2">
      <c r="A879" s="7"/>
      <c r="B879" s="7"/>
      <c r="C879" s="3"/>
      <c r="D879" s="3" t="s">
        <v>250</v>
      </c>
      <c r="E879" s="33" t="s">
        <v>28</v>
      </c>
      <c r="F879" s="3"/>
      <c r="G879" s="7"/>
      <c r="H879" s="7">
        <v>63</v>
      </c>
      <c r="I879" s="12"/>
      <c r="J879" s="5" t="e">
        <f>+SUMIFS(#REF!,#REF!,Planning[[#This Row],[Tarifa]],#REF!,Planning[[#This Row],[Proyectos]])</f>
        <v>#REF!</v>
      </c>
      <c r="K879" s="5" t="e">
        <f>Planning[[#This Row],[Horas Planificadas]]+Planning[[#This Row],[Horas ajustadas adicionales]]-Planning[[#This Row],[Horas utilizadas]]</f>
        <v>#REF!</v>
      </c>
      <c r="L879" s="7"/>
      <c r="M879" s="19" t="e">
        <f>Planning[[#This Row],[Saldo]]-Planning[[#This Row],[Saldo estimado]]</f>
        <v>#REF!</v>
      </c>
      <c r="N879" s="60" t="e">
        <f>+SUMIFS(#REF!,#REF!,Planning[[#This Row],[Proyectos]],#REF!,Planning[[#This Row],[Tipo de Tarea y especialidad]])</f>
        <v>#REF!</v>
      </c>
      <c r="O879" s="19">
        <f t="shared" si="26"/>
        <v>10</v>
      </c>
      <c r="P879" s="19">
        <f t="shared" si="27"/>
        <v>2024</v>
      </c>
      <c r="Q879" s="19" t="e">
        <f>+SUMIFS(#REF!,#REF!,Planning[[#This Row],[Tarifa]],#REF!,Planning[[#This Row],[Proyectos]],#REF!,Planning[[#This Row],[Mes]],#REF!,Planning[[#This Row],[Año]])</f>
        <v>#REF!</v>
      </c>
      <c r="R879" s="19" t="str">
        <f>TEXT(Planning[[#This Row],[Mes]]*29,"mmmm")</f>
        <v>October</v>
      </c>
      <c r="S8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79" s="228"/>
      <c r="U879" s="43" t="e">
        <f>IF(Planning[[#This Row],[Horas Planificadas]]&lt;&gt;0,+K879/Planning[[#This Row],[Horas Planificadas]],0)</f>
        <v>#REF!</v>
      </c>
      <c r="V879" s="43" t="e">
        <f>IF(Planning[[#This Row],[Horas Planificadas]]&lt;&gt;0,Planning[[#This Row],[Horas utilizadas]]/Planning[[#This Row],[Horas Planificadas]],0)</f>
        <v>#REF!</v>
      </c>
      <c r="W879" s="44">
        <f>Planning[[#This Row],[Horas Planificadas]]+Planning[[#This Row],[Horas ajustadas adicionales]]</f>
        <v>63</v>
      </c>
      <c r="X879" s="142"/>
    </row>
    <row r="880" spans="1:24" x14ac:dyDescent="0.2">
      <c r="A880" s="7"/>
      <c r="B880" s="7"/>
      <c r="C880" s="3"/>
      <c r="D880" s="3" t="s">
        <v>250</v>
      </c>
      <c r="E880" s="33" t="s">
        <v>30</v>
      </c>
      <c r="F880" s="3"/>
      <c r="G880" s="7"/>
      <c r="H880" s="7">
        <v>126</v>
      </c>
      <c r="I880" s="12"/>
      <c r="J880" s="5" t="e">
        <f>+SUMIFS(#REF!,#REF!,Planning[[#This Row],[Tarifa]],#REF!,Planning[[#This Row],[Proyectos]])</f>
        <v>#REF!</v>
      </c>
      <c r="K880" s="5" t="e">
        <f>Planning[[#This Row],[Horas Planificadas]]+Planning[[#This Row],[Horas ajustadas adicionales]]-Planning[[#This Row],[Horas utilizadas]]</f>
        <v>#REF!</v>
      </c>
      <c r="L880" s="7"/>
      <c r="M880" s="19" t="e">
        <f>Planning[[#This Row],[Saldo]]-Planning[[#This Row],[Saldo estimado]]</f>
        <v>#REF!</v>
      </c>
      <c r="N880" s="60" t="e">
        <f>+SUMIFS(#REF!,#REF!,Planning[[#This Row],[Proyectos]],#REF!,Planning[[#This Row],[Tipo de Tarea y especialidad]])</f>
        <v>#REF!</v>
      </c>
      <c r="O880" s="19">
        <f t="shared" si="26"/>
        <v>10</v>
      </c>
      <c r="P880" s="19">
        <f t="shared" si="27"/>
        <v>2024</v>
      </c>
      <c r="Q880" s="19" t="e">
        <f>+SUMIFS(#REF!,#REF!,Planning[[#This Row],[Tarifa]],#REF!,Planning[[#This Row],[Proyectos]],#REF!,Planning[[#This Row],[Mes]],#REF!,Planning[[#This Row],[Año]])</f>
        <v>#REF!</v>
      </c>
      <c r="R880" s="19" t="str">
        <f>TEXT(Planning[[#This Row],[Mes]]*29,"mmmm")</f>
        <v>October</v>
      </c>
      <c r="S8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80" s="228"/>
      <c r="U880" s="43" t="e">
        <f>IF(Planning[[#This Row],[Horas Planificadas]]&lt;&gt;0,+K880/Planning[[#This Row],[Horas Planificadas]],0)</f>
        <v>#REF!</v>
      </c>
      <c r="V880" s="43" t="e">
        <f>IF(Planning[[#This Row],[Horas Planificadas]]&lt;&gt;0,Planning[[#This Row],[Horas utilizadas]]/Planning[[#This Row],[Horas Planificadas]],0)</f>
        <v>#REF!</v>
      </c>
      <c r="W880" s="44">
        <f>Planning[[#This Row],[Horas Planificadas]]+Planning[[#This Row],[Horas ajustadas adicionales]]</f>
        <v>126</v>
      </c>
      <c r="X880" s="142"/>
    </row>
    <row r="881" spans="1:24" x14ac:dyDescent="0.2">
      <c r="A881" s="7"/>
      <c r="B881" s="7"/>
      <c r="C881" s="3"/>
      <c r="D881" s="3" t="s">
        <v>250</v>
      </c>
      <c r="E881" s="33" t="s">
        <v>31</v>
      </c>
      <c r="F881" s="3"/>
      <c r="G881" s="7"/>
      <c r="H881" s="7">
        <v>47</v>
      </c>
      <c r="I881" s="12"/>
      <c r="J881" s="5" t="e">
        <f>+SUMIFS(#REF!,#REF!,Planning[[#This Row],[Tarifa]],#REF!,Planning[[#This Row],[Proyectos]])</f>
        <v>#REF!</v>
      </c>
      <c r="K881" s="5" t="e">
        <f>Planning[[#This Row],[Horas Planificadas]]+Planning[[#This Row],[Horas ajustadas adicionales]]-Planning[[#This Row],[Horas utilizadas]]</f>
        <v>#REF!</v>
      </c>
      <c r="L881" s="7"/>
      <c r="M881" s="19" t="e">
        <f>Planning[[#This Row],[Saldo]]-Planning[[#This Row],[Saldo estimado]]</f>
        <v>#REF!</v>
      </c>
      <c r="N881" s="60" t="e">
        <f>+SUMIFS(#REF!,#REF!,Planning[[#This Row],[Proyectos]],#REF!,Planning[[#This Row],[Tipo de Tarea y especialidad]])</f>
        <v>#REF!</v>
      </c>
      <c r="O881" s="19">
        <f t="shared" si="26"/>
        <v>10</v>
      </c>
      <c r="P881" s="19">
        <f t="shared" si="27"/>
        <v>2024</v>
      </c>
      <c r="Q881" s="19" t="e">
        <f>+SUMIFS(#REF!,#REF!,Planning[[#This Row],[Tarifa]],#REF!,Planning[[#This Row],[Proyectos]],#REF!,Planning[[#This Row],[Mes]],#REF!,Planning[[#This Row],[Año]])</f>
        <v>#REF!</v>
      </c>
      <c r="R881" s="19" t="str">
        <f>TEXT(Planning[[#This Row],[Mes]]*29,"mmmm")</f>
        <v>October</v>
      </c>
      <c r="S8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81" s="228"/>
      <c r="U881" s="43" t="e">
        <f>IF(Planning[[#This Row],[Horas Planificadas]]&lt;&gt;0,+K881/Planning[[#This Row],[Horas Planificadas]],0)</f>
        <v>#REF!</v>
      </c>
      <c r="V881" s="43" t="e">
        <f>IF(Planning[[#This Row],[Horas Planificadas]]&lt;&gt;0,Planning[[#This Row],[Horas utilizadas]]/Planning[[#This Row],[Horas Planificadas]],0)</f>
        <v>#REF!</v>
      </c>
      <c r="W881" s="44">
        <f>Planning[[#This Row],[Horas Planificadas]]+Planning[[#This Row],[Horas ajustadas adicionales]]</f>
        <v>47</v>
      </c>
      <c r="X881" s="142"/>
    </row>
    <row r="882" spans="1:24" ht="22.5" x14ac:dyDescent="0.2">
      <c r="A882" s="7"/>
      <c r="B882" s="7"/>
      <c r="C882" s="3"/>
      <c r="D882" s="3" t="s">
        <v>250</v>
      </c>
      <c r="E882" s="33" t="s">
        <v>32</v>
      </c>
      <c r="F882" s="3"/>
      <c r="G882" s="7"/>
      <c r="H882" s="7">
        <v>126</v>
      </c>
      <c r="I882" s="12"/>
      <c r="J882" s="5" t="e">
        <f>+SUMIFS(#REF!,#REF!,Planning[[#This Row],[Tarifa]],#REF!,Planning[[#This Row],[Proyectos]])</f>
        <v>#REF!</v>
      </c>
      <c r="K882" s="5" t="e">
        <f>Planning[[#This Row],[Horas Planificadas]]+Planning[[#This Row],[Horas ajustadas adicionales]]-Planning[[#This Row],[Horas utilizadas]]</f>
        <v>#REF!</v>
      </c>
      <c r="L882" s="7"/>
      <c r="M882" s="19" t="e">
        <f>Planning[[#This Row],[Saldo]]-Planning[[#This Row],[Saldo estimado]]</f>
        <v>#REF!</v>
      </c>
      <c r="N882" s="60" t="e">
        <f>+SUMIFS(#REF!,#REF!,Planning[[#This Row],[Proyectos]],#REF!,Planning[[#This Row],[Tipo de Tarea y especialidad]])</f>
        <v>#REF!</v>
      </c>
      <c r="O882" s="19">
        <f t="shared" si="26"/>
        <v>10</v>
      </c>
      <c r="P882" s="19">
        <f t="shared" si="27"/>
        <v>2024</v>
      </c>
      <c r="Q882" s="19" t="e">
        <f>+SUMIFS(#REF!,#REF!,Planning[[#This Row],[Tarifa]],#REF!,Planning[[#This Row],[Proyectos]],#REF!,Planning[[#This Row],[Mes]],#REF!,Planning[[#This Row],[Año]])</f>
        <v>#REF!</v>
      </c>
      <c r="R882" s="19" t="str">
        <f>TEXT(Planning[[#This Row],[Mes]]*29,"mmmm")</f>
        <v>October</v>
      </c>
      <c r="S8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82" s="228"/>
      <c r="U882" s="43" t="e">
        <f>IF(Planning[[#This Row],[Horas Planificadas]]&lt;&gt;0,+K882/Planning[[#This Row],[Horas Planificadas]],0)</f>
        <v>#REF!</v>
      </c>
      <c r="V882" s="43" t="e">
        <f>IF(Planning[[#This Row],[Horas Planificadas]]&lt;&gt;0,Planning[[#This Row],[Horas utilizadas]]/Planning[[#This Row],[Horas Planificadas]],0)</f>
        <v>#REF!</v>
      </c>
      <c r="W882" s="44">
        <f>Planning[[#This Row],[Horas Planificadas]]+Planning[[#This Row],[Horas ajustadas adicionales]]</f>
        <v>126</v>
      </c>
      <c r="X882" s="142"/>
    </row>
    <row r="883" spans="1:24" ht="12.75" customHeight="1" x14ac:dyDescent="0.2">
      <c r="A883" s="7"/>
      <c r="B883" s="7"/>
      <c r="C883" s="3"/>
      <c r="D883" s="3" t="s">
        <v>251</v>
      </c>
      <c r="E883" s="33" t="s">
        <v>28</v>
      </c>
      <c r="F883" s="3"/>
      <c r="G883" s="7"/>
      <c r="H883" s="7">
        <v>1015</v>
      </c>
      <c r="I883" s="12"/>
      <c r="J883" s="5" t="e">
        <f>+SUMIFS(#REF!,#REF!,Planning[[#This Row],[Tarifa]],#REF!,Planning[[#This Row],[Proyectos]])</f>
        <v>#REF!</v>
      </c>
      <c r="K883" s="5" t="e">
        <f>Planning[[#This Row],[Horas Planificadas]]+Planning[[#This Row],[Horas ajustadas adicionales]]-Planning[[#This Row],[Horas utilizadas]]</f>
        <v>#REF!</v>
      </c>
      <c r="L883" s="7"/>
      <c r="M883" s="19" t="e">
        <f>Planning[[#This Row],[Saldo]]-Planning[[#This Row],[Saldo estimado]]</f>
        <v>#REF!</v>
      </c>
      <c r="N883" s="60" t="e">
        <f>+SUMIFS(#REF!,#REF!,Planning[[#This Row],[Proyectos]],#REF!,Planning[[#This Row],[Tipo de Tarea y especialidad]])</f>
        <v>#REF!</v>
      </c>
      <c r="O883" s="19">
        <f t="shared" si="26"/>
        <v>10</v>
      </c>
      <c r="P883" s="19">
        <f t="shared" si="27"/>
        <v>2024</v>
      </c>
      <c r="Q883" s="19" t="e">
        <f>+SUMIFS(#REF!,#REF!,Planning[[#This Row],[Tarifa]],#REF!,Planning[[#This Row],[Proyectos]],#REF!,Planning[[#This Row],[Mes]],#REF!,Planning[[#This Row],[Año]])</f>
        <v>#REF!</v>
      </c>
      <c r="R883" s="19" t="str">
        <f>TEXT(Planning[[#This Row],[Mes]]*29,"mmmm")</f>
        <v>October</v>
      </c>
      <c r="S8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83" s="228"/>
      <c r="U883" s="43" t="e">
        <f>IF(Planning[[#This Row],[Horas Planificadas]]&lt;&gt;0,+K883/Planning[[#This Row],[Horas Planificadas]],0)</f>
        <v>#REF!</v>
      </c>
      <c r="V883" s="43" t="e">
        <f>IF(Planning[[#This Row],[Horas Planificadas]]&lt;&gt;0,Planning[[#This Row],[Horas utilizadas]]/Planning[[#This Row],[Horas Planificadas]],0)</f>
        <v>#REF!</v>
      </c>
      <c r="W883" s="44">
        <f>Planning[[#This Row],[Horas Planificadas]]+Planning[[#This Row],[Horas ajustadas adicionales]]</f>
        <v>1015</v>
      </c>
      <c r="X883" s="142"/>
    </row>
    <row r="884" spans="1:24" ht="12.75" customHeight="1" x14ac:dyDescent="0.2">
      <c r="A884" s="7"/>
      <c r="B884" s="7"/>
      <c r="C884" s="3"/>
      <c r="D884" s="3" t="s">
        <v>251</v>
      </c>
      <c r="E884" s="33" t="s">
        <v>30</v>
      </c>
      <c r="F884" s="3"/>
      <c r="G884" s="7"/>
      <c r="H884" s="7">
        <v>2326</v>
      </c>
      <c r="I884" s="12"/>
      <c r="J884" s="5" t="e">
        <f>+SUMIFS(#REF!,#REF!,Planning[[#This Row],[Tarifa]],#REF!,Planning[[#This Row],[Proyectos]])</f>
        <v>#REF!</v>
      </c>
      <c r="K884" s="5" t="e">
        <f>Planning[[#This Row],[Horas Planificadas]]+Planning[[#This Row],[Horas ajustadas adicionales]]-Planning[[#This Row],[Horas utilizadas]]</f>
        <v>#REF!</v>
      </c>
      <c r="L884" s="7"/>
      <c r="M884" s="19" t="e">
        <f>Planning[[#This Row],[Saldo]]-Planning[[#This Row],[Saldo estimado]]</f>
        <v>#REF!</v>
      </c>
      <c r="N884" s="60" t="e">
        <f>+SUMIFS(#REF!,#REF!,Planning[[#This Row],[Proyectos]],#REF!,Planning[[#This Row],[Tipo de Tarea y especialidad]])</f>
        <v>#REF!</v>
      </c>
      <c r="O884" s="19">
        <f t="shared" si="26"/>
        <v>10</v>
      </c>
      <c r="P884" s="19">
        <f t="shared" si="27"/>
        <v>2024</v>
      </c>
      <c r="Q884" s="19" t="e">
        <f>+SUMIFS(#REF!,#REF!,Planning[[#This Row],[Tarifa]],#REF!,Planning[[#This Row],[Proyectos]],#REF!,Planning[[#This Row],[Mes]],#REF!,Planning[[#This Row],[Año]])</f>
        <v>#REF!</v>
      </c>
      <c r="R884" s="19" t="str">
        <f>TEXT(Planning[[#This Row],[Mes]]*29,"mmmm")</f>
        <v>October</v>
      </c>
      <c r="S8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84" s="228"/>
      <c r="U884" s="43" t="e">
        <f>IF(Planning[[#This Row],[Horas Planificadas]]&lt;&gt;0,+K884/Planning[[#This Row],[Horas Planificadas]],0)</f>
        <v>#REF!</v>
      </c>
      <c r="V884" s="43" t="e">
        <f>IF(Planning[[#This Row],[Horas Planificadas]]&lt;&gt;0,Planning[[#This Row],[Horas utilizadas]]/Planning[[#This Row],[Horas Planificadas]],0)</f>
        <v>#REF!</v>
      </c>
      <c r="W884" s="44">
        <f>Planning[[#This Row],[Horas Planificadas]]+Planning[[#This Row],[Horas ajustadas adicionales]]</f>
        <v>2326</v>
      </c>
      <c r="X884" s="142"/>
    </row>
    <row r="885" spans="1:24" ht="12.75" customHeight="1" x14ac:dyDescent="0.2">
      <c r="A885" s="7"/>
      <c r="B885" s="7"/>
      <c r="C885" s="3"/>
      <c r="D885" s="3" t="s">
        <v>251</v>
      </c>
      <c r="E885" s="33" t="s">
        <v>31</v>
      </c>
      <c r="F885" s="3"/>
      <c r="G885" s="7"/>
      <c r="H885" s="7">
        <v>445</v>
      </c>
      <c r="I885" s="12"/>
      <c r="J885" s="5" t="e">
        <f>+SUMIFS(#REF!,#REF!,Planning[[#This Row],[Tarifa]],#REF!,Planning[[#This Row],[Proyectos]])</f>
        <v>#REF!</v>
      </c>
      <c r="K885" s="5" t="e">
        <f>Planning[[#This Row],[Horas Planificadas]]+Planning[[#This Row],[Horas ajustadas adicionales]]-Planning[[#This Row],[Horas utilizadas]]</f>
        <v>#REF!</v>
      </c>
      <c r="L885" s="7"/>
      <c r="M885" s="19" t="e">
        <f>Planning[[#This Row],[Saldo]]-Planning[[#This Row],[Saldo estimado]]</f>
        <v>#REF!</v>
      </c>
      <c r="N885" s="60" t="e">
        <f>+SUMIFS(#REF!,#REF!,Planning[[#This Row],[Proyectos]],#REF!,Planning[[#This Row],[Tipo de Tarea y especialidad]])</f>
        <v>#REF!</v>
      </c>
      <c r="O885" s="19">
        <f t="shared" si="26"/>
        <v>10</v>
      </c>
      <c r="P885" s="19">
        <f t="shared" si="27"/>
        <v>2024</v>
      </c>
      <c r="Q885" s="19" t="e">
        <f>+SUMIFS(#REF!,#REF!,Planning[[#This Row],[Tarifa]],#REF!,Planning[[#This Row],[Proyectos]],#REF!,Planning[[#This Row],[Mes]],#REF!,Planning[[#This Row],[Año]])</f>
        <v>#REF!</v>
      </c>
      <c r="R885" s="19" t="str">
        <f>TEXT(Planning[[#This Row],[Mes]]*29,"mmmm")</f>
        <v>October</v>
      </c>
      <c r="S8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85" s="228"/>
      <c r="U885" s="43" t="e">
        <f>IF(Planning[[#This Row],[Horas Planificadas]]&lt;&gt;0,+K885/Planning[[#This Row],[Horas Planificadas]],0)</f>
        <v>#REF!</v>
      </c>
      <c r="V885" s="43" t="e">
        <f>IF(Planning[[#This Row],[Horas Planificadas]]&lt;&gt;0,Planning[[#This Row],[Horas utilizadas]]/Planning[[#This Row],[Horas Planificadas]],0)</f>
        <v>#REF!</v>
      </c>
      <c r="W885" s="44">
        <f>Planning[[#This Row],[Horas Planificadas]]+Planning[[#This Row],[Horas ajustadas adicionales]]</f>
        <v>445</v>
      </c>
      <c r="X885" s="142"/>
    </row>
    <row r="886" spans="1:24" ht="12.75" customHeight="1" x14ac:dyDescent="0.2">
      <c r="A886" s="7"/>
      <c r="B886" s="7"/>
      <c r="C886" s="3"/>
      <c r="D886" s="3" t="s">
        <v>251</v>
      </c>
      <c r="E886" s="33" t="s">
        <v>32</v>
      </c>
      <c r="F886" s="3"/>
      <c r="G886" s="7"/>
      <c r="H886" s="7">
        <v>345</v>
      </c>
      <c r="I886" s="12"/>
      <c r="J886" s="5" t="e">
        <f>+SUMIFS(#REF!,#REF!,Planning[[#This Row],[Tarifa]],#REF!,Planning[[#This Row],[Proyectos]])</f>
        <v>#REF!</v>
      </c>
      <c r="K886" s="5" t="e">
        <f>Planning[[#This Row],[Horas Planificadas]]+Planning[[#This Row],[Horas ajustadas adicionales]]-Planning[[#This Row],[Horas utilizadas]]</f>
        <v>#REF!</v>
      </c>
      <c r="L886" s="7"/>
      <c r="M886" s="19" t="e">
        <f>Planning[[#This Row],[Saldo]]-Planning[[#This Row],[Saldo estimado]]</f>
        <v>#REF!</v>
      </c>
      <c r="N886" s="60" t="e">
        <f>+SUMIFS(#REF!,#REF!,Planning[[#This Row],[Proyectos]],#REF!,Planning[[#This Row],[Tipo de Tarea y especialidad]])</f>
        <v>#REF!</v>
      </c>
      <c r="O886" s="19">
        <f t="shared" si="26"/>
        <v>10</v>
      </c>
      <c r="P886" s="19">
        <f t="shared" si="27"/>
        <v>2024</v>
      </c>
      <c r="Q886" s="19" t="e">
        <f>+SUMIFS(#REF!,#REF!,Planning[[#This Row],[Tarifa]],#REF!,Planning[[#This Row],[Proyectos]],#REF!,Planning[[#This Row],[Mes]],#REF!,Planning[[#This Row],[Año]])</f>
        <v>#REF!</v>
      </c>
      <c r="R886" s="19" t="str">
        <f>TEXT(Planning[[#This Row],[Mes]]*29,"mmmm")</f>
        <v>October</v>
      </c>
      <c r="S8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86" s="228"/>
      <c r="U886" s="43" t="e">
        <f>IF(Planning[[#This Row],[Horas Planificadas]]&lt;&gt;0,+K886/Planning[[#This Row],[Horas Planificadas]],0)</f>
        <v>#REF!</v>
      </c>
      <c r="V886" s="43" t="e">
        <f>IF(Planning[[#This Row],[Horas Planificadas]]&lt;&gt;0,Planning[[#This Row],[Horas utilizadas]]/Planning[[#This Row],[Horas Planificadas]],0)</f>
        <v>#REF!</v>
      </c>
      <c r="W886" s="44">
        <f>Planning[[#This Row],[Horas Planificadas]]+Planning[[#This Row],[Horas ajustadas adicionales]]</f>
        <v>345</v>
      </c>
      <c r="X886" s="142"/>
    </row>
    <row r="887" spans="1:24" ht="12.75" customHeight="1" x14ac:dyDescent="0.2">
      <c r="A887" s="7"/>
      <c r="B887" s="7"/>
      <c r="C887" s="3"/>
      <c r="D887" s="3" t="s">
        <v>252</v>
      </c>
      <c r="E887" s="4" t="s">
        <v>28</v>
      </c>
      <c r="F887" s="3"/>
      <c r="G887" s="9"/>
      <c r="H887" s="12">
        <v>207</v>
      </c>
      <c r="I887" s="12"/>
      <c r="J887" s="5" t="e">
        <f>+SUMIFS(#REF!,#REF!,Planning[[#This Row],[Tarifa]],#REF!,Planning[[#This Row],[Proyectos]])</f>
        <v>#REF!</v>
      </c>
      <c r="K887" s="27" t="e">
        <f>Planning[[#This Row],[Horas Planificadas]]+Planning[[#This Row],[Horas ajustadas adicionales]]-Planning[[#This Row],[Horas utilizadas]]</f>
        <v>#REF!</v>
      </c>
      <c r="L887" s="7"/>
      <c r="M887" s="34" t="e">
        <f>Planning[[#This Row],[Saldo]]-Planning[[#This Row],[Saldo estimado]]</f>
        <v>#REF!</v>
      </c>
      <c r="N887" s="62" t="e">
        <f>+SUMIFS(#REF!,#REF!,Planning[[#This Row],[Proyectos]],#REF!,Planning[[#This Row],[Tipo de Tarea y especialidad]])</f>
        <v>#REF!</v>
      </c>
      <c r="O887" s="34">
        <f t="shared" si="26"/>
        <v>10</v>
      </c>
      <c r="P887" s="34">
        <f t="shared" si="27"/>
        <v>2024</v>
      </c>
      <c r="Q887" s="34" t="e">
        <f>+SUMIFS(#REF!,#REF!,Planning[[#This Row],[Tarifa]],#REF!,Planning[[#This Row],[Proyectos]],#REF!,Planning[[#This Row],[Mes]],#REF!,Planning[[#This Row],[Año]])</f>
        <v>#REF!</v>
      </c>
      <c r="R887" s="34" t="str">
        <f>TEXT(Planning[[#This Row],[Mes]]*29,"mmmm")</f>
        <v>October</v>
      </c>
      <c r="S88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87" s="228"/>
      <c r="U887" s="43" t="e">
        <f>IF(Planning[[#This Row],[Horas Planificadas]]&lt;&gt;0,+K887/Planning[[#This Row],[Horas Planificadas]],0)</f>
        <v>#REF!</v>
      </c>
      <c r="V887" s="43" t="e">
        <f>IF(Planning[[#This Row],[Horas Planificadas]]&lt;&gt;0,Planning[[#This Row],[Horas utilizadas]]/Planning[[#This Row],[Horas Planificadas]],0)</f>
        <v>#REF!</v>
      </c>
      <c r="W887" s="44">
        <f>Planning[[#This Row],[Horas Planificadas]]+Planning[[#This Row],[Horas ajustadas adicionales]]</f>
        <v>207</v>
      </c>
      <c r="X887" s="142"/>
    </row>
    <row r="888" spans="1:24" ht="12.75" customHeight="1" x14ac:dyDescent="0.2">
      <c r="A888" s="7"/>
      <c r="B888" s="7"/>
      <c r="C888" s="3"/>
      <c r="D888" s="3" t="s">
        <v>252</v>
      </c>
      <c r="E888" s="4" t="s">
        <v>30</v>
      </c>
      <c r="F888" s="3"/>
      <c r="G888" s="9"/>
      <c r="H888" s="9">
        <v>315</v>
      </c>
      <c r="I888" s="12"/>
      <c r="J888" s="5" t="e">
        <f>+SUMIFS(#REF!,#REF!,Planning[[#This Row],[Tarifa]],#REF!,Planning[[#This Row],[Proyectos]])</f>
        <v>#REF!</v>
      </c>
      <c r="K888" s="5" t="e">
        <f>Planning[[#This Row],[Horas Planificadas]]+Planning[[#This Row],[Horas ajustadas adicionales]]-Planning[[#This Row],[Horas utilizadas]]</f>
        <v>#REF!</v>
      </c>
      <c r="L888" s="7"/>
      <c r="M888" s="19" t="e">
        <f>Planning[[#This Row],[Saldo]]-Planning[[#This Row],[Saldo estimado]]</f>
        <v>#REF!</v>
      </c>
      <c r="N888" s="60" t="e">
        <f>+SUMIFS(#REF!,#REF!,Planning[[#This Row],[Proyectos]],#REF!,Planning[[#This Row],[Tipo de Tarea y especialidad]])</f>
        <v>#REF!</v>
      </c>
      <c r="O888" s="19">
        <f t="shared" si="26"/>
        <v>10</v>
      </c>
      <c r="P888" s="19">
        <f t="shared" si="27"/>
        <v>2024</v>
      </c>
      <c r="Q888" s="19" t="e">
        <f>+SUMIFS(#REF!,#REF!,Planning[[#This Row],[Tarifa]],#REF!,Planning[[#This Row],[Proyectos]],#REF!,Planning[[#This Row],[Mes]],#REF!,Planning[[#This Row],[Año]])</f>
        <v>#REF!</v>
      </c>
      <c r="R888" s="19" t="str">
        <f>TEXT(Planning[[#This Row],[Mes]]*29,"mmmm")</f>
        <v>October</v>
      </c>
      <c r="S8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88" s="228"/>
      <c r="U888" s="43" t="e">
        <f>IF(Planning[[#This Row],[Horas Planificadas]]&lt;&gt;0,+K888/Planning[[#This Row],[Horas Planificadas]],0)</f>
        <v>#REF!</v>
      </c>
      <c r="V888" s="43" t="e">
        <f>IF(Planning[[#This Row],[Horas Planificadas]]&lt;&gt;0,Planning[[#This Row],[Horas utilizadas]]/Planning[[#This Row],[Horas Planificadas]],0)</f>
        <v>#REF!</v>
      </c>
      <c r="W888" s="44">
        <f>Planning[[#This Row],[Horas Planificadas]]+Planning[[#This Row],[Horas ajustadas adicionales]]</f>
        <v>315</v>
      </c>
      <c r="X888" s="142"/>
    </row>
    <row r="889" spans="1:24" ht="12.75" customHeight="1" x14ac:dyDescent="0.2">
      <c r="A889" s="7"/>
      <c r="B889" s="7"/>
      <c r="C889" s="3"/>
      <c r="D889" s="3" t="s">
        <v>252</v>
      </c>
      <c r="E889" s="4" t="s">
        <v>31</v>
      </c>
      <c r="F889" s="3"/>
      <c r="G889" s="9"/>
      <c r="H889" s="9">
        <v>165</v>
      </c>
      <c r="I889" s="12"/>
      <c r="J889" s="5" t="e">
        <f>+SUMIFS(#REF!,#REF!,Planning[[#This Row],[Tarifa]],#REF!,Planning[[#This Row],[Proyectos]])</f>
        <v>#REF!</v>
      </c>
      <c r="K889" s="5" t="e">
        <f>Planning[[#This Row],[Horas Planificadas]]+Planning[[#This Row],[Horas ajustadas adicionales]]-Planning[[#This Row],[Horas utilizadas]]</f>
        <v>#REF!</v>
      </c>
      <c r="L889" s="7"/>
      <c r="M889" s="19" t="e">
        <f>Planning[[#This Row],[Saldo]]-Planning[[#This Row],[Saldo estimado]]</f>
        <v>#REF!</v>
      </c>
      <c r="N889" s="60" t="e">
        <f>+SUMIFS(#REF!,#REF!,Planning[[#This Row],[Proyectos]],#REF!,Planning[[#This Row],[Tipo de Tarea y especialidad]])</f>
        <v>#REF!</v>
      </c>
      <c r="O889" s="19">
        <f t="shared" si="26"/>
        <v>10</v>
      </c>
      <c r="P889" s="19">
        <f t="shared" si="27"/>
        <v>2024</v>
      </c>
      <c r="Q889" s="19" t="e">
        <f>+SUMIFS(#REF!,#REF!,Planning[[#This Row],[Tarifa]],#REF!,Planning[[#This Row],[Proyectos]],#REF!,Planning[[#This Row],[Mes]],#REF!,Planning[[#This Row],[Año]])</f>
        <v>#REF!</v>
      </c>
      <c r="R889" s="19" t="str">
        <f>TEXT(Planning[[#This Row],[Mes]]*29,"mmmm")</f>
        <v>October</v>
      </c>
      <c r="S8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89" s="228"/>
      <c r="U889" s="43" t="e">
        <f>IF(Planning[[#This Row],[Horas Planificadas]]&lt;&gt;0,+K889/Planning[[#This Row],[Horas Planificadas]],0)</f>
        <v>#REF!</v>
      </c>
      <c r="V889" s="43" t="e">
        <f>IF(Planning[[#This Row],[Horas Planificadas]]&lt;&gt;0,Planning[[#This Row],[Horas utilizadas]]/Planning[[#This Row],[Horas Planificadas]],0)</f>
        <v>#REF!</v>
      </c>
      <c r="W889" s="44">
        <f>Planning[[#This Row],[Horas Planificadas]]+Planning[[#This Row],[Horas ajustadas adicionales]]</f>
        <v>165</v>
      </c>
      <c r="X889" s="142"/>
    </row>
    <row r="890" spans="1:24" ht="12.75" customHeight="1" x14ac:dyDescent="0.2">
      <c r="A890" s="7"/>
      <c r="B890" s="7"/>
      <c r="C890" s="3"/>
      <c r="D890" s="3" t="s">
        <v>252</v>
      </c>
      <c r="E890" s="4" t="s">
        <v>32</v>
      </c>
      <c r="F890" s="3"/>
      <c r="G890" s="9"/>
      <c r="H890" s="12">
        <v>250</v>
      </c>
      <c r="I890" s="12"/>
      <c r="J890" s="5" t="e">
        <f>+SUMIFS(#REF!,#REF!,Planning[[#This Row],[Tarifa]],#REF!,Planning[[#This Row],[Proyectos]])</f>
        <v>#REF!</v>
      </c>
      <c r="K890" s="27" t="e">
        <f>Planning[[#This Row],[Horas Planificadas]]+Planning[[#This Row],[Horas ajustadas adicionales]]-Planning[[#This Row],[Horas utilizadas]]</f>
        <v>#REF!</v>
      </c>
      <c r="L890" s="7"/>
      <c r="M890" s="19" t="e">
        <f>Planning[[#This Row],[Saldo]]-Planning[[#This Row],[Saldo estimado]]</f>
        <v>#REF!</v>
      </c>
      <c r="N890" s="60" t="e">
        <f>+SUMIFS(#REF!,#REF!,Planning[[#This Row],[Proyectos]],#REF!,Planning[[#This Row],[Tipo de Tarea y especialidad]])</f>
        <v>#REF!</v>
      </c>
      <c r="O890" s="19">
        <f t="shared" si="26"/>
        <v>10</v>
      </c>
      <c r="P890" s="19">
        <f t="shared" si="27"/>
        <v>2024</v>
      </c>
      <c r="Q890" s="19" t="e">
        <f>+SUMIFS(#REF!,#REF!,Planning[[#This Row],[Tarifa]],#REF!,Planning[[#This Row],[Proyectos]],#REF!,Planning[[#This Row],[Mes]],#REF!,Planning[[#This Row],[Año]])</f>
        <v>#REF!</v>
      </c>
      <c r="R890" s="19" t="str">
        <f>TEXT(Planning[[#This Row],[Mes]]*29,"mmmm")</f>
        <v>October</v>
      </c>
      <c r="S8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90" s="228"/>
      <c r="U890" s="43" t="e">
        <f>IF(Planning[[#This Row],[Horas Planificadas]]&lt;&gt;0,+K890/Planning[[#This Row],[Horas Planificadas]],0)</f>
        <v>#REF!</v>
      </c>
      <c r="V890" s="43" t="e">
        <f>IF(Planning[[#This Row],[Horas Planificadas]]&lt;&gt;0,Planning[[#This Row],[Horas utilizadas]]/Planning[[#This Row],[Horas Planificadas]],0)</f>
        <v>#REF!</v>
      </c>
      <c r="W890" s="44">
        <f>Planning[[#This Row],[Horas Planificadas]]+Planning[[#This Row],[Horas ajustadas adicionales]]</f>
        <v>250</v>
      </c>
      <c r="X890" s="142"/>
    </row>
    <row r="891" spans="1:24" ht="12.75" customHeight="1" x14ac:dyDescent="0.2">
      <c r="A891" s="7"/>
      <c r="B891" s="7"/>
      <c r="C891" s="3"/>
      <c r="D891" s="3" t="s">
        <v>253</v>
      </c>
      <c r="E891" s="4" t="s">
        <v>28</v>
      </c>
      <c r="F891" s="3"/>
      <c r="G891" s="9"/>
      <c r="H891" s="9">
        <v>0</v>
      </c>
      <c r="I891" s="12"/>
      <c r="J891" s="5" t="e">
        <f>+SUMIFS(#REF!,#REF!,Planning[[#This Row],[Tarifa]],#REF!,Planning[[#This Row],[Proyectos]])</f>
        <v>#REF!</v>
      </c>
      <c r="K891" s="5" t="e">
        <f>Planning[[#This Row],[Horas Planificadas]]+Planning[[#This Row],[Horas ajustadas adicionales]]-Planning[[#This Row],[Horas utilizadas]]</f>
        <v>#REF!</v>
      </c>
      <c r="L891" s="7"/>
      <c r="M891" s="19" t="e">
        <f>Planning[[#This Row],[Saldo]]-Planning[[#This Row],[Saldo estimado]]</f>
        <v>#REF!</v>
      </c>
      <c r="N891" s="60" t="e">
        <f>+SUMIFS(#REF!,#REF!,Planning[[#This Row],[Proyectos]],#REF!,Planning[[#This Row],[Tipo de Tarea y especialidad]])</f>
        <v>#REF!</v>
      </c>
      <c r="O891" s="19">
        <f t="shared" si="26"/>
        <v>10</v>
      </c>
      <c r="P891" s="19">
        <f t="shared" si="27"/>
        <v>2024</v>
      </c>
      <c r="Q891" s="19" t="e">
        <f>+SUMIFS(#REF!,#REF!,Planning[[#This Row],[Tarifa]],#REF!,Planning[[#This Row],[Proyectos]],#REF!,Planning[[#This Row],[Mes]],#REF!,Planning[[#This Row],[Año]])</f>
        <v>#REF!</v>
      </c>
      <c r="R891" s="19" t="str">
        <f>TEXT(Planning[[#This Row],[Mes]]*29,"mmmm")</f>
        <v>October</v>
      </c>
      <c r="S8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91" s="228"/>
      <c r="U891" s="43">
        <f>IF(Planning[[#This Row],[Horas Planificadas]]&lt;&gt;0,+K891/Planning[[#This Row],[Horas Planificadas]],0)</f>
        <v>0</v>
      </c>
      <c r="V891" s="43">
        <f>IF(Planning[[#This Row],[Horas Planificadas]]&lt;&gt;0,Planning[[#This Row],[Horas utilizadas]]/Planning[[#This Row],[Horas Planificadas]],0)</f>
        <v>0</v>
      </c>
      <c r="W891" s="44">
        <f>Planning[[#This Row],[Horas Planificadas]]+Planning[[#This Row],[Horas ajustadas adicionales]]</f>
        <v>0</v>
      </c>
      <c r="X891" s="142"/>
    </row>
    <row r="892" spans="1:24" ht="12.75" customHeight="1" x14ac:dyDescent="0.2">
      <c r="A892" s="7"/>
      <c r="B892" s="7"/>
      <c r="C892" s="3"/>
      <c r="D892" s="3" t="s">
        <v>253</v>
      </c>
      <c r="E892" s="4" t="s">
        <v>30</v>
      </c>
      <c r="F892" s="3"/>
      <c r="G892" s="9"/>
      <c r="H892" s="9">
        <v>45</v>
      </c>
      <c r="I892" s="12"/>
      <c r="J892" s="5" t="e">
        <f>+SUMIFS(#REF!,#REF!,Planning[[#This Row],[Tarifa]],#REF!,Planning[[#This Row],[Proyectos]])</f>
        <v>#REF!</v>
      </c>
      <c r="K892" s="5" t="e">
        <f>Planning[[#This Row],[Horas Planificadas]]+Planning[[#This Row],[Horas ajustadas adicionales]]-Planning[[#This Row],[Horas utilizadas]]</f>
        <v>#REF!</v>
      </c>
      <c r="L892" s="7"/>
      <c r="M892" s="19" t="e">
        <f>Planning[[#This Row],[Saldo]]-Planning[[#This Row],[Saldo estimado]]</f>
        <v>#REF!</v>
      </c>
      <c r="N892" s="60" t="e">
        <f>+SUMIFS(#REF!,#REF!,Planning[[#This Row],[Proyectos]],#REF!,Planning[[#This Row],[Tipo de Tarea y especialidad]])</f>
        <v>#REF!</v>
      </c>
      <c r="O892" s="19">
        <f t="shared" si="26"/>
        <v>10</v>
      </c>
      <c r="P892" s="19">
        <f t="shared" si="27"/>
        <v>2024</v>
      </c>
      <c r="Q892" s="19" t="e">
        <f>+SUMIFS(#REF!,#REF!,Planning[[#This Row],[Tarifa]],#REF!,Planning[[#This Row],[Proyectos]],#REF!,Planning[[#This Row],[Mes]],#REF!,Planning[[#This Row],[Año]])</f>
        <v>#REF!</v>
      </c>
      <c r="R892" s="19" t="str">
        <f>TEXT(Planning[[#This Row],[Mes]]*29,"mmmm")</f>
        <v>October</v>
      </c>
      <c r="S8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92" s="228"/>
      <c r="U892" s="43" t="e">
        <f>IF(Planning[[#This Row],[Horas Planificadas]]&lt;&gt;0,+K892/Planning[[#This Row],[Horas Planificadas]],0)</f>
        <v>#REF!</v>
      </c>
      <c r="V892" s="43" t="e">
        <f>IF(Planning[[#This Row],[Horas Planificadas]]&lt;&gt;0,Planning[[#This Row],[Horas utilizadas]]/Planning[[#This Row],[Horas Planificadas]],0)</f>
        <v>#REF!</v>
      </c>
      <c r="W892" s="44">
        <f>Planning[[#This Row],[Horas Planificadas]]+Planning[[#This Row],[Horas ajustadas adicionales]]</f>
        <v>45</v>
      </c>
      <c r="X892" s="142"/>
    </row>
    <row r="893" spans="1:24" ht="12.75" customHeight="1" x14ac:dyDescent="0.2">
      <c r="A893" s="7"/>
      <c r="B893" s="7"/>
      <c r="C893" s="3"/>
      <c r="D893" s="3" t="s">
        <v>253</v>
      </c>
      <c r="E893" s="4" t="s">
        <v>31</v>
      </c>
      <c r="F893" s="3"/>
      <c r="G893" s="9"/>
      <c r="H893" s="9">
        <v>18</v>
      </c>
      <c r="I893" s="12"/>
      <c r="J893" s="5" t="e">
        <f>+SUMIFS(#REF!,#REF!,Planning[[#This Row],[Tarifa]],#REF!,Planning[[#This Row],[Proyectos]])</f>
        <v>#REF!</v>
      </c>
      <c r="K893" s="5" t="e">
        <f>Planning[[#This Row],[Horas Planificadas]]+Planning[[#This Row],[Horas ajustadas adicionales]]-Planning[[#This Row],[Horas utilizadas]]</f>
        <v>#REF!</v>
      </c>
      <c r="L893" s="7"/>
      <c r="M893" s="19" t="e">
        <f>Planning[[#This Row],[Saldo]]-Planning[[#This Row],[Saldo estimado]]</f>
        <v>#REF!</v>
      </c>
      <c r="N893" s="60" t="e">
        <f>+SUMIFS(#REF!,#REF!,Planning[[#This Row],[Proyectos]],#REF!,Planning[[#This Row],[Tipo de Tarea y especialidad]])</f>
        <v>#REF!</v>
      </c>
      <c r="O893" s="19">
        <f t="shared" si="26"/>
        <v>10</v>
      </c>
      <c r="P893" s="19">
        <f t="shared" si="27"/>
        <v>2024</v>
      </c>
      <c r="Q893" s="19" t="e">
        <f>+SUMIFS(#REF!,#REF!,Planning[[#This Row],[Tarifa]],#REF!,Planning[[#This Row],[Proyectos]],#REF!,Planning[[#This Row],[Mes]],#REF!,Planning[[#This Row],[Año]])</f>
        <v>#REF!</v>
      </c>
      <c r="R893" s="19" t="str">
        <f>TEXT(Planning[[#This Row],[Mes]]*29,"mmmm")</f>
        <v>October</v>
      </c>
      <c r="S8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93" s="228"/>
      <c r="U893" s="43" t="e">
        <f>IF(Planning[[#This Row],[Horas Planificadas]]&lt;&gt;0,+K893/Planning[[#This Row],[Horas Planificadas]],0)</f>
        <v>#REF!</v>
      </c>
      <c r="V893" s="43" t="e">
        <f>IF(Planning[[#This Row],[Horas Planificadas]]&lt;&gt;0,Planning[[#This Row],[Horas utilizadas]]/Planning[[#This Row],[Horas Planificadas]],0)</f>
        <v>#REF!</v>
      </c>
      <c r="W893" s="44">
        <f>Planning[[#This Row],[Horas Planificadas]]+Planning[[#This Row],[Horas ajustadas adicionales]]</f>
        <v>18</v>
      </c>
      <c r="X893" s="142"/>
    </row>
    <row r="894" spans="1:24" ht="12.75" customHeight="1" x14ac:dyDescent="0.2">
      <c r="A894" s="7"/>
      <c r="B894" s="7"/>
      <c r="C894" s="3"/>
      <c r="D894" s="3" t="s">
        <v>253</v>
      </c>
      <c r="E894" s="4" t="s">
        <v>32</v>
      </c>
      <c r="F894" s="3"/>
      <c r="G894" s="9"/>
      <c r="H894" s="9">
        <v>27</v>
      </c>
      <c r="I894" s="12"/>
      <c r="J894" s="5" t="e">
        <f>+SUMIFS(#REF!,#REF!,Planning[[#This Row],[Tarifa]],#REF!,Planning[[#This Row],[Proyectos]])</f>
        <v>#REF!</v>
      </c>
      <c r="K894" s="5" t="e">
        <f>Planning[[#This Row],[Horas Planificadas]]+Planning[[#This Row],[Horas ajustadas adicionales]]-Planning[[#This Row],[Horas utilizadas]]</f>
        <v>#REF!</v>
      </c>
      <c r="L894" s="7"/>
      <c r="M894" s="19" t="e">
        <f>Planning[[#This Row],[Saldo]]-Planning[[#This Row],[Saldo estimado]]</f>
        <v>#REF!</v>
      </c>
      <c r="N894" s="60" t="e">
        <f>+SUMIFS(#REF!,#REF!,Planning[[#This Row],[Proyectos]],#REF!,Planning[[#This Row],[Tipo de Tarea y especialidad]])</f>
        <v>#REF!</v>
      </c>
      <c r="O894" s="19">
        <f t="shared" si="26"/>
        <v>10</v>
      </c>
      <c r="P894" s="19">
        <f t="shared" si="27"/>
        <v>2024</v>
      </c>
      <c r="Q894" s="19" t="e">
        <f>+SUMIFS(#REF!,#REF!,Planning[[#This Row],[Tarifa]],#REF!,Planning[[#This Row],[Proyectos]],#REF!,Planning[[#This Row],[Mes]],#REF!,Planning[[#This Row],[Año]])</f>
        <v>#REF!</v>
      </c>
      <c r="R894" s="19" t="str">
        <f>TEXT(Planning[[#This Row],[Mes]]*29,"mmmm")</f>
        <v>October</v>
      </c>
      <c r="S8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94" s="228"/>
      <c r="U894" s="43" t="e">
        <f>IF(Planning[[#This Row],[Horas Planificadas]]&lt;&gt;0,+K894/Planning[[#This Row],[Horas Planificadas]],0)</f>
        <v>#REF!</v>
      </c>
      <c r="V894" s="43" t="e">
        <f>IF(Planning[[#This Row],[Horas Planificadas]]&lt;&gt;0,Planning[[#This Row],[Horas utilizadas]]/Planning[[#This Row],[Horas Planificadas]],0)</f>
        <v>#REF!</v>
      </c>
      <c r="W894" s="44">
        <f>Planning[[#This Row],[Horas Planificadas]]+Planning[[#This Row],[Horas ajustadas adicionales]]</f>
        <v>27</v>
      </c>
      <c r="X894" s="142"/>
    </row>
    <row r="895" spans="1:24" ht="12.75" customHeight="1" x14ac:dyDescent="0.2">
      <c r="A895" s="7"/>
      <c r="B895" s="7"/>
      <c r="C895" s="3"/>
      <c r="D895" s="3" t="s">
        <v>254</v>
      </c>
      <c r="E895" s="4" t="s">
        <v>28</v>
      </c>
      <c r="F895" s="3"/>
      <c r="G895" s="9"/>
      <c r="H895" s="9">
        <v>346</v>
      </c>
      <c r="I895" s="12"/>
      <c r="J895" s="5" t="e">
        <f>+SUMIFS(#REF!,#REF!,Planning[[#This Row],[Tarifa]],#REF!,Planning[[#This Row],[Proyectos]])</f>
        <v>#REF!</v>
      </c>
      <c r="K895" s="5" t="e">
        <f>Planning[[#This Row],[Horas Planificadas]]+Planning[[#This Row],[Horas ajustadas adicionales]]-Planning[[#This Row],[Horas utilizadas]]</f>
        <v>#REF!</v>
      </c>
      <c r="L895" s="7"/>
      <c r="M895" s="19" t="e">
        <f>Planning[[#This Row],[Saldo]]-Planning[[#This Row],[Saldo estimado]]</f>
        <v>#REF!</v>
      </c>
      <c r="N895" s="60" t="e">
        <f>+SUMIFS(#REF!,#REF!,Planning[[#This Row],[Proyectos]],#REF!,Planning[[#This Row],[Tipo de Tarea y especialidad]])</f>
        <v>#REF!</v>
      </c>
      <c r="O895" s="19">
        <f t="shared" si="26"/>
        <v>10</v>
      </c>
      <c r="P895" s="19">
        <f t="shared" si="27"/>
        <v>2024</v>
      </c>
      <c r="Q895" s="19" t="e">
        <f>+SUMIFS(#REF!,#REF!,Planning[[#This Row],[Tarifa]],#REF!,Planning[[#This Row],[Proyectos]],#REF!,Planning[[#This Row],[Mes]],#REF!,Planning[[#This Row],[Año]])</f>
        <v>#REF!</v>
      </c>
      <c r="R895" s="19" t="str">
        <f>TEXT(Planning[[#This Row],[Mes]]*29,"mmmm")</f>
        <v>October</v>
      </c>
      <c r="S8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95" s="228"/>
      <c r="U895" s="43" t="e">
        <f>IF(Planning[[#This Row],[Horas Planificadas]]&lt;&gt;0,+K895/Planning[[#This Row],[Horas Planificadas]],0)</f>
        <v>#REF!</v>
      </c>
      <c r="V895" s="43" t="e">
        <f>IF(Planning[[#This Row],[Horas Planificadas]]&lt;&gt;0,Planning[[#This Row],[Horas utilizadas]]/Planning[[#This Row],[Horas Planificadas]],0)</f>
        <v>#REF!</v>
      </c>
      <c r="W895" s="44">
        <f>Planning[[#This Row],[Horas Planificadas]]+Planning[[#This Row],[Horas ajustadas adicionales]]</f>
        <v>346</v>
      </c>
      <c r="X895" s="142"/>
    </row>
    <row r="896" spans="1:24" ht="12.75" customHeight="1" x14ac:dyDescent="0.2">
      <c r="A896" s="7"/>
      <c r="B896" s="7"/>
      <c r="C896" s="3"/>
      <c r="D896" s="3" t="s">
        <v>254</v>
      </c>
      <c r="E896" s="4" t="s">
        <v>30</v>
      </c>
      <c r="F896" s="3"/>
      <c r="G896" s="9"/>
      <c r="H896" s="9">
        <v>263</v>
      </c>
      <c r="I896" s="12"/>
      <c r="J896" s="5" t="e">
        <f>+SUMIFS(#REF!,#REF!,Planning[[#This Row],[Tarifa]],#REF!,Planning[[#This Row],[Proyectos]])</f>
        <v>#REF!</v>
      </c>
      <c r="K896" s="5" t="e">
        <f>Planning[[#This Row],[Horas Planificadas]]+Planning[[#This Row],[Horas ajustadas adicionales]]-Planning[[#This Row],[Horas utilizadas]]</f>
        <v>#REF!</v>
      </c>
      <c r="L896" s="7"/>
      <c r="M896" s="19" t="e">
        <f>Planning[[#This Row],[Saldo]]-Planning[[#This Row],[Saldo estimado]]</f>
        <v>#REF!</v>
      </c>
      <c r="N896" s="60" t="e">
        <f>+SUMIFS(#REF!,#REF!,Planning[[#This Row],[Proyectos]],#REF!,Planning[[#This Row],[Tipo de Tarea y especialidad]])</f>
        <v>#REF!</v>
      </c>
      <c r="O896" s="19">
        <f t="shared" si="26"/>
        <v>10</v>
      </c>
      <c r="P896" s="19">
        <f t="shared" si="27"/>
        <v>2024</v>
      </c>
      <c r="Q896" s="19" t="e">
        <f>+SUMIFS(#REF!,#REF!,Planning[[#This Row],[Tarifa]],#REF!,Planning[[#This Row],[Proyectos]],#REF!,Planning[[#This Row],[Mes]],#REF!,Planning[[#This Row],[Año]])</f>
        <v>#REF!</v>
      </c>
      <c r="R896" s="19" t="str">
        <f>TEXT(Planning[[#This Row],[Mes]]*29,"mmmm")</f>
        <v>October</v>
      </c>
      <c r="S8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96" s="228"/>
      <c r="U896" s="43" t="e">
        <f>IF(Planning[[#This Row],[Horas Planificadas]]&lt;&gt;0,+K896/Planning[[#This Row],[Horas Planificadas]],0)</f>
        <v>#REF!</v>
      </c>
      <c r="V896" s="43" t="e">
        <f>IF(Planning[[#This Row],[Horas Planificadas]]&lt;&gt;0,Planning[[#This Row],[Horas utilizadas]]/Planning[[#This Row],[Horas Planificadas]],0)</f>
        <v>#REF!</v>
      </c>
      <c r="W896" s="44">
        <f>Planning[[#This Row],[Horas Planificadas]]+Planning[[#This Row],[Horas ajustadas adicionales]]</f>
        <v>263</v>
      </c>
      <c r="X896" s="142"/>
    </row>
    <row r="897" spans="1:24" ht="12.75" customHeight="1" x14ac:dyDescent="0.2">
      <c r="A897" s="7"/>
      <c r="B897" s="7"/>
      <c r="C897" s="3"/>
      <c r="D897" s="3" t="s">
        <v>254</v>
      </c>
      <c r="E897" s="4" t="s">
        <v>31</v>
      </c>
      <c r="F897" s="3"/>
      <c r="G897" s="9"/>
      <c r="H897" s="9">
        <v>45</v>
      </c>
      <c r="I897" s="12"/>
      <c r="J897" s="5" t="e">
        <f>+SUMIFS(#REF!,#REF!,Planning[[#This Row],[Tarifa]],#REF!,Planning[[#This Row],[Proyectos]])</f>
        <v>#REF!</v>
      </c>
      <c r="K897" s="5" t="e">
        <f>Planning[[#This Row],[Horas Planificadas]]+Planning[[#This Row],[Horas ajustadas adicionales]]-Planning[[#This Row],[Horas utilizadas]]</f>
        <v>#REF!</v>
      </c>
      <c r="L897" s="7"/>
      <c r="M897" s="19" t="e">
        <f>Planning[[#This Row],[Saldo]]-Planning[[#This Row],[Saldo estimado]]</f>
        <v>#REF!</v>
      </c>
      <c r="N897" s="60" t="e">
        <f>+SUMIFS(#REF!,#REF!,Planning[[#This Row],[Proyectos]],#REF!,Planning[[#This Row],[Tipo de Tarea y especialidad]])</f>
        <v>#REF!</v>
      </c>
      <c r="O897" s="19">
        <f t="shared" si="26"/>
        <v>10</v>
      </c>
      <c r="P897" s="19">
        <f t="shared" si="27"/>
        <v>2024</v>
      </c>
      <c r="Q897" s="19" t="e">
        <f>+SUMIFS(#REF!,#REF!,Planning[[#This Row],[Tarifa]],#REF!,Planning[[#This Row],[Proyectos]],#REF!,Planning[[#This Row],[Mes]],#REF!,Planning[[#This Row],[Año]])</f>
        <v>#REF!</v>
      </c>
      <c r="R897" s="19" t="str">
        <f>TEXT(Planning[[#This Row],[Mes]]*29,"mmmm")</f>
        <v>October</v>
      </c>
      <c r="S8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97" s="228"/>
      <c r="U897" s="43" t="e">
        <f>IF(Planning[[#This Row],[Horas Planificadas]]&lt;&gt;0,+K897/Planning[[#This Row],[Horas Planificadas]],0)</f>
        <v>#REF!</v>
      </c>
      <c r="V897" s="43" t="e">
        <f>IF(Planning[[#This Row],[Horas Planificadas]]&lt;&gt;0,Planning[[#This Row],[Horas utilizadas]]/Planning[[#This Row],[Horas Planificadas]],0)</f>
        <v>#REF!</v>
      </c>
      <c r="W897" s="44">
        <f>Planning[[#This Row],[Horas Planificadas]]+Planning[[#This Row],[Horas ajustadas adicionales]]</f>
        <v>45</v>
      </c>
      <c r="X897" s="142"/>
    </row>
    <row r="898" spans="1:24" ht="12.75" customHeight="1" x14ac:dyDescent="0.2">
      <c r="A898" s="7"/>
      <c r="B898" s="7"/>
      <c r="C898" s="3"/>
      <c r="D898" s="3" t="s">
        <v>254</v>
      </c>
      <c r="E898" s="4" t="s">
        <v>32</v>
      </c>
      <c r="F898" s="3"/>
      <c r="G898" s="9"/>
      <c r="H898" s="9">
        <v>0</v>
      </c>
      <c r="I898" s="12"/>
      <c r="J898" s="5" t="e">
        <f>+SUMIFS(#REF!,#REF!,Planning[[#This Row],[Tarifa]],#REF!,Planning[[#This Row],[Proyectos]])</f>
        <v>#REF!</v>
      </c>
      <c r="K898" s="5" t="e">
        <f>Planning[[#This Row],[Horas Planificadas]]+Planning[[#This Row],[Horas ajustadas adicionales]]-Planning[[#This Row],[Horas utilizadas]]</f>
        <v>#REF!</v>
      </c>
      <c r="L898" s="7"/>
      <c r="M898" s="19" t="e">
        <f>Planning[[#This Row],[Saldo]]-Planning[[#This Row],[Saldo estimado]]</f>
        <v>#REF!</v>
      </c>
      <c r="N898" s="60" t="e">
        <f>+SUMIFS(#REF!,#REF!,Planning[[#This Row],[Proyectos]],#REF!,Planning[[#This Row],[Tipo de Tarea y especialidad]])</f>
        <v>#REF!</v>
      </c>
      <c r="O898" s="19">
        <f t="shared" si="26"/>
        <v>10</v>
      </c>
      <c r="P898" s="19">
        <f t="shared" si="27"/>
        <v>2024</v>
      </c>
      <c r="Q898" s="19" t="e">
        <f>+SUMIFS(#REF!,#REF!,Planning[[#This Row],[Tarifa]],#REF!,Planning[[#This Row],[Proyectos]],#REF!,Planning[[#This Row],[Mes]],#REF!,Planning[[#This Row],[Año]])</f>
        <v>#REF!</v>
      </c>
      <c r="R898" s="19" t="str">
        <f>TEXT(Planning[[#This Row],[Mes]]*29,"mmmm")</f>
        <v>October</v>
      </c>
      <c r="S8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98" s="228"/>
      <c r="U898" s="43">
        <f>IF(Planning[[#This Row],[Horas Planificadas]]&lt;&gt;0,+K898/Planning[[#This Row],[Horas Planificadas]],0)</f>
        <v>0</v>
      </c>
      <c r="V898" s="43">
        <f>IF(Planning[[#This Row],[Horas Planificadas]]&lt;&gt;0,Planning[[#This Row],[Horas utilizadas]]/Planning[[#This Row],[Horas Planificadas]],0)</f>
        <v>0</v>
      </c>
      <c r="W898" s="44">
        <f>Planning[[#This Row],[Horas Planificadas]]+Planning[[#This Row],[Horas ajustadas adicionales]]</f>
        <v>0</v>
      </c>
      <c r="X898" s="142"/>
    </row>
    <row r="899" spans="1:24" ht="12.75" customHeight="1" x14ac:dyDescent="0.2">
      <c r="A899" s="7"/>
      <c r="B899" s="7"/>
      <c r="C899" s="3"/>
      <c r="D899" s="3" t="s">
        <v>255</v>
      </c>
      <c r="E899" s="4" t="s">
        <v>28</v>
      </c>
      <c r="F899" s="3"/>
      <c r="G899" s="9"/>
      <c r="H899" s="12">
        <v>240</v>
      </c>
      <c r="I899" s="12"/>
      <c r="J899" s="5" t="e">
        <f>+SUMIFS(#REF!,#REF!,Planning[[#This Row],[Tarifa]],#REF!,Planning[[#This Row],[Proyectos]])</f>
        <v>#REF!</v>
      </c>
      <c r="K899" s="27" t="e">
        <f>Planning[[#This Row],[Horas Planificadas]]+Planning[[#This Row],[Horas ajustadas adicionales]]-Planning[[#This Row],[Horas utilizadas]]</f>
        <v>#REF!</v>
      </c>
      <c r="L899" s="7"/>
      <c r="M899" s="19" t="e">
        <f>Planning[[#This Row],[Saldo]]-Planning[[#This Row],[Saldo estimado]]</f>
        <v>#REF!</v>
      </c>
      <c r="N899" s="60" t="e">
        <f>+SUMIFS(#REF!,#REF!,Planning[[#This Row],[Proyectos]],#REF!,Planning[[#This Row],[Tipo de Tarea y especialidad]])</f>
        <v>#REF!</v>
      </c>
      <c r="O899" s="19">
        <f t="shared" si="26"/>
        <v>10</v>
      </c>
      <c r="P899" s="19">
        <f t="shared" si="27"/>
        <v>2024</v>
      </c>
      <c r="Q899" s="19" t="e">
        <f>+SUMIFS(#REF!,#REF!,Planning[[#This Row],[Tarifa]],#REF!,Planning[[#This Row],[Proyectos]],#REF!,Planning[[#This Row],[Mes]],#REF!,Planning[[#This Row],[Año]])</f>
        <v>#REF!</v>
      </c>
      <c r="R899" s="19" t="str">
        <f>TEXT(Planning[[#This Row],[Mes]]*29,"mmmm")</f>
        <v>October</v>
      </c>
      <c r="S8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899" s="228"/>
      <c r="U899" s="43" t="e">
        <f>IF(Planning[[#This Row],[Horas Planificadas]]&lt;&gt;0,+K899/Planning[[#This Row],[Horas Planificadas]],0)</f>
        <v>#REF!</v>
      </c>
      <c r="V899" s="43" t="e">
        <f>IF(Planning[[#This Row],[Horas Planificadas]]&lt;&gt;0,Planning[[#This Row],[Horas utilizadas]]/Planning[[#This Row],[Horas Planificadas]],0)</f>
        <v>#REF!</v>
      </c>
      <c r="W899" s="44">
        <f>Planning[[#This Row],[Horas Planificadas]]+Planning[[#This Row],[Horas ajustadas adicionales]]</f>
        <v>240</v>
      </c>
      <c r="X899" s="142"/>
    </row>
    <row r="900" spans="1:24" ht="12.75" customHeight="1" x14ac:dyDescent="0.2">
      <c r="A900" s="7"/>
      <c r="B900" s="7"/>
      <c r="C900" s="3"/>
      <c r="D900" s="3" t="s">
        <v>255</v>
      </c>
      <c r="E900" s="4" t="s">
        <v>30</v>
      </c>
      <c r="F900" s="3"/>
      <c r="G900" s="9"/>
      <c r="H900" s="9">
        <v>320</v>
      </c>
      <c r="I900" s="12"/>
      <c r="J900" s="5" t="e">
        <f>+SUMIFS(#REF!,#REF!,Planning[[#This Row],[Tarifa]],#REF!,Planning[[#This Row],[Proyectos]])</f>
        <v>#REF!</v>
      </c>
      <c r="K900" s="5" t="e">
        <f>Planning[[#This Row],[Horas Planificadas]]+Planning[[#This Row],[Horas ajustadas adicionales]]-Planning[[#This Row],[Horas utilizadas]]</f>
        <v>#REF!</v>
      </c>
      <c r="L900" s="7"/>
      <c r="M900" s="19" t="e">
        <f>Planning[[#This Row],[Saldo]]-Planning[[#This Row],[Saldo estimado]]</f>
        <v>#REF!</v>
      </c>
      <c r="N900" s="60" t="e">
        <f>+SUMIFS(#REF!,#REF!,Planning[[#This Row],[Proyectos]],#REF!,Planning[[#This Row],[Tipo de Tarea y especialidad]])</f>
        <v>#REF!</v>
      </c>
      <c r="O900" s="19">
        <f t="shared" si="26"/>
        <v>10</v>
      </c>
      <c r="P900" s="19">
        <f t="shared" si="27"/>
        <v>2024</v>
      </c>
      <c r="Q900" s="19" t="e">
        <f>+SUMIFS(#REF!,#REF!,Planning[[#This Row],[Tarifa]],#REF!,Planning[[#This Row],[Proyectos]],#REF!,Planning[[#This Row],[Mes]],#REF!,Planning[[#This Row],[Año]])</f>
        <v>#REF!</v>
      </c>
      <c r="R900" s="19" t="str">
        <f>TEXT(Planning[[#This Row],[Mes]]*29,"mmmm")</f>
        <v>October</v>
      </c>
      <c r="S9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00" s="228"/>
      <c r="U900" s="43" t="e">
        <f>IF(Planning[[#This Row],[Horas Planificadas]]&lt;&gt;0,+K900/Planning[[#This Row],[Horas Planificadas]],0)</f>
        <v>#REF!</v>
      </c>
      <c r="V900" s="43" t="e">
        <f>IF(Planning[[#This Row],[Horas Planificadas]]&lt;&gt;0,Planning[[#This Row],[Horas utilizadas]]/Planning[[#This Row],[Horas Planificadas]],0)</f>
        <v>#REF!</v>
      </c>
      <c r="W900" s="44">
        <f>Planning[[#This Row],[Horas Planificadas]]+Planning[[#This Row],[Horas ajustadas adicionales]]</f>
        <v>320</v>
      </c>
      <c r="X900" s="142"/>
    </row>
    <row r="901" spans="1:24" ht="12.75" customHeight="1" x14ac:dyDescent="0.2">
      <c r="A901" s="7"/>
      <c r="B901" s="7"/>
      <c r="C901" s="3"/>
      <c r="D901" s="3" t="s">
        <v>255</v>
      </c>
      <c r="E901" s="4" t="s">
        <v>31</v>
      </c>
      <c r="F901" s="3"/>
      <c r="G901" s="9"/>
      <c r="H901" s="9">
        <v>152</v>
      </c>
      <c r="I901" s="12"/>
      <c r="J901" s="5" t="e">
        <f>+SUMIFS(#REF!,#REF!,Planning[[#This Row],[Tarifa]],#REF!,Planning[[#This Row],[Proyectos]])</f>
        <v>#REF!</v>
      </c>
      <c r="K901" s="5" t="e">
        <f>Planning[[#This Row],[Horas Planificadas]]+Planning[[#This Row],[Horas ajustadas adicionales]]-Planning[[#This Row],[Horas utilizadas]]</f>
        <v>#REF!</v>
      </c>
      <c r="L901" s="7"/>
      <c r="M901" s="19" t="e">
        <f>Planning[[#This Row],[Saldo]]-Planning[[#This Row],[Saldo estimado]]</f>
        <v>#REF!</v>
      </c>
      <c r="N901" s="60" t="e">
        <f>+SUMIFS(#REF!,#REF!,Planning[[#This Row],[Proyectos]],#REF!,Planning[[#This Row],[Tipo de Tarea y especialidad]])</f>
        <v>#REF!</v>
      </c>
      <c r="O901" s="19">
        <f t="shared" si="26"/>
        <v>10</v>
      </c>
      <c r="P901" s="19">
        <f t="shared" si="27"/>
        <v>2024</v>
      </c>
      <c r="Q901" s="19" t="e">
        <f>+SUMIFS(#REF!,#REF!,Planning[[#This Row],[Tarifa]],#REF!,Planning[[#This Row],[Proyectos]],#REF!,Planning[[#This Row],[Mes]],#REF!,Planning[[#This Row],[Año]])</f>
        <v>#REF!</v>
      </c>
      <c r="R901" s="19" t="str">
        <f>TEXT(Planning[[#This Row],[Mes]]*29,"mmmm")</f>
        <v>October</v>
      </c>
      <c r="S9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01" s="228"/>
      <c r="U901" s="43" t="e">
        <f>IF(Planning[[#This Row],[Horas Planificadas]]&lt;&gt;0,+K901/Planning[[#This Row],[Horas Planificadas]],0)</f>
        <v>#REF!</v>
      </c>
      <c r="V901" s="43" t="e">
        <f>IF(Planning[[#This Row],[Horas Planificadas]]&lt;&gt;0,Planning[[#This Row],[Horas utilizadas]]/Planning[[#This Row],[Horas Planificadas]],0)</f>
        <v>#REF!</v>
      </c>
      <c r="W901" s="44">
        <f>Planning[[#This Row],[Horas Planificadas]]+Planning[[#This Row],[Horas ajustadas adicionales]]</f>
        <v>152</v>
      </c>
      <c r="X901" s="142"/>
    </row>
    <row r="902" spans="1:24" ht="12.75" customHeight="1" x14ac:dyDescent="0.2">
      <c r="A902" s="7"/>
      <c r="B902" s="7"/>
      <c r="C902" s="3"/>
      <c r="D902" s="3" t="s">
        <v>255</v>
      </c>
      <c r="E902" s="4" t="s">
        <v>32</v>
      </c>
      <c r="F902" s="3"/>
      <c r="G902" s="9"/>
      <c r="H902" s="9">
        <v>200</v>
      </c>
      <c r="I902" s="12"/>
      <c r="J902" s="5" t="e">
        <f>+SUMIFS(#REF!,#REF!,Planning[[#This Row],[Tarifa]],#REF!,Planning[[#This Row],[Proyectos]])</f>
        <v>#REF!</v>
      </c>
      <c r="K902" s="5" t="e">
        <f>Planning[[#This Row],[Horas Planificadas]]+Planning[[#This Row],[Horas ajustadas adicionales]]-Planning[[#This Row],[Horas utilizadas]]</f>
        <v>#REF!</v>
      </c>
      <c r="L902" s="7"/>
      <c r="M902" s="19" t="e">
        <f>Planning[[#This Row],[Saldo]]-Planning[[#This Row],[Saldo estimado]]</f>
        <v>#REF!</v>
      </c>
      <c r="N902" s="60" t="e">
        <f>+SUMIFS(#REF!,#REF!,Planning[[#This Row],[Proyectos]],#REF!,Planning[[#This Row],[Tipo de Tarea y especialidad]])</f>
        <v>#REF!</v>
      </c>
      <c r="O902" s="19">
        <f t="shared" si="26"/>
        <v>10</v>
      </c>
      <c r="P902" s="19">
        <f t="shared" si="27"/>
        <v>2024</v>
      </c>
      <c r="Q902" s="19" t="e">
        <f>+SUMIFS(#REF!,#REF!,Planning[[#This Row],[Tarifa]],#REF!,Planning[[#This Row],[Proyectos]],#REF!,Planning[[#This Row],[Mes]],#REF!,Planning[[#This Row],[Año]])</f>
        <v>#REF!</v>
      </c>
      <c r="R902" s="19" t="str">
        <f>TEXT(Planning[[#This Row],[Mes]]*29,"mmmm")</f>
        <v>October</v>
      </c>
      <c r="S9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02" s="228"/>
      <c r="U902" s="43" t="e">
        <f>IF(Planning[[#This Row],[Horas Planificadas]]&lt;&gt;0,+K902/Planning[[#This Row],[Horas Planificadas]],0)</f>
        <v>#REF!</v>
      </c>
      <c r="V902" s="43" t="e">
        <f>IF(Planning[[#This Row],[Horas Planificadas]]&lt;&gt;0,Planning[[#This Row],[Horas utilizadas]]/Planning[[#This Row],[Horas Planificadas]],0)</f>
        <v>#REF!</v>
      </c>
      <c r="W902" s="44">
        <f>Planning[[#This Row],[Horas Planificadas]]+Planning[[#This Row],[Horas ajustadas adicionales]]</f>
        <v>200</v>
      </c>
      <c r="X902" s="142"/>
    </row>
    <row r="903" spans="1:24" ht="22.5" x14ac:dyDescent="0.2">
      <c r="A903" s="7" t="s">
        <v>168</v>
      </c>
      <c r="B903" s="7" t="s">
        <v>178</v>
      </c>
      <c r="C903" s="3"/>
      <c r="D903" s="3" t="s">
        <v>256</v>
      </c>
      <c r="E903" s="4" t="s">
        <v>28</v>
      </c>
      <c r="F903" s="3"/>
      <c r="G903" s="9">
        <v>836</v>
      </c>
      <c r="H903" s="14">
        <f>SUM(H904:H905)</f>
        <v>1688</v>
      </c>
      <c r="I903" s="14"/>
      <c r="J903" s="14" t="e">
        <f>SUM(J904:J905)</f>
        <v>#REF!</v>
      </c>
      <c r="K903" s="15" t="e">
        <f>SUM(K904:K905)</f>
        <v>#REF!</v>
      </c>
      <c r="L903" s="15">
        <f>SUM(L904:L905)</f>
        <v>0</v>
      </c>
      <c r="M903" s="14" t="e">
        <f>SUM(M904:M905)</f>
        <v>#REF!</v>
      </c>
      <c r="N903" s="66"/>
      <c r="O903" s="14">
        <f t="shared" ref="O903:O966" si="28">$L$4</f>
        <v>10</v>
      </c>
      <c r="P903" s="14">
        <f t="shared" ref="P903:P966" si="29">$M$4</f>
        <v>2024</v>
      </c>
      <c r="Q903" s="28" t="e">
        <f>SUM(Q904:Q905)</f>
        <v>#REF!</v>
      </c>
      <c r="R903" s="28" t="str">
        <f>TEXT(Planning[[#This Row],[Mes]]*29,"mmmm")</f>
        <v>October</v>
      </c>
      <c r="S9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03" s="192" t="s">
        <v>257</v>
      </c>
      <c r="U903" s="43" t="e">
        <f>IF(Planning[[#This Row],[Horas Planificadas]]&lt;&gt;0,+K903/Planning[[#This Row],[Horas Planificadas]],0)</f>
        <v>#REF!</v>
      </c>
      <c r="V903" s="43" t="e">
        <f>IF(Planning[[#This Row],[Horas Planificadas]]&lt;&gt;0,Planning[[#This Row],[Horas utilizadas]]/Planning[[#This Row],[Horas Planificadas]],0)</f>
        <v>#REF!</v>
      </c>
      <c r="W903" s="44">
        <f>Planning[[#This Row],[Horas Planificadas]]+Planning[[#This Row],[Horas ajustadas adicionales]]</f>
        <v>1688</v>
      </c>
      <c r="X903" s="142"/>
    </row>
    <row r="904" spans="1:24" x14ac:dyDescent="0.2">
      <c r="A904" s="7" t="s">
        <v>168</v>
      </c>
      <c r="B904" s="7" t="s">
        <v>178</v>
      </c>
      <c r="C904" s="3"/>
      <c r="D904" s="3" t="s">
        <v>256</v>
      </c>
      <c r="E904" s="4"/>
      <c r="F904" s="3" t="s">
        <v>120</v>
      </c>
      <c r="G904" s="9"/>
      <c r="H904" s="9">
        <v>522</v>
      </c>
      <c r="I904" s="12"/>
      <c r="J904" s="5" t="e">
        <f>SUM(SUMIFS(#REF!,#REF!,Planning[[#This Row],[Tipo de Tarea y especialidad]],#REF!,Planning[[#This Row],[Proyectos Reiwa]]),SUMIFS(#REF!,#REF!,Planning[[#This Row],[Tipo de Tarea y especialidad]],#REF!,Planning[[#This Row],[Proyectos]]))</f>
        <v>#REF!</v>
      </c>
      <c r="K904" s="5" t="e">
        <f>Planning[[#This Row],[Horas Planificadas]]+Planning[[#This Row],[Horas ajustadas adicionales]]-Planning[[#This Row],[Horas utilizadas]]</f>
        <v>#REF!</v>
      </c>
      <c r="L904" s="7">
        <v>0</v>
      </c>
      <c r="M904" s="19" t="e">
        <f>Planning[[#This Row],[Saldo]]-Planning[[#This Row],[Saldo estimado]]</f>
        <v>#REF!</v>
      </c>
      <c r="N904" s="60" t="e">
        <f>+SUMIFS(#REF!,#REF!,Planning[[#This Row],[Proyectos]],#REF!,Planning[[#This Row],[Tipo de Tarea y especialidad]])</f>
        <v>#REF!</v>
      </c>
      <c r="O904" s="19">
        <f t="shared" si="28"/>
        <v>10</v>
      </c>
      <c r="P904" s="19">
        <f t="shared" si="29"/>
        <v>2024</v>
      </c>
      <c r="Q9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04" s="19" t="str">
        <f>TEXT(Planning[[#This Row],[Mes]]*29,"mmmm")</f>
        <v>October</v>
      </c>
      <c r="S9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04" s="193"/>
      <c r="U904" s="43" t="e">
        <f>IF(Planning[[#This Row],[Horas Planificadas]]&lt;&gt;0,+K904/Planning[[#This Row],[Horas Planificadas]],0)</f>
        <v>#REF!</v>
      </c>
      <c r="V904" s="43" t="e">
        <f>IF(Planning[[#This Row],[Horas Planificadas]]&lt;&gt;0,Planning[[#This Row],[Horas utilizadas]]/Planning[[#This Row],[Horas Planificadas]],0)</f>
        <v>#REF!</v>
      </c>
      <c r="W904" s="44">
        <f>Planning[[#This Row],[Horas Planificadas]]+Planning[[#This Row],[Horas ajustadas adicionales]]</f>
        <v>522</v>
      </c>
      <c r="X904" s="142"/>
    </row>
    <row r="905" spans="1:24" x14ac:dyDescent="0.2">
      <c r="A905" s="7" t="s">
        <v>168</v>
      </c>
      <c r="B905" s="7" t="s">
        <v>178</v>
      </c>
      <c r="C905" s="3"/>
      <c r="D905" s="3" t="s">
        <v>256</v>
      </c>
      <c r="E905" s="4"/>
      <c r="F905" s="3" t="s">
        <v>121</v>
      </c>
      <c r="G905" s="9"/>
      <c r="H905" s="9">
        <v>1166</v>
      </c>
      <c r="I905" s="12"/>
      <c r="J905" s="5" t="e">
        <f>SUM(SUMIFS(#REF!,#REF!,Planning[[#This Row],[Tipo de Tarea y especialidad]],#REF!,Planning[[#This Row],[Proyectos Reiwa]]),SUMIFS(#REF!,#REF!,Planning[[#This Row],[Tipo de Tarea y especialidad]],#REF!,Planning[[#This Row],[Proyectos]]))</f>
        <v>#REF!</v>
      </c>
      <c r="K905" s="5" t="e">
        <f>Planning[[#This Row],[Horas Planificadas]]+Planning[[#This Row],[Horas ajustadas adicionales]]-Planning[[#This Row],[Horas utilizadas]]</f>
        <v>#REF!</v>
      </c>
      <c r="L905" s="7">
        <v>0</v>
      </c>
      <c r="M905" s="19" t="e">
        <f>Planning[[#This Row],[Saldo]]-Planning[[#This Row],[Saldo estimado]]</f>
        <v>#REF!</v>
      </c>
      <c r="N905" s="60" t="e">
        <f>+SUMIFS(#REF!,#REF!,Planning[[#This Row],[Proyectos]],#REF!,Planning[[#This Row],[Tipo de Tarea y especialidad]])</f>
        <v>#REF!</v>
      </c>
      <c r="O905" s="19">
        <f t="shared" si="28"/>
        <v>10</v>
      </c>
      <c r="P905" s="19">
        <f t="shared" si="29"/>
        <v>2024</v>
      </c>
      <c r="Q9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05" s="19" t="str">
        <f>TEXT(Planning[[#This Row],[Mes]]*29,"mmmm")</f>
        <v>October</v>
      </c>
      <c r="S9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05" s="193"/>
      <c r="U905" s="43" t="e">
        <f>IF(Planning[[#This Row],[Horas Planificadas]]&lt;&gt;0,+K905/Planning[[#This Row],[Horas Planificadas]],0)</f>
        <v>#REF!</v>
      </c>
      <c r="V905" s="43" t="e">
        <f>IF(Planning[[#This Row],[Horas Planificadas]]&lt;&gt;0,Planning[[#This Row],[Horas utilizadas]]/Planning[[#This Row],[Horas Planificadas]],0)</f>
        <v>#REF!</v>
      </c>
      <c r="W905" s="44">
        <f>Planning[[#This Row],[Horas Planificadas]]+Planning[[#This Row],[Horas ajustadas adicionales]]</f>
        <v>1166</v>
      </c>
      <c r="X905" s="142"/>
    </row>
    <row r="906" spans="1:24" x14ac:dyDescent="0.2">
      <c r="A906" s="7" t="s">
        <v>168</v>
      </c>
      <c r="B906" s="7" t="s">
        <v>178</v>
      </c>
      <c r="C906" s="3"/>
      <c r="D906" s="3" t="s">
        <v>256</v>
      </c>
      <c r="E906" s="4" t="s">
        <v>30</v>
      </c>
      <c r="F906" s="3"/>
      <c r="G906" s="9">
        <v>2301</v>
      </c>
      <c r="H906" s="14">
        <f>SUM(H907:H913)</f>
        <v>2954</v>
      </c>
      <c r="I906" s="14"/>
      <c r="J906" s="14" t="e">
        <f>SUM(J907:J913)</f>
        <v>#REF!</v>
      </c>
      <c r="K906" s="15" t="e">
        <f>SUM(K907:K913)</f>
        <v>#REF!</v>
      </c>
      <c r="L906" s="15">
        <f>SUM(L907:L913)</f>
        <v>0</v>
      </c>
      <c r="M906" s="16" t="e">
        <f>SUM(M907:M913)</f>
        <v>#REF!</v>
      </c>
      <c r="N906" s="60"/>
      <c r="O906" s="16">
        <f t="shared" si="28"/>
        <v>10</v>
      </c>
      <c r="P906" s="16">
        <f t="shared" si="29"/>
        <v>2024</v>
      </c>
      <c r="Q906" s="16" t="e">
        <f>SUM(Q907:Q913)</f>
        <v>#REF!</v>
      </c>
      <c r="R906" s="16" t="str">
        <f>TEXT(Planning[[#This Row],[Mes]]*29,"mmmm")</f>
        <v>October</v>
      </c>
      <c r="S9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06" s="193"/>
      <c r="U906" s="43" t="e">
        <f>IF(Planning[[#This Row],[Horas Planificadas]]&lt;&gt;0,+K906/Planning[[#This Row],[Horas Planificadas]],0)</f>
        <v>#REF!</v>
      </c>
      <c r="V906" s="43" t="e">
        <f>IF(Planning[[#This Row],[Horas Planificadas]]&lt;&gt;0,Planning[[#This Row],[Horas utilizadas]]/Planning[[#This Row],[Horas Planificadas]],0)</f>
        <v>#REF!</v>
      </c>
      <c r="W906" s="44">
        <f>Planning[[#This Row],[Horas Planificadas]]+Planning[[#This Row],[Horas ajustadas adicionales]]</f>
        <v>2954</v>
      </c>
      <c r="X906" s="142"/>
    </row>
    <row r="907" spans="1:24" x14ac:dyDescent="0.2">
      <c r="A907" s="7" t="s">
        <v>168</v>
      </c>
      <c r="B907" s="7" t="s">
        <v>178</v>
      </c>
      <c r="C907" s="3"/>
      <c r="D907" s="3" t="s">
        <v>256</v>
      </c>
      <c r="E907" s="4"/>
      <c r="F907" s="3" t="s">
        <v>122</v>
      </c>
      <c r="G907" s="9"/>
      <c r="H907" s="9">
        <v>1596</v>
      </c>
      <c r="I907" s="12"/>
      <c r="J907" s="5" t="e">
        <f>SUM(SUMIFS(#REF!,#REF!,Planning[[#This Row],[Tipo de Tarea y especialidad]],#REF!,Planning[[#This Row],[Proyectos Reiwa]]),SUMIFS(#REF!,#REF!,Planning[[#This Row],[Tipo de Tarea y especialidad]],#REF!,Planning[[#This Row],[Proyectos]]))</f>
        <v>#REF!</v>
      </c>
      <c r="K907" s="5" t="e">
        <f>Planning[[#This Row],[Horas Planificadas]]+Planning[[#This Row],[Horas ajustadas adicionales]]-Planning[[#This Row],[Horas utilizadas]]</f>
        <v>#REF!</v>
      </c>
      <c r="L907" s="7">
        <v>0</v>
      </c>
      <c r="M907" s="19" t="e">
        <f>Planning[[#This Row],[Saldo]]-Planning[[#This Row],[Saldo estimado]]</f>
        <v>#REF!</v>
      </c>
      <c r="N907" s="60" t="e">
        <f>+SUMIFS(#REF!,#REF!,Planning[[#This Row],[Proyectos]],#REF!,Planning[[#This Row],[Tipo de Tarea y especialidad]])</f>
        <v>#REF!</v>
      </c>
      <c r="O907" s="19">
        <f t="shared" si="28"/>
        <v>10</v>
      </c>
      <c r="P907" s="19">
        <f t="shared" si="29"/>
        <v>2024</v>
      </c>
      <c r="Q9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07" s="19" t="str">
        <f>TEXT(Planning[[#This Row],[Mes]]*29,"mmmm")</f>
        <v>October</v>
      </c>
      <c r="S9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07" s="193"/>
      <c r="U907" s="43" t="e">
        <f>IF(Planning[[#This Row],[Horas Planificadas]]&lt;&gt;0,+K907/Planning[[#This Row],[Horas Planificadas]],0)</f>
        <v>#REF!</v>
      </c>
      <c r="V907" s="43" t="e">
        <f>IF(Planning[[#This Row],[Horas Planificadas]]&lt;&gt;0,Planning[[#This Row],[Horas utilizadas]]/Planning[[#This Row],[Horas Planificadas]],0)</f>
        <v>#REF!</v>
      </c>
      <c r="W907" s="44">
        <f>Planning[[#This Row],[Horas Planificadas]]+Planning[[#This Row],[Horas ajustadas adicionales]]</f>
        <v>1596</v>
      </c>
      <c r="X907" s="142"/>
    </row>
    <row r="908" spans="1:24" x14ac:dyDescent="0.2">
      <c r="A908" s="7" t="s">
        <v>168</v>
      </c>
      <c r="B908" s="7" t="s">
        <v>178</v>
      </c>
      <c r="C908" s="3"/>
      <c r="D908" s="3" t="s">
        <v>256</v>
      </c>
      <c r="E908" s="4"/>
      <c r="F908" s="3" t="s">
        <v>123</v>
      </c>
      <c r="G908" s="9"/>
      <c r="H908" s="9">
        <v>1358</v>
      </c>
      <c r="I908" s="12"/>
      <c r="J908" s="5" t="e">
        <f>SUM(SUMIFS(#REF!,#REF!,Planning[[#This Row],[Tipo de Tarea y especialidad]],#REF!,Planning[[#This Row],[Proyectos Reiwa]]),SUMIFS(#REF!,#REF!,Planning[[#This Row],[Tipo de Tarea y especialidad]],#REF!,Planning[[#This Row],[Proyectos]]))</f>
        <v>#REF!</v>
      </c>
      <c r="K908" s="5" t="e">
        <f>Planning[[#This Row],[Horas Planificadas]]+Planning[[#This Row],[Horas ajustadas adicionales]]-Planning[[#This Row],[Horas utilizadas]]</f>
        <v>#REF!</v>
      </c>
      <c r="L908" s="7">
        <v>0</v>
      </c>
      <c r="M908" s="19" t="e">
        <f>Planning[[#This Row],[Saldo]]-Planning[[#This Row],[Saldo estimado]]</f>
        <v>#REF!</v>
      </c>
      <c r="N908" s="60" t="e">
        <f>+SUMIFS(#REF!,#REF!,Planning[[#This Row],[Proyectos]],#REF!,Planning[[#This Row],[Tipo de Tarea y especialidad]])</f>
        <v>#REF!</v>
      </c>
      <c r="O908" s="19">
        <f t="shared" si="28"/>
        <v>10</v>
      </c>
      <c r="P908" s="19">
        <f t="shared" si="29"/>
        <v>2024</v>
      </c>
      <c r="Q9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08" s="19" t="str">
        <f>TEXT(Planning[[#This Row],[Mes]]*29,"mmmm")</f>
        <v>October</v>
      </c>
      <c r="S9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08" s="193"/>
      <c r="U908" s="43" t="e">
        <f>IF(Planning[[#This Row],[Horas Planificadas]]&lt;&gt;0,+K908/Planning[[#This Row],[Horas Planificadas]],0)</f>
        <v>#REF!</v>
      </c>
      <c r="V908" s="43" t="e">
        <f>IF(Planning[[#This Row],[Horas Planificadas]]&lt;&gt;0,Planning[[#This Row],[Horas utilizadas]]/Planning[[#This Row],[Horas Planificadas]],0)</f>
        <v>#REF!</v>
      </c>
      <c r="W908" s="44">
        <f>Planning[[#This Row],[Horas Planificadas]]+Planning[[#This Row],[Horas ajustadas adicionales]]</f>
        <v>1358</v>
      </c>
      <c r="X908" s="142"/>
    </row>
    <row r="909" spans="1:24" x14ac:dyDescent="0.2">
      <c r="A909" s="7" t="s">
        <v>168</v>
      </c>
      <c r="B909" s="7" t="s">
        <v>178</v>
      </c>
      <c r="C909" s="3"/>
      <c r="D909" s="3" t="s">
        <v>256</v>
      </c>
      <c r="E909" s="4"/>
      <c r="F909" s="3" t="s">
        <v>124</v>
      </c>
      <c r="G909" s="9"/>
      <c r="H909" s="9"/>
      <c r="I909" s="12"/>
      <c r="J909" s="5" t="e">
        <f>SUM(SUMIFS(#REF!,#REF!,Planning[[#This Row],[Tipo de Tarea y especialidad]],#REF!,Planning[[#This Row],[Proyectos Reiwa]]),SUMIFS(#REF!,#REF!,Planning[[#This Row],[Tipo de Tarea y especialidad]],#REF!,Planning[[#This Row],[Proyectos]]))</f>
        <v>#REF!</v>
      </c>
      <c r="K909" s="5" t="e">
        <f>Planning[[#This Row],[Horas Planificadas]]+Planning[[#This Row],[Horas ajustadas adicionales]]-Planning[[#This Row],[Horas utilizadas]]</f>
        <v>#REF!</v>
      </c>
      <c r="L909" s="7">
        <v>0</v>
      </c>
      <c r="M909" s="19" t="e">
        <f>Planning[[#This Row],[Saldo]]-Planning[[#This Row],[Saldo estimado]]</f>
        <v>#REF!</v>
      </c>
      <c r="N909" s="60" t="e">
        <f>+SUMIFS(#REF!,#REF!,Planning[[#This Row],[Proyectos]],#REF!,Planning[[#This Row],[Tipo de Tarea y especialidad]])</f>
        <v>#REF!</v>
      </c>
      <c r="O909" s="19">
        <f t="shared" si="28"/>
        <v>10</v>
      </c>
      <c r="P909" s="19">
        <f t="shared" si="29"/>
        <v>2024</v>
      </c>
      <c r="Q9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09" s="19" t="str">
        <f>TEXT(Planning[[#This Row],[Mes]]*29,"mmmm")</f>
        <v>October</v>
      </c>
      <c r="S9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09" s="193"/>
      <c r="U909" s="43">
        <f>IF(Planning[[#This Row],[Horas Planificadas]]&lt;&gt;0,+K909/Planning[[#This Row],[Horas Planificadas]],0)</f>
        <v>0</v>
      </c>
      <c r="V909" s="43">
        <f>IF(Planning[[#This Row],[Horas Planificadas]]&lt;&gt;0,Planning[[#This Row],[Horas utilizadas]]/Planning[[#This Row],[Horas Planificadas]],0)</f>
        <v>0</v>
      </c>
      <c r="W909" s="44">
        <f>Planning[[#This Row],[Horas Planificadas]]+Planning[[#This Row],[Horas ajustadas adicionales]]</f>
        <v>0</v>
      </c>
      <c r="X909" s="142"/>
    </row>
    <row r="910" spans="1:24" x14ac:dyDescent="0.2">
      <c r="A910" s="7" t="s">
        <v>168</v>
      </c>
      <c r="B910" s="7" t="s">
        <v>178</v>
      </c>
      <c r="C910" s="3"/>
      <c r="D910" s="3" t="s">
        <v>256</v>
      </c>
      <c r="E910" s="4"/>
      <c r="F910" s="3" t="s">
        <v>125</v>
      </c>
      <c r="G910" s="9"/>
      <c r="H910" s="9"/>
      <c r="I910" s="12"/>
      <c r="J910" s="5" t="e">
        <f>SUM(SUMIFS(#REF!,#REF!,Planning[[#This Row],[Tipo de Tarea y especialidad]],#REF!,Planning[[#This Row],[Proyectos Reiwa]]),SUMIFS(#REF!,#REF!,Planning[[#This Row],[Tipo de Tarea y especialidad]],#REF!,Planning[[#This Row],[Proyectos]]))</f>
        <v>#REF!</v>
      </c>
      <c r="K910" s="5" t="e">
        <f>Planning[[#This Row],[Horas Planificadas]]+Planning[[#This Row],[Horas ajustadas adicionales]]-Planning[[#This Row],[Horas utilizadas]]</f>
        <v>#REF!</v>
      </c>
      <c r="L910" s="7">
        <v>0</v>
      </c>
      <c r="M910" s="19" t="e">
        <f>Planning[[#This Row],[Saldo]]-Planning[[#This Row],[Saldo estimado]]</f>
        <v>#REF!</v>
      </c>
      <c r="N910" s="60" t="e">
        <f>+SUMIFS(#REF!,#REF!,Planning[[#This Row],[Proyectos]],#REF!,Planning[[#This Row],[Tipo de Tarea y especialidad]])</f>
        <v>#REF!</v>
      </c>
      <c r="O910" s="19">
        <f t="shared" si="28"/>
        <v>10</v>
      </c>
      <c r="P910" s="19">
        <f t="shared" si="29"/>
        <v>2024</v>
      </c>
      <c r="Q9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10" s="19" t="str">
        <f>TEXT(Planning[[#This Row],[Mes]]*29,"mmmm")</f>
        <v>October</v>
      </c>
      <c r="S9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10" s="193"/>
      <c r="U910" s="43">
        <f>IF(Planning[[#This Row],[Horas Planificadas]]&lt;&gt;0,+K910/Planning[[#This Row],[Horas Planificadas]],0)</f>
        <v>0</v>
      </c>
      <c r="V910" s="43">
        <f>IF(Planning[[#This Row],[Horas Planificadas]]&lt;&gt;0,Planning[[#This Row],[Horas utilizadas]]/Planning[[#This Row],[Horas Planificadas]],0)</f>
        <v>0</v>
      </c>
      <c r="W910" s="44">
        <f>Planning[[#This Row],[Horas Planificadas]]+Planning[[#This Row],[Horas ajustadas adicionales]]</f>
        <v>0</v>
      </c>
      <c r="X910" s="142"/>
    </row>
    <row r="911" spans="1:24" x14ac:dyDescent="0.2">
      <c r="A911" s="7" t="s">
        <v>168</v>
      </c>
      <c r="B911" s="7" t="s">
        <v>178</v>
      </c>
      <c r="C911" s="3"/>
      <c r="D911" s="3" t="s">
        <v>256</v>
      </c>
      <c r="E911" s="4"/>
      <c r="F911" s="3" t="s">
        <v>126</v>
      </c>
      <c r="G911" s="9"/>
      <c r="H911" s="9"/>
      <c r="I911" s="12"/>
      <c r="J911" s="5" t="e">
        <f>SUM(SUMIFS(#REF!,#REF!,Planning[[#This Row],[Tipo de Tarea y especialidad]],#REF!,Planning[[#This Row],[Proyectos Reiwa]]),SUMIFS(#REF!,#REF!,Planning[[#This Row],[Tipo de Tarea y especialidad]],#REF!,Planning[[#This Row],[Proyectos]]))</f>
        <v>#REF!</v>
      </c>
      <c r="K911" s="5" t="e">
        <f>Planning[[#This Row],[Horas Planificadas]]+Planning[[#This Row],[Horas ajustadas adicionales]]-Planning[[#This Row],[Horas utilizadas]]</f>
        <v>#REF!</v>
      </c>
      <c r="L911" s="7">
        <v>0</v>
      </c>
      <c r="M911" s="19" t="e">
        <f>Planning[[#This Row],[Saldo]]-Planning[[#This Row],[Saldo estimado]]</f>
        <v>#REF!</v>
      </c>
      <c r="N911" s="60" t="e">
        <f>+SUMIFS(#REF!,#REF!,Planning[[#This Row],[Proyectos]],#REF!,Planning[[#This Row],[Tipo de Tarea y especialidad]])</f>
        <v>#REF!</v>
      </c>
      <c r="O911" s="19">
        <f t="shared" si="28"/>
        <v>10</v>
      </c>
      <c r="P911" s="19">
        <f t="shared" si="29"/>
        <v>2024</v>
      </c>
      <c r="Q9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11" s="19" t="str">
        <f>TEXT(Planning[[#This Row],[Mes]]*29,"mmmm")</f>
        <v>October</v>
      </c>
      <c r="S9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11" s="193"/>
      <c r="U911" s="43">
        <f>IF(Planning[[#This Row],[Horas Planificadas]]&lt;&gt;0,+K911/Planning[[#This Row],[Horas Planificadas]],0)</f>
        <v>0</v>
      </c>
      <c r="V911" s="43">
        <f>IF(Planning[[#This Row],[Horas Planificadas]]&lt;&gt;0,Planning[[#This Row],[Horas utilizadas]]/Planning[[#This Row],[Horas Planificadas]],0)</f>
        <v>0</v>
      </c>
      <c r="W911" s="44">
        <f>Planning[[#This Row],[Horas Planificadas]]+Planning[[#This Row],[Horas ajustadas adicionales]]</f>
        <v>0</v>
      </c>
      <c r="X911" s="142"/>
    </row>
    <row r="912" spans="1:24" x14ac:dyDescent="0.2">
      <c r="A912" s="7" t="s">
        <v>168</v>
      </c>
      <c r="B912" s="7" t="s">
        <v>178</v>
      </c>
      <c r="C912" s="3"/>
      <c r="D912" s="3" t="s">
        <v>256</v>
      </c>
      <c r="E912" s="4"/>
      <c r="F912" s="3" t="s">
        <v>127</v>
      </c>
      <c r="G912" s="9"/>
      <c r="H912" s="9"/>
      <c r="I912" s="12"/>
      <c r="J912" s="5" t="e">
        <f>SUM(SUMIFS(#REF!,#REF!,Planning[[#This Row],[Tipo de Tarea y especialidad]],#REF!,Planning[[#This Row],[Proyectos Reiwa]]),SUMIFS(#REF!,#REF!,Planning[[#This Row],[Tipo de Tarea y especialidad]],#REF!,Planning[[#This Row],[Proyectos]]))</f>
        <v>#REF!</v>
      </c>
      <c r="K912" s="5" t="e">
        <f>Planning[[#This Row],[Horas Planificadas]]+Planning[[#This Row],[Horas ajustadas adicionales]]-Planning[[#This Row],[Horas utilizadas]]</f>
        <v>#REF!</v>
      </c>
      <c r="L912" s="7">
        <v>0</v>
      </c>
      <c r="M912" s="19" t="e">
        <f>Planning[[#This Row],[Saldo]]-Planning[[#This Row],[Saldo estimado]]</f>
        <v>#REF!</v>
      </c>
      <c r="N912" s="60" t="e">
        <f>+SUMIFS(#REF!,#REF!,Planning[[#This Row],[Proyectos]],#REF!,Planning[[#This Row],[Tipo de Tarea y especialidad]])</f>
        <v>#REF!</v>
      </c>
      <c r="O912" s="19">
        <f t="shared" si="28"/>
        <v>10</v>
      </c>
      <c r="P912" s="19">
        <f t="shared" si="29"/>
        <v>2024</v>
      </c>
      <c r="Q9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12" s="19" t="str">
        <f>TEXT(Planning[[#This Row],[Mes]]*29,"mmmm")</f>
        <v>October</v>
      </c>
      <c r="S9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12" s="193"/>
      <c r="U912" s="43">
        <f>IF(Planning[[#This Row],[Horas Planificadas]]&lt;&gt;0,+K912/Planning[[#This Row],[Horas Planificadas]],0)</f>
        <v>0</v>
      </c>
      <c r="V912" s="43">
        <f>IF(Planning[[#This Row],[Horas Planificadas]]&lt;&gt;0,Planning[[#This Row],[Horas utilizadas]]/Planning[[#This Row],[Horas Planificadas]],0)</f>
        <v>0</v>
      </c>
      <c r="W912" s="44">
        <f>Planning[[#This Row],[Horas Planificadas]]+Planning[[#This Row],[Horas ajustadas adicionales]]</f>
        <v>0</v>
      </c>
      <c r="X912" s="142"/>
    </row>
    <row r="913" spans="1:24" x14ac:dyDescent="0.2">
      <c r="A913" s="7" t="s">
        <v>168</v>
      </c>
      <c r="B913" s="7" t="s">
        <v>178</v>
      </c>
      <c r="C913" s="3"/>
      <c r="D913" s="3" t="s">
        <v>256</v>
      </c>
      <c r="E913" s="4"/>
      <c r="F913" s="3" t="s">
        <v>128</v>
      </c>
      <c r="G913" s="9"/>
      <c r="H913" s="9"/>
      <c r="I913" s="12"/>
      <c r="J913" s="5" t="e">
        <f>SUM(SUMIFS(#REF!,#REF!,Planning[[#This Row],[Tipo de Tarea y especialidad]],#REF!,Planning[[#This Row],[Proyectos Reiwa]]),SUMIFS(#REF!,#REF!,Planning[[#This Row],[Tipo de Tarea y especialidad]],#REF!,Planning[[#This Row],[Proyectos]]))</f>
        <v>#REF!</v>
      </c>
      <c r="K913" s="5" t="e">
        <f>Planning[[#This Row],[Horas Planificadas]]+Planning[[#This Row],[Horas ajustadas adicionales]]-Planning[[#This Row],[Horas utilizadas]]</f>
        <v>#REF!</v>
      </c>
      <c r="L913" s="7">
        <v>0</v>
      </c>
      <c r="M913" s="19" t="e">
        <f>Planning[[#This Row],[Saldo]]-Planning[[#This Row],[Saldo estimado]]</f>
        <v>#REF!</v>
      </c>
      <c r="N913" s="60" t="e">
        <f>+SUMIFS(#REF!,#REF!,Planning[[#This Row],[Proyectos]],#REF!,Planning[[#This Row],[Tipo de Tarea y especialidad]])</f>
        <v>#REF!</v>
      </c>
      <c r="O913" s="19">
        <f t="shared" si="28"/>
        <v>10</v>
      </c>
      <c r="P913" s="19">
        <f t="shared" si="29"/>
        <v>2024</v>
      </c>
      <c r="Q9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13" s="19" t="str">
        <f>TEXT(Planning[[#This Row],[Mes]]*29,"mmmm")</f>
        <v>October</v>
      </c>
      <c r="S9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13" s="193"/>
      <c r="U913" s="43">
        <f>IF(Planning[[#This Row],[Horas Planificadas]]&lt;&gt;0,+K913/Planning[[#This Row],[Horas Planificadas]],0)</f>
        <v>0</v>
      </c>
      <c r="V913" s="43">
        <f>IF(Planning[[#This Row],[Horas Planificadas]]&lt;&gt;0,Planning[[#This Row],[Horas utilizadas]]/Planning[[#This Row],[Horas Planificadas]],0)</f>
        <v>0</v>
      </c>
      <c r="W913" s="44">
        <f>Planning[[#This Row],[Horas Planificadas]]+Planning[[#This Row],[Horas ajustadas adicionales]]</f>
        <v>0</v>
      </c>
      <c r="X913" s="142"/>
    </row>
    <row r="914" spans="1:24" x14ac:dyDescent="0.2">
      <c r="A914" s="7" t="s">
        <v>168</v>
      </c>
      <c r="B914" s="7" t="s">
        <v>178</v>
      </c>
      <c r="C914" s="3"/>
      <c r="D914" s="3" t="s">
        <v>256</v>
      </c>
      <c r="E914" s="4" t="s">
        <v>31</v>
      </c>
      <c r="F914" s="3" t="s">
        <v>31</v>
      </c>
      <c r="G914" s="9">
        <v>456</v>
      </c>
      <c r="H914" s="17">
        <v>456</v>
      </c>
      <c r="I914" s="18"/>
      <c r="J914" s="14" t="e">
        <f>+SUMIFS(#REF!,#REF!,Planning[[#This Row],[Tarifa]],#REF!,Planning[[#This Row],[Proyectos]])</f>
        <v>#REF!</v>
      </c>
      <c r="K914" s="14" t="e">
        <f>Planning[[#This Row],[Horas Planificadas]]+Planning[[#This Row],[Horas ajustadas adicionales]]-Planning[[#This Row],[Horas utilizadas]]</f>
        <v>#REF!</v>
      </c>
      <c r="L914" s="15">
        <v>0</v>
      </c>
      <c r="M914" s="16" t="e">
        <f>Planning[[#This Row],[Saldo]]-Planning[[#This Row],[Saldo estimado]]</f>
        <v>#REF!</v>
      </c>
      <c r="N914" s="60"/>
      <c r="O914" s="16">
        <f t="shared" si="28"/>
        <v>10</v>
      </c>
      <c r="P914" s="16">
        <f t="shared" si="29"/>
        <v>2024</v>
      </c>
      <c r="Q914" s="16" t="e">
        <f>+SUMIFS(#REF!,#REF!,Planning[[#This Row],[Tarifa]],#REF!,Planning[[#This Row],[Proyectos]],#REF!,Planning[[#This Row],[Mes]],#REF!,Planning[[#This Row],[Año]])</f>
        <v>#REF!</v>
      </c>
      <c r="R914" s="16" t="str">
        <f>TEXT(Planning[[#This Row],[Mes]]*29,"mmmm")</f>
        <v>October</v>
      </c>
      <c r="S9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14" s="193"/>
      <c r="U914" s="43" t="e">
        <f>IF(Planning[[#This Row],[Horas Planificadas]]&lt;&gt;0,+K914/Planning[[#This Row],[Horas Planificadas]],0)</f>
        <v>#REF!</v>
      </c>
      <c r="V914" s="43" t="e">
        <f>IF(Planning[[#This Row],[Horas Planificadas]]&lt;&gt;0,Planning[[#This Row],[Horas utilizadas]]/Planning[[#This Row],[Horas Planificadas]],0)</f>
        <v>#REF!</v>
      </c>
      <c r="W914" s="44">
        <f>Planning[[#This Row],[Horas Planificadas]]+Planning[[#This Row],[Horas ajustadas adicionales]]</f>
        <v>456</v>
      </c>
      <c r="X914" s="142"/>
    </row>
    <row r="915" spans="1:24" ht="22.5" x14ac:dyDescent="0.2">
      <c r="A915" s="7" t="s">
        <v>168</v>
      </c>
      <c r="B915" s="7" t="s">
        <v>178</v>
      </c>
      <c r="C915" s="3"/>
      <c r="D915" s="3" t="s">
        <v>256</v>
      </c>
      <c r="E915" s="4" t="s">
        <v>32</v>
      </c>
      <c r="F915" s="3"/>
      <c r="G915" s="9">
        <v>570</v>
      </c>
      <c r="H915" s="14">
        <f>SUM(H916:H918)</f>
        <v>1200</v>
      </c>
      <c r="I915" s="14"/>
      <c r="J915" s="14" t="e">
        <f>SUM(J916:J918)</f>
        <v>#REF!</v>
      </c>
      <c r="K915" s="15" t="e">
        <f>SUM(K916:K918)</f>
        <v>#REF!</v>
      </c>
      <c r="L915" s="15">
        <f>SUM(L916:L918)</f>
        <v>0</v>
      </c>
      <c r="M915" s="16" t="e">
        <f>SUM(M916:M918)</f>
        <v>#REF!</v>
      </c>
      <c r="N915" s="60"/>
      <c r="O915" s="16">
        <f t="shared" si="28"/>
        <v>10</v>
      </c>
      <c r="P915" s="16">
        <f t="shared" si="29"/>
        <v>2024</v>
      </c>
      <c r="Q915" s="16" t="e">
        <f>SUM(Q916:Q918)</f>
        <v>#REF!</v>
      </c>
      <c r="R915" s="16" t="str">
        <f>TEXT(Planning[[#This Row],[Mes]]*29,"mmmm")</f>
        <v>October</v>
      </c>
      <c r="S9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15" s="193"/>
      <c r="U915" s="43" t="e">
        <f>IF(Planning[[#This Row],[Horas Planificadas]]&lt;&gt;0,+K915/Planning[[#This Row],[Horas Planificadas]],0)</f>
        <v>#REF!</v>
      </c>
      <c r="V915" s="43" t="e">
        <f>IF(Planning[[#This Row],[Horas Planificadas]]&lt;&gt;0,Planning[[#This Row],[Horas utilizadas]]/Planning[[#This Row],[Horas Planificadas]],0)</f>
        <v>#REF!</v>
      </c>
      <c r="W915" s="44">
        <f>Planning[[#This Row],[Horas Planificadas]]+Planning[[#This Row],[Horas ajustadas adicionales]]</f>
        <v>1200</v>
      </c>
      <c r="X915" s="142"/>
    </row>
    <row r="916" spans="1:24" x14ac:dyDescent="0.2">
      <c r="A916" s="7" t="s">
        <v>168</v>
      </c>
      <c r="B916" s="7" t="s">
        <v>178</v>
      </c>
      <c r="C916" s="3"/>
      <c r="D916" s="3" t="s">
        <v>256</v>
      </c>
      <c r="E916" s="4"/>
      <c r="F916" s="3" t="s">
        <v>129</v>
      </c>
      <c r="G916" s="9"/>
      <c r="H916" s="9">
        <v>600</v>
      </c>
      <c r="I916" s="12"/>
      <c r="J916" s="5" t="e">
        <f>SUM(SUMIFS(#REF!,#REF!,Planning[[#This Row],[Tipo de Tarea y especialidad]],#REF!,Planning[[#This Row],[Proyectos Reiwa]]),SUMIFS(#REF!,#REF!,Planning[[#This Row],[Tipo de Tarea y especialidad]],#REF!,Planning[[#This Row],[Proyectos]]))</f>
        <v>#REF!</v>
      </c>
      <c r="K916" s="5" t="e">
        <f>Planning[[#This Row],[Horas Planificadas]]+Planning[[#This Row],[Horas ajustadas adicionales]]-Planning[[#This Row],[Horas utilizadas]]</f>
        <v>#REF!</v>
      </c>
      <c r="L916" s="7">
        <v>0</v>
      </c>
      <c r="M916" s="19" t="e">
        <f>Planning[[#This Row],[Saldo]]-Planning[[#This Row],[Saldo estimado]]</f>
        <v>#REF!</v>
      </c>
      <c r="N916" s="60" t="e">
        <f>+SUMIFS(#REF!,#REF!,Planning[[#This Row],[Proyectos]],#REF!,Planning[[#This Row],[Tipo de Tarea y especialidad]])</f>
        <v>#REF!</v>
      </c>
      <c r="O916" s="19">
        <f t="shared" si="28"/>
        <v>10</v>
      </c>
      <c r="P916" s="19">
        <f t="shared" si="29"/>
        <v>2024</v>
      </c>
      <c r="Q9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16" s="19" t="str">
        <f>TEXT(Planning[[#This Row],[Mes]]*29,"mmmm")</f>
        <v>October</v>
      </c>
      <c r="S9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16" s="193"/>
      <c r="U916" s="43" t="e">
        <f>IF(Planning[[#This Row],[Horas Planificadas]]&lt;&gt;0,+K916/Planning[[#This Row],[Horas Planificadas]],0)</f>
        <v>#REF!</v>
      </c>
      <c r="V916" s="43" t="e">
        <f>IF(Planning[[#This Row],[Horas Planificadas]]&lt;&gt;0,Planning[[#This Row],[Horas utilizadas]]/Planning[[#This Row],[Horas Planificadas]],0)</f>
        <v>#REF!</v>
      </c>
      <c r="W916" s="44">
        <f>Planning[[#This Row],[Horas Planificadas]]+Planning[[#This Row],[Horas ajustadas adicionales]]</f>
        <v>600</v>
      </c>
      <c r="X916" s="142"/>
    </row>
    <row r="917" spans="1:24" x14ac:dyDescent="0.2">
      <c r="A917" s="7" t="s">
        <v>168</v>
      </c>
      <c r="B917" s="7" t="s">
        <v>178</v>
      </c>
      <c r="C917" s="3"/>
      <c r="D917" s="3" t="s">
        <v>256</v>
      </c>
      <c r="E917" s="4"/>
      <c r="F917" s="3" t="s">
        <v>130</v>
      </c>
      <c r="G917" s="9"/>
      <c r="H917" s="9">
        <v>600</v>
      </c>
      <c r="I917" s="12"/>
      <c r="J917" s="5" t="e">
        <f>SUM(SUMIFS(#REF!,#REF!,Planning[[#This Row],[Tipo de Tarea y especialidad]],#REF!,Planning[[#This Row],[Proyectos Reiwa]]),SUMIFS(#REF!,#REF!,Planning[[#This Row],[Tipo de Tarea y especialidad]],#REF!,Planning[[#This Row],[Proyectos]]))</f>
        <v>#REF!</v>
      </c>
      <c r="K917" s="5" t="e">
        <f>Planning[[#This Row],[Horas Planificadas]]+Planning[[#This Row],[Horas ajustadas adicionales]]-Planning[[#This Row],[Horas utilizadas]]</f>
        <v>#REF!</v>
      </c>
      <c r="L917" s="7">
        <v>0</v>
      </c>
      <c r="M917" s="19" t="e">
        <f>Planning[[#This Row],[Saldo]]-Planning[[#This Row],[Saldo estimado]]</f>
        <v>#REF!</v>
      </c>
      <c r="N917" s="60" t="e">
        <f>+SUMIFS(#REF!,#REF!,Planning[[#This Row],[Proyectos]],#REF!,Planning[[#This Row],[Tipo de Tarea y especialidad]])</f>
        <v>#REF!</v>
      </c>
      <c r="O917" s="19">
        <f t="shared" si="28"/>
        <v>10</v>
      </c>
      <c r="P917" s="19">
        <f t="shared" si="29"/>
        <v>2024</v>
      </c>
      <c r="Q9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17" s="19" t="str">
        <f>TEXT(Planning[[#This Row],[Mes]]*29,"mmmm")</f>
        <v>October</v>
      </c>
      <c r="S9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17" s="193"/>
      <c r="U917" s="43" t="e">
        <f>IF(Planning[[#This Row],[Horas Planificadas]]&lt;&gt;0,+K917/Planning[[#This Row],[Horas Planificadas]],0)</f>
        <v>#REF!</v>
      </c>
      <c r="V917" s="43" t="e">
        <f>IF(Planning[[#This Row],[Horas Planificadas]]&lt;&gt;0,Planning[[#This Row],[Horas utilizadas]]/Planning[[#This Row],[Horas Planificadas]],0)</f>
        <v>#REF!</v>
      </c>
      <c r="W917" s="44">
        <f>Planning[[#This Row],[Horas Planificadas]]+Planning[[#This Row],[Horas ajustadas adicionales]]</f>
        <v>600</v>
      </c>
      <c r="X917" s="142"/>
    </row>
    <row r="918" spans="1:24" x14ac:dyDescent="0.2">
      <c r="A918" s="7" t="s">
        <v>168</v>
      </c>
      <c r="B918" s="7" t="s">
        <v>178</v>
      </c>
      <c r="C918" s="3"/>
      <c r="D918" s="3" t="s">
        <v>256</v>
      </c>
      <c r="E918" s="4"/>
      <c r="F918" s="3" t="s">
        <v>131</v>
      </c>
      <c r="G918" s="9"/>
      <c r="H918" s="9"/>
      <c r="I918" s="12"/>
      <c r="J918" s="5" t="e">
        <f>SUM(SUMIFS(#REF!,#REF!,Planning[[#This Row],[Tipo de Tarea y especialidad]],#REF!,Planning[[#This Row],[Proyectos Reiwa]]),SUMIFS(#REF!,#REF!,Planning[[#This Row],[Tipo de Tarea y especialidad]],#REF!,Planning[[#This Row],[Proyectos]]))</f>
        <v>#REF!</v>
      </c>
      <c r="K918" s="5" t="e">
        <f>Planning[[#This Row],[Horas Planificadas]]+Planning[[#This Row],[Horas ajustadas adicionales]]-Planning[[#This Row],[Horas utilizadas]]</f>
        <v>#REF!</v>
      </c>
      <c r="L918" s="7">
        <v>0</v>
      </c>
      <c r="M918" s="19" t="e">
        <f>Planning[[#This Row],[Saldo]]-Planning[[#This Row],[Saldo estimado]]</f>
        <v>#REF!</v>
      </c>
      <c r="N918" s="60" t="e">
        <f>+SUMIFS(#REF!,#REF!,Planning[[#This Row],[Proyectos]],#REF!,Planning[[#This Row],[Tipo de Tarea y especialidad]])</f>
        <v>#REF!</v>
      </c>
      <c r="O918" s="19">
        <f t="shared" si="28"/>
        <v>10</v>
      </c>
      <c r="P918" s="19">
        <f t="shared" si="29"/>
        <v>2024</v>
      </c>
      <c r="Q9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18" s="19" t="str">
        <f>TEXT(Planning[[#This Row],[Mes]]*29,"mmmm")</f>
        <v>October</v>
      </c>
      <c r="S9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18" s="193"/>
      <c r="U918" s="43">
        <f>IF(Planning[[#This Row],[Horas Planificadas]]&lt;&gt;0,+K918/Planning[[#This Row],[Horas Planificadas]],0)</f>
        <v>0</v>
      </c>
      <c r="V918" s="43">
        <f>IF(Planning[[#This Row],[Horas Planificadas]]&lt;&gt;0,Planning[[#This Row],[Horas utilizadas]]/Planning[[#This Row],[Horas Planificadas]],0)</f>
        <v>0</v>
      </c>
      <c r="W918" s="44">
        <f>Planning[[#This Row],[Horas Planificadas]]+Planning[[#This Row],[Horas ajustadas adicionales]]</f>
        <v>0</v>
      </c>
      <c r="X918" s="142"/>
    </row>
    <row r="919" spans="1:24" ht="12.75" customHeight="1" x14ac:dyDescent="0.2">
      <c r="A919" s="7" t="s">
        <v>117</v>
      </c>
      <c r="B919" s="7" t="s">
        <v>220</v>
      </c>
      <c r="C919" s="3"/>
      <c r="D919" s="3" t="s">
        <v>258</v>
      </c>
      <c r="E919" s="33" t="s">
        <v>28</v>
      </c>
      <c r="F919" s="3"/>
      <c r="G919" s="7">
        <v>5182</v>
      </c>
      <c r="H919" s="24">
        <f>SUM(H920:H921)</f>
        <v>5272</v>
      </c>
      <c r="I919" s="14"/>
      <c r="J919" s="14" t="e">
        <f>SUM(J920:J921)</f>
        <v>#REF!</v>
      </c>
      <c r="K919" s="18" t="e">
        <f>SUM(K920:K921)</f>
        <v>#REF!</v>
      </c>
      <c r="L919" s="15">
        <f>SUM(L920:L921)</f>
        <v>0</v>
      </c>
      <c r="M919" s="28" t="e">
        <f>SUM(M920:M921)</f>
        <v>#REF!</v>
      </c>
      <c r="N919" s="61"/>
      <c r="O919" s="28">
        <f t="shared" si="28"/>
        <v>10</v>
      </c>
      <c r="P919" s="28">
        <f t="shared" si="29"/>
        <v>2024</v>
      </c>
      <c r="Q919" s="28" t="e">
        <f>SUM(Q920:Q921)</f>
        <v>#REF!</v>
      </c>
      <c r="R919" s="28" t="str">
        <f>TEXT(Planning[[#This Row],[Mes]]*29,"mmmm")</f>
        <v>October</v>
      </c>
      <c r="S9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19" s="235" t="s">
        <v>259</v>
      </c>
      <c r="U919" s="43" t="e">
        <f>IF(Planning[[#This Row],[Horas Planificadas]]&lt;&gt;0,+K919/Planning[[#This Row],[Horas Planificadas]],0)</f>
        <v>#REF!</v>
      </c>
      <c r="V919" s="43" t="e">
        <f>IF(Planning[[#This Row],[Horas Planificadas]]&lt;&gt;0,Planning[[#This Row],[Horas utilizadas]]/Planning[[#This Row],[Horas Planificadas]],0)</f>
        <v>#REF!</v>
      </c>
      <c r="W919" s="44">
        <f>Planning[[#This Row],[Horas Planificadas]]+Planning[[#This Row],[Horas ajustadas adicionales]]</f>
        <v>5272</v>
      </c>
      <c r="X919" s="142"/>
    </row>
    <row r="920" spans="1:24" ht="12.75" customHeight="1" x14ac:dyDescent="0.2">
      <c r="A920" s="7" t="s">
        <v>117</v>
      </c>
      <c r="B920" s="7" t="s">
        <v>220</v>
      </c>
      <c r="C920" s="3"/>
      <c r="D920" s="3" t="s">
        <v>258</v>
      </c>
      <c r="E920" s="33"/>
      <c r="F920" s="3" t="s">
        <v>120</v>
      </c>
      <c r="G920" s="7"/>
      <c r="H920" s="7">
        <v>3627</v>
      </c>
      <c r="I920" s="12"/>
      <c r="J920" s="5" t="e">
        <f>SUM(SUMIFS(#REF!,#REF!,Planning[[#This Row],[Tipo de Tarea y especialidad]],#REF!,Planning[[#This Row],[Proyectos Reiwa]]),SUMIFS(#REF!,#REF!,Planning[[#This Row],[Tipo de Tarea y especialidad]],#REF!,Planning[[#This Row],[Proyectos]]))</f>
        <v>#REF!</v>
      </c>
      <c r="K920" s="5" t="e">
        <f>Planning[[#This Row],[Horas Planificadas]]+Planning[[#This Row],[Horas ajustadas adicionales]]-Planning[[#This Row],[Horas utilizadas]]</f>
        <v>#REF!</v>
      </c>
      <c r="L920" s="7">
        <v>0</v>
      </c>
      <c r="M920" s="19" t="e">
        <f>Planning[[#This Row],[Saldo]]-Planning[[#This Row],[Saldo estimado]]</f>
        <v>#REF!</v>
      </c>
      <c r="N920" s="60" t="e">
        <f>+SUMIFS(#REF!,#REF!,Planning[[#This Row],[Proyectos]],#REF!,Planning[[#This Row],[Tipo de Tarea y especialidad]])</f>
        <v>#REF!</v>
      </c>
      <c r="O920" s="19">
        <f t="shared" si="28"/>
        <v>10</v>
      </c>
      <c r="P920" s="19">
        <f t="shared" si="29"/>
        <v>2024</v>
      </c>
      <c r="Q9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20" s="19" t="str">
        <f>TEXT(Planning[[#This Row],[Mes]]*29,"mmmm")</f>
        <v>October</v>
      </c>
      <c r="S9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20" s="239"/>
      <c r="U920" s="43" t="e">
        <f>IF(Planning[[#This Row],[Horas Planificadas]]&lt;&gt;0,+K920/Planning[[#This Row],[Horas Planificadas]],0)</f>
        <v>#REF!</v>
      </c>
      <c r="V920" s="43" t="e">
        <f>IF(Planning[[#This Row],[Horas Planificadas]]&lt;&gt;0,Planning[[#This Row],[Horas utilizadas]]/Planning[[#This Row],[Horas Planificadas]],0)</f>
        <v>#REF!</v>
      </c>
      <c r="W920" s="44">
        <f>Planning[[#This Row],[Horas Planificadas]]+Planning[[#This Row],[Horas ajustadas adicionales]]</f>
        <v>3627</v>
      </c>
      <c r="X920" s="142"/>
    </row>
    <row r="921" spans="1:24" ht="12.75" customHeight="1" x14ac:dyDescent="0.2">
      <c r="A921" s="7" t="s">
        <v>117</v>
      </c>
      <c r="B921" s="7" t="s">
        <v>220</v>
      </c>
      <c r="C921" s="3"/>
      <c r="D921" s="3" t="s">
        <v>258</v>
      </c>
      <c r="E921" s="33"/>
      <c r="F921" s="3" t="s">
        <v>121</v>
      </c>
      <c r="G921" s="7"/>
      <c r="H921" s="7">
        <v>1645</v>
      </c>
      <c r="I921" s="12"/>
      <c r="J921" s="5" t="e">
        <f>SUM(SUMIFS(#REF!,#REF!,Planning[[#This Row],[Tipo de Tarea y especialidad]],#REF!,Planning[[#This Row],[Proyectos Reiwa]]),SUMIFS(#REF!,#REF!,Planning[[#This Row],[Tipo de Tarea y especialidad]],#REF!,Planning[[#This Row],[Proyectos]]))</f>
        <v>#REF!</v>
      </c>
      <c r="K921" s="5" t="e">
        <f>Planning[[#This Row],[Horas Planificadas]]+Planning[[#This Row],[Horas ajustadas adicionales]]-Planning[[#This Row],[Horas utilizadas]]</f>
        <v>#REF!</v>
      </c>
      <c r="L921" s="7">
        <v>0</v>
      </c>
      <c r="M921" s="19" t="e">
        <f>Planning[[#This Row],[Saldo]]-Planning[[#This Row],[Saldo estimado]]</f>
        <v>#REF!</v>
      </c>
      <c r="N921" s="60" t="e">
        <f>+SUMIFS(#REF!,#REF!,Planning[[#This Row],[Proyectos]],#REF!,Planning[[#This Row],[Tipo de Tarea y especialidad]])</f>
        <v>#REF!</v>
      </c>
      <c r="O921" s="19">
        <f t="shared" si="28"/>
        <v>10</v>
      </c>
      <c r="P921" s="19">
        <f t="shared" si="29"/>
        <v>2024</v>
      </c>
      <c r="Q9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21" s="19" t="str">
        <f>TEXT(Planning[[#This Row],[Mes]]*29,"mmmm")</f>
        <v>October</v>
      </c>
      <c r="S9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21" s="239"/>
      <c r="U921" s="43" t="e">
        <f>IF(Planning[[#This Row],[Horas Planificadas]]&lt;&gt;0,+K921/Planning[[#This Row],[Horas Planificadas]],0)</f>
        <v>#REF!</v>
      </c>
      <c r="V921" s="43" t="e">
        <f>IF(Planning[[#This Row],[Horas Planificadas]]&lt;&gt;0,Planning[[#This Row],[Horas utilizadas]]/Planning[[#This Row],[Horas Planificadas]],0)</f>
        <v>#REF!</v>
      </c>
      <c r="W921" s="44">
        <f>Planning[[#This Row],[Horas Planificadas]]+Planning[[#This Row],[Horas ajustadas adicionales]]</f>
        <v>1645</v>
      </c>
      <c r="X921" s="142"/>
    </row>
    <row r="922" spans="1:24" ht="12.75" customHeight="1" x14ac:dyDescent="0.2">
      <c r="A922" s="7" t="s">
        <v>117</v>
      </c>
      <c r="B922" s="7" t="s">
        <v>220</v>
      </c>
      <c r="C922" s="3"/>
      <c r="D922" s="3" t="s">
        <v>258</v>
      </c>
      <c r="E922" s="33" t="s">
        <v>30</v>
      </c>
      <c r="F922" s="3"/>
      <c r="G922" s="7">
        <v>2393</v>
      </c>
      <c r="H922" s="24">
        <f>SUM(H923:H929)</f>
        <v>2546</v>
      </c>
      <c r="I922" s="14"/>
      <c r="J922" s="14" t="e">
        <f>SUM(J923:J929)</f>
        <v>#REF!</v>
      </c>
      <c r="K922" s="18" t="e">
        <f>SUM(K923:K929)</f>
        <v>#REF!</v>
      </c>
      <c r="L922" s="15">
        <f>SUM(L923:L929)</f>
        <v>9</v>
      </c>
      <c r="M922" s="16" t="e">
        <f>SUM(M923:M929)</f>
        <v>#REF!</v>
      </c>
      <c r="N922" s="60"/>
      <c r="O922" s="16">
        <f t="shared" si="28"/>
        <v>10</v>
      </c>
      <c r="P922" s="16">
        <f t="shared" si="29"/>
        <v>2024</v>
      </c>
      <c r="Q922" s="16" t="e">
        <f>SUM(Q923:Q929)</f>
        <v>#REF!</v>
      </c>
      <c r="R922" s="16" t="str">
        <f>TEXT(Planning[[#This Row],[Mes]]*29,"mmmm")</f>
        <v>October</v>
      </c>
      <c r="S9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22" s="239"/>
      <c r="U922" s="43" t="e">
        <f>IF(Planning[[#This Row],[Horas Planificadas]]&lt;&gt;0,+K922/Planning[[#This Row],[Horas Planificadas]],0)</f>
        <v>#REF!</v>
      </c>
      <c r="V922" s="43" t="e">
        <f>IF(Planning[[#This Row],[Horas Planificadas]]&lt;&gt;0,Planning[[#This Row],[Horas utilizadas]]/Planning[[#This Row],[Horas Planificadas]],0)</f>
        <v>#REF!</v>
      </c>
      <c r="W922" s="44">
        <f>Planning[[#This Row],[Horas Planificadas]]+Planning[[#This Row],[Horas ajustadas adicionales]]</f>
        <v>2546</v>
      </c>
      <c r="X922" s="142"/>
    </row>
    <row r="923" spans="1:24" ht="12.75" customHeight="1" x14ac:dyDescent="0.2">
      <c r="A923" s="7" t="s">
        <v>117</v>
      </c>
      <c r="B923" s="7" t="s">
        <v>220</v>
      </c>
      <c r="C923" s="3"/>
      <c r="D923" s="3" t="s">
        <v>258</v>
      </c>
      <c r="E923" s="33"/>
      <c r="F923" s="3" t="s">
        <v>122</v>
      </c>
      <c r="G923" s="7"/>
      <c r="H923" s="7">
        <v>2546</v>
      </c>
      <c r="I923" s="12"/>
      <c r="J923" s="5" t="e">
        <f>SUM(SUMIFS(#REF!,#REF!,Planning[[#This Row],[Tipo de Tarea y especialidad]],#REF!,Planning[[#This Row],[Proyectos Reiwa]]),SUMIFS(#REF!,#REF!,Planning[[#This Row],[Tipo de Tarea y especialidad]],#REF!,Planning[[#This Row],[Proyectos]]))</f>
        <v>#REF!</v>
      </c>
      <c r="K923" s="5" t="e">
        <f>Planning[[#This Row],[Horas Planificadas]]+Planning[[#This Row],[Horas ajustadas adicionales]]-Planning[[#This Row],[Horas utilizadas]]</f>
        <v>#REF!</v>
      </c>
      <c r="L923" s="7">
        <v>0</v>
      </c>
      <c r="M923" s="19" t="e">
        <f>Planning[[#This Row],[Saldo]]-Planning[[#This Row],[Saldo estimado]]</f>
        <v>#REF!</v>
      </c>
      <c r="N923" s="60" t="e">
        <f>+SUMIFS(#REF!,#REF!,Planning[[#This Row],[Proyectos]],#REF!,Planning[[#This Row],[Tipo de Tarea y especialidad]])</f>
        <v>#REF!</v>
      </c>
      <c r="O923" s="19">
        <f t="shared" si="28"/>
        <v>10</v>
      </c>
      <c r="P923" s="19">
        <f t="shared" si="29"/>
        <v>2024</v>
      </c>
      <c r="Q9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23" s="19" t="str">
        <f>TEXT(Planning[[#This Row],[Mes]]*29,"mmmm")</f>
        <v>October</v>
      </c>
      <c r="S9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23" s="239"/>
      <c r="U923" s="43" t="e">
        <f>IF(Planning[[#This Row],[Horas Planificadas]]&lt;&gt;0,+K923/Planning[[#This Row],[Horas Planificadas]],0)</f>
        <v>#REF!</v>
      </c>
      <c r="V923" s="43" t="e">
        <f>IF(Planning[[#This Row],[Horas Planificadas]]&lt;&gt;0,Planning[[#This Row],[Horas utilizadas]]/Planning[[#This Row],[Horas Planificadas]],0)</f>
        <v>#REF!</v>
      </c>
      <c r="W923" s="44">
        <f>Planning[[#This Row],[Horas Planificadas]]+Planning[[#This Row],[Horas ajustadas adicionales]]</f>
        <v>2546</v>
      </c>
      <c r="X923" s="142"/>
    </row>
    <row r="924" spans="1:24" ht="12.75" customHeight="1" x14ac:dyDescent="0.2">
      <c r="A924" s="7" t="s">
        <v>117</v>
      </c>
      <c r="B924" s="7" t="s">
        <v>220</v>
      </c>
      <c r="C924" s="3"/>
      <c r="D924" s="3" t="s">
        <v>258</v>
      </c>
      <c r="E924" s="33"/>
      <c r="F924" s="3" t="s">
        <v>123</v>
      </c>
      <c r="G924" s="7"/>
      <c r="H924" s="7"/>
      <c r="I924" s="12"/>
      <c r="J924" s="5" t="e">
        <f>SUM(SUMIFS(#REF!,#REF!,Planning[[#This Row],[Tipo de Tarea y especialidad]],#REF!,Planning[[#This Row],[Proyectos Reiwa]]),SUMIFS(#REF!,#REF!,Planning[[#This Row],[Tipo de Tarea y especialidad]],#REF!,Planning[[#This Row],[Proyectos]]))</f>
        <v>#REF!</v>
      </c>
      <c r="K924" s="5" t="e">
        <f>Planning[[#This Row],[Horas Planificadas]]+Planning[[#This Row],[Horas ajustadas adicionales]]-Planning[[#This Row],[Horas utilizadas]]</f>
        <v>#REF!</v>
      </c>
      <c r="L924" s="7">
        <v>0</v>
      </c>
      <c r="M924" s="19" t="e">
        <f>Planning[[#This Row],[Saldo]]-Planning[[#This Row],[Saldo estimado]]</f>
        <v>#REF!</v>
      </c>
      <c r="N924" s="60" t="e">
        <f>+SUMIFS(#REF!,#REF!,Planning[[#This Row],[Proyectos]],#REF!,Planning[[#This Row],[Tipo de Tarea y especialidad]])</f>
        <v>#REF!</v>
      </c>
      <c r="O924" s="19">
        <f t="shared" si="28"/>
        <v>10</v>
      </c>
      <c r="P924" s="19">
        <f t="shared" si="29"/>
        <v>2024</v>
      </c>
      <c r="Q9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24" s="19" t="str">
        <f>TEXT(Planning[[#This Row],[Mes]]*29,"mmmm")</f>
        <v>October</v>
      </c>
      <c r="S9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24" s="239"/>
      <c r="U924" s="43">
        <f>IF(Planning[[#This Row],[Horas Planificadas]]&lt;&gt;0,+K924/Planning[[#This Row],[Horas Planificadas]],0)</f>
        <v>0</v>
      </c>
      <c r="V924" s="43">
        <f>IF(Planning[[#This Row],[Horas Planificadas]]&lt;&gt;0,Planning[[#This Row],[Horas utilizadas]]/Planning[[#This Row],[Horas Planificadas]],0)</f>
        <v>0</v>
      </c>
      <c r="W924" s="44">
        <f>Planning[[#This Row],[Horas Planificadas]]+Planning[[#This Row],[Horas ajustadas adicionales]]</f>
        <v>0</v>
      </c>
      <c r="X924" s="142"/>
    </row>
    <row r="925" spans="1:24" ht="12.75" customHeight="1" x14ac:dyDescent="0.2">
      <c r="A925" s="7" t="s">
        <v>117</v>
      </c>
      <c r="B925" s="7" t="s">
        <v>220</v>
      </c>
      <c r="C925" s="3"/>
      <c r="D925" s="3" t="s">
        <v>258</v>
      </c>
      <c r="E925" s="33"/>
      <c r="F925" s="3" t="s">
        <v>124</v>
      </c>
      <c r="G925" s="7"/>
      <c r="H925" s="7"/>
      <c r="I925" s="12"/>
      <c r="J925" s="5" t="e">
        <f>SUM(SUMIFS(#REF!,#REF!,Planning[[#This Row],[Tipo de Tarea y especialidad]],#REF!,Planning[[#This Row],[Proyectos Reiwa]]),SUMIFS(#REF!,#REF!,Planning[[#This Row],[Tipo de Tarea y especialidad]],#REF!,Planning[[#This Row],[Proyectos]]))</f>
        <v>#REF!</v>
      </c>
      <c r="K925" s="5" t="e">
        <f>Planning[[#This Row],[Horas Planificadas]]+Planning[[#This Row],[Horas ajustadas adicionales]]-Planning[[#This Row],[Horas utilizadas]]</f>
        <v>#REF!</v>
      </c>
      <c r="L925" s="7">
        <v>0</v>
      </c>
      <c r="M925" s="19" t="e">
        <f>Planning[[#This Row],[Saldo]]-Planning[[#This Row],[Saldo estimado]]</f>
        <v>#REF!</v>
      </c>
      <c r="N925" s="60" t="e">
        <f>+SUMIFS(#REF!,#REF!,Planning[[#This Row],[Proyectos]],#REF!,Planning[[#This Row],[Tipo de Tarea y especialidad]])</f>
        <v>#REF!</v>
      </c>
      <c r="O925" s="19">
        <f t="shared" si="28"/>
        <v>10</v>
      </c>
      <c r="P925" s="19">
        <f t="shared" si="29"/>
        <v>2024</v>
      </c>
      <c r="Q9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25" s="19" t="str">
        <f>TEXT(Planning[[#This Row],[Mes]]*29,"mmmm")</f>
        <v>October</v>
      </c>
      <c r="S9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25" s="239"/>
      <c r="U925" s="43">
        <f>IF(Planning[[#This Row],[Horas Planificadas]]&lt;&gt;0,+K925/Planning[[#This Row],[Horas Planificadas]],0)</f>
        <v>0</v>
      </c>
      <c r="V925" s="43">
        <f>IF(Planning[[#This Row],[Horas Planificadas]]&lt;&gt;0,Planning[[#This Row],[Horas utilizadas]]/Planning[[#This Row],[Horas Planificadas]],0)</f>
        <v>0</v>
      </c>
      <c r="W925" s="44">
        <f>Planning[[#This Row],[Horas Planificadas]]+Planning[[#This Row],[Horas ajustadas adicionales]]</f>
        <v>0</v>
      </c>
      <c r="X925" s="142"/>
    </row>
    <row r="926" spans="1:24" ht="12.75" customHeight="1" x14ac:dyDescent="0.2">
      <c r="A926" s="7" t="s">
        <v>117</v>
      </c>
      <c r="B926" s="7" t="s">
        <v>220</v>
      </c>
      <c r="C926" s="3"/>
      <c r="D926" s="3" t="s">
        <v>258</v>
      </c>
      <c r="E926" s="33"/>
      <c r="F926" s="3" t="s">
        <v>125</v>
      </c>
      <c r="G926" s="7"/>
      <c r="H926" s="7"/>
      <c r="I926" s="12"/>
      <c r="J926" s="5" t="e">
        <f>SUM(SUMIFS(#REF!,#REF!,Planning[[#This Row],[Tipo de Tarea y especialidad]],#REF!,Planning[[#This Row],[Proyectos Reiwa]]),SUMIFS(#REF!,#REF!,Planning[[#This Row],[Tipo de Tarea y especialidad]],#REF!,Planning[[#This Row],[Proyectos]]))</f>
        <v>#REF!</v>
      </c>
      <c r="K926" s="5" t="e">
        <f>Planning[[#This Row],[Horas Planificadas]]+Planning[[#This Row],[Horas ajustadas adicionales]]-Planning[[#This Row],[Horas utilizadas]]</f>
        <v>#REF!</v>
      </c>
      <c r="L926" s="7">
        <v>9</v>
      </c>
      <c r="M926" s="19" t="e">
        <f>Planning[[#This Row],[Saldo]]-Planning[[#This Row],[Saldo estimado]]</f>
        <v>#REF!</v>
      </c>
      <c r="N926" s="60" t="e">
        <f>+SUMIFS(#REF!,#REF!,Planning[[#This Row],[Proyectos]],#REF!,Planning[[#This Row],[Tipo de Tarea y especialidad]])</f>
        <v>#REF!</v>
      </c>
      <c r="O926" s="19">
        <f t="shared" si="28"/>
        <v>10</v>
      </c>
      <c r="P926" s="19">
        <f t="shared" si="29"/>
        <v>2024</v>
      </c>
      <c r="Q9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26" s="19" t="str">
        <f>TEXT(Planning[[#This Row],[Mes]]*29,"mmmm")</f>
        <v>October</v>
      </c>
      <c r="S9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26" s="239"/>
      <c r="U926" s="43">
        <f>IF(Planning[[#This Row],[Horas Planificadas]]&lt;&gt;0,+K926/Planning[[#This Row],[Horas Planificadas]],0)</f>
        <v>0</v>
      </c>
      <c r="V926" s="43">
        <f>IF(Planning[[#This Row],[Horas Planificadas]]&lt;&gt;0,Planning[[#This Row],[Horas utilizadas]]/Planning[[#This Row],[Horas Planificadas]],0)</f>
        <v>0</v>
      </c>
      <c r="W926" s="44">
        <f>Planning[[#This Row],[Horas Planificadas]]+Planning[[#This Row],[Horas ajustadas adicionales]]</f>
        <v>0</v>
      </c>
      <c r="X926" s="142"/>
    </row>
    <row r="927" spans="1:24" ht="12.75" customHeight="1" x14ac:dyDescent="0.2">
      <c r="A927" s="7" t="s">
        <v>117</v>
      </c>
      <c r="B927" s="7" t="s">
        <v>220</v>
      </c>
      <c r="C927" s="3"/>
      <c r="D927" s="3" t="s">
        <v>258</v>
      </c>
      <c r="E927" s="33"/>
      <c r="F927" s="3" t="s">
        <v>126</v>
      </c>
      <c r="G927" s="7"/>
      <c r="H927" s="7"/>
      <c r="I927" s="12"/>
      <c r="J927" s="5" t="e">
        <f>SUM(SUMIFS(#REF!,#REF!,Planning[[#This Row],[Tipo de Tarea y especialidad]],#REF!,Planning[[#This Row],[Proyectos Reiwa]]),SUMIFS(#REF!,#REF!,Planning[[#This Row],[Tipo de Tarea y especialidad]],#REF!,Planning[[#This Row],[Proyectos]]))</f>
        <v>#REF!</v>
      </c>
      <c r="K927" s="5" t="e">
        <f>Planning[[#This Row],[Horas Planificadas]]+Planning[[#This Row],[Horas ajustadas adicionales]]-Planning[[#This Row],[Horas utilizadas]]</f>
        <v>#REF!</v>
      </c>
      <c r="L927" s="7">
        <v>0</v>
      </c>
      <c r="M927" s="19" t="e">
        <f>Planning[[#This Row],[Saldo]]-Planning[[#This Row],[Saldo estimado]]</f>
        <v>#REF!</v>
      </c>
      <c r="N927" s="60" t="e">
        <f>+SUMIFS(#REF!,#REF!,Planning[[#This Row],[Proyectos]],#REF!,Planning[[#This Row],[Tipo de Tarea y especialidad]])</f>
        <v>#REF!</v>
      </c>
      <c r="O927" s="19">
        <f t="shared" si="28"/>
        <v>10</v>
      </c>
      <c r="P927" s="19">
        <f t="shared" si="29"/>
        <v>2024</v>
      </c>
      <c r="Q9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27" s="19" t="str">
        <f>TEXT(Planning[[#This Row],[Mes]]*29,"mmmm")</f>
        <v>October</v>
      </c>
      <c r="S9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27" s="239"/>
      <c r="U927" s="43">
        <f>IF(Planning[[#This Row],[Horas Planificadas]]&lt;&gt;0,+K927/Planning[[#This Row],[Horas Planificadas]],0)</f>
        <v>0</v>
      </c>
      <c r="V927" s="43">
        <f>IF(Planning[[#This Row],[Horas Planificadas]]&lt;&gt;0,Planning[[#This Row],[Horas utilizadas]]/Planning[[#This Row],[Horas Planificadas]],0)</f>
        <v>0</v>
      </c>
      <c r="W927" s="44">
        <f>Planning[[#This Row],[Horas Planificadas]]+Planning[[#This Row],[Horas ajustadas adicionales]]</f>
        <v>0</v>
      </c>
      <c r="X927" s="142"/>
    </row>
    <row r="928" spans="1:24" ht="12.75" customHeight="1" x14ac:dyDescent="0.2">
      <c r="A928" s="7" t="s">
        <v>117</v>
      </c>
      <c r="B928" s="7" t="s">
        <v>220</v>
      </c>
      <c r="C928" s="3"/>
      <c r="D928" s="3" t="s">
        <v>258</v>
      </c>
      <c r="E928" s="33"/>
      <c r="F928" s="3" t="s">
        <v>127</v>
      </c>
      <c r="G928" s="7"/>
      <c r="H928" s="7"/>
      <c r="I928" s="12"/>
      <c r="J928" s="5" t="e">
        <f>SUM(SUMIFS(#REF!,#REF!,Planning[[#This Row],[Tipo de Tarea y especialidad]],#REF!,Planning[[#This Row],[Proyectos Reiwa]]),SUMIFS(#REF!,#REF!,Planning[[#This Row],[Tipo de Tarea y especialidad]],#REF!,Planning[[#This Row],[Proyectos]]))</f>
        <v>#REF!</v>
      </c>
      <c r="K928" s="5" t="e">
        <f>Planning[[#This Row],[Horas Planificadas]]+Planning[[#This Row],[Horas ajustadas adicionales]]-Planning[[#This Row],[Horas utilizadas]]</f>
        <v>#REF!</v>
      </c>
      <c r="L928" s="7">
        <v>0</v>
      </c>
      <c r="M928" s="19" t="e">
        <f>Planning[[#This Row],[Saldo]]-Planning[[#This Row],[Saldo estimado]]</f>
        <v>#REF!</v>
      </c>
      <c r="N928" s="60" t="e">
        <f>+SUMIFS(#REF!,#REF!,Planning[[#This Row],[Proyectos]],#REF!,Planning[[#This Row],[Tipo de Tarea y especialidad]])</f>
        <v>#REF!</v>
      </c>
      <c r="O928" s="19">
        <f t="shared" si="28"/>
        <v>10</v>
      </c>
      <c r="P928" s="19">
        <f t="shared" si="29"/>
        <v>2024</v>
      </c>
      <c r="Q9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28" s="19" t="str">
        <f>TEXT(Planning[[#This Row],[Mes]]*29,"mmmm")</f>
        <v>October</v>
      </c>
      <c r="S9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28" s="239"/>
      <c r="U928" s="43">
        <f>IF(Planning[[#This Row],[Horas Planificadas]]&lt;&gt;0,+K928/Planning[[#This Row],[Horas Planificadas]],0)</f>
        <v>0</v>
      </c>
      <c r="V928" s="43">
        <f>IF(Planning[[#This Row],[Horas Planificadas]]&lt;&gt;0,Planning[[#This Row],[Horas utilizadas]]/Planning[[#This Row],[Horas Planificadas]],0)</f>
        <v>0</v>
      </c>
      <c r="W928" s="44">
        <f>Planning[[#This Row],[Horas Planificadas]]+Planning[[#This Row],[Horas ajustadas adicionales]]</f>
        <v>0</v>
      </c>
      <c r="X928" s="142"/>
    </row>
    <row r="929" spans="1:24" ht="12.75" customHeight="1" x14ac:dyDescent="0.2">
      <c r="A929" s="7" t="s">
        <v>117</v>
      </c>
      <c r="B929" s="7" t="s">
        <v>220</v>
      </c>
      <c r="C929" s="3"/>
      <c r="D929" s="3" t="s">
        <v>258</v>
      </c>
      <c r="E929" s="33"/>
      <c r="F929" s="3" t="s">
        <v>128</v>
      </c>
      <c r="G929" s="7"/>
      <c r="H929" s="7"/>
      <c r="I929" s="12"/>
      <c r="J929" s="5" t="e">
        <f>SUM(SUMIFS(#REF!,#REF!,Planning[[#This Row],[Tipo de Tarea y especialidad]],#REF!,Planning[[#This Row],[Proyectos Reiwa]]),SUMIFS(#REF!,#REF!,Planning[[#This Row],[Tipo de Tarea y especialidad]],#REF!,Planning[[#This Row],[Proyectos]]))</f>
        <v>#REF!</v>
      </c>
      <c r="K929" s="5" t="e">
        <f>Planning[[#This Row],[Horas Planificadas]]+Planning[[#This Row],[Horas ajustadas adicionales]]-Planning[[#This Row],[Horas utilizadas]]</f>
        <v>#REF!</v>
      </c>
      <c r="L929" s="7">
        <v>0</v>
      </c>
      <c r="M929" s="19" t="e">
        <f>Planning[[#This Row],[Saldo]]-Planning[[#This Row],[Saldo estimado]]</f>
        <v>#REF!</v>
      </c>
      <c r="N929" s="60" t="e">
        <f>+SUMIFS(#REF!,#REF!,Planning[[#This Row],[Proyectos]],#REF!,Planning[[#This Row],[Tipo de Tarea y especialidad]])</f>
        <v>#REF!</v>
      </c>
      <c r="O929" s="19">
        <f t="shared" si="28"/>
        <v>10</v>
      </c>
      <c r="P929" s="19">
        <f t="shared" si="29"/>
        <v>2024</v>
      </c>
      <c r="Q9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29" s="19" t="str">
        <f>TEXT(Planning[[#This Row],[Mes]]*29,"mmmm")</f>
        <v>October</v>
      </c>
      <c r="S9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29" s="239"/>
      <c r="U929" s="43">
        <f>IF(Planning[[#This Row],[Horas Planificadas]]&lt;&gt;0,+K929/Planning[[#This Row],[Horas Planificadas]],0)</f>
        <v>0</v>
      </c>
      <c r="V929" s="43">
        <f>IF(Planning[[#This Row],[Horas Planificadas]]&lt;&gt;0,Planning[[#This Row],[Horas utilizadas]]/Planning[[#This Row],[Horas Planificadas]],0)</f>
        <v>0</v>
      </c>
      <c r="W929" s="44">
        <f>Planning[[#This Row],[Horas Planificadas]]+Planning[[#This Row],[Horas ajustadas adicionales]]</f>
        <v>0</v>
      </c>
      <c r="X929" s="142"/>
    </row>
    <row r="930" spans="1:24" ht="12.75" customHeight="1" x14ac:dyDescent="0.2">
      <c r="A930" s="7" t="s">
        <v>117</v>
      </c>
      <c r="B930" s="7" t="s">
        <v>220</v>
      </c>
      <c r="C930" s="3"/>
      <c r="D930" s="3" t="s">
        <v>258</v>
      </c>
      <c r="E930" s="33" t="s">
        <v>31</v>
      </c>
      <c r="F930" s="3" t="s">
        <v>31</v>
      </c>
      <c r="G930" s="7">
        <v>434</v>
      </c>
      <c r="H930" s="15">
        <v>434</v>
      </c>
      <c r="I930" s="18"/>
      <c r="J930" s="14" t="e">
        <f>+SUMIFS(#REF!,#REF!,Planning[[#This Row],[Tarifa]],#REF!,Planning[[#This Row],[Proyectos]])</f>
        <v>#REF!</v>
      </c>
      <c r="K930" s="14" t="e">
        <f>Planning[[#This Row],[Horas Planificadas]]+Planning[[#This Row],[Horas ajustadas adicionales]]-Planning[[#This Row],[Horas utilizadas]]</f>
        <v>#REF!</v>
      </c>
      <c r="L930" s="15"/>
      <c r="M930" s="16" t="e">
        <f>Planning[[#This Row],[Saldo]]-Planning[[#This Row],[Saldo estimado]]</f>
        <v>#REF!</v>
      </c>
      <c r="N930" s="60"/>
      <c r="O930" s="16">
        <f t="shared" si="28"/>
        <v>10</v>
      </c>
      <c r="P930" s="16">
        <f t="shared" si="29"/>
        <v>2024</v>
      </c>
      <c r="Q930" s="16" t="e">
        <f>+SUMIFS(#REF!,#REF!,Planning[[#This Row],[Tarifa]],#REF!,Planning[[#This Row],[Proyectos]],#REF!,Planning[[#This Row],[Mes]],#REF!,Planning[[#This Row],[Año]])</f>
        <v>#REF!</v>
      </c>
      <c r="R930" s="16" t="str">
        <f>TEXT(Planning[[#This Row],[Mes]]*29,"mmmm")</f>
        <v>October</v>
      </c>
      <c r="S9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30" s="239"/>
      <c r="U930" s="43" t="e">
        <f>IF(Planning[[#This Row],[Horas Planificadas]]&lt;&gt;0,+K930/Planning[[#This Row],[Horas Planificadas]],0)</f>
        <v>#REF!</v>
      </c>
      <c r="V930" s="43" t="e">
        <f>IF(Planning[[#This Row],[Horas Planificadas]]&lt;&gt;0,Planning[[#This Row],[Horas utilizadas]]/Planning[[#This Row],[Horas Planificadas]],0)</f>
        <v>#REF!</v>
      </c>
      <c r="W930" s="44">
        <f>Planning[[#This Row],[Horas Planificadas]]+Planning[[#This Row],[Horas ajustadas adicionales]]</f>
        <v>434</v>
      </c>
      <c r="X930" s="142"/>
    </row>
    <row r="931" spans="1:24" ht="12.75" customHeight="1" x14ac:dyDescent="0.2">
      <c r="A931" s="7" t="s">
        <v>117</v>
      </c>
      <c r="B931" s="7" t="s">
        <v>220</v>
      </c>
      <c r="C931" s="3"/>
      <c r="D931" s="3" t="s">
        <v>258</v>
      </c>
      <c r="E931" s="33" t="s">
        <v>32</v>
      </c>
      <c r="F931" s="3"/>
      <c r="G931" s="7">
        <v>1044</v>
      </c>
      <c r="H931" s="24">
        <f>SUM(H932:H934)</f>
        <v>1188</v>
      </c>
      <c r="I931" s="14"/>
      <c r="J931" s="14" t="e">
        <f>SUM(J932:J934)</f>
        <v>#REF!</v>
      </c>
      <c r="K931" s="18" t="e">
        <f>SUM(K932:K934)</f>
        <v>#REF!</v>
      </c>
      <c r="L931" s="15">
        <f>SUM(L932:L934)</f>
        <v>0</v>
      </c>
      <c r="M931" s="16" t="e">
        <f>SUM(M932:M934)</f>
        <v>#REF!</v>
      </c>
      <c r="N931" s="60"/>
      <c r="O931" s="16">
        <f t="shared" si="28"/>
        <v>10</v>
      </c>
      <c r="P931" s="16">
        <f t="shared" si="29"/>
        <v>2024</v>
      </c>
      <c r="Q931" s="16" t="e">
        <f>SUM(Q932:Q934)</f>
        <v>#REF!</v>
      </c>
      <c r="R931" s="16" t="str">
        <f>TEXT(Planning[[#This Row],[Mes]]*29,"mmmm")</f>
        <v>October</v>
      </c>
      <c r="S9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31" s="239"/>
      <c r="U931" s="43" t="e">
        <f>IF(Planning[[#This Row],[Horas Planificadas]]&lt;&gt;0,+K931/Planning[[#This Row],[Horas Planificadas]],0)</f>
        <v>#REF!</v>
      </c>
      <c r="V931" s="43" t="e">
        <f>IF(Planning[[#This Row],[Horas Planificadas]]&lt;&gt;0,Planning[[#This Row],[Horas utilizadas]]/Planning[[#This Row],[Horas Planificadas]],0)</f>
        <v>#REF!</v>
      </c>
      <c r="W931" s="44">
        <f>Planning[[#This Row],[Horas Planificadas]]+Planning[[#This Row],[Horas ajustadas adicionales]]</f>
        <v>1188</v>
      </c>
      <c r="X931" s="142"/>
    </row>
    <row r="932" spans="1:24" ht="12.75" customHeight="1" x14ac:dyDescent="0.2">
      <c r="A932" s="7" t="s">
        <v>117</v>
      </c>
      <c r="B932" s="7" t="s">
        <v>220</v>
      </c>
      <c r="C932" s="3"/>
      <c r="D932" s="3" t="s">
        <v>258</v>
      </c>
      <c r="E932" s="33"/>
      <c r="F932" s="3" t="s">
        <v>129</v>
      </c>
      <c r="G932" s="7"/>
      <c r="H932" s="7">
        <v>1188</v>
      </c>
      <c r="I932" s="12"/>
      <c r="J932" s="5" t="e">
        <f>SUM(SUMIFS(#REF!,#REF!,Planning[[#This Row],[Tipo de Tarea y especialidad]],#REF!,Planning[[#This Row],[Proyectos Reiwa]]),SUMIFS(#REF!,#REF!,Planning[[#This Row],[Tipo de Tarea y especialidad]],#REF!,Planning[[#This Row],[Proyectos]]))</f>
        <v>#REF!</v>
      </c>
      <c r="K932" s="5" t="e">
        <f>Planning[[#This Row],[Horas Planificadas]]+Planning[[#This Row],[Horas ajustadas adicionales]]-Planning[[#This Row],[Horas utilizadas]]</f>
        <v>#REF!</v>
      </c>
      <c r="L932" s="7">
        <v>0</v>
      </c>
      <c r="M932" s="19" t="e">
        <f>Planning[[#This Row],[Saldo]]-Planning[[#This Row],[Saldo estimado]]</f>
        <v>#REF!</v>
      </c>
      <c r="N932" s="60" t="e">
        <f>+SUMIFS(#REF!,#REF!,Planning[[#This Row],[Proyectos]],#REF!,Planning[[#This Row],[Tipo de Tarea y especialidad]])</f>
        <v>#REF!</v>
      </c>
      <c r="O932" s="19">
        <f t="shared" si="28"/>
        <v>10</v>
      </c>
      <c r="P932" s="19">
        <f t="shared" si="29"/>
        <v>2024</v>
      </c>
      <c r="Q9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32" s="19" t="str">
        <f>TEXT(Planning[[#This Row],[Mes]]*29,"mmmm")</f>
        <v>October</v>
      </c>
      <c r="S9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32" s="239"/>
      <c r="U932" s="43" t="e">
        <f>IF(Planning[[#This Row],[Horas Planificadas]]&lt;&gt;0,+K932/Planning[[#This Row],[Horas Planificadas]],0)</f>
        <v>#REF!</v>
      </c>
      <c r="V932" s="43" t="e">
        <f>IF(Planning[[#This Row],[Horas Planificadas]]&lt;&gt;0,Planning[[#This Row],[Horas utilizadas]]/Planning[[#This Row],[Horas Planificadas]],0)</f>
        <v>#REF!</v>
      </c>
      <c r="W932" s="44">
        <f>Planning[[#This Row],[Horas Planificadas]]+Planning[[#This Row],[Horas ajustadas adicionales]]</f>
        <v>1188</v>
      </c>
      <c r="X932" s="142"/>
    </row>
    <row r="933" spans="1:24" ht="12.75" customHeight="1" x14ac:dyDescent="0.2">
      <c r="A933" s="7" t="s">
        <v>117</v>
      </c>
      <c r="B933" s="7" t="s">
        <v>220</v>
      </c>
      <c r="C933" s="3"/>
      <c r="D933" s="3" t="s">
        <v>258</v>
      </c>
      <c r="E933" s="33"/>
      <c r="F933" s="3" t="s">
        <v>130</v>
      </c>
      <c r="G933" s="7"/>
      <c r="H933" s="7"/>
      <c r="I933" s="12"/>
      <c r="J933" s="5" t="e">
        <f>SUM(SUMIFS(#REF!,#REF!,Planning[[#This Row],[Tipo de Tarea y especialidad]],#REF!,Planning[[#This Row],[Proyectos Reiwa]]),SUMIFS(#REF!,#REF!,Planning[[#This Row],[Tipo de Tarea y especialidad]],#REF!,Planning[[#This Row],[Proyectos]]))</f>
        <v>#REF!</v>
      </c>
      <c r="K933" s="5" t="e">
        <f>Planning[[#This Row],[Horas Planificadas]]+Planning[[#This Row],[Horas ajustadas adicionales]]-Planning[[#This Row],[Horas utilizadas]]</f>
        <v>#REF!</v>
      </c>
      <c r="L933" s="7">
        <v>0</v>
      </c>
      <c r="M933" s="19" t="e">
        <f>Planning[[#This Row],[Saldo]]-Planning[[#This Row],[Saldo estimado]]</f>
        <v>#REF!</v>
      </c>
      <c r="N933" s="60" t="e">
        <f>+SUMIFS(#REF!,#REF!,Planning[[#This Row],[Proyectos]],#REF!,Planning[[#This Row],[Tipo de Tarea y especialidad]])</f>
        <v>#REF!</v>
      </c>
      <c r="O933" s="19">
        <f t="shared" si="28"/>
        <v>10</v>
      </c>
      <c r="P933" s="19">
        <f t="shared" si="29"/>
        <v>2024</v>
      </c>
      <c r="Q9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33" s="19" t="str">
        <f>TEXT(Planning[[#This Row],[Mes]]*29,"mmmm")</f>
        <v>October</v>
      </c>
      <c r="S9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33" s="239"/>
      <c r="U933" s="43">
        <f>IF(Planning[[#This Row],[Horas Planificadas]]&lt;&gt;0,+K933/Planning[[#This Row],[Horas Planificadas]],0)</f>
        <v>0</v>
      </c>
      <c r="V933" s="43">
        <f>IF(Planning[[#This Row],[Horas Planificadas]]&lt;&gt;0,Planning[[#This Row],[Horas utilizadas]]/Planning[[#This Row],[Horas Planificadas]],0)</f>
        <v>0</v>
      </c>
      <c r="W933" s="44">
        <f>Planning[[#This Row],[Horas Planificadas]]+Planning[[#This Row],[Horas ajustadas adicionales]]</f>
        <v>0</v>
      </c>
      <c r="X933" s="142"/>
    </row>
    <row r="934" spans="1:24" ht="27.75" customHeight="1" x14ac:dyDescent="0.2">
      <c r="A934" s="7" t="s">
        <v>117</v>
      </c>
      <c r="B934" s="7" t="s">
        <v>220</v>
      </c>
      <c r="C934" s="3"/>
      <c r="D934" s="3" t="s">
        <v>258</v>
      </c>
      <c r="E934" s="33"/>
      <c r="F934" s="3" t="s">
        <v>131</v>
      </c>
      <c r="G934" s="7"/>
      <c r="H934" s="7"/>
      <c r="I934" s="12"/>
      <c r="J934" s="5" t="e">
        <f>SUM(SUMIFS(#REF!,#REF!,Planning[[#This Row],[Tipo de Tarea y especialidad]],#REF!,Planning[[#This Row],[Proyectos Reiwa]]),SUMIFS(#REF!,#REF!,Planning[[#This Row],[Tipo de Tarea y especialidad]],#REF!,Planning[[#This Row],[Proyectos]]))</f>
        <v>#REF!</v>
      </c>
      <c r="K934" s="5" t="e">
        <f>Planning[[#This Row],[Horas Planificadas]]+Planning[[#This Row],[Horas ajustadas adicionales]]-Planning[[#This Row],[Horas utilizadas]]</f>
        <v>#REF!</v>
      </c>
      <c r="L934" s="7">
        <v>0</v>
      </c>
      <c r="M934" s="19" t="e">
        <f>Planning[[#This Row],[Saldo]]-Planning[[#This Row],[Saldo estimado]]</f>
        <v>#REF!</v>
      </c>
      <c r="N934" s="60" t="e">
        <f>+SUMIFS(#REF!,#REF!,Planning[[#This Row],[Proyectos]],#REF!,Planning[[#This Row],[Tipo de Tarea y especialidad]])</f>
        <v>#REF!</v>
      </c>
      <c r="O934" s="19">
        <f t="shared" si="28"/>
        <v>10</v>
      </c>
      <c r="P934" s="19">
        <f t="shared" si="29"/>
        <v>2024</v>
      </c>
      <c r="Q9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934" s="19" t="str">
        <f>TEXT(Planning[[#This Row],[Mes]]*29,"mmmm")</f>
        <v>October</v>
      </c>
      <c r="S9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34" s="239"/>
      <c r="U934" s="43">
        <f>IF(Planning[[#This Row],[Horas Planificadas]]&lt;&gt;0,+K934/Planning[[#This Row],[Horas Planificadas]],0)</f>
        <v>0</v>
      </c>
      <c r="V934" s="43">
        <f>IF(Planning[[#This Row],[Horas Planificadas]]&lt;&gt;0,Planning[[#This Row],[Horas utilizadas]]/Planning[[#This Row],[Horas Planificadas]],0)</f>
        <v>0</v>
      </c>
      <c r="W934" s="44">
        <f>Planning[[#This Row],[Horas Planificadas]]+Planning[[#This Row],[Horas ajustadas adicionales]]</f>
        <v>0</v>
      </c>
      <c r="X934" s="142"/>
    </row>
    <row r="935" spans="1:24" ht="12.75" customHeight="1" x14ac:dyDescent="0.2">
      <c r="A935" s="7"/>
      <c r="B935" s="7"/>
      <c r="C935" s="3"/>
      <c r="D935" s="3" t="s">
        <v>260</v>
      </c>
      <c r="E935" s="33" t="s">
        <v>28</v>
      </c>
      <c r="F935" s="3"/>
      <c r="G935" s="7"/>
      <c r="H935" s="7">
        <v>162</v>
      </c>
      <c r="I935" s="12"/>
      <c r="J935" s="5" t="e">
        <f>+SUMIFS(#REF!,#REF!,Planning[[#This Row],[Tarifa]],#REF!,Planning[[#This Row],[Proyectos]])</f>
        <v>#REF!</v>
      </c>
      <c r="K935" s="5" t="e">
        <f>Planning[[#This Row],[Horas Planificadas]]+Planning[[#This Row],[Horas ajustadas adicionales]]-Planning[[#This Row],[Horas utilizadas]]</f>
        <v>#REF!</v>
      </c>
      <c r="L935" s="7"/>
      <c r="M935" s="19" t="e">
        <f>Planning[[#This Row],[Saldo]]-Planning[[#This Row],[Saldo estimado]]</f>
        <v>#REF!</v>
      </c>
      <c r="N935" s="60" t="e">
        <f>+SUMIFS(#REF!,#REF!,Planning[[#This Row],[Proyectos]],#REF!,Planning[[#This Row],[Tipo de Tarea y especialidad]])</f>
        <v>#REF!</v>
      </c>
      <c r="O935" s="19">
        <f t="shared" si="28"/>
        <v>10</v>
      </c>
      <c r="P935" s="19">
        <f t="shared" si="29"/>
        <v>2024</v>
      </c>
      <c r="Q935" s="19" t="e">
        <f>+SUMIFS(#REF!,#REF!,Planning[[#This Row],[Tarifa]],#REF!,Planning[[#This Row],[Proyectos]],#REF!,Planning[[#This Row],[Mes]],#REF!,Planning[[#This Row],[Año]])</f>
        <v>#REF!</v>
      </c>
      <c r="R935" s="19" t="str">
        <f>TEXT(Planning[[#This Row],[Mes]]*29,"mmmm")</f>
        <v>October</v>
      </c>
      <c r="S9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35" s="228"/>
      <c r="U935" s="43" t="e">
        <f>IF(Planning[[#This Row],[Horas Planificadas]]&lt;&gt;0,+K935/Planning[[#This Row],[Horas Planificadas]],0)</f>
        <v>#REF!</v>
      </c>
      <c r="V935" s="43" t="e">
        <f>IF(Planning[[#This Row],[Horas Planificadas]]&lt;&gt;0,Planning[[#This Row],[Horas utilizadas]]/Planning[[#This Row],[Horas Planificadas]],0)</f>
        <v>#REF!</v>
      </c>
      <c r="W935" s="44">
        <f>Planning[[#This Row],[Horas Planificadas]]+Planning[[#This Row],[Horas ajustadas adicionales]]</f>
        <v>162</v>
      </c>
      <c r="X935" s="142"/>
    </row>
    <row r="936" spans="1:24" ht="12.75" customHeight="1" x14ac:dyDescent="0.2">
      <c r="A936" s="7"/>
      <c r="B936" s="7"/>
      <c r="C936" s="3"/>
      <c r="D936" s="3" t="s">
        <v>260</v>
      </c>
      <c r="E936" s="33" t="s">
        <v>30</v>
      </c>
      <c r="F936" s="3"/>
      <c r="G936" s="7"/>
      <c r="H936" s="7">
        <v>273</v>
      </c>
      <c r="I936" s="12"/>
      <c r="J936" s="5" t="e">
        <f>+SUMIFS(#REF!,#REF!,Planning[[#This Row],[Tarifa]],#REF!,Planning[[#This Row],[Proyectos]])</f>
        <v>#REF!</v>
      </c>
      <c r="K936" s="5" t="e">
        <f>Planning[[#This Row],[Horas Planificadas]]+Planning[[#This Row],[Horas ajustadas adicionales]]-Planning[[#This Row],[Horas utilizadas]]</f>
        <v>#REF!</v>
      </c>
      <c r="L936" s="7"/>
      <c r="M936" s="19" t="e">
        <f>Planning[[#This Row],[Saldo]]-Planning[[#This Row],[Saldo estimado]]</f>
        <v>#REF!</v>
      </c>
      <c r="N936" s="60" t="e">
        <f>+SUMIFS(#REF!,#REF!,Planning[[#This Row],[Proyectos]],#REF!,Planning[[#This Row],[Tipo de Tarea y especialidad]])</f>
        <v>#REF!</v>
      </c>
      <c r="O936" s="19">
        <f t="shared" si="28"/>
        <v>10</v>
      </c>
      <c r="P936" s="19">
        <f t="shared" si="29"/>
        <v>2024</v>
      </c>
      <c r="Q936" s="19" t="e">
        <f>+SUMIFS(#REF!,#REF!,Planning[[#This Row],[Tarifa]],#REF!,Planning[[#This Row],[Proyectos]],#REF!,Planning[[#This Row],[Mes]],#REF!,Planning[[#This Row],[Año]])</f>
        <v>#REF!</v>
      </c>
      <c r="R936" s="19" t="str">
        <f>TEXT(Planning[[#This Row],[Mes]]*29,"mmmm")</f>
        <v>October</v>
      </c>
      <c r="S9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36" s="228"/>
      <c r="U936" s="43" t="e">
        <f>IF(Planning[[#This Row],[Horas Planificadas]]&lt;&gt;0,+K936/Planning[[#This Row],[Horas Planificadas]],0)</f>
        <v>#REF!</v>
      </c>
      <c r="V936" s="43" t="e">
        <f>IF(Planning[[#This Row],[Horas Planificadas]]&lt;&gt;0,Planning[[#This Row],[Horas utilizadas]]/Planning[[#This Row],[Horas Planificadas]],0)</f>
        <v>#REF!</v>
      </c>
      <c r="W936" s="44">
        <f>Planning[[#This Row],[Horas Planificadas]]+Planning[[#This Row],[Horas ajustadas adicionales]]</f>
        <v>273</v>
      </c>
      <c r="X936" s="142"/>
    </row>
    <row r="937" spans="1:24" ht="12.75" customHeight="1" x14ac:dyDescent="0.2">
      <c r="A937" s="7"/>
      <c r="B937" s="7"/>
      <c r="C937" s="3"/>
      <c r="D937" s="3" t="s">
        <v>260</v>
      </c>
      <c r="E937" s="33" t="s">
        <v>31</v>
      </c>
      <c r="F937" s="3"/>
      <c r="G937" s="7"/>
      <c r="H937" s="7">
        <v>60</v>
      </c>
      <c r="I937" s="12"/>
      <c r="J937" s="5" t="e">
        <f>+SUMIFS(#REF!,#REF!,Planning[[#This Row],[Tarifa]],#REF!,Planning[[#This Row],[Proyectos]])</f>
        <v>#REF!</v>
      </c>
      <c r="K937" s="5" t="e">
        <f>Planning[[#This Row],[Horas Planificadas]]+Planning[[#This Row],[Horas ajustadas adicionales]]-Planning[[#This Row],[Horas utilizadas]]</f>
        <v>#REF!</v>
      </c>
      <c r="L937" s="7"/>
      <c r="M937" s="19" t="e">
        <f>Planning[[#This Row],[Saldo]]-Planning[[#This Row],[Saldo estimado]]</f>
        <v>#REF!</v>
      </c>
      <c r="N937" s="60" t="e">
        <f>+SUMIFS(#REF!,#REF!,Planning[[#This Row],[Proyectos]],#REF!,Planning[[#This Row],[Tipo de Tarea y especialidad]])</f>
        <v>#REF!</v>
      </c>
      <c r="O937" s="19">
        <f t="shared" si="28"/>
        <v>10</v>
      </c>
      <c r="P937" s="19">
        <f t="shared" si="29"/>
        <v>2024</v>
      </c>
      <c r="Q937" s="19" t="e">
        <f>+SUMIFS(#REF!,#REF!,Planning[[#This Row],[Tarifa]],#REF!,Planning[[#This Row],[Proyectos]],#REF!,Planning[[#This Row],[Mes]],#REF!,Planning[[#This Row],[Año]])</f>
        <v>#REF!</v>
      </c>
      <c r="R937" s="19" t="str">
        <f>TEXT(Planning[[#This Row],[Mes]]*29,"mmmm")</f>
        <v>October</v>
      </c>
      <c r="S9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37" s="228"/>
      <c r="U937" s="43" t="e">
        <f>IF(Planning[[#This Row],[Horas Planificadas]]&lt;&gt;0,+K937/Planning[[#This Row],[Horas Planificadas]],0)</f>
        <v>#REF!</v>
      </c>
      <c r="V937" s="43" t="e">
        <f>IF(Planning[[#This Row],[Horas Planificadas]]&lt;&gt;0,Planning[[#This Row],[Horas utilizadas]]/Planning[[#This Row],[Horas Planificadas]],0)</f>
        <v>#REF!</v>
      </c>
      <c r="W937" s="44">
        <f>Planning[[#This Row],[Horas Planificadas]]+Planning[[#This Row],[Horas ajustadas adicionales]]</f>
        <v>60</v>
      </c>
      <c r="X937" s="142"/>
    </row>
    <row r="938" spans="1:24" ht="12.75" customHeight="1" x14ac:dyDescent="0.2">
      <c r="A938" s="7"/>
      <c r="B938" s="7"/>
      <c r="C938" s="3"/>
      <c r="D938" s="3" t="s">
        <v>260</v>
      </c>
      <c r="E938" s="33" t="s">
        <v>32</v>
      </c>
      <c r="F938" s="3"/>
      <c r="G938" s="7"/>
      <c r="H938" s="7">
        <v>126</v>
      </c>
      <c r="I938" s="12"/>
      <c r="J938" s="5" t="e">
        <f>+SUMIFS(#REF!,#REF!,Planning[[#This Row],[Tarifa]],#REF!,Planning[[#This Row],[Proyectos]])</f>
        <v>#REF!</v>
      </c>
      <c r="K938" s="5" t="e">
        <f>Planning[[#This Row],[Horas Planificadas]]+Planning[[#This Row],[Horas ajustadas adicionales]]-Planning[[#This Row],[Horas utilizadas]]</f>
        <v>#REF!</v>
      </c>
      <c r="L938" s="7"/>
      <c r="M938" s="19" t="e">
        <f>Planning[[#This Row],[Saldo]]-Planning[[#This Row],[Saldo estimado]]</f>
        <v>#REF!</v>
      </c>
      <c r="N938" s="60" t="e">
        <f>+SUMIFS(#REF!,#REF!,Planning[[#This Row],[Proyectos]],#REF!,Planning[[#This Row],[Tipo de Tarea y especialidad]])</f>
        <v>#REF!</v>
      </c>
      <c r="O938" s="19">
        <f t="shared" si="28"/>
        <v>10</v>
      </c>
      <c r="P938" s="19">
        <f t="shared" si="29"/>
        <v>2024</v>
      </c>
      <c r="Q938" s="19" t="e">
        <f>+SUMIFS(#REF!,#REF!,Planning[[#This Row],[Tarifa]],#REF!,Planning[[#This Row],[Proyectos]],#REF!,Planning[[#This Row],[Mes]],#REF!,Planning[[#This Row],[Año]])</f>
        <v>#REF!</v>
      </c>
      <c r="R938" s="19" t="str">
        <f>TEXT(Planning[[#This Row],[Mes]]*29,"mmmm")</f>
        <v>October</v>
      </c>
      <c r="S9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38" s="228"/>
      <c r="U938" s="43" t="e">
        <f>IF(Planning[[#This Row],[Horas Planificadas]]&lt;&gt;0,+K938/Planning[[#This Row],[Horas Planificadas]],0)</f>
        <v>#REF!</v>
      </c>
      <c r="V938" s="43" t="e">
        <f>IF(Planning[[#This Row],[Horas Planificadas]]&lt;&gt;0,Planning[[#This Row],[Horas utilizadas]]/Planning[[#This Row],[Horas Planificadas]],0)</f>
        <v>#REF!</v>
      </c>
      <c r="W938" s="44">
        <f>Planning[[#This Row],[Horas Planificadas]]+Planning[[#This Row],[Horas ajustadas adicionales]]</f>
        <v>126</v>
      </c>
      <c r="X938" s="142"/>
    </row>
    <row r="939" spans="1:24" ht="12.75" customHeight="1" x14ac:dyDescent="0.2">
      <c r="A939" s="7"/>
      <c r="B939" s="7"/>
      <c r="C939" s="3"/>
      <c r="D939" s="3" t="s">
        <v>261</v>
      </c>
      <c r="E939" s="33" t="s">
        <v>28</v>
      </c>
      <c r="F939" s="3"/>
      <c r="G939" s="7"/>
      <c r="H939" s="7">
        <v>0</v>
      </c>
      <c r="I939" s="12"/>
      <c r="J939" s="5" t="e">
        <f>+SUMIFS(#REF!,#REF!,Planning[[#This Row],[Tarifa]],#REF!,Planning[[#This Row],[Proyectos]])</f>
        <v>#REF!</v>
      </c>
      <c r="K939" s="5" t="e">
        <f>Planning[[#This Row],[Horas Planificadas]]+Planning[[#This Row],[Horas ajustadas adicionales]]-Planning[[#This Row],[Horas utilizadas]]</f>
        <v>#REF!</v>
      </c>
      <c r="L939" s="7"/>
      <c r="M939" s="19" t="e">
        <f>Planning[[#This Row],[Saldo]]-Planning[[#This Row],[Saldo estimado]]</f>
        <v>#REF!</v>
      </c>
      <c r="N939" s="60" t="e">
        <f>+SUMIFS(#REF!,#REF!,Planning[[#This Row],[Proyectos]],#REF!,Planning[[#This Row],[Tipo de Tarea y especialidad]])</f>
        <v>#REF!</v>
      </c>
      <c r="O939" s="19">
        <f t="shared" si="28"/>
        <v>10</v>
      </c>
      <c r="P939" s="19">
        <f t="shared" si="29"/>
        <v>2024</v>
      </c>
      <c r="Q939" s="19" t="e">
        <f>+SUMIFS(#REF!,#REF!,Planning[[#This Row],[Tarifa]],#REF!,Planning[[#This Row],[Proyectos]],#REF!,Planning[[#This Row],[Mes]],#REF!,Planning[[#This Row],[Año]])</f>
        <v>#REF!</v>
      </c>
      <c r="R939" s="19" t="str">
        <f>TEXT(Planning[[#This Row],[Mes]]*29,"mmmm")</f>
        <v>October</v>
      </c>
      <c r="S9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39" s="228"/>
      <c r="U939" s="43">
        <f>IF(Planning[[#This Row],[Horas Planificadas]]&lt;&gt;0,+K939/Planning[[#This Row],[Horas Planificadas]],0)</f>
        <v>0</v>
      </c>
      <c r="V939" s="43">
        <f>IF(Planning[[#This Row],[Horas Planificadas]]&lt;&gt;0,Planning[[#This Row],[Horas utilizadas]]/Planning[[#This Row],[Horas Planificadas]],0)</f>
        <v>0</v>
      </c>
      <c r="W939" s="44">
        <f>Planning[[#This Row],[Horas Planificadas]]+Planning[[#This Row],[Horas ajustadas adicionales]]</f>
        <v>0</v>
      </c>
      <c r="X939" s="142"/>
    </row>
    <row r="940" spans="1:24" ht="12.75" customHeight="1" x14ac:dyDescent="0.2">
      <c r="A940" s="7"/>
      <c r="B940" s="7"/>
      <c r="C940" s="3"/>
      <c r="D940" s="3" t="s">
        <v>261</v>
      </c>
      <c r="E940" s="33" t="s">
        <v>30</v>
      </c>
      <c r="F940" s="3"/>
      <c r="G940" s="7"/>
      <c r="H940" s="7">
        <v>43</v>
      </c>
      <c r="I940" s="12"/>
      <c r="J940" s="5" t="e">
        <f>+SUMIFS(#REF!,#REF!,Planning[[#This Row],[Tarifa]],#REF!,Planning[[#This Row],[Proyectos]])</f>
        <v>#REF!</v>
      </c>
      <c r="K940" s="5" t="e">
        <f>Planning[[#This Row],[Horas Planificadas]]+Planning[[#This Row],[Horas ajustadas adicionales]]-Planning[[#This Row],[Horas utilizadas]]</f>
        <v>#REF!</v>
      </c>
      <c r="L940" s="7"/>
      <c r="M940" s="19" t="e">
        <f>Planning[[#This Row],[Saldo]]-Planning[[#This Row],[Saldo estimado]]</f>
        <v>#REF!</v>
      </c>
      <c r="N940" s="60" t="e">
        <f>+SUMIFS(#REF!,#REF!,Planning[[#This Row],[Proyectos]],#REF!,Planning[[#This Row],[Tipo de Tarea y especialidad]])</f>
        <v>#REF!</v>
      </c>
      <c r="O940" s="19">
        <f t="shared" si="28"/>
        <v>10</v>
      </c>
      <c r="P940" s="19">
        <f t="shared" si="29"/>
        <v>2024</v>
      </c>
      <c r="Q940" s="19" t="e">
        <f>+SUMIFS(#REF!,#REF!,Planning[[#This Row],[Tarifa]],#REF!,Planning[[#This Row],[Proyectos]],#REF!,Planning[[#This Row],[Mes]],#REF!,Planning[[#This Row],[Año]])</f>
        <v>#REF!</v>
      </c>
      <c r="R940" s="19" t="str">
        <f>TEXT(Planning[[#This Row],[Mes]]*29,"mmmm")</f>
        <v>October</v>
      </c>
      <c r="S9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40" s="228"/>
      <c r="U940" s="43" t="e">
        <f>IF(Planning[[#This Row],[Horas Planificadas]]&lt;&gt;0,+K940/Planning[[#This Row],[Horas Planificadas]],0)</f>
        <v>#REF!</v>
      </c>
      <c r="V940" s="43" t="e">
        <f>IF(Planning[[#This Row],[Horas Planificadas]]&lt;&gt;0,Planning[[#This Row],[Horas utilizadas]]/Planning[[#This Row],[Horas Planificadas]],0)</f>
        <v>#REF!</v>
      </c>
      <c r="W940" s="44">
        <f>Planning[[#This Row],[Horas Planificadas]]+Planning[[#This Row],[Horas ajustadas adicionales]]</f>
        <v>43</v>
      </c>
      <c r="X940" s="142"/>
    </row>
    <row r="941" spans="1:24" ht="12.75" customHeight="1" x14ac:dyDescent="0.2">
      <c r="A941" s="7"/>
      <c r="B941" s="7"/>
      <c r="C941" s="3"/>
      <c r="D941" s="3" t="s">
        <v>261</v>
      </c>
      <c r="E941" s="33" t="s">
        <v>31</v>
      </c>
      <c r="F941" s="3"/>
      <c r="G941" s="7"/>
      <c r="H941" s="7">
        <v>18</v>
      </c>
      <c r="I941" s="12"/>
      <c r="J941" s="5" t="e">
        <f>+SUMIFS(#REF!,#REF!,Planning[[#This Row],[Tarifa]],#REF!,Planning[[#This Row],[Proyectos]])</f>
        <v>#REF!</v>
      </c>
      <c r="K941" s="5" t="e">
        <f>Planning[[#This Row],[Horas Planificadas]]+Planning[[#This Row],[Horas ajustadas adicionales]]-Planning[[#This Row],[Horas utilizadas]]</f>
        <v>#REF!</v>
      </c>
      <c r="L941" s="7"/>
      <c r="M941" s="19" t="e">
        <f>Planning[[#This Row],[Saldo]]-Planning[[#This Row],[Saldo estimado]]</f>
        <v>#REF!</v>
      </c>
      <c r="N941" s="60" t="e">
        <f>+SUMIFS(#REF!,#REF!,Planning[[#This Row],[Proyectos]],#REF!,Planning[[#This Row],[Tipo de Tarea y especialidad]])</f>
        <v>#REF!</v>
      </c>
      <c r="O941" s="19">
        <f t="shared" si="28"/>
        <v>10</v>
      </c>
      <c r="P941" s="19">
        <f t="shared" si="29"/>
        <v>2024</v>
      </c>
      <c r="Q941" s="19" t="e">
        <f>+SUMIFS(#REF!,#REF!,Planning[[#This Row],[Tarifa]],#REF!,Planning[[#This Row],[Proyectos]],#REF!,Planning[[#This Row],[Mes]],#REF!,Planning[[#This Row],[Año]])</f>
        <v>#REF!</v>
      </c>
      <c r="R941" s="19" t="str">
        <f>TEXT(Planning[[#This Row],[Mes]]*29,"mmmm")</f>
        <v>October</v>
      </c>
      <c r="S9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41" s="228"/>
      <c r="U941" s="43" t="e">
        <f>IF(Planning[[#This Row],[Horas Planificadas]]&lt;&gt;0,+K941/Planning[[#This Row],[Horas Planificadas]],0)</f>
        <v>#REF!</v>
      </c>
      <c r="V941" s="43" t="e">
        <f>IF(Planning[[#This Row],[Horas Planificadas]]&lt;&gt;0,Planning[[#This Row],[Horas utilizadas]]/Planning[[#This Row],[Horas Planificadas]],0)</f>
        <v>#REF!</v>
      </c>
      <c r="W941" s="44">
        <f>Planning[[#This Row],[Horas Planificadas]]+Planning[[#This Row],[Horas ajustadas adicionales]]</f>
        <v>18</v>
      </c>
      <c r="X941" s="142"/>
    </row>
    <row r="942" spans="1:24" ht="12.75" customHeight="1" x14ac:dyDescent="0.2">
      <c r="A942" s="7"/>
      <c r="B942" s="7"/>
      <c r="C942" s="3"/>
      <c r="D942" s="3" t="s">
        <v>261</v>
      </c>
      <c r="E942" s="33" t="s">
        <v>32</v>
      </c>
      <c r="F942" s="3"/>
      <c r="G942" s="7"/>
      <c r="H942" s="7">
        <v>45</v>
      </c>
      <c r="I942" s="12"/>
      <c r="J942" s="5" t="e">
        <f>+SUMIFS(#REF!,#REF!,Planning[[#This Row],[Tarifa]],#REF!,Planning[[#This Row],[Proyectos]])</f>
        <v>#REF!</v>
      </c>
      <c r="K942" s="5" t="e">
        <f>Planning[[#This Row],[Horas Planificadas]]+Planning[[#This Row],[Horas ajustadas adicionales]]-Planning[[#This Row],[Horas utilizadas]]</f>
        <v>#REF!</v>
      </c>
      <c r="L942" s="7"/>
      <c r="M942" s="19" t="e">
        <f>Planning[[#This Row],[Saldo]]-Planning[[#This Row],[Saldo estimado]]</f>
        <v>#REF!</v>
      </c>
      <c r="N942" s="60" t="e">
        <f>+SUMIFS(#REF!,#REF!,Planning[[#This Row],[Proyectos]],#REF!,Planning[[#This Row],[Tipo de Tarea y especialidad]])</f>
        <v>#REF!</v>
      </c>
      <c r="O942" s="19">
        <f t="shared" si="28"/>
        <v>10</v>
      </c>
      <c r="P942" s="19">
        <f t="shared" si="29"/>
        <v>2024</v>
      </c>
      <c r="Q942" s="19" t="e">
        <f>+SUMIFS(#REF!,#REF!,Planning[[#This Row],[Tarifa]],#REF!,Planning[[#This Row],[Proyectos]],#REF!,Planning[[#This Row],[Mes]],#REF!,Planning[[#This Row],[Año]])</f>
        <v>#REF!</v>
      </c>
      <c r="R942" s="19" t="str">
        <f>TEXT(Planning[[#This Row],[Mes]]*29,"mmmm")</f>
        <v>October</v>
      </c>
      <c r="S9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42" s="228"/>
      <c r="U942" s="43" t="e">
        <f>IF(Planning[[#This Row],[Horas Planificadas]]&lt;&gt;0,+K942/Planning[[#This Row],[Horas Planificadas]],0)</f>
        <v>#REF!</v>
      </c>
      <c r="V942" s="43" t="e">
        <f>IF(Planning[[#This Row],[Horas Planificadas]]&lt;&gt;0,Planning[[#This Row],[Horas utilizadas]]/Planning[[#This Row],[Horas Planificadas]],0)</f>
        <v>#REF!</v>
      </c>
      <c r="W942" s="44">
        <f>Planning[[#This Row],[Horas Planificadas]]+Planning[[#This Row],[Horas ajustadas adicionales]]</f>
        <v>45</v>
      </c>
      <c r="X942" s="142"/>
    </row>
    <row r="943" spans="1:24" ht="22.5" x14ac:dyDescent="0.2">
      <c r="A943" s="7"/>
      <c r="B943" s="7"/>
      <c r="C943" s="3"/>
      <c r="D943" s="3" t="s">
        <v>262</v>
      </c>
      <c r="E943" s="33" t="s">
        <v>28</v>
      </c>
      <c r="F943" s="3"/>
      <c r="G943" s="7"/>
      <c r="H943" s="7">
        <v>512</v>
      </c>
      <c r="I943" s="12"/>
      <c r="J943" s="5" t="e">
        <f>+SUMIFS(#REF!,#REF!,Planning[[#This Row],[Tarifa]],#REF!,Planning[[#This Row],[Proyectos]])</f>
        <v>#REF!</v>
      </c>
      <c r="K943" s="5" t="e">
        <f>Planning[[#This Row],[Horas Planificadas]]+Planning[[#This Row],[Horas ajustadas adicionales]]-Planning[[#This Row],[Horas utilizadas]]</f>
        <v>#REF!</v>
      </c>
      <c r="L943" s="7"/>
      <c r="M943" s="19" t="e">
        <f>Planning[[#This Row],[Saldo]]-Planning[[#This Row],[Saldo estimado]]</f>
        <v>#REF!</v>
      </c>
      <c r="N943" s="60" t="e">
        <f>+SUMIFS(#REF!,#REF!,Planning[[#This Row],[Proyectos]],#REF!,Planning[[#This Row],[Tipo de Tarea y especialidad]])</f>
        <v>#REF!</v>
      </c>
      <c r="O943" s="19">
        <f t="shared" si="28"/>
        <v>10</v>
      </c>
      <c r="P943" s="19">
        <f t="shared" si="29"/>
        <v>2024</v>
      </c>
      <c r="Q943" s="19" t="e">
        <f>+SUMIFS(#REF!,#REF!,Planning[[#This Row],[Tarifa]],#REF!,Planning[[#This Row],[Proyectos]],#REF!,Planning[[#This Row],[Mes]],#REF!,Planning[[#This Row],[Año]])</f>
        <v>#REF!</v>
      </c>
      <c r="R943" s="19" t="str">
        <f>TEXT(Planning[[#This Row],[Mes]]*29,"mmmm")</f>
        <v>October</v>
      </c>
      <c r="S9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43" s="228"/>
      <c r="U943" s="43" t="e">
        <f>IF(Planning[[#This Row],[Horas Planificadas]]&lt;&gt;0,+K943/Planning[[#This Row],[Horas Planificadas]],0)</f>
        <v>#REF!</v>
      </c>
      <c r="V943" s="43" t="e">
        <f>IF(Planning[[#This Row],[Horas Planificadas]]&lt;&gt;0,Planning[[#This Row],[Horas utilizadas]]/Planning[[#This Row],[Horas Planificadas]],0)</f>
        <v>#REF!</v>
      </c>
      <c r="W943" s="44">
        <f>Planning[[#This Row],[Horas Planificadas]]+Planning[[#This Row],[Horas ajustadas adicionales]]</f>
        <v>512</v>
      </c>
      <c r="X943" s="142"/>
    </row>
    <row r="944" spans="1:24" x14ac:dyDescent="0.2">
      <c r="A944" s="7"/>
      <c r="B944" s="7"/>
      <c r="C944" s="3"/>
      <c r="D944" s="3" t="s">
        <v>262</v>
      </c>
      <c r="E944" s="33" t="s">
        <v>30</v>
      </c>
      <c r="F944" s="3"/>
      <c r="G944" s="7"/>
      <c r="H944" s="7">
        <v>362</v>
      </c>
      <c r="I944" s="12"/>
      <c r="J944" s="5" t="e">
        <f>+SUMIFS(#REF!,#REF!,Planning[[#This Row],[Tarifa]],#REF!,Planning[[#This Row],[Proyectos]])</f>
        <v>#REF!</v>
      </c>
      <c r="K944" s="5" t="e">
        <f>Planning[[#This Row],[Horas Planificadas]]+Planning[[#This Row],[Horas ajustadas adicionales]]-Planning[[#This Row],[Horas utilizadas]]</f>
        <v>#REF!</v>
      </c>
      <c r="L944" s="7"/>
      <c r="M944" s="19" t="e">
        <f>Planning[[#This Row],[Saldo]]-Planning[[#This Row],[Saldo estimado]]</f>
        <v>#REF!</v>
      </c>
      <c r="N944" s="60" t="e">
        <f>+SUMIFS(#REF!,#REF!,Planning[[#This Row],[Proyectos]],#REF!,Planning[[#This Row],[Tipo de Tarea y especialidad]])</f>
        <v>#REF!</v>
      </c>
      <c r="O944" s="19">
        <f t="shared" si="28"/>
        <v>10</v>
      </c>
      <c r="P944" s="19">
        <f t="shared" si="29"/>
        <v>2024</v>
      </c>
      <c r="Q944" s="19" t="e">
        <f>+SUMIFS(#REF!,#REF!,Planning[[#This Row],[Tarifa]],#REF!,Planning[[#This Row],[Proyectos]],#REF!,Planning[[#This Row],[Mes]],#REF!,Planning[[#This Row],[Año]])</f>
        <v>#REF!</v>
      </c>
      <c r="R944" s="19" t="str">
        <f>TEXT(Planning[[#This Row],[Mes]]*29,"mmmm")</f>
        <v>October</v>
      </c>
      <c r="S9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44" s="228"/>
      <c r="U944" s="43" t="e">
        <f>IF(Planning[[#This Row],[Horas Planificadas]]&lt;&gt;0,+K944/Planning[[#This Row],[Horas Planificadas]],0)</f>
        <v>#REF!</v>
      </c>
      <c r="V944" s="43" t="e">
        <f>IF(Planning[[#This Row],[Horas Planificadas]]&lt;&gt;0,Planning[[#This Row],[Horas utilizadas]]/Planning[[#This Row],[Horas Planificadas]],0)</f>
        <v>#REF!</v>
      </c>
      <c r="W944" s="44">
        <f>Planning[[#This Row],[Horas Planificadas]]+Planning[[#This Row],[Horas ajustadas adicionales]]</f>
        <v>362</v>
      </c>
      <c r="X944" s="142"/>
    </row>
    <row r="945" spans="1:24" x14ac:dyDescent="0.2">
      <c r="A945" s="7"/>
      <c r="B945" s="7"/>
      <c r="C945" s="3"/>
      <c r="D945" s="3" t="s">
        <v>262</v>
      </c>
      <c r="E945" s="33" t="s">
        <v>31</v>
      </c>
      <c r="F945" s="3"/>
      <c r="G945" s="7"/>
      <c r="H945" s="7">
        <v>90</v>
      </c>
      <c r="I945" s="12"/>
      <c r="J945" s="5" t="e">
        <f>+SUMIFS(#REF!,#REF!,Planning[[#This Row],[Tarifa]],#REF!,Planning[[#This Row],[Proyectos]])</f>
        <v>#REF!</v>
      </c>
      <c r="K945" s="5" t="e">
        <f>Planning[[#This Row],[Horas Planificadas]]+Planning[[#This Row],[Horas ajustadas adicionales]]-Planning[[#This Row],[Horas utilizadas]]</f>
        <v>#REF!</v>
      </c>
      <c r="L945" s="7"/>
      <c r="M945" s="19" t="e">
        <f>Planning[[#This Row],[Saldo]]-Planning[[#This Row],[Saldo estimado]]</f>
        <v>#REF!</v>
      </c>
      <c r="N945" s="60" t="e">
        <f>+SUMIFS(#REF!,#REF!,Planning[[#This Row],[Proyectos]],#REF!,Planning[[#This Row],[Tipo de Tarea y especialidad]])</f>
        <v>#REF!</v>
      </c>
      <c r="O945" s="19">
        <f t="shared" si="28"/>
        <v>10</v>
      </c>
      <c r="P945" s="19">
        <f t="shared" si="29"/>
        <v>2024</v>
      </c>
      <c r="Q945" s="19" t="e">
        <f>+SUMIFS(#REF!,#REF!,Planning[[#This Row],[Tarifa]],#REF!,Planning[[#This Row],[Proyectos]],#REF!,Planning[[#This Row],[Mes]],#REF!,Planning[[#This Row],[Año]])</f>
        <v>#REF!</v>
      </c>
      <c r="R945" s="19" t="str">
        <f>TEXT(Planning[[#This Row],[Mes]]*29,"mmmm")</f>
        <v>October</v>
      </c>
      <c r="S9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45" s="228"/>
      <c r="U945" s="43" t="e">
        <f>IF(Planning[[#This Row],[Horas Planificadas]]&lt;&gt;0,+K945/Planning[[#This Row],[Horas Planificadas]],0)</f>
        <v>#REF!</v>
      </c>
      <c r="V945" s="43" t="e">
        <f>IF(Planning[[#This Row],[Horas Planificadas]]&lt;&gt;0,Planning[[#This Row],[Horas utilizadas]]/Planning[[#This Row],[Horas Planificadas]],0)</f>
        <v>#REF!</v>
      </c>
      <c r="W945" s="44">
        <f>Planning[[#This Row],[Horas Planificadas]]+Planning[[#This Row],[Horas ajustadas adicionales]]</f>
        <v>90</v>
      </c>
      <c r="X945" s="142"/>
    </row>
    <row r="946" spans="1:24" ht="22.5" x14ac:dyDescent="0.2">
      <c r="A946" s="7"/>
      <c r="B946" s="7"/>
      <c r="C946" s="3"/>
      <c r="D946" s="3" t="s">
        <v>262</v>
      </c>
      <c r="E946" s="33" t="s">
        <v>32</v>
      </c>
      <c r="F946" s="3"/>
      <c r="G946" s="7"/>
      <c r="H946" s="7">
        <v>72</v>
      </c>
      <c r="I946" s="12"/>
      <c r="J946" s="5" t="e">
        <f>+SUMIFS(#REF!,#REF!,Planning[[#This Row],[Tarifa]],#REF!,Planning[[#This Row],[Proyectos]])</f>
        <v>#REF!</v>
      </c>
      <c r="K946" s="5" t="e">
        <f>Planning[[#This Row],[Horas Planificadas]]+Planning[[#This Row],[Horas ajustadas adicionales]]-Planning[[#This Row],[Horas utilizadas]]</f>
        <v>#REF!</v>
      </c>
      <c r="L946" s="7"/>
      <c r="M946" s="19" t="e">
        <f>Planning[[#This Row],[Saldo]]-Planning[[#This Row],[Saldo estimado]]</f>
        <v>#REF!</v>
      </c>
      <c r="N946" s="60" t="e">
        <f>+SUMIFS(#REF!,#REF!,Planning[[#This Row],[Proyectos]],#REF!,Planning[[#This Row],[Tipo de Tarea y especialidad]])</f>
        <v>#REF!</v>
      </c>
      <c r="O946" s="19">
        <f t="shared" si="28"/>
        <v>10</v>
      </c>
      <c r="P946" s="19">
        <f t="shared" si="29"/>
        <v>2024</v>
      </c>
      <c r="Q946" s="19" t="e">
        <f>+SUMIFS(#REF!,#REF!,Planning[[#This Row],[Tarifa]],#REF!,Planning[[#This Row],[Proyectos]],#REF!,Planning[[#This Row],[Mes]],#REF!,Planning[[#This Row],[Año]])</f>
        <v>#REF!</v>
      </c>
      <c r="R946" s="19" t="str">
        <f>TEXT(Planning[[#This Row],[Mes]]*29,"mmmm")</f>
        <v>October</v>
      </c>
      <c r="S9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46" s="228"/>
      <c r="U946" s="43" t="e">
        <f>IF(Planning[[#This Row],[Horas Planificadas]]&lt;&gt;0,+K946/Planning[[#This Row],[Horas Planificadas]],0)</f>
        <v>#REF!</v>
      </c>
      <c r="V946" s="43" t="e">
        <f>IF(Planning[[#This Row],[Horas Planificadas]]&lt;&gt;0,Planning[[#This Row],[Horas utilizadas]]/Planning[[#This Row],[Horas Planificadas]],0)</f>
        <v>#REF!</v>
      </c>
      <c r="W946" s="44">
        <f>Planning[[#This Row],[Horas Planificadas]]+Planning[[#This Row],[Horas ajustadas adicionales]]</f>
        <v>72</v>
      </c>
      <c r="X946" s="142"/>
    </row>
    <row r="947" spans="1:24" ht="12.75" customHeight="1" x14ac:dyDescent="0.2">
      <c r="A947" s="7"/>
      <c r="B947" s="7"/>
      <c r="C947" s="3"/>
      <c r="D947" s="3" t="s">
        <v>263</v>
      </c>
      <c r="E947" s="33" t="s">
        <v>28</v>
      </c>
      <c r="F947" s="3"/>
      <c r="G947" s="7"/>
      <c r="H947" s="7">
        <v>0</v>
      </c>
      <c r="I947" s="12"/>
      <c r="J947" s="5" t="e">
        <f>+SUMIFS(#REF!,#REF!,Planning[[#This Row],[Tarifa]],#REF!,Planning[[#This Row],[Proyectos]])</f>
        <v>#REF!</v>
      </c>
      <c r="K947" s="5" t="e">
        <f>Planning[[#This Row],[Horas Planificadas]]+Planning[[#This Row],[Horas ajustadas adicionales]]-Planning[[#This Row],[Horas utilizadas]]</f>
        <v>#REF!</v>
      </c>
      <c r="L947" s="7"/>
      <c r="M947" s="19" t="e">
        <f>Planning[[#This Row],[Saldo]]-Planning[[#This Row],[Saldo estimado]]</f>
        <v>#REF!</v>
      </c>
      <c r="N947" s="60" t="e">
        <f>+SUMIFS(#REF!,#REF!,Planning[[#This Row],[Proyectos]],#REF!,Planning[[#This Row],[Tipo de Tarea y especialidad]])</f>
        <v>#REF!</v>
      </c>
      <c r="O947" s="19">
        <f t="shared" si="28"/>
        <v>10</v>
      </c>
      <c r="P947" s="19">
        <f t="shared" si="29"/>
        <v>2024</v>
      </c>
      <c r="Q947" s="19" t="e">
        <f>+SUMIFS(#REF!,#REF!,Planning[[#This Row],[Tarifa]],#REF!,Planning[[#This Row],[Proyectos]],#REF!,Planning[[#This Row],[Mes]],#REF!,Planning[[#This Row],[Año]])</f>
        <v>#REF!</v>
      </c>
      <c r="R947" s="19" t="str">
        <f>TEXT(Planning[[#This Row],[Mes]]*29,"mmmm")</f>
        <v>October</v>
      </c>
      <c r="S9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47" s="228"/>
      <c r="U947" s="43">
        <f>IF(Planning[[#This Row],[Horas Planificadas]]&lt;&gt;0,+K947/Planning[[#This Row],[Horas Planificadas]],0)</f>
        <v>0</v>
      </c>
      <c r="V947" s="43">
        <f>IF(Planning[[#This Row],[Horas Planificadas]]&lt;&gt;0,Planning[[#This Row],[Horas utilizadas]]/Planning[[#This Row],[Horas Planificadas]],0)</f>
        <v>0</v>
      </c>
      <c r="W947" s="44">
        <f>Planning[[#This Row],[Horas Planificadas]]+Planning[[#This Row],[Horas ajustadas adicionales]]</f>
        <v>0</v>
      </c>
      <c r="X947" s="142"/>
    </row>
    <row r="948" spans="1:24" ht="12.75" customHeight="1" x14ac:dyDescent="0.2">
      <c r="A948" s="7"/>
      <c r="B948" s="7"/>
      <c r="C948" s="3"/>
      <c r="D948" s="3" t="s">
        <v>263</v>
      </c>
      <c r="E948" s="33" t="s">
        <v>30</v>
      </c>
      <c r="F948" s="3"/>
      <c r="G948" s="7"/>
      <c r="H948" s="7">
        <v>24</v>
      </c>
      <c r="I948" s="12"/>
      <c r="J948" s="5" t="e">
        <f>+SUMIFS(#REF!,#REF!,Planning[[#This Row],[Tarifa]],#REF!,Planning[[#This Row],[Proyectos]])</f>
        <v>#REF!</v>
      </c>
      <c r="K948" s="5" t="e">
        <f>Planning[[#This Row],[Horas Planificadas]]+Planning[[#This Row],[Horas ajustadas adicionales]]-Planning[[#This Row],[Horas utilizadas]]</f>
        <v>#REF!</v>
      </c>
      <c r="L948" s="7"/>
      <c r="M948" s="19" t="e">
        <f>Planning[[#This Row],[Saldo]]-Planning[[#This Row],[Saldo estimado]]</f>
        <v>#REF!</v>
      </c>
      <c r="N948" s="60" t="e">
        <f>+SUMIFS(#REF!,#REF!,Planning[[#This Row],[Proyectos]],#REF!,Planning[[#This Row],[Tipo de Tarea y especialidad]])</f>
        <v>#REF!</v>
      </c>
      <c r="O948" s="19">
        <f t="shared" si="28"/>
        <v>10</v>
      </c>
      <c r="P948" s="19">
        <f t="shared" si="29"/>
        <v>2024</v>
      </c>
      <c r="Q948" s="19" t="e">
        <f>+SUMIFS(#REF!,#REF!,Planning[[#This Row],[Tarifa]],#REF!,Planning[[#This Row],[Proyectos]],#REF!,Planning[[#This Row],[Mes]],#REF!,Planning[[#This Row],[Año]])</f>
        <v>#REF!</v>
      </c>
      <c r="R948" s="19" t="str">
        <f>TEXT(Planning[[#This Row],[Mes]]*29,"mmmm")</f>
        <v>October</v>
      </c>
      <c r="S9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48" s="228"/>
      <c r="U948" s="43" t="e">
        <f>IF(Planning[[#This Row],[Horas Planificadas]]&lt;&gt;0,+K948/Planning[[#This Row],[Horas Planificadas]],0)</f>
        <v>#REF!</v>
      </c>
      <c r="V948" s="43" t="e">
        <f>IF(Planning[[#This Row],[Horas Planificadas]]&lt;&gt;0,Planning[[#This Row],[Horas utilizadas]]/Planning[[#This Row],[Horas Planificadas]],0)</f>
        <v>#REF!</v>
      </c>
      <c r="W948" s="44">
        <f>Planning[[#This Row],[Horas Planificadas]]+Planning[[#This Row],[Horas ajustadas adicionales]]</f>
        <v>24</v>
      </c>
      <c r="X948" s="142"/>
    </row>
    <row r="949" spans="1:24" ht="12.75" customHeight="1" x14ac:dyDescent="0.2">
      <c r="A949" s="7"/>
      <c r="B949" s="7"/>
      <c r="C949" s="3"/>
      <c r="D949" s="3" t="s">
        <v>263</v>
      </c>
      <c r="E949" s="33" t="s">
        <v>31</v>
      </c>
      <c r="F949" s="3"/>
      <c r="G949" s="7"/>
      <c r="H949" s="7">
        <v>36</v>
      </c>
      <c r="I949" s="12"/>
      <c r="J949" s="5" t="e">
        <f>+SUMIFS(#REF!,#REF!,Planning[[#This Row],[Tarifa]],#REF!,Planning[[#This Row],[Proyectos]])</f>
        <v>#REF!</v>
      </c>
      <c r="K949" s="5" t="e">
        <f>Planning[[#This Row],[Horas Planificadas]]+Planning[[#This Row],[Horas ajustadas adicionales]]-Planning[[#This Row],[Horas utilizadas]]</f>
        <v>#REF!</v>
      </c>
      <c r="L949" s="7"/>
      <c r="M949" s="19" t="e">
        <f>Planning[[#This Row],[Saldo]]-Planning[[#This Row],[Saldo estimado]]</f>
        <v>#REF!</v>
      </c>
      <c r="N949" s="60" t="e">
        <f>+SUMIFS(#REF!,#REF!,Planning[[#This Row],[Proyectos]],#REF!,Planning[[#This Row],[Tipo de Tarea y especialidad]])</f>
        <v>#REF!</v>
      </c>
      <c r="O949" s="19">
        <f t="shared" si="28"/>
        <v>10</v>
      </c>
      <c r="P949" s="19">
        <f t="shared" si="29"/>
        <v>2024</v>
      </c>
      <c r="Q949" s="19" t="e">
        <f>+SUMIFS(#REF!,#REF!,Planning[[#This Row],[Tarifa]],#REF!,Planning[[#This Row],[Proyectos]],#REF!,Planning[[#This Row],[Mes]],#REF!,Planning[[#This Row],[Año]])</f>
        <v>#REF!</v>
      </c>
      <c r="R949" s="19" t="str">
        <f>TEXT(Planning[[#This Row],[Mes]]*29,"mmmm")</f>
        <v>October</v>
      </c>
      <c r="S9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49" s="228"/>
      <c r="U949" s="43" t="e">
        <f>IF(Planning[[#This Row],[Horas Planificadas]]&lt;&gt;0,+K949/Planning[[#This Row],[Horas Planificadas]],0)</f>
        <v>#REF!</v>
      </c>
      <c r="V949" s="43" t="e">
        <f>IF(Planning[[#This Row],[Horas Planificadas]]&lt;&gt;0,Planning[[#This Row],[Horas utilizadas]]/Planning[[#This Row],[Horas Planificadas]],0)</f>
        <v>#REF!</v>
      </c>
      <c r="W949" s="44">
        <f>Planning[[#This Row],[Horas Planificadas]]+Planning[[#This Row],[Horas ajustadas adicionales]]</f>
        <v>36</v>
      </c>
      <c r="X949" s="142"/>
    </row>
    <row r="950" spans="1:24" ht="12.75" customHeight="1" x14ac:dyDescent="0.2">
      <c r="A950" s="7"/>
      <c r="B950" s="7"/>
      <c r="C950" s="3"/>
      <c r="D950" s="3" t="s">
        <v>263</v>
      </c>
      <c r="E950" s="33" t="s">
        <v>32</v>
      </c>
      <c r="F950" s="3"/>
      <c r="G950" s="7"/>
      <c r="H950" s="7">
        <v>117</v>
      </c>
      <c r="I950" s="12"/>
      <c r="J950" s="5" t="e">
        <f>+SUMIFS(#REF!,#REF!,Planning[[#This Row],[Tarifa]],#REF!,Planning[[#This Row],[Proyectos]])</f>
        <v>#REF!</v>
      </c>
      <c r="K950" s="5" t="e">
        <f>Planning[[#This Row],[Horas Planificadas]]+Planning[[#This Row],[Horas ajustadas adicionales]]-Planning[[#This Row],[Horas utilizadas]]</f>
        <v>#REF!</v>
      </c>
      <c r="L950" s="7"/>
      <c r="M950" s="19" t="e">
        <f>Planning[[#This Row],[Saldo]]-Planning[[#This Row],[Saldo estimado]]</f>
        <v>#REF!</v>
      </c>
      <c r="N950" s="60" t="e">
        <f>+SUMIFS(#REF!,#REF!,Planning[[#This Row],[Proyectos]],#REF!,Planning[[#This Row],[Tipo de Tarea y especialidad]])</f>
        <v>#REF!</v>
      </c>
      <c r="O950" s="19">
        <f t="shared" si="28"/>
        <v>10</v>
      </c>
      <c r="P950" s="19">
        <f t="shared" si="29"/>
        <v>2024</v>
      </c>
      <c r="Q950" s="19" t="e">
        <f>+SUMIFS(#REF!,#REF!,Planning[[#This Row],[Tarifa]],#REF!,Planning[[#This Row],[Proyectos]],#REF!,Planning[[#This Row],[Mes]],#REF!,Planning[[#This Row],[Año]])</f>
        <v>#REF!</v>
      </c>
      <c r="R950" s="19" t="str">
        <f>TEXT(Planning[[#This Row],[Mes]]*29,"mmmm")</f>
        <v>October</v>
      </c>
      <c r="S9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50" s="228"/>
      <c r="U950" s="43" t="e">
        <f>IF(Planning[[#This Row],[Horas Planificadas]]&lt;&gt;0,+K950/Planning[[#This Row],[Horas Planificadas]],0)</f>
        <v>#REF!</v>
      </c>
      <c r="V950" s="43" t="e">
        <f>IF(Planning[[#This Row],[Horas Planificadas]]&lt;&gt;0,Planning[[#This Row],[Horas utilizadas]]/Planning[[#This Row],[Horas Planificadas]],0)</f>
        <v>#REF!</v>
      </c>
      <c r="W950" s="44">
        <f>Planning[[#This Row],[Horas Planificadas]]+Planning[[#This Row],[Horas ajustadas adicionales]]</f>
        <v>117</v>
      </c>
      <c r="X950" s="142"/>
    </row>
    <row r="951" spans="1:24" ht="12.75" customHeight="1" x14ac:dyDescent="0.2">
      <c r="A951" s="7"/>
      <c r="B951" s="7"/>
      <c r="C951" s="3"/>
      <c r="D951" s="3" t="s">
        <v>264</v>
      </c>
      <c r="E951" s="33" t="s">
        <v>28</v>
      </c>
      <c r="F951" s="3"/>
      <c r="G951" s="7"/>
      <c r="H951" s="7">
        <v>0</v>
      </c>
      <c r="I951" s="12"/>
      <c r="J951" s="5" t="e">
        <f>+SUMIFS(#REF!,#REF!,Planning[[#This Row],[Tarifa]],#REF!,Planning[[#This Row],[Proyectos]])</f>
        <v>#REF!</v>
      </c>
      <c r="K951" s="5" t="e">
        <f>Planning[[#This Row],[Horas Planificadas]]+Planning[[#This Row],[Horas ajustadas adicionales]]-Planning[[#This Row],[Horas utilizadas]]</f>
        <v>#REF!</v>
      </c>
      <c r="L951" s="7"/>
      <c r="M951" s="19" t="e">
        <f>Planning[[#This Row],[Saldo]]-Planning[[#This Row],[Saldo estimado]]</f>
        <v>#REF!</v>
      </c>
      <c r="N951" s="60" t="e">
        <f>+SUMIFS(#REF!,#REF!,Planning[[#This Row],[Proyectos]],#REF!,Planning[[#This Row],[Tipo de Tarea y especialidad]])</f>
        <v>#REF!</v>
      </c>
      <c r="O951" s="19">
        <f t="shared" si="28"/>
        <v>10</v>
      </c>
      <c r="P951" s="19">
        <f t="shared" si="29"/>
        <v>2024</v>
      </c>
      <c r="Q951" s="19" t="e">
        <f>+SUMIFS(#REF!,#REF!,Planning[[#This Row],[Tarifa]],#REF!,Planning[[#This Row],[Proyectos]],#REF!,Planning[[#This Row],[Mes]],#REF!,Planning[[#This Row],[Año]])</f>
        <v>#REF!</v>
      </c>
      <c r="R951" s="19" t="str">
        <f>TEXT(Planning[[#This Row],[Mes]]*29,"mmmm")</f>
        <v>October</v>
      </c>
      <c r="S9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51" s="228"/>
      <c r="U951" s="43">
        <f>IF(Planning[[#This Row],[Horas Planificadas]]&lt;&gt;0,+K951/Planning[[#This Row],[Horas Planificadas]],0)</f>
        <v>0</v>
      </c>
      <c r="V951" s="43">
        <f>IF(Planning[[#This Row],[Horas Planificadas]]&lt;&gt;0,Planning[[#This Row],[Horas utilizadas]]/Planning[[#This Row],[Horas Planificadas]],0)</f>
        <v>0</v>
      </c>
      <c r="W951" s="44">
        <f>Planning[[#This Row],[Horas Planificadas]]+Planning[[#This Row],[Horas ajustadas adicionales]]</f>
        <v>0</v>
      </c>
      <c r="X951" s="142"/>
    </row>
    <row r="952" spans="1:24" ht="12.75" customHeight="1" x14ac:dyDescent="0.2">
      <c r="A952" s="7"/>
      <c r="B952" s="7"/>
      <c r="C952" s="3"/>
      <c r="D952" s="3" t="s">
        <v>264</v>
      </c>
      <c r="E952" s="33" t="s">
        <v>30</v>
      </c>
      <c r="F952" s="3"/>
      <c r="G952" s="7"/>
      <c r="H952" s="7">
        <v>270</v>
      </c>
      <c r="I952" s="12"/>
      <c r="J952" s="5" t="e">
        <f>+SUMIFS(#REF!,#REF!,Planning[[#This Row],[Tarifa]],#REF!,Planning[[#This Row],[Proyectos]])</f>
        <v>#REF!</v>
      </c>
      <c r="K952" s="5" t="e">
        <f>Planning[[#This Row],[Horas Planificadas]]+Planning[[#This Row],[Horas ajustadas adicionales]]-Planning[[#This Row],[Horas utilizadas]]</f>
        <v>#REF!</v>
      </c>
      <c r="L952" s="7"/>
      <c r="M952" s="19" t="e">
        <f>Planning[[#This Row],[Saldo]]-Planning[[#This Row],[Saldo estimado]]</f>
        <v>#REF!</v>
      </c>
      <c r="N952" s="60" t="e">
        <f>+SUMIFS(#REF!,#REF!,Planning[[#This Row],[Proyectos]],#REF!,Planning[[#This Row],[Tipo de Tarea y especialidad]])</f>
        <v>#REF!</v>
      </c>
      <c r="O952" s="19">
        <f t="shared" si="28"/>
        <v>10</v>
      </c>
      <c r="P952" s="19">
        <f t="shared" si="29"/>
        <v>2024</v>
      </c>
      <c r="Q952" s="19" t="e">
        <f>+SUMIFS(#REF!,#REF!,Planning[[#This Row],[Tarifa]],#REF!,Planning[[#This Row],[Proyectos]],#REF!,Planning[[#This Row],[Mes]],#REF!,Planning[[#This Row],[Año]])</f>
        <v>#REF!</v>
      </c>
      <c r="R952" s="19" t="str">
        <f>TEXT(Planning[[#This Row],[Mes]]*29,"mmmm")</f>
        <v>October</v>
      </c>
      <c r="S9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52" s="228"/>
      <c r="U952" s="43" t="e">
        <f>IF(Planning[[#This Row],[Horas Planificadas]]&lt;&gt;0,+K952/Planning[[#This Row],[Horas Planificadas]],0)</f>
        <v>#REF!</v>
      </c>
      <c r="V952" s="43" t="e">
        <f>IF(Planning[[#This Row],[Horas Planificadas]]&lt;&gt;0,Planning[[#This Row],[Horas utilizadas]]/Planning[[#This Row],[Horas Planificadas]],0)</f>
        <v>#REF!</v>
      </c>
      <c r="W952" s="44">
        <f>Planning[[#This Row],[Horas Planificadas]]+Planning[[#This Row],[Horas ajustadas adicionales]]</f>
        <v>270</v>
      </c>
      <c r="X952" s="142"/>
    </row>
    <row r="953" spans="1:24" ht="12.75" customHeight="1" x14ac:dyDescent="0.2">
      <c r="A953" s="7"/>
      <c r="B953" s="7"/>
      <c r="C953" s="3"/>
      <c r="D953" s="3" t="s">
        <v>264</v>
      </c>
      <c r="E953" s="33" t="s">
        <v>31</v>
      </c>
      <c r="F953" s="3"/>
      <c r="G953" s="7"/>
      <c r="H953" s="7">
        <v>27</v>
      </c>
      <c r="I953" s="12"/>
      <c r="J953" s="5" t="e">
        <f>+SUMIFS(#REF!,#REF!,Planning[[#This Row],[Tarifa]],#REF!,Planning[[#This Row],[Proyectos]])</f>
        <v>#REF!</v>
      </c>
      <c r="K953" s="5" t="e">
        <f>Planning[[#This Row],[Horas Planificadas]]+Planning[[#This Row],[Horas ajustadas adicionales]]-Planning[[#This Row],[Horas utilizadas]]</f>
        <v>#REF!</v>
      </c>
      <c r="L953" s="7"/>
      <c r="M953" s="19" t="e">
        <f>Planning[[#This Row],[Saldo]]-Planning[[#This Row],[Saldo estimado]]</f>
        <v>#REF!</v>
      </c>
      <c r="N953" s="60" t="e">
        <f>+SUMIFS(#REF!,#REF!,Planning[[#This Row],[Proyectos]],#REF!,Planning[[#This Row],[Tipo de Tarea y especialidad]])</f>
        <v>#REF!</v>
      </c>
      <c r="O953" s="19">
        <f t="shared" si="28"/>
        <v>10</v>
      </c>
      <c r="P953" s="19">
        <f t="shared" si="29"/>
        <v>2024</v>
      </c>
      <c r="Q953" s="19" t="e">
        <f>+SUMIFS(#REF!,#REF!,Planning[[#This Row],[Tarifa]],#REF!,Planning[[#This Row],[Proyectos]],#REF!,Planning[[#This Row],[Mes]],#REF!,Planning[[#This Row],[Año]])</f>
        <v>#REF!</v>
      </c>
      <c r="R953" s="19" t="str">
        <f>TEXT(Planning[[#This Row],[Mes]]*29,"mmmm")</f>
        <v>October</v>
      </c>
      <c r="S9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53" s="228"/>
      <c r="U953" s="43" t="e">
        <f>IF(Planning[[#This Row],[Horas Planificadas]]&lt;&gt;0,+K953/Planning[[#This Row],[Horas Planificadas]],0)</f>
        <v>#REF!</v>
      </c>
      <c r="V953" s="43" t="e">
        <f>IF(Planning[[#This Row],[Horas Planificadas]]&lt;&gt;0,Planning[[#This Row],[Horas utilizadas]]/Planning[[#This Row],[Horas Planificadas]],0)</f>
        <v>#REF!</v>
      </c>
      <c r="W953" s="44">
        <f>Planning[[#This Row],[Horas Planificadas]]+Planning[[#This Row],[Horas ajustadas adicionales]]</f>
        <v>27</v>
      </c>
      <c r="X953" s="142"/>
    </row>
    <row r="954" spans="1:24" ht="12.75" customHeight="1" x14ac:dyDescent="0.2">
      <c r="A954" s="7"/>
      <c r="B954" s="7"/>
      <c r="C954" s="3"/>
      <c r="D954" s="3" t="s">
        <v>264</v>
      </c>
      <c r="E954" s="33" t="s">
        <v>32</v>
      </c>
      <c r="F954" s="3"/>
      <c r="G954" s="7"/>
      <c r="H954" s="7">
        <v>0</v>
      </c>
      <c r="I954" s="12"/>
      <c r="J954" s="5" t="e">
        <f>+SUMIFS(#REF!,#REF!,Planning[[#This Row],[Tarifa]],#REF!,Planning[[#This Row],[Proyectos]])</f>
        <v>#REF!</v>
      </c>
      <c r="K954" s="5" t="e">
        <f>Planning[[#This Row],[Horas Planificadas]]+Planning[[#This Row],[Horas ajustadas adicionales]]-Planning[[#This Row],[Horas utilizadas]]</f>
        <v>#REF!</v>
      </c>
      <c r="L954" s="7"/>
      <c r="M954" s="19" t="e">
        <f>Planning[[#This Row],[Saldo]]-Planning[[#This Row],[Saldo estimado]]</f>
        <v>#REF!</v>
      </c>
      <c r="N954" s="60" t="e">
        <f>+SUMIFS(#REF!,#REF!,Planning[[#This Row],[Proyectos]],#REF!,Planning[[#This Row],[Tipo de Tarea y especialidad]])</f>
        <v>#REF!</v>
      </c>
      <c r="O954" s="19">
        <f t="shared" si="28"/>
        <v>10</v>
      </c>
      <c r="P954" s="19">
        <f t="shared" si="29"/>
        <v>2024</v>
      </c>
      <c r="Q954" s="19" t="e">
        <f>+SUMIFS(#REF!,#REF!,Planning[[#This Row],[Tarifa]],#REF!,Planning[[#This Row],[Proyectos]],#REF!,Planning[[#This Row],[Mes]],#REF!,Planning[[#This Row],[Año]])</f>
        <v>#REF!</v>
      </c>
      <c r="R954" s="19" t="str">
        <f>TEXT(Planning[[#This Row],[Mes]]*29,"mmmm")</f>
        <v>October</v>
      </c>
      <c r="S9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54" s="228"/>
      <c r="U954" s="43">
        <f>IF(Planning[[#This Row],[Horas Planificadas]]&lt;&gt;0,+K954/Planning[[#This Row],[Horas Planificadas]],0)</f>
        <v>0</v>
      </c>
      <c r="V954" s="43">
        <f>IF(Planning[[#This Row],[Horas Planificadas]]&lt;&gt;0,Planning[[#This Row],[Horas utilizadas]]/Planning[[#This Row],[Horas Planificadas]],0)</f>
        <v>0</v>
      </c>
      <c r="W954" s="44">
        <f>Planning[[#This Row],[Horas Planificadas]]+Planning[[#This Row],[Horas ajustadas adicionales]]</f>
        <v>0</v>
      </c>
      <c r="X954" s="142"/>
    </row>
    <row r="955" spans="1:24" ht="12.75" customHeight="1" x14ac:dyDescent="0.2">
      <c r="A955" s="7"/>
      <c r="B955" s="7"/>
      <c r="C955" s="3"/>
      <c r="D955" s="3" t="s">
        <v>265</v>
      </c>
      <c r="E955" s="33" t="s">
        <v>28</v>
      </c>
      <c r="F955" s="3"/>
      <c r="G955" s="7"/>
      <c r="H955" s="7">
        <v>135</v>
      </c>
      <c r="I955" s="12"/>
      <c r="J955" s="5" t="e">
        <f>+SUMIFS(#REF!,#REF!,Planning[[#This Row],[Tarifa]],#REF!,Planning[[#This Row],[Proyectos]])</f>
        <v>#REF!</v>
      </c>
      <c r="K955" s="5" t="e">
        <f>Planning[[#This Row],[Horas Planificadas]]+Planning[[#This Row],[Horas ajustadas adicionales]]-Planning[[#This Row],[Horas utilizadas]]</f>
        <v>#REF!</v>
      </c>
      <c r="L955" s="7"/>
      <c r="M955" s="19" t="e">
        <f>Planning[[#This Row],[Saldo]]-Planning[[#This Row],[Saldo estimado]]</f>
        <v>#REF!</v>
      </c>
      <c r="N955" s="60" t="e">
        <f>+SUMIFS(#REF!,#REF!,Planning[[#This Row],[Proyectos]],#REF!,Planning[[#This Row],[Tipo de Tarea y especialidad]])</f>
        <v>#REF!</v>
      </c>
      <c r="O955" s="19">
        <f t="shared" si="28"/>
        <v>10</v>
      </c>
      <c r="P955" s="19">
        <f t="shared" si="29"/>
        <v>2024</v>
      </c>
      <c r="Q955" s="19" t="e">
        <f>+SUMIFS(#REF!,#REF!,Planning[[#This Row],[Tarifa]],#REF!,Planning[[#This Row],[Proyectos]],#REF!,Planning[[#This Row],[Mes]],#REF!,Planning[[#This Row],[Año]])</f>
        <v>#REF!</v>
      </c>
      <c r="R955" s="19" t="str">
        <f>TEXT(Planning[[#This Row],[Mes]]*29,"mmmm")</f>
        <v>October</v>
      </c>
      <c r="S9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55" s="228"/>
      <c r="U955" s="43" t="e">
        <f>IF(Planning[[#This Row],[Horas Planificadas]]&lt;&gt;0,+K955/Planning[[#This Row],[Horas Planificadas]],0)</f>
        <v>#REF!</v>
      </c>
      <c r="V955" s="43" t="e">
        <f>IF(Planning[[#This Row],[Horas Planificadas]]&lt;&gt;0,Planning[[#This Row],[Horas utilizadas]]/Planning[[#This Row],[Horas Planificadas]],0)</f>
        <v>#REF!</v>
      </c>
      <c r="W955" s="44">
        <f>Planning[[#This Row],[Horas Planificadas]]+Planning[[#This Row],[Horas ajustadas adicionales]]</f>
        <v>135</v>
      </c>
      <c r="X955" s="142"/>
    </row>
    <row r="956" spans="1:24" ht="12.75" customHeight="1" x14ac:dyDescent="0.2">
      <c r="A956" s="7"/>
      <c r="B956" s="7"/>
      <c r="C956" s="3"/>
      <c r="D956" s="3" t="s">
        <v>265</v>
      </c>
      <c r="E956" s="33" t="s">
        <v>30</v>
      </c>
      <c r="F956" s="3"/>
      <c r="G956" s="7"/>
      <c r="H956" s="7">
        <v>140</v>
      </c>
      <c r="I956" s="12"/>
      <c r="J956" s="5" t="e">
        <f>+SUMIFS(#REF!,#REF!,Planning[[#This Row],[Tarifa]],#REF!,Planning[[#This Row],[Proyectos]])</f>
        <v>#REF!</v>
      </c>
      <c r="K956" s="5" t="e">
        <f>Planning[[#This Row],[Horas Planificadas]]+Planning[[#This Row],[Horas ajustadas adicionales]]-Planning[[#This Row],[Horas utilizadas]]</f>
        <v>#REF!</v>
      </c>
      <c r="L956" s="7"/>
      <c r="M956" s="19" t="e">
        <f>Planning[[#This Row],[Saldo]]-Planning[[#This Row],[Saldo estimado]]</f>
        <v>#REF!</v>
      </c>
      <c r="N956" s="60" t="e">
        <f>+SUMIFS(#REF!,#REF!,Planning[[#This Row],[Proyectos]],#REF!,Planning[[#This Row],[Tipo de Tarea y especialidad]])</f>
        <v>#REF!</v>
      </c>
      <c r="O956" s="19">
        <f t="shared" si="28"/>
        <v>10</v>
      </c>
      <c r="P956" s="19">
        <f t="shared" si="29"/>
        <v>2024</v>
      </c>
      <c r="Q956" s="19" t="e">
        <f>+SUMIFS(#REF!,#REF!,Planning[[#This Row],[Tarifa]],#REF!,Planning[[#This Row],[Proyectos]],#REF!,Planning[[#This Row],[Mes]],#REF!,Planning[[#This Row],[Año]])</f>
        <v>#REF!</v>
      </c>
      <c r="R956" s="19" t="str">
        <f>TEXT(Planning[[#This Row],[Mes]]*29,"mmmm")</f>
        <v>October</v>
      </c>
      <c r="S9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56" s="228"/>
      <c r="U956" s="43" t="e">
        <f>IF(Planning[[#This Row],[Horas Planificadas]]&lt;&gt;0,+K956/Planning[[#This Row],[Horas Planificadas]],0)</f>
        <v>#REF!</v>
      </c>
      <c r="V956" s="43" t="e">
        <f>IF(Planning[[#This Row],[Horas Planificadas]]&lt;&gt;0,Planning[[#This Row],[Horas utilizadas]]/Planning[[#This Row],[Horas Planificadas]],0)</f>
        <v>#REF!</v>
      </c>
      <c r="W956" s="44">
        <f>Planning[[#This Row],[Horas Planificadas]]+Planning[[#This Row],[Horas ajustadas adicionales]]</f>
        <v>140</v>
      </c>
      <c r="X956" s="142"/>
    </row>
    <row r="957" spans="1:24" ht="12.75" customHeight="1" x14ac:dyDescent="0.2">
      <c r="A957" s="7"/>
      <c r="B957" s="7"/>
      <c r="C957" s="3"/>
      <c r="D957" s="3" t="s">
        <v>265</v>
      </c>
      <c r="E957" s="33" t="s">
        <v>31</v>
      </c>
      <c r="F957" s="3"/>
      <c r="G957" s="7"/>
      <c r="H957" s="7">
        <v>160</v>
      </c>
      <c r="I957" s="12"/>
      <c r="J957" s="5" t="e">
        <f>+SUMIFS(#REF!,#REF!,Planning[[#This Row],[Tarifa]],#REF!,Planning[[#This Row],[Proyectos]])</f>
        <v>#REF!</v>
      </c>
      <c r="K957" s="5" t="e">
        <f>Planning[[#This Row],[Horas Planificadas]]+Planning[[#This Row],[Horas ajustadas adicionales]]-Planning[[#This Row],[Horas utilizadas]]</f>
        <v>#REF!</v>
      </c>
      <c r="L957" s="7"/>
      <c r="M957" s="19" t="e">
        <f>Planning[[#This Row],[Saldo]]-Planning[[#This Row],[Saldo estimado]]</f>
        <v>#REF!</v>
      </c>
      <c r="N957" s="60" t="e">
        <f>+SUMIFS(#REF!,#REF!,Planning[[#This Row],[Proyectos]],#REF!,Planning[[#This Row],[Tipo de Tarea y especialidad]])</f>
        <v>#REF!</v>
      </c>
      <c r="O957" s="19">
        <f t="shared" si="28"/>
        <v>10</v>
      </c>
      <c r="P957" s="19">
        <f t="shared" si="29"/>
        <v>2024</v>
      </c>
      <c r="Q957" s="19" t="e">
        <f>+SUMIFS(#REF!,#REF!,Planning[[#This Row],[Tarifa]],#REF!,Planning[[#This Row],[Proyectos]],#REF!,Planning[[#This Row],[Mes]],#REF!,Planning[[#This Row],[Año]])</f>
        <v>#REF!</v>
      </c>
      <c r="R957" s="19" t="str">
        <f>TEXT(Planning[[#This Row],[Mes]]*29,"mmmm")</f>
        <v>October</v>
      </c>
      <c r="S9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57" s="228"/>
      <c r="U957" s="43" t="e">
        <f>IF(Planning[[#This Row],[Horas Planificadas]]&lt;&gt;0,+K957/Planning[[#This Row],[Horas Planificadas]],0)</f>
        <v>#REF!</v>
      </c>
      <c r="V957" s="43" t="e">
        <f>IF(Planning[[#This Row],[Horas Planificadas]]&lt;&gt;0,Planning[[#This Row],[Horas utilizadas]]/Planning[[#This Row],[Horas Planificadas]],0)</f>
        <v>#REF!</v>
      </c>
      <c r="W957" s="44">
        <f>Planning[[#This Row],[Horas Planificadas]]+Planning[[#This Row],[Horas ajustadas adicionales]]</f>
        <v>160</v>
      </c>
      <c r="X957" s="142"/>
    </row>
    <row r="958" spans="1:24" ht="12.75" customHeight="1" x14ac:dyDescent="0.2">
      <c r="A958" s="7"/>
      <c r="B958" s="7"/>
      <c r="C958" s="3"/>
      <c r="D958" s="3" t="s">
        <v>265</v>
      </c>
      <c r="E958" s="33" t="s">
        <v>32</v>
      </c>
      <c r="F958" s="3"/>
      <c r="G958" s="7"/>
      <c r="H958" s="7">
        <v>188</v>
      </c>
      <c r="I958" s="12"/>
      <c r="J958" s="5" t="e">
        <f>+SUMIFS(#REF!,#REF!,Planning[[#This Row],[Tarifa]],#REF!,Planning[[#This Row],[Proyectos]])</f>
        <v>#REF!</v>
      </c>
      <c r="K958" s="5" t="e">
        <f>Planning[[#This Row],[Horas Planificadas]]+Planning[[#This Row],[Horas ajustadas adicionales]]-Planning[[#This Row],[Horas utilizadas]]</f>
        <v>#REF!</v>
      </c>
      <c r="L958" s="7"/>
      <c r="M958" s="19" t="e">
        <f>Planning[[#This Row],[Saldo]]-Planning[[#This Row],[Saldo estimado]]</f>
        <v>#REF!</v>
      </c>
      <c r="N958" s="60" t="e">
        <f>+SUMIFS(#REF!,#REF!,Planning[[#This Row],[Proyectos]],#REF!,Planning[[#This Row],[Tipo de Tarea y especialidad]])</f>
        <v>#REF!</v>
      </c>
      <c r="O958" s="19">
        <f t="shared" si="28"/>
        <v>10</v>
      </c>
      <c r="P958" s="19">
        <f t="shared" si="29"/>
        <v>2024</v>
      </c>
      <c r="Q958" s="19" t="e">
        <f>+SUMIFS(#REF!,#REF!,Planning[[#This Row],[Tarifa]],#REF!,Planning[[#This Row],[Proyectos]],#REF!,Planning[[#This Row],[Mes]],#REF!,Planning[[#This Row],[Año]])</f>
        <v>#REF!</v>
      </c>
      <c r="R958" s="19" t="str">
        <f>TEXT(Planning[[#This Row],[Mes]]*29,"mmmm")</f>
        <v>October</v>
      </c>
      <c r="S9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58" s="228"/>
      <c r="U958" s="43" t="e">
        <f>IF(Planning[[#This Row],[Horas Planificadas]]&lt;&gt;0,+K958/Planning[[#This Row],[Horas Planificadas]],0)</f>
        <v>#REF!</v>
      </c>
      <c r="V958" s="43" t="e">
        <f>IF(Planning[[#This Row],[Horas Planificadas]]&lt;&gt;0,Planning[[#This Row],[Horas utilizadas]]/Planning[[#This Row],[Horas Planificadas]],0)</f>
        <v>#REF!</v>
      </c>
      <c r="W958" s="44">
        <f>Planning[[#This Row],[Horas Planificadas]]+Planning[[#This Row],[Horas ajustadas adicionales]]</f>
        <v>188</v>
      </c>
      <c r="X958" s="142"/>
    </row>
    <row r="959" spans="1:24" ht="12.75" customHeight="1" x14ac:dyDescent="0.2">
      <c r="A959" s="7"/>
      <c r="B959" s="7"/>
      <c r="C959" s="3"/>
      <c r="D959" s="3" t="s">
        <v>266</v>
      </c>
      <c r="E959" s="33" t="s">
        <v>28</v>
      </c>
      <c r="F959" s="3"/>
      <c r="G959" s="7"/>
      <c r="H959" s="7">
        <v>260</v>
      </c>
      <c r="I959" s="12"/>
      <c r="J959" s="5" t="e">
        <f>+SUMIFS(#REF!,#REF!,Planning[[#This Row],[Tarifa]],#REF!,Planning[[#This Row],[Proyectos]])</f>
        <v>#REF!</v>
      </c>
      <c r="K959" s="5" t="e">
        <f>Planning[[#This Row],[Horas Planificadas]]+Planning[[#This Row],[Horas ajustadas adicionales]]-Planning[[#This Row],[Horas utilizadas]]</f>
        <v>#REF!</v>
      </c>
      <c r="L959" s="7"/>
      <c r="M959" s="19" t="e">
        <f>Planning[[#This Row],[Saldo]]-Planning[[#This Row],[Saldo estimado]]</f>
        <v>#REF!</v>
      </c>
      <c r="N959" s="60" t="e">
        <f>+SUMIFS(#REF!,#REF!,Planning[[#This Row],[Proyectos]],#REF!,Planning[[#This Row],[Tipo de Tarea y especialidad]])</f>
        <v>#REF!</v>
      </c>
      <c r="O959" s="19">
        <f t="shared" si="28"/>
        <v>10</v>
      </c>
      <c r="P959" s="19">
        <f t="shared" si="29"/>
        <v>2024</v>
      </c>
      <c r="Q959" s="19" t="e">
        <f>+SUMIFS(#REF!,#REF!,Planning[[#This Row],[Tarifa]],#REF!,Planning[[#This Row],[Proyectos]],#REF!,Planning[[#This Row],[Mes]],#REF!,Planning[[#This Row],[Año]])</f>
        <v>#REF!</v>
      </c>
      <c r="R959" s="19" t="str">
        <f>TEXT(Planning[[#This Row],[Mes]]*29,"mmmm")</f>
        <v>October</v>
      </c>
      <c r="S9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59" s="228"/>
      <c r="U959" s="43" t="e">
        <f>IF(Planning[[#This Row],[Horas Planificadas]]&lt;&gt;0,+K959/Planning[[#This Row],[Horas Planificadas]],0)</f>
        <v>#REF!</v>
      </c>
      <c r="V959" s="43" t="e">
        <f>IF(Planning[[#This Row],[Horas Planificadas]]&lt;&gt;0,Planning[[#This Row],[Horas utilizadas]]/Planning[[#This Row],[Horas Planificadas]],0)</f>
        <v>#REF!</v>
      </c>
      <c r="W959" s="44">
        <f>Planning[[#This Row],[Horas Planificadas]]+Planning[[#This Row],[Horas ajustadas adicionales]]</f>
        <v>260</v>
      </c>
      <c r="X959" s="142"/>
    </row>
    <row r="960" spans="1:24" ht="12.75" customHeight="1" x14ac:dyDescent="0.2">
      <c r="A960" s="7"/>
      <c r="B960" s="7"/>
      <c r="C960" s="3"/>
      <c r="D960" s="3" t="s">
        <v>266</v>
      </c>
      <c r="E960" s="33" t="s">
        <v>30</v>
      </c>
      <c r="F960" s="3"/>
      <c r="G960" s="7"/>
      <c r="H960" s="7">
        <v>243</v>
      </c>
      <c r="I960" s="12"/>
      <c r="J960" s="5" t="e">
        <f>+SUMIFS(#REF!,#REF!,Planning[[#This Row],[Tarifa]],#REF!,Planning[[#This Row],[Proyectos]])</f>
        <v>#REF!</v>
      </c>
      <c r="K960" s="5" t="e">
        <f>Planning[[#This Row],[Horas Planificadas]]+Planning[[#This Row],[Horas ajustadas adicionales]]-Planning[[#This Row],[Horas utilizadas]]</f>
        <v>#REF!</v>
      </c>
      <c r="L960" s="7"/>
      <c r="M960" s="19" t="e">
        <f>Planning[[#This Row],[Saldo]]-Planning[[#This Row],[Saldo estimado]]</f>
        <v>#REF!</v>
      </c>
      <c r="N960" s="60" t="e">
        <f>+SUMIFS(#REF!,#REF!,Planning[[#This Row],[Proyectos]],#REF!,Planning[[#This Row],[Tipo de Tarea y especialidad]])</f>
        <v>#REF!</v>
      </c>
      <c r="O960" s="19">
        <f t="shared" si="28"/>
        <v>10</v>
      </c>
      <c r="P960" s="19">
        <f t="shared" si="29"/>
        <v>2024</v>
      </c>
      <c r="Q960" s="19" t="e">
        <f>+SUMIFS(#REF!,#REF!,Planning[[#This Row],[Tarifa]],#REF!,Planning[[#This Row],[Proyectos]],#REF!,Planning[[#This Row],[Mes]],#REF!,Planning[[#This Row],[Año]])</f>
        <v>#REF!</v>
      </c>
      <c r="R960" s="19" t="str">
        <f>TEXT(Planning[[#This Row],[Mes]]*29,"mmmm")</f>
        <v>October</v>
      </c>
      <c r="S9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60" s="228"/>
      <c r="U960" s="43" t="e">
        <f>IF(Planning[[#This Row],[Horas Planificadas]]&lt;&gt;0,+K960/Planning[[#This Row],[Horas Planificadas]],0)</f>
        <v>#REF!</v>
      </c>
      <c r="V960" s="43" t="e">
        <f>IF(Planning[[#This Row],[Horas Planificadas]]&lt;&gt;0,Planning[[#This Row],[Horas utilizadas]]/Planning[[#This Row],[Horas Planificadas]],0)</f>
        <v>#REF!</v>
      </c>
      <c r="W960" s="44">
        <f>Planning[[#This Row],[Horas Planificadas]]+Planning[[#This Row],[Horas ajustadas adicionales]]</f>
        <v>243</v>
      </c>
      <c r="X960" s="142"/>
    </row>
    <row r="961" spans="1:24" ht="12.75" customHeight="1" x14ac:dyDescent="0.2">
      <c r="A961" s="7"/>
      <c r="B961" s="7"/>
      <c r="C961" s="3"/>
      <c r="D961" s="3" t="s">
        <v>266</v>
      </c>
      <c r="E961" s="33" t="s">
        <v>31</v>
      </c>
      <c r="F961" s="3"/>
      <c r="G961" s="7"/>
      <c r="H961" s="7">
        <v>68</v>
      </c>
      <c r="I961" s="12"/>
      <c r="J961" s="5" t="e">
        <f>+SUMIFS(#REF!,#REF!,Planning[[#This Row],[Tarifa]],#REF!,Planning[[#This Row],[Proyectos]])</f>
        <v>#REF!</v>
      </c>
      <c r="K961" s="5" t="e">
        <f>Planning[[#This Row],[Horas Planificadas]]+Planning[[#This Row],[Horas ajustadas adicionales]]-Planning[[#This Row],[Horas utilizadas]]</f>
        <v>#REF!</v>
      </c>
      <c r="L961" s="7"/>
      <c r="M961" s="19" t="e">
        <f>Planning[[#This Row],[Saldo]]-Planning[[#This Row],[Saldo estimado]]</f>
        <v>#REF!</v>
      </c>
      <c r="N961" s="60" t="e">
        <f>+SUMIFS(#REF!,#REF!,Planning[[#This Row],[Proyectos]],#REF!,Planning[[#This Row],[Tipo de Tarea y especialidad]])</f>
        <v>#REF!</v>
      </c>
      <c r="O961" s="19">
        <f t="shared" si="28"/>
        <v>10</v>
      </c>
      <c r="P961" s="19">
        <f t="shared" si="29"/>
        <v>2024</v>
      </c>
      <c r="Q961" s="19" t="e">
        <f>+SUMIFS(#REF!,#REF!,Planning[[#This Row],[Tarifa]],#REF!,Planning[[#This Row],[Proyectos]],#REF!,Planning[[#This Row],[Mes]],#REF!,Planning[[#This Row],[Año]])</f>
        <v>#REF!</v>
      </c>
      <c r="R961" s="19" t="str">
        <f>TEXT(Planning[[#This Row],[Mes]]*29,"mmmm")</f>
        <v>October</v>
      </c>
      <c r="S9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61" s="228"/>
      <c r="U961" s="43" t="e">
        <f>IF(Planning[[#This Row],[Horas Planificadas]]&lt;&gt;0,+K961/Planning[[#This Row],[Horas Planificadas]],0)</f>
        <v>#REF!</v>
      </c>
      <c r="V961" s="43" t="e">
        <f>IF(Planning[[#This Row],[Horas Planificadas]]&lt;&gt;0,Planning[[#This Row],[Horas utilizadas]]/Planning[[#This Row],[Horas Planificadas]],0)</f>
        <v>#REF!</v>
      </c>
      <c r="W961" s="44">
        <f>Planning[[#This Row],[Horas Planificadas]]+Planning[[#This Row],[Horas ajustadas adicionales]]</f>
        <v>68</v>
      </c>
      <c r="X961" s="142"/>
    </row>
    <row r="962" spans="1:24" ht="12.75" customHeight="1" x14ac:dyDescent="0.2">
      <c r="A962" s="7"/>
      <c r="B962" s="7"/>
      <c r="C962" s="3"/>
      <c r="D962" s="3" t="s">
        <v>266</v>
      </c>
      <c r="E962" s="33" t="s">
        <v>32</v>
      </c>
      <c r="F962" s="3"/>
      <c r="G962" s="7"/>
      <c r="H962" s="7">
        <v>90</v>
      </c>
      <c r="I962" s="12"/>
      <c r="J962" s="5" t="e">
        <f>+SUMIFS(#REF!,#REF!,Planning[[#This Row],[Tarifa]],#REF!,Planning[[#This Row],[Proyectos]])</f>
        <v>#REF!</v>
      </c>
      <c r="K962" s="5" t="e">
        <f>Planning[[#This Row],[Horas Planificadas]]+Planning[[#This Row],[Horas ajustadas adicionales]]-Planning[[#This Row],[Horas utilizadas]]</f>
        <v>#REF!</v>
      </c>
      <c r="L962" s="7"/>
      <c r="M962" s="19" t="e">
        <f>Planning[[#This Row],[Saldo]]-Planning[[#This Row],[Saldo estimado]]</f>
        <v>#REF!</v>
      </c>
      <c r="N962" s="60" t="e">
        <f>+SUMIFS(#REF!,#REF!,Planning[[#This Row],[Proyectos]],#REF!,Planning[[#This Row],[Tipo de Tarea y especialidad]])</f>
        <v>#REF!</v>
      </c>
      <c r="O962" s="19">
        <f t="shared" si="28"/>
        <v>10</v>
      </c>
      <c r="P962" s="19">
        <f t="shared" si="29"/>
        <v>2024</v>
      </c>
      <c r="Q962" s="19" t="e">
        <f>+SUMIFS(#REF!,#REF!,Planning[[#This Row],[Tarifa]],#REF!,Planning[[#This Row],[Proyectos]],#REF!,Planning[[#This Row],[Mes]],#REF!,Planning[[#This Row],[Año]])</f>
        <v>#REF!</v>
      </c>
      <c r="R962" s="19" t="str">
        <f>TEXT(Planning[[#This Row],[Mes]]*29,"mmmm")</f>
        <v>October</v>
      </c>
      <c r="S9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62" s="228"/>
      <c r="U962" s="43" t="e">
        <f>IF(Planning[[#This Row],[Horas Planificadas]]&lt;&gt;0,+K962/Planning[[#This Row],[Horas Planificadas]],0)</f>
        <v>#REF!</v>
      </c>
      <c r="V962" s="43" t="e">
        <f>IF(Planning[[#This Row],[Horas Planificadas]]&lt;&gt;0,Planning[[#This Row],[Horas utilizadas]]/Planning[[#This Row],[Horas Planificadas]],0)</f>
        <v>#REF!</v>
      </c>
      <c r="W962" s="44">
        <f>Planning[[#This Row],[Horas Planificadas]]+Planning[[#This Row],[Horas ajustadas adicionales]]</f>
        <v>90</v>
      </c>
      <c r="X962" s="142"/>
    </row>
    <row r="963" spans="1:24" ht="12.75" customHeight="1" x14ac:dyDescent="0.2">
      <c r="A963" s="7"/>
      <c r="B963" s="7"/>
      <c r="C963" s="3"/>
      <c r="D963" s="3" t="s">
        <v>267</v>
      </c>
      <c r="E963" s="33" t="s">
        <v>28</v>
      </c>
      <c r="F963" s="3"/>
      <c r="G963" s="7"/>
      <c r="H963" s="7">
        <v>0</v>
      </c>
      <c r="I963" s="12"/>
      <c r="J963" s="5" t="e">
        <f>+SUMIFS(#REF!,#REF!,Planning[[#This Row],[Tarifa]],#REF!,Planning[[#This Row],[Proyectos]])</f>
        <v>#REF!</v>
      </c>
      <c r="K963" s="5" t="e">
        <f>Planning[[#This Row],[Horas Planificadas]]+Planning[[#This Row],[Horas ajustadas adicionales]]-Planning[[#This Row],[Horas utilizadas]]</f>
        <v>#REF!</v>
      </c>
      <c r="L963" s="7"/>
      <c r="M963" s="19" t="e">
        <f>Planning[[#This Row],[Saldo]]-Planning[[#This Row],[Saldo estimado]]</f>
        <v>#REF!</v>
      </c>
      <c r="N963" s="60" t="e">
        <f>+SUMIFS(#REF!,#REF!,Planning[[#This Row],[Proyectos]],#REF!,Planning[[#This Row],[Tipo de Tarea y especialidad]])</f>
        <v>#REF!</v>
      </c>
      <c r="O963" s="19">
        <f t="shared" si="28"/>
        <v>10</v>
      </c>
      <c r="P963" s="19">
        <f t="shared" si="29"/>
        <v>2024</v>
      </c>
      <c r="Q963" s="19" t="e">
        <f>+SUMIFS(#REF!,#REF!,Planning[[#This Row],[Tarifa]],#REF!,Planning[[#This Row],[Proyectos]],#REF!,Planning[[#This Row],[Mes]],#REF!,Planning[[#This Row],[Año]])</f>
        <v>#REF!</v>
      </c>
      <c r="R963" s="19" t="str">
        <f>TEXT(Planning[[#This Row],[Mes]]*29,"mmmm")</f>
        <v>October</v>
      </c>
      <c r="S9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63" s="228"/>
      <c r="U963" s="43">
        <f>IF(Planning[[#This Row],[Horas Planificadas]]&lt;&gt;0,+K963/Planning[[#This Row],[Horas Planificadas]],0)</f>
        <v>0</v>
      </c>
      <c r="V963" s="43">
        <f>IF(Planning[[#This Row],[Horas Planificadas]]&lt;&gt;0,Planning[[#This Row],[Horas utilizadas]]/Planning[[#This Row],[Horas Planificadas]],0)</f>
        <v>0</v>
      </c>
      <c r="W963" s="44">
        <f>Planning[[#This Row],[Horas Planificadas]]+Planning[[#This Row],[Horas ajustadas adicionales]]</f>
        <v>0</v>
      </c>
      <c r="X963" s="142"/>
    </row>
    <row r="964" spans="1:24" ht="12.75" customHeight="1" x14ac:dyDescent="0.2">
      <c r="A964" s="7"/>
      <c r="B964" s="7"/>
      <c r="C964" s="3"/>
      <c r="D964" s="3" t="s">
        <v>267</v>
      </c>
      <c r="E964" s="33" t="s">
        <v>30</v>
      </c>
      <c r="F964" s="3"/>
      <c r="G964" s="7"/>
      <c r="H964" s="7">
        <v>68</v>
      </c>
      <c r="I964" s="12"/>
      <c r="J964" s="5" t="e">
        <f>+SUMIFS(#REF!,#REF!,Planning[[#This Row],[Tarifa]],#REF!,Planning[[#This Row],[Proyectos]])</f>
        <v>#REF!</v>
      </c>
      <c r="K964" s="5" t="e">
        <f>Planning[[#This Row],[Horas Planificadas]]+Planning[[#This Row],[Horas ajustadas adicionales]]-Planning[[#This Row],[Horas utilizadas]]</f>
        <v>#REF!</v>
      </c>
      <c r="L964" s="7"/>
      <c r="M964" s="19" t="e">
        <f>Planning[[#This Row],[Saldo]]-Planning[[#This Row],[Saldo estimado]]</f>
        <v>#REF!</v>
      </c>
      <c r="N964" s="60" t="e">
        <f>+SUMIFS(#REF!,#REF!,Planning[[#This Row],[Proyectos]],#REF!,Planning[[#This Row],[Tipo de Tarea y especialidad]])</f>
        <v>#REF!</v>
      </c>
      <c r="O964" s="19">
        <f t="shared" si="28"/>
        <v>10</v>
      </c>
      <c r="P964" s="19">
        <f t="shared" si="29"/>
        <v>2024</v>
      </c>
      <c r="Q964" s="19" t="e">
        <f>+SUMIFS(#REF!,#REF!,Planning[[#This Row],[Tarifa]],#REF!,Planning[[#This Row],[Proyectos]],#REF!,Planning[[#This Row],[Mes]],#REF!,Planning[[#This Row],[Año]])</f>
        <v>#REF!</v>
      </c>
      <c r="R964" s="19" t="str">
        <f>TEXT(Planning[[#This Row],[Mes]]*29,"mmmm")</f>
        <v>October</v>
      </c>
      <c r="S9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64" s="228"/>
      <c r="U964" s="43" t="e">
        <f>IF(Planning[[#This Row],[Horas Planificadas]]&lt;&gt;0,+K964/Planning[[#This Row],[Horas Planificadas]],0)</f>
        <v>#REF!</v>
      </c>
      <c r="V964" s="43" t="e">
        <f>IF(Planning[[#This Row],[Horas Planificadas]]&lt;&gt;0,Planning[[#This Row],[Horas utilizadas]]/Planning[[#This Row],[Horas Planificadas]],0)</f>
        <v>#REF!</v>
      </c>
      <c r="W964" s="44">
        <f>Planning[[#This Row],[Horas Planificadas]]+Planning[[#This Row],[Horas ajustadas adicionales]]</f>
        <v>68</v>
      </c>
      <c r="X964" s="142"/>
    </row>
    <row r="965" spans="1:24" ht="12.75" customHeight="1" x14ac:dyDescent="0.2">
      <c r="A965" s="7"/>
      <c r="B965" s="7"/>
      <c r="C965" s="3"/>
      <c r="D965" s="3" t="s">
        <v>267</v>
      </c>
      <c r="E965" s="33" t="s">
        <v>31</v>
      </c>
      <c r="F965" s="3"/>
      <c r="G965" s="7"/>
      <c r="H965" s="7">
        <v>4</v>
      </c>
      <c r="I965" s="12"/>
      <c r="J965" s="5" t="e">
        <f>+SUMIFS(#REF!,#REF!,Planning[[#This Row],[Tarifa]],#REF!,Planning[[#This Row],[Proyectos]])</f>
        <v>#REF!</v>
      </c>
      <c r="K965" s="5" t="e">
        <f>Planning[[#This Row],[Horas Planificadas]]+Planning[[#This Row],[Horas ajustadas adicionales]]-Planning[[#This Row],[Horas utilizadas]]</f>
        <v>#REF!</v>
      </c>
      <c r="L965" s="7"/>
      <c r="M965" s="19" t="e">
        <f>Planning[[#This Row],[Saldo]]-Planning[[#This Row],[Saldo estimado]]</f>
        <v>#REF!</v>
      </c>
      <c r="N965" s="60" t="e">
        <f>+SUMIFS(#REF!,#REF!,Planning[[#This Row],[Proyectos]],#REF!,Planning[[#This Row],[Tipo de Tarea y especialidad]])</f>
        <v>#REF!</v>
      </c>
      <c r="O965" s="19">
        <f t="shared" si="28"/>
        <v>10</v>
      </c>
      <c r="P965" s="19">
        <f t="shared" si="29"/>
        <v>2024</v>
      </c>
      <c r="Q965" s="19" t="e">
        <f>+SUMIFS(#REF!,#REF!,Planning[[#This Row],[Tarifa]],#REF!,Planning[[#This Row],[Proyectos]],#REF!,Planning[[#This Row],[Mes]],#REF!,Planning[[#This Row],[Año]])</f>
        <v>#REF!</v>
      </c>
      <c r="R965" s="19" t="str">
        <f>TEXT(Planning[[#This Row],[Mes]]*29,"mmmm")</f>
        <v>October</v>
      </c>
      <c r="S9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65" s="228"/>
      <c r="U965" s="43" t="e">
        <f>IF(Planning[[#This Row],[Horas Planificadas]]&lt;&gt;0,+K965/Planning[[#This Row],[Horas Planificadas]],0)</f>
        <v>#REF!</v>
      </c>
      <c r="V965" s="43" t="e">
        <f>IF(Planning[[#This Row],[Horas Planificadas]]&lt;&gt;0,Planning[[#This Row],[Horas utilizadas]]/Planning[[#This Row],[Horas Planificadas]],0)</f>
        <v>#REF!</v>
      </c>
      <c r="W965" s="44">
        <f>Planning[[#This Row],[Horas Planificadas]]+Planning[[#This Row],[Horas ajustadas adicionales]]</f>
        <v>4</v>
      </c>
      <c r="X965" s="142"/>
    </row>
    <row r="966" spans="1:24" ht="12.75" customHeight="1" x14ac:dyDescent="0.2">
      <c r="A966" s="7"/>
      <c r="B966" s="7"/>
      <c r="C966" s="3"/>
      <c r="D966" s="3" t="s">
        <v>267</v>
      </c>
      <c r="E966" s="33" t="s">
        <v>32</v>
      </c>
      <c r="F966" s="3"/>
      <c r="G966" s="7"/>
      <c r="H966" s="7">
        <v>45</v>
      </c>
      <c r="I966" s="12"/>
      <c r="J966" s="5" t="e">
        <f>+SUMIFS(#REF!,#REF!,Planning[[#This Row],[Tarifa]],#REF!,Planning[[#This Row],[Proyectos]])</f>
        <v>#REF!</v>
      </c>
      <c r="K966" s="5" t="e">
        <f>Planning[[#This Row],[Horas Planificadas]]+Planning[[#This Row],[Horas ajustadas adicionales]]-Planning[[#This Row],[Horas utilizadas]]</f>
        <v>#REF!</v>
      </c>
      <c r="L966" s="7"/>
      <c r="M966" s="19" t="e">
        <f>Planning[[#This Row],[Saldo]]-Planning[[#This Row],[Saldo estimado]]</f>
        <v>#REF!</v>
      </c>
      <c r="N966" s="60" t="e">
        <f>+SUMIFS(#REF!,#REF!,Planning[[#This Row],[Proyectos]],#REF!,Planning[[#This Row],[Tipo de Tarea y especialidad]])</f>
        <v>#REF!</v>
      </c>
      <c r="O966" s="19">
        <f t="shared" si="28"/>
        <v>10</v>
      </c>
      <c r="P966" s="19">
        <f t="shared" si="29"/>
        <v>2024</v>
      </c>
      <c r="Q966" s="19" t="e">
        <f>+SUMIFS(#REF!,#REF!,Planning[[#This Row],[Tarifa]],#REF!,Planning[[#This Row],[Proyectos]],#REF!,Planning[[#This Row],[Mes]],#REF!,Planning[[#This Row],[Año]])</f>
        <v>#REF!</v>
      </c>
      <c r="R966" s="19" t="str">
        <f>TEXT(Planning[[#This Row],[Mes]]*29,"mmmm")</f>
        <v>October</v>
      </c>
      <c r="S9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66" s="228"/>
      <c r="U966" s="43" t="e">
        <f>IF(Planning[[#This Row],[Horas Planificadas]]&lt;&gt;0,+K966/Planning[[#This Row],[Horas Planificadas]],0)</f>
        <v>#REF!</v>
      </c>
      <c r="V966" s="43" t="e">
        <f>IF(Planning[[#This Row],[Horas Planificadas]]&lt;&gt;0,Planning[[#This Row],[Horas utilizadas]]/Planning[[#This Row],[Horas Planificadas]],0)</f>
        <v>#REF!</v>
      </c>
      <c r="W966" s="44">
        <f>Planning[[#This Row],[Horas Planificadas]]+Planning[[#This Row],[Horas ajustadas adicionales]]</f>
        <v>45</v>
      </c>
      <c r="X966" s="142"/>
    </row>
    <row r="967" spans="1:24" ht="12.75" customHeight="1" x14ac:dyDescent="0.2">
      <c r="A967" s="7"/>
      <c r="B967" s="7"/>
      <c r="C967" s="3"/>
      <c r="D967" s="3" t="s">
        <v>268</v>
      </c>
      <c r="E967" s="33" t="s">
        <v>28</v>
      </c>
      <c r="F967" s="3"/>
      <c r="G967" s="7"/>
      <c r="H967" s="7">
        <v>0</v>
      </c>
      <c r="I967" s="12"/>
      <c r="J967" s="5" t="e">
        <f>+SUMIFS(#REF!,#REF!,Planning[[#This Row],[Tarifa]],#REF!,Planning[[#This Row],[Proyectos]])</f>
        <v>#REF!</v>
      </c>
      <c r="K967" s="5" t="e">
        <f>Planning[[#This Row],[Horas Planificadas]]+Planning[[#This Row],[Horas ajustadas adicionales]]-Planning[[#This Row],[Horas utilizadas]]</f>
        <v>#REF!</v>
      </c>
      <c r="L967" s="7"/>
      <c r="M967" s="19" t="e">
        <f>Planning[[#This Row],[Saldo]]-Planning[[#This Row],[Saldo estimado]]</f>
        <v>#REF!</v>
      </c>
      <c r="N967" s="60" t="e">
        <f>+SUMIFS(#REF!,#REF!,Planning[[#This Row],[Proyectos]],#REF!,Planning[[#This Row],[Tipo de Tarea y especialidad]])</f>
        <v>#REF!</v>
      </c>
      <c r="O967" s="19">
        <f t="shared" ref="O967:O1030" si="30">$L$4</f>
        <v>10</v>
      </c>
      <c r="P967" s="19">
        <f t="shared" ref="P967:P1030" si="31">$M$4</f>
        <v>2024</v>
      </c>
      <c r="Q967" s="19" t="e">
        <f>+SUMIFS(#REF!,#REF!,Planning[[#This Row],[Tarifa]],#REF!,Planning[[#This Row],[Proyectos]],#REF!,Planning[[#This Row],[Mes]],#REF!,Planning[[#This Row],[Año]])</f>
        <v>#REF!</v>
      </c>
      <c r="R967" s="19" t="str">
        <f>TEXT(Planning[[#This Row],[Mes]]*29,"mmmm")</f>
        <v>October</v>
      </c>
      <c r="S9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67" s="228"/>
      <c r="U967" s="43">
        <f>IF(Planning[[#This Row],[Horas Planificadas]]&lt;&gt;0,+K967/Planning[[#This Row],[Horas Planificadas]],0)</f>
        <v>0</v>
      </c>
      <c r="V967" s="43">
        <f>IF(Planning[[#This Row],[Horas Planificadas]]&lt;&gt;0,Planning[[#This Row],[Horas utilizadas]]/Planning[[#This Row],[Horas Planificadas]],0)</f>
        <v>0</v>
      </c>
      <c r="W967" s="44">
        <f>Planning[[#This Row],[Horas Planificadas]]+Planning[[#This Row],[Horas ajustadas adicionales]]</f>
        <v>0</v>
      </c>
      <c r="X967" s="142"/>
    </row>
    <row r="968" spans="1:24" ht="12.75" customHeight="1" x14ac:dyDescent="0.2">
      <c r="A968" s="7"/>
      <c r="B968" s="7"/>
      <c r="C968" s="3"/>
      <c r="D968" s="3" t="s">
        <v>268</v>
      </c>
      <c r="E968" s="33" t="s">
        <v>30</v>
      </c>
      <c r="F968" s="3"/>
      <c r="G968" s="7"/>
      <c r="H968" s="7">
        <v>99</v>
      </c>
      <c r="I968" s="12"/>
      <c r="J968" s="5" t="e">
        <f>+SUMIFS(#REF!,#REF!,Planning[[#This Row],[Tarifa]],#REF!,Planning[[#This Row],[Proyectos]])</f>
        <v>#REF!</v>
      </c>
      <c r="K968" s="5" t="e">
        <f>Planning[[#This Row],[Horas Planificadas]]+Planning[[#This Row],[Horas ajustadas adicionales]]-Planning[[#This Row],[Horas utilizadas]]</f>
        <v>#REF!</v>
      </c>
      <c r="L968" s="7"/>
      <c r="M968" s="19" t="e">
        <f>Planning[[#This Row],[Saldo]]-Planning[[#This Row],[Saldo estimado]]</f>
        <v>#REF!</v>
      </c>
      <c r="N968" s="60" t="e">
        <f>+SUMIFS(#REF!,#REF!,Planning[[#This Row],[Proyectos]],#REF!,Planning[[#This Row],[Tipo de Tarea y especialidad]])</f>
        <v>#REF!</v>
      </c>
      <c r="O968" s="19">
        <f t="shared" si="30"/>
        <v>10</v>
      </c>
      <c r="P968" s="19">
        <f t="shared" si="31"/>
        <v>2024</v>
      </c>
      <c r="Q968" s="19" t="e">
        <f>+SUMIFS(#REF!,#REF!,Planning[[#This Row],[Tarifa]],#REF!,Planning[[#This Row],[Proyectos]],#REF!,Planning[[#This Row],[Mes]],#REF!,Planning[[#This Row],[Año]])</f>
        <v>#REF!</v>
      </c>
      <c r="R968" s="19" t="str">
        <f>TEXT(Planning[[#This Row],[Mes]]*29,"mmmm")</f>
        <v>October</v>
      </c>
      <c r="S9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68" s="228"/>
      <c r="U968" s="43" t="e">
        <f>IF(Planning[[#This Row],[Horas Planificadas]]&lt;&gt;0,+K968/Planning[[#This Row],[Horas Planificadas]],0)</f>
        <v>#REF!</v>
      </c>
      <c r="V968" s="43" t="e">
        <f>IF(Planning[[#This Row],[Horas Planificadas]]&lt;&gt;0,Planning[[#This Row],[Horas utilizadas]]/Planning[[#This Row],[Horas Planificadas]],0)</f>
        <v>#REF!</v>
      </c>
      <c r="W968" s="44">
        <f>Planning[[#This Row],[Horas Planificadas]]+Planning[[#This Row],[Horas ajustadas adicionales]]</f>
        <v>99</v>
      </c>
      <c r="X968" s="142"/>
    </row>
    <row r="969" spans="1:24" ht="12.75" customHeight="1" x14ac:dyDescent="0.2">
      <c r="A969" s="7"/>
      <c r="B969" s="7"/>
      <c r="C969" s="3"/>
      <c r="D969" s="3" t="s">
        <v>268</v>
      </c>
      <c r="E969" s="33" t="s">
        <v>31</v>
      </c>
      <c r="F969" s="3"/>
      <c r="G969" s="7"/>
      <c r="H969" s="7">
        <v>18</v>
      </c>
      <c r="I969" s="12"/>
      <c r="J969" s="5" t="e">
        <f>+SUMIFS(#REF!,#REF!,Planning[[#This Row],[Tarifa]],#REF!,Planning[[#This Row],[Proyectos]])</f>
        <v>#REF!</v>
      </c>
      <c r="K969" s="5" t="e">
        <f>Planning[[#This Row],[Horas Planificadas]]+Planning[[#This Row],[Horas ajustadas adicionales]]-Planning[[#This Row],[Horas utilizadas]]</f>
        <v>#REF!</v>
      </c>
      <c r="L969" s="7"/>
      <c r="M969" s="19" t="e">
        <f>Planning[[#This Row],[Saldo]]-Planning[[#This Row],[Saldo estimado]]</f>
        <v>#REF!</v>
      </c>
      <c r="N969" s="60" t="e">
        <f>+SUMIFS(#REF!,#REF!,Planning[[#This Row],[Proyectos]],#REF!,Planning[[#This Row],[Tipo de Tarea y especialidad]])</f>
        <v>#REF!</v>
      </c>
      <c r="O969" s="19">
        <f t="shared" si="30"/>
        <v>10</v>
      </c>
      <c r="P969" s="19">
        <f t="shared" si="31"/>
        <v>2024</v>
      </c>
      <c r="Q969" s="19" t="e">
        <f>+SUMIFS(#REF!,#REF!,Planning[[#This Row],[Tarifa]],#REF!,Planning[[#This Row],[Proyectos]],#REF!,Planning[[#This Row],[Mes]],#REF!,Planning[[#This Row],[Año]])</f>
        <v>#REF!</v>
      </c>
      <c r="R969" s="19" t="str">
        <f>TEXT(Planning[[#This Row],[Mes]]*29,"mmmm")</f>
        <v>October</v>
      </c>
      <c r="S9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69" s="228"/>
      <c r="U969" s="43" t="e">
        <f>IF(Planning[[#This Row],[Horas Planificadas]]&lt;&gt;0,+K969/Planning[[#This Row],[Horas Planificadas]],0)</f>
        <v>#REF!</v>
      </c>
      <c r="V969" s="43" t="e">
        <f>IF(Planning[[#This Row],[Horas Planificadas]]&lt;&gt;0,Planning[[#This Row],[Horas utilizadas]]/Planning[[#This Row],[Horas Planificadas]],0)</f>
        <v>#REF!</v>
      </c>
      <c r="W969" s="44">
        <f>Planning[[#This Row],[Horas Planificadas]]+Planning[[#This Row],[Horas ajustadas adicionales]]</f>
        <v>18</v>
      </c>
      <c r="X969" s="142"/>
    </row>
    <row r="970" spans="1:24" ht="12.75" customHeight="1" x14ac:dyDescent="0.2">
      <c r="A970" s="7"/>
      <c r="B970" s="7"/>
      <c r="C970" s="3"/>
      <c r="D970" s="3" t="s">
        <v>268</v>
      </c>
      <c r="E970" s="33" t="s">
        <v>32</v>
      </c>
      <c r="F970" s="3"/>
      <c r="G970" s="7"/>
      <c r="H970" s="7">
        <v>0</v>
      </c>
      <c r="I970" s="12"/>
      <c r="J970" s="5" t="e">
        <f>+SUMIFS(#REF!,#REF!,Planning[[#This Row],[Tarifa]],#REF!,Planning[[#This Row],[Proyectos]])</f>
        <v>#REF!</v>
      </c>
      <c r="K970" s="5" t="e">
        <f>Planning[[#This Row],[Horas Planificadas]]+Planning[[#This Row],[Horas ajustadas adicionales]]-Planning[[#This Row],[Horas utilizadas]]</f>
        <v>#REF!</v>
      </c>
      <c r="L970" s="7"/>
      <c r="M970" s="19" t="e">
        <f>Planning[[#This Row],[Saldo]]-Planning[[#This Row],[Saldo estimado]]</f>
        <v>#REF!</v>
      </c>
      <c r="N970" s="60" t="e">
        <f>+SUMIFS(#REF!,#REF!,Planning[[#This Row],[Proyectos]],#REF!,Planning[[#This Row],[Tipo de Tarea y especialidad]])</f>
        <v>#REF!</v>
      </c>
      <c r="O970" s="19">
        <f t="shared" si="30"/>
        <v>10</v>
      </c>
      <c r="P970" s="19">
        <f t="shared" si="31"/>
        <v>2024</v>
      </c>
      <c r="Q970" s="19" t="e">
        <f>+SUMIFS(#REF!,#REF!,Planning[[#This Row],[Tarifa]],#REF!,Planning[[#This Row],[Proyectos]],#REF!,Planning[[#This Row],[Mes]],#REF!,Planning[[#This Row],[Año]])</f>
        <v>#REF!</v>
      </c>
      <c r="R970" s="19" t="str">
        <f>TEXT(Planning[[#This Row],[Mes]]*29,"mmmm")</f>
        <v>October</v>
      </c>
      <c r="S9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70" s="228"/>
      <c r="U970" s="43">
        <f>IF(Planning[[#This Row],[Horas Planificadas]]&lt;&gt;0,+K970/Planning[[#This Row],[Horas Planificadas]],0)</f>
        <v>0</v>
      </c>
      <c r="V970" s="43">
        <f>IF(Planning[[#This Row],[Horas Planificadas]]&lt;&gt;0,Planning[[#This Row],[Horas utilizadas]]/Planning[[#This Row],[Horas Planificadas]],0)</f>
        <v>0</v>
      </c>
      <c r="W970" s="44">
        <f>Planning[[#This Row],[Horas Planificadas]]+Planning[[#This Row],[Horas ajustadas adicionales]]</f>
        <v>0</v>
      </c>
      <c r="X970" s="142"/>
    </row>
    <row r="971" spans="1:24" ht="12.75" customHeight="1" x14ac:dyDescent="0.2">
      <c r="A971" s="7"/>
      <c r="B971" s="7"/>
      <c r="C971" s="3"/>
      <c r="D971" s="3" t="s">
        <v>269</v>
      </c>
      <c r="E971" s="33" t="s">
        <v>28</v>
      </c>
      <c r="F971" s="3"/>
      <c r="G971" s="7"/>
      <c r="H971" s="7">
        <v>36</v>
      </c>
      <c r="I971" s="12"/>
      <c r="J971" s="5" t="e">
        <f>+SUMIFS(#REF!,#REF!,Planning[[#This Row],[Tarifa]],#REF!,Planning[[#This Row],[Proyectos]])</f>
        <v>#REF!</v>
      </c>
      <c r="K971" s="5" t="e">
        <f>Planning[[#This Row],[Horas Planificadas]]+Planning[[#This Row],[Horas ajustadas adicionales]]-Planning[[#This Row],[Horas utilizadas]]</f>
        <v>#REF!</v>
      </c>
      <c r="L971" s="7"/>
      <c r="M971" s="19" t="e">
        <f>Planning[[#This Row],[Saldo]]-Planning[[#This Row],[Saldo estimado]]</f>
        <v>#REF!</v>
      </c>
      <c r="N971" s="60" t="e">
        <f>+SUMIFS(#REF!,#REF!,Planning[[#This Row],[Proyectos]],#REF!,Planning[[#This Row],[Tipo de Tarea y especialidad]])</f>
        <v>#REF!</v>
      </c>
      <c r="O971" s="19">
        <f t="shared" si="30"/>
        <v>10</v>
      </c>
      <c r="P971" s="19">
        <f t="shared" si="31"/>
        <v>2024</v>
      </c>
      <c r="Q971" s="19" t="e">
        <f>+SUMIFS(#REF!,#REF!,Planning[[#This Row],[Tarifa]],#REF!,Planning[[#This Row],[Proyectos]],#REF!,Planning[[#This Row],[Mes]],#REF!,Planning[[#This Row],[Año]])</f>
        <v>#REF!</v>
      </c>
      <c r="R971" s="19" t="str">
        <f>TEXT(Planning[[#This Row],[Mes]]*29,"mmmm")</f>
        <v>October</v>
      </c>
      <c r="S9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71" s="228"/>
      <c r="U971" s="43" t="e">
        <f>IF(Planning[[#This Row],[Horas Planificadas]]&lt;&gt;0,+K971/Planning[[#This Row],[Horas Planificadas]],0)</f>
        <v>#REF!</v>
      </c>
      <c r="V971" s="43" t="e">
        <f>IF(Planning[[#This Row],[Horas Planificadas]]&lt;&gt;0,Planning[[#This Row],[Horas utilizadas]]/Planning[[#This Row],[Horas Planificadas]],0)</f>
        <v>#REF!</v>
      </c>
      <c r="W971" s="44">
        <f>Planning[[#This Row],[Horas Planificadas]]+Planning[[#This Row],[Horas ajustadas adicionales]]</f>
        <v>36</v>
      </c>
      <c r="X971" s="142"/>
    </row>
    <row r="972" spans="1:24" ht="12.75" customHeight="1" x14ac:dyDescent="0.2">
      <c r="A972" s="7"/>
      <c r="B972" s="7"/>
      <c r="C972" s="3"/>
      <c r="D972" s="3" t="s">
        <v>269</v>
      </c>
      <c r="E972" s="33" t="s">
        <v>30</v>
      </c>
      <c r="F972" s="3"/>
      <c r="G972" s="7"/>
      <c r="H972" s="7">
        <v>162</v>
      </c>
      <c r="I972" s="12"/>
      <c r="J972" s="5" t="e">
        <f>+SUMIFS(#REF!,#REF!,Planning[[#This Row],[Tarifa]],#REF!,Planning[[#This Row],[Proyectos]])</f>
        <v>#REF!</v>
      </c>
      <c r="K972" s="5" t="e">
        <f>Planning[[#This Row],[Horas Planificadas]]+Planning[[#This Row],[Horas ajustadas adicionales]]-Planning[[#This Row],[Horas utilizadas]]</f>
        <v>#REF!</v>
      </c>
      <c r="L972" s="7"/>
      <c r="M972" s="19" t="e">
        <f>Planning[[#This Row],[Saldo]]-Planning[[#This Row],[Saldo estimado]]</f>
        <v>#REF!</v>
      </c>
      <c r="N972" s="60" t="e">
        <f>+SUMIFS(#REF!,#REF!,Planning[[#This Row],[Proyectos]],#REF!,Planning[[#This Row],[Tipo de Tarea y especialidad]])</f>
        <v>#REF!</v>
      </c>
      <c r="O972" s="19">
        <f t="shared" si="30"/>
        <v>10</v>
      </c>
      <c r="P972" s="19">
        <f t="shared" si="31"/>
        <v>2024</v>
      </c>
      <c r="Q972" s="19" t="e">
        <f>+SUMIFS(#REF!,#REF!,Planning[[#This Row],[Tarifa]],#REF!,Planning[[#This Row],[Proyectos]],#REF!,Planning[[#This Row],[Mes]],#REF!,Planning[[#This Row],[Año]])</f>
        <v>#REF!</v>
      </c>
      <c r="R972" s="19" t="str">
        <f>TEXT(Planning[[#This Row],[Mes]]*29,"mmmm")</f>
        <v>October</v>
      </c>
      <c r="S9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72" s="228"/>
      <c r="U972" s="43" t="e">
        <f>IF(Planning[[#This Row],[Horas Planificadas]]&lt;&gt;0,+K972/Planning[[#This Row],[Horas Planificadas]],0)</f>
        <v>#REF!</v>
      </c>
      <c r="V972" s="43" t="e">
        <f>IF(Planning[[#This Row],[Horas Planificadas]]&lt;&gt;0,Planning[[#This Row],[Horas utilizadas]]/Planning[[#This Row],[Horas Planificadas]],0)</f>
        <v>#REF!</v>
      </c>
      <c r="W972" s="44">
        <f>Planning[[#This Row],[Horas Planificadas]]+Planning[[#This Row],[Horas ajustadas adicionales]]</f>
        <v>162</v>
      </c>
      <c r="X972" s="142"/>
    </row>
    <row r="973" spans="1:24" ht="12.75" customHeight="1" x14ac:dyDescent="0.2">
      <c r="A973" s="7"/>
      <c r="B973" s="7"/>
      <c r="C973" s="3"/>
      <c r="D973" s="3" t="s">
        <v>269</v>
      </c>
      <c r="E973" s="33" t="s">
        <v>31</v>
      </c>
      <c r="F973" s="3"/>
      <c r="G973" s="7"/>
      <c r="H973" s="7">
        <v>32</v>
      </c>
      <c r="I973" s="12"/>
      <c r="J973" s="5" t="e">
        <f>+SUMIFS(#REF!,#REF!,Planning[[#This Row],[Tarifa]],#REF!,Planning[[#This Row],[Proyectos]])</f>
        <v>#REF!</v>
      </c>
      <c r="K973" s="5" t="e">
        <f>Planning[[#This Row],[Horas Planificadas]]+Planning[[#This Row],[Horas ajustadas adicionales]]-Planning[[#This Row],[Horas utilizadas]]</f>
        <v>#REF!</v>
      </c>
      <c r="L973" s="7"/>
      <c r="M973" s="19" t="e">
        <f>Planning[[#This Row],[Saldo]]-Planning[[#This Row],[Saldo estimado]]</f>
        <v>#REF!</v>
      </c>
      <c r="N973" s="60" t="e">
        <f>+SUMIFS(#REF!,#REF!,Planning[[#This Row],[Proyectos]],#REF!,Planning[[#This Row],[Tipo de Tarea y especialidad]])</f>
        <v>#REF!</v>
      </c>
      <c r="O973" s="19">
        <f t="shared" si="30"/>
        <v>10</v>
      </c>
      <c r="P973" s="19">
        <f t="shared" si="31"/>
        <v>2024</v>
      </c>
      <c r="Q973" s="19" t="e">
        <f>+SUMIFS(#REF!,#REF!,Planning[[#This Row],[Tarifa]],#REF!,Planning[[#This Row],[Proyectos]],#REF!,Planning[[#This Row],[Mes]],#REF!,Planning[[#This Row],[Año]])</f>
        <v>#REF!</v>
      </c>
      <c r="R973" s="19" t="str">
        <f>TEXT(Planning[[#This Row],[Mes]]*29,"mmmm")</f>
        <v>October</v>
      </c>
      <c r="S9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73" s="228"/>
      <c r="U973" s="43" t="e">
        <f>IF(Planning[[#This Row],[Horas Planificadas]]&lt;&gt;0,+K973/Planning[[#This Row],[Horas Planificadas]],0)</f>
        <v>#REF!</v>
      </c>
      <c r="V973" s="43" t="e">
        <f>IF(Planning[[#This Row],[Horas Planificadas]]&lt;&gt;0,Planning[[#This Row],[Horas utilizadas]]/Planning[[#This Row],[Horas Planificadas]],0)</f>
        <v>#REF!</v>
      </c>
      <c r="W973" s="44">
        <f>Planning[[#This Row],[Horas Planificadas]]+Planning[[#This Row],[Horas ajustadas adicionales]]</f>
        <v>32</v>
      </c>
      <c r="X973" s="142"/>
    </row>
    <row r="974" spans="1:24" ht="12.75" customHeight="1" x14ac:dyDescent="0.2">
      <c r="A974" s="7"/>
      <c r="B974" s="7"/>
      <c r="C974" s="3"/>
      <c r="D974" s="3" t="s">
        <v>269</v>
      </c>
      <c r="E974" s="33" t="s">
        <v>32</v>
      </c>
      <c r="F974" s="3"/>
      <c r="G974" s="7"/>
      <c r="H974" s="7">
        <v>72</v>
      </c>
      <c r="I974" s="12"/>
      <c r="J974" s="5" t="e">
        <f>+SUMIFS(#REF!,#REF!,Planning[[#This Row],[Tarifa]],#REF!,Planning[[#This Row],[Proyectos]])</f>
        <v>#REF!</v>
      </c>
      <c r="K974" s="5" t="e">
        <f>Planning[[#This Row],[Horas Planificadas]]+Planning[[#This Row],[Horas ajustadas adicionales]]-Planning[[#This Row],[Horas utilizadas]]</f>
        <v>#REF!</v>
      </c>
      <c r="L974" s="7"/>
      <c r="M974" s="19" t="e">
        <f>Planning[[#This Row],[Saldo]]-Planning[[#This Row],[Saldo estimado]]</f>
        <v>#REF!</v>
      </c>
      <c r="N974" s="60" t="e">
        <f>+SUMIFS(#REF!,#REF!,Planning[[#This Row],[Proyectos]],#REF!,Planning[[#This Row],[Tipo de Tarea y especialidad]])</f>
        <v>#REF!</v>
      </c>
      <c r="O974" s="19">
        <f t="shared" si="30"/>
        <v>10</v>
      </c>
      <c r="P974" s="19">
        <f t="shared" si="31"/>
        <v>2024</v>
      </c>
      <c r="Q974" s="19" t="e">
        <f>+SUMIFS(#REF!,#REF!,Planning[[#This Row],[Tarifa]],#REF!,Planning[[#This Row],[Proyectos]],#REF!,Planning[[#This Row],[Mes]],#REF!,Planning[[#This Row],[Año]])</f>
        <v>#REF!</v>
      </c>
      <c r="R974" s="19" t="str">
        <f>TEXT(Planning[[#This Row],[Mes]]*29,"mmmm")</f>
        <v>October</v>
      </c>
      <c r="S9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74" s="228"/>
      <c r="U974" s="43" t="e">
        <f>IF(Planning[[#This Row],[Horas Planificadas]]&lt;&gt;0,+K974/Planning[[#This Row],[Horas Planificadas]],0)</f>
        <v>#REF!</v>
      </c>
      <c r="V974" s="43" t="e">
        <f>IF(Planning[[#This Row],[Horas Planificadas]]&lt;&gt;0,Planning[[#This Row],[Horas utilizadas]]/Planning[[#This Row],[Horas Planificadas]],0)</f>
        <v>#REF!</v>
      </c>
      <c r="W974" s="44">
        <f>Planning[[#This Row],[Horas Planificadas]]+Planning[[#This Row],[Horas ajustadas adicionales]]</f>
        <v>72</v>
      </c>
      <c r="X974" s="142"/>
    </row>
    <row r="975" spans="1:24" ht="12.75" customHeight="1" x14ac:dyDescent="0.2">
      <c r="A975" s="7"/>
      <c r="B975" s="7"/>
      <c r="C975" s="3"/>
      <c r="D975" s="3" t="s">
        <v>270</v>
      </c>
      <c r="E975" s="33" t="s">
        <v>28</v>
      </c>
      <c r="F975" s="3"/>
      <c r="G975" s="7"/>
      <c r="H975" s="7">
        <v>0</v>
      </c>
      <c r="I975" s="12"/>
      <c r="J975" s="5" t="e">
        <f>+SUMIFS(#REF!,#REF!,Planning[[#This Row],[Tarifa]],#REF!,Planning[[#This Row],[Proyectos]])</f>
        <v>#REF!</v>
      </c>
      <c r="K975" s="5" t="e">
        <f>Planning[[#This Row],[Horas Planificadas]]+Planning[[#This Row],[Horas ajustadas adicionales]]-Planning[[#This Row],[Horas utilizadas]]</f>
        <v>#REF!</v>
      </c>
      <c r="L975" s="7"/>
      <c r="M975" s="19" t="e">
        <f>Planning[[#This Row],[Saldo]]-Planning[[#This Row],[Saldo estimado]]</f>
        <v>#REF!</v>
      </c>
      <c r="N975" s="60" t="e">
        <f>+SUMIFS(#REF!,#REF!,Planning[[#This Row],[Proyectos]],#REF!,Planning[[#This Row],[Tipo de Tarea y especialidad]])</f>
        <v>#REF!</v>
      </c>
      <c r="O975" s="19">
        <f t="shared" si="30"/>
        <v>10</v>
      </c>
      <c r="P975" s="19">
        <f t="shared" si="31"/>
        <v>2024</v>
      </c>
      <c r="Q975" s="19" t="e">
        <f>+SUMIFS(#REF!,#REF!,Planning[[#This Row],[Tarifa]],#REF!,Planning[[#This Row],[Proyectos]],#REF!,Planning[[#This Row],[Mes]],#REF!,Planning[[#This Row],[Año]])</f>
        <v>#REF!</v>
      </c>
      <c r="R975" s="19" t="str">
        <f>TEXT(Planning[[#This Row],[Mes]]*29,"mmmm")</f>
        <v>October</v>
      </c>
      <c r="S9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75" s="228"/>
      <c r="U975" s="43">
        <f>IF(Planning[[#This Row],[Horas Planificadas]]&lt;&gt;0,+K975/Planning[[#This Row],[Horas Planificadas]],0)</f>
        <v>0</v>
      </c>
      <c r="V975" s="43">
        <f>IF(Planning[[#This Row],[Horas Planificadas]]&lt;&gt;0,Planning[[#This Row],[Horas utilizadas]]/Planning[[#This Row],[Horas Planificadas]],0)</f>
        <v>0</v>
      </c>
      <c r="W975" s="44">
        <f>Planning[[#This Row],[Horas Planificadas]]+Planning[[#This Row],[Horas ajustadas adicionales]]</f>
        <v>0</v>
      </c>
      <c r="X975" s="142"/>
    </row>
    <row r="976" spans="1:24" ht="12.75" customHeight="1" x14ac:dyDescent="0.2">
      <c r="A976" s="7"/>
      <c r="B976" s="7"/>
      <c r="C976" s="3"/>
      <c r="D976" s="3" t="s">
        <v>270</v>
      </c>
      <c r="E976" s="33" t="s">
        <v>30</v>
      </c>
      <c r="F976" s="3"/>
      <c r="G976" s="7"/>
      <c r="H976" s="7">
        <v>47</v>
      </c>
      <c r="I976" s="12"/>
      <c r="J976" s="5" t="e">
        <f>+SUMIFS(#REF!,#REF!,Planning[[#This Row],[Tarifa]],#REF!,Planning[[#This Row],[Proyectos]])</f>
        <v>#REF!</v>
      </c>
      <c r="K976" s="5" t="e">
        <f>Planning[[#This Row],[Horas Planificadas]]+Planning[[#This Row],[Horas ajustadas adicionales]]-Planning[[#This Row],[Horas utilizadas]]</f>
        <v>#REF!</v>
      </c>
      <c r="L976" s="7"/>
      <c r="M976" s="19" t="e">
        <f>Planning[[#This Row],[Saldo]]-Planning[[#This Row],[Saldo estimado]]</f>
        <v>#REF!</v>
      </c>
      <c r="N976" s="60" t="e">
        <f>+SUMIFS(#REF!,#REF!,Planning[[#This Row],[Proyectos]],#REF!,Planning[[#This Row],[Tipo de Tarea y especialidad]])</f>
        <v>#REF!</v>
      </c>
      <c r="O976" s="19">
        <f t="shared" si="30"/>
        <v>10</v>
      </c>
      <c r="P976" s="19">
        <f t="shared" si="31"/>
        <v>2024</v>
      </c>
      <c r="Q976" s="19" t="e">
        <f>+SUMIFS(#REF!,#REF!,Planning[[#This Row],[Tarifa]],#REF!,Planning[[#This Row],[Proyectos]],#REF!,Planning[[#This Row],[Mes]],#REF!,Planning[[#This Row],[Año]])</f>
        <v>#REF!</v>
      </c>
      <c r="R976" s="19" t="str">
        <f>TEXT(Planning[[#This Row],[Mes]]*29,"mmmm")</f>
        <v>October</v>
      </c>
      <c r="S9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76" s="228"/>
      <c r="U976" s="43" t="e">
        <f>IF(Planning[[#This Row],[Horas Planificadas]]&lt;&gt;0,+K976/Planning[[#This Row],[Horas Planificadas]],0)</f>
        <v>#REF!</v>
      </c>
      <c r="V976" s="43" t="e">
        <f>IF(Planning[[#This Row],[Horas Planificadas]]&lt;&gt;0,Planning[[#This Row],[Horas utilizadas]]/Planning[[#This Row],[Horas Planificadas]],0)</f>
        <v>#REF!</v>
      </c>
      <c r="W976" s="44">
        <f>Planning[[#This Row],[Horas Planificadas]]+Planning[[#This Row],[Horas ajustadas adicionales]]</f>
        <v>47</v>
      </c>
      <c r="X976" s="142"/>
    </row>
    <row r="977" spans="1:24" ht="12.75" customHeight="1" x14ac:dyDescent="0.2">
      <c r="A977" s="7"/>
      <c r="B977" s="7"/>
      <c r="C977" s="3"/>
      <c r="D977" s="3" t="s">
        <v>270</v>
      </c>
      <c r="E977" s="33" t="s">
        <v>31</v>
      </c>
      <c r="F977" s="3"/>
      <c r="G977" s="7"/>
      <c r="H977" s="7">
        <v>17</v>
      </c>
      <c r="I977" s="12"/>
      <c r="J977" s="5" t="e">
        <f>+SUMIFS(#REF!,#REF!,Planning[[#This Row],[Tarifa]],#REF!,Planning[[#This Row],[Proyectos]])</f>
        <v>#REF!</v>
      </c>
      <c r="K977" s="5" t="e">
        <f>Planning[[#This Row],[Horas Planificadas]]+Planning[[#This Row],[Horas ajustadas adicionales]]-Planning[[#This Row],[Horas utilizadas]]</f>
        <v>#REF!</v>
      </c>
      <c r="L977" s="7"/>
      <c r="M977" s="19" t="e">
        <f>Planning[[#This Row],[Saldo]]-Planning[[#This Row],[Saldo estimado]]</f>
        <v>#REF!</v>
      </c>
      <c r="N977" s="60" t="e">
        <f>+SUMIFS(#REF!,#REF!,Planning[[#This Row],[Proyectos]],#REF!,Planning[[#This Row],[Tipo de Tarea y especialidad]])</f>
        <v>#REF!</v>
      </c>
      <c r="O977" s="19">
        <f t="shared" si="30"/>
        <v>10</v>
      </c>
      <c r="P977" s="19">
        <f t="shared" si="31"/>
        <v>2024</v>
      </c>
      <c r="Q977" s="19" t="e">
        <f>+SUMIFS(#REF!,#REF!,Planning[[#This Row],[Tarifa]],#REF!,Planning[[#This Row],[Proyectos]],#REF!,Planning[[#This Row],[Mes]],#REF!,Planning[[#This Row],[Año]])</f>
        <v>#REF!</v>
      </c>
      <c r="R977" s="19" t="str">
        <f>TEXT(Planning[[#This Row],[Mes]]*29,"mmmm")</f>
        <v>October</v>
      </c>
      <c r="S9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77" s="228"/>
      <c r="U977" s="43" t="e">
        <f>IF(Planning[[#This Row],[Horas Planificadas]]&lt;&gt;0,+K977/Planning[[#This Row],[Horas Planificadas]],0)</f>
        <v>#REF!</v>
      </c>
      <c r="V977" s="43" t="e">
        <f>IF(Planning[[#This Row],[Horas Planificadas]]&lt;&gt;0,Planning[[#This Row],[Horas utilizadas]]/Planning[[#This Row],[Horas Planificadas]],0)</f>
        <v>#REF!</v>
      </c>
      <c r="W977" s="44">
        <f>Planning[[#This Row],[Horas Planificadas]]+Planning[[#This Row],[Horas ajustadas adicionales]]</f>
        <v>17</v>
      </c>
      <c r="X977" s="142"/>
    </row>
    <row r="978" spans="1:24" ht="12.75" customHeight="1" x14ac:dyDescent="0.2">
      <c r="A978" s="7"/>
      <c r="B978" s="7"/>
      <c r="C978" s="3"/>
      <c r="D978" s="3" t="s">
        <v>270</v>
      </c>
      <c r="E978" s="33" t="s">
        <v>32</v>
      </c>
      <c r="F978" s="3"/>
      <c r="G978" s="7"/>
      <c r="H978" s="7">
        <v>36</v>
      </c>
      <c r="I978" s="12"/>
      <c r="J978" s="5" t="e">
        <f>+SUMIFS(#REF!,#REF!,Planning[[#This Row],[Tarifa]],#REF!,Planning[[#This Row],[Proyectos]])</f>
        <v>#REF!</v>
      </c>
      <c r="K978" s="5" t="e">
        <f>Planning[[#This Row],[Horas Planificadas]]+Planning[[#This Row],[Horas ajustadas adicionales]]-Planning[[#This Row],[Horas utilizadas]]</f>
        <v>#REF!</v>
      </c>
      <c r="L978" s="7"/>
      <c r="M978" s="19" t="e">
        <f>Planning[[#This Row],[Saldo]]-Planning[[#This Row],[Saldo estimado]]</f>
        <v>#REF!</v>
      </c>
      <c r="N978" s="60" t="e">
        <f>+SUMIFS(#REF!,#REF!,Planning[[#This Row],[Proyectos]],#REF!,Planning[[#This Row],[Tipo de Tarea y especialidad]])</f>
        <v>#REF!</v>
      </c>
      <c r="O978" s="19">
        <f t="shared" si="30"/>
        <v>10</v>
      </c>
      <c r="P978" s="19">
        <f t="shared" si="31"/>
        <v>2024</v>
      </c>
      <c r="Q978" s="19" t="e">
        <f>+SUMIFS(#REF!,#REF!,Planning[[#This Row],[Tarifa]],#REF!,Planning[[#This Row],[Proyectos]],#REF!,Planning[[#This Row],[Mes]],#REF!,Planning[[#This Row],[Año]])</f>
        <v>#REF!</v>
      </c>
      <c r="R978" s="19" t="str">
        <f>TEXT(Planning[[#This Row],[Mes]]*29,"mmmm")</f>
        <v>October</v>
      </c>
      <c r="S9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78" s="228"/>
      <c r="U978" s="43" t="e">
        <f>IF(Planning[[#This Row],[Horas Planificadas]]&lt;&gt;0,+K978/Planning[[#This Row],[Horas Planificadas]],0)</f>
        <v>#REF!</v>
      </c>
      <c r="V978" s="43" t="e">
        <f>IF(Planning[[#This Row],[Horas Planificadas]]&lt;&gt;0,Planning[[#This Row],[Horas utilizadas]]/Planning[[#This Row],[Horas Planificadas]],0)</f>
        <v>#REF!</v>
      </c>
      <c r="W978" s="44">
        <f>Planning[[#This Row],[Horas Planificadas]]+Planning[[#This Row],[Horas ajustadas adicionales]]</f>
        <v>36</v>
      </c>
      <c r="X978" s="142"/>
    </row>
    <row r="979" spans="1:24" ht="12.75" customHeight="1" x14ac:dyDescent="0.2">
      <c r="A979" s="7"/>
      <c r="B979" s="7"/>
      <c r="C979" s="3"/>
      <c r="D979" s="3" t="s">
        <v>271</v>
      </c>
      <c r="E979" s="33" t="s">
        <v>28</v>
      </c>
      <c r="F979" s="3"/>
      <c r="G979" s="7"/>
      <c r="H979" s="7">
        <v>135</v>
      </c>
      <c r="I979" s="12"/>
      <c r="J979" s="5" t="e">
        <f>+SUMIFS(#REF!,#REF!,Planning[[#This Row],[Tarifa]],#REF!,Planning[[#This Row],[Proyectos]])</f>
        <v>#REF!</v>
      </c>
      <c r="K979" s="5" t="e">
        <f>Planning[[#This Row],[Horas Planificadas]]+Planning[[#This Row],[Horas ajustadas adicionales]]-Planning[[#This Row],[Horas utilizadas]]</f>
        <v>#REF!</v>
      </c>
      <c r="L979" s="7"/>
      <c r="M979" s="19" t="e">
        <f>Planning[[#This Row],[Saldo]]-Planning[[#This Row],[Saldo estimado]]</f>
        <v>#REF!</v>
      </c>
      <c r="N979" s="60" t="e">
        <f>+SUMIFS(#REF!,#REF!,Planning[[#This Row],[Proyectos]],#REF!,Planning[[#This Row],[Tipo de Tarea y especialidad]])</f>
        <v>#REF!</v>
      </c>
      <c r="O979" s="19">
        <f t="shared" si="30"/>
        <v>10</v>
      </c>
      <c r="P979" s="19">
        <f t="shared" si="31"/>
        <v>2024</v>
      </c>
      <c r="Q979" s="19" t="e">
        <f>+SUMIFS(#REF!,#REF!,Planning[[#This Row],[Tarifa]],#REF!,Planning[[#This Row],[Proyectos]],#REF!,Planning[[#This Row],[Mes]],#REF!,Planning[[#This Row],[Año]])</f>
        <v>#REF!</v>
      </c>
      <c r="R979" s="19" t="str">
        <f>TEXT(Planning[[#This Row],[Mes]]*29,"mmmm")</f>
        <v>October</v>
      </c>
      <c r="S9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79" s="228"/>
      <c r="U979" s="43" t="e">
        <f>IF(Planning[[#This Row],[Horas Planificadas]]&lt;&gt;0,+K979/Planning[[#This Row],[Horas Planificadas]],0)</f>
        <v>#REF!</v>
      </c>
      <c r="V979" s="43" t="e">
        <f>IF(Planning[[#This Row],[Horas Planificadas]]&lt;&gt;0,Planning[[#This Row],[Horas utilizadas]]/Planning[[#This Row],[Horas Planificadas]],0)</f>
        <v>#REF!</v>
      </c>
      <c r="W979" s="44">
        <f>Planning[[#This Row],[Horas Planificadas]]+Planning[[#This Row],[Horas ajustadas adicionales]]</f>
        <v>135</v>
      </c>
      <c r="X979" s="142"/>
    </row>
    <row r="980" spans="1:24" ht="12.75" customHeight="1" x14ac:dyDescent="0.2">
      <c r="A980" s="7"/>
      <c r="B980" s="7"/>
      <c r="C980" s="3"/>
      <c r="D980" s="3" t="s">
        <v>271</v>
      </c>
      <c r="E980" s="33" t="s">
        <v>30</v>
      </c>
      <c r="F980" s="3"/>
      <c r="G980" s="7"/>
      <c r="H980" s="7">
        <v>120</v>
      </c>
      <c r="I980" s="12"/>
      <c r="J980" s="5" t="e">
        <f>+SUMIFS(#REF!,#REF!,Planning[[#This Row],[Tarifa]],#REF!,Planning[[#This Row],[Proyectos]])</f>
        <v>#REF!</v>
      </c>
      <c r="K980" s="5" t="e">
        <f>Planning[[#This Row],[Horas Planificadas]]+Planning[[#This Row],[Horas ajustadas adicionales]]-Planning[[#This Row],[Horas utilizadas]]</f>
        <v>#REF!</v>
      </c>
      <c r="L980" s="7"/>
      <c r="M980" s="19" t="e">
        <f>Planning[[#This Row],[Saldo]]-Planning[[#This Row],[Saldo estimado]]</f>
        <v>#REF!</v>
      </c>
      <c r="N980" s="60" t="e">
        <f>+SUMIFS(#REF!,#REF!,Planning[[#This Row],[Proyectos]],#REF!,Planning[[#This Row],[Tipo de Tarea y especialidad]])</f>
        <v>#REF!</v>
      </c>
      <c r="O980" s="19">
        <f t="shared" si="30"/>
        <v>10</v>
      </c>
      <c r="P980" s="19">
        <f t="shared" si="31"/>
        <v>2024</v>
      </c>
      <c r="Q980" s="19" t="e">
        <f>+SUMIFS(#REF!,#REF!,Planning[[#This Row],[Tarifa]],#REF!,Planning[[#This Row],[Proyectos]],#REF!,Planning[[#This Row],[Mes]],#REF!,Planning[[#This Row],[Año]])</f>
        <v>#REF!</v>
      </c>
      <c r="R980" s="19" t="str">
        <f>TEXT(Planning[[#This Row],[Mes]]*29,"mmmm")</f>
        <v>October</v>
      </c>
      <c r="S9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80" s="228"/>
      <c r="U980" s="43" t="e">
        <f>IF(Planning[[#This Row],[Horas Planificadas]]&lt;&gt;0,+K980/Planning[[#This Row],[Horas Planificadas]],0)</f>
        <v>#REF!</v>
      </c>
      <c r="V980" s="43" t="e">
        <f>IF(Planning[[#This Row],[Horas Planificadas]]&lt;&gt;0,Planning[[#This Row],[Horas utilizadas]]/Planning[[#This Row],[Horas Planificadas]],0)</f>
        <v>#REF!</v>
      </c>
      <c r="W980" s="44">
        <f>Planning[[#This Row],[Horas Planificadas]]+Planning[[#This Row],[Horas ajustadas adicionales]]</f>
        <v>120</v>
      </c>
      <c r="X980" s="142"/>
    </row>
    <row r="981" spans="1:24" ht="12.75" customHeight="1" x14ac:dyDescent="0.2">
      <c r="A981" s="7"/>
      <c r="B981" s="7"/>
      <c r="C981" s="3"/>
      <c r="D981" s="3" t="s">
        <v>271</v>
      </c>
      <c r="E981" s="33" t="s">
        <v>31</v>
      </c>
      <c r="F981" s="3"/>
      <c r="G981" s="7"/>
      <c r="H981" s="7">
        <v>120</v>
      </c>
      <c r="I981" s="12"/>
      <c r="J981" s="5" t="e">
        <f>+SUMIFS(#REF!,#REF!,Planning[[#This Row],[Tarifa]],#REF!,Planning[[#This Row],[Proyectos]])</f>
        <v>#REF!</v>
      </c>
      <c r="K981" s="5" t="e">
        <f>Planning[[#This Row],[Horas Planificadas]]+Planning[[#This Row],[Horas ajustadas adicionales]]-Planning[[#This Row],[Horas utilizadas]]</f>
        <v>#REF!</v>
      </c>
      <c r="L981" s="7"/>
      <c r="M981" s="19" t="e">
        <f>Planning[[#This Row],[Saldo]]-Planning[[#This Row],[Saldo estimado]]</f>
        <v>#REF!</v>
      </c>
      <c r="N981" s="60" t="e">
        <f>+SUMIFS(#REF!,#REF!,Planning[[#This Row],[Proyectos]],#REF!,Planning[[#This Row],[Tipo de Tarea y especialidad]])</f>
        <v>#REF!</v>
      </c>
      <c r="O981" s="19">
        <f t="shared" si="30"/>
        <v>10</v>
      </c>
      <c r="P981" s="19">
        <f t="shared" si="31"/>
        <v>2024</v>
      </c>
      <c r="Q981" s="19" t="e">
        <f>+SUMIFS(#REF!,#REF!,Planning[[#This Row],[Tarifa]],#REF!,Planning[[#This Row],[Proyectos]],#REF!,Planning[[#This Row],[Mes]],#REF!,Planning[[#This Row],[Año]])</f>
        <v>#REF!</v>
      </c>
      <c r="R981" s="19" t="str">
        <f>TEXT(Planning[[#This Row],[Mes]]*29,"mmmm")</f>
        <v>October</v>
      </c>
      <c r="S9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81" s="228"/>
      <c r="U981" s="43" t="e">
        <f>IF(Planning[[#This Row],[Horas Planificadas]]&lt;&gt;0,+K981/Planning[[#This Row],[Horas Planificadas]],0)</f>
        <v>#REF!</v>
      </c>
      <c r="V981" s="43" t="e">
        <f>IF(Planning[[#This Row],[Horas Planificadas]]&lt;&gt;0,Planning[[#This Row],[Horas utilizadas]]/Planning[[#This Row],[Horas Planificadas]],0)</f>
        <v>#REF!</v>
      </c>
      <c r="W981" s="44">
        <f>Planning[[#This Row],[Horas Planificadas]]+Planning[[#This Row],[Horas ajustadas adicionales]]</f>
        <v>120</v>
      </c>
      <c r="X981" s="142"/>
    </row>
    <row r="982" spans="1:24" ht="12.75" customHeight="1" x14ac:dyDescent="0.2">
      <c r="A982" s="7"/>
      <c r="B982" s="7"/>
      <c r="C982" s="3"/>
      <c r="D982" s="3" t="s">
        <v>271</v>
      </c>
      <c r="E982" s="33" t="s">
        <v>32</v>
      </c>
      <c r="F982" s="3"/>
      <c r="G982" s="7"/>
      <c r="H982" s="7">
        <v>84</v>
      </c>
      <c r="I982" s="12"/>
      <c r="J982" s="5" t="e">
        <f>+SUMIFS(#REF!,#REF!,Planning[[#This Row],[Tarifa]],#REF!,Planning[[#This Row],[Proyectos]])</f>
        <v>#REF!</v>
      </c>
      <c r="K982" s="5" t="e">
        <f>Planning[[#This Row],[Horas Planificadas]]+Planning[[#This Row],[Horas ajustadas adicionales]]-Planning[[#This Row],[Horas utilizadas]]</f>
        <v>#REF!</v>
      </c>
      <c r="L982" s="7"/>
      <c r="M982" s="19" t="e">
        <f>Planning[[#This Row],[Saldo]]-Planning[[#This Row],[Saldo estimado]]</f>
        <v>#REF!</v>
      </c>
      <c r="N982" s="60" t="e">
        <f>+SUMIFS(#REF!,#REF!,Planning[[#This Row],[Proyectos]],#REF!,Planning[[#This Row],[Tipo de Tarea y especialidad]])</f>
        <v>#REF!</v>
      </c>
      <c r="O982" s="19">
        <f t="shared" si="30"/>
        <v>10</v>
      </c>
      <c r="P982" s="19">
        <f t="shared" si="31"/>
        <v>2024</v>
      </c>
      <c r="Q982" s="19" t="e">
        <f>+SUMIFS(#REF!,#REF!,Planning[[#This Row],[Tarifa]],#REF!,Planning[[#This Row],[Proyectos]],#REF!,Planning[[#This Row],[Mes]],#REF!,Planning[[#This Row],[Año]])</f>
        <v>#REF!</v>
      </c>
      <c r="R982" s="19" t="str">
        <f>TEXT(Planning[[#This Row],[Mes]]*29,"mmmm")</f>
        <v>October</v>
      </c>
      <c r="S9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82" s="228"/>
      <c r="U982" s="43" t="e">
        <f>IF(Planning[[#This Row],[Horas Planificadas]]&lt;&gt;0,+K982/Planning[[#This Row],[Horas Planificadas]],0)</f>
        <v>#REF!</v>
      </c>
      <c r="V982" s="43" t="e">
        <f>IF(Planning[[#This Row],[Horas Planificadas]]&lt;&gt;0,Planning[[#This Row],[Horas utilizadas]]/Planning[[#This Row],[Horas Planificadas]],0)</f>
        <v>#REF!</v>
      </c>
      <c r="W982" s="44">
        <f>Planning[[#This Row],[Horas Planificadas]]+Planning[[#This Row],[Horas ajustadas adicionales]]</f>
        <v>84</v>
      </c>
      <c r="X982" s="142"/>
    </row>
    <row r="983" spans="1:24" ht="12.75" customHeight="1" x14ac:dyDescent="0.2">
      <c r="A983" s="7"/>
      <c r="B983" s="7"/>
      <c r="C983" s="3"/>
      <c r="D983" s="3" t="s">
        <v>272</v>
      </c>
      <c r="E983" s="33" t="s">
        <v>28</v>
      </c>
      <c r="F983" s="3"/>
      <c r="G983" s="7"/>
      <c r="H983" s="7">
        <v>36</v>
      </c>
      <c r="I983" s="12"/>
      <c r="J983" s="5" t="e">
        <f>+SUMIFS(#REF!,#REF!,Planning[[#This Row],[Tarifa]],#REF!,Planning[[#This Row],[Proyectos]])</f>
        <v>#REF!</v>
      </c>
      <c r="K983" s="5" t="e">
        <f>Planning[[#This Row],[Horas Planificadas]]+Planning[[#This Row],[Horas ajustadas adicionales]]-Planning[[#This Row],[Horas utilizadas]]</f>
        <v>#REF!</v>
      </c>
      <c r="L983" s="7"/>
      <c r="M983" s="19" t="e">
        <f>Planning[[#This Row],[Saldo]]-Planning[[#This Row],[Saldo estimado]]</f>
        <v>#REF!</v>
      </c>
      <c r="N983" s="60" t="e">
        <f>+SUMIFS(#REF!,#REF!,Planning[[#This Row],[Proyectos]],#REF!,Planning[[#This Row],[Tipo de Tarea y especialidad]])</f>
        <v>#REF!</v>
      </c>
      <c r="O983" s="19">
        <f t="shared" si="30"/>
        <v>10</v>
      </c>
      <c r="P983" s="19">
        <f t="shared" si="31"/>
        <v>2024</v>
      </c>
      <c r="Q983" s="19" t="e">
        <f>+SUMIFS(#REF!,#REF!,Planning[[#This Row],[Tarifa]],#REF!,Planning[[#This Row],[Proyectos]],#REF!,Planning[[#This Row],[Mes]],#REF!,Planning[[#This Row],[Año]])</f>
        <v>#REF!</v>
      </c>
      <c r="R983" s="19" t="str">
        <f>TEXT(Planning[[#This Row],[Mes]]*29,"mmmm")</f>
        <v>October</v>
      </c>
      <c r="S9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83" s="228"/>
      <c r="U983" s="43" t="e">
        <f>IF(Planning[[#This Row],[Horas Planificadas]]&lt;&gt;0,+K983/Planning[[#This Row],[Horas Planificadas]],0)</f>
        <v>#REF!</v>
      </c>
      <c r="V983" s="43" t="e">
        <f>IF(Planning[[#This Row],[Horas Planificadas]]&lt;&gt;0,Planning[[#This Row],[Horas utilizadas]]/Planning[[#This Row],[Horas Planificadas]],0)</f>
        <v>#REF!</v>
      </c>
      <c r="W983" s="44">
        <f>Planning[[#This Row],[Horas Planificadas]]+Planning[[#This Row],[Horas ajustadas adicionales]]</f>
        <v>36</v>
      </c>
      <c r="X983" s="142"/>
    </row>
    <row r="984" spans="1:24" ht="12.75" customHeight="1" x14ac:dyDescent="0.2">
      <c r="A984" s="7"/>
      <c r="B984" s="7"/>
      <c r="C984" s="3"/>
      <c r="D984" s="3" t="s">
        <v>272</v>
      </c>
      <c r="E984" s="33" t="s">
        <v>30</v>
      </c>
      <c r="F984" s="3"/>
      <c r="G984" s="7"/>
      <c r="H984" s="7">
        <v>238</v>
      </c>
      <c r="I984" s="12"/>
      <c r="J984" s="5" t="e">
        <f>+SUMIFS(#REF!,#REF!,Planning[[#This Row],[Tarifa]],#REF!,Planning[[#This Row],[Proyectos]])</f>
        <v>#REF!</v>
      </c>
      <c r="K984" s="5" t="e">
        <f>Planning[[#This Row],[Horas Planificadas]]+Planning[[#This Row],[Horas ajustadas adicionales]]-Planning[[#This Row],[Horas utilizadas]]</f>
        <v>#REF!</v>
      </c>
      <c r="L984" s="7"/>
      <c r="M984" s="19" t="e">
        <f>Planning[[#This Row],[Saldo]]-Planning[[#This Row],[Saldo estimado]]</f>
        <v>#REF!</v>
      </c>
      <c r="N984" s="60" t="e">
        <f>+SUMIFS(#REF!,#REF!,Planning[[#This Row],[Proyectos]],#REF!,Planning[[#This Row],[Tipo de Tarea y especialidad]])</f>
        <v>#REF!</v>
      </c>
      <c r="O984" s="19">
        <f t="shared" si="30"/>
        <v>10</v>
      </c>
      <c r="P984" s="19">
        <f t="shared" si="31"/>
        <v>2024</v>
      </c>
      <c r="Q984" s="19" t="e">
        <f>+SUMIFS(#REF!,#REF!,Planning[[#This Row],[Tarifa]],#REF!,Planning[[#This Row],[Proyectos]],#REF!,Planning[[#This Row],[Mes]],#REF!,Planning[[#This Row],[Año]])</f>
        <v>#REF!</v>
      </c>
      <c r="R984" s="19" t="str">
        <f>TEXT(Planning[[#This Row],[Mes]]*29,"mmmm")</f>
        <v>October</v>
      </c>
      <c r="S9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84" s="228"/>
      <c r="U984" s="43" t="e">
        <f>IF(Planning[[#This Row],[Horas Planificadas]]&lt;&gt;0,+K984/Planning[[#This Row],[Horas Planificadas]],0)</f>
        <v>#REF!</v>
      </c>
      <c r="V984" s="43" t="e">
        <f>IF(Planning[[#This Row],[Horas Planificadas]]&lt;&gt;0,Planning[[#This Row],[Horas utilizadas]]/Planning[[#This Row],[Horas Planificadas]],0)</f>
        <v>#REF!</v>
      </c>
      <c r="W984" s="44">
        <f>Planning[[#This Row],[Horas Planificadas]]+Planning[[#This Row],[Horas ajustadas adicionales]]</f>
        <v>238</v>
      </c>
      <c r="X984" s="142"/>
    </row>
    <row r="985" spans="1:24" ht="12.75" customHeight="1" x14ac:dyDescent="0.2">
      <c r="A985" s="7"/>
      <c r="B985" s="7"/>
      <c r="C985" s="3"/>
      <c r="D985" s="3" t="s">
        <v>272</v>
      </c>
      <c r="E985" s="33" t="s">
        <v>31</v>
      </c>
      <c r="F985" s="3"/>
      <c r="G985" s="7"/>
      <c r="H985" s="7">
        <v>98</v>
      </c>
      <c r="I985" s="12"/>
      <c r="J985" s="5" t="e">
        <f>+SUMIFS(#REF!,#REF!,Planning[[#This Row],[Tarifa]],#REF!,Planning[[#This Row],[Proyectos]])</f>
        <v>#REF!</v>
      </c>
      <c r="K985" s="5" t="e">
        <f>Planning[[#This Row],[Horas Planificadas]]+Planning[[#This Row],[Horas ajustadas adicionales]]-Planning[[#This Row],[Horas utilizadas]]</f>
        <v>#REF!</v>
      </c>
      <c r="L985" s="7"/>
      <c r="M985" s="19" t="e">
        <f>Planning[[#This Row],[Saldo]]-Planning[[#This Row],[Saldo estimado]]</f>
        <v>#REF!</v>
      </c>
      <c r="N985" s="60" t="e">
        <f>+SUMIFS(#REF!,#REF!,Planning[[#This Row],[Proyectos]],#REF!,Planning[[#This Row],[Tipo de Tarea y especialidad]])</f>
        <v>#REF!</v>
      </c>
      <c r="O985" s="19">
        <f t="shared" si="30"/>
        <v>10</v>
      </c>
      <c r="P985" s="19">
        <f t="shared" si="31"/>
        <v>2024</v>
      </c>
      <c r="Q985" s="19" t="e">
        <f>+SUMIFS(#REF!,#REF!,Planning[[#This Row],[Tarifa]],#REF!,Planning[[#This Row],[Proyectos]],#REF!,Planning[[#This Row],[Mes]],#REF!,Planning[[#This Row],[Año]])</f>
        <v>#REF!</v>
      </c>
      <c r="R985" s="19" t="str">
        <f>TEXT(Planning[[#This Row],[Mes]]*29,"mmmm")</f>
        <v>October</v>
      </c>
      <c r="S9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85" s="228"/>
      <c r="U985" s="43" t="e">
        <f>IF(Planning[[#This Row],[Horas Planificadas]]&lt;&gt;0,+K985/Planning[[#This Row],[Horas Planificadas]],0)</f>
        <v>#REF!</v>
      </c>
      <c r="V985" s="43" t="e">
        <f>IF(Planning[[#This Row],[Horas Planificadas]]&lt;&gt;0,Planning[[#This Row],[Horas utilizadas]]/Planning[[#This Row],[Horas Planificadas]],0)</f>
        <v>#REF!</v>
      </c>
      <c r="W985" s="44">
        <f>Planning[[#This Row],[Horas Planificadas]]+Planning[[#This Row],[Horas ajustadas adicionales]]</f>
        <v>98</v>
      </c>
      <c r="X985" s="142"/>
    </row>
    <row r="986" spans="1:24" ht="12.75" customHeight="1" x14ac:dyDescent="0.2">
      <c r="A986" s="7"/>
      <c r="B986" s="7"/>
      <c r="C986" s="3"/>
      <c r="D986" s="3" t="s">
        <v>272</v>
      </c>
      <c r="E986" s="33" t="s">
        <v>32</v>
      </c>
      <c r="F986" s="3"/>
      <c r="G986" s="7"/>
      <c r="H986" s="7">
        <v>99</v>
      </c>
      <c r="I986" s="12"/>
      <c r="J986" s="5" t="e">
        <f>+SUMIFS(#REF!,#REF!,Planning[[#This Row],[Tarifa]],#REF!,Planning[[#This Row],[Proyectos]])</f>
        <v>#REF!</v>
      </c>
      <c r="K986" s="5" t="e">
        <f>Planning[[#This Row],[Horas Planificadas]]+Planning[[#This Row],[Horas ajustadas adicionales]]-Planning[[#This Row],[Horas utilizadas]]</f>
        <v>#REF!</v>
      </c>
      <c r="L986" s="7"/>
      <c r="M986" s="19" t="e">
        <f>Planning[[#This Row],[Saldo]]-Planning[[#This Row],[Saldo estimado]]</f>
        <v>#REF!</v>
      </c>
      <c r="N986" s="60" t="e">
        <f>+SUMIFS(#REF!,#REF!,Planning[[#This Row],[Proyectos]],#REF!,Planning[[#This Row],[Tipo de Tarea y especialidad]])</f>
        <v>#REF!</v>
      </c>
      <c r="O986" s="19">
        <f t="shared" si="30"/>
        <v>10</v>
      </c>
      <c r="P986" s="19">
        <f t="shared" si="31"/>
        <v>2024</v>
      </c>
      <c r="Q986" s="19" t="e">
        <f>+SUMIFS(#REF!,#REF!,Planning[[#This Row],[Tarifa]],#REF!,Planning[[#This Row],[Proyectos]],#REF!,Planning[[#This Row],[Mes]],#REF!,Planning[[#This Row],[Año]])</f>
        <v>#REF!</v>
      </c>
      <c r="R986" s="19" t="str">
        <f>TEXT(Planning[[#This Row],[Mes]]*29,"mmmm")</f>
        <v>October</v>
      </c>
      <c r="S9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86" s="228"/>
      <c r="U986" s="43" t="e">
        <f>IF(Planning[[#This Row],[Horas Planificadas]]&lt;&gt;0,+K986/Planning[[#This Row],[Horas Planificadas]],0)</f>
        <v>#REF!</v>
      </c>
      <c r="V986" s="43" t="e">
        <f>IF(Planning[[#This Row],[Horas Planificadas]]&lt;&gt;0,Planning[[#This Row],[Horas utilizadas]]/Planning[[#This Row],[Horas Planificadas]],0)</f>
        <v>#REF!</v>
      </c>
      <c r="W986" s="44">
        <f>Planning[[#This Row],[Horas Planificadas]]+Planning[[#This Row],[Horas ajustadas adicionales]]</f>
        <v>99</v>
      </c>
      <c r="X986" s="142"/>
    </row>
    <row r="987" spans="1:24" ht="12.75" customHeight="1" x14ac:dyDescent="0.2">
      <c r="A987" s="7"/>
      <c r="B987" s="7"/>
      <c r="C987" s="3"/>
      <c r="D987" s="3" t="s">
        <v>273</v>
      </c>
      <c r="E987" s="33" t="s">
        <v>28</v>
      </c>
      <c r="F987" s="3"/>
      <c r="G987" s="7"/>
      <c r="H987" s="7">
        <v>0</v>
      </c>
      <c r="I987" s="12"/>
      <c r="J987" s="5" t="e">
        <f>+SUMIFS(#REF!,#REF!,Planning[[#This Row],[Tarifa]],#REF!,Planning[[#This Row],[Proyectos]])</f>
        <v>#REF!</v>
      </c>
      <c r="K987" s="5" t="e">
        <f>Planning[[#This Row],[Horas Planificadas]]+Planning[[#This Row],[Horas ajustadas adicionales]]-Planning[[#This Row],[Horas utilizadas]]</f>
        <v>#REF!</v>
      </c>
      <c r="L987" s="7"/>
      <c r="M987" s="19" t="e">
        <f>Planning[[#This Row],[Saldo]]-Planning[[#This Row],[Saldo estimado]]</f>
        <v>#REF!</v>
      </c>
      <c r="N987" s="60" t="e">
        <f>+SUMIFS(#REF!,#REF!,Planning[[#This Row],[Proyectos]],#REF!,Planning[[#This Row],[Tipo de Tarea y especialidad]])</f>
        <v>#REF!</v>
      </c>
      <c r="O987" s="19">
        <f t="shared" si="30"/>
        <v>10</v>
      </c>
      <c r="P987" s="19">
        <f t="shared" si="31"/>
        <v>2024</v>
      </c>
      <c r="Q987" s="19" t="e">
        <f>+SUMIFS(#REF!,#REF!,Planning[[#This Row],[Tarifa]],#REF!,Planning[[#This Row],[Proyectos]],#REF!,Planning[[#This Row],[Mes]],#REF!,Planning[[#This Row],[Año]])</f>
        <v>#REF!</v>
      </c>
      <c r="R987" s="19" t="str">
        <f>TEXT(Planning[[#This Row],[Mes]]*29,"mmmm")</f>
        <v>October</v>
      </c>
      <c r="S9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87" s="228"/>
      <c r="U987" s="43">
        <f>IF(Planning[[#This Row],[Horas Planificadas]]&lt;&gt;0,+K987/Planning[[#This Row],[Horas Planificadas]],0)</f>
        <v>0</v>
      </c>
      <c r="V987" s="43">
        <f>IF(Planning[[#This Row],[Horas Planificadas]]&lt;&gt;0,Planning[[#This Row],[Horas utilizadas]]/Planning[[#This Row],[Horas Planificadas]],0)</f>
        <v>0</v>
      </c>
      <c r="W987" s="44">
        <f>Planning[[#This Row],[Horas Planificadas]]+Planning[[#This Row],[Horas ajustadas adicionales]]</f>
        <v>0</v>
      </c>
      <c r="X987" s="142"/>
    </row>
    <row r="988" spans="1:24" ht="12.75" customHeight="1" x14ac:dyDescent="0.2">
      <c r="A988" s="7"/>
      <c r="B988" s="7"/>
      <c r="C988" s="3"/>
      <c r="D988" s="3" t="s">
        <v>273</v>
      </c>
      <c r="E988" s="33" t="s">
        <v>30</v>
      </c>
      <c r="F988" s="3"/>
      <c r="G988" s="7"/>
      <c r="H988" s="7">
        <v>45</v>
      </c>
      <c r="I988" s="12"/>
      <c r="J988" s="5" t="e">
        <f>+SUMIFS(#REF!,#REF!,Planning[[#This Row],[Tarifa]],#REF!,Planning[[#This Row],[Proyectos]])</f>
        <v>#REF!</v>
      </c>
      <c r="K988" s="5" t="e">
        <f>Planning[[#This Row],[Horas Planificadas]]+Planning[[#This Row],[Horas ajustadas adicionales]]-Planning[[#This Row],[Horas utilizadas]]</f>
        <v>#REF!</v>
      </c>
      <c r="L988" s="7"/>
      <c r="M988" s="19" t="e">
        <f>Planning[[#This Row],[Saldo]]-Planning[[#This Row],[Saldo estimado]]</f>
        <v>#REF!</v>
      </c>
      <c r="N988" s="60" t="e">
        <f>+SUMIFS(#REF!,#REF!,Planning[[#This Row],[Proyectos]],#REF!,Planning[[#This Row],[Tipo de Tarea y especialidad]])</f>
        <v>#REF!</v>
      </c>
      <c r="O988" s="19">
        <f t="shared" si="30"/>
        <v>10</v>
      </c>
      <c r="P988" s="19">
        <f t="shared" si="31"/>
        <v>2024</v>
      </c>
      <c r="Q988" s="19" t="e">
        <f>+SUMIFS(#REF!,#REF!,Planning[[#This Row],[Tarifa]],#REF!,Planning[[#This Row],[Proyectos]],#REF!,Planning[[#This Row],[Mes]],#REF!,Planning[[#This Row],[Año]])</f>
        <v>#REF!</v>
      </c>
      <c r="R988" s="19" t="str">
        <f>TEXT(Planning[[#This Row],[Mes]]*29,"mmmm")</f>
        <v>October</v>
      </c>
      <c r="S9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88" s="228"/>
      <c r="U988" s="43" t="e">
        <f>IF(Planning[[#This Row],[Horas Planificadas]]&lt;&gt;0,+K988/Planning[[#This Row],[Horas Planificadas]],0)</f>
        <v>#REF!</v>
      </c>
      <c r="V988" s="43" t="e">
        <f>IF(Planning[[#This Row],[Horas Planificadas]]&lt;&gt;0,Planning[[#This Row],[Horas utilizadas]]/Planning[[#This Row],[Horas Planificadas]],0)</f>
        <v>#REF!</v>
      </c>
      <c r="W988" s="44">
        <f>Planning[[#This Row],[Horas Planificadas]]+Planning[[#This Row],[Horas ajustadas adicionales]]</f>
        <v>45</v>
      </c>
      <c r="X988" s="142"/>
    </row>
    <row r="989" spans="1:24" ht="12.75" customHeight="1" x14ac:dyDescent="0.2">
      <c r="A989" s="7"/>
      <c r="B989" s="7"/>
      <c r="C989" s="3"/>
      <c r="D989" s="3" t="s">
        <v>273</v>
      </c>
      <c r="E989" s="33" t="s">
        <v>31</v>
      </c>
      <c r="F989" s="3"/>
      <c r="G989" s="7"/>
      <c r="H989" s="7">
        <v>45</v>
      </c>
      <c r="I989" s="12"/>
      <c r="J989" s="5" t="e">
        <f>+SUMIFS(#REF!,#REF!,Planning[[#This Row],[Tarifa]],#REF!,Planning[[#This Row],[Proyectos]])</f>
        <v>#REF!</v>
      </c>
      <c r="K989" s="5" t="e">
        <f>Planning[[#This Row],[Horas Planificadas]]+Planning[[#This Row],[Horas ajustadas adicionales]]-Planning[[#This Row],[Horas utilizadas]]</f>
        <v>#REF!</v>
      </c>
      <c r="L989" s="7"/>
      <c r="M989" s="19" t="e">
        <f>Planning[[#This Row],[Saldo]]-Planning[[#This Row],[Saldo estimado]]</f>
        <v>#REF!</v>
      </c>
      <c r="N989" s="60" t="e">
        <f>+SUMIFS(#REF!,#REF!,Planning[[#This Row],[Proyectos]],#REF!,Planning[[#This Row],[Tipo de Tarea y especialidad]])</f>
        <v>#REF!</v>
      </c>
      <c r="O989" s="19">
        <f t="shared" si="30"/>
        <v>10</v>
      </c>
      <c r="P989" s="19">
        <f t="shared" si="31"/>
        <v>2024</v>
      </c>
      <c r="Q989" s="19" t="e">
        <f>+SUMIFS(#REF!,#REF!,Planning[[#This Row],[Tarifa]],#REF!,Planning[[#This Row],[Proyectos]],#REF!,Planning[[#This Row],[Mes]],#REF!,Planning[[#This Row],[Año]])</f>
        <v>#REF!</v>
      </c>
      <c r="R989" s="19" t="str">
        <f>TEXT(Planning[[#This Row],[Mes]]*29,"mmmm")</f>
        <v>October</v>
      </c>
      <c r="S9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89" s="228"/>
      <c r="U989" s="43" t="e">
        <f>IF(Planning[[#This Row],[Horas Planificadas]]&lt;&gt;0,+K989/Planning[[#This Row],[Horas Planificadas]],0)</f>
        <v>#REF!</v>
      </c>
      <c r="V989" s="43" t="e">
        <f>IF(Planning[[#This Row],[Horas Planificadas]]&lt;&gt;0,Planning[[#This Row],[Horas utilizadas]]/Planning[[#This Row],[Horas Planificadas]],0)</f>
        <v>#REF!</v>
      </c>
      <c r="W989" s="44">
        <f>Planning[[#This Row],[Horas Planificadas]]+Planning[[#This Row],[Horas ajustadas adicionales]]</f>
        <v>45</v>
      </c>
      <c r="X989" s="142"/>
    </row>
    <row r="990" spans="1:24" ht="12.75" customHeight="1" x14ac:dyDescent="0.2">
      <c r="A990" s="7"/>
      <c r="B990" s="7"/>
      <c r="C990" s="3"/>
      <c r="D990" s="3" t="s">
        <v>273</v>
      </c>
      <c r="E990" s="33" t="s">
        <v>32</v>
      </c>
      <c r="F990" s="3"/>
      <c r="G990" s="7"/>
      <c r="H990" s="7">
        <v>88</v>
      </c>
      <c r="I990" s="12"/>
      <c r="J990" s="5" t="e">
        <f>+SUMIFS(#REF!,#REF!,Planning[[#This Row],[Tarifa]],#REF!,Planning[[#This Row],[Proyectos]])</f>
        <v>#REF!</v>
      </c>
      <c r="K990" s="5" t="e">
        <f>Planning[[#This Row],[Horas Planificadas]]+Planning[[#This Row],[Horas ajustadas adicionales]]-Planning[[#This Row],[Horas utilizadas]]</f>
        <v>#REF!</v>
      </c>
      <c r="L990" s="7"/>
      <c r="M990" s="19" t="e">
        <f>Planning[[#This Row],[Saldo]]-Planning[[#This Row],[Saldo estimado]]</f>
        <v>#REF!</v>
      </c>
      <c r="N990" s="60" t="e">
        <f>+SUMIFS(#REF!,#REF!,Planning[[#This Row],[Proyectos]],#REF!,Planning[[#This Row],[Tipo de Tarea y especialidad]])</f>
        <v>#REF!</v>
      </c>
      <c r="O990" s="19">
        <f t="shared" si="30"/>
        <v>10</v>
      </c>
      <c r="P990" s="19">
        <f t="shared" si="31"/>
        <v>2024</v>
      </c>
      <c r="Q990" s="19" t="e">
        <f>+SUMIFS(#REF!,#REF!,Planning[[#This Row],[Tarifa]],#REF!,Planning[[#This Row],[Proyectos]],#REF!,Planning[[#This Row],[Mes]],#REF!,Planning[[#This Row],[Año]])</f>
        <v>#REF!</v>
      </c>
      <c r="R990" s="19" t="str">
        <f>TEXT(Planning[[#This Row],[Mes]]*29,"mmmm")</f>
        <v>October</v>
      </c>
      <c r="S9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90" s="228"/>
      <c r="U990" s="43" t="e">
        <f>IF(Planning[[#This Row],[Horas Planificadas]]&lt;&gt;0,+K990/Planning[[#This Row],[Horas Planificadas]],0)</f>
        <v>#REF!</v>
      </c>
      <c r="V990" s="43" t="e">
        <f>IF(Planning[[#This Row],[Horas Planificadas]]&lt;&gt;0,Planning[[#This Row],[Horas utilizadas]]/Planning[[#This Row],[Horas Planificadas]],0)</f>
        <v>#REF!</v>
      </c>
      <c r="W990" s="44">
        <f>Planning[[#This Row],[Horas Planificadas]]+Planning[[#This Row],[Horas ajustadas adicionales]]</f>
        <v>88</v>
      </c>
      <c r="X990" s="142"/>
    </row>
    <row r="991" spans="1:24" ht="12.75" customHeight="1" x14ac:dyDescent="0.2">
      <c r="A991" s="7"/>
      <c r="B991" s="7"/>
      <c r="C991" s="3"/>
      <c r="D991" s="3" t="s">
        <v>274</v>
      </c>
      <c r="E991" s="33" t="s">
        <v>28</v>
      </c>
      <c r="F991" s="3"/>
      <c r="G991" s="7"/>
      <c r="H991" s="7">
        <v>194</v>
      </c>
      <c r="I991" s="12"/>
      <c r="J991" s="5" t="e">
        <f>+SUMIFS(#REF!,#REF!,Planning[[#This Row],[Tarifa]],#REF!,Planning[[#This Row],[Proyectos]])</f>
        <v>#REF!</v>
      </c>
      <c r="K991" s="5" t="e">
        <f>Planning[[#This Row],[Horas Planificadas]]+Planning[[#This Row],[Horas ajustadas adicionales]]-Planning[[#This Row],[Horas utilizadas]]</f>
        <v>#REF!</v>
      </c>
      <c r="L991" s="7"/>
      <c r="M991" s="19" t="e">
        <f>Planning[[#This Row],[Saldo]]-Planning[[#This Row],[Saldo estimado]]</f>
        <v>#REF!</v>
      </c>
      <c r="N991" s="60" t="e">
        <f>+SUMIFS(#REF!,#REF!,Planning[[#This Row],[Proyectos]],#REF!,Planning[[#This Row],[Tipo de Tarea y especialidad]])</f>
        <v>#REF!</v>
      </c>
      <c r="O991" s="19">
        <f t="shared" si="30"/>
        <v>10</v>
      </c>
      <c r="P991" s="19">
        <f t="shared" si="31"/>
        <v>2024</v>
      </c>
      <c r="Q991" s="19" t="e">
        <f>+SUMIFS(#REF!,#REF!,Planning[[#This Row],[Tarifa]],#REF!,Planning[[#This Row],[Proyectos]],#REF!,Planning[[#This Row],[Mes]],#REF!,Planning[[#This Row],[Año]])</f>
        <v>#REF!</v>
      </c>
      <c r="R991" s="19" t="str">
        <f>TEXT(Planning[[#This Row],[Mes]]*29,"mmmm")</f>
        <v>October</v>
      </c>
      <c r="S9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91" s="228"/>
      <c r="U991" s="43" t="e">
        <f>IF(Planning[[#This Row],[Horas Planificadas]]&lt;&gt;0,+K991/Planning[[#This Row],[Horas Planificadas]],0)</f>
        <v>#REF!</v>
      </c>
      <c r="V991" s="43" t="e">
        <f>IF(Planning[[#This Row],[Horas Planificadas]]&lt;&gt;0,Planning[[#This Row],[Horas utilizadas]]/Planning[[#This Row],[Horas Planificadas]],0)</f>
        <v>#REF!</v>
      </c>
      <c r="W991" s="44">
        <f>Planning[[#This Row],[Horas Planificadas]]+Planning[[#This Row],[Horas ajustadas adicionales]]</f>
        <v>194</v>
      </c>
      <c r="X991" s="142"/>
    </row>
    <row r="992" spans="1:24" ht="12.75" customHeight="1" x14ac:dyDescent="0.2">
      <c r="A992" s="7"/>
      <c r="B992" s="7"/>
      <c r="C992" s="3"/>
      <c r="D992" s="3" t="s">
        <v>274</v>
      </c>
      <c r="E992" s="33" t="s">
        <v>30</v>
      </c>
      <c r="F992" s="3"/>
      <c r="G992" s="7"/>
      <c r="H992" s="7">
        <v>260</v>
      </c>
      <c r="I992" s="12"/>
      <c r="J992" s="5" t="e">
        <f>+SUMIFS(#REF!,#REF!,Planning[[#This Row],[Tarifa]],#REF!,Planning[[#This Row],[Proyectos]])</f>
        <v>#REF!</v>
      </c>
      <c r="K992" s="5" t="e">
        <f>Planning[[#This Row],[Horas Planificadas]]+Planning[[#This Row],[Horas ajustadas adicionales]]-Planning[[#This Row],[Horas utilizadas]]</f>
        <v>#REF!</v>
      </c>
      <c r="L992" s="7"/>
      <c r="M992" s="19" t="e">
        <f>Planning[[#This Row],[Saldo]]-Planning[[#This Row],[Saldo estimado]]</f>
        <v>#REF!</v>
      </c>
      <c r="N992" s="60" t="e">
        <f>+SUMIFS(#REF!,#REF!,Planning[[#This Row],[Proyectos]],#REF!,Planning[[#This Row],[Tipo de Tarea y especialidad]])</f>
        <v>#REF!</v>
      </c>
      <c r="O992" s="19">
        <f t="shared" si="30"/>
        <v>10</v>
      </c>
      <c r="P992" s="19">
        <f t="shared" si="31"/>
        <v>2024</v>
      </c>
      <c r="Q992" s="19" t="e">
        <f>+SUMIFS(#REF!,#REF!,Planning[[#This Row],[Tarifa]],#REF!,Planning[[#This Row],[Proyectos]],#REF!,Planning[[#This Row],[Mes]],#REF!,Planning[[#This Row],[Año]])</f>
        <v>#REF!</v>
      </c>
      <c r="R992" s="19" t="str">
        <f>TEXT(Planning[[#This Row],[Mes]]*29,"mmmm")</f>
        <v>October</v>
      </c>
      <c r="S9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92" s="228"/>
      <c r="U992" s="43" t="e">
        <f>IF(Planning[[#This Row],[Horas Planificadas]]&lt;&gt;0,+K992/Planning[[#This Row],[Horas Planificadas]],0)</f>
        <v>#REF!</v>
      </c>
      <c r="V992" s="43" t="e">
        <f>IF(Planning[[#This Row],[Horas Planificadas]]&lt;&gt;0,Planning[[#This Row],[Horas utilizadas]]/Planning[[#This Row],[Horas Planificadas]],0)</f>
        <v>#REF!</v>
      </c>
      <c r="W992" s="44">
        <f>Planning[[#This Row],[Horas Planificadas]]+Planning[[#This Row],[Horas ajustadas adicionales]]</f>
        <v>260</v>
      </c>
      <c r="X992" s="142"/>
    </row>
    <row r="993" spans="1:24" ht="12.75" customHeight="1" x14ac:dyDescent="0.2">
      <c r="A993" s="7"/>
      <c r="B993" s="7"/>
      <c r="C993" s="3"/>
      <c r="D993" s="3" t="s">
        <v>274</v>
      </c>
      <c r="E993" s="33" t="s">
        <v>31</v>
      </c>
      <c r="F993" s="3"/>
      <c r="G993" s="7"/>
      <c r="H993" s="7">
        <v>231</v>
      </c>
      <c r="I993" s="12"/>
      <c r="J993" s="5" t="e">
        <f>+SUMIFS(#REF!,#REF!,Planning[[#This Row],[Tarifa]],#REF!,Planning[[#This Row],[Proyectos]])</f>
        <v>#REF!</v>
      </c>
      <c r="K993" s="5" t="e">
        <f>Planning[[#This Row],[Horas Planificadas]]+Planning[[#This Row],[Horas ajustadas adicionales]]-Planning[[#This Row],[Horas utilizadas]]</f>
        <v>#REF!</v>
      </c>
      <c r="L993" s="7"/>
      <c r="M993" s="19" t="e">
        <f>Planning[[#This Row],[Saldo]]-Planning[[#This Row],[Saldo estimado]]</f>
        <v>#REF!</v>
      </c>
      <c r="N993" s="60" t="e">
        <f>+SUMIFS(#REF!,#REF!,Planning[[#This Row],[Proyectos]],#REF!,Planning[[#This Row],[Tipo de Tarea y especialidad]])</f>
        <v>#REF!</v>
      </c>
      <c r="O993" s="19">
        <f t="shared" si="30"/>
        <v>10</v>
      </c>
      <c r="P993" s="19">
        <f t="shared" si="31"/>
        <v>2024</v>
      </c>
      <c r="Q993" s="19" t="e">
        <f>+SUMIFS(#REF!,#REF!,Planning[[#This Row],[Tarifa]],#REF!,Planning[[#This Row],[Proyectos]],#REF!,Planning[[#This Row],[Mes]],#REF!,Planning[[#This Row],[Año]])</f>
        <v>#REF!</v>
      </c>
      <c r="R993" s="19" t="str">
        <f>TEXT(Planning[[#This Row],[Mes]]*29,"mmmm")</f>
        <v>October</v>
      </c>
      <c r="S9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93" s="228"/>
      <c r="U993" s="43" t="e">
        <f>IF(Planning[[#This Row],[Horas Planificadas]]&lt;&gt;0,+K993/Planning[[#This Row],[Horas Planificadas]],0)</f>
        <v>#REF!</v>
      </c>
      <c r="V993" s="43" t="e">
        <f>IF(Planning[[#This Row],[Horas Planificadas]]&lt;&gt;0,Planning[[#This Row],[Horas utilizadas]]/Planning[[#This Row],[Horas Planificadas]],0)</f>
        <v>#REF!</v>
      </c>
      <c r="W993" s="44">
        <f>Planning[[#This Row],[Horas Planificadas]]+Planning[[#This Row],[Horas ajustadas adicionales]]</f>
        <v>231</v>
      </c>
      <c r="X993" s="142"/>
    </row>
    <row r="994" spans="1:24" ht="12.75" customHeight="1" x14ac:dyDescent="0.2">
      <c r="A994" s="7"/>
      <c r="B994" s="7"/>
      <c r="C994" s="3"/>
      <c r="D994" s="3" t="s">
        <v>274</v>
      </c>
      <c r="E994" s="33" t="s">
        <v>32</v>
      </c>
      <c r="F994" s="3"/>
      <c r="G994" s="7"/>
      <c r="H994" s="7">
        <v>252</v>
      </c>
      <c r="I994" s="12"/>
      <c r="J994" s="5" t="e">
        <f>+SUMIFS(#REF!,#REF!,Planning[[#This Row],[Tarifa]],#REF!,Planning[[#This Row],[Proyectos]])</f>
        <v>#REF!</v>
      </c>
      <c r="K994" s="5" t="e">
        <f>Planning[[#This Row],[Horas Planificadas]]+Planning[[#This Row],[Horas ajustadas adicionales]]-Planning[[#This Row],[Horas utilizadas]]</f>
        <v>#REF!</v>
      </c>
      <c r="L994" s="7"/>
      <c r="M994" s="19" t="e">
        <f>Planning[[#This Row],[Saldo]]-Planning[[#This Row],[Saldo estimado]]</f>
        <v>#REF!</v>
      </c>
      <c r="N994" s="60" t="e">
        <f>+SUMIFS(#REF!,#REF!,Planning[[#This Row],[Proyectos]],#REF!,Planning[[#This Row],[Tipo de Tarea y especialidad]])</f>
        <v>#REF!</v>
      </c>
      <c r="O994" s="19">
        <f t="shared" si="30"/>
        <v>10</v>
      </c>
      <c r="P994" s="19">
        <f t="shared" si="31"/>
        <v>2024</v>
      </c>
      <c r="Q994" s="19" t="e">
        <f>+SUMIFS(#REF!,#REF!,Planning[[#This Row],[Tarifa]],#REF!,Planning[[#This Row],[Proyectos]],#REF!,Planning[[#This Row],[Mes]],#REF!,Planning[[#This Row],[Año]])</f>
        <v>#REF!</v>
      </c>
      <c r="R994" s="19" t="str">
        <f>TEXT(Planning[[#This Row],[Mes]]*29,"mmmm")</f>
        <v>October</v>
      </c>
      <c r="S9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94" s="228"/>
      <c r="U994" s="43" t="e">
        <f>IF(Planning[[#This Row],[Horas Planificadas]]&lt;&gt;0,+K994/Planning[[#This Row],[Horas Planificadas]],0)</f>
        <v>#REF!</v>
      </c>
      <c r="V994" s="43" t="e">
        <f>IF(Planning[[#This Row],[Horas Planificadas]]&lt;&gt;0,Planning[[#This Row],[Horas utilizadas]]/Planning[[#This Row],[Horas Planificadas]],0)</f>
        <v>#REF!</v>
      </c>
      <c r="W994" s="44">
        <f>Planning[[#This Row],[Horas Planificadas]]+Planning[[#This Row],[Horas ajustadas adicionales]]</f>
        <v>252</v>
      </c>
      <c r="X994" s="142"/>
    </row>
    <row r="995" spans="1:24" ht="12.75" customHeight="1" x14ac:dyDescent="0.2">
      <c r="A995" s="7"/>
      <c r="B995" s="7"/>
      <c r="C995" s="3"/>
      <c r="D995" s="3" t="s">
        <v>275</v>
      </c>
      <c r="E995" s="4" t="s">
        <v>28</v>
      </c>
      <c r="F995" s="3"/>
      <c r="G995" s="9"/>
      <c r="H995" s="12">
        <v>40</v>
      </c>
      <c r="I995" s="12"/>
      <c r="J995" s="5" t="e">
        <f>+SUMIFS(#REF!,#REF!,Planning[[#This Row],[Tarifa]],#REF!,Planning[[#This Row],[Proyectos]])</f>
        <v>#REF!</v>
      </c>
      <c r="K995" s="27" t="e">
        <f>Planning[[#This Row],[Horas Planificadas]]+Planning[[#This Row],[Horas ajustadas adicionales]]-Planning[[#This Row],[Horas utilizadas]]</f>
        <v>#REF!</v>
      </c>
      <c r="L995" s="7"/>
      <c r="M995" s="34" t="e">
        <f>Planning[[#This Row],[Saldo]]-Planning[[#This Row],[Saldo estimado]]</f>
        <v>#REF!</v>
      </c>
      <c r="N995" s="62" t="e">
        <f>+SUMIFS(#REF!,#REF!,Planning[[#This Row],[Proyectos]],#REF!,Planning[[#This Row],[Tipo de Tarea y especialidad]])</f>
        <v>#REF!</v>
      </c>
      <c r="O995" s="34">
        <f t="shared" si="30"/>
        <v>10</v>
      </c>
      <c r="P995" s="34">
        <f t="shared" si="31"/>
        <v>2024</v>
      </c>
      <c r="Q995" s="34" t="e">
        <f>+SUMIFS(#REF!,#REF!,Planning[[#This Row],[Tarifa]],#REF!,Planning[[#This Row],[Proyectos]],#REF!,Planning[[#This Row],[Mes]],#REF!,Planning[[#This Row],[Año]])</f>
        <v>#REF!</v>
      </c>
      <c r="R995" s="34" t="str">
        <f>TEXT(Planning[[#This Row],[Mes]]*29,"mmmm")</f>
        <v>October</v>
      </c>
      <c r="S99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95" s="228"/>
      <c r="U995" s="43" t="e">
        <f>IF(Planning[[#This Row],[Horas Planificadas]]&lt;&gt;0,+K995/Planning[[#This Row],[Horas Planificadas]],0)</f>
        <v>#REF!</v>
      </c>
      <c r="V995" s="43" t="e">
        <f>IF(Planning[[#This Row],[Horas Planificadas]]&lt;&gt;0,Planning[[#This Row],[Horas utilizadas]]/Planning[[#This Row],[Horas Planificadas]],0)</f>
        <v>#REF!</v>
      </c>
      <c r="W995" s="44">
        <f>Planning[[#This Row],[Horas Planificadas]]+Planning[[#This Row],[Horas ajustadas adicionales]]</f>
        <v>40</v>
      </c>
      <c r="X995" s="142"/>
    </row>
    <row r="996" spans="1:24" ht="12.75" customHeight="1" x14ac:dyDescent="0.2">
      <c r="A996" s="7"/>
      <c r="B996" s="7"/>
      <c r="C996" s="3"/>
      <c r="D996" s="3" t="s">
        <v>275</v>
      </c>
      <c r="E996" s="4" t="s">
        <v>30</v>
      </c>
      <c r="F996" s="3"/>
      <c r="G996" s="9"/>
      <c r="H996" s="9">
        <v>40</v>
      </c>
      <c r="I996" s="12"/>
      <c r="J996" s="5" t="e">
        <f>+SUMIFS(#REF!,#REF!,Planning[[#This Row],[Tarifa]],#REF!,Planning[[#This Row],[Proyectos]])</f>
        <v>#REF!</v>
      </c>
      <c r="K996" s="5" t="e">
        <f>Planning[[#This Row],[Horas Planificadas]]+Planning[[#This Row],[Horas ajustadas adicionales]]-Planning[[#This Row],[Horas utilizadas]]</f>
        <v>#REF!</v>
      </c>
      <c r="L996" s="7"/>
      <c r="M996" s="19" t="e">
        <f>Planning[[#This Row],[Saldo]]-Planning[[#This Row],[Saldo estimado]]</f>
        <v>#REF!</v>
      </c>
      <c r="N996" s="60" t="e">
        <f>+SUMIFS(#REF!,#REF!,Planning[[#This Row],[Proyectos]],#REF!,Planning[[#This Row],[Tipo de Tarea y especialidad]])</f>
        <v>#REF!</v>
      </c>
      <c r="O996" s="19">
        <f t="shared" si="30"/>
        <v>10</v>
      </c>
      <c r="P996" s="19">
        <f t="shared" si="31"/>
        <v>2024</v>
      </c>
      <c r="Q996" s="19" t="e">
        <f>+SUMIFS(#REF!,#REF!,Planning[[#This Row],[Tarifa]],#REF!,Planning[[#This Row],[Proyectos]],#REF!,Planning[[#This Row],[Mes]],#REF!,Planning[[#This Row],[Año]])</f>
        <v>#REF!</v>
      </c>
      <c r="R996" s="19" t="str">
        <f>TEXT(Planning[[#This Row],[Mes]]*29,"mmmm")</f>
        <v>October</v>
      </c>
      <c r="S9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96" s="228"/>
      <c r="U996" s="43" t="e">
        <f>IF(Planning[[#This Row],[Horas Planificadas]]&lt;&gt;0,+K996/Planning[[#This Row],[Horas Planificadas]],0)</f>
        <v>#REF!</v>
      </c>
      <c r="V996" s="43" t="e">
        <f>IF(Planning[[#This Row],[Horas Planificadas]]&lt;&gt;0,Planning[[#This Row],[Horas utilizadas]]/Planning[[#This Row],[Horas Planificadas]],0)</f>
        <v>#REF!</v>
      </c>
      <c r="W996" s="44">
        <f>Planning[[#This Row],[Horas Planificadas]]+Planning[[#This Row],[Horas ajustadas adicionales]]</f>
        <v>40</v>
      </c>
      <c r="X996" s="142"/>
    </row>
    <row r="997" spans="1:24" ht="12.75" customHeight="1" x14ac:dyDescent="0.2">
      <c r="A997" s="7"/>
      <c r="B997" s="7"/>
      <c r="C997" s="3"/>
      <c r="D997" s="3" t="s">
        <v>275</v>
      </c>
      <c r="E997" s="4" t="s">
        <v>31</v>
      </c>
      <c r="F997" s="3"/>
      <c r="G997" s="9"/>
      <c r="H997" s="9">
        <v>80</v>
      </c>
      <c r="I997" s="12"/>
      <c r="J997" s="5" t="e">
        <f>+SUMIFS(#REF!,#REF!,Planning[[#This Row],[Tarifa]],#REF!,Planning[[#This Row],[Proyectos]])</f>
        <v>#REF!</v>
      </c>
      <c r="K997" s="5" t="e">
        <f>Planning[[#This Row],[Horas Planificadas]]+Planning[[#This Row],[Horas ajustadas adicionales]]-Planning[[#This Row],[Horas utilizadas]]</f>
        <v>#REF!</v>
      </c>
      <c r="L997" s="7"/>
      <c r="M997" s="19" t="e">
        <f>Planning[[#This Row],[Saldo]]-Planning[[#This Row],[Saldo estimado]]</f>
        <v>#REF!</v>
      </c>
      <c r="N997" s="60" t="e">
        <f>+SUMIFS(#REF!,#REF!,Planning[[#This Row],[Proyectos]],#REF!,Planning[[#This Row],[Tipo de Tarea y especialidad]])</f>
        <v>#REF!</v>
      </c>
      <c r="O997" s="19">
        <f t="shared" si="30"/>
        <v>10</v>
      </c>
      <c r="P997" s="19">
        <f t="shared" si="31"/>
        <v>2024</v>
      </c>
      <c r="Q997" s="19" t="e">
        <f>+SUMIFS(#REF!,#REF!,Planning[[#This Row],[Tarifa]],#REF!,Planning[[#This Row],[Proyectos]],#REF!,Planning[[#This Row],[Mes]],#REF!,Planning[[#This Row],[Año]])</f>
        <v>#REF!</v>
      </c>
      <c r="R997" s="19" t="str">
        <f>TEXT(Planning[[#This Row],[Mes]]*29,"mmmm")</f>
        <v>October</v>
      </c>
      <c r="S9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97" s="228"/>
      <c r="U997" s="43" t="e">
        <f>IF(Planning[[#This Row],[Horas Planificadas]]&lt;&gt;0,+K997/Planning[[#This Row],[Horas Planificadas]],0)</f>
        <v>#REF!</v>
      </c>
      <c r="V997" s="43" t="e">
        <f>IF(Planning[[#This Row],[Horas Planificadas]]&lt;&gt;0,Planning[[#This Row],[Horas utilizadas]]/Planning[[#This Row],[Horas Planificadas]],0)</f>
        <v>#REF!</v>
      </c>
      <c r="W997" s="44">
        <f>Planning[[#This Row],[Horas Planificadas]]+Planning[[#This Row],[Horas ajustadas adicionales]]</f>
        <v>80</v>
      </c>
      <c r="X997" s="142"/>
    </row>
    <row r="998" spans="1:24" ht="12.75" customHeight="1" x14ac:dyDescent="0.2">
      <c r="A998" s="7"/>
      <c r="B998" s="7"/>
      <c r="C998" s="3"/>
      <c r="D998" s="3" t="s">
        <v>275</v>
      </c>
      <c r="E998" s="4" t="s">
        <v>32</v>
      </c>
      <c r="F998" s="3"/>
      <c r="G998" s="9"/>
      <c r="H998" s="12">
        <v>40</v>
      </c>
      <c r="I998" s="12"/>
      <c r="J998" s="5" t="e">
        <f>+SUMIFS(#REF!,#REF!,Planning[[#This Row],[Tarifa]],#REF!,Planning[[#This Row],[Proyectos]])</f>
        <v>#REF!</v>
      </c>
      <c r="K998" s="27" t="e">
        <f>Planning[[#This Row],[Horas Planificadas]]+Planning[[#This Row],[Horas ajustadas adicionales]]-Planning[[#This Row],[Horas utilizadas]]</f>
        <v>#REF!</v>
      </c>
      <c r="L998" s="7"/>
      <c r="M998" s="19" t="e">
        <f>Planning[[#This Row],[Saldo]]-Planning[[#This Row],[Saldo estimado]]</f>
        <v>#REF!</v>
      </c>
      <c r="N998" s="60" t="e">
        <f>+SUMIFS(#REF!,#REF!,Planning[[#This Row],[Proyectos]],#REF!,Planning[[#This Row],[Tipo de Tarea y especialidad]])</f>
        <v>#REF!</v>
      </c>
      <c r="O998" s="19">
        <f t="shared" si="30"/>
        <v>10</v>
      </c>
      <c r="P998" s="19">
        <f t="shared" si="31"/>
        <v>2024</v>
      </c>
      <c r="Q998" s="19" t="e">
        <f>+SUMIFS(#REF!,#REF!,Planning[[#This Row],[Tarifa]],#REF!,Planning[[#This Row],[Proyectos]],#REF!,Planning[[#This Row],[Mes]],#REF!,Planning[[#This Row],[Año]])</f>
        <v>#REF!</v>
      </c>
      <c r="R998" s="19" t="str">
        <f>TEXT(Planning[[#This Row],[Mes]]*29,"mmmm")</f>
        <v>October</v>
      </c>
      <c r="S9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98" s="228"/>
      <c r="U998" s="43" t="e">
        <f>IF(Planning[[#This Row],[Horas Planificadas]]&lt;&gt;0,+K998/Planning[[#This Row],[Horas Planificadas]],0)</f>
        <v>#REF!</v>
      </c>
      <c r="V998" s="43" t="e">
        <f>IF(Planning[[#This Row],[Horas Planificadas]]&lt;&gt;0,Planning[[#This Row],[Horas utilizadas]]/Planning[[#This Row],[Horas Planificadas]],0)</f>
        <v>#REF!</v>
      </c>
      <c r="W998" s="44">
        <f>Planning[[#This Row],[Horas Planificadas]]+Planning[[#This Row],[Horas ajustadas adicionales]]</f>
        <v>40</v>
      </c>
      <c r="X998" s="142"/>
    </row>
    <row r="999" spans="1:24" ht="12.75" customHeight="1" x14ac:dyDescent="0.2">
      <c r="A999" s="7"/>
      <c r="B999" s="7"/>
      <c r="C999" s="3"/>
      <c r="D999" s="3" t="s">
        <v>276</v>
      </c>
      <c r="E999" s="4" t="s">
        <v>28</v>
      </c>
      <c r="F999" s="3"/>
      <c r="G999" s="9"/>
      <c r="H999" s="9">
        <v>0</v>
      </c>
      <c r="I999" s="12"/>
      <c r="J999" s="5" t="e">
        <f>+SUMIFS(#REF!,#REF!,Planning[[#This Row],[Tarifa]],#REF!,Planning[[#This Row],[Proyectos]])</f>
        <v>#REF!</v>
      </c>
      <c r="K999" s="5" t="e">
        <f>Planning[[#This Row],[Horas Planificadas]]+Planning[[#This Row],[Horas ajustadas adicionales]]-Planning[[#This Row],[Horas utilizadas]]</f>
        <v>#REF!</v>
      </c>
      <c r="L999" s="7"/>
      <c r="M999" s="19" t="e">
        <f>Planning[[#This Row],[Saldo]]-Planning[[#This Row],[Saldo estimado]]</f>
        <v>#REF!</v>
      </c>
      <c r="N999" s="60" t="e">
        <f>+SUMIFS(#REF!,#REF!,Planning[[#This Row],[Proyectos]],#REF!,Planning[[#This Row],[Tipo de Tarea y especialidad]])</f>
        <v>#REF!</v>
      </c>
      <c r="O999" s="19">
        <f t="shared" si="30"/>
        <v>10</v>
      </c>
      <c r="P999" s="19">
        <f t="shared" si="31"/>
        <v>2024</v>
      </c>
      <c r="Q999" s="19" t="e">
        <f>+SUMIFS(#REF!,#REF!,Planning[[#This Row],[Tarifa]],#REF!,Planning[[#This Row],[Proyectos]],#REF!,Planning[[#This Row],[Mes]],#REF!,Planning[[#This Row],[Año]])</f>
        <v>#REF!</v>
      </c>
      <c r="R999" s="19" t="str">
        <f>TEXT(Planning[[#This Row],[Mes]]*29,"mmmm")</f>
        <v>October</v>
      </c>
      <c r="S9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999" s="228"/>
      <c r="U999" s="43">
        <f>IF(Planning[[#This Row],[Horas Planificadas]]&lt;&gt;0,+K999/Planning[[#This Row],[Horas Planificadas]],0)</f>
        <v>0</v>
      </c>
      <c r="V999" s="43">
        <f>IF(Planning[[#This Row],[Horas Planificadas]]&lt;&gt;0,Planning[[#This Row],[Horas utilizadas]]/Planning[[#This Row],[Horas Planificadas]],0)</f>
        <v>0</v>
      </c>
      <c r="W999" s="44">
        <f>Planning[[#This Row],[Horas Planificadas]]+Planning[[#This Row],[Horas ajustadas adicionales]]</f>
        <v>0</v>
      </c>
      <c r="X999" s="142"/>
    </row>
    <row r="1000" spans="1:24" ht="12.75" customHeight="1" x14ac:dyDescent="0.2">
      <c r="A1000" s="7"/>
      <c r="B1000" s="7"/>
      <c r="C1000" s="3"/>
      <c r="D1000" s="3" t="s">
        <v>276</v>
      </c>
      <c r="E1000" s="4" t="s">
        <v>30</v>
      </c>
      <c r="F1000" s="3"/>
      <c r="G1000" s="9"/>
      <c r="H1000" s="9">
        <v>12</v>
      </c>
      <c r="I1000" s="12"/>
      <c r="J1000" s="5" t="e">
        <f>+SUMIFS(#REF!,#REF!,Planning[[#This Row],[Tarifa]],#REF!,Planning[[#This Row],[Proyectos]])</f>
        <v>#REF!</v>
      </c>
      <c r="K1000" s="5" t="e">
        <f>Planning[[#This Row],[Horas Planificadas]]+Planning[[#This Row],[Horas ajustadas adicionales]]-Planning[[#This Row],[Horas utilizadas]]</f>
        <v>#REF!</v>
      </c>
      <c r="L1000" s="7"/>
      <c r="M1000" s="19" t="e">
        <f>Planning[[#This Row],[Saldo]]-Planning[[#This Row],[Saldo estimado]]</f>
        <v>#REF!</v>
      </c>
      <c r="N1000" s="60" t="e">
        <f>+SUMIFS(#REF!,#REF!,Planning[[#This Row],[Proyectos]],#REF!,Planning[[#This Row],[Tipo de Tarea y especialidad]])</f>
        <v>#REF!</v>
      </c>
      <c r="O1000" s="19">
        <f t="shared" si="30"/>
        <v>10</v>
      </c>
      <c r="P1000" s="19">
        <f t="shared" si="31"/>
        <v>2024</v>
      </c>
      <c r="Q1000" s="19" t="e">
        <f>+SUMIFS(#REF!,#REF!,Planning[[#This Row],[Tarifa]],#REF!,Planning[[#This Row],[Proyectos]],#REF!,Planning[[#This Row],[Mes]],#REF!,Planning[[#This Row],[Año]])</f>
        <v>#REF!</v>
      </c>
      <c r="R1000" s="19" t="str">
        <f>TEXT(Planning[[#This Row],[Mes]]*29,"mmmm")</f>
        <v>October</v>
      </c>
      <c r="S10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00" s="228"/>
      <c r="U1000" s="43" t="e">
        <f>IF(Planning[[#This Row],[Horas Planificadas]]&lt;&gt;0,+K1000/Planning[[#This Row],[Horas Planificadas]],0)</f>
        <v>#REF!</v>
      </c>
      <c r="V1000" s="43" t="e">
        <f>IF(Planning[[#This Row],[Horas Planificadas]]&lt;&gt;0,Planning[[#This Row],[Horas utilizadas]]/Planning[[#This Row],[Horas Planificadas]],0)</f>
        <v>#REF!</v>
      </c>
      <c r="W1000" s="44">
        <f>Planning[[#This Row],[Horas Planificadas]]+Planning[[#This Row],[Horas ajustadas adicionales]]</f>
        <v>12</v>
      </c>
      <c r="X1000" s="142"/>
    </row>
    <row r="1001" spans="1:24" ht="12.75" customHeight="1" x14ac:dyDescent="0.2">
      <c r="A1001" s="7"/>
      <c r="B1001" s="7"/>
      <c r="C1001" s="3"/>
      <c r="D1001" s="3" t="s">
        <v>276</v>
      </c>
      <c r="E1001" s="4" t="s">
        <v>31</v>
      </c>
      <c r="F1001" s="3"/>
      <c r="G1001" s="9"/>
      <c r="H1001" s="9">
        <v>4</v>
      </c>
      <c r="I1001" s="12"/>
      <c r="J1001" s="5" t="e">
        <f>+SUMIFS(#REF!,#REF!,Planning[[#This Row],[Tarifa]],#REF!,Planning[[#This Row],[Proyectos]])</f>
        <v>#REF!</v>
      </c>
      <c r="K1001" s="5" t="e">
        <f>Planning[[#This Row],[Horas Planificadas]]+Planning[[#This Row],[Horas ajustadas adicionales]]-Planning[[#This Row],[Horas utilizadas]]</f>
        <v>#REF!</v>
      </c>
      <c r="L1001" s="7"/>
      <c r="M1001" s="19" t="e">
        <f>Planning[[#This Row],[Saldo]]-Planning[[#This Row],[Saldo estimado]]</f>
        <v>#REF!</v>
      </c>
      <c r="N1001" s="60" t="e">
        <f>+SUMIFS(#REF!,#REF!,Planning[[#This Row],[Proyectos]],#REF!,Planning[[#This Row],[Tipo de Tarea y especialidad]])</f>
        <v>#REF!</v>
      </c>
      <c r="O1001" s="19">
        <f t="shared" si="30"/>
        <v>10</v>
      </c>
      <c r="P1001" s="19">
        <f t="shared" si="31"/>
        <v>2024</v>
      </c>
      <c r="Q1001" s="19" t="e">
        <f>+SUMIFS(#REF!,#REF!,Planning[[#This Row],[Tarifa]],#REF!,Planning[[#This Row],[Proyectos]],#REF!,Planning[[#This Row],[Mes]],#REF!,Planning[[#This Row],[Año]])</f>
        <v>#REF!</v>
      </c>
      <c r="R1001" s="19" t="str">
        <f>TEXT(Planning[[#This Row],[Mes]]*29,"mmmm")</f>
        <v>October</v>
      </c>
      <c r="S10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01" s="228"/>
      <c r="U1001" s="43" t="e">
        <f>IF(Planning[[#This Row],[Horas Planificadas]]&lt;&gt;0,+K1001/Planning[[#This Row],[Horas Planificadas]],0)</f>
        <v>#REF!</v>
      </c>
      <c r="V1001" s="43" t="e">
        <f>IF(Planning[[#This Row],[Horas Planificadas]]&lt;&gt;0,Planning[[#This Row],[Horas utilizadas]]/Planning[[#This Row],[Horas Planificadas]],0)</f>
        <v>#REF!</v>
      </c>
      <c r="W1001" s="44">
        <f>Planning[[#This Row],[Horas Planificadas]]+Planning[[#This Row],[Horas ajustadas adicionales]]</f>
        <v>4</v>
      </c>
      <c r="X1001" s="142"/>
    </row>
    <row r="1002" spans="1:24" ht="12.75" customHeight="1" x14ac:dyDescent="0.2">
      <c r="A1002" s="7"/>
      <c r="B1002" s="7"/>
      <c r="C1002" s="3"/>
      <c r="D1002" s="3" t="s">
        <v>276</v>
      </c>
      <c r="E1002" s="4" t="s">
        <v>32</v>
      </c>
      <c r="F1002" s="3"/>
      <c r="G1002" s="9"/>
      <c r="H1002" s="9">
        <v>9</v>
      </c>
      <c r="I1002" s="12"/>
      <c r="J1002" s="5" t="e">
        <f>+SUMIFS(#REF!,#REF!,Planning[[#This Row],[Tarifa]],#REF!,Planning[[#This Row],[Proyectos]])</f>
        <v>#REF!</v>
      </c>
      <c r="K1002" s="5" t="e">
        <f>Planning[[#This Row],[Horas Planificadas]]+Planning[[#This Row],[Horas ajustadas adicionales]]-Planning[[#This Row],[Horas utilizadas]]</f>
        <v>#REF!</v>
      </c>
      <c r="L1002" s="7"/>
      <c r="M1002" s="19" t="e">
        <f>Planning[[#This Row],[Saldo]]-Planning[[#This Row],[Saldo estimado]]</f>
        <v>#REF!</v>
      </c>
      <c r="N1002" s="60" t="e">
        <f>+SUMIFS(#REF!,#REF!,Planning[[#This Row],[Proyectos]],#REF!,Planning[[#This Row],[Tipo de Tarea y especialidad]])</f>
        <v>#REF!</v>
      </c>
      <c r="O1002" s="19">
        <f t="shared" si="30"/>
        <v>10</v>
      </c>
      <c r="P1002" s="19">
        <f t="shared" si="31"/>
        <v>2024</v>
      </c>
      <c r="Q1002" s="19" t="e">
        <f>+SUMIFS(#REF!,#REF!,Planning[[#This Row],[Tarifa]],#REF!,Planning[[#This Row],[Proyectos]],#REF!,Planning[[#This Row],[Mes]],#REF!,Planning[[#This Row],[Año]])</f>
        <v>#REF!</v>
      </c>
      <c r="R1002" s="19" t="str">
        <f>TEXT(Planning[[#This Row],[Mes]]*29,"mmmm")</f>
        <v>October</v>
      </c>
      <c r="S10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02" s="228"/>
      <c r="U1002" s="43" t="e">
        <f>IF(Planning[[#This Row],[Horas Planificadas]]&lt;&gt;0,+K1002/Planning[[#This Row],[Horas Planificadas]],0)</f>
        <v>#REF!</v>
      </c>
      <c r="V1002" s="43" t="e">
        <f>IF(Planning[[#This Row],[Horas Planificadas]]&lt;&gt;0,Planning[[#This Row],[Horas utilizadas]]/Planning[[#This Row],[Horas Planificadas]],0)</f>
        <v>#REF!</v>
      </c>
      <c r="W1002" s="44">
        <f>Planning[[#This Row],[Horas Planificadas]]+Planning[[#This Row],[Horas ajustadas adicionales]]</f>
        <v>9</v>
      </c>
      <c r="X1002" s="142"/>
    </row>
    <row r="1003" spans="1:24" ht="12.75" customHeight="1" x14ac:dyDescent="0.2">
      <c r="A1003" s="7"/>
      <c r="B1003" s="7"/>
      <c r="C1003" s="3"/>
      <c r="D1003" s="3" t="s">
        <v>277</v>
      </c>
      <c r="E1003" s="4" t="s">
        <v>28</v>
      </c>
      <c r="F1003" s="3"/>
      <c r="G1003" s="9"/>
      <c r="H1003" s="9">
        <v>45</v>
      </c>
      <c r="I1003" s="12"/>
      <c r="J1003" s="5" t="e">
        <f>+SUMIFS(#REF!,#REF!,Planning[[#This Row],[Tarifa]],#REF!,Planning[[#This Row],[Proyectos]])</f>
        <v>#REF!</v>
      </c>
      <c r="K1003" s="5" t="e">
        <f>Planning[[#This Row],[Horas Planificadas]]+Planning[[#This Row],[Horas ajustadas adicionales]]-Planning[[#This Row],[Horas utilizadas]]</f>
        <v>#REF!</v>
      </c>
      <c r="L1003" s="7"/>
      <c r="M1003" s="19" t="e">
        <f>Planning[[#This Row],[Saldo]]-Planning[[#This Row],[Saldo estimado]]</f>
        <v>#REF!</v>
      </c>
      <c r="N1003" s="60" t="e">
        <f>+SUMIFS(#REF!,#REF!,Planning[[#This Row],[Proyectos]],#REF!,Planning[[#This Row],[Tipo de Tarea y especialidad]])</f>
        <v>#REF!</v>
      </c>
      <c r="O1003" s="19">
        <f t="shared" si="30"/>
        <v>10</v>
      </c>
      <c r="P1003" s="19">
        <f t="shared" si="31"/>
        <v>2024</v>
      </c>
      <c r="Q1003" s="19" t="e">
        <f>+SUMIFS(#REF!,#REF!,Planning[[#This Row],[Tarifa]],#REF!,Planning[[#This Row],[Proyectos]],#REF!,Planning[[#This Row],[Mes]],#REF!,Planning[[#This Row],[Año]])</f>
        <v>#REF!</v>
      </c>
      <c r="R1003" s="19" t="str">
        <f>TEXT(Planning[[#This Row],[Mes]]*29,"mmmm")</f>
        <v>October</v>
      </c>
      <c r="S10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03" s="228"/>
      <c r="U1003" s="43" t="e">
        <f>IF(Planning[[#This Row],[Horas Planificadas]]&lt;&gt;0,+K1003/Planning[[#This Row],[Horas Planificadas]],0)</f>
        <v>#REF!</v>
      </c>
      <c r="V1003" s="43" t="e">
        <f>IF(Planning[[#This Row],[Horas Planificadas]]&lt;&gt;0,Planning[[#This Row],[Horas utilizadas]]/Planning[[#This Row],[Horas Planificadas]],0)</f>
        <v>#REF!</v>
      </c>
      <c r="W1003" s="44">
        <f>Planning[[#This Row],[Horas Planificadas]]+Planning[[#This Row],[Horas ajustadas adicionales]]</f>
        <v>45</v>
      </c>
      <c r="X1003" s="142"/>
    </row>
    <row r="1004" spans="1:24" ht="12.75" customHeight="1" x14ac:dyDescent="0.2">
      <c r="A1004" s="7"/>
      <c r="B1004" s="7"/>
      <c r="C1004" s="3"/>
      <c r="D1004" s="3" t="s">
        <v>277</v>
      </c>
      <c r="E1004" s="4" t="s">
        <v>30</v>
      </c>
      <c r="F1004" s="3"/>
      <c r="G1004" s="9"/>
      <c r="H1004" s="9">
        <v>120</v>
      </c>
      <c r="I1004" s="12"/>
      <c r="J1004" s="5" t="e">
        <f>+SUMIFS(#REF!,#REF!,Planning[[#This Row],[Tarifa]],#REF!,Planning[[#This Row],[Proyectos]])</f>
        <v>#REF!</v>
      </c>
      <c r="K1004" s="5" t="e">
        <f>Planning[[#This Row],[Horas Planificadas]]+Planning[[#This Row],[Horas ajustadas adicionales]]-Planning[[#This Row],[Horas utilizadas]]</f>
        <v>#REF!</v>
      </c>
      <c r="L1004" s="7"/>
      <c r="M1004" s="19" t="e">
        <f>Planning[[#This Row],[Saldo]]-Planning[[#This Row],[Saldo estimado]]</f>
        <v>#REF!</v>
      </c>
      <c r="N1004" s="60" t="e">
        <f>+SUMIFS(#REF!,#REF!,Planning[[#This Row],[Proyectos]],#REF!,Planning[[#This Row],[Tipo de Tarea y especialidad]])</f>
        <v>#REF!</v>
      </c>
      <c r="O1004" s="19">
        <f t="shared" si="30"/>
        <v>10</v>
      </c>
      <c r="P1004" s="19">
        <f t="shared" si="31"/>
        <v>2024</v>
      </c>
      <c r="Q1004" s="19" t="e">
        <f>+SUMIFS(#REF!,#REF!,Planning[[#This Row],[Tarifa]],#REF!,Planning[[#This Row],[Proyectos]],#REF!,Planning[[#This Row],[Mes]],#REF!,Planning[[#This Row],[Año]])</f>
        <v>#REF!</v>
      </c>
      <c r="R1004" s="19" t="str">
        <f>TEXT(Planning[[#This Row],[Mes]]*29,"mmmm")</f>
        <v>October</v>
      </c>
      <c r="S10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04" s="228"/>
      <c r="U1004" s="43" t="e">
        <f>IF(Planning[[#This Row],[Horas Planificadas]]&lt;&gt;0,+K1004/Planning[[#This Row],[Horas Planificadas]],0)</f>
        <v>#REF!</v>
      </c>
      <c r="V1004" s="43" t="e">
        <f>IF(Planning[[#This Row],[Horas Planificadas]]&lt;&gt;0,Planning[[#This Row],[Horas utilizadas]]/Planning[[#This Row],[Horas Planificadas]],0)</f>
        <v>#REF!</v>
      </c>
      <c r="W1004" s="44">
        <f>Planning[[#This Row],[Horas Planificadas]]+Planning[[#This Row],[Horas ajustadas adicionales]]</f>
        <v>120</v>
      </c>
      <c r="X1004" s="142"/>
    </row>
    <row r="1005" spans="1:24" ht="12.75" customHeight="1" x14ac:dyDescent="0.2">
      <c r="A1005" s="7"/>
      <c r="B1005" s="7"/>
      <c r="C1005" s="3"/>
      <c r="D1005" s="3" t="s">
        <v>277</v>
      </c>
      <c r="E1005" s="4" t="s">
        <v>31</v>
      </c>
      <c r="F1005" s="3"/>
      <c r="G1005" s="9"/>
      <c r="H1005" s="9">
        <v>80</v>
      </c>
      <c r="I1005" s="12"/>
      <c r="J1005" s="5" t="e">
        <f>+SUMIFS(#REF!,#REF!,Planning[[#This Row],[Tarifa]],#REF!,Planning[[#This Row],[Proyectos]])</f>
        <v>#REF!</v>
      </c>
      <c r="K1005" s="5" t="e">
        <f>Planning[[#This Row],[Horas Planificadas]]+Planning[[#This Row],[Horas ajustadas adicionales]]-Planning[[#This Row],[Horas utilizadas]]</f>
        <v>#REF!</v>
      </c>
      <c r="L1005" s="7"/>
      <c r="M1005" s="19" t="e">
        <f>Planning[[#This Row],[Saldo]]-Planning[[#This Row],[Saldo estimado]]</f>
        <v>#REF!</v>
      </c>
      <c r="N1005" s="60" t="e">
        <f>+SUMIFS(#REF!,#REF!,Planning[[#This Row],[Proyectos]],#REF!,Planning[[#This Row],[Tipo de Tarea y especialidad]])</f>
        <v>#REF!</v>
      </c>
      <c r="O1005" s="19">
        <f t="shared" si="30"/>
        <v>10</v>
      </c>
      <c r="P1005" s="19">
        <f t="shared" si="31"/>
        <v>2024</v>
      </c>
      <c r="Q1005" s="19" t="e">
        <f>+SUMIFS(#REF!,#REF!,Planning[[#This Row],[Tarifa]],#REF!,Planning[[#This Row],[Proyectos]],#REF!,Planning[[#This Row],[Mes]],#REF!,Planning[[#This Row],[Año]])</f>
        <v>#REF!</v>
      </c>
      <c r="R1005" s="19" t="str">
        <f>TEXT(Planning[[#This Row],[Mes]]*29,"mmmm")</f>
        <v>October</v>
      </c>
      <c r="S10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05" s="228"/>
      <c r="U1005" s="43" t="e">
        <f>IF(Planning[[#This Row],[Horas Planificadas]]&lt;&gt;0,+K1005/Planning[[#This Row],[Horas Planificadas]],0)</f>
        <v>#REF!</v>
      </c>
      <c r="V1005" s="43" t="e">
        <f>IF(Planning[[#This Row],[Horas Planificadas]]&lt;&gt;0,Planning[[#This Row],[Horas utilizadas]]/Planning[[#This Row],[Horas Planificadas]],0)</f>
        <v>#REF!</v>
      </c>
      <c r="W1005" s="44">
        <f>Planning[[#This Row],[Horas Planificadas]]+Planning[[#This Row],[Horas ajustadas adicionales]]</f>
        <v>80</v>
      </c>
      <c r="X1005" s="142"/>
    </row>
    <row r="1006" spans="1:24" ht="12.75" customHeight="1" x14ac:dyDescent="0.2">
      <c r="A1006" s="7"/>
      <c r="B1006" s="7"/>
      <c r="C1006" s="3"/>
      <c r="D1006" s="3" t="s">
        <v>277</v>
      </c>
      <c r="E1006" s="4" t="s">
        <v>32</v>
      </c>
      <c r="F1006" s="3"/>
      <c r="G1006" s="9"/>
      <c r="H1006" s="9">
        <v>48</v>
      </c>
      <c r="I1006" s="12"/>
      <c r="J1006" s="5" t="e">
        <f>+SUMIFS(#REF!,#REF!,Planning[[#This Row],[Tarifa]],#REF!,Planning[[#This Row],[Proyectos]])</f>
        <v>#REF!</v>
      </c>
      <c r="K1006" s="5" t="e">
        <f>Planning[[#This Row],[Horas Planificadas]]+Planning[[#This Row],[Horas ajustadas adicionales]]-Planning[[#This Row],[Horas utilizadas]]</f>
        <v>#REF!</v>
      </c>
      <c r="L1006" s="7"/>
      <c r="M1006" s="19" t="e">
        <f>Planning[[#This Row],[Saldo]]-Planning[[#This Row],[Saldo estimado]]</f>
        <v>#REF!</v>
      </c>
      <c r="N1006" s="60" t="e">
        <f>+SUMIFS(#REF!,#REF!,Planning[[#This Row],[Proyectos]],#REF!,Planning[[#This Row],[Tipo de Tarea y especialidad]])</f>
        <v>#REF!</v>
      </c>
      <c r="O1006" s="19">
        <f t="shared" si="30"/>
        <v>10</v>
      </c>
      <c r="P1006" s="19">
        <f t="shared" si="31"/>
        <v>2024</v>
      </c>
      <c r="Q1006" s="19" t="e">
        <f>+SUMIFS(#REF!,#REF!,Planning[[#This Row],[Tarifa]],#REF!,Planning[[#This Row],[Proyectos]],#REF!,Planning[[#This Row],[Mes]],#REF!,Planning[[#This Row],[Año]])</f>
        <v>#REF!</v>
      </c>
      <c r="R1006" s="19" t="str">
        <f>TEXT(Planning[[#This Row],[Mes]]*29,"mmmm")</f>
        <v>October</v>
      </c>
      <c r="S10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06" s="228"/>
      <c r="U1006" s="43" t="e">
        <f>IF(Planning[[#This Row],[Horas Planificadas]]&lt;&gt;0,+K1006/Planning[[#This Row],[Horas Planificadas]],0)</f>
        <v>#REF!</v>
      </c>
      <c r="V1006" s="43" t="e">
        <f>IF(Planning[[#This Row],[Horas Planificadas]]&lt;&gt;0,Planning[[#This Row],[Horas utilizadas]]/Planning[[#This Row],[Horas Planificadas]],0)</f>
        <v>#REF!</v>
      </c>
      <c r="W1006" s="44">
        <f>Planning[[#This Row],[Horas Planificadas]]+Planning[[#This Row],[Horas ajustadas adicionales]]</f>
        <v>48</v>
      </c>
      <c r="X1006" s="142"/>
    </row>
    <row r="1007" spans="1:24" ht="12.75" customHeight="1" x14ac:dyDescent="0.2">
      <c r="A1007" s="7"/>
      <c r="B1007" s="7"/>
      <c r="C1007" s="3"/>
      <c r="D1007" s="3" t="s">
        <v>278</v>
      </c>
      <c r="E1007" s="4" t="s">
        <v>28</v>
      </c>
      <c r="F1007" s="3"/>
      <c r="G1007" s="9"/>
      <c r="H1007" s="12">
        <v>120</v>
      </c>
      <c r="I1007" s="12"/>
      <c r="J1007" s="5" t="e">
        <f>+SUMIFS(#REF!,#REF!,Planning[[#This Row],[Tarifa]],#REF!,Planning[[#This Row],[Proyectos]])</f>
        <v>#REF!</v>
      </c>
      <c r="K1007" s="27" t="e">
        <f>Planning[[#This Row],[Horas Planificadas]]+Planning[[#This Row],[Horas ajustadas adicionales]]-Planning[[#This Row],[Horas utilizadas]]</f>
        <v>#REF!</v>
      </c>
      <c r="L1007" s="7"/>
      <c r="M1007" s="19" t="e">
        <f>Planning[[#This Row],[Saldo]]-Planning[[#This Row],[Saldo estimado]]</f>
        <v>#REF!</v>
      </c>
      <c r="N1007" s="60" t="e">
        <f>+SUMIFS(#REF!,#REF!,Planning[[#This Row],[Proyectos]],#REF!,Planning[[#This Row],[Tipo de Tarea y especialidad]])</f>
        <v>#REF!</v>
      </c>
      <c r="O1007" s="19">
        <f t="shared" si="30"/>
        <v>10</v>
      </c>
      <c r="P1007" s="19">
        <f t="shared" si="31"/>
        <v>2024</v>
      </c>
      <c r="Q1007" s="19" t="e">
        <f>+SUMIFS(#REF!,#REF!,Planning[[#This Row],[Tarifa]],#REF!,Planning[[#This Row],[Proyectos]],#REF!,Planning[[#This Row],[Mes]],#REF!,Planning[[#This Row],[Año]])</f>
        <v>#REF!</v>
      </c>
      <c r="R1007" s="19" t="str">
        <f>TEXT(Planning[[#This Row],[Mes]]*29,"mmmm")</f>
        <v>October</v>
      </c>
      <c r="S10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07" s="228"/>
      <c r="U1007" s="43" t="e">
        <f>IF(Planning[[#This Row],[Horas Planificadas]]&lt;&gt;0,+K1007/Planning[[#This Row],[Horas Planificadas]],0)</f>
        <v>#REF!</v>
      </c>
      <c r="V1007" s="43" t="e">
        <f>IF(Planning[[#This Row],[Horas Planificadas]]&lt;&gt;0,Planning[[#This Row],[Horas utilizadas]]/Planning[[#This Row],[Horas Planificadas]],0)</f>
        <v>#REF!</v>
      </c>
      <c r="W1007" s="44">
        <f>Planning[[#This Row],[Horas Planificadas]]+Planning[[#This Row],[Horas ajustadas adicionales]]</f>
        <v>120</v>
      </c>
      <c r="X1007" s="142"/>
    </row>
    <row r="1008" spans="1:24" ht="12.75" customHeight="1" x14ac:dyDescent="0.2">
      <c r="A1008" s="7"/>
      <c r="B1008" s="7"/>
      <c r="C1008" s="3"/>
      <c r="D1008" s="3" t="s">
        <v>278</v>
      </c>
      <c r="E1008" s="4" t="s">
        <v>30</v>
      </c>
      <c r="F1008" s="3"/>
      <c r="G1008" s="9"/>
      <c r="H1008" s="9">
        <v>209</v>
      </c>
      <c r="I1008" s="12"/>
      <c r="J1008" s="5" t="e">
        <f>+SUMIFS(#REF!,#REF!,Planning[[#This Row],[Tarifa]],#REF!,Planning[[#This Row],[Proyectos]])</f>
        <v>#REF!</v>
      </c>
      <c r="K1008" s="5" t="e">
        <f>Planning[[#This Row],[Horas Planificadas]]+Planning[[#This Row],[Horas ajustadas adicionales]]-Planning[[#This Row],[Horas utilizadas]]</f>
        <v>#REF!</v>
      </c>
      <c r="L1008" s="7"/>
      <c r="M1008" s="19" t="e">
        <f>Planning[[#This Row],[Saldo]]-Planning[[#This Row],[Saldo estimado]]</f>
        <v>#REF!</v>
      </c>
      <c r="N1008" s="60" t="e">
        <f>+SUMIFS(#REF!,#REF!,Planning[[#This Row],[Proyectos]],#REF!,Planning[[#This Row],[Tipo de Tarea y especialidad]])</f>
        <v>#REF!</v>
      </c>
      <c r="O1008" s="19">
        <f t="shared" si="30"/>
        <v>10</v>
      </c>
      <c r="P1008" s="19">
        <f t="shared" si="31"/>
        <v>2024</v>
      </c>
      <c r="Q1008" s="19" t="e">
        <f>+SUMIFS(#REF!,#REF!,Planning[[#This Row],[Tarifa]],#REF!,Planning[[#This Row],[Proyectos]],#REF!,Planning[[#This Row],[Mes]],#REF!,Planning[[#This Row],[Año]])</f>
        <v>#REF!</v>
      </c>
      <c r="R1008" s="19" t="str">
        <f>TEXT(Planning[[#This Row],[Mes]]*29,"mmmm")</f>
        <v>October</v>
      </c>
      <c r="S10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08" s="228"/>
      <c r="U1008" s="43" t="e">
        <f>IF(Planning[[#This Row],[Horas Planificadas]]&lt;&gt;0,+K1008/Planning[[#This Row],[Horas Planificadas]],0)</f>
        <v>#REF!</v>
      </c>
      <c r="V1008" s="43" t="e">
        <f>IF(Planning[[#This Row],[Horas Planificadas]]&lt;&gt;0,Planning[[#This Row],[Horas utilizadas]]/Planning[[#This Row],[Horas Planificadas]],0)</f>
        <v>#REF!</v>
      </c>
      <c r="W1008" s="44">
        <f>Planning[[#This Row],[Horas Planificadas]]+Planning[[#This Row],[Horas ajustadas adicionales]]</f>
        <v>209</v>
      </c>
      <c r="X1008" s="142"/>
    </row>
    <row r="1009" spans="1:24" ht="12.75" customHeight="1" x14ac:dyDescent="0.2">
      <c r="A1009" s="7"/>
      <c r="B1009" s="7"/>
      <c r="C1009" s="3"/>
      <c r="D1009" s="3" t="s">
        <v>278</v>
      </c>
      <c r="E1009" s="4" t="s">
        <v>31</v>
      </c>
      <c r="F1009" s="3"/>
      <c r="G1009" s="9"/>
      <c r="H1009" s="9">
        <v>180</v>
      </c>
      <c r="I1009" s="12"/>
      <c r="J1009" s="5" t="e">
        <f>+SUMIFS(#REF!,#REF!,Planning[[#This Row],[Tarifa]],#REF!,Planning[[#This Row],[Proyectos]])</f>
        <v>#REF!</v>
      </c>
      <c r="K1009" s="5" t="e">
        <f>Planning[[#This Row],[Horas Planificadas]]+Planning[[#This Row],[Horas ajustadas adicionales]]-Planning[[#This Row],[Horas utilizadas]]</f>
        <v>#REF!</v>
      </c>
      <c r="L1009" s="7"/>
      <c r="M1009" s="19" t="e">
        <f>Planning[[#This Row],[Saldo]]-Planning[[#This Row],[Saldo estimado]]</f>
        <v>#REF!</v>
      </c>
      <c r="N1009" s="60" t="e">
        <f>+SUMIFS(#REF!,#REF!,Planning[[#This Row],[Proyectos]],#REF!,Planning[[#This Row],[Tipo de Tarea y especialidad]])</f>
        <v>#REF!</v>
      </c>
      <c r="O1009" s="19">
        <f t="shared" si="30"/>
        <v>10</v>
      </c>
      <c r="P1009" s="19">
        <f t="shared" si="31"/>
        <v>2024</v>
      </c>
      <c r="Q1009" s="19" t="e">
        <f>+SUMIFS(#REF!,#REF!,Planning[[#This Row],[Tarifa]],#REF!,Planning[[#This Row],[Proyectos]],#REF!,Planning[[#This Row],[Mes]],#REF!,Planning[[#This Row],[Año]])</f>
        <v>#REF!</v>
      </c>
      <c r="R1009" s="19" t="str">
        <f>TEXT(Planning[[#This Row],[Mes]]*29,"mmmm")</f>
        <v>October</v>
      </c>
      <c r="S10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09" s="228"/>
      <c r="U1009" s="43" t="e">
        <f>IF(Planning[[#This Row],[Horas Planificadas]]&lt;&gt;0,+K1009/Planning[[#This Row],[Horas Planificadas]],0)</f>
        <v>#REF!</v>
      </c>
      <c r="V1009" s="43" t="e">
        <f>IF(Planning[[#This Row],[Horas Planificadas]]&lt;&gt;0,Planning[[#This Row],[Horas utilizadas]]/Planning[[#This Row],[Horas Planificadas]],0)</f>
        <v>#REF!</v>
      </c>
      <c r="W1009" s="44">
        <f>Planning[[#This Row],[Horas Planificadas]]+Planning[[#This Row],[Horas ajustadas adicionales]]</f>
        <v>180</v>
      </c>
      <c r="X1009" s="142"/>
    </row>
    <row r="1010" spans="1:24" ht="12.75" customHeight="1" x14ac:dyDescent="0.2">
      <c r="A1010" s="7"/>
      <c r="B1010" s="7"/>
      <c r="C1010" s="3"/>
      <c r="D1010" s="3" t="s">
        <v>278</v>
      </c>
      <c r="E1010" s="4" t="s">
        <v>32</v>
      </c>
      <c r="F1010" s="3"/>
      <c r="G1010" s="9"/>
      <c r="H1010" s="9">
        <v>420</v>
      </c>
      <c r="I1010" s="12"/>
      <c r="J1010" s="5" t="e">
        <f>+SUMIFS(#REF!,#REF!,Planning[[#This Row],[Tarifa]],#REF!,Planning[[#This Row],[Proyectos]])</f>
        <v>#REF!</v>
      </c>
      <c r="K1010" s="5" t="e">
        <f>Planning[[#This Row],[Horas Planificadas]]+Planning[[#This Row],[Horas ajustadas adicionales]]-Planning[[#This Row],[Horas utilizadas]]</f>
        <v>#REF!</v>
      </c>
      <c r="L1010" s="7"/>
      <c r="M1010" s="19" t="e">
        <f>Planning[[#This Row],[Saldo]]-Planning[[#This Row],[Saldo estimado]]</f>
        <v>#REF!</v>
      </c>
      <c r="N1010" s="60" t="e">
        <f>+SUMIFS(#REF!,#REF!,Planning[[#This Row],[Proyectos]],#REF!,Planning[[#This Row],[Tipo de Tarea y especialidad]])</f>
        <v>#REF!</v>
      </c>
      <c r="O1010" s="19">
        <f t="shared" si="30"/>
        <v>10</v>
      </c>
      <c r="P1010" s="19">
        <f t="shared" si="31"/>
        <v>2024</v>
      </c>
      <c r="Q1010" s="19" t="e">
        <f>+SUMIFS(#REF!,#REF!,Planning[[#This Row],[Tarifa]],#REF!,Planning[[#This Row],[Proyectos]],#REF!,Planning[[#This Row],[Mes]],#REF!,Planning[[#This Row],[Año]])</f>
        <v>#REF!</v>
      </c>
      <c r="R1010" s="19" t="str">
        <f>TEXT(Planning[[#This Row],[Mes]]*29,"mmmm")</f>
        <v>October</v>
      </c>
      <c r="S10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10" s="228"/>
      <c r="U1010" s="43" t="e">
        <f>IF(Planning[[#This Row],[Horas Planificadas]]&lt;&gt;0,+K1010/Planning[[#This Row],[Horas Planificadas]],0)</f>
        <v>#REF!</v>
      </c>
      <c r="V1010" s="43" t="e">
        <f>IF(Planning[[#This Row],[Horas Planificadas]]&lt;&gt;0,Planning[[#This Row],[Horas utilizadas]]/Planning[[#This Row],[Horas Planificadas]],0)</f>
        <v>#REF!</v>
      </c>
      <c r="W1010" s="44">
        <f>Planning[[#This Row],[Horas Planificadas]]+Planning[[#This Row],[Horas ajustadas adicionales]]</f>
        <v>420</v>
      </c>
      <c r="X1010" s="142"/>
    </row>
    <row r="1011" spans="1:24" ht="12.75" customHeight="1" x14ac:dyDescent="0.2">
      <c r="A1011" s="7" t="s">
        <v>168</v>
      </c>
      <c r="B1011" s="7" t="s">
        <v>169</v>
      </c>
      <c r="C1011" s="3"/>
      <c r="D1011" s="3" t="s">
        <v>279</v>
      </c>
      <c r="E1011" s="33" t="s">
        <v>28</v>
      </c>
      <c r="F1011" s="3"/>
      <c r="G1011" s="7">
        <v>465</v>
      </c>
      <c r="H1011" s="24">
        <f>SUM(H1012:H1013)</f>
        <v>465</v>
      </c>
      <c r="I1011" s="14"/>
      <c r="J1011" s="14" t="e">
        <f>SUM(J1012:J1013)</f>
        <v>#REF!</v>
      </c>
      <c r="K1011" s="18" t="e">
        <f>SUM(K1012:K1013)</f>
        <v>#REF!</v>
      </c>
      <c r="L1011" s="15">
        <f>SUM(L1012:L1013)</f>
        <v>0</v>
      </c>
      <c r="M1011" s="28" t="e">
        <f>SUM(M1012:M1013)</f>
        <v>#REF!</v>
      </c>
      <c r="N1011" s="61"/>
      <c r="O1011" s="28">
        <f t="shared" si="30"/>
        <v>10</v>
      </c>
      <c r="P1011" s="28">
        <f t="shared" si="31"/>
        <v>2024</v>
      </c>
      <c r="Q1011" s="28" t="e">
        <f>SUM(Q1012:Q1013)</f>
        <v>#REF!</v>
      </c>
      <c r="R1011" s="28" t="str">
        <f>TEXT(Planning[[#This Row],[Mes]]*29,"mmmm")</f>
        <v>October</v>
      </c>
      <c r="S10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11" s="192" t="s">
        <v>280</v>
      </c>
      <c r="U1011" s="43" t="e">
        <f>IF(Planning[[#This Row],[Horas Planificadas]]&lt;&gt;0,+K1011/Planning[[#This Row],[Horas Planificadas]],0)</f>
        <v>#REF!</v>
      </c>
      <c r="V1011" s="43" t="e">
        <f>IF(Planning[[#This Row],[Horas Planificadas]]&lt;&gt;0,Planning[[#This Row],[Horas utilizadas]]/Planning[[#This Row],[Horas Planificadas]],0)</f>
        <v>#REF!</v>
      </c>
      <c r="W1011" s="44">
        <f>Planning[[#This Row],[Horas Planificadas]]+Planning[[#This Row],[Horas ajustadas adicionales]]</f>
        <v>465</v>
      </c>
      <c r="X1011" s="142"/>
    </row>
    <row r="1012" spans="1:24" ht="12.75" customHeight="1" x14ac:dyDescent="0.2">
      <c r="A1012" s="7" t="s">
        <v>168</v>
      </c>
      <c r="B1012" s="7" t="s">
        <v>169</v>
      </c>
      <c r="C1012" s="3"/>
      <c r="D1012" s="3" t="s">
        <v>279</v>
      </c>
      <c r="E1012" s="33"/>
      <c r="F1012" s="3" t="s">
        <v>120</v>
      </c>
      <c r="G1012" s="7"/>
      <c r="H1012" s="7">
        <v>100</v>
      </c>
      <c r="I1012" s="12"/>
      <c r="J1012" s="5" t="e">
        <f>SUM(SUMIFS(#REF!,#REF!,Planning[[#This Row],[Tipo de Tarea y especialidad]],#REF!,Planning[[#This Row],[Proyectos Reiwa]]),SUMIFS(#REF!,#REF!,Planning[[#This Row],[Tipo de Tarea y especialidad]],#REF!,Planning[[#This Row],[Proyectos]]))</f>
        <v>#REF!</v>
      </c>
      <c r="K1012" s="5" t="e">
        <f>Planning[[#This Row],[Horas Planificadas]]+Planning[[#This Row],[Horas ajustadas adicionales]]-Planning[[#This Row],[Horas utilizadas]]</f>
        <v>#REF!</v>
      </c>
      <c r="L1012" s="7">
        <v>0</v>
      </c>
      <c r="M1012" s="19" t="e">
        <f>Planning[[#This Row],[Saldo]]-Planning[[#This Row],[Saldo estimado]]</f>
        <v>#REF!</v>
      </c>
      <c r="N1012" s="60" t="e">
        <f>+SUMIFS(#REF!,#REF!,Planning[[#This Row],[Proyectos]],#REF!,Planning[[#This Row],[Tipo de Tarea y especialidad]])</f>
        <v>#REF!</v>
      </c>
      <c r="O1012" s="19">
        <f t="shared" si="30"/>
        <v>10</v>
      </c>
      <c r="P1012" s="19">
        <f t="shared" si="31"/>
        <v>2024</v>
      </c>
      <c r="Q10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12" s="19" t="str">
        <f>TEXT(Planning[[#This Row],[Mes]]*29,"mmmm")</f>
        <v>October</v>
      </c>
      <c r="S10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12" s="193"/>
      <c r="U1012" s="43" t="e">
        <f>IF(Planning[[#This Row],[Horas Planificadas]]&lt;&gt;0,+K1012/Planning[[#This Row],[Horas Planificadas]],0)</f>
        <v>#REF!</v>
      </c>
      <c r="V1012" s="43" t="e">
        <f>IF(Planning[[#This Row],[Horas Planificadas]]&lt;&gt;0,Planning[[#This Row],[Horas utilizadas]]/Planning[[#This Row],[Horas Planificadas]],0)</f>
        <v>#REF!</v>
      </c>
      <c r="W1012" s="44">
        <f>Planning[[#This Row],[Horas Planificadas]]+Planning[[#This Row],[Horas ajustadas adicionales]]</f>
        <v>100</v>
      </c>
      <c r="X1012" s="142"/>
    </row>
    <row r="1013" spans="1:24" ht="12.75" customHeight="1" x14ac:dyDescent="0.2">
      <c r="A1013" s="7" t="s">
        <v>168</v>
      </c>
      <c r="B1013" s="7" t="s">
        <v>169</v>
      </c>
      <c r="C1013" s="3"/>
      <c r="D1013" s="3" t="s">
        <v>279</v>
      </c>
      <c r="E1013" s="33"/>
      <c r="F1013" s="3" t="s">
        <v>121</v>
      </c>
      <c r="G1013" s="7"/>
      <c r="H1013" s="7">
        <v>365</v>
      </c>
      <c r="I1013" s="12"/>
      <c r="J1013" s="5" t="e">
        <f>SUM(SUMIFS(#REF!,#REF!,Planning[[#This Row],[Tipo de Tarea y especialidad]],#REF!,Planning[[#This Row],[Proyectos Reiwa]]),SUMIFS(#REF!,#REF!,Planning[[#This Row],[Tipo de Tarea y especialidad]],#REF!,Planning[[#This Row],[Proyectos]]))</f>
        <v>#REF!</v>
      </c>
      <c r="K1013" s="5" t="e">
        <f>Planning[[#This Row],[Horas Planificadas]]+Planning[[#This Row],[Horas ajustadas adicionales]]-Planning[[#This Row],[Horas utilizadas]]</f>
        <v>#REF!</v>
      </c>
      <c r="L1013" s="7">
        <v>0</v>
      </c>
      <c r="M1013" s="19" t="e">
        <f>Planning[[#This Row],[Saldo]]-Planning[[#This Row],[Saldo estimado]]</f>
        <v>#REF!</v>
      </c>
      <c r="N1013" s="60" t="e">
        <f>+SUMIFS(#REF!,#REF!,Planning[[#This Row],[Proyectos]],#REF!,Planning[[#This Row],[Tipo de Tarea y especialidad]])</f>
        <v>#REF!</v>
      </c>
      <c r="O1013" s="19">
        <f t="shared" si="30"/>
        <v>10</v>
      </c>
      <c r="P1013" s="19">
        <f t="shared" si="31"/>
        <v>2024</v>
      </c>
      <c r="Q10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13" s="19" t="str">
        <f>TEXT(Planning[[#This Row],[Mes]]*29,"mmmm")</f>
        <v>October</v>
      </c>
      <c r="S10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13" s="193"/>
      <c r="U1013" s="43" t="e">
        <f>IF(Planning[[#This Row],[Horas Planificadas]]&lt;&gt;0,+K1013/Planning[[#This Row],[Horas Planificadas]],0)</f>
        <v>#REF!</v>
      </c>
      <c r="V1013" s="43" t="e">
        <f>IF(Planning[[#This Row],[Horas Planificadas]]&lt;&gt;0,Planning[[#This Row],[Horas utilizadas]]/Planning[[#This Row],[Horas Planificadas]],0)</f>
        <v>#REF!</v>
      </c>
      <c r="W1013" s="44">
        <f>Planning[[#This Row],[Horas Planificadas]]+Planning[[#This Row],[Horas ajustadas adicionales]]</f>
        <v>365</v>
      </c>
      <c r="X1013" s="142"/>
    </row>
    <row r="1014" spans="1:24" ht="12.75" customHeight="1" x14ac:dyDescent="0.2">
      <c r="A1014" s="7" t="s">
        <v>168</v>
      </c>
      <c r="B1014" s="7" t="s">
        <v>169</v>
      </c>
      <c r="C1014" s="3"/>
      <c r="D1014" s="3" t="s">
        <v>279</v>
      </c>
      <c r="E1014" s="33" t="s">
        <v>30</v>
      </c>
      <c r="F1014" s="3"/>
      <c r="G1014" s="7">
        <v>531</v>
      </c>
      <c r="H1014" s="24">
        <f>SUM(H1015:H1021)</f>
        <v>531</v>
      </c>
      <c r="I1014" s="14"/>
      <c r="J1014" s="14" t="e">
        <f>SUM(J1015:J1021)</f>
        <v>#REF!</v>
      </c>
      <c r="K1014" s="18" t="e">
        <f>SUM(K1015:K1021)</f>
        <v>#REF!</v>
      </c>
      <c r="L1014" s="15">
        <f>SUM(L1015:L1021)</f>
        <v>0</v>
      </c>
      <c r="M1014" s="16" t="e">
        <f>SUM(M1015:M1021)</f>
        <v>#REF!</v>
      </c>
      <c r="N1014" s="60"/>
      <c r="O1014" s="16">
        <f t="shared" si="30"/>
        <v>10</v>
      </c>
      <c r="P1014" s="16">
        <f t="shared" si="31"/>
        <v>2024</v>
      </c>
      <c r="Q1014" s="16" t="e">
        <f>SUM(Q1015:Q1021)</f>
        <v>#REF!</v>
      </c>
      <c r="R1014" s="16" t="str">
        <f>TEXT(Planning[[#This Row],[Mes]]*29,"mmmm")</f>
        <v>October</v>
      </c>
      <c r="S10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14" s="193"/>
      <c r="U1014" s="43" t="e">
        <f>IF(Planning[[#This Row],[Horas Planificadas]]&lt;&gt;0,+K1014/Planning[[#This Row],[Horas Planificadas]],0)</f>
        <v>#REF!</v>
      </c>
      <c r="V1014" s="43" t="e">
        <f>IF(Planning[[#This Row],[Horas Planificadas]]&lt;&gt;0,Planning[[#This Row],[Horas utilizadas]]/Planning[[#This Row],[Horas Planificadas]],0)</f>
        <v>#REF!</v>
      </c>
      <c r="W1014" s="44">
        <f>Planning[[#This Row],[Horas Planificadas]]+Planning[[#This Row],[Horas ajustadas adicionales]]</f>
        <v>531</v>
      </c>
      <c r="X1014" s="142"/>
    </row>
    <row r="1015" spans="1:24" ht="12.75" customHeight="1" x14ac:dyDescent="0.2">
      <c r="A1015" s="7" t="s">
        <v>168</v>
      </c>
      <c r="B1015" s="7" t="s">
        <v>169</v>
      </c>
      <c r="C1015" s="3"/>
      <c r="D1015" s="3" t="s">
        <v>279</v>
      </c>
      <c r="E1015" s="33"/>
      <c r="F1015" s="3" t="s">
        <v>122</v>
      </c>
      <c r="G1015" s="7"/>
      <c r="H1015" s="7">
        <v>441</v>
      </c>
      <c r="I1015" s="12"/>
      <c r="J1015" s="5" t="e">
        <f>SUM(SUMIFS(#REF!,#REF!,Planning[[#This Row],[Tipo de Tarea y especialidad]],#REF!,Planning[[#This Row],[Proyectos Reiwa]]),SUMIFS(#REF!,#REF!,Planning[[#This Row],[Tipo de Tarea y especialidad]],#REF!,Planning[[#This Row],[Proyectos]]))</f>
        <v>#REF!</v>
      </c>
      <c r="K1015" s="5" t="e">
        <f>Planning[[#This Row],[Horas Planificadas]]+Planning[[#This Row],[Horas ajustadas adicionales]]-Planning[[#This Row],[Horas utilizadas]]</f>
        <v>#REF!</v>
      </c>
      <c r="L1015" s="7">
        <v>0</v>
      </c>
      <c r="M1015" s="19" t="e">
        <f>Planning[[#This Row],[Saldo]]-Planning[[#This Row],[Saldo estimado]]</f>
        <v>#REF!</v>
      </c>
      <c r="N1015" s="60" t="e">
        <f>+SUMIFS(#REF!,#REF!,Planning[[#This Row],[Proyectos]],#REF!,Planning[[#This Row],[Tipo de Tarea y especialidad]])</f>
        <v>#REF!</v>
      </c>
      <c r="O1015" s="19">
        <f t="shared" si="30"/>
        <v>10</v>
      </c>
      <c r="P1015" s="19">
        <f t="shared" si="31"/>
        <v>2024</v>
      </c>
      <c r="Q10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15" s="19" t="str">
        <f>TEXT(Planning[[#This Row],[Mes]]*29,"mmmm")</f>
        <v>October</v>
      </c>
      <c r="S10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15" s="193"/>
      <c r="U1015" s="43" t="e">
        <f>IF(Planning[[#This Row],[Horas Planificadas]]&lt;&gt;0,+K1015/Planning[[#This Row],[Horas Planificadas]],0)</f>
        <v>#REF!</v>
      </c>
      <c r="V1015" s="43" t="e">
        <f>IF(Planning[[#This Row],[Horas Planificadas]]&lt;&gt;0,Planning[[#This Row],[Horas utilizadas]]/Planning[[#This Row],[Horas Planificadas]],0)</f>
        <v>#REF!</v>
      </c>
      <c r="W1015" s="44">
        <f>Planning[[#This Row],[Horas Planificadas]]+Planning[[#This Row],[Horas ajustadas adicionales]]</f>
        <v>441</v>
      </c>
      <c r="X1015" s="142"/>
    </row>
    <row r="1016" spans="1:24" ht="12.75" customHeight="1" x14ac:dyDescent="0.2">
      <c r="A1016" s="7" t="s">
        <v>168</v>
      </c>
      <c r="B1016" s="7" t="s">
        <v>169</v>
      </c>
      <c r="C1016" s="3"/>
      <c r="D1016" s="3" t="s">
        <v>279</v>
      </c>
      <c r="E1016" s="33"/>
      <c r="F1016" s="3" t="s">
        <v>123</v>
      </c>
      <c r="G1016" s="7"/>
      <c r="H1016" s="7"/>
      <c r="I1016" s="12"/>
      <c r="J1016" s="5" t="e">
        <f>SUM(SUMIFS(#REF!,#REF!,Planning[[#This Row],[Tipo de Tarea y especialidad]],#REF!,Planning[[#This Row],[Proyectos Reiwa]]),SUMIFS(#REF!,#REF!,Planning[[#This Row],[Tipo de Tarea y especialidad]],#REF!,Planning[[#This Row],[Proyectos]]))</f>
        <v>#REF!</v>
      </c>
      <c r="K1016" s="5" t="e">
        <f>Planning[[#This Row],[Horas Planificadas]]+Planning[[#This Row],[Horas ajustadas adicionales]]-Planning[[#This Row],[Horas utilizadas]]</f>
        <v>#REF!</v>
      </c>
      <c r="L1016" s="7">
        <v>0</v>
      </c>
      <c r="M1016" s="19" t="e">
        <f>Planning[[#This Row],[Saldo]]-Planning[[#This Row],[Saldo estimado]]</f>
        <v>#REF!</v>
      </c>
      <c r="N1016" s="60" t="e">
        <f>+SUMIFS(#REF!,#REF!,Planning[[#This Row],[Proyectos]],#REF!,Planning[[#This Row],[Tipo de Tarea y especialidad]])</f>
        <v>#REF!</v>
      </c>
      <c r="O1016" s="19">
        <f t="shared" si="30"/>
        <v>10</v>
      </c>
      <c r="P1016" s="19">
        <f t="shared" si="31"/>
        <v>2024</v>
      </c>
      <c r="Q10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16" s="19" t="str">
        <f>TEXT(Planning[[#This Row],[Mes]]*29,"mmmm")</f>
        <v>October</v>
      </c>
      <c r="S10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16" s="193"/>
      <c r="U1016" s="43">
        <f>IF(Planning[[#This Row],[Horas Planificadas]]&lt;&gt;0,+K1016/Planning[[#This Row],[Horas Planificadas]],0)</f>
        <v>0</v>
      </c>
      <c r="V1016" s="43">
        <f>IF(Planning[[#This Row],[Horas Planificadas]]&lt;&gt;0,Planning[[#This Row],[Horas utilizadas]]/Planning[[#This Row],[Horas Planificadas]],0)</f>
        <v>0</v>
      </c>
      <c r="W1016" s="44">
        <f>Planning[[#This Row],[Horas Planificadas]]+Planning[[#This Row],[Horas ajustadas adicionales]]</f>
        <v>0</v>
      </c>
      <c r="X1016" s="142"/>
    </row>
    <row r="1017" spans="1:24" ht="12.75" customHeight="1" x14ac:dyDescent="0.2">
      <c r="A1017" s="7" t="s">
        <v>168</v>
      </c>
      <c r="B1017" s="7" t="s">
        <v>169</v>
      </c>
      <c r="C1017" s="3"/>
      <c r="D1017" s="3" t="s">
        <v>279</v>
      </c>
      <c r="E1017" s="33"/>
      <c r="F1017" s="3" t="s">
        <v>124</v>
      </c>
      <c r="G1017" s="7"/>
      <c r="H1017" s="7"/>
      <c r="I1017" s="12"/>
      <c r="J1017" s="5" t="e">
        <f>SUM(SUMIFS(#REF!,#REF!,Planning[[#This Row],[Tipo de Tarea y especialidad]],#REF!,Planning[[#This Row],[Proyectos Reiwa]]),SUMIFS(#REF!,#REF!,Planning[[#This Row],[Tipo de Tarea y especialidad]],#REF!,Planning[[#This Row],[Proyectos]]))</f>
        <v>#REF!</v>
      </c>
      <c r="K1017" s="5" t="e">
        <f>Planning[[#This Row],[Horas Planificadas]]+Planning[[#This Row],[Horas ajustadas adicionales]]-Planning[[#This Row],[Horas utilizadas]]</f>
        <v>#REF!</v>
      </c>
      <c r="L1017" s="7">
        <v>0</v>
      </c>
      <c r="M1017" s="19" t="e">
        <f>Planning[[#This Row],[Saldo]]-Planning[[#This Row],[Saldo estimado]]</f>
        <v>#REF!</v>
      </c>
      <c r="N1017" s="60" t="e">
        <f>+SUMIFS(#REF!,#REF!,Planning[[#This Row],[Proyectos]],#REF!,Planning[[#This Row],[Tipo de Tarea y especialidad]])</f>
        <v>#REF!</v>
      </c>
      <c r="O1017" s="19">
        <f t="shared" si="30"/>
        <v>10</v>
      </c>
      <c r="P1017" s="19">
        <f t="shared" si="31"/>
        <v>2024</v>
      </c>
      <c r="Q10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17" s="19" t="str">
        <f>TEXT(Planning[[#This Row],[Mes]]*29,"mmmm")</f>
        <v>October</v>
      </c>
      <c r="S10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17" s="193"/>
      <c r="U1017" s="43">
        <f>IF(Planning[[#This Row],[Horas Planificadas]]&lt;&gt;0,+K1017/Planning[[#This Row],[Horas Planificadas]],0)</f>
        <v>0</v>
      </c>
      <c r="V1017" s="43">
        <f>IF(Planning[[#This Row],[Horas Planificadas]]&lt;&gt;0,Planning[[#This Row],[Horas utilizadas]]/Planning[[#This Row],[Horas Planificadas]],0)</f>
        <v>0</v>
      </c>
      <c r="W1017" s="44">
        <f>Planning[[#This Row],[Horas Planificadas]]+Planning[[#This Row],[Horas ajustadas adicionales]]</f>
        <v>0</v>
      </c>
      <c r="X1017" s="142"/>
    </row>
    <row r="1018" spans="1:24" ht="12.75" customHeight="1" x14ac:dyDescent="0.2">
      <c r="A1018" s="7" t="s">
        <v>168</v>
      </c>
      <c r="B1018" s="7" t="s">
        <v>169</v>
      </c>
      <c r="C1018" s="3"/>
      <c r="D1018" s="3" t="s">
        <v>279</v>
      </c>
      <c r="E1018" s="33"/>
      <c r="F1018" s="3" t="s">
        <v>125</v>
      </c>
      <c r="G1018" s="7"/>
      <c r="H1018" s="7"/>
      <c r="I1018" s="12"/>
      <c r="J1018" s="5" t="e">
        <f>SUM(SUMIFS(#REF!,#REF!,Planning[[#This Row],[Tipo de Tarea y especialidad]],#REF!,Planning[[#This Row],[Proyectos Reiwa]]),SUMIFS(#REF!,#REF!,Planning[[#This Row],[Tipo de Tarea y especialidad]],#REF!,Planning[[#This Row],[Proyectos]]))</f>
        <v>#REF!</v>
      </c>
      <c r="K1018" s="5" t="e">
        <f>Planning[[#This Row],[Horas Planificadas]]+Planning[[#This Row],[Horas ajustadas adicionales]]-Planning[[#This Row],[Horas utilizadas]]</f>
        <v>#REF!</v>
      </c>
      <c r="L1018" s="7">
        <v>0</v>
      </c>
      <c r="M1018" s="19" t="e">
        <f>Planning[[#This Row],[Saldo]]-Planning[[#This Row],[Saldo estimado]]</f>
        <v>#REF!</v>
      </c>
      <c r="N1018" s="60" t="e">
        <f>+SUMIFS(#REF!,#REF!,Planning[[#This Row],[Proyectos]],#REF!,Planning[[#This Row],[Tipo de Tarea y especialidad]])</f>
        <v>#REF!</v>
      </c>
      <c r="O1018" s="19">
        <f t="shared" si="30"/>
        <v>10</v>
      </c>
      <c r="P1018" s="19">
        <f t="shared" si="31"/>
        <v>2024</v>
      </c>
      <c r="Q10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18" s="19" t="str">
        <f>TEXT(Planning[[#This Row],[Mes]]*29,"mmmm")</f>
        <v>October</v>
      </c>
      <c r="S10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18" s="193"/>
      <c r="U1018" s="43">
        <f>IF(Planning[[#This Row],[Horas Planificadas]]&lt;&gt;0,+K1018/Planning[[#This Row],[Horas Planificadas]],0)</f>
        <v>0</v>
      </c>
      <c r="V1018" s="43">
        <f>IF(Planning[[#This Row],[Horas Planificadas]]&lt;&gt;0,Planning[[#This Row],[Horas utilizadas]]/Planning[[#This Row],[Horas Planificadas]],0)</f>
        <v>0</v>
      </c>
      <c r="W1018" s="44">
        <f>Planning[[#This Row],[Horas Planificadas]]+Planning[[#This Row],[Horas ajustadas adicionales]]</f>
        <v>0</v>
      </c>
      <c r="X1018" s="142"/>
    </row>
    <row r="1019" spans="1:24" ht="12.75" customHeight="1" x14ac:dyDescent="0.2">
      <c r="A1019" s="7" t="s">
        <v>168</v>
      </c>
      <c r="B1019" s="7" t="s">
        <v>169</v>
      </c>
      <c r="C1019" s="3"/>
      <c r="D1019" s="3" t="s">
        <v>279</v>
      </c>
      <c r="E1019" s="33"/>
      <c r="F1019" s="3" t="s">
        <v>126</v>
      </c>
      <c r="G1019" s="7"/>
      <c r="H1019" s="7">
        <v>90</v>
      </c>
      <c r="I1019" s="12"/>
      <c r="J1019" s="5" t="e">
        <f>SUM(SUMIFS(#REF!,#REF!,Planning[[#This Row],[Tipo de Tarea y especialidad]],#REF!,Planning[[#This Row],[Proyectos Reiwa]]),SUMIFS(#REF!,#REF!,Planning[[#This Row],[Tipo de Tarea y especialidad]],#REF!,Planning[[#This Row],[Proyectos]]))</f>
        <v>#REF!</v>
      </c>
      <c r="K1019" s="5" t="e">
        <f>Planning[[#This Row],[Horas Planificadas]]+Planning[[#This Row],[Horas ajustadas adicionales]]-Planning[[#This Row],[Horas utilizadas]]</f>
        <v>#REF!</v>
      </c>
      <c r="L1019" s="7">
        <v>0</v>
      </c>
      <c r="M1019" s="19" t="e">
        <f>Planning[[#This Row],[Saldo]]-Planning[[#This Row],[Saldo estimado]]</f>
        <v>#REF!</v>
      </c>
      <c r="N1019" s="60" t="e">
        <f>+SUMIFS(#REF!,#REF!,Planning[[#This Row],[Proyectos]],#REF!,Planning[[#This Row],[Tipo de Tarea y especialidad]])</f>
        <v>#REF!</v>
      </c>
      <c r="O1019" s="19">
        <f t="shared" si="30"/>
        <v>10</v>
      </c>
      <c r="P1019" s="19">
        <f t="shared" si="31"/>
        <v>2024</v>
      </c>
      <c r="Q10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19" s="19" t="str">
        <f>TEXT(Planning[[#This Row],[Mes]]*29,"mmmm")</f>
        <v>October</v>
      </c>
      <c r="S10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19" s="193"/>
      <c r="U1019" s="43" t="e">
        <f>IF(Planning[[#This Row],[Horas Planificadas]]&lt;&gt;0,+K1019/Planning[[#This Row],[Horas Planificadas]],0)</f>
        <v>#REF!</v>
      </c>
      <c r="V1019" s="43" t="e">
        <f>IF(Planning[[#This Row],[Horas Planificadas]]&lt;&gt;0,Planning[[#This Row],[Horas utilizadas]]/Planning[[#This Row],[Horas Planificadas]],0)</f>
        <v>#REF!</v>
      </c>
      <c r="W1019" s="44">
        <f>Planning[[#This Row],[Horas Planificadas]]+Planning[[#This Row],[Horas ajustadas adicionales]]</f>
        <v>90</v>
      </c>
      <c r="X1019" s="142"/>
    </row>
    <row r="1020" spans="1:24" ht="12.75" customHeight="1" x14ac:dyDescent="0.2">
      <c r="A1020" s="7" t="s">
        <v>168</v>
      </c>
      <c r="B1020" s="7" t="s">
        <v>169</v>
      </c>
      <c r="C1020" s="3"/>
      <c r="D1020" s="3" t="s">
        <v>279</v>
      </c>
      <c r="E1020" s="33"/>
      <c r="F1020" s="3" t="s">
        <v>127</v>
      </c>
      <c r="G1020" s="7"/>
      <c r="H1020" s="7"/>
      <c r="I1020" s="12"/>
      <c r="J1020" s="5" t="e">
        <f>SUM(SUMIFS(#REF!,#REF!,Planning[[#This Row],[Tipo de Tarea y especialidad]],#REF!,Planning[[#This Row],[Proyectos Reiwa]]),SUMIFS(#REF!,#REF!,Planning[[#This Row],[Tipo de Tarea y especialidad]],#REF!,Planning[[#This Row],[Proyectos]]))</f>
        <v>#REF!</v>
      </c>
      <c r="K1020" s="5" t="e">
        <f>Planning[[#This Row],[Horas Planificadas]]+Planning[[#This Row],[Horas ajustadas adicionales]]-Planning[[#This Row],[Horas utilizadas]]</f>
        <v>#REF!</v>
      </c>
      <c r="L1020" s="7">
        <v>0</v>
      </c>
      <c r="M1020" s="19" t="e">
        <f>Planning[[#This Row],[Saldo]]-Planning[[#This Row],[Saldo estimado]]</f>
        <v>#REF!</v>
      </c>
      <c r="N1020" s="60" t="e">
        <f>+SUMIFS(#REF!,#REF!,Planning[[#This Row],[Proyectos]],#REF!,Planning[[#This Row],[Tipo de Tarea y especialidad]])</f>
        <v>#REF!</v>
      </c>
      <c r="O1020" s="19">
        <f t="shared" si="30"/>
        <v>10</v>
      </c>
      <c r="P1020" s="19">
        <f t="shared" si="31"/>
        <v>2024</v>
      </c>
      <c r="Q10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20" s="19" t="str">
        <f>TEXT(Planning[[#This Row],[Mes]]*29,"mmmm")</f>
        <v>October</v>
      </c>
      <c r="S10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20" s="193"/>
      <c r="U1020" s="43">
        <f>IF(Planning[[#This Row],[Horas Planificadas]]&lt;&gt;0,+K1020/Planning[[#This Row],[Horas Planificadas]],0)</f>
        <v>0</v>
      </c>
      <c r="V1020" s="43">
        <f>IF(Planning[[#This Row],[Horas Planificadas]]&lt;&gt;0,Planning[[#This Row],[Horas utilizadas]]/Planning[[#This Row],[Horas Planificadas]],0)</f>
        <v>0</v>
      </c>
      <c r="W1020" s="44">
        <f>Planning[[#This Row],[Horas Planificadas]]+Planning[[#This Row],[Horas ajustadas adicionales]]</f>
        <v>0</v>
      </c>
      <c r="X1020" s="142"/>
    </row>
    <row r="1021" spans="1:24" ht="12.75" customHeight="1" x14ac:dyDescent="0.2">
      <c r="A1021" s="7" t="s">
        <v>168</v>
      </c>
      <c r="B1021" s="7" t="s">
        <v>169</v>
      </c>
      <c r="C1021" s="3"/>
      <c r="D1021" s="3" t="s">
        <v>279</v>
      </c>
      <c r="E1021" s="33"/>
      <c r="F1021" s="3" t="s">
        <v>128</v>
      </c>
      <c r="G1021" s="7"/>
      <c r="H1021" s="7"/>
      <c r="I1021" s="12"/>
      <c r="J1021" s="5" t="e">
        <f>SUM(SUMIFS(#REF!,#REF!,Planning[[#This Row],[Tipo de Tarea y especialidad]],#REF!,Planning[[#This Row],[Proyectos Reiwa]]),SUMIFS(#REF!,#REF!,Planning[[#This Row],[Tipo de Tarea y especialidad]],#REF!,Planning[[#This Row],[Proyectos]]))</f>
        <v>#REF!</v>
      </c>
      <c r="K1021" s="5" t="e">
        <f>Planning[[#This Row],[Horas Planificadas]]+Planning[[#This Row],[Horas ajustadas adicionales]]-Planning[[#This Row],[Horas utilizadas]]</f>
        <v>#REF!</v>
      </c>
      <c r="L1021" s="7">
        <v>0</v>
      </c>
      <c r="M1021" s="19" t="e">
        <f>Planning[[#This Row],[Saldo]]-Planning[[#This Row],[Saldo estimado]]</f>
        <v>#REF!</v>
      </c>
      <c r="N1021" s="60" t="e">
        <f>+SUMIFS(#REF!,#REF!,Planning[[#This Row],[Proyectos]],#REF!,Planning[[#This Row],[Tipo de Tarea y especialidad]])</f>
        <v>#REF!</v>
      </c>
      <c r="O1021" s="19">
        <f t="shared" si="30"/>
        <v>10</v>
      </c>
      <c r="P1021" s="19">
        <f t="shared" si="31"/>
        <v>2024</v>
      </c>
      <c r="Q10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21" s="19" t="str">
        <f>TEXT(Planning[[#This Row],[Mes]]*29,"mmmm")</f>
        <v>October</v>
      </c>
      <c r="S10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21" s="193"/>
      <c r="U1021" s="43">
        <f>IF(Planning[[#This Row],[Horas Planificadas]]&lt;&gt;0,+K1021/Planning[[#This Row],[Horas Planificadas]],0)</f>
        <v>0</v>
      </c>
      <c r="V1021" s="43">
        <f>IF(Planning[[#This Row],[Horas Planificadas]]&lt;&gt;0,Planning[[#This Row],[Horas utilizadas]]/Planning[[#This Row],[Horas Planificadas]],0)</f>
        <v>0</v>
      </c>
      <c r="W1021" s="44">
        <f>Planning[[#This Row],[Horas Planificadas]]+Planning[[#This Row],[Horas ajustadas adicionales]]</f>
        <v>0</v>
      </c>
      <c r="X1021" s="142"/>
    </row>
    <row r="1022" spans="1:24" ht="12.75" customHeight="1" x14ac:dyDescent="0.2">
      <c r="A1022" s="7" t="s">
        <v>168</v>
      </c>
      <c r="B1022" s="7" t="s">
        <v>169</v>
      </c>
      <c r="C1022" s="3"/>
      <c r="D1022" s="3" t="s">
        <v>279</v>
      </c>
      <c r="E1022" s="33" t="s">
        <v>31</v>
      </c>
      <c r="F1022" s="3" t="s">
        <v>31</v>
      </c>
      <c r="G1022" s="7">
        <v>0</v>
      </c>
      <c r="H1022" s="15">
        <v>0</v>
      </c>
      <c r="I1022" s="18"/>
      <c r="J1022" s="14" t="e">
        <f>+SUMIFS(#REF!,#REF!,Planning[[#This Row],[Tarifa]],#REF!,Planning[[#This Row],[Proyectos]])</f>
        <v>#REF!</v>
      </c>
      <c r="K1022" s="14" t="e">
        <f>Planning[[#This Row],[Horas Planificadas]]+Planning[[#This Row],[Horas ajustadas adicionales]]-Planning[[#This Row],[Horas utilizadas]]</f>
        <v>#REF!</v>
      </c>
      <c r="L1022" s="15">
        <v>0</v>
      </c>
      <c r="M1022" s="16" t="e">
        <f>Planning[[#This Row],[Saldo]]-Planning[[#This Row],[Saldo estimado]]</f>
        <v>#REF!</v>
      </c>
      <c r="N1022" s="60"/>
      <c r="O1022" s="16">
        <f t="shared" si="30"/>
        <v>10</v>
      </c>
      <c r="P1022" s="16">
        <f t="shared" si="31"/>
        <v>2024</v>
      </c>
      <c r="Q1022" s="16" t="e">
        <f>+SUMIFS(#REF!,#REF!,Planning[[#This Row],[Tarifa]],#REF!,Planning[[#This Row],[Proyectos]],#REF!,Planning[[#This Row],[Mes]],#REF!,Planning[[#This Row],[Año]])</f>
        <v>#REF!</v>
      </c>
      <c r="R1022" s="16" t="str">
        <f>TEXT(Planning[[#This Row],[Mes]]*29,"mmmm")</f>
        <v>October</v>
      </c>
      <c r="S10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22" s="193"/>
      <c r="U1022" s="43">
        <f>IF(Planning[[#This Row],[Horas Planificadas]]&lt;&gt;0,+K1022/Planning[[#This Row],[Horas Planificadas]],0)</f>
        <v>0</v>
      </c>
      <c r="V1022" s="43">
        <f>IF(Planning[[#This Row],[Horas Planificadas]]&lt;&gt;0,Planning[[#This Row],[Horas utilizadas]]/Planning[[#This Row],[Horas Planificadas]],0)</f>
        <v>0</v>
      </c>
      <c r="W1022" s="44">
        <f>Planning[[#This Row],[Horas Planificadas]]+Planning[[#This Row],[Horas ajustadas adicionales]]</f>
        <v>0</v>
      </c>
      <c r="X1022" s="142"/>
    </row>
    <row r="1023" spans="1:24" ht="12.75" customHeight="1" x14ac:dyDescent="0.2">
      <c r="A1023" s="7" t="s">
        <v>168</v>
      </c>
      <c r="B1023" s="7" t="s">
        <v>169</v>
      </c>
      <c r="C1023" s="3"/>
      <c r="D1023" s="3" t="s">
        <v>279</v>
      </c>
      <c r="E1023" s="33" t="s">
        <v>32</v>
      </c>
      <c r="F1023" s="3"/>
      <c r="G1023" s="7">
        <v>378</v>
      </c>
      <c r="H1023" s="24">
        <f>SUM(H1024:H1026)</f>
        <v>378</v>
      </c>
      <c r="I1023" s="14"/>
      <c r="J1023" s="14" t="e">
        <f>SUM(J1024:J1026)</f>
        <v>#REF!</v>
      </c>
      <c r="K1023" s="18" t="e">
        <f>SUM(K1024:K1026)</f>
        <v>#REF!</v>
      </c>
      <c r="L1023" s="15">
        <f>SUM(L1024:L1026)</f>
        <v>0</v>
      </c>
      <c r="M1023" s="16" t="e">
        <f>SUM(M1024:M1026)</f>
        <v>#REF!</v>
      </c>
      <c r="N1023" s="60"/>
      <c r="O1023" s="16">
        <f t="shared" si="30"/>
        <v>10</v>
      </c>
      <c r="P1023" s="16">
        <f t="shared" si="31"/>
        <v>2024</v>
      </c>
      <c r="Q1023" s="16" t="e">
        <f>SUM(Q1024:Q1026)</f>
        <v>#REF!</v>
      </c>
      <c r="R1023" s="16" t="str">
        <f>TEXT(Planning[[#This Row],[Mes]]*29,"mmmm")</f>
        <v>October</v>
      </c>
      <c r="S10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23" s="193"/>
      <c r="U1023" s="43" t="e">
        <f>IF(Planning[[#This Row],[Horas Planificadas]]&lt;&gt;0,+K1023/Planning[[#This Row],[Horas Planificadas]],0)</f>
        <v>#REF!</v>
      </c>
      <c r="V1023" s="43" t="e">
        <f>IF(Planning[[#This Row],[Horas Planificadas]]&lt;&gt;0,Planning[[#This Row],[Horas utilizadas]]/Planning[[#This Row],[Horas Planificadas]],0)</f>
        <v>#REF!</v>
      </c>
      <c r="W1023" s="44">
        <f>Planning[[#This Row],[Horas Planificadas]]+Planning[[#This Row],[Horas ajustadas adicionales]]</f>
        <v>378</v>
      </c>
      <c r="X1023" s="142"/>
    </row>
    <row r="1024" spans="1:24" ht="12.75" customHeight="1" x14ac:dyDescent="0.2">
      <c r="A1024" s="7" t="s">
        <v>168</v>
      </c>
      <c r="B1024" s="7" t="s">
        <v>169</v>
      </c>
      <c r="C1024" s="3"/>
      <c r="D1024" s="3" t="s">
        <v>279</v>
      </c>
      <c r="E1024" s="33"/>
      <c r="F1024" s="3" t="s">
        <v>129</v>
      </c>
      <c r="G1024" s="7"/>
      <c r="H1024" s="7">
        <v>378</v>
      </c>
      <c r="I1024" s="12"/>
      <c r="J1024" s="5" t="e">
        <f>SUM(SUMIFS(#REF!,#REF!,Planning[[#This Row],[Tipo de Tarea y especialidad]],#REF!,Planning[[#This Row],[Proyectos Reiwa]]),SUMIFS(#REF!,#REF!,Planning[[#This Row],[Tipo de Tarea y especialidad]],#REF!,Planning[[#This Row],[Proyectos]]))</f>
        <v>#REF!</v>
      </c>
      <c r="K1024" s="5" t="e">
        <f>Planning[[#This Row],[Horas Planificadas]]+Planning[[#This Row],[Horas ajustadas adicionales]]-Planning[[#This Row],[Horas utilizadas]]</f>
        <v>#REF!</v>
      </c>
      <c r="L1024" s="7">
        <v>0</v>
      </c>
      <c r="M1024" s="19" t="e">
        <f>Planning[[#This Row],[Saldo]]-Planning[[#This Row],[Saldo estimado]]</f>
        <v>#REF!</v>
      </c>
      <c r="N1024" s="60" t="e">
        <f>+SUMIFS(#REF!,#REF!,Planning[[#This Row],[Proyectos]],#REF!,Planning[[#This Row],[Tipo de Tarea y especialidad]])</f>
        <v>#REF!</v>
      </c>
      <c r="O1024" s="19">
        <f t="shared" si="30"/>
        <v>10</v>
      </c>
      <c r="P1024" s="19">
        <f t="shared" si="31"/>
        <v>2024</v>
      </c>
      <c r="Q10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24" s="19" t="str">
        <f>TEXT(Planning[[#This Row],[Mes]]*29,"mmmm")</f>
        <v>October</v>
      </c>
      <c r="S10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24" s="193"/>
      <c r="U1024" s="43" t="e">
        <f>IF(Planning[[#This Row],[Horas Planificadas]]&lt;&gt;0,+K1024/Planning[[#This Row],[Horas Planificadas]],0)</f>
        <v>#REF!</v>
      </c>
      <c r="V1024" s="43" t="e">
        <f>IF(Planning[[#This Row],[Horas Planificadas]]&lt;&gt;0,Planning[[#This Row],[Horas utilizadas]]/Planning[[#This Row],[Horas Planificadas]],0)</f>
        <v>#REF!</v>
      </c>
      <c r="W1024" s="44">
        <f>Planning[[#This Row],[Horas Planificadas]]+Planning[[#This Row],[Horas ajustadas adicionales]]</f>
        <v>378</v>
      </c>
      <c r="X1024" s="142"/>
    </row>
    <row r="1025" spans="1:24" ht="12.75" customHeight="1" x14ac:dyDescent="0.2">
      <c r="A1025" s="7" t="s">
        <v>168</v>
      </c>
      <c r="B1025" s="7" t="s">
        <v>169</v>
      </c>
      <c r="C1025" s="3"/>
      <c r="D1025" s="3" t="s">
        <v>279</v>
      </c>
      <c r="E1025" s="33"/>
      <c r="F1025" s="3" t="s">
        <v>130</v>
      </c>
      <c r="G1025" s="7"/>
      <c r="H1025" s="7"/>
      <c r="I1025" s="12"/>
      <c r="J1025" s="5" t="e">
        <f>SUM(SUMIFS(#REF!,#REF!,Planning[[#This Row],[Tipo de Tarea y especialidad]],#REF!,Planning[[#This Row],[Proyectos Reiwa]]),SUMIFS(#REF!,#REF!,Planning[[#This Row],[Tipo de Tarea y especialidad]],#REF!,Planning[[#This Row],[Proyectos]]))</f>
        <v>#REF!</v>
      </c>
      <c r="K1025" s="5" t="e">
        <f>Planning[[#This Row],[Horas Planificadas]]+Planning[[#This Row],[Horas ajustadas adicionales]]-Planning[[#This Row],[Horas utilizadas]]</f>
        <v>#REF!</v>
      </c>
      <c r="L1025" s="7">
        <v>0</v>
      </c>
      <c r="M1025" s="19" t="e">
        <f>Planning[[#This Row],[Saldo]]-Planning[[#This Row],[Saldo estimado]]</f>
        <v>#REF!</v>
      </c>
      <c r="N1025" s="60" t="e">
        <f>+SUMIFS(#REF!,#REF!,Planning[[#This Row],[Proyectos]],#REF!,Planning[[#This Row],[Tipo de Tarea y especialidad]])</f>
        <v>#REF!</v>
      </c>
      <c r="O1025" s="19">
        <f t="shared" si="30"/>
        <v>10</v>
      </c>
      <c r="P1025" s="19">
        <f t="shared" si="31"/>
        <v>2024</v>
      </c>
      <c r="Q10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25" s="19" t="str">
        <f>TEXT(Planning[[#This Row],[Mes]]*29,"mmmm")</f>
        <v>October</v>
      </c>
      <c r="S10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25" s="193"/>
      <c r="U1025" s="43">
        <f>IF(Planning[[#This Row],[Horas Planificadas]]&lt;&gt;0,+K1025/Planning[[#This Row],[Horas Planificadas]],0)</f>
        <v>0</v>
      </c>
      <c r="V1025" s="43">
        <f>IF(Planning[[#This Row],[Horas Planificadas]]&lt;&gt;0,Planning[[#This Row],[Horas utilizadas]]/Planning[[#This Row],[Horas Planificadas]],0)</f>
        <v>0</v>
      </c>
      <c r="W1025" s="44">
        <f>Planning[[#This Row],[Horas Planificadas]]+Planning[[#This Row],[Horas ajustadas adicionales]]</f>
        <v>0</v>
      </c>
      <c r="X1025" s="142"/>
    </row>
    <row r="1026" spans="1:24" ht="12.75" customHeight="1" x14ac:dyDescent="0.2">
      <c r="A1026" s="7" t="s">
        <v>168</v>
      </c>
      <c r="B1026" s="7" t="s">
        <v>169</v>
      </c>
      <c r="C1026" s="3"/>
      <c r="D1026" s="3" t="s">
        <v>279</v>
      </c>
      <c r="E1026" s="33"/>
      <c r="F1026" s="3" t="s">
        <v>131</v>
      </c>
      <c r="G1026" s="7"/>
      <c r="H1026" s="7"/>
      <c r="I1026" s="12"/>
      <c r="J1026" s="5" t="e">
        <f>SUM(SUMIFS(#REF!,#REF!,Planning[[#This Row],[Tipo de Tarea y especialidad]],#REF!,Planning[[#This Row],[Proyectos Reiwa]]),SUMIFS(#REF!,#REF!,Planning[[#This Row],[Tipo de Tarea y especialidad]],#REF!,Planning[[#This Row],[Proyectos]]))</f>
        <v>#REF!</v>
      </c>
      <c r="K1026" s="5" t="e">
        <f>Planning[[#This Row],[Horas Planificadas]]+Planning[[#This Row],[Horas ajustadas adicionales]]-Planning[[#This Row],[Horas utilizadas]]</f>
        <v>#REF!</v>
      </c>
      <c r="L1026" s="7">
        <v>0</v>
      </c>
      <c r="M1026" s="19" t="e">
        <f>Planning[[#This Row],[Saldo]]-Planning[[#This Row],[Saldo estimado]]</f>
        <v>#REF!</v>
      </c>
      <c r="N1026" s="60" t="e">
        <f>+SUMIFS(#REF!,#REF!,Planning[[#This Row],[Proyectos]],#REF!,Planning[[#This Row],[Tipo de Tarea y especialidad]])</f>
        <v>#REF!</v>
      </c>
      <c r="O1026" s="19">
        <f t="shared" si="30"/>
        <v>10</v>
      </c>
      <c r="P1026" s="19">
        <f t="shared" si="31"/>
        <v>2024</v>
      </c>
      <c r="Q10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26" s="19" t="str">
        <f>TEXT(Planning[[#This Row],[Mes]]*29,"mmmm")</f>
        <v>October</v>
      </c>
      <c r="S10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26" s="193"/>
      <c r="U1026" s="43">
        <f>IF(Planning[[#This Row],[Horas Planificadas]]&lt;&gt;0,+K1026/Planning[[#This Row],[Horas Planificadas]],0)</f>
        <v>0</v>
      </c>
      <c r="V1026" s="43">
        <f>IF(Planning[[#This Row],[Horas Planificadas]]&lt;&gt;0,Planning[[#This Row],[Horas utilizadas]]/Planning[[#This Row],[Horas Planificadas]],0)</f>
        <v>0</v>
      </c>
      <c r="W1026" s="44">
        <f>Planning[[#This Row],[Horas Planificadas]]+Planning[[#This Row],[Horas ajustadas adicionales]]</f>
        <v>0</v>
      </c>
      <c r="X1026" s="142"/>
    </row>
    <row r="1027" spans="1:24" ht="12.75" customHeight="1" x14ac:dyDescent="0.2">
      <c r="A1027" s="7"/>
      <c r="B1027" s="7"/>
      <c r="C1027" s="3"/>
      <c r="D1027" s="3" t="s">
        <v>281</v>
      </c>
      <c r="E1027" s="33" t="s">
        <v>28</v>
      </c>
      <c r="F1027" s="3"/>
      <c r="G1027" s="7"/>
      <c r="H1027" s="7">
        <v>45</v>
      </c>
      <c r="I1027" s="12"/>
      <c r="J1027" s="5" t="e">
        <f>+SUMIFS(#REF!,#REF!,Planning[[#This Row],[Tarifa]],#REF!,Planning[[#This Row],[Proyectos]])</f>
        <v>#REF!</v>
      </c>
      <c r="K1027" s="5" t="e">
        <f>Planning[[#This Row],[Horas Planificadas]]+Planning[[#This Row],[Horas ajustadas adicionales]]-Planning[[#This Row],[Horas utilizadas]]</f>
        <v>#REF!</v>
      </c>
      <c r="L1027" s="7"/>
      <c r="M1027" s="19" t="e">
        <f>Planning[[#This Row],[Saldo]]-Planning[[#This Row],[Saldo estimado]]</f>
        <v>#REF!</v>
      </c>
      <c r="N1027" s="60" t="e">
        <f>+SUMIFS(#REF!,#REF!,Planning[[#This Row],[Proyectos]],#REF!,Planning[[#This Row],[Tipo de Tarea y especialidad]])</f>
        <v>#REF!</v>
      </c>
      <c r="O1027" s="19">
        <f t="shared" si="30"/>
        <v>10</v>
      </c>
      <c r="P1027" s="19">
        <f t="shared" si="31"/>
        <v>2024</v>
      </c>
      <c r="Q1027" s="19" t="e">
        <f>+SUMIFS(#REF!,#REF!,Planning[[#This Row],[Tarifa]],#REF!,Planning[[#This Row],[Proyectos]],#REF!,Planning[[#This Row],[Mes]],#REF!,Planning[[#This Row],[Año]])</f>
        <v>#REF!</v>
      </c>
      <c r="R1027" s="19" t="str">
        <f>TEXT(Planning[[#This Row],[Mes]]*29,"mmmm")</f>
        <v>October</v>
      </c>
      <c r="S10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27" s="228"/>
      <c r="U1027" s="43" t="e">
        <f>IF(Planning[[#This Row],[Horas Planificadas]]&lt;&gt;0,+K1027/Planning[[#This Row],[Horas Planificadas]],0)</f>
        <v>#REF!</v>
      </c>
      <c r="V1027" s="43" t="e">
        <f>IF(Planning[[#This Row],[Horas Planificadas]]&lt;&gt;0,Planning[[#This Row],[Horas utilizadas]]/Planning[[#This Row],[Horas Planificadas]],0)</f>
        <v>#REF!</v>
      </c>
      <c r="W1027" s="44">
        <f>Planning[[#This Row],[Horas Planificadas]]+Planning[[#This Row],[Horas ajustadas adicionales]]</f>
        <v>45</v>
      </c>
      <c r="X1027" s="142"/>
    </row>
    <row r="1028" spans="1:24" ht="12.75" customHeight="1" x14ac:dyDescent="0.2">
      <c r="A1028" s="7"/>
      <c r="B1028" s="7"/>
      <c r="C1028" s="3"/>
      <c r="D1028" s="3" t="s">
        <v>281</v>
      </c>
      <c r="E1028" s="33" t="s">
        <v>30</v>
      </c>
      <c r="F1028" s="3"/>
      <c r="G1028" s="7"/>
      <c r="H1028" s="7">
        <v>120</v>
      </c>
      <c r="I1028" s="12"/>
      <c r="J1028" s="5" t="e">
        <f>+SUMIFS(#REF!,#REF!,Planning[[#This Row],[Tarifa]],#REF!,Planning[[#This Row],[Proyectos]])</f>
        <v>#REF!</v>
      </c>
      <c r="K1028" s="5" t="e">
        <f>Planning[[#This Row],[Horas Planificadas]]+Planning[[#This Row],[Horas ajustadas adicionales]]-Planning[[#This Row],[Horas utilizadas]]</f>
        <v>#REF!</v>
      </c>
      <c r="L1028" s="7"/>
      <c r="M1028" s="19" t="e">
        <f>Planning[[#This Row],[Saldo]]-Planning[[#This Row],[Saldo estimado]]</f>
        <v>#REF!</v>
      </c>
      <c r="N1028" s="60" t="e">
        <f>+SUMIFS(#REF!,#REF!,Planning[[#This Row],[Proyectos]],#REF!,Planning[[#This Row],[Tipo de Tarea y especialidad]])</f>
        <v>#REF!</v>
      </c>
      <c r="O1028" s="19">
        <f t="shared" si="30"/>
        <v>10</v>
      </c>
      <c r="P1028" s="19">
        <f t="shared" si="31"/>
        <v>2024</v>
      </c>
      <c r="Q1028" s="19" t="e">
        <f>+SUMIFS(#REF!,#REF!,Planning[[#This Row],[Tarifa]],#REF!,Planning[[#This Row],[Proyectos]],#REF!,Planning[[#This Row],[Mes]],#REF!,Planning[[#This Row],[Año]])</f>
        <v>#REF!</v>
      </c>
      <c r="R1028" s="19" t="str">
        <f>TEXT(Planning[[#This Row],[Mes]]*29,"mmmm")</f>
        <v>October</v>
      </c>
      <c r="S10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28" s="228"/>
      <c r="U1028" s="43" t="e">
        <f>IF(Planning[[#This Row],[Horas Planificadas]]&lt;&gt;0,+K1028/Planning[[#This Row],[Horas Planificadas]],0)</f>
        <v>#REF!</v>
      </c>
      <c r="V1028" s="43" t="e">
        <f>IF(Planning[[#This Row],[Horas Planificadas]]&lt;&gt;0,Planning[[#This Row],[Horas utilizadas]]/Planning[[#This Row],[Horas Planificadas]],0)</f>
        <v>#REF!</v>
      </c>
      <c r="W1028" s="44">
        <f>Planning[[#This Row],[Horas Planificadas]]+Planning[[#This Row],[Horas ajustadas adicionales]]</f>
        <v>120</v>
      </c>
      <c r="X1028" s="142"/>
    </row>
    <row r="1029" spans="1:24" ht="12.75" customHeight="1" x14ac:dyDescent="0.2">
      <c r="A1029" s="7"/>
      <c r="B1029" s="7"/>
      <c r="C1029" s="3"/>
      <c r="D1029" s="3" t="s">
        <v>281</v>
      </c>
      <c r="E1029" s="33" t="s">
        <v>31</v>
      </c>
      <c r="F1029" s="3"/>
      <c r="G1029" s="7"/>
      <c r="H1029" s="7">
        <v>80</v>
      </c>
      <c r="I1029" s="12"/>
      <c r="J1029" s="5" t="e">
        <f>+SUMIFS(#REF!,#REF!,Planning[[#This Row],[Tarifa]],#REF!,Planning[[#This Row],[Proyectos]])</f>
        <v>#REF!</v>
      </c>
      <c r="K1029" s="5" t="e">
        <f>Planning[[#This Row],[Horas Planificadas]]+Planning[[#This Row],[Horas ajustadas adicionales]]-Planning[[#This Row],[Horas utilizadas]]</f>
        <v>#REF!</v>
      </c>
      <c r="L1029" s="7"/>
      <c r="M1029" s="19" t="e">
        <f>Planning[[#This Row],[Saldo]]-Planning[[#This Row],[Saldo estimado]]</f>
        <v>#REF!</v>
      </c>
      <c r="N1029" s="60" t="e">
        <f>+SUMIFS(#REF!,#REF!,Planning[[#This Row],[Proyectos]],#REF!,Planning[[#This Row],[Tipo de Tarea y especialidad]])</f>
        <v>#REF!</v>
      </c>
      <c r="O1029" s="19">
        <f t="shared" si="30"/>
        <v>10</v>
      </c>
      <c r="P1029" s="19">
        <f t="shared" si="31"/>
        <v>2024</v>
      </c>
      <c r="Q1029" s="19" t="e">
        <f>+SUMIFS(#REF!,#REF!,Planning[[#This Row],[Tarifa]],#REF!,Planning[[#This Row],[Proyectos]],#REF!,Planning[[#This Row],[Mes]],#REF!,Planning[[#This Row],[Año]])</f>
        <v>#REF!</v>
      </c>
      <c r="R1029" s="19" t="str">
        <f>TEXT(Planning[[#This Row],[Mes]]*29,"mmmm")</f>
        <v>October</v>
      </c>
      <c r="S10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29" s="228"/>
      <c r="U1029" s="43" t="e">
        <f>IF(Planning[[#This Row],[Horas Planificadas]]&lt;&gt;0,+K1029/Planning[[#This Row],[Horas Planificadas]],0)</f>
        <v>#REF!</v>
      </c>
      <c r="V1029" s="43" t="e">
        <f>IF(Planning[[#This Row],[Horas Planificadas]]&lt;&gt;0,Planning[[#This Row],[Horas utilizadas]]/Planning[[#This Row],[Horas Planificadas]],0)</f>
        <v>#REF!</v>
      </c>
      <c r="W1029" s="44">
        <f>Planning[[#This Row],[Horas Planificadas]]+Planning[[#This Row],[Horas ajustadas adicionales]]</f>
        <v>80</v>
      </c>
      <c r="X1029" s="142"/>
    </row>
    <row r="1030" spans="1:24" ht="12.75" customHeight="1" x14ac:dyDescent="0.2">
      <c r="A1030" s="7"/>
      <c r="B1030" s="7"/>
      <c r="C1030" s="3"/>
      <c r="D1030" s="3" t="s">
        <v>281</v>
      </c>
      <c r="E1030" s="33" t="s">
        <v>32</v>
      </c>
      <c r="F1030" s="3"/>
      <c r="G1030" s="7"/>
      <c r="H1030" s="7">
        <v>48</v>
      </c>
      <c r="I1030" s="12"/>
      <c r="J1030" s="5" t="e">
        <f>+SUMIFS(#REF!,#REF!,Planning[[#This Row],[Tarifa]],#REF!,Planning[[#This Row],[Proyectos]])</f>
        <v>#REF!</v>
      </c>
      <c r="K1030" s="5" t="e">
        <f>Planning[[#This Row],[Horas Planificadas]]+Planning[[#This Row],[Horas ajustadas adicionales]]-Planning[[#This Row],[Horas utilizadas]]</f>
        <v>#REF!</v>
      </c>
      <c r="L1030" s="7"/>
      <c r="M1030" s="19" t="e">
        <f>Planning[[#This Row],[Saldo]]-Planning[[#This Row],[Saldo estimado]]</f>
        <v>#REF!</v>
      </c>
      <c r="N1030" s="60" t="e">
        <f>+SUMIFS(#REF!,#REF!,Planning[[#This Row],[Proyectos]],#REF!,Planning[[#This Row],[Tipo de Tarea y especialidad]])</f>
        <v>#REF!</v>
      </c>
      <c r="O1030" s="19">
        <f t="shared" si="30"/>
        <v>10</v>
      </c>
      <c r="P1030" s="19">
        <f t="shared" si="31"/>
        <v>2024</v>
      </c>
      <c r="Q1030" s="19" t="e">
        <f>+SUMIFS(#REF!,#REF!,Planning[[#This Row],[Tarifa]],#REF!,Planning[[#This Row],[Proyectos]],#REF!,Planning[[#This Row],[Mes]],#REF!,Planning[[#This Row],[Año]])</f>
        <v>#REF!</v>
      </c>
      <c r="R1030" s="19" t="str">
        <f>TEXT(Planning[[#This Row],[Mes]]*29,"mmmm")</f>
        <v>October</v>
      </c>
      <c r="S10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30" s="228"/>
      <c r="U1030" s="43" t="e">
        <f>IF(Planning[[#This Row],[Horas Planificadas]]&lt;&gt;0,+K1030/Planning[[#This Row],[Horas Planificadas]],0)</f>
        <v>#REF!</v>
      </c>
      <c r="V1030" s="43" t="e">
        <f>IF(Planning[[#This Row],[Horas Planificadas]]&lt;&gt;0,Planning[[#This Row],[Horas utilizadas]]/Planning[[#This Row],[Horas Planificadas]],0)</f>
        <v>#REF!</v>
      </c>
      <c r="W1030" s="44">
        <f>Planning[[#This Row],[Horas Planificadas]]+Planning[[#This Row],[Horas ajustadas adicionales]]</f>
        <v>48</v>
      </c>
      <c r="X1030" s="142"/>
    </row>
    <row r="1031" spans="1:24" ht="12.75" customHeight="1" x14ac:dyDescent="0.2">
      <c r="A1031" s="7"/>
      <c r="B1031" s="7"/>
      <c r="C1031" s="3"/>
      <c r="D1031" s="3" t="s">
        <v>282</v>
      </c>
      <c r="E1031" s="33" t="s">
        <v>28</v>
      </c>
      <c r="F1031" s="3"/>
      <c r="G1031" s="7"/>
      <c r="H1031" s="7">
        <v>0</v>
      </c>
      <c r="I1031" s="12"/>
      <c r="J1031" s="5" t="e">
        <f>+SUMIFS(#REF!,#REF!,Planning[[#This Row],[Tarifa]],#REF!,Planning[[#This Row],[Proyectos]])</f>
        <v>#REF!</v>
      </c>
      <c r="K1031" s="5" t="e">
        <f>Planning[[#This Row],[Horas Planificadas]]+Planning[[#This Row],[Horas ajustadas adicionales]]-Planning[[#This Row],[Horas utilizadas]]</f>
        <v>#REF!</v>
      </c>
      <c r="L1031" s="7"/>
      <c r="M1031" s="19" t="e">
        <f>Planning[[#This Row],[Saldo]]-Planning[[#This Row],[Saldo estimado]]</f>
        <v>#REF!</v>
      </c>
      <c r="N1031" s="60" t="e">
        <f>+SUMIFS(#REF!,#REF!,Planning[[#This Row],[Proyectos]],#REF!,Planning[[#This Row],[Tipo de Tarea y especialidad]])</f>
        <v>#REF!</v>
      </c>
      <c r="O1031" s="19">
        <f t="shared" ref="O1031:O1094" si="32">$L$4</f>
        <v>10</v>
      </c>
      <c r="P1031" s="19">
        <f t="shared" ref="P1031:P1094" si="33">$M$4</f>
        <v>2024</v>
      </c>
      <c r="Q1031" s="19" t="e">
        <f>+SUMIFS(#REF!,#REF!,Planning[[#This Row],[Tarifa]],#REF!,Planning[[#This Row],[Proyectos]],#REF!,Planning[[#This Row],[Mes]],#REF!,Planning[[#This Row],[Año]])</f>
        <v>#REF!</v>
      </c>
      <c r="R1031" s="19" t="str">
        <f>TEXT(Planning[[#This Row],[Mes]]*29,"mmmm")</f>
        <v>October</v>
      </c>
      <c r="S10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31" s="228"/>
      <c r="U1031" s="43">
        <f>IF(Planning[[#This Row],[Horas Planificadas]]&lt;&gt;0,+K1031/Planning[[#This Row],[Horas Planificadas]],0)</f>
        <v>0</v>
      </c>
      <c r="V1031" s="43">
        <f>IF(Planning[[#This Row],[Horas Planificadas]]&lt;&gt;0,Planning[[#This Row],[Horas utilizadas]]/Planning[[#This Row],[Horas Planificadas]],0)</f>
        <v>0</v>
      </c>
      <c r="W1031" s="44">
        <f>Planning[[#This Row],[Horas Planificadas]]+Planning[[#This Row],[Horas ajustadas adicionales]]</f>
        <v>0</v>
      </c>
      <c r="X1031" s="142"/>
    </row>
    <row r="1032" spans="1:24" ht="12.75" customHeight="1" x14ac:dyDescent="0.2">
      <c r="A1032" s="7"/>
      <c r="B1032" s="7"/>
      <c r="C1032" s="3"/>
      <c r="D1032" s="3" t="s">
        <v>282</v>
      </c>
      <c r="E1032" s="33" t="s">
        <v>30</v>
      </c>
      <c r="F1032" s="3"/>
      <c r="G1032" s="7"/>
      <c r="H1032" s="7">
        <v>9</v>
      </c>
      <c r="I1032" s="12"/>
      <c r="J1032" s="5" t="e">
        <f>+SUMIFS(#REF!,#REF!,Planning[[#This Row],[Tarifa]],#REF!,Planning[[#This Row],[Proyectos]])</f>
        <v>#REF!</v>
      </c>
      <c r="K1032" s="5" t="e">
        <f>Planning[[#This Row],[Horas Planificadas]]+Planning[[#This Row],[Horas ajustadas adicionales]]-Planning[[#This Row],[Horas utilizadas]]</f>
        <v>#REF!</v>
      </c>
      <c r="L1032" s="7"/>
      <c r="M1032" s="19" t="e">
        <f>Planning[[#This Row],[Saldo]]-Planning[[#This Row],[Saldo estimado]]</f>
        <v>#REF!</v>
      </c>
      <c r="N1032" s="60" t="e">
        <f>+SUMIFS(#REF!,#REF!,Planning[[#This Row],[Proyectos]],#REF!,Planning[[#This Row],[Tipo de Tarea y especialidad]])</f>
        <v>#REF!</v>
      </c>
      <c r="O1032" s="19">
        <f t="shared" si="32"/>
        <v>10</v>
      </c>
      <c r="P1032" s="19">
        <f t="shared" si="33"/>
        <v>2024</v>
      </c>
      <c r="Q1032" s="19" t="e">
        <f>+SUMIFS(#REF!,#REF!,Planning[[#This Row],[Tarifa]],#REF!,Planning[[#This Row],[Proyectos]],#REF!,Planning[[#This Row],[Mes]],#REF!,Planning[[#This Row],[Año]])</f>
        <v>#REF!</v>
      </c>
      <c r="R1032" s="19" t="str">
        <f>TEXT(Planning[[#This Row],[Mes]]*29,"mmmm")</f>
        <v>October</v>
      </c>
      <c r="S10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32" s="228"/>
      <c r="U1032" s="43" t="e">
        <f>IF(Planning[[#This Row],[Horas Planificadas]]&lt;&gt;0,+K1032/Planning[[#This Row],[Horas Planificadas]],0)</f>
        <v>#REF!</v>
      </c>
      <c r="V1032" s="43" t="e">
        <f>IF(Planning[[#This Row],[Horas Planificadas]]&lt;&gt;0,Planning[[#This Row],[Horas utilizadas]]/Planning[[#This Row],[Horas Planificadas]],0)</f>
        <v>#REF!</v>
      </c>
      <c r="W1032" s="44">
        <f>Planning[[#This Row],[Horas Planificadas]]+Planning[[#This Row],[Horas ajustadas adicionales]]</f>
        <v>9</v>
      </c>
      <c r="X1032" s="142"/>
    </row>
    <row r="1033" spans="1:24" ht="12.75" customHeight="1" x14ac:dyDescent="0.2">
      <c r="A1033" s="7"/>
      <c r="B1033" s="7"/>
      <c r="C1033" s="3"/>
      <c r="D1033" s="3" t="s">
        <v>282</v>
      </c>
      <c r="E1033" s="33" t="s">
        <v>31</v>
      </c>
      <c r="F1033" s="3"/>
      <c r="G1033" s="7"/>
      <c r="H1033" s="7">
        <v>9</v>
      </c>
      <c r="I1033" s="12"/>
      <c r="J1033" s="5" t="e">
        <f>+SUMIFS(#REF!,#REF!,Planning[[#This Row],[Tarifa]],#REF!,Planning[[#This Row],[Proyectos]])</f>
        <v>#REF!</v>
      </c>
      <c r="K1033" s="5" t="e">
        <f>Planning[[#This Row],[Horas Planificadas]]+Planning[[#This Row],[Horas ajustadas adicionales]]-Planning[[#This Row],[Horas utilizadas]]</f>
        <v>#REF!</v>
      </c>
      <c r="L1033" s="7"/>
      <c r="M1033" s="19" t="e">
        <f>Planning[[#This Row],[Saldo]]-Planning[[#This Row],[Saldo estimado]]</f>
        <v>#REF!</v>
      </c>
      <c r="N1033" s="60" t="e">
        <f>+SUMIFS(#REF!,#REF!,Planning[[#This Row],[Proyectos]],#REF!,Planning[[#This Row],[Tipo de Tarea y especialidad]])</f>
        <v>#REF!</v>
      </c>
      <c r="O1033" s="19">
        <f t="shared" si="32"/>
        <v>10</v>
      </c>
      <c r="P1033" s="19">
        <f t="shared" si="33"/>
        <v>2024</v>
      </c>
      <c r="Q1033" s="19" t="e">
        <f>+SUMIFS(#REF!,#REF!,Planning[[#This Row],[Tarifa]],#REF!,Planning[[#This Row],[Proyectos]],#REF!,Planning[[#This Row],[Mes]],#REF!,Planning[[#This Row],[Año]])</f>
        <v>#REF!</v>
      </c>
      <c r="R1033" s="19" t="str">
        <f>TEXT(Planning[[#This Row],[Mes]]*29,"mmmm")</f>
        <v>October</v>
      </c>
      <c r="S10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33" s="228"/>
      <c r="U1033" s="43" t="e">
        <f>IF(Planning[[#This Row],[Horas Planificadas]]&lt;&gt;0,+K1033/Planning[[#This Row],[Horas Planificadas]],0)</f>
        <v>#REF!</v>
      </c>
      <c r="V1033" s="43" t="e">
        <f>IF(Planning[[#This Row],[Horas Planificadas]]&lt;&gt;0,Planning[[#This Row],[Horas utilizadas]]/Planning[[#This Row],[Horas Planificadas]],0)</f>
        <v>#REF!</v>
      </c>
      <c r="W1033" s="44">
        <f>Planning[[#This Row],[Horas Planificadas]]+Planning[[#This Row],[Horas ajustadas adicionales]]</f>
        <v>9</v>
      </c>
      <c r="X1033" s="142"/>
    </row>
    <row r="1034" spans="1:24" ht="12.75" customHeight="1" x14ac:dyDescent="0.2">
      <c r="A1034" s="7"/>
      <c r="B1034" s="7"/>
      <c r="C1034" s="3"/>
      <c r="D1034" s="3" t="s">
        <v>282</v>
      </c>
      <c r="E1034" s="33" t="s">
        <v>32</v>
      </c>
      <c r="F1034" s="3"/>
      <c r="G1034" s="7"/>
      <c r="H1034" s="7">
        <v>36</v>
      </c>
      <c r="I1034" s="12"/>
      <c r="J1034" s="5" t="e">
        <f>+SUMIFS(#REF!,#REF!,Planning[[#This Row],[Tarifa]],#REF!,Planning[[#This Row],[Proyectos]])</f>
        <v>#REF!</v>
      </c>
      <c r="K1034" s="5" t="e">
        <f>Planning[[#This Row],[Horas Planificadas]]+Planning[[#This Row],[Horas ajustadas adicionales]]-Planning[[#This Row],[Horas utilizadas]]</f>
        <v>#REF!</v>
      </c>
      <c r="L1034" s="7"/>
      <c r="M1034" s="19" t="e">
        <f>Planning[[#This Row],[Saldo]]-Planning[[#This Row],[Saldo estimado]]</f>
        <v>#REF!</v>
      </c>
      <c r="N1034" s="60" t="e">
        <f>+SUMIFS(#REF!,#REF!,Planning[[#This Row],[Proyectos]],#REF!,Planning[[#This Row],[Tipo de Tarea y especialidad]])</f>
        <v>#REF!</v>
      </c>
      <c r="O1034" s="19">
        <f t="shared" si="32"/>
        <v>10</v>
      </c>
      <c r="P1034" s="19">
        <f t="shared" si="33"/>
        <v>2024</v>
      </c>
      <c r="Q1034" s="19" t="e">
        <f>+SUMIFS(#REF!,#REF!,Planning[[#This Row],[Tarifa]],#REF!,Planning[[#This Row],[Proyectos]],#REF!,Planning[[#This Row],[Mes]],#REF!,Planning[[#This Row],[Año]])</f>
        <v>#REF!</v>
      </c>
      <c r="R1034" s="19" t="str">
        <f>TEXT(Planning[[#This Row],[Mes]]*29,"mmmm")</f>
        <v>October</v>
      </c>
      <c r="S10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34" s="228"/>
      <c r="U1034" s="43" t="e">
        <f>IF(Planning[[#This Row],[Horas Planificadas]]&lt;&gt;0,+K1034/Planning[[#This Row],[Horas Planificadas]],0)</f>
        <v>#REF!</v>
      </c>
      <c r="V1034" s="43" t="e">
        <f>IF(Planning[[#This Row],[Horas Planificadas]]&lt;&gt;0,Planning[[#This Row],[Horas utilizadas]]/Planning[[#This Row],[Horas Planificadas]],0)</f>
        <v>#REF!</v>
      </c>
      <c r="W1034" s="44">
        <f>Planning[[#This Row],[Horas Planificadas]]+Planning[[#This Row],[Horas ajustadas adicionales]]</f>
        <v>36</v>
      </c>
      <c r="X1034" s="142"/>
    </row>
    <row r="1035" spans="1:24" ht="12.75" customHeight="1" x14ac:dyDescent="0.2">
      <c r="A1035" s="7"/>
      <c r="B1035" s="7"/>
      <c r="C1035" s="3"/>
      <c r="D1035" s="3" t="s">
        <v>283</v>
      </c>
      <c r="E1035" s="33" t="s">
        <v>28</v>
      </c>
      <c r="F1035" s="3"/>
      <c r="G1035" s="7"/>
      <c r="H1035" s="7">
        <v>0</v>
      </c>
      <c r="I1035" s="12"/>
      <c r="J1035" s="5" t="e">
        <f>+SUMIFS(#REF!,#REF!,Planning[[#This Row],[Tarifa]],#REF!,Planning[[#This Row],[Proyectos]])</f>
        <v>#REF!</v>
      </c>
      <c r="K1035" s="5" t="e">
        <f>Planning[[#This Row],[Horas Planificadas]]+Planning[[#This Row],[Horas ajustadas adicionales]]-Planning[[#This Row],[Horas utilizadas]]</f>
        <v>#REF!</v>
      </c>
      <c r="L1035" s="7"/>
      <c r="M1035" s="19" t="e">
        <f>Planning[[#This Row],[Saldo]]-Planning[[#This Row],[Saldo estimado]]</f>
        <v>#REF!</v>
      </c>
      <c r="N1035" s="60" t="e">
        <f>+SUMIFS(#REF!,#REF!,Planning[[#This Row],[Proyectos]],#REF!,Planning[[#This Row],[Tipo de Tarea y especialidad]])</f>
        <v>#REF!</v>
      </c>
      <c r="O1035" s="19">
        <f t="shared" si="32"/>
        <v>10</v>
      </c>
      <c r="P1035" s="19">
        <f t="shared" si="33"/>
        <v>2024</v>
      </c>
      <c r="Q1035" s="19" t="e">
        <f>+SUMIFS(#REF!,#REF!,Planning[[#This Row],[Tarifa]],#REF!,Planning[[#This Row],[Proyectos]],#REF!,Planning[[#This Row],[Mes]],#REF!,Planning[[#This Row],[Año]])</f>
        <v>#REF!</v>
      </c>
      <c r="R1035" s="19" t="str">
        <f>TEXT(Planning[[#This Row],[Mes]]*29,"mmmm")</f>
        <v>October</v>
      </c>
      <c r="S10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35" s="228"/>
      <c r="U1035" s="43">
        <f>IF(Planning[[#This Row],[Horas Planificadas]]&lt;&gt;0,+K1035/Planning[[#This Row],[Horas Planificadas]],0)</f>
        <v>0</v>
      </c>
      <c r="V1035" s="43">
        <f>IF(Planning[[#This Row],[Horas Planificadas]]&lt;&gt;0,Planning[[#This Row],[Horas utilizadas]]/Planning[[#This Row],[Horas Planificadas]],0)</f>
        <v>0</v>
      </c>
      <c r="W1035" s="44">
        <f>Planning[[#This Row],[Horas Planificadas]]+Planning[[#This Row],[Horas ajustadas adicionales]]</f>
        <v>0</v>
      </c>
      <c r="X1035" s="142"/>
    </row>
    <row r="1036" spans="1:24" ht="12.75" customHeight="1" x14ac:dyDescent="0.2">
      <c r="A1036" s="7"/>
      <c r="B1036" s="7"/>
      <c r="C1036" s="3"/>
      <c r="D1036" s="3" t="s">
        <v>283</v>
      </c>
      <c r="E1036" s="33" t="s">
        <v>30</v>
      </c>
      <c r="F1036" s="3"/>
      <c r="G1036" s="7"/>
      <c r="H1036" s="7">
        <v>60</v>
      </c>
      <c r="I1036" s="12"/>
      <c r="J1036" s="5" t="e">
        <f>+SUMIFS(#REF!,#REF!,Planning[[#This Row],[Tarifa]],#REF!,Planning[[#This Row],[Proyectos]])</f>
        <v>#REF!</v>
      </c>
      <c r="K1036" s="5" t="e">
        <f>Planning[[#This Row],[Horas Planificadas]]+Planning[[#This Row],[Horas ajustadas adicionales]]-Planning[[#This Row],[Horas utilizadas]]</f>
        <v>#REF!</v>
      </c>
      <c r="L1036" s="7"/>
      <c r="M1036" s="19" t="e">
        <f>Planning[[#This Row],[Saldo]]-Planning[[#This Row],[Saldo estimado]]</f>
        <v>#REF!</v>
      </c>
      <c r="N1036" s="60" t="e">
        <f>+SUMIFS(#REF!,#REF!,Planning[[#This Row],[Proyectos]],#REF!,Planning[[#This Row],[Tipo de Tarea y especialidad]])</f>
        <v>#REF!</v>
      </c>
      <c r="O1036" s="19">
        <f t="shared" si="32"/>
        <v>10</v>
      </c>
      <c r="P1036" s="19">
        <f t="shared" si="33"/>
        <v>2024</v>
      </c>
      <c r="Q1036" s="19" t="e">
        <f>+SUMIFS(#REF!,#REF!,Planning[[#This Row],[Tarifa]],#REF!,Planning[[#This Row],[Proyectos]],#REF!,Planning[[#This Row],[Mes]],#REF!,Planning[[#This Row],[Año]])</f>
        <v>#REF!</v>
      </c>
      <c r="R1036" s="19" t="str">
        <f>TEXT(Planning[[#This Row],[Mes]]*29,"mmmm")</f>
        <v>October</v>
      </c>
      <c r="S10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36" s="228"/>
      <c r="U1036" s="43" t="e">
        <f>IF(Planning[[#This Row],[Horas Planificadas]]&lt;&gt;0,+K1036/Planning[[#This Row],[Horas Planificadas]],0)</f>
        <v>#REF!</v>
      </c>
      <c r="V1036" s="43" t="e">
        <f>IF(Planning[[#This Row],[Horas Planificadas]]&lt;&gt;0,Planning[[#This Row],[Horas utilizadas]]/Planning[[#This Row],[Horas Planificadas]],0)</f>
        <v>#REF!</v>
      </c>
      <c r="W1036" s="44">
        <f>Planning[[#This Row],[Horas Planificadas]]+Planning[[#This Row],[Horas ajustadas adicionales]]</f>
        <v>60</v>
      </c>
      <c r="X1036" s="142"/>
    </row>
    <row r="1037" spans="1:24" ht="12.75" customHeight="1" x14ac:dyDescent="0.2">
      <c r="A1037" s="7"/>
      <c r="B1037" s="7"/>
      <c r="C1037" s="3"/>
      <c r="D1037" s="3" t="s">
        <v>283</v>
      </c>
      <c r="E1037" s="33" t="s">
        <v>31</v>
      </c>
      <c r="F1037" s="3"/>
      <c r="G1037" s="7"/>
      <c r="H1037" s="7">
        <v>12</v>
      </c>
      <c r="I1037" s="12"/>
      <c r="J1037" s="5" t="e">
        <f>+SUMIFS(#REF!,#REF!,Planning[[#This Row],[Tarifa]],#REF!,Planning[[#This Row],[Proyectos]])</f>
        <v>#REF!</v>
      </c>
      <c r="K1037" s="5" t="e">
        <f>Planning[[#This Row],[Horas Planificadas]]+Planning[[#This Row],[Horas ajustadas adicionales]]-Planning[[#This Row],[Horas utilizadas]]</f>
        <v>#REF!</v>
      </c>
      <c r="L1037" s="7"/>
      <c r="M1037" s="19" t="e">
        <f>Planning[[#This Row],[Saldo]]-Planning[[#This Row],[Saldo estimado]]</f>
        <v>#REF!</v>
      </c>
      <c r="N1037" s="60" t="e">
        <f>+SUMIFS(#REF!,#REF!,Planning[[#This Row],[Proyectos]],#REF!,Planning[[#This Row],[Tipo de Tarea y especialidad]])</f>
        <v>#REF!</v>
      </c>
      <c r="O1037" s="19">
        <f t="shared" si="32"/>
        <v>10</v>
      </c>
      <c r="P1037" s="19">
        <f t="shared" si="33"/>
        <v>2024</v>
      </c>
      <c r="Q1037" s="19" t="e">
        <f>+SUMIFS(#REF!,#REF!,Planning[[#This Row],[Tarifa]],#REF!,Planning[[#This Row],[Proyectos]],#REF!,Planning[[#This Row],[Mes]],#REF!,Planning[[#This Row],[Año]])</f>
        <v>#REF!</v>
      </c>
      <c r="R1037" s="19" t="str">
        <f>TEXT(Planning[[#This Row],[Mes]]*29,"mmmm")</f>
        <v>October</v>
      </c>
      <c r="S10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37" s="228"/>
      <c r="U1037" s="43" t="e">
        <f>IF(Planning[[#This Row],[Horas Planificadas]]&lt;&gt;0,+K1037/Planning[[#This Row],[Horas Planificadas]],0)</f>
        <v>#REF!</v>
      </c>
      <c r="V1037" s="43" t="e">
        <f>IF(Planning[[#This Row],[Horas Planificadas]]&lt;&gt;0,Planning[[#This Row],[Horas utilizadas]]/Planning[[#This Row],[Horas Planificadas]],0)</f>
        <v>#REF!</v>
      </c>
      <c r="W1037" s="44">
        <f>Planning[[#This Row],[Horas Planificadas]]+Planning[[#This Row],[Horas ajustadas adicionales]]</f>
        <v>12</v>
      </c>
      <c r="X1037" s="142"/>
    </row>
    <row r="1038" spans="1:24" ht="12.75" customHeight="1" x14ac:dyDescent="0.2">
      <c r="A1038" s="7"/>
      <c r="B1038" s="7"/>
      <c r="C1038" s="3"/>
      <c r="D1038" s="3" t="s">
        <v>283</v>
      </c>
      <c r="E1038" s="33" t="s">
        <v>32</v>
      </c>
      <c r="F1038" s="3"/>
      <c r="G1038" s="7"/>
      <c r="H1038" s="7">
        <v>31</v>
      </c>
      <c r="I1038" s="12"/>
      <c r="J1038" s="5" t="e">
        <f>+SUMIFS(#REF!,#REF!,Planning[[#This Row],[Tarifa]],#REF!,Planning[[#This Row],[Proyectos]])</f>
        <v>#REF!</v>
      </c>
      <c r="K1038" s="5" t="e">
        <f>Planning[[#This Row],[Horas Planificadas]]+Planning[[#This Row],[Horas ajustadas adicionales]]-Planning[[#This Row],[Horas utilizadas]]</f>
        <v>#REF!</v>
      </c>
      <c r="L1038" s="7"/>
      <c r="M1038" s="19" t="e">
        <f>Planning[[#This Row],[Saldo]]-Planning[[#This Row],[Saldo estimado]]</f>
        <v>#REF!</v>
      </c>
      <c r="N1038" s="60" t="e">
        <f>+SUMIFS(#REF!,#REF!,Planning[[#This Row],[Proyectos]],#REF!,Planning[[#This Row],[Tipo de Tarea y especialidad]])</f>
        <v>#REF!</v>
      </c>
      <c r="O1038" s="19">
        <f t="shared" si="32"/>
        <v>10</v>
      </c>
      <c r="P1038" s="19">
        <f t="shared" si="33"/>
        <v>2024</v>
      </c>
      <c r="Q1038" s="19" t="e">
        <f>+SUMIFS(#REF!,#REF!,Planning[[#This Row],[Tarifa]],#REF!,Planning[[#This Row],[Proyectos]],#REF!,Planning[[#This Row],[Mes]],#REF!,Planning[[#This Row],[Año]])</f>
        <v>#REF!</v>
      </c>
      <c r="R1038" s="19" t="str">
        <f>TEXT(Planning[[#This Row],[Mes]]*29,"mmmm")</f>
        <v>October</v>
      </c>
      <c r="S10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38" s="228"/>
      <c r="U1038" s="43" t="e">
        <f>IF(Planning[[#This Row],[Horas Planificadas]]&lt;&gt;0,+K1038/Planning[[#This Row],[Horas Planificadas]],0)</f>
        <v>#REF!</v>
      </c>
      <c r="V1038" s="43" t="e">
        <f>IF(Planning[[#This Row],[Horas Planificadas]]&lt;&gt;0,Planning[[#This Row],[Horas utilizadas]]/Planning[[#This Row],[Horas Planificadas]],0)</f>
        <v>#REF!</v>
      </c>
      <c r="W1038" s="44">
        <f>Planning[[#This Row],[Horas Planificadas]]+Planning[[#This Row],[Horas ajustadas adicionales]]</f>
        <v>31</v>
      </c>
      <c r="X1038" s="142"/>
    </row>
    <row r="1039" spans="1:24" ht="12.75" customHeight="1" x14ac:dyDescent="0.2">
      <c r="A1039" s="7"/>
      <c r="B1039" s="7"/>
      <c r="C1039" s="3"/>
      <c r="D1039" s="3" t="s">
        <v>284</v>
      </c>
      <c r="E1039" s="4" t="s">
        <v>28</v>
      </c>
      <c r="F1039" s="3"/>
      <c r="G1039" s="9"/>
      <c r="H1039" s="12">
        <v>0</v>
      </c>
      <c r="I1039" s="12"/>
      <c r="J1039" s="5" t="e">
        <f>+SUMIFS(#REF!,#REF!,Planning[[#This Row],[Tarifa]],#REF!,Planning[[#This Row],[Proyectos]])</f>
        <v>#REF!</v>
      </c>
      <c r="K1039" s="27" t="e">
        <f>Planning[[#This Row],[Horas Planificadas]]+Planning[[#This Row],[Horas ajustadas adicionales]]-Planning[[#This Row],[Horas utilizadas]]</f>
        <v>#REF!</v>
      </c>
      <c r="L1039" s="7"/>
      <c r="M1039" s="34" t="e">
        <f>Planning[[#This Row],[Saldo]]-Planning[[#This Row],[Saldo estimado]]</f>
        <v>#REF!</v>
      </c>
      <c r="N1039" s="62" t="e">
        <f>+SUMIFS(#REF!,#REF!,Planning[[#This Row],[Proyectos]],#REF!,Planning[[#This Row],[Tipo de Tarea y especialidad]])</f>
        <v>#REF!</v>
      </c>
      <c r="O1039" s="34">
        <f t="shared" si="32"/>
        <v>10</v>
      </c>
      <c r="P1039" s="34">
        <f t="shared" si="33"/>
        <v>2024</v>
      </c>
      <c r="Q1039" s="34" t="e">
        <f>+SUMIFS(#REF!,#REF!,Planning[[#This Row],[Tarifa]],#REF!,Planning[[#This Row],[Proyectos]],#REF!,Planning[[#This Row],[Mes]],#REF!,Planning[[#This Row],[Año]])</f>
        <v>#REF!</v>
      </c>
      <c r="R1039" s="34" t="str">
        <f>TEXT(Planning[[#This Row],[Mes]]*29,"mmmm")</f>
        <v>October</v>
      </c>
      <c r="S103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39" s="228"/>
      <c r="U1039" s="43">
        <f>IF(Planning[[#This Row],[Horas Planificadas]]&lt;&gt;0,+K1039/Planning[[#This Row],[Horas Planificadas]],0)</f>
        <v>0</v>
      </c>
      <c r="V1039" s="43">
        <f>IF(Planning[[#This Row],[Horas Planificadas]]&lt;&gt;0,Planning[[#This Row],[Horas utilizadas]]/Planning[[#This Row],[Horas Planificadas]],0)</f>
        <v>0</v>
      </c>
      <c r="W1039" s="44">
        <f>Planning[[#This Row],[Horas Planificadas]]+Planning[[#This Row],[Horas ajustadas adicionales]]</f>
        <v>0</v>
      </c>
      <c r="X1039" s="142"/>
    </row>
    <row r="1040" spans="1:24" ht="12.75" customHeight="1" x14ac:dyDescent="0.2">
      <c r="A1040" s="7"/>
      <c r="B1040" s="7"/>
      <c r="C1040" s="3"/>
      <c r="D1040" s="3" t="s">
        <v>284</v>
      </c>
      <c r="E1040" s="4" t="s">
        <v>30</v>
      </c>
      <c r="F1040" s="3"/>
      <c r="G1040" s="9"/>
      <c r="H1040" s="9">
        <v>40</v>
      </c>
      <c r="I1040" s="12"/>
      <c r="J1040" s="5" t="e">
        <f>+SUMIFS(#REF!,#REF!,Planning[[#This Row],[Tarifa]],#REF!,Planning[[#This Row],[Proyectos]])</f>
        <v>#REF!</v>
      </c>
      <c r="K1040" s="5" t="e">
        <f>Planning[[#This Row],[Horas Planificadas]]+Planning[[#This Row],[Horas ajustadas adicionales]]-Planning[[#This Row],[Horas utilizadas]]</f>
        <v>#REF!</v>
      </c>
      <c r="L1040" s="7"/>
      <c r="M1040" s="19" t="e">
        <f>Planning[[#This Row],[Saldo]]-Planning[[#This Row],[Saldo estimado]]</f>
        <v>#REF!</v>
      </c>
      <c r="N1040" s="60" t="e">
        <f>+SUMIFS(#REF!,#REF!,Planning[[#This Row],[Proyectos]],#REF!,Planning[[#This Row],[Tipo de Tarea y especialidad]])</f>
        <v>#REF!</v>
      </c>
      <c r="O1040" s="19">
        <f t="shared" si="32"/>
        <v>10</v>
      </c>
      <c r="P1040" s="19">
        <f t="shared" si="33"/>
        <v>2024</v>
      </c>
      <c r="Q1040" s="19" t="e">
        <f>+SUMIFS(#REF!,#REF!,Planning[[#This Row],[Tarifa]],#REF!,Planning[[#This Row],[Proyectos]],#REF!,Planning[[#This Row],[Mes]],#REF!,Planning[[#This Row],[Año]])</f>
        <v>#REF!</v>
      </c>
      <c r="R1040" s="19" t="str">
        <f>TEXT(Planning[[#This Row],[Mes]]*29,"mmmm")</f>
        <v>October</v>
      </c>
      <c r="S10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40" s="228"/>
      <c r="U1040" s="43" t="e">
        <f>IF(Planning[[#This Row],[Horas Planificadas]]&lt;&gt;0,+K1040/Planning[[#This Row],[Horas Planificadas]],0)</f>
        <v>#REF!</v>
      </c>
      <c r="V1040" s="43" t="e">
        <f>IF(Planning[[#This Row],[Horas Planificadas]]&lt;&gt;0,Planning[[#This Row],[Horas utilizadas]]/Planning[[#This Row],[Horas Planificadas]],0)</f>
        <v>#REF!</v>
      </c>
      <c r="W1040" s="44">
        <f>Planning[[#This Row],[Horas Planificadas]]+Planning[[#This Row],[Horas ajustadas adicionales]]</f>
        <v>40</v>
      </c>
      <c r="X1040" s="142"/>
    </row>
    <row r="1041" spans="1:24" ht="12.75" customHeight="1" x14ac:dyDescent="0.2">
      <c r="A1041" s="7"/>
      <c r="B1041" s="7"/>
      <c r="C1041" s="3"/>
      <c r="D1041" s="3" t="s">
        <v>284</v>
      </c>
      <c r="E1041" s="4" t="s">
        <v>31</v>
      </c>
      <c r="F1041" s="3"/>
      <c r="G1041" s="9"/>
      <c r="H1041" s="9">
        <v>7</v>
      </c>
      <c r="I1041" s="12"/>
      <c r="J1041" s="5" t="e">
        <f>+SUMIFS(#REF!,#REF!,Planning[[#This Row],[Tarifa]],#REF!,Planning[[#This Row],[Proyectos]])</f>
        <v>#REF!</v>
      </c>
      <c r="K1041" s="5" t="e">
        <f>Planning[[#This Row],[Horas Planificadas]]+Planning[[#This Row],[Horas ajustadas adicionales]]-Planning[[#This Row],[Horas utilizadas]]</f>
        <v>#REF!</v>
      </c>
      <c r="L1041" s="7"/>
      <c r="M1041" s="19" t="e">
        <f>Planning[[#This Row],[Saldo]]-Planning[[#This Row],[Saldo estimado]]</f>
        <v>#REF!</v>
      </c>
      <c r="N1041" s="60" t="e">
        <f>+SUMIFS(#REF!,#REF!,Planning[[#This Row],[Proyectos]],#REF!,Planning[[#This Row],[Tipo de Tarea y especialidad]])</f>
        <v>#REF!</v>
      </c>
      <c r="O1041" s="19">
        <f t="shared" si="32"/>
        <v>10</v>
      </c>
      <c r="P1041" s="19">
        <f t="shared" si="33"/>
        <v>2024</v>
      </c>
      <c r="Q1041" s="19" t="e">
        <f>+SUMIFS(#REF!,#REF!,Planning[[#This Row],[Tarifa]],#REF!,Planning[[#This Row],[Proyectos]],#REF!,Planning[[#This Row],[Mes]],#REF!,Planning[[#This Row],[Año]])</f>
        <v>#REF!</v>
      </c>
      <c r="R1041" s="19" t="str">
        <f>TEXT(Planning[[#This Row],[Mes]]*29,"mmmm")</f>
        <v>October</v>
      </c>
      <c r="S10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41" s="228"/>
      <c r="U1041" s="43" t="e">
        <f>IF(Planning[[#This Row],[Horas Planificadas]]&lt;&gt;0,+K1041/Planning[[#This Row],[Horas Planificadas]],0)</f>
        <v>#REF!</v>
      </c>
      <c r="V1041" s="43" t="e">
        <f>IF(Planning[[#This Row],[Horas Planificadas]]&lt;&gt;0,Planning[[#This Row],[Horas utilizadas]]/Planning[[#This Row],[Horas Planificadas]],0)</f>
        <v>#REF!</v>
      </c>
      <c r="W1041" s="44">
        <f>Planning[[#This Row],[Horas Planificadas]]+Planning[[#This Row],[Horas ajustadas adicionales]]</f>
        <v>7</v>
      </c>
      <c r="X1041" s="142"/>
    </row>
    <row r="1042" spans="1:24" ht="12.75" customHeight="1" x14ac:dyDescent="0.2">
      <c r="A1042" s="7"/>
      <c r="B1042" s="7"/>
      <c r="C1042" s="3"/>
      <c r="D1042" s="3" t="s">
        <v>284</v>
      </c>
      <c r="E1042" s="4" t="s">
        <v>32</v>
      </c>
      <c r="F1042" s="3"/>
      <c r="G1042" s="9"/>
      <c r="H1042" s="12">
        <v>45</v>
      </c>
      <c r="I1042" s="12"/>
      <c r="J1042" s="5" t="e">
        <f>+SUMIFS(#REF!,#REF!,Planning[[#This Row],[Tarifa]],#REF!,Planning[[#This Row],[Proyectos]])</f>
        <v>#REF!</v>
      </c>
      <c r="K1042" s="27" t="e">
        <f>Planning[[#This Row],[Horas Planificadas]]+Planning[[#This Row],[Horas ajustadas adicionales]]-Planning[[#This Row],[Horas utilizadas]]</f>
        <v>#REF!</v>
      </c>
      <c r="L1042" s="7"/>
      <c r="M1042" s="19" t="e">
        <f>Planning[[#This Row],[Saldo]]-Planning[[#This Row],[Saldo estimado]]</f>
        <v>#REF!</v>
      </c>
      <c r="N1042" s="60" t="e">
        <f>+SUMIFS(#REF!,#REF!,Planning[[#This Row],[Proyectos]],#REF!,Planning[[#This Row],[Tipo de Tarea y especialidad]])</f>
        <v>#REF!</v>
      </c>
      <c r="O1042" s="19">
        <f t="shared" si="32"/>
        <v>10</v>
      </c>
      <c r="P1042" s="19">
        <f t="shared" si="33"/>
        <v>2024</v>
      </c>
      <c r="Q1042" s="19" t="e">
        <f>+SUMIFS(#REF!,#REF!,Planning[[#This Row],[Tarifa]],#REF!,Planning[[#This Row],[Proyectos]],#REF!,Planning[[#This Row],[Mes]],#REF!,Planning[[#This Row],[Año]])</f>
        <v>#REF!</v>
      </c>
      <c r="R1042" s="19" t="str">
        <f>TEXT(Planning[[#This Row],[Mes]]*29,"mmmm")</f>
        <v>October</v>
      </c>
      <c r="S10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42" s="228"/>
      <c r="U1042" s="43" t="e">
        <f>IF(Planning[[#This Row],[Horas Planificadas]]&lt;&gt;0,+K1042/Planning[[#This Row],[Horas Planificadas]],0)</f>
        <v>#REF!</v>
      </c>
      <c r="V1042" s="43" t="e">
        <f>IF(Planning[[#This Row],[Horas Planificadas]]&lt;&gt;0,Planning[[#This Row],[Horas utilizadas]]/Planning[[#This Row],[Horas Planificadas]],0)</f>
        <v>#REF!</v>
      </c>
      <c r="W1042" s="44">
        <f>Planning[[#This Row],[Horas Planificadas]]+Planning[[#This Row],[Horas ajustadas adicionales]]</f>
        <v>45</v>
      </c>
      <c r="X1042" s="142"/>
    </row>
    <row r="1043" spans="1:24" ht="12.75" customHeight="1" x14ac:dyDescent="0.2">
      <c r="A1043" s="7"/>
      <c r="B1043" s="7"/>
      <c r="C1043" s="3"/>
      <c r="D1043" s="3" t="s">
        <v>285</v>
      </c>
      <c r="E1043" s="4" t="s">
        <v>28</v>
      </c>
      <c r="F1043" s="3"/>
      <c r="G1043" s="9"/>
      <c r="H1043" s="9">
        <v>126</v>
      </c>
      <c r="I1043" s="12"/>
      <c r="J1043" s="5" t="e">
        <f>+SUMIFS(#REF!,#REF!,Planning[[#This Row],[Tarifa]],#REF!,Planning[[#This Row],[Proyectos]])</f>
        <v>#REF!</v>
      </c>
      <c r="K1043" s="5" t="e">
        <f>Planning[[#This Row],[Horas Planificadas]]+Planning[[#This Row],[Horas ajustadas adicionales]]-Planning[[#This Row],[Horas utilizadas]]</f>
        <v>#REF!</v>
      </c>
      <c r="L1043" s="7"/>
      <c r="M1043" s="19" t="e">
        <f>Planning[[#This Row],[Saldo]]-Planning[[#This Row],[Saldo estimado]]</f>
        <v>#REF!</v>
      </c>
      <c r="N1043" s="60" t="e">
        <f>+SUMIFS(#REF!,#REF!,Planning[[#This Row],[Proyectos]],#REF!,Planning[[#This Row],[Tipo de Tarea y especialidad]])</f>
        <v>#REF!</v>
      </c>
      <c r="O1043" s="19">
        <f t="shared" si="32"/>
        <v>10</v>
      </c>
      <c r="P1043" s="19">
        <f t="shared" si="33"/>
        <v>2024</v>
      </c>
      <c r="Q1043" s="19" t="e">
        <f>+SUMIFS(#REF!,#REF!,Planning[[#This Row],[Tarifa]],#REF!,Planning[[#This Row],[Proyectos]],#REF!,Planning[[#This Row],[Mes]],#REF!,Planning[[#This Row],[Año]])</f>
        <v>#REF!</v>
      </c>
      <c r="R1043" s="19" t="str">
        <f>TEXT(Planning[[#This Row],[Mes]]*29,"mmmm")</f>
        <v>October</v>
      </c>
      <c r="S10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43" s="228"/>
      <c r="U1043" s="43" t="e">
        <f>IF(Planning[[#This Row],[Horas Planificadas]]&lt;&gt;0,+K1043/Planning[[#This Row],[Horas Planificadas]],0)</f>
        <v>#REF!</v>
      </c>
      <c r="V1043" s="43" t="e">
        <f>IF(Planning[[#This Row],[Horas Planificadas]]&lt;&gt;0,Planning[[#This Row],[Horas utilizadas]]/Planning[[#This Row],[Horas Planificadas]],0)</f>
        <v>#REF!</v>
      </c>
      <c r="W1043" s="44">
        <f>Planning[[#This Row],[Horas Planificadas]]+Planning[[#This Row],[Horas ajustadas adicionales]]</f>
        <v>126</v>
      </c>
      <c r="X1043" s="142"/>
    </row>
    <row r="1044" spans="1:24" ht="12.75" customHeight="1" x14ac:dyDescent="0.2">
      <c r="A1044" s="7"/>
      <c r="B1044" s="7"/>
      <c r="C1044" s="3"/>
      <c r="D1044" s="3" t="s">
        <v>285</v>
      </c>
      <c r="E1044" s="4" t="s">
        <v>30</v>
      </c>
      <c r="F1044" s="3"/>
      <c r="G1044" s="9"/>
      <c r="H1044" s="9">
        <v>154</v>
      </c>
      <c r="I1044" s="12"/>
      <c r="J1044" s="5" t="e">
        <f>+SUMIFS(#REF!,#REF!,Planning[[#This Row],[Tarifa]],#REF!,Planning[[#This Row],[Proyectos]])</f>
        <v>#REF!</v>
      </c>
      <c r="K1044" s="5" t="e">
        <f>Planning[[#This Row],[Horas Planificadas]]+Planning[[#This Row],[Horas ajustadas adicionales]]-Planning[[#This Row],[Horas utilizadas]]</f>
        <v>#REF!</v>
      </c>
      <c r="L1044" s="7"/>
      <c r="M1044" s="19" t="e">
        <f>Planning[[#This Row],[Saldo]]-Planning[[#This Row],[Saldo estimado]]</f>
        <v>#REF!</v>
      </c>
      <c r="N1044" s="60" t="e">
        <f>+SUMIFS(#REF!,#REF!,Planning[[#This Row],[Proyectos]],#REF!,Planning[[#This Row],[Tipo de Tarea y especialidad]])</f>
        <v>#REF!</v>
      </c>
      <c r="O1044" s="19">
        <f t="shared" si="32"/>
        <v>10</v>
      </c>
      <c r="P1044" s="19">
        <f t="shared" si="33"/>
        <v>2024</v>
      </c>
      <c r="Q1044" s="19" t="e">
        <f>+SUMIFS(#REF!,#REF!,Planning[[#This Row],[Tarifa]],#REF!,Planning[[#This Row],[Proyectos]],#REF!,Planning[[#This Row],[Mes]],#REF!,Planning[[#This Row],[Año]])</f>
        <v>#REF!</v>
      </c>
      <c r="R1044" s="19" t="str">
        <f>TEXT(Planning[[#This Row],[Mes]]*29,"mmmm")</f>
        <v>October</v>
      </c>
      <c r="S10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44" s="228"/>
      <c r="U1044" s="43" t="e">
        <f>IF(Planning[[#This Row],[Horas Planificadas]]&lt;&gt;0,+K1044/Planning[[#This Row],[Horas Planificadas]],0)</f>
        <v>#REF!</v>
      </c>
      <c r="V1044" s="43" t="e">
        <f>IF(Planning[[#This Row],[Horas Planificadas]]&lt;&gt;0,Planning[[#This Row],[Horas utilizadas]]/Planning[[#This Row],[Horas Planificadas]],0)</f>
        <v>#REF!</v>
      </c>
      <c r="W1044" s="44">
        <f>Planning[[#This Row],[Horas Planificadas]]+Planning[[#This Row],[Horas ajustadas adicionales]]</f>
        <v>154</v>
      </c>
      <c r="X1044" s="142"/>
    </row>
    <row r="1045" spans="1:24" ht="12.75" customHeight="1" x14ac:dyDescent="0.2">
      <c r="A1045" s="7"/>
      <c r="B1045" s="7"/>
      <c r="C1045" s="3"/>
      <c r="D1045" s="3" t="s">
        <v>285</v>
      </c>
      <c r="E1045" s="4" t="s">
        <v>31</v>
      </c>
      <c r="F1045" s="3"/>
      <c r="G1045" s="9"/>
      <c r="H1045" s="9">
        <v>61</v>
      </c>
      <c r="I1045" s="12"/>
      <c r="J1045" s="5" t="e">
        <f>+SUMIFS(#REF!,#REF!,Planning[[#This Row],[Tarifa]],#REF!,Planning[[#This Row],[Proyectos]])</f>
        <v>#REF!</v>
      </c>
      <c r="K1045" s="5" t="e">
        <f>Planning[[#This Row],[Horas Planificadas]]+Planning[[#This Row],[Horas ajustadas adicionales]]-Planning[[#This Row],[Horas utilizadas]]</f>
        <v>#REF!</v>
      </c>
      <c r="L1045" s="7"/>
      <c r="M1045" s="19" t="e">
        <f>Planning[[#This Row],[Saldo]]-Planning[[#This Row],[Saldo estimado]]</f>
        <v>#REF!</v>
      </c>
      <c r="N1045" s="60" t="e">
        <f>+SUMIFS(#REF!,#REF!,Planning[[#This Row],[Proyectos]],#REF!,Planning[[#This Row],[Tipo de Tarea y especialidad]])</f>
        <v>#REF!</v>
      </c>
      <c r="O1045" s="19">
        <f t="shared" si="32"/>
        <v>10</v>
      </c>
      <c r="P1045" s="19">
        <f t="shared" si="33"/>
        <v>2024</v>
      </c>
      <c r="Q1045" s="19" t="e">
        <f>+SUMIFS(#REF!,#REF!,Planning[[#This Row],[Tarifa]],#REF!,Planning[[#This Row],[Proyectos]],#REF!,Planning[[#This Row],[Mes]],#REF!,Planning[[#This Row],[Año]])</f>
        <v>#REF!</v>
      </c>
      <c r="R1045" s="19" t="str">
        <f>TEXT(Planning[[#This Row],[Mes]]*29,"mmmm")</f>
        <v>October</v>
      </c>
      <c r="S10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45" s="228"/>
      <c r="U1045" s="43" t="e">
        <f>IF(Planning[[#This Row],[Horas Planificadas]]&lt;&gt;0,+K1045/Planning[[#This Row],[Horas Planificadas]],0)</f>
        <v>#REF!</v>
      </c>
      <c r="V1045" s="43" t="e">
        <f>IF(Planning[[#This Row],[Horas Planificadas]]&lt;&gt;0,Planning[[#This Row],[Horas utilizadas]]/Planning[[#This Row],[Horas Planificadas]],0)</f>
        <v>#REF!</v>
      </c>
      <c r="W1045" s="44">
        <f>Planning[[#This Row],[Horas Planificadas]]+Planning[[#This Row],[Horas ajustadas adicionales]]</f>
        <v>61</v>
      </c>
      <c r="X1045" s="142"/>
    </row>
    <row r="1046" spans="1:24" ht="12.75" customHeight="1" x14ac:dyDescent="0.2">
      <c r="A1046" s="7"/>
      <c r="B1046" s="7"/>
      <c r="C1046" s="3"/>
      <c r="D1046" s="3" t="s">
        <v>285</v>
      </c>
      <c r="E1046" s="4" t="s">
        <v>32</v>
      </c>
      <c r="F1046" s="3"/>
      <c r="G1046" s="9"/>
      <c r="H1046" s="9">
        <v>54</v>
      </c>
      <c r="I1046" s="12"/>
      <c r="J1046" s="5" t="e">
        <f>+SUMIFS(#REF!,#REF!,Planning[[#This Row],[Tarifa]],#REF!,Planning[[#This Row],[Proyectos]])</f>
        <v>#REF!</v>
      </c>
      <c r="K1046" s="5" t="e">
        <f>Planning[[#This Row],[Horas Planificadas]]+Planning[[#This Row],[Horas ajustadas adicionales]]-Planning[[#This Row],[Horas utilizadas]]</f>
        <v>#REF!</v>
      </c>
      <c r="L1046" s="7"/>
      <c r="M1046" s="19" t="e">
        <f>Planning[[#This Row],[Saldo]]-Planning[[#This Row],[Saldo estimado]]</f>
        <v>#REF!</v>
      </c>
      <c r="N1046" s="60" t="e">
        <f>+SUMIFS(#REF!,#REF!,Planning[[#This Row],[Proyectos]],#REF!,Planning[[#This Row],[Tipo de Tarea y especialidad]])</f>
        <v>#REF!</v>
      </c>
      <c r="O1046" s="19">
        <f t="shared" si="32"/>
        <v>10</v>
      </c>
      <c r="P1046" s="19">
        <f t="shared" si="33"/>
        <v>2024</v>
      </c>
      <c r="Q1046" s="19" t="e">
        <f>+SUMIFS(#REF!,#REF!,Planning[[#This Row],[Tarifa]],#REF!,Planning[[#This Row],[Proyectos]],#REF!,Planning[[#This Row],[Mes]],#REF!,Planning[[#This Row],[Año]])</f>
        <v>#REF!</v>
      </c>
      <c r="R1046" s="19" t="str">
        <f>TEXT(Planning[[#This Row],[Mes]]*29,"mmmm")</f>
        <v>October</v>
      </c>
      <c r="S10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46" s="228"/>
      <c r="U1046" s="43" t="e">
        <f>IF(Planning[[#This Row],[Horas Planificadas]]&lt;&gt;0,+K1046/Planning[[#This Row],[Horas Planificadas]],0)</f>
        <v>#REF!</v>
      </c>
      <c r="V1046" s="43" t="e">
        <f>IF(Planning[[#This Row],[Horas Planificadas]]&lt;&gt;0,Planning[[#This Row],[Horas utilizadas]]/Planning[[#This Row],[Horas Planificadas]],0)</f>
        <v>#REF!</v>
      </c>
      <c r="W1046" s="44">
        <f>Planning[[#This Row],[Horas Planificadas]]+Planning[[#This Row],[Horas ajustadas adicionales]]</f>
        <v>54</v>
      </c>
      <c r="X1046" s="142"/>
    </row>
    <row r="1047" spans="1:24" ht="12.75" customHeight="1" x14ac:dyDescent="0.2">
      <c r="A1047" s="7"/>
      <c r="B1047" s="7"/>
      <c r="C1047" s="3"/>
      <c r="D1047" s="3" t="s">
        <v>286</v>
      </c>
      <c r="E1047" s="4" t="s">
        <v>28</v>
      </c>
      <c r="F1047" s="3"/>
      <c r="G1047" s="9"/>
      <c r="H1047" s="9">
        <v>0</v>
      </c>
      <c r="I1047" s="12"/>
      <c r="J1047" s="5" t="e">
        <f>+SUMIFS(#REF!,#REF!,Planning[[#This Row],[Tarifa]],#REF!,Planning[[#This Row],[Proyectos]])</f>
        <v>#REF!</v>
      </c>
      <c r="K1047" s="5" t="e">
        <f>Planning[[#This Row],[Horas Planificadas]]+Planning[[#This Row],[Horas ajustadas adicionales]]-Planning[[#This Row],[Horas utilizadas]]</f>
        <v>#REF!</v>
      </c>
      <c r="L1047" s="7"/>
      <c r="M1047" s="19" t="e">
        <f>Planning[[#This Row],[Saldo]]-Planning[[#This Row],[Saldo estimado]]</f>
        <v>#REF!</v>
      </c>
      <c r="N1047" s="60" t="e">
        <f>+SUMIFS(#REF!,#REF!,Planning[[#This Row],[Proyectos]],#REF!,Planning[[#This Row],[Tipo de Tarea y especialidad]])</f>
        <v>#REF!</v>
      </c>
      <c r="O1047" s="19">
        <f t="shared" si="32"/>
        <v>10</v>
      </c>
      <c r="P1047" s="19">
        <f t="shared" si="33"/>
        <v>2024</v>
      </c>
      <c r="Q1047" s="19" t="e">
        <f>+SUMIFS(#REF!,#REF!,Planning[[#This Row],[Tarifa]],#REF!,Planning[[#This Row],[Proyectos]],#REF!,Planning[[#This Row],[Mes]],#REF!,Planning[[#This Row],[Año]])</f>
        <v>#REF!</v>
      </c>
      <c r="R1047" s="19" t="str">
        <f>TEXT(Planning[[#This Row],[Mes]]*29,"mmmm")</f>
        <v>October</v>
      </c>
      <c r="S10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47" s="228"/>
      <c r="U1047" s="43">
        <f>IF(Planning[[#This Row],[Horas Planificadas]]&lt;&gt;0,+K1047/Planning[[#This Row],[Horas Planificadas]],0)</f>
        <v>0</v>
      </c>
      <c r="V1047" s="43">
        <f>IF(Planning[[#This Row],[Horas Planificadas]]&lt;&gt;0,Planning[[#This Row],[Horas utilizadas]]/Planning[[#This Row],[Horas Planificadas]],0)</f>
        <v>0</v>
      </c>
      <c r="W1047" s="44">
        <f>Planning[[#This Row],[Horas Planificadas]]+Planning[[#This Row],[Horas ajustadas adicionales]]</f>
        <v>0</v>
      </c>
      <c r="X1047" s="142"/>
    </row>
    <row r="1048" spans="1:24" ht="12.75" customHeight="1" x14ac:dyDescent="0.2">
      <c r="A1048" s="7"/>
      <c r="B1048" s="7"/>
      <c r="C1048" s="3"/>
      <c r="D1048" s="3" t="s">
        <v>286</v>
      </c>
      <c r="E1048" s="4" t="s">
        <v>30</v>
      </c>
      <c r="F1048" s="3"/>
      <c r="G1048" s="9"/>
      <c r="H1048" s="9">
        <v>49</v>
      </c>
      <c r="I1048" s="12"/>
      <c r="J1048" s="5" t="e">
        <f>+SUMIFS(#REF!,#REF!,Planning[[#This Row],[Tarifa]],#REF!,Planning[[#This Row],[Proyectos]])</f>
        <v>#REF!</v>
      </c>
      <c r="K1048" s="5" t="e">
        <f>Planning[[#This Row],[Horas Planificadas]]+Planning[[#This Row],[Horas ajustadas adicionales]]-Planning[[#This Row],[Horas utilizadas]]</f>
        <v>#REF!</v>
      </c>
      <c r="L1048" s="7"/>
      <c r="M1048" s="19" t="e">
        <f>Planning[[#This Row],[Saldo]]-Planning[[#This Row],[Saldo estimado]]</f>
        <v>#REF!</v>
      </c>
      <c r="N1048" s="60" t="e">
        <f>+SUMIFS(#REF!,#REF!,Planning[[#This Row],[Proyectos]],#REF!,Planning[[#This Row],[Tipo de Tarea y especialidad]])</f>
        <v>#REF!</v>
      </c>
      <c r="O1048" s="19">
        <f t="shared" si="32"/>
        <v>10</v>
      </c>
      <c r="P1048" s="19">
        <f t="shared" si="33"/>
        <v>2024</v>
      </c>
      <c r="Q1048" s="19" t="e">
        <f>+SUMIFS(#REF!,#REF!,Planning[[#This Row],[Tarifa]],#REF!,Planning[[#This Row],[Proyectos]],#REF!,Planning[[#This Row],[Mes]],#REF!,Planning[[#This Row],[Año]])</f>
        <v>#REF!</v>
      </c>
      <c r="R1048" s="19" t="str">
        <f>TEXT(Planning[[#This Row],[Mes]]*29,"mmmm")</f>
        <v>October</v>
      </c>
      <c r="S10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48" s="228"/>
      <c r="U1048" s="43" t="e">
        <f>IF(Planning[[#This Row],[Horas Planificadas]]&lt;&gt;0,+K1048/Planning[[#This Row],[Horas Planificadas]],0)</f>
        <v>#REF!</v>
      </c>
      <c r="V1048" s="43" t="e">
        <f>IF(Planning[[#This Row],[Horas Planificadas]]&lt;&gt;0,Planning[[#This Row],[Horas utilizadas]]/Planning[[#This Row],[Horas Planificadas]],0)</f>
        <v>#REF!</v>
      </c>
      <c r="W1048" s="44">
        <f>Planning[[#This Row],[Horas Planificadas]]+Planning[[#This Row],[Horas ajustadas adicionales]]</f>
        <v>49</v>
      </c>
      <c r="X1048" s="142"/>
    </row>
    <row r="1049" spans="1:24" ht="12.75" customHeight="1" x14ac:dyDescent="0.2">
      <c r="A1049" s="7"/>
      <c r="B1049" s="7"/>
      <c r="C1049" s="3"/>
      <c r="D1049" s="3" t="s">
        <v>286</v>
      </c>
      <c r="E1049" s="4" t="s">
        <v>31</v>
      </c>
      <c r="F1049" s="3"/>
      <c r="G1049" s="9"/>
      <c r="H1049" s="9">
        <v>10</v>
      </c>
      <c r="I1049" s="12"/>
      <c r="J1049" s="5" t="e">
        <f>+SUMIFS(#REF!,#REF!,Planning[[#This Row],[Tarifa]],#REF!,Planning[[#This Row],[Proyectos]])</f>
        <v>#REF!</v>
      </c>
      <c r="K1049" s="5" t="e">
        <f>Planning[[#This Row],[Horas Planificadas]]+Planning[[#This Row],[Horas ajustadas adicionales]]-Planning[[#This Row],[Horas utilizadas]]</f>
        <v>#REF!</v>
      </c>
      <c r="L1049" s="7"/>
      <c r="M1049" s="19" t="e">
        <f>Planning[[#This Row],[Saldo]]-Planning[[#This Row],[Saldo estimado]]</f>
        <v>#REF!</v>
      </c>
      <c r="N1049" s="60" t="e">
        <f>+SUMIFS(#REF!,#REF!,Planning[[#This Row],[Proyectos]],#REF!,Planning[[#This Row],[Tipo de Tarea y especialidad]])</f>
        <v>#REF!</v>
      </c>
      <c r="O1049" s="19">
        <f t="shared" si="32"/>
        <v>10</v>
      </c>
      <c r="P1049" s="19">
        <f t="shared" si="33"/>
        <v>2024</v>
      </c>
      <c r="Q1049" s="19" t="e">
        <f>+SUMIFS(#REF!,#REF!,Planning[[#This Row],[Tarifa]],#REF!,Planning[[#This Row],[Proyectos]],#REF!,Planning[[#This Row],[Mes]],#REF!,Planning[[#This Row],[Año]])</f>
        <v>#REF!</v>
      </c>
      <c r="R1049" s="19" t="str">
        <f>TEXT(Planning[[#This Row],[Mes]]*29,"mmmm")</f>
        <v>October</v>
      </c>
      <c r="S10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49" s="228"/>
      <c r="U1049" s="43" t="e">
        <f>IF(Planning[[#This Row],[Horas Planificadas]]&lt;&gt;0,+K1049/Planning[[#This Row],[Horas Planificadas]],0)</f>
        <v>#REF!</v>
      </c>
      <c r="V1049" s="43" t="e">
        <f>IF(Planning[[#This Row],[Horas Planificadas]]&lt;&gt;0,Planning[[#This Row],[Horas utilizadas]]/Planning[[#This Row],[Horas Planificadas]],0)</f>
        <v>#REF!</v>
      </c>
      <c r="W1049" s="44">
        <f>Planning[[#This Row],[Horas Planificadas]]+Planning[[#This Row],[Horas ajustadas adicionales]]</f>
        <v>10</v>
      </c>
      <c r="X1049" s="142"/>
    </row>
    <row r="1050" spans="1:24" ht="12.75" customHeight="1" x14ac:dyDescent="0.2">
      <c r="A1050" s="7"/>
      <c r="B1050" s="7"/>
      <c r="C1050" s="3"/>
      <c r="D1050" s="3" t="s">
        <v>286</v>
      </c>
      <c r="E1050" s="4" t="s">
        <v>32</v>
      </c>
      <c r="F1050" s="3"/>
      <c r="G1050" s="9"/>
      <c r="H1050" s="9">
        <v>45</v>
      </c>
      <c r="I1050" s="12"/>
      <c r="J1050" s="5" t="e">
        <f>+SUMIFS(#REF!,#REF!,Planning[[#This Row],[Tarifa]],#REF!,Planning[[#This Row],[Proyectos]])</f>
        <v>#REF!</v>
      </c>
      <c r="K1050" s="5" t="e">
        <f>Planning[[#This Row],[Horas Planificadas]]+Planning[[#This Row],[Horas ajustadas adicionales]]-Planning[[#This Row],[Horas utilizadas]]</f>
        <v>#REF!</v>
      </c>
      <c r="L1050" s="7"/>
      <c r="M1050" s="19" t="e">
        <f>Planning[[#This Row],[Saldo]]-Planning[[#This Row],[Saldo estimado]]</f>
        <v>#REF!</v>
      </c>
      <c r="N1050" s="60" t="e">
        <f>+SUMIFS(#REF!,#REF!,Planning[[#This Row],[Proyectos]],#REF!,Planning[[#This Row],[Tipo de Tarea y especialidad]])</f>
        <v>#REF!</v>
      </c>
      <c r="O1050" s="19">
        <f t="shared" si="32"/>
        <v>10</v>
      </c>
      <c r="P1050" s="19">
        <f t="shared" si="33"/>
        <v>2024</v>
      </c>
      <c r="Q1050" s="19" t="e">
        <f>+SUMIFS(#REF!,#REF!,Planning[[#This Row],[Tarifa]],#REF!,Planning[[#This Row],[Proyectos]],#REF!,Planning[[#This Row],[Mes]],#REF!,Planning[[#This Row],[Año]])</f>
        <v>#REF!</v>
      </c>
      <c r="R1050" s="19" t="str">
        <f>TEXT(Planning[[#This Row],[Mes]]*29,"mmmm")</f>
        <v>October</v>
      </c>
      <c r="S10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50" s="228"/>
      <c r="U1050" s="43" t="e">
        <f>IF(Planning[[#This Row],[Horas Planificadas]]&lt;&gt;0,+K1050/Planning[[#This Row],[Horas Planificadas]],0)</f>
        <v>#REF!</v>
      </c>
      <c r="V1050" s="43" t="e">
        <f>IF(Planning[[#This Row],[Horas Planificadas]]&lt;&gt;0,Planning[[#This Row],[Horas utilizadas]]/Planning[[#This Row],[Horas Planificadas]],0)</f>
        <v>#REF!</v>
      </c>
      <c r="W1050" s="44">
        <f>Planning[[#This Row],[Horas Planificadas]]+Planning[[#This Row],[Horas ajustadas adicionales]]</f>
        <v>45</v>
      </c>
      <c r="X1050" s="142"/>
    </row>
    <row r="1051" spans="1:24" ht="12.75" customHeight="1" x14ac:dyDescent="0.2">
      <c r="A1051" s="7"/>
      <c r="B1051" s="7"/>
      <c r="C1051" s="3"/>
      <c r="D1051" s="3" t="s">
        <v>287</v>
      </c>
      <c r="E1051" s="4" t="s">
        <v>28</v>
      </c>
      <c r="F1051" s="3"/>
      <c r="G1051" s="9"/>
      <c r="H1051" s="12">
        <v>112</v>
      </c>
      <c r="I1051" s="12"/>
      <c r="J1051" s="5" t="e">
        <f>+SUMIFS(#REF!,#REF!,Planning[[#This Row],[Tarifa]],#REF!,Planning[[#This Row],[Proyectos]])</f>
        <v>#REF!</v>
      </c>
      <c r="K1051" s="27" t="e">
        <f>Planning[[#This Row],[Horas Planificadas]]+Planning[[#This Row],[Horas ajustadas adicionales]]-Planning[[#This Row],[Horas utilizadas]]</f>
        <v>#REF!</v>
      </c>
      <c r="L1051" s="7"/>
      <c r="M1051" s="19" t="e">
        <f>Planning[[#This Row],[Saldo]]-Planning[[#This Row],[Saldo estimado]]</f>
        <v>#REF!</v>
      </c>
      <c r="N1051" s="60" t="e">
        <f>+SUMIFS(#REF!,#REF!,Planning[[#This Row],[Proyectos]],#REF!,Planning[[#This Row],[Tipo de Tarea y especialidad]])</f>
        <v>#REF!</v>
      </c>
      <c r="O1051" s="19">
        <f t="shared" si="32"/>
        <v>10</v>
      </c>
      <c r="P1051" s="19">
        <f t="shared" si="33"/>
        <v>2024</v>
      </c>
      <c r="Q1051" s="19" t="e">
        <f>+SUMIFS(#REF!,#REF!,Planning[[#This Row],[Tarifa]],#REF!,Planning[[#This Row],[Proyectos]],#REF!,Planning[[#This Row],[Mes]],#REF!,Planning[[#This Row],[Año]])</f>
        <v>#REF!</v>
      </c>
      <c r="R1051" s="19" t="str">
        <f>TEXT(Planning[[#This Row],[Mes]]*29,"mmmm")</f>
        <v>October</v>
      </c>
      <c r="S10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51" s="228"/>
      <c r="U1051" s="43" t="e">
        <f>IF(Planning[[#This Row],[Horas Planificadas]]&lt;&gt;0,+K1051/Planning[[#This Row],[Horas Planificadas]],0)</f>
        <v>#REF!</v>
      </c>
      <c r="V1051" s="43" t="e">
        <f>IF(Planning[[#This Row],[Horas Planificadas]]&lt;&gt;0,Planning[[#This Row],[Horas utilizadas]]/Planning[[#This Row],[Horas Planificadas]],0)</f>
        <v>#REF!</v>
      </c>
      <c r="W1051" s="44">
        <f>Planning[[#This Row],[Horas Planificadas]]+Planning[[#This Row],[Horas ajustadas adicionales]]</f>
        <v>112</v>
      </c>
      <c r="X1051" s="142"/>
    </row>
    <row r="1052" spans="1:24" ht="12.75" customHeight="1" x14ac:dyDescent="0.2">
      <c r="A1052" s="7"/>
      <c r="B1052" s="7"/>
      <c r="C1052" s="3"/>
      <c r="D1052" s="3" t="s">
        <v>287</v>
      </c>
      <c r="E1052" s="4" t="s">
        <v>30</v>
      </c>
      <c r="F1052" s="3"/>
      <c r="G1052" s="9"/>
      <c r="H1052" s="9">
        <v>296</v>
      </c>
      <c r="I1052" s="12"/>
      <c r="J1052" s="5" t="e">
        <f>+SUMIFS(#REF!,#REF!,Planning[[#This Row],[Tarifa]],#REF!,Planning[[#This Row],[Proyectos]])</f>
        <v>#REF!</v>
      </c>
      <c r="K1052" s="5" t="e">
        <f>Planning[[#This Row],[Horas Planificadas]]+Planning[[#This Row],[Horas ajustadas adicionales]]-Planning[[#This Row],[Horas utilizadas]]</f>
        <v>#REF!</v>
      </c>
      <c r="L1052" s="7"/>
      <c r="M1052" s="19" t="e">
        <f>Planning[[#This Row],[Saldo]]-Planning[[#This Row],[Saldo estimado]]</f>
        <v>#REF!</v>
      </c>
      <c r="N1052" s="60" t="e">
        <f>+SUMIFS(#REF!,#REF!,Planning[[#This Row],[Proyectos]],#REF!,Planning[[#This Row],[Tipo de Tarea y especialidad]])</f>
        <v>#REF!</v>
      </c>
      <c r="O1052" s="19">
        <f t="shared" si="32"/>
        <v>10</v>
      </c>
      <c r="P1052" s="19">
        <f t="shared" si="33"/>
        <v>2024</v>
      </c>
      <c r="Q1052" s="19" t="e">
        <f>+SUMIFS(#REF!,#REF!,Planning[[#This Row],[Tarifa]],#REF!,Planning[[#This Row],[Proyectos]],#REF!,Planning[[#This Row],[Mes]],#REF!,Planning[[#This Row],[Año]])</f>
        <v>#REF!</v>
      </c>
      <c r="R1052" s="19" t="str">
        <f>TEXT(Planning[[#This Row],[Mes]]*29,"mmmm")</f>
        <v>October</v>
      </c>
      <c r="S10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52" s="228"/>
      <c r="U1052" s="43" t="e">
        <f>IF(Planning[[#This Row],[Horas Planificadas]]&lt;&gt;0,+K1052/Planning[[#This Row],[Horas Planificadas]],0)</f>
        <v>#REF!</v>
      </c>
      <c r="V1052" s="43" t="e">
        <f>IF(Planning[[#This Row],[Horas Planificadas]]&lt;&gt;0,Planning[[#This Row],[Horas utilizadas]]/Planning[[#This Row],[Horas Planificadas]],0)</f>
        <v>#REF!</v>
      </c>
      <c r="W1052" s="44">
        <f>Planning[[#This Row],[Horas Planificadas]]+Planning[[#This Row],[Horas ajustadas adicionales]]</f>
        <v>296</v>
      </c>
      <c r="X1052" s="142"/>
    </row>
    <row r="1053" spans="1:24" ht="12.75" customHeight="1" x14ac:dyDescent="0.2">
      <c r="A1053" s="7"/>
      <c r="B1053" s="7"/>
      <c r="C1053" s="3"/>
      <c r="D1053" s="3" t="s">
        <v>287</v>
      </c>
      <c r="E1053" s="4" t="s">
        <v>31</v>
      </c>
      <c r="F1053" s="3"/>
      <c r="G1053" s="9"/>
      <c r="H1053" s="9">
        <v>197</v>
      </c>
      <c r="I1053" s="12"/>
      <c r="J1053" s="5" t="e">
        <f>+SUMIFS(#REF!,#REF!,Planning[[#This Row],[Tarifa]],#REF!,Planning[[#This Row],[Proyectos]])</f>
        <v>#REF!</v>
      </c>
      <c r="K1053" s="5" t="e">
        <f>Planning[[#This Row],[Horas Planificadas]]+Planning[[#This Row],[Horas ajustadas adicionales]]-Planning[[#This Row],[Horas utilizadas]]</f>
        <v>#REF!</v>
      </c>
      <c r="L1053" s="7"/>
      <c r="M1053" s="19" t="e">
        <f>Planning[[#This Row],[Saldo]]-Planning[[#This Row],[Saldo estimado]]</f>
        <v>#REF!</v>
      </c>
      <c r="N1053" s="60" t="e">
        <f>+SUMIFS(#REF!,#REF!,Planning[[#This Row],[Proyectos]],#REF!,Planning[[#This Row],[Tipo de Tarea y especialidad]])</f>
        <v>#REF!</v>
      </c>
      <c r="O1053" s="19">
        <f t="shared" si="32"/>
        <v>10</v>
      </c>
      <c r="P1053" s="19">
        <f t="shared" si="33"/>
        <v>2024</v>
      </c>
      <c r="Q1053" s="19" t="e">
        <f>+SUMIFS(#REF!,#REF!,Planning[[#This Row],[Tarifa]],#REF!,Planning[[#This Row],[Proyectos]],#REF!,Planning[[#This Row],[Mes]],#REF!,Planning[[#This Row],[Año]])</f>
        <v>#REF!</v>
      </c>
      <c r="R1053" s="19" t="str">
        <f>TEXT(Planning[[#This Row],[Mes]]*29,"mmmm")</f>
        <v>October</v>
      </c>
      <c r="S10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53" s="228"/>
      <c r="U1053" s="43" t="e">
        <f>IF(Planning[[#This Row],[Horas Planificadas]]&lt;&gt;0,+K1053/Planning[[#This Row],[Horas Planificadas]],0)</f>
        <v>#REF!</v>
      </c>
      <c r="V1053" s="43" t="e">
        <f>IF(Planning[[#This Row],[Horas Planificadas]]&lt;&gt;0,Planning[[#This Row],[Horas utilizadas]]/Planning[[#This Row],[Horas Planificadas]],0)</f>
        <v>#REF!</v>
      </c>
      <c r="W1053" s="44">
        <f>Planning[[#This Row],[Horas Planificadas]]+Planning[[#This Row],[Horas ajustadas adicionales]]</f>
        <v>197</v>
      </c>
      <c r="X1053" s="142"/>
    </row>
    <row r="1054" spans="1:24" ht="12.75" customHeight="1" x14ac:dyDescent="0.2">
      <c r="A1054" s="7"/>
      <c r="B1054" s="7"/>
      <c r="C1054" s="3"/>
      <c r="D1054" s="3" t="s">
        <v>287</v>
      </c>
      <c r="E1054" s="4" t="s">
        <v>32</v>
      </c>
      <c r="F1054" s="3"/>
      <c r="G1054" s="9"/>
      <c r="H1054" s="9">
        <v>133</v>
      </c>
      <c r="I1054" s="12"/>
      <c r="J1054" s="5" t="e">
        <f>+SUMIFS(#REF!,#REF!,Planning[[#This Row],[Tarifa]],#REF!,Planning[[#This Row],[Proyectos]])</f>
        <v>#REF!</v>
      </c>
      <c r="K1054" s="5" t="e">
        <f>Planning[[#This Row],[Horas Planificadas]]+Planning[[#This Row],[Horas ajustadas adicionales]]-Planning[[#This Row],[Horas utilizadas]]</f>
        <v>#REF!</v>
      </c>
      <c r="L1054" s="7"/>
      <c r="M1054" s="19" t="e">
        <f>Planning[[#This Row],[Saldo]]-Planning[[#This Row],[Saldo estimado]]</f>
        <v>#REF!</v>
      </c>
      <c r="N1054" s="60" t="e">
        <f>+SUMIFS(#REF!,#REF!,Planning[[#This Row],[Proyectos]],#REF!,Planning[[#This Row],[Tipo de Tarea y especialidad]])</f>
        <v>#REF!</v>
      </c>
      <c r="O1054" s="19">
        <f t="shared" si="32"/>
        <v>10</v>
      </c>
      <c r="P1054" s="19">
        <f t="shared" si="33"/>
        <v>2024</v>
      </c>
      <c r="Q1054" s="19" t="e">
        <f>+SUMIFS(#REF!,#REF!,Planning[[#This Row],[Tarifa]],#REF!,Planning[[#This Row],[Proyectos]],#REF!,Planning[[#This Row],[Mes]],#REF!,Planning[[#This Row],[Año]])</f>
        <v>#REF!</v>
      </c>
      <c r="R1054" s="19" t="str">
        <f>TEXT(Planning[[#This Row],[Mes]]*29,"mmmm")</f>
        <v>October</v>
      </c>
      <c r="S10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54" s="228"/>
      <c r="U1054" s="43" t="e">
        <f>IF(Planning[[#This Row],[Horas Planificadas]]&lt;&gt;0,+K1054/Planning[[#This Row],[Horas Planificadas]],0)</f>
        <v>#REF!</v>
      </c>
      <c r="V1054" s="43" t="e">
        <f>IF(Planning[[#This Row],[Horas Planificadas]]&lt;&gt;0,Planning[[#This Row],[Horas utilizadas]]/Planning[[#This Row],[Horas Planificadas]],0)</f>
        <v>#REF!</v>
      </c>
      <c r="W1054" s="44">
        <f>Planning[[#This Row],[Horas Planificadas]]+Planning[[#This Row],[Horas ajustadas adicionales]]</f>
        <v>133</v>
      </c>
      <c r="X1054" s="142"/>
    </row>
    <row r="1055" spans="1:24" ht="12.75" customHeight="1" x14ac:dyDescent="0.2">
      <c r="A1055" s="7" t="s">
        <v>204</v>
      </c>
      <c r="B1055" s="7" t="s">
        <v>288</v>
      </c>
      <c r="C1055" s="3">
        <v>116987</v>
      </c>
      <c r="D1055" s="3" t="s">
        <v>289</v>
      </c>
      <c r="E1055" s="33" t="s">
        <v>28</v>
      </c>
      <c r="F1055" s="3"/>
      <c r="G1055" s="7">
        <v>409</v>
      </c>
      <c r="H1055" s="24">
        <v>45</v>
      </c>
      <c r="I1055" s="14"/>
      <c r="J1055" s="14" t="e">
        <f>SUM(J1056:J1057)</f>
        <v>#REF!</v>
      </c>
      <c r="K1055" s="18" t="e">
        <f>SUM(K1056:K1057)</f>
        <v>#REF!</v>
      </c>
      <c r="L1055" s="15">
        <f>SUM(L1056:L1057)</f>
        <v>0</v>
      </c>
      <c r="M1055" s="28" t="e">
        <f>SUM(M1056:M1057)</f>
        <v>#REF!</v>
      </c>
      <c r="N1055" s="61" t="e">
        <f>+SUMIFS(#REF!,#REF!,Planning[[#This Row],[Proyectos]],#REF!,Planning[[#This Row],[Tipo de Tarea y especialidad]])</f>
        <v>#REF!</v>
      </c>
      <c r="O1055" s="28">
        <f t="shared" si="32"/>
        <v>10</v>
      </c>
      <c r="P1055" s="28">
        <f t="shared" si="33"/>
        <v>2024</v>
      </c>
      <c r="Q1055" s="28" t="e">
        <f>SUM(Q1056:Q1057)</f>
        <v>#REF!</v>
      </c>
      <c r="R1055" s="24" t="str">
        <f>TEXT(Planning[[#This Row],[Mes]]*29,"mmmm")</f>
        <v>October</v>
      </c>
      <c r="S1055"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55" s="151" t="s">
        <v>290</v>
      </c>
      <c r="U1055" s="43" t="e">
        <f>IF(Planning[[#This Row],[Horas Planificadas]]&lt;&gt;0,+K1055/Planning[[#This Row],[Horas Planificadas]],0)</f>
        <v>#REF!</v>
      </c>
      <c r="V1055" s="43" t="e">
        <f>IF(Planning[[#This Row],[Horas Planificadas]]&lt;&gt;0,Planning[[#This Row],[Horas utilizadas]]/Planning[[#This Row],[Horas Planificadas]],0)</f>
        <v>#REF!</v>
      </c>
      <c r="W1055" s="44">
        <f>Planning[[#This Row],[Horas Planificadas]]+Planning[[#This Row],[Horas ajustadas adicionales]]</f>
        <v>45</v>
      </c>
      <c r="X1055" s="142"/>
    </row>
    <row r="1056" spans="1:24" ht="12.75" customHeight="1" x14ac:dyDescent="0.2">
      <c r="A1056" s="7" t="s">
        <v>204</v>
      </c>
      <c r="B1056" s="7" t="s">
        <v>288</v>
      </c>
      <c r="C1056" s="3">
        <v>116987</v>
      </c>
      <c r="D1056" s="3" t="s">
        <v>289</v>
      </c>
      <c r="E1056" s="33"/>
      <c r="F1056" s="3" t="s">
        <v>120</v>
      </c>
      <c r="G1056" s="7"/>
      <c r="H1056" s="7">
        <v>409</v>
      </c>
      <c r="I1056" s="12"/>
      <c r="J1056" s="5" t="e">
        <f>SUM(SUMIFS(#REF!,#REF!,Planning[[#This Row],[Tipo de Tarea y especialidad]],#REF!,Planning[[#This Row],[Proyectos Reiwa]]),SUMIFS(#REF!,#REF!,Planning[[#This Row],[Tipo de Tarea y especialidad]],#REF!,Planning[[#This Row],[Proyectos]]))</f>
        <v>#REF!</v>
      </c>
      <c r="K1056" s="5" t="e">
        <f>Planning[[#This Row],[Horas Planificadas]]+Planning[[#This Row],[Horas ajustadas adicionales]]-Planning[[#This Row],[Horas utilizadas]]</f>
        <v>#REF!</v>
      </c>
      <c r="L1056" s="7">
        <v>0</v>
      </c>
      <c r="M1056" s="19" t="e">
        <f>Planning[[#This Row],[Saldo]]-Planning[[#This Row],[Saldo estimado]]</f>
        <v>#REF!</v>
      </c>
      <c r="N1056" s="60" t="e">
        <f>+SUMIFS(#REF!,#REF!,Planning[[#This Row],[Proyectos]],#REF!,Planning[[#This Row],[Tipo de Tarea y especialidad]])</f>
        <v>#REF!</v>
      </c>
      <c r="O1056" s="19">
        <f t="shared" si="32"/>
        <v>10</v>
      </c>
      <c r="P1056" s="19">
        <f t="shared" si="33"/>
        <v>2024</v>
      </c>
      <c r="Q10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56" s="49" t="str">
        <f>TEXT(Planning[[#This Row],[Mes]]*29,"mmmm")</f>
        <v>October</v>
      </c>
      <c r="S105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56" s="152"/>
      <c r="U1056" s="43" t="e">
        <f>IF(Planning[[#This Row],[Horas Planificadas]]&lt;&gt;0,+K1056/Planning[[#This Row],[Horas Planificadas]],0)</f>
        <v>#REF!</v>
      </c>
      <c r="V1056" s="43" t="e">
        <f>IF(Planning[[#This Row],[Horas Planificadas]]&lt;&gt;0,Planning[[#This Row],[Horas utilizadas]]/Planning[[#This Row],[Horas Planificadas]],0)</f>
        <v>#REF!</v>
      </c>
      <c r="W1056" s="44">
        <f>Planning[[#This Row],[Horas Planificadas]]+Planning[[#This Row],[Horas ajustadas adicionales]]</f>
        <v>409</v>
      </c>
      <c r="X1056" s="142"/>
    </row>
    <row r="1057" spans="1:24" ht="12.75" customHeight="1" x14ac:dyDescent="0.2">
      <c r="A1057" s="7" t="s">
        <v>204</v>
      </c>
      <c r="B1057" s="7" t="s">
        <v>288</v>
      </c>
      <c r="C1057" s="3">
        <v>116987</v>
      </c>
      <c r="D1057" s="3" t="s">
        <v>289</v>
      </c>
      <c r="E1057" s="33"/>
      <c r="F1057" s="3" t="s">
        <v>121</v>
      </c>
      <c r="G1057" s="7"/>
      <c r="H1057" s="7"/>
      <c r="I1057" s="12"/>
      <c r="J1057" s="5" t="e">
        <f>SUM(SUMIFS(#REF!,#REF!,Planning[[#This Row],[Tipo de Tarea y especialidad]],#REF!,Planning[[#This Row],[Proyectos Reiwa]]),SUMIFS(#REF!,#REF!,Planning[[#This Row],[Tipo de Tarea y especialidad]],#REF!,Planning[[#This Row],[Proyectos]]))</f>
        <v>#REF!</v>
      </c>
      <c r="K1057" s="5" t="e">
        <f>Planning[[#This Row],[Horas Planificadas]]+Planning[[#This Row],[Horas ajustadas adicionales]]-Planning[[#This Row],[Horas utilizadas]]</f>
        <v>#REF!</v>
      </c>
      <c r="L1057" s="7">
        <v>0</v>
      </c>
      <c r="M1057" s="19" t="e">
        <f>Planning[[#This Row],[Saldo]]-Planning[[#This Row],[Saldo estimado]]</f>
        <v>#REF!</v>
      </c>
      <c r="N1057" s="60" t="e">
        <f>+SUMIFS(#REF!,#REF!,Planning[[#This Row],[Proyectos]],#REF!,Planning[[#This Row],[Tipo de Tarea y especialidad]])</f>
        <v>#REF!</v>
      </c>
      <c r="O1057" s="19">
        <f t="shared" si="32"/>
        <v>10</v>
      </c>
      <c r="P1057" s="19">
        <f t="shared" si="33"/>
        <v>2024</v>
      </c>
      <c r="Q10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57" s="49" t="str">
        <f>TEXT(Planning[[#This Row],[Mes]]*29,"mmmm")</f>
        <v>October</v>
      </c>
      <c r="S105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57" s="152"/>
      <c r="U1057" s="43">
        <f>IF(Planning[[#This Row],[Horas Planificadas]]&lt;&gt;0,+K1057/Planning[[#This Row],[Horas Planificadas]],0)</f>
        <v>0</v>
      </c>
      <c r="V1057" s="43">
        <f>IF(Planning[[#This Row],[Horas Planificadas]]&lt;&gt;0,Planning[[#This Row],[Horas utilizadas]]/Planning[[#This Row],[Horas Planificadas]],0)</f>
        <v>0</v>
      </c>
      <c r="W1057" s="44">
        <f>Planning[[#This Row],[Horas Planificadas]]+Planning[[#This Row],[Horas ajustadas adicionales]]</f>
        <v>0</v>
      </c>
      <c r="X1057" s="142"/>
    </row>
    <row r="1058" spans="1:24" ht="12.75" customHeight="1" x14ac:dyDescent="0.2">
      <c r="A1058" s="7" t="s">
        <v>204</v>
      </c>
      <c r="B1058" s="7" t="s">
        <v>288</v>
      </c>
      <c r="C1058" s="3">
        <v>116987</v>
      </c>
      <c r="D1058" s="3" t="s">
        <v>289</v>
      </c>
      <c r="E1058" s="33" t="s">
        <v>30</v>
      </c>
      <c r="F1058" s="3"/>
      <c r="G1058" s="7">
        <v>753</v>
      </c>
      <c r="H1058" s="24">
        <f>SUM(H1059:H1065)</f>
        <v>753</v>
      </c>
      <c r="I1058" s="14"/>
      <c r="J1058" s="14" t="e">
        <f>SUM(J1059:J1065)</f>
        <v>#REF!</v>
      </c>
      <c r="K1058" s="18" t="e">
        <f>SUM(K1059:K1065)</f>
        <v>#REF!</v>
      </c>
      <c r="L1058" s="15">
        <f>SUM(L1059:L1065)</f>
        <v>45</v>
      </c>
      <c r="M1058" s="16" t="e">
        <f>SUM(M1059:M1065)</f>
        <v>#REF!</v>
      </c>
      <c r="N1058" s="60" t="e">
        <f>+SUMIFS(#REF!,#REF!,Planning[[#This Row],[Proyectos]],#REF!,Planning[[#This Row],[Tipo de Tarea y especialidad]])</f>
        <v>#REF!</v>
      </c>
      <c r="O1058" s="16">
        <f t="shared" si="32"/>
        <v>10</v>
      </c>
      <c r="P1058" s="16">
        <f t="shared" si="33"/>
        <v>2024</v>
      </c>
      <c r="Q1058" s="16" t="e">
        <f>SUM(Q1059:Q1065)</f>
        <v>#REF!</v>
      </c>
      <c r="R1058" s="50" t="str">
        <f>TEXT(Planning[[#This Row],[Mes]]*29,"mmmm")</f>
        <v>October</v>
      </c>
      <c r="S105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58" s="152"/>
      <c r="U1058" s="43" t="e">
        <f>IF(Planning[[#This Row],[Horas Planificadas]]&lt;&gt;0,+K1058/Planning[[#This Row],[Horas Planificadas]],0)</f>
        <v>#REF!</v>
      </c>
      <c r="V1058" s="43" t="e">
        <f>IF(Planning[[#This Row],[Horas Planificadas]]&lt;&gt;0,Planning[[#This Row],[Horas utilizadas]]/Planning[[#This Row],[Horas Planificadas]],0)</f>
        <v>#REF!</v>
      </c>
      <c r="W1058" s="44">
        <f>Planning[[#This Row],[Horas Planificadas]]+Planning[[#This Row],[Horas ajustadas adicionales]]</f>
        <v>753</v>
      </c>
      <c r="X1058" s="142"/>
    </row>
    <row r="1059" spans="1:24" ht="12.75" customHeight="1" x14ac:dyDescent="0.2">
      <c r="A1059" s="7" t="s">
        <v>204</v>
      </c>
      <c r="B1059" s="7" t="s">
        <v>288</v>
      </c>
      <c r="C1059" s="3">
        <v>116987</v>
      </c>
      <c r="D1059" s="3" t="s">
        <v>289</v>
      </c>
      <c r="E1059" s="33"/>
      <c r="F1059" s="3" t="s">
        <v>122</v>
      </c>
      <c r="G1059" s="7"/>
      <c r="H1059" s="7"/>
      <c r="I1059" s="12"/>
      <c r="J1059" s="5" t="e">
        <f>SUM(SUMIFS(#REF!,#REF!,Planning[[#This Row],[Tipo de Tarea y especialidad]],#REF!,Planning[[#This Row],[Proyectos Reiwa]]),SUMIFS(#REF!,#REF!,Planning[[#This Row],[Tipo de Tarea y especialidad]],#REF!,Planning[[#This Row],[Proyectos]]))</f>
        <v>#REF!</v>
      </c>
      <c r="K1059" s="5" t="e">
        <f>Planning[[#This Row],[Horas Planificadas]]+Planning[[#This Row],[Horas ajustadas adicionales]]-Planning[[#This Row],[Horas utilizadas]]</f>
        <v>#REF!</v>
      </c>
      <c r="L1059" s="7"/>
      <c r="M1059" s="19" t="e">
        <f>Planning[[#This Row],[Saldo]]-Planning[[#This Row],[Saldo estimado]]</f>
        <v>#REF!</v>
      </c>
      <c r="N1059" s="60" t="e">
        <f>+SUMIFS(#REF!,#REF!,Planning[[#This Row],[Proyectos]],#REF!,Planning[[#This Row],[Tipo de Tarea y especialidad]])</f>
        <v>#REF!</v>
      </c>
      <c r="O1059" s="19">
        <f t="shared" si="32"/>
        <v>10</v>
      </c>
      <c r="P1059" s="19">
        <f t="shared" si="33"/>
        <v>2024</v>
      </c>
      <c r="Q10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59" s="49" t="str">
        <f>TEXT(Planning[[#This Row],[Mes]]*29,"mmmm")</f>
        <v>October</v>
      </c>
      <c r="S105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59" s="152"/>
      <c r="U1059" s="43">
        <f>IF(Planning[[#This Row],[Horas Planificadas]]&lt;&gt;0,+K1059/Planning[[#This Row],[Horas Planificadas]],0)</f>
        <v>0</v>
      </c>
      <c r="V1059" s="43">
        <f>IF(Planning[[#This Row],[Horas Planificadas]]&lt;&gt;0,Planning[[#This Row],[Horas utilizadas]]/Planning[[#This Row],[Horas Planificadas]],0)</f>
        <v>0</v>
      </c>
      <c r="W1059" s="44">
        <f>Planning[[#This Row],[Horas Planificadas]]+Planning[[#This Row],[Horas ajustadas adicionales]]</f>
        <v>0</v>
      </c>
      <c r="X1059" s="142"/>
    </row>
    <row r="1060" spans="1:24" ht="12.75" customHeight="1" x14ac:dyDescent="0.2">
      <c r="A1060" s="7" t="s">
        <v>204</v>
      </c>
      <c r="B1060" s="7" t="s">
        <v>288</v>
      </c>
      <c r="C1060" s="3">
        <v>116987</v>
      </c>
      <c r="D1060" s="3" t="s">
        <v>289</v>
      </c>
      <c r="E1060" s="33"/>
      <c r="F1060" s="3" t="s">
        <v>123</v>
      </c>
      <c r="G1060" s="7"/>
      <c r="H1060" s="7"/>
      <c r="I1060" s="12"/>
      <c r="J1060" s="5" t="e">
        <f>SUM(SUMIFS(#REF!,#REF!,Planning[[#This Row],[Tipo de Tarea y especialidad]],#REF!,Planning[[#This Row],[Proyectos Reiwa]]),SUMIFS(#REF!,#REF!,Planning[[#This Row],[Tipo de Tarea y especialidad]],#REF!,Planning[[#This Row],[Proyectos]]))</f>
        <v>#REF!</v>
      </c>
      <c r="K1060" s="5" t="e">
        <f>Planning[[#This Row],[Horas Planificadas]]+Planning[[#This Row],[Horas ajustadas adicionales]]-Planning[[#This Row],[Horas utilizadas]]</f>
        <v>#REF!</v>
      </c>
      <c r="L1060" s="7"/>
      <c r="M1060" s="19" t="e">
        <f>Planning[[#This Row],[Saldo]]-Planning[[#This Row],[Saldo estimado]]</f>
        <v>#REF!</v>
      </c>
      <c r="N1060" s="60" t="e">
        <f>+SUMIFS(#REF!,#REF!,Planning[[#This Row],[Proyectos]],#REF!,Planning[[#This Row],[Tipo de Tarea y especialidad]])</f>
        <v>#REF!</v>
      </c>
      <c r="O1060" s="19">
        <f t="shared" si="32"/>
        <v>10</v>
      </c>
      <c r="P1060" s="19">
        <f t="shared" si="33"/>
        <v>2024</v>
      </c>
      <c r="Q10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60" s="49" t="str">
        <f>TEXT(Planning[[#This Row],[Mes]]*29,"mmmm")</f>
        <v>October</v>
      </c>
      <c r="S106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60" s="152"/>
      <c r="U1060" s="43">
        <f>IF(Planning[[#This Row],[Horas Planificadas]]&lt;&gt;0,+K1060/Planning[[#This Row],[Horas Planificadas]],0)</f>
        <v>0</v>
      </c>
      <c r="V1060" s="43">
        <f>IF(Planning[[#This Row],[Horas Planificadas]]&lt;&gt;0,Planning[[#This Row],[Horas utilizadas]]/Planning[[#This Row],[Horas Planificadas]],0)</f>
        <v>0</v>
      </c>
      <c r="W1060" s="44">
        <f>Planning[[#This Row],[Horas Planificadas]]+Planning[[#This Row],[Horas ajustadas adicionales]]</f>
        <v>0</v>
      </c>
      <c r="X1060" s="142"/>
    </row>
    <row r="1061" spans="1:24" ht="12.75" customHeight="1" x14ac:dyDescent="0.2">
      <c r="A1061" s="7" t="s">
        <v>204</v>
      </c>
      <c r="B1061" s="7" t="s">
        <v>288</v>
      </c>
      <c r="C1061" s="3">
        <v>116987</v>
      </c>
      <c r="D1061" s="3" t="s">
        <v>289</v>
      </c>
      <c r="E1061" s="33"/>
      <c r="F1061" s="3" t="s">
        <v>124</v>
      </c>
      <c r="G1061" s="7"/>
      <c r="H1061" s="7">
        <v>753</v>
      </c>
      <c r="I1061" s="12"/>
      <c r="J1061" s="5" t="e">
        <f>SUM(SUMIFS(#REF!,#REF!,Planning[[#This Row],[Tipo de Tarea y especialidad]],#REF!,Planning[[#This Row],[Proyectos Reiwa]]),SUMIFS(#REF!,#REF!,Planning[[#This Row],[Tipo de Tarea y especialidad]],#REF!,Planning[[#This Row],[Proyectos]]))</f>
        <v>#REF!</v>
      </c>
      <c r="K1061" s="5" t="e">
        <f>Planning[[#This Row],[Horas Planificadas]]+Planning[[#This Row],[Horas ajustadas adicionales]]-Planning[[#This Row],[Horas utilizadas]]</f>
        <v>#REF!</v>
      </c>
      <c r="L1061" s="7">
        <v>45</v>
      </c>
      <c r="M1061" s="19" t="e">
        <f>Planning[[#This Row],[Saldo]]-Planning[[#This Row],[Saldo estimado]]</f>
        <v>#REF!</v>
      </c>
      <c r="N1061" s="60" t="e">
        <f>+SUMIFS(#REF!,#REF!,Planning[[#This Row],[Proyectos]],#REF!,Planning[[#This Row],[Tipo de Tarea y especialidad]])</f>
        <v>#REF!</v>
      </c>
      <c r="O1061" s="19">
        <f t="shared" si="32"/>
        <v>10</v>
      </c>
      <c r="P1061" s="19">
        <f t="shared" si="33"/>
        <v>2024</v>
      </c>
      <c r="Q10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61" s="49" t="str">
        <f>TEXT(Planning[[#This Row],[Mes]]*29,"mmmm")</f>
        <v>October</v>
      </c>
      <c r="S106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61" s="152"/>
      <c r="U1061" s="43" t="e">
        <f>IF(Planning[[#This Row],[Horas Planificadas]]&lt;&gt;0,+K1061/Planning[[#This Row],[Horas Planificadas]],0)</f>
        <v>#REF!</v>
      </c>
      <c r="V1061" s="43" t="e">
        <f>IF(Planning[[#This Row],[Horas Planificadas]]&lt;&gt;0,Planning[[#This Row],[Horas utilizadas]]/Planning[[#This Row],[Horas Planificadas]],0)</f>
        <v>#REF!</v>
      </c>
      <c r="W1061" s="44">
        <f>Planning[[#This Row],[Horas Planificadas]]+Planning[[#This Row],[Horas ajustadas adicionales]]</f>
        <v>753</v>
      </c>
      <c r="X1061" s="142"/>
    </row>
    <row r="1062" spans="1:24" ht="12.75" customHeight="1" x14ac:dyDescent="0.2">
      <c r="A1062" s="7" t="s">
        <v>204</v>
      </c>
      <c r="B1062" s="7" t="s">
        <v>288</v>
      </c>
      <c r="C1062" s="3">
        <v>116987</v>
      </c>
      <c r="D1062" s="3" t="s">
        <v>289</v>
      </c>
      <c r="E1062" s="33"/>
      <c r="F1062" s="3" t="s">
        <v>125</v>
      </c>
      <c r="G1062" s="7"/>
      <c r="H1062" s="7"/>
      <c r="I1062" s="12"/>
      <c r="J1062" s="5" t="e">
        <f>SUM(SUMIFS(#REF!,#REF!,Planning[[#This Row],[Tipo de Tarea y especialidad]],#REF!,Planning[[#This Row],[Proyectos Reiwa]]),SUMIFS(#REF!,#REF!,Planning[[#This Row],[Tipo de Tarea y especialidad]],#REF!,Planning[[#This Row],[Proyectos]]))</f>
        <v>#REF!</v>
      </c>
      <c r="K1062" s="5" t="e">
        <f>Planning[[#This Row],[Horas Planificadas]]+Planning[[#This Row],[Horas ajustadas adicionales]]-Planning[[#This Row],[Horas utilizadas]]</f>
        <v>#REF!</v>
      </c>
      <c r="L1062" s="7">
        <v>0</v>
      </c>
      <c r="M1062" s="19" t="e">
        <f>Planning[[#This Row],[Saldo]]-Planning[[#This Row],[Saldo estimado]]</f>
        <v>#REF!</v>
      </c>
      <c r="N1062" s="60" t="e">
        <f>+SUMIFS(#REF!,#REF!,Planning[[#This Row],[Proyectos]],#REF!,Planning[[#This Row],[Tipo de Tarea y especialidad]])</f>
        <v>#REF!</v>
      </c>
      <c r="O1062" s="19">
        <f t="shared" si="32"/>
        <v>10</v>
      </c>
      <c r="P1062" s="19">
        <f t="shared" si="33"/>
        <v>2024</v>
      </c>
      <c r="Q10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62" s="49" t="str">
        <f>TEXT(Planning[[#This Row],[Mes]]*29,"mmmm")</f>
        <v>October</v>
      </c>
      <c r="S106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62" s="152"/>
      <c r="U1062" s="43">
        <f>IF(Planning[[#This Row],[Horas Planificadas]]&lt;&gt;0,+K1062/Planning[[#This Row],[Horas Planificadas]],0)</f>
        <v>0</v>
      </c>
      <c r="V1062" s="43">
        <f>IF(Planning[[#This Row],[Horas Planificadas]]&lt;&gt;0,Planning[[#This Row],[Horas utilizadas]]/Planning[[#This Row],[Horas Planificadas]],0)</f>
        <v>0</v>
      </c>
      <c r="W1062" s="44">
        <f>Planning[[#This Row],[Horas Planificadas]]+Planning[[#This Row],[Horas ajustadas adicionales]]</f>
        <v>0</v>
      </c>
      <c r="X1062" s="142"/>
    </row>
    <row r="1063" spans="1:24" ht="12.75" customHeight="1" x14ac:dyDescent="0.2">
      <c r="A1063" s="7" t="s">
        <v>204</v>
      </c>
      <c r="B1063" s="7" t="s">
        <v>288</v>
      </c>
      <c r="C1063" s="3">
        <v>116987</v>
      </c>
      <c r="D1063" s="3" t="s">
        <v>289</v>
      </c>
      <c r="E1063" s="33"/>
      <c r="F1063" s="3" t="s">
        <v>126</v>
      </c>
      <c r="G1063" s="7"/>
      <c r="H1063" s="7"/>
      <c r="I1063" s="12"/>
      <c r="J1063" s="5" t="e">
        <f>SUM(SUMIFS(#REF!,#REF!,Planning[[#This Row],[Tipo de Tarea y especialidad]],#REF!,Planning[[#This Row],[Proyectos Reiwa]]),SUMIFS(#REF!,#REF!,Planning[[#This Row],[Tipo de Tarea y especialidad]],#REF!,Planning[[#This Row],[Proyectos]]))</f>
        <v>#REF!</v>
      </c>
      <c r="K1063" s="5" t="e">
        <f>Planning[[#This Row],[Horas Planificadas]]+Planning[[#This Row],[Horas ajustadas adicionales]]-Planning[[#This Row],[Horas utilizadas]]</f>
        <v>#REF!</v>
      </c>
      <c r="L1063" s="7"/>
      <c r="M1063" s="19" t="e">
        <f>Planning[[#This Row],[Saldo]]-Planning[[#This Row],[Saldo estimado]]</f>
        <v>#REF!</v>
      </c>
      <c r="N1063" s="60" t="e">
        <f>+SUMIFS(#REF!,#REF!,Planning[[#This Row],[Proyectos]],#REF!,Planning[[#This Row],[Tipo de Tarea y especialidad]])</f>
        <v>#REF!</v>
      </c>
      <c r="O1063" s="19">
        <f t="shared" si="32"/>
        <v>10</v>
      </c>
      <c r="P1063" s="19">
        <f t="shared" si="33"/>
        <v>2024</v>
      </c>
      <c r="Q10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63" s="49" t="str">
        <f>TEXT(Planning[[#This Row],[Mes]]*29,"mmmm")</f>
        <v>October</v>
      </c>
      <c r="S106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63" s="152"/>
      <c r="U1063" s="43">
        <f>IF(Planning[[#This Row],[Horas Planificadas]]&lt;&gt;0,+K1063/Planning[[#This Row],[Horas Planificadas]],0)</f>
        <v>0</v>
      </c>
      <c r="V1063" s="43">
        <f>IF(Planning[[#This Row],[Horas Planificadas]]&lt;&gt;0,Planning[[#This Row],[Horas utilizadas]]/Planning[[#This Row],[Horas Planificadas]],0)</f>
        <v>0</v>
      </c>
      <c r="W1063" s="44">
        <f>Planning[[#This Row],[Horas Planificadas]]+Planning[[#This Row],[Horas ajustadas adicionales]]</f>
        <v>0</v>
      </c>
      <c r="X1063" s="142"/>
    </row>
    <row r="1064" spans="1:24" ht="12.75" customHeight="1" x14ac:dyDescent="0.2">
      <c r="A1064" s="7" t="s">
        <v>204</v>
      </c>
      <c r="B1064" s="7" t="s">
        <v>288</v>
      </c>
      <c r="C1064" s="3">
        <v>116987</v>
      </c>
      <c r="D1064" s="3" t="s">
        <v>289</v>
      </c>
      <c r="E1064" s="33"/>
      <c r="F1064" s="3" t="s">
        <v>127</v>
      </c>
      <c r="G1064" s="7"/>
      <c r="H1064" s="7"/>
      <c r="I1064" s="12"/>
      <c r="J1064" s="5" t="e">
        <f>SUM(SUMIFS(#REF!,#REF!,Planning[[#This Row],[Tipo de Tarea y especialidad]],#REF!,Planning[[#This Row],[Proyectos Reiwa]]),SUMIFS(#REF!,#REF!,Planning[[#This Row],[Tipo de Tarea y especialidad]],#REF!,Planning[[#This Row],[Proyectos]]))</f>
        <v>#REF!</v>
      </c>
      <c r="K1064" s="5" t="e">
        <f>Planning[[#This Row],[Horas Planificadas]]+Planning[[#This Row],[Horas ajustadas adicionales]]-Planning[[#This Row],[Horas utilizadas]]</f>
        <v>#REF!</v>
      </c>
      <c r="L1064" s="7"/>
      <c r="M1064" s="19" t="e">
        <f>Planning[[#This Row],[Saldo]]-Planning[[#This Row],[Saldo estimado]]</f>
        <v>#REF!</v>
      </c>
      <c r="N1064" s="60" t="e">
        <f>+SUMIFS(#REF!,#REF!,Planning[[#This Row],[Proyectos]],#REF!,Planning[[#This Row],[Tipo de Tarea y especialidad]])</f>
        <v>#REF!</v>
      </c>
      <c r="O1064" s="19">
        <f t="shared" si="32"/>
        <v>10</v>
      </c>
      <c r="P1064" s="19">
        <f t="shared" si="33"/>
        <v>2024</v>
      </c>
      <c r="Q10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64" s="49" t="str">
        <f>TEXT(Planning[[#This Row],[Mes]]*29,"mmmm")</f>
        <v>October</v>
      </c>
      <c r="S106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64" s="152"/>
      <c r="U1064" s="43">
        <f>IF(Planning[[#This Row],[Horas Planificadas]]&lt;&gt;0,+K1064/Planning[[#This Row],[Horas Planificadas]],0)</f>
        <v>0</v>
      </c>
      <c r="V1064" s="43">
        <f>IF(Planning[[#This Row],[Horas Planificadas]]&lt;&gt;0,Planning[[#This Row],[Horas utilizadas]]/Planning[[#This Row],[Horas Planificadas]],0)</f>
        <v>0</v>
      </c>
      <c r="W1064" s="44">
        <f>Planning[[#This Row],[Horas Planificadas]]+Planning[[#This Row],[Horas ajustadas adicionales]]</f>
        <v>0</v>
      </c>
      <c r="X1064" s="142"/>
    </row>
    <row r="1065" spans="1:24" ht="12.75" customHeight="1" x14ac:dyDescent="0.2">
      <c r="A1065" s="7" t="s">
        <v>204</v>
      </c>
      <c r="B1065" s="7" t="s">
        <v>288</v>
      </c>
      <c r="C1065" s="3">
        <v>116987</v>
      </c>
      <c r="D1065" s="3" t="s">
        <v>289</v>
      </c>
      <c r="E1065" s="33"/>
      <c r="F1065" s="3" t="s">
        <v>128</v>
      </c>
      <c r="G1065" s="7"/>
      <c r="H1065" s="7"/>
      <c r="I1065" s="12"/>
      <c r="J1065" s="5" t="e">
        <f>SUM(SUMIFS(#REF!,#REF!,Planning[[#This Row],[Tipo de Tarea y especialidad]],#REF!,Planning[[#This Row],[Proyectos Reiwa]]),SUMIFS(#REF!,#REF!,Planning[[#This Row],[Tipo de Tarea y especialidad]],#REF!,Planning[[#This Row],[Proyectos]]))</f>
        <v>#REF!</v>
      </c>
      <c r="K1065" s="5" t="e">
        <f>Planning[[#This Row],[Horas Planificadas]]+Planning[[#This Row],[Horas ajustadas adicionales]]-Planning[[#This Row],[Horas utilizadas]]</f>
        <v>#REF!</v>
      </c>
      <c r="L1065" s="7">
        <v>0</v>
      </c>
      <c r="M1065" s="19" t="e">
        <f>Planning[[#This Row],[Saldo]]-Planning[[#This Row],[Saldo estimado]]</f>
        <v>#REF!</v>
      </c>
      <c r="N1065" s="60" t="e">
        <f>+SUMIFS(#REF!,#REF!,Planning[[#This Row],[Proyectos]],#REF!,Planning[[#This Row],[Tipo de Tarea y especialidad]])</f>
        <v>#REF!</v>
      </c>
      <c r="O1065" s="19">
        <f t="shared" si="32"/>
        <v>10</v>
      </c>
      <c r="P1065" s="19">
        <f t="shared" si="33"/>
        <v>2024</v>
      </c>
      <c r="Q10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65" s="49" t="str">
        <f>TEXT(Planning[[#This Row],[Mes]]*29,"mmmm")</f>
        <v>October</v>
      </c>
      <c r="S106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65" s="152"/>
      <c r="U1065" s="43">
        <f>IF(Planning[[#This Row],[Horas Planificadas]]&lt;&gt;0,+K1065/Planning[[#This Row],[Horas Planificadas]],0)</f>
        <v>0</v>
      </c>
      <c r="V1065" s="43">
        <f>IF(Planning[[#This Row],[Horas Planificadas]]&lt;&gt;0,Planning[[#This Row],[Horas utilizadas]]/Planning[[#This Row],[Horas Planificadas]],0)</f>
        <v>0</v>
      </c>
      <c r="W1065" s="44">
        <f>Planning[[#This Row],[Horas Planificadas]]+Planning[[#This Row],[Horas ajustadas adicionales]]</f>
        <v>0</v>
      </c>
      <c r="X1065" s="142"/>
    </row>
    <row r="1066" spans="1:24" ht="12.75" customHeight="1" x14ac:dyDescent="0.2">
      <c r="A1066" s="7" t="s">
        <v>204</v>
      </c>
      <c r="B1066" s="7" t="s">
        <v>288</v>
      </c>
      <c r="C1066" s="3">
        <v>116987</v>
      </c>
      <c r="D1066" s="3" t="s">
        <v>289</v>
      </c>
      <c r="E1066" s="33" t="s">
        <v>31</v>
      </c>
      <c r="F1066" s="3" t="s">
        <v>31</v>
      </c>
      <c r="G1066" s="7">
        <v>248</v>
      </c>
      <c r="H1066" s="15">
        <v>248</v>
      </c>
      <c r="I1066" s="18"/>
      <c r="J1066" s="14" t="e">
        <f>+SUMIFS(#REF!,#REF!,Planning[[#This Row],[Tarifa]],#REF!,Planning[[#This Row],[Proyectos]])</f>
        <v>#REF!</v>
      </c>
      <c r="K1066" s="14" t="e">
        <f>Planning[[#This Row],[Horas Planificadas]]+Planning[[#This Row],[Horas ajustadas adicionales]]-Planning[[#This Row],[Horas utilizadas]]</f>
        <v>#REF!</v>
      </c>
      <c r="L1066" s="15">
        <v>0</v>
      </c>
      <c r="M1066" s="16" t="e">
        <f>Planning[[#This Row],[Saldo]]-Planning[[#This Row],[Saldo estimado]]</f>
        <v>#REF!</v>
      </c>
      <c r="N1066" s="60" t="e">
        <f>+SUMIFS(#REF!,#REF!,Planning[[#This Row],[Proyectos]],#REF!,Planning[[#This Row],[Tipo de Tarea y especialidad]])</f>
        <v>#REF!</v>
      </c>
      <c r="O1066" s="16">
        <f t="shared" si="32"/>
        <v>10</v>
      </c>
      <c r="P1066" s="16">
        <f t="shared" si="33"/>
        <v>2024</v>
      </c>
      <c r="Q1066" s="16" t="e">
        <f>+SUMIFS(#REF!,#REF!,Planning[[#This Row],[Tarifa]],#REF!,Planning[[#This Row],[Proyectos]],#REF!,Planning[[#This Row],[Mes]],#REF!,Planning[[#This Row],[Año]])</f>
        <v>#REF!</v>
      </c>
      <c r="R1066" s="50" t="str">
        <f>TEXT(Planning[[#This Row],[Mes]]*29,"mmmm")</f>
        <v>October</v>
      </c>
      <c r="S106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66" s="152"/>
      <c r="U1066" s="43" t="e">
        <f>IF(Planning[[#This Row],[Horas Planificadas]]&lt;&gt;0,+K1066/Planning[[#This Row],[Horas Planificadas]],0)</f>
        <v>#REF!</v>
      </c>
      <c r="V1066" s="43" t="e">
        <f>IF(Planning[[#This Row],[Horas Planificadas]]&lt;&gt;0,Planning[[#This Row],[Horas utilizadas]]/Planning[[#This Row],[Horas Planificadas]],0)</f>
        <v>#REF!</v>
      </c>
      <c r="W1066" s="44">
        <f>Planning[[#This Row],[Horas Planificadas]]+Planning[[#This Row],[Horas ajustadas adicionales]]</f>
        <v>248</v>
      </c>
      <c r="X1066" s="142"/>
    </row>
    <row r="1067" spans="1:24" ht="12.75" customHeight="1" x14ac:dyDescent="0.2">
      <c r="A1067" s="7" t="s">
        <v>204</v>
      </c>
      <c r="B1067" s="7" t="s">
        <v>288</v>
      </c>
      <c r="C1067" s="3">
        <v>116987</v>
      </c>
      <c r="D1067" s="3" t="s">
        <v>289</v>
      </c>
      <c r="E1067" s="33" t="s">
        <v>32</v>
      </c>
      <c r="F1067" s="3"/>
      <c r="G1067" s="7">
        <v>774</v>
      </c>
      <c r="H1067" s="24">
        <f>SUM(H1068:H1070)</f>
        <v>774</v>
      </c>
      <c r="I1067" s="14"/>
      <c r="J1067" s="14" t="e">
        <f>SUM(J1068:J1070)</f>
        <v>#REF!</v>
      </c>
      <c r="K1067" s="18" t="e">
        <f>SUM(K1068:K1070)</f>
        <v>#REF!</v>
      </c>
      <c r="L1067" s="15">
        <f>SUM(L1068:L1070)</f>
        <v>50</v>
      </c>
      <c r="M1067" s="16" t="e">
        <f>SUM(M1068:M1070)</f>
        <v>#REF!</v>
      </c>
      <c r="N1067" s="60" t="e">
        <f>+SUMIFS(#REF!,#REF!,Planning[[#This Row],[Proyectos]],#REF!,Planning[[#This Row],[Tipo de Tarea y especialidad]])</f>
        <v>#REF!</v>
      </c>
      <c r="O1067" s="16">
        <f t="shared" si="32"/>
        <v>10</v>
      </c>
      <c r="P1067" s="16">
        <f t="shared" si="33"/>
        <v>2024</v>
      </c>
      <c r="Q1067" s="16" t="e">
        <f>SUM(Q1068:Q1070)</f>
        <v>#REF!</v>
      </c>
      <c r="R1067" s="50" t="str">
        <f>TEXT(Planning[[#This Row],[Mes]]*29,"mmmm")</f>
        <v>October</v>
      </c>
      <c r="S106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67" s="152"/>
      <c r="U1067" s="43" t="e">
        <f>IF(Planning[[#This Row],[Horas Planificadas]]&lt;&gt;0,+K1067/Planning[[#This Row],[Horas Planificadas]],0)</f>
        <v>#REF!</v>
      </c>
      <c r="V1067" s="43" t="e">
        <f>IF(Planning[[#This Row],[Horas Planificadas]]&lt;&gt;0,Planning[[#This Row],[Horas utilizadas]]/Planning[[#This Row],[Horas Planificadas]],0)</f>
        <v>#REF!</v>
      </c>
      <c r="W1067" s="44">
        <f>Planning[[#This Row],[Horas Planificadas]]+Planning[[#This Row],[Horas ajustadas adicionales]]</f>
        <v>774</v>
      </c>
      <c r="X1067" s="142"/>
    </row>
    <row r="1068" spans="1:24" ht="12.75" customHeight="1" x14ac:dyDescent="0.2">
      <c r="A1068" s="7" t="s">
        <v>204</v>
      </c>
      <c r="B1068" s="7" t="s">
        <v>288</v>
      </c>
      <c r="C1068" s="3">
        <v>116987</v>
      </c>
      <c r="D1068" s="3" t="s">
        <v>289</v>
      </c>
      <c r="E1068" s="33"/>
      <c r="F1068" s="3" t="s">
        <v>129</v>
      </c>
      <c r="G1068" s="7"/>
      <c r="H1068" s="7"/>
      <c r="I1068" s="12"/>
      <c r="J1068" s="5" t="e">
        <f>SUM(SUMIFS(#REF!,#REF!,Planning[[#This Row],[Tipo de Tarea y especialidad]],#REF!,Planning[[#This Row],[Proyectos Reiwa]]),SUMIFS(#REF!,#REF!,Planning[[#This Row],[Tipo de Tarea y especialidad]],#REF!,Planning[[#This Row],[Proyectos]]))</f>
        <v>#REF!</v>
      </c>
      <c r="K1068" s="5" t="e">
        <f>Planning[[#This Row],[Horas Planificadas]]+Planning[[#This Row],[Horas ajustadas adicionales]]-Planning[[#This Row],[Horas utilizadas]]</f>
        <v>#REF!</v>
      </c>
      <c r="L1068" s="7"/>
      <c r="M1068" s="19" t="e">
        <f>Planning[[#This Row],[Saldo]]-Planning[[#This Row],[Saldo estimado]]</f>
        <v>#REF!</v>
      </c>
      <c r="N1068" s="60" t="e">
        <f>+SUMIFS(#REF!,#REF!,Planning[[#This Row],[Proyectos]],#REF!,Planning[[#This Row],[Tipo de Tarea y especialidad]])</f>
        <v>#REF!</v>
      </c>
      <c r="O1068" s="19">
        <f t="shared" si="32"/>
        <v>10</v>
      </c>
      <c r="P1068" s="19">
        <f t="shared" si="33"/>
        <v>2024</v>
      </c>
      <c r="Q10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68" s="49" t="str">
        <f>TEXT(Planning[[#This Row],[Mes]]*29,"mmmm")</f>
        <v>October</v>
      </c>
      <c r="S106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68" s="152"/>
      <c r="U1068" s="43">
        <f>IF(Planning[[#This Row],[Horas Planificadas]]&lt;&gt;0,+K1068/Planning[[#This Row],[Horas Planificadas]],0)</f>
        <v>0</v>
      </c>
      <c r="V1068" s="43">
        <f>IF(Planning[[#This Row],[Horas Planificadas]]&lt;&gt;0,Planning[[#This Row],[Horas utilizadas]]/Planning[[#This Row],[Horas Planificadas]],0)</f>
        <v>0</v>
      </c>
      <c r="W1068" s="44">
        <f>Planning[[#This Row],[Horas Planificadas]]+Planning[[#This Row],[Horas ajustadas adicionales]]</f>
        <v>0</v>
      </c>
      <c r="X1068" s="142"/>
    </row>
    <row r="1069" spans="1:24" ht="12.75" customHeight="1" x14ac:dyDescent="0.2">
      <c r="A1069" s="7" t="s">
        <v>204</v>
      </c>
      <c r="B1069" s="7" t="s">
        <v>288</v>
      </c>
      <c r="C1069" s="3">
        <v>116987</v>
      </c>
      <c r="D1069" s="3" t="s">
        <v>289</v>
      </c>
      <c r="E1069" s="33"/>
      <c r="F1069" s="3" t="s">
        <v>130</v>
      </c>
      <c r="G1069" s="7"/>
      <c r="H1069" s="7"/>
      <c r="I1069" s="12"/>
      <c r="J1069" s="5" t="e">
        <f>SUM(SUMIFS(#REF!,#REF!,Planning[[#This Row],[Tipo de Tarea y especialidad]],#REF!,Planning[[#This Row],[Proyectos Reiwa]]),SUMIFS(#REF!,#REF!,Planning[[#This Row],[Tipo de Tarea y especialidad]],#REF!,Planning[[#This Row],[Proyectos]]))</f>
        <v>#REF!</v>
      </c>
      <c r="K1069" s="5" t="e">
        <f>Planning[[#This Row],[Horas Planificadas]]+Planning[[#This Row],[Horas ajustadas adicionales]]-Planning[[#This Row],[Horas utilizadas]]</f>
        <v>#REF!</v>
      </c>
      <c r="L1069" s="7"/>
      <c r="M1069" s="19" t="e">
        <f>Planning[[#This Row],[Saldo]]-Planning[[#This Row],[Saldo estimado]]</f>
        <v>#REF!</v>
      </c>
      <c r="N1069" s="60" t="e">
        <f>+SUMIFS(#REF!,#REF!,Planning[[#This Row],[Proyectos]],#REF!,Planning[[#This Row],[Tipo de Tarea y especialidad]])</f>
        <v>#REF!</v>
      </c>
      <c r="O1069" s="19">
        <f t="shared" si="32"/>
        <v>10</v>
      </c>
      <c r="P1069" s="19">
        <f t="shared" si="33"/>
        <v>2024</v>
      </c>
      <c r="Q10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69" s="49" t="str">
        <f>TEXT(Planning[[#This Row],[Mes]]*29,"mmmm")</f>
        <v>October</v>
      </c>
      <c r="S106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69" s="152"/>
      <c r="U1069" s="43">
        <f>IF(Planning[[#This Row],[Horas Planificadas]]&lt;&gt;0,+K1069/Planning[[#This Row],[Horas Planificadas]],0)</f>
        <v>0</v>
      </c>
      <c r="V1069" s="43">
        <f>IF(Planning[[#This Row],[Horas Planificadas]]&lt;&gt;0,Planning[[#This Row],[Horas utilizadas]]/Planning[[#This Row],[Horas Planificadas]],0)</f>
        <v>0</v>
      </c>
      <c r="W1069" s="44">
        <f>Planning[[#This Row],[Horas Planificadas]]+Planning[[#This Row],[Horas ajustadas adicionales]]</f>
        <v>0</v>
      </c>
      <c r="X1069" s="142"/>
    </row>
    <row r="1070" spans="1:24" ht="12.75" customHeight="1" x14ac:dyDescent="0.2">
      <c r="A1070" s="7" t="s">
        <v>204</v>
      </c>
      <c r="B1070" s="7" t="s">
        <v>288</v>
      </c>
      <c r="C1070" s="3">
        <v>116987</v>
      </c>
      <c r="D1070" s="3" t="s">
        <v>289</v>
      </c>
      <c r="E1070" s="33"/>
      <c r="F1070" s="3" t="s">
        <v>131</v>
      </c>
      <c r="G1070" s="7"/>
      <c r="H1070" s="7">
        <v>774</v>
      </c>
      <c r="I1070" s="12"/>
      <c r="J1070" s="5" t="e">
        <f>SUM(SUMIFS(#REF!,#REF!,Planning[[#This Row],[Tipo de Tarea y especialidad]],#REF!,Planning[[#This Row],[Proyectos Reiwa]]),SUMIFS(#REF!,#REF!,Planning[[#This Row],[Tipo de Tarea y especialidad]],#REF!,Planning[[#This Row],[Proyectos]]))</f>
        <v>#REF!</v>
      </c>
      <c r="K1070" s="5" t="e">
        <f>Planning[[#This Row],[Horas Planificadas]]+Planning[[#This Row],[Horas ajustadas adicionales]]-Planning[[#This Row],[Horas utilizadas]]</f>
        <v>#REF!</v>
      </c>
      <c r="L1070" s="7">
        <v>50</v>
      </c>
      <c r="M1070" s="19" t="e">
        <f>Planning[[#This Row],[Saldo]]-Planning[[#This Row],[Saldo estimado]]</f>
        <v>#REF!</v>
      </c>
      <c r="N1070" s="60" t="e">
        <f>+SUMIFS(#REF!,#REF!,Planning[[#This Row],[Proyectos]],#REF!,Planning[[#This Row],[Tipo de Tarea y especialidad]])</f>
        <v>#REF!</v>
      </c>
      <c r="O1070" s="19">
        <f t="shared" si="32"/>
        <v>10</v>
      </c>
      <c r="P1070" s="19">
        <f t="shared" si="33"/>
        <v>2024</v>
      </c>
      <c r="Q10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070" s="51" t="str">
        <f>TEXT(Planning[[#This Row],[Mes]]*29,"mmmm")</f>
        <v>October</v>
      </c>
      <c r="S1070"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70" s="153"/>
      <c r="U1070" s="43" t="e">
        <f>IF(Planning[[#This Row],[Horas Planificadas]]&lt;&gt;0,+K1070/Planning[[#This Row],[Horas Planificadas]],0)</f>
        <v>#REF!</v>
      </c>
      <c r="V1070" s="43" t="e">
        <f>IF(Planning[[#This Row],[Horas Planificadas]]&lt;&gt;0,Planning[[#This Row],[Horas utilizadas]]/Planning[[#This Row],[Horas Planificadas]],0)</f>
        <v>#REF!</v>
      </c>
      <c r="W1070" s="44">
        <f>Planning[[#This Row],[Horas Planificadas]]+Planning[[#This Row],[Horas ajustadas adicionales]]</f>
        <v>774</v>
      </c>
      <c r="X1070" s="142"/>
    </row>
    <row r="1071" spans="1:24" ht="12.75" customHeight="1" x14ac:dyDescent="0.2">
      <c r="A1071" s="7"/>
      <c r="B1071" s="7"/>
      <c r="C1071" s="3"/>
      <c r="D1071" s="3" t="s">
        <v>291</v>
      </c>
      <c r="E1071" s="33" t="s">
        <v>28</v>
      </c>
      <c r="F1071" s="3"/>
      <c r="G1071" s="7"/>
      <c r="H1071" s="7">
        <v>0</v>
      </c>
      <c r="I1071" s="12"/>
      <c r="J1071" s="5" t="e">
        <f>+SUMIFS(#REF!,#REF!,Planning[[#This Row],[Tarifa]],#REF!,Planning[[#This Row],[Proyectos]])</f>
        <v>#REF!</v>
      </c>
      <c r="K1071" s="5" t="e">
        <f>Planning[[#This Row],[Horas Planificadas]]+Planning[[#This Row],[Horas ajustadas adicionales]]-Planning[[#This Row],[Horas utilizadas]]</f>
        <v>#REF!</v>
      </c>
      <c r="L1071" s="7"/>
      <c r="M1071" s="19" t="e">
        <f>Planning[[#This Row],[Saldo]]-Planning[[#This Row],[Saldo estimado]]</f>
        <v>#REF!</v>
      </c>
      <c r="N1071" s="60" t="e">
        <f>+SUMIFS(#REF!,#REF!,Planning[[#This Row],[Proyectos]],#REF!,Planning[[#This Row],[Tipo de Tarea y especialidad]])</f>
        <v>#REF!</v>
      </c>
      <c r="O1071" s="19">
        <f t="shared" si="32"/>
        <v>10</v>
      </c>
      <c r="P1071" s="19">
        <f t="shared" si="33"/>
        <v>2024</v>
      </c>
      <c r="Q1071" s="19" t="e">
        <f>+SUMIFS(#REF!,#REF!,Planning[[#This Row],[Tarifa]],#REF!,Planning[[#This Row],[Proyectos]],#REF!,Planning[[#This Row],[Mes]],#REF!,Planning[[#This Row],[Año]])</f>
        <v>#REF!</v>
      </c>
      <c r="R1071" s="19" t="str">
        <f>TEXT(Planning[[#This Row],[Mes]]*29,"mmmm")</f>
        <v>October</v>
      </c>
      <c r="S10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71" s="228"/>
      <c r="U1071" s="43">
        <f>IF(Planning[[#This Row],[Horas Planificadas]]&lt;&gt;0,+K1071/Planning[[#This Row],[Horas Planificadas]],0)</f>
        <v>0</v>
      </c>
      <c r="V1071" s="43">
        <f>IF(Planning[[#This Row],[Horas Planificadas]]&lt;&gt;0,Planning[[#This Row],[Horas utilizadas]]/Planning[[#This Row],[Horas Planificadas]],0)</f>
        <v>0</v>
      </c>
      <c r="W1071" s="44">
        <f>Planning[[#This Row],[Horas Planificadas]]+Planning[[#This Row],[Horas ajustadas adicionales]]</f>
        <v>0</v>
      </c>
      <c r="X1071" s="142"/>
    </row>
    <row r="1072" spans="1:24" ht="12.75" customHeight="1" x14ac:dyDescent="0.2">
      <c r="A1072" s="7"/>
      <c r="B1072" s="7"/>
      <c r="C1072" s="3"/>
      <c r="D1072" s="3" t="s">
        <v>291</v>
      </c>
      <c r="E1072" s="33" t="s">
        <v>30</v>
      </c>
      <c r="F1072" s="3"/>
      <c r="G1072" s="7"/>
      <c r="H1072" s="7">
        <v>206</v>
      </c>
      <c r="I1072" s="12"/>
      <c r="J1072" s="5" t="e">
        <f>+SUMIFS(#REF!,#REF!,Planning[[#This Row],[Tarifa]],#REF!,Planning[[#This Row],[Proyectos]])</f>
        <v>#REF!</v>
      </c>
      <c r="K1072" s="5" t="e">
        <f>Planning[[#This Row],[Horas Planificadas]]+Planning[[#This Row],[Horas ajustadas adicionales]]-Planning[[#This Row],[Horas utilizadas]]</f>
        <v>#REF!</v>
      </c>
      <c r="L1072" s="7"/>
      <c r="M1072" s="19" t="e">
        <f>Planning[[#This Row],[Saldo]]-Planning[[#This Row],[Saldo estimado]]</f>
        <v>#REF!</v>
      </c>
      <c r="N1072" s="60" t="e">
        <f>+SUMIFS(#REF!,#REF!,Planning[[#This Row],[Proyectos]],#REF!,Planning[[#This Row],[Tipo de Tarea y especialidad]])</f>
        <v>#REF!</v>
      </c>
      <c r="O1072" s="19">
        <f t="shared" si="32"/>
        <v>10</v>
      </c>
      <c r="P1072" s="19">
        <f t="shared" si="33"/>
        <v>2024</v>
      </c>
      <c r="Q1072" s="19" t="e">
        <f>+SUMIFS(#REF!,#REF!,Planning[[#This Row],[Tarifa]],#REF!,Planning[[#This Row],[Proyectos]],#REF!,Planning[[#This Row],[Mes]],#REF!,Planning[[#This Row],[Año]])</f>
        <v>#REF!</v>
      </c>
      <c r="R1072" s="19" t="str">
        <f>TEXT(Planning[[#This Row],[Mes]]*29,"mmmm")</f>
        <v>October</v>
      </c>
      <c r="S10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72" s="228"/>
      <c r="U1072" s="43" t="e">
        <f>IF(Planning[[#This Row],[Horas Planificadas]]&lt;&gt;0,+K1072/Planning[[#This Row],[Horas Planificadas]],0)</f>
        <v>#REF!</v>
      </c>
      <c r="V1072" s="43" t="e">
        <f>IF(Planning[[#This Row],[Horas Planificadas]]&lt;&gt;0,Planning[[#This Row],[Horas utilizadas]]/Planning[[#This Row],[Horas Planificadas]],0)</f>
        <v>#REF!</v>
      </c>
      <c r="W1072" s="44">
        <f>Planning[[#This Row],[Horas Planificadas]]+Planning[[#This Row],[Horas ajustadas adicionales]]</f>
        <v>206</v>
      </c>
      <c r="X1072" s="142"/>
    </row>
    <row r="1073" spans="1:24" ht="12.75" customHeight="1" x14ac:dyDescent="0.2">
      <c r="A1073" s="7"/>
      <c r="B1073" s="7"/>
      <c r="C1073" s="3"/>
      <c r="D1073" s="3" t="s">
        <v>291</v>
      </c>
      <c r="E1073" s="33" t="s">
        <v>31</v>
      </c>
      <c r="F1073" s="3"/>
      <c r="G1073" s="7"/>
      <c r="H1073" s="7">
        <v>38</v>
      </c>
      <c r="I1073" s="12"/>
      <c r="J1073" s="5" t="e">
        <f>+SUMIFS(#REF!,#REF!,Planning[[#This Row],[Tarifa]],#REF!,Planning[[#This Row],[Proyectos]])</f>
        <v>#REF!</v>
      </c>
      <c r="K1073" s="5" t="e">
        <f>Planning[[#This Row],[Horas Planificadas]]+Planning[[#This Row],[Horas ajustadas adicionales]]-Planning[[#This Row],[Horas utilizadas]]</f>
        <v>#REF!</v>
      </c>
      <c r="L1073" s="7"/>
      <c r="M1073" s="19" t="e">
        <f>Planning[[#This Row],[Saldo]]-Planning[[#This Row],[Saldo estimado]]</f>
        <v>#REF!</v>
      </c>
      <c r="N1073" s="60" t="e">
        <f>+SUMIFS(#REF!,#REF!,Planning[[#This Row],[Proyectos]],#REF!,Planning[[#This Row],[Tipo de Tarea y especialidad]])</f>
        <v>#REF!</v>
      </c>
      <c r="O1073" s="19">
        <f t="shared" si="32"/>
        <v>10</v>
      </c>
      <c r="P1073" s="19">
        <f t="shared" si="33"/>
        <v>2024</v>
      </c>
      <c r="Q1073" s="19" t="e">
        <f>+SUMIFS(#REF!,#REF!,Planning[[#This Row],[Tarifa]],#REF!,Planning[[#This Row],[Proyectos]],#REF!,Planning[[#This Row],[Mes]],#REF!,Planning[[#This Row],[Año]])</f>
        <v>#REF!</v>
      </c>
      <c r="R1073" s="19" t="str">
        <f>TEXT(Planning[[#This Row],[Mes]]*29,"mmmm")</f>
        <v>October</v>
      </c>
      <c r="S10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73" s="228"/>
      <c r="U1073" s="43" t="e">
        <f>IF(Planning[[#This Row],[Horas Planificadas]]&lt;&gt;0,+K1073/Planning[[#This Row],[Horas Planificadas]],0)</f>
        <v>#REF!</v>
      </c>
      <c r="V1073" s="43" t="e">
        <f>IF(Planning[[#This Row],[Horas Planificadas]]&lt;&gt;0,Planning[[#This Row],[Horas utilizadas]]/Planning[[#This Row],[Horas Planificadas]],0)</f>
        <v>#REF!</v>
      </c>
      <c r="W1073" s="44">
        <f>Planning[[#This Row],[Horas Planificadas]]+Planning[[#This Row],[Horas ajustadas adicionales]]</f>
        <v>38</v>
      </c>
      <c r="X1073" s="142"/>
    </row>
    <row r="1074" spans="1:24" ht="12.75" customHeight="1" x14ac:dyDescent="0.2">
      <c r="A1074" s="7"/>
      <c r="B1074" s="7"/>
      <c r="C1074" s="3"/>
      <c r="D1074" s="3" t="s">
        <v>291</v>
      </c>
      <c r="E1074" s="33" t="s">
        <v>32</v>
      </c>
      <c r="F1074" s="3"/>
      <c r="G1074" s="7"/>
      <c r="H1074" s="7">
        <v>77</v>
      </c>
      <c r="I1074" s="12"/>
      <c r="J1074" s="5" t="e">
        <f>+SUMIFS(#REF!,#REF!,Planning[[#This Row],[Tarifa]],#REF!,Planning[[#This Row],[Proyectos]])</f>
        <v>#REF!</v>
      </c>
      <c r="K1074" s="5" t="e">
        <f>Planning[[#This Row],[Horas Planificadas]]+Planning[[#This Row],[Horas ajustadas adicionales]]-Planning[[#This Row],[Horas utilizadas]]</f>
        <v>#REF!</v>
      </c>
      <c r="L1074" s="7"/>
      <c r="M1074" s="19" t="e">
        <f>Planning[[#This Row],[Saldo]]-Planning[[#This Row],[Saldo estimado]]</f>
        <v>#REF!</v>
      </c>
      <c r="N1074" s="60" t="e">
        <f>+SUMIFS(#REF!,#REF!,Planning[[#This Row],[Proyectos]],#REF!,Planning[[#This Row],[Tipo de Tarea y especialidad]])</f>
        <v>#REF!</v>
      </c>
      <c r="O1074" s="19">
        <f t="shared" si="32"/>
        <v>10</v>
      </c>
      <c r="P1074" s="19">
        <f t="shared" si="33"/>
        <v>2024</v>
      </c>
      <c r="Q1074" s="19" t="e">
        <f>+SUMIFS(#REF!,#REF!,Planning[[#This Row],[Tarifa]],#REF!,Planning[[#This Row],[Proyectos]],#REF!,Planning[[#This Row],[Mes]],#REF!,Planning[[#This Row],[Año]])</f>
        <v>#REF!</v>
      </c>
      <c r="R1074" s="19" t="str">
        <f>TEXT(Planning[[#This Row],[Mes]]*29,"mmmm")</f>
        <v>October</v>
      </c>
      <c r="S10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74" s="228"/>
      <c r="U1074" s="43" t="e">
        <f>IF(Planning[[#This Row],[Horas Planificadas]]&lt;&gt;0,+K1074/Planning[[#This Row],[Horas Planificadas]],0)</f>
        <v>#REF!</v>
      </c>
      <c r="V1074" s="43" t="e">
        <f>IF(Planning[[#This Row],[Horas Planificadas]]&lt;&gt;0,Planning[[#This Row],[Horas utilizadas]]/Planning[[#This Row],[Horas Planificadas]],0)</f>
        <v>#REF!</v>
      </c>
      <c r="W1074" s="44">
        <f>Planning[[#This Row],[Horas Planificadas]]+Planning[[#This Row],[Horas ajustadas adicionales]]</f>
        <v>77</v>
      </c>
      <c r="X1074" s="142"/>
    </row>
    <row r="1075" spans="1:24" ht="12.75" customHeight="1" x14ac:dyDescent="0.2">
      <c r="A1075" s="7" t="s">
        <v>168</v>
      </c>
      <c r="B1075" s="7" t="s">
        <v>178</v>
      </c>
      <c r="C1075" s="3"/>
      <c r="D1075" s="3" t="s">
        <v>292</v>
      </c>
      <c r="E1075" s="33" t="s">
        <v>28</v>
      </c>
      <c r="F1075" s="3"/>
      <c r="G1075" s="7"/>
      <c r="H1075" s="7">
        <v>0</v>
      </c>
      <c r="I1075" s="12"/>
      <c r="J1075" s="5" t="e">
        <f>+SUMIFS(#REF!,#REF!,Planning[[#This Row],[Tarifa]],#REF!,Planning[[#This Row],[Proyectos]])</f>
        <v>#REF!</v>
      </c>
      <c r="K1075" s="5" t="e">
        <f>Planning[[#This Row],[Horas Planificadas]]+Planning[[#This Row],[Horas ajustadas adicionales]]-Planning[[#This Row],[Horas utilizadas]]</f>
        <v>#REF!</v>
      </c>
      <c r="L1075" s="7">
        <v>0</v>
      </c>
      <c r="M1075" s="19" t="e">
        <f>Planning[[#This Row],[Saldo]]-Planning[[#This Row],[Saldo estimado]]</f>
        <v>#REF!</v>
      </c>
      <c r="N1075" s="60" t="e">
        <f>+SUMIFS(#REF!,#REF!,Planning[[#This Row],[Proyectos]],#REF!,Planning[[#This Row],[Tipo de Tarea y especialidad]])</f>
        <v>#REF!</v>
      </c>
      <c r="O1075" s="19">
        <f t="shared" si="32"/>
        <v>10</v>
      </c>
      <c r="P1075" s="19">
        <f t="shared" si="33"/>
        <v>2024</v>
      </c>
      <c r="Q1075" s="19" t="e">
        <f>+SUMIFS(#REF!,#REF!,Planning[[#This Row],[Tarifa]],#REF!,Planning[[#This Row],[Proyectos]],#REF!,Planning[[#This Row],[Mes]],#REF!,Planning[[#This Row],[Año]])</f>
        <v>#REF!</v>
      </c>
      <c r="R1075" s="19" t="str">
        <f>TEXT(Planning[[#This Row],[Mes]]*29,"mmmm")</f>
        <v>October</v>
      </c>
      <c r="S10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75" s="228"/>
      <c r="U1075" s="43">
        <f>IF(Planning[[#This Row],[Horas Planificadas]]&lt;&gt;0,+K1075/Planning[[#This Row],[Horas Planificadas]],0)</f>
        <v>0</v>
      </c>
      <c r="V1075" s="43">
        <f>IF(Planning[[#This Row],[Horas Planificadas]]&lt;&gt;0,Planning[[#This Row],[Horas utilizadas]]/Planning[[#This Row],[Horas Planificadas]],0)</f>
        <v>0</v>
      </c>
      <c r="W1075" s="44">
        <f>Planning[[#This Row],[Horas Planificadas]]+Planning[[#This Row],[Horas ajustadas adicionales]]</f>
        <v>0</v>
      </c>
      <c r="X1075" s="142"/>
    </row>
    <row r="1076" spans="1:24" ht="12.75" customHeight="1" x14ac:dyDescent="0.2">
      <c r="A1076" s="7" t="s">
        <v>168</v>
      </c>
      <c r="B1076" s="7" t="s">
        <v>178</v>
      </c>
      <c r="C1076" s="3"/>
      <c r="D1076" s="3" t="s">
        <v>292</v>
      </c>
      <c r="E1076" s="33" t="s">
        <v>30</v>
      </c>
      <c r="F1076" s="3"/>
      <c r="G1076" s="7"/>
      <c r="H1076" s="7">
        <v>382</v>
      </c>
      <c r="I1076" s="12"/>
      <c r="J1076" s="5" t="e">
        <f>+SUMIFS(#REF!,#REF!,Planning[[#This Row],[Tarifa]],#REF!,Planning[[#This Row],[Proyectos]])</f>
        <v>#REF!</v>
      </c>
      <c r="K1076" s="5" t="e">
        <f>Planning[[#This Row],[Horas Planificadas]]+Planning[[#This Row],[Horas ajustadas adicionales]]-Planning[[#This Row],[Horas utilizadas]]</f>
        <v>#REF!</v>
      </c>
      <c r="L1076" s="7">
        <v>0</v>
      </c>
      <c r="M1076" s="19" t="e">
        <f>Planning[[#This Row],[Saldo]]-Planning[[#This Row],[Saldo estimado]]</f>
        <v>#REF!</v>
      </c>
      <c r="N1076" s="60" t="e">
        <f>+SUMIFS(#REF!,#REF!,Planning[[#This Row],[Proyectos]],#REF!,Planning[[#This Row],[Tipo de Tarea y especialidad]])</f>
        <v>#REF!</v>
      </c>
      <c r="O1076" s="19">
        <f t="shared" si="32"/>
        <v>10</v>
      </c>
      <c r="P1076" s="19">
        <f t="shared" si="33"/>
        <v>2024</v>
      </c>
      <c r="Q1076" s="19" t="e">
        <f>+SUMIFS(#REF!,#REF!,Planning[[#This Row],[Tarifa]],#REF!,Planning[[#This Row],[Proyectos]],#REF!,Planning[[#This Row],[Mes]],#REF!,Planning[[#This Row],[Año]])</f>
        <v>#REF!</v>
      </c>
      <c r="R1076" s="19" t="str">
        <f>TEXT(Planning[[#This Row],[Mes]]*29,"mmmm")</f>
        <v>October</v>
      </c>
      <c r="S10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76" s="228"/>
      <c r="U1076" s="43" t="e">
        <f>IF(Planning[[#This Row],[Horas Planificadas]]&lt;&gt;0,+K1076/Planning[[#This Row],[Horas Planificadas]],0)</f>
        <v>#REF!</v>
      </c>
      <c r="V1076" s="43" t="e">
        <f>IF(Planning[[#This Row],[Horas Planificadas]]&lt;&gt;0,Planning[[#This Row],[Horas utilizadas]]/Planning[[#This Row],[Horas Planificadas]],0)</f>
        <v>#REF!</v>
      </c>
      <c r="W1076" s="44">
        <f>Planning[[#This Row],[Horas Planificadas]]+Planning[[#This Row],[Horas ajustadas adicionales]]</f>
        <v>382</v>
      </c>
      <c r="X1076" s="142"/>
    </row>
    <row r="1077" spans="1:24" ht="12.75" customHeight="1" x14ac:dyDescent="0.2">
      <c r="A1077" s="7" t="s">
        <v>168</v>
      </c>
      <c r="B1077" s="7" t="s">
        <v>178</v>
      </c>
      <c r="C1077" s="3"/>
      <c r="D1077" s="3" t="s">
        <v>292</v>
      </c>
      <c r="E1077" s="33" t="s">
        <v>31</v>
      </c>
      <c r="F1077" s="3"/>
      <c r="G1077" s="7"/>
      <c r="H1077" s="7">
        <v>84</v>
      </c>
      <c r="I1077" s="12"/>
      <c r="J1077" s="5" t="e">
        <f>+SUMIFS(#REF!,#REF!,Planning[[#This Row],[Tarifa]],#REF!,Planning[[#This Row],[Proyectos]])</f>
        <v>#REF!</v>
      </c>
      <c r="K1077" s="5" t="e">
        <f>Planning[[#This Row],[Horas Planificadas]]+Planning[[#This Row],[Horas ajustadas adicionales]]-Planning[[#This Row],[Horas utilizadas]]</f>
        <v>#REF!</v>
      </c>
      <c r="L1077" s="7">
        <v>0</v>
      </c>
      <c r="M1077" s="19" t="e">
        <f>Planning[[#This Row],[Saldo]]-Planning[[#This Row],[Saldo estimado]]</f>
        <v>#REF!</v>
      </c>
      <c r="N1077" s="60" t="e">
        <f>+SUMIFS(#REF!,#REF!,Planning[[#This Row],[Proyectos]],#REF!,Planning[[#This Row],[Tipo de Tarea y especialidad]])</f>
        <v>#REF!</v>
      </c>
      <c r="O1077" s="19">
        <f t="shared" si="32"/>
        <v>10</v>
      </c>
      <c r="P1077" s="19">
        <f t="shared" si="33"/>
        <v>2024</v>
      </c>
      <c r="Q1077" s="19" t="e">
        <f>+SUMIFS(#REF!,#REF!,Planning[[#This Row],[Tarifa]],#REF!,Planning[[#This Row],[Proyectos]],#REF!,Planning[[#This Row],[Mes]],#REF!,Planning[[#This Row],[Año]])</f>
        <v>#REF!</v>
      </c>
      <c r="R1077" s="19" t="str">
        <f>TEXT(Planning[[#This Row],[Mes]]*29,"mmmm")</f>
        <v>October</v>
      </c>
      <c r="S10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77" s="228"/>
      <c r="U1077" s="43" t="e">
        <f>IF(Planning[[#This Row],[Horas Planificadas]]&lt;&gt;0,+K1077/Planning[[#This Row],[Horas Planificadas]],0)</f>
        <v>#REF!</v>
      </c>
      <c r="V1077" s="43" t="e">
        <f>IF(Planning[[#This Row],[Horas Planificadas]]&lt;&gt;0,Planning[[#This Row],[Horas utilizadas]]/Planning[[#This Row],[Horas Planificadas]],0)</f>
        <v>#REF!</v>
      </c>
      <c r="W1077" s="44">
        <f>Planning[[#This Row],[Horas Planificadas]]+Planning[[#This Row],[Horas ajustadas adicionales]]</f>
        <v>84</v>
      </c>
      <c r="X1077" s="142"/>
    </row>
    <row r="1078" spans="1:24" ht="12.75" customHeight="1" x14ac:dyDescent="0.2">
      <c r="A1078" s="7" t="s">
        <v>168</v>
      </c>
      <c r="B1078" s="7" t="s">
        <v>178</v>
      </c>
      <c r="C1078" s="3"/>
      <c r="D1078" s="3" t="s">
        <v>292</v>
      </c>
      <c r="E1078" s="33" t="s">
        <v>32</v>
      </c>
      <c r="F1078" s="3"/>
      <c r="G1078" s="7"/>
      <c r="H1078" s="7">
        <v>125</v>
      </c>
      <c r="I1078" s="12"/>
      <c r="J1078" s="5" t="e">
        <f>+SUMIFS(#REF!,#REF!,Planning[[#This Row],[Tarifa]],#REF!,Planning[[#This Row],[Proyectos]])</f>
        <v>#REF!</v>
      </c>
      <c r="K1078" s="5" t="e">
        <f>Planning[[#This Row],[Horas Planificadas]]+Planning[[#This Row],[Horas ajustadas adicionales]]-Planning[[#This Row],[Horas utilizadas]]</f>
        <v>#REF!</v>
      </c>
      <c r="L1078" s="7">
        <v>0</v>
      </c>
      <c r="M1078" s="19" t="e">
        <f>Planning[[#This Row],[Saldo]]-Planning[[#This Row],[Saldo estimado]]</f>
        <v>#REF!</v>
      </c>
      <c r="N1078" s="60" t="e">
        <f>+SUMIFS(#REF!,#REF!,Planning[[#This Row],[Proyectos]],#REF!,Planning[[#This Row],[Tipo de Tarea y especialidad]])</f>
        <v>#REF!</v>
      </c>
      <c r="O1078" s="19">
        <f t="shared" si="32"/>
        <v>10</v>
      </c>
      <c r="P1078" s="19">
        <f t="shared" si="33"/>
        <v>2024</v>
      </c>
      <c r="Q1078" s="19" t="e">
        <f>+SUMIFS(#REF!,#REF!,Planning[[#This Row],[Tarifa]],#REF!,Planning[[#This Row],[Proyectos]],#REF!,Planning[[#This Row],[Mes]],#REF!,Planning[[#This Row],[Año]])</f>
        <v>#REF!</v>
      </c>
      <c r="R1078" s="19" t="str">
        <f>TEXT(Planning[[#This Row],[Mes]]*29,"mmmm")</f>
        <v>October</v>
      </c>
      <c r="S10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78" s="228"/>
      <c r="U1078" s="43" t="e">
        <f>IF(Planning[[#This Row],[Horas Planificadas]]&lt;&gt;0,+K1078/Planning[[#This Row],[Horas Planificadas]],0)</f>
        <v>#REF!</v>
      </c>
      <c r="V1078" s="43" t="e">
        <f>IF(Planning[[#This Row],[Horas Planificadas]]&lt;&gt;0,Planning[[#This Row],[Horas utilizadas]]/Planning[[#This Row],[Horas Planificadas]],0)</f>
        <v>#REF!</v>
      </c>
      <c r="W1078" s="44">
        <f>Planning[[#This Row],[Horas Planificadas]]+Planning[[#This Row],[Horas ajustadas adicionales]]</f>
        <v>125</v>
      </c>
      <c r="X1078" s="142"/>
    </row>
    <row r="1079" spans="1:24" ht="12.75" customHeight="1" x14ac:dyDescent="0.2">
      <c r="A1079" s="7"/>
      <c r="B1079" s="7"/>
      <c r="C1079" s="3"/>
      <c r="D1079" s="3" t="s">
        <v>293</v>
      </c>
      <c r="E1079" s="33" t="s">
        <v>28</v>
      </c>
      <c r="F1079" s="3"/>
      <c r="G1079" s="7"/>
      <c r="H1079" s="7">
        <v>0</v>
      </c>
      <c r="I1079" s="12"/>
      <c r="J1079" s="5" t="e">
        <f>+SUMIFS(#REF!,#REF!,Planning[[#This Row],[Tarifa]],#REF!,Planning[[#This Row],[Proyectos]])</f>
        <v>#REF!</v>
      </c>
      <c r="K1079" s="5" t="e">
        <f>Planning[[#This Row],[Horas Planificadas]]+Planning[[#This Row],[Horas ajustadas adicionales]]-Planning[[#This Row],[Horas utilizadas]]</f>
        <v>#REF!</v>
      </c>
      <c r="L1079" s="7"/>
      <c r="M1079" s="19" t="e">
        <f>Planning[[#This Row],[Saldo]]-Planning[[#This Row],[Saldo estimado]]</f>
        <v>#REF!</v>
      </c>
      <c r="N1079" s="60" t="e">
        <f>+SUMIFS(#REF!,#REF!,Planning[[#This Row],[Proyectos]],#REF!,Planning[[#This Row],[Tipo de Tarea y especialidad]])</f>
        <v>#REF!</v>
      </c>
      <c r="O1079" s="19">
        <f t="shared" si="32"/>
        <v>10</v>
      </c>
      <c r="P1079" s="19">
        <f t="shared" si="33"/>
        <v>2024</v>
      </c>
      <c r="Q1079" s="19" t="e">
        <f>+SUMIFS(#REF!,#REF!,Planning[[#This Row],[Tarifa]],#REF!,Planning[[#This Row],[Proyectos]],#REF!,Planning[[#This Row],[Mes]],#REF!,Planning[[#This Row],[Año]])</f>
        <v>#REF!</v>
      </c>
      <c r="R1079" s="19" t="str">
        <f>TEXT(Planning[[#This Row],[Mes]]*29,"mmmm")</f>
        <v>October</v>
      </c>
      <c r="S10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79" s="228"/>
      <c r="U1079" s="43">
        <f>IF(Planning[[#This Row],[Horas Planificadas]]&lt;&gt;0,+K1079/Planning[[#This Row],[Horas Planificadas]],0)</f>
        <v>0</v>
      </c>
      <c r="V1079" s="43">
        <f>IF(Planning[[#This Row],[Horas Planificadas]]&lt;&gt;0,Planning[[#This Row],[Horas utilizadas]]/Planning[[#This Row],[Horas Planificadas]],0)</f>
        <v>0</v>
      </c>
      <c r="W1079" s="44">
        <f>Planning[[#This Row],[Horas Planificadas]]+Planning[[#This Row],[Horas ajustadas adicionales]]</f>
        <v>0</v>
      </c>
      <c r="X1079" s="142"/>
    </row>
    <row r="1080" spans="1:24" ht="12.75" customHeight="1" x14ac:dyDescent="0.2">
      <c r="A1080" s="7"/>
      <c r="B1080" s="7"/>
      <c r="C1080" s="3"/>
      <c r="D1080" s="3" t="s">
        <v>293</v>
      </c>
      <c r="E1080" s="33" t="s">
        <v>30</v>
      </c>
      <c r="F1080" s="3"/>
      <c r="G1080" s="7"/>
      <c r="H1080" s="7">
        <v>36</v>
      </c>
      <c r="I1080" s="12"/>
      <c r="J1080" s="5" t="e">
        <f>+SUMIFS(#REF!,#REF!,Planning[[#This Row],[Tarifa]],#REF!,Planning[[#This Row],[Proyectos]])</f>
        <v>#REF!</v>
      </c>
      <c r="K1080" s="5" t="e">
        <f>Planning[[#This Row],[Horas Planificadas]]+Planning[[#This Row],[Horas ajustadas adicionales]]-Planning[[#This Row],[Horas utilizadas]]</f>
        <v>#REF!</v>
      </c>
      <c r="L1080" s="7"/>
      <c r="M1080" s="19" t="e">
        <f>Planning[[#This Row],[Saldo]]-Planning[[#This Row],[Saldo estimado]]</f>
        <v>#REF!</v>
      </c>
      <c r="N1080" s="60" t="e">
        <f>+SUMIFS(#REF!,#REF!,Planning[[#This Row],[Proyectos]],#REF!,Planning[[#This Row],[Tipo de Tarea y especialidad]])</f>
        <v>#REF!</v>
      </c>
      <c r="O1080" s="19">
        <f t="shared" si="32"/>
        <v>10</v>
      </c>
      <c r="P1080" s="19">
        <f t="shared" si="33"/>
        <v>2024</v>
      </c>
      <c r="Q1080" s="19" t="e">
        <f>+SUMIFS(#REF!,#REF!,Planning[[#This Row],[Tarifa]],#REF!,Planning[[#This Row],[Proyectos]],#REF!,Planning[[#This Row],[Mes]],#REF!,Planning[[#This Row],[Año]])</f>
        <v>#REF!</v>
      </c>
      <c r="R1080" s="19" t="str">
        <f>TEXT(Planning[[#This Row],[Mes]]*29,"mmmm")</f>
        <v>October</v>
      </c>
      <c r="S10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80" s="228"/>
      <c r="U1080" s="43" t="e">
        <f>IF(Planning[[#This Row],[Horas Planificadas]]&lt;&gt;0,+K1080/Planning[[#This Row],[Horas Planificadas]],0)</f>
        <v>#REF!</v>
      </c>
      <c r="V1080" s="43" t="e">
        <f>IF(Planning[[#This Row],[Horas Planificadas]]&lt;&gt;0,Planning[[#This Row],[Horas utilizadas]]/Planning[[#This Row],[Horas Planificadas]],0)</f>
        <v>#REF!</v>
      </c>
      <c r="W1080" s="44">
        <f>Planning[[#This Row],[Horas Planificadas]]+Planning[[#This Row],[Horas ajustadas adicionales]]</f>
        <v>36</v>
      </c>
      <c r="X1080" s="142"/>
    </row>
    <row r="1081" spans="1:24" ht="12.75" customHeight="1" x14ac:dyDescent="0.2">
      <c r="A1081" s="7"/>
      <c r="B1081" s="7"/>
      <c r="C1081" s="3"/>
      <c r="D1081" s="3" t="s">
        <v>293</v>
      </c>
      <c r="E1081" s="33" t="s">
        <v>31</v>
      </c>
      <c r="F1081" s="3"/>
      <c r="G1081" s="7"/>
      <c r="H1081" s="7">
        <v>18</v>
      </c>
      <c r="I1081" s="12"/>
      <c r="J1081" s="5" t="e">
        <f>+SUMIFS(#REF!,#REF!,Planning[[#This Row],[Tarifa]],#REF!,Planning[[#This Row],[Proyectos]])</f>
        <v>#REF!</v>
      </c>
      <c r="K1081" s="5" t="e">
        <f>Planning[[#This Row],[Horas Planificadas]]+Planning[[#This Row],[Horas ajustadas adicionales]]-Planning[[#This Row],[Horas utilizadas]]</f>
        <v>#REF!</v>
      </c>
      <c r="L1081" s="7"/>
      <c r="M1081" s="19" t="e">
        <f>Planning[[#This Row],[Saldo]]-Planning[[#This Row],[Saldo estimado]]</f>
        <v>#REF!</v>
      </c>
      <c r="N1081" s="60" t="e">
        <f>+SUMIFS(#REF!,#REF!,Planning[[#This Row],[Proyectos]],#REF!,Planning[[#This Row],[Tipo de Tarea y especialidad]])</f>
        <v>#REF!</v>
      </c>
      <c r="O1081" s="19">
        <f t="shared" si="32"/>
        <v>10</v>
      </c>
      <c r="P1081" s="19">
        <f t="shared" si="33"/>
        <v>2024</v>
      </c>
      <c r="Q1081" s="19" t="e">
        <f>+SUMIFS(#REF!,#REF!,Planning[[#This Row],[Tarifa]],#REF!,Planning[[#This Row],[Proyectos]],#REF!,Planning[[#This Row],[Mes]],#REF!,Planning[[#This Row],[Año]])</f>
        <v>#REF!</v>
      </c>
      <c r="R1081" s="19" t="str">
        <f>TEXT(Planning[[#This Row],[Mes]]*29,"mmmm")</f>
        <v>October</v>
      </c>
      <c r="S10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81" s="228"/>
      <c r="U1081" s="43" t="e">
        <f>IF(Planning[[#This Row],[Horas Planificadas]]&lt;&gt;0,+K1081/Planning[[#This Row],[Horas Planificadas]],0)</f>
        <v>#REF!</v>
      </c>
      <c r="V1081" s="43" t="e">
        <f>IF(Planning[[#This Row],[Horas Planificadas]]&lt;&gt;0,Planning[[#This Row],[Horas utilizadas]]/Planning[[#This Row],[Horas Planificadas]],0)</f>
        <v>#REF!</v>
      </c>
      <c r="W1081" s="44">
        <f>Planning[[#This Row],[Horas Planificadas]]+Planning[[#This Row],[Horas ajustadas adicionales]]</f>
        <v>18</v>
      </c>
      <c r="X1081" s="142"/>
    </row>
    <row r="1082" spans="1:24" ht="12.75" customHeight="1" x14ac:dyDescent="0.2">
      <c r="A1082" s="7"/>
      <c r="B1082" s="7"/>
      <c r="C1082" s="3"/>
      <c r="D1082" s="3" t="s">
        <v>293</v>
      </c>
      <c r="E1082" s="33" t="s">
        <v>32</v>
      </c>
      <c r="F1082" s="3"/>
      <c r="G1082" s="7"/>
      <c r="H1082" s="7">
        <v>36</v>
      </c>
      <c r="I1082" s="12"/>
      <c r="J1082" s="5" t="e">
        <f>+SUMIFS(#REF!,#REF!,Planning[[#This Row],[Tarifa]],#REF!,Planning[[#This Row],[Proyectos]])</f>
        <v>#REF!</v>
      </c>
      <c r="K1082" s="5" t="e">
        <f>Planning[[#This Row],[Horas Planificadas]]+Planning[[#This Row],[Horas ajustadas adicionales]]-Planning[[#This Row],[Horas utilizadas]]</f>
        <v>#REF!</v>
      </c>
      <c r="L1082" s="7"/>
      <c r="M1082" s="19" t="e">
        <f>Planning[[#This Row],[Saldo]]-Planning[[#This Row],[Saldo estimado]]</f>
        <v>#REF!</v>
      </c>
      <c r="N1082" s="60" t="e">
        <f>+SUMIFS(#REF!,#REF!,Planning[[#This Row],[Proyectos]],#REF!,Planning[[#This Row],[Tipo de Tarea y especialidad]])</f>
        <v>#REF!</v>
      </c>
      <c r="O1082" s="19">
        <f t="shared" si="32"/>
        <v>10</v>
      </c>
      <c r="P1082" s="19">
        <f t="shared" si="33"/>
        <v>2024</v>
      </c>
      <c r="Q1082" s="19" t="e">
        <f>+SUMIFS(#REF!,#REF!,Planning[[#This Row],[Tarifa]],#REF!,Planning[[#This Row],[Proyectos]],#REF!,Planning[[#This Row],[Mes]],#REF!,Planning[[#This Row],[Año]])</f>
        <v>#REF!</v>
      </c>
      <c r="R1082" s="19" t="str">
        <f>TEXT(Planning[[#This Row],[Mes]]*29,"mmmm")</f>
        <v>October</v>
      </c>
      <c r="S10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82" s="228"/>
      <c r="U1082" s="43" t="e">
        <f>IF(Planning[[#This Row],[Horas Planificadas]]&lt;&gt;0,+K1082/Planning[[#This Row],[Horas Planificadas]],0)</f>
        <v>#REF!</v>
      </c>
      <c r="V1082" s="43" t="e">
        <f>IF(Planning[[#This Row],[Horas Planificadas]]&lt;&gt;0,Planning[[#This Row],[Horas utilizadas]]/Planning[[#This Row],[Horas Planificadas]],0)</f>
        <v>#REF!</v>
      </c>
      <c r="W1082" s="44">
        <f>Planning[[#This Row],[Horas Planificadas]]+Planning[[#This Row],[Horas ajustadas adicionales]]</f>
        <v>36</v>
      </c>
      <c r="X1082" s="142"/>
    </row>
    <row r="1083" spans="1:24" ht="12.75" customHeight="1" x14ac:dyDescent="0.2">
      <c r="A1083" s="7" t="s">
        <v>294</v>
      </c>
      <c r="B1083" s="7" t="s">
        <v>169</v>
      </c>
      <c r="C1083" s="3"/>
      <c r="D1083" s="3" t="s">
        <v>295</v>
      </c>
      <c r="E1083" s="4" t="s">
        <v>28</v>
      </c>
      <c r="F1083" s="3"/>
      <c r="G1083" s="9"/>
      <c r="H1083" s="12">
        <v>0</v>
      </c>
      <c r="I1083" s="12"/>
      <c r="J1083" s="5" t="e">
        <f>+SUMIFS(#REF!,#REF!,Planning[[#This Row],[Tarifa]],#REF!,Planning[[#This Row],[Proyectos]])</f>
        <v>#REF!</v>
      </c>
      <c r="K1083" s="27" t="e">
        <f>Planning[[#This Row],[Horas Planificadas]]+Planning[[#This Row],[Horas ajustadas adicionales]]-Planning[[#This Row],[Horas utilizadas]]</f>
        <v>#REF!</v>
      </c>
      <c r="L1083" s="7">
        <v>0</v>
      </c>
      <c r="M1083" s="34" t="e">
        <f>Planning[[#This Row],[Saldo]]-Planning[[#This Row],[Saldo estimado]]</f>
        <v>#REF!</v>
      </c>
      <c r="N1083" s="62" t="e">
        <f>+SUMIFS(#REF!,#REF!,Planning[[#This Row],[Proyectos]],#REF!,Planning[[#This Row],[Tipo de Tarea y especialidad]])</f>
        <v>#REF!</v>
      </c>
      <c r="O1083" s="34">
        <f t="shared" si="32"/>
        <v>10</v>
      </c>
      <c r="P1083" s="34">
        <f t="shared" si="33"/>
        <v>2024</v>
      </c>
      <c r="Q1083" s="34" t="e">
        <f>+SUMIFS(#REF!,#REF!,Planning[[#This Row],[Tarifa]],#REF!,Planning[[#This Row],[Proyectos]],#REF!,Planning[[#This Row],[Mes]],#REF!,Planning[[#This Row],[Año]])</f>
        <v>#REF!</v>
      </c>
      <c r="R1083" s="34" t="str">
        <f>TEXT(Planning[[#This Row],[Mes]]*29,"mmmm")</f>
        <v>October</v>
      </c>
      <c r="S108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83" s="192" t="s">
        <v>296</v>
      </c>
      <c r="U1083" s="43">
        <f>IF(Planning[[#This Row],[Horas Planificadas]]&lt;&gt;0,+K1083/Planning[[#This Row],[Horas Planificadas]],0)</f>
        <v>0</v>
      </c>
      <c r="V1083" s="43">
        <f>IF(Planning[[#This Row],[Horas Planificadas]]&lt;&gt;0,Planning[[#This Row],[Horas utilizadas]]/Planning[[#This Row],[Horas Planificadas]],0)</f>
        <v>0</v>
      </c>
      <c r="W1083" s="44">
        <f>Planning[[#This Row],[Horas Planificadas]]+Planning[[#This Row],[Horas ajustadas adicionales]]</f>
        <v>0</v>
      </c>
      <c r="X1083" s="142"/>
    </row>
    <row r="1084" spans="1:24" x14ac:dyDescent="0.2">
      <c r="A1084" s="7" t="s">
        <v>294</v>
      </c>
      <c r="B1084" s="7" t="s">
        <v>169</v>
      </c>
      <c r="C1084" s="3"/>
      <c r="D1084" s="3" t="s">
        <v>295</v>
      </c>
      <c r="E1084" s="4" t="s">
        <v>30</v>
      </c>
      <c r="F1084" s="3"/>
      <c r="G1084" s="9"/>
      <c r="H1084" s="9">
        <v>291</v>
      </c>
      <c r="I1084" s="12"/>
      <c r="J1084" s="5" t="e">
        <f>+SUMIFS(#REF!,#REF!,Planning[[#This Row],[Tarifa]],#REF!,Planning[[#This Row],[Proyectos]])</f>
        <v>#REF!</v>
      </c>
      <c r="K1084" s="5" t="e">
        <f>Planning[[#This Row],[Horas Planificadas]]+Planning[[#This Row],[Horas ajustadas adicionales]]-Planning[[#This Row],[Horas utilizadas]]</f>
        <v>#REF!</v>
      </c>
      <c r="L1084" s="7">
        <v>0</v>
      </c>
      <c r="M1084" s="19" t="e">
        <f>Planning[[#This Row],[Saldo]]-Planning[[#This Row],[Saldo estimado]]</f>
        <v>#REF!</v>
      </c>
      <c r="N1084" s="60" t="e">
        <f>+SUMIFS(#REF!,#REF!,Planning[[#This Row],[Proyectos]],#REF!,Planning[[#This Row],[Tipo de Tarea y especialidad]])</f>
        <v>#REF!</v>
      </c>
      <c r="O1084" s="19">
        <f t="shared" si="32"/>
        <v>10</v>
      </c>
      <c r="P1084" s="19">
        <f t="shared" si="33"/>
        <v>2024</v>
      </c>
      <c r="Q1084" s="19" t="e">
        <f>+SUMIFS(#REF!,#REF!,Planning[[#This Row],[Tarifa]],#REF!,Planning[[#This Row],[Proyectos]],#REF!,Planning[[#This Row],[Mes]],#REF!,Planning[[#This Row],[Año]])</f>
        <v>#REF!</v>
      </c>
      <c r="R1084" s="19" t="str">
        <f>TEXT(Planning[[#This Row],[Mes]]*29,"mmmm")</f>
        <v>October</v>
      </c>
      <c r="S10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84" s="193"/>
      <c r="U1084" s="43" t="e">
        <f>IF(Planning[[#This Row],[Horas Planificadas]]&lt;&gt;0,+K1084/Planning[[#This Row],[Horas Planificadas]],0)</f>
        <v>#REF!</v>
      </c>
      <c r="V1084" s="43" t="e">
        <f>IF(Planning[[#This Row],[Horas Planificadas]]&lt;&gt;0,Planning[[#This Row],[Horas utilizadas]]/Planning[[#This Row],[Horas Planificadas]],0)</f>
        <v>#REF!</v>
      </c>
      <c r="W1084" s="44">
        <f>Planning[[#This Row],[Horas Planificadas]]+Planning[[#This Row],[Horas ajustadas adicionales]]</f>
        <v>291</v>
      </c>
      <c r="X1084" s="142"/>
    </row>
    <row r="1085" spans="1:24" x14ac:dyDescent="0.2">
      <c r="A1085" s="7" t="s">
        <v>294</v>
      </c>
      <c r="B1085" s="7" t="s">
        <v>169</v>
      </c>
      <c r="C1085" s="3"/>
      <c r="D1085" s="3" t="s">
        <v>295</v>
      </c>
      <c r="E1085" s="4" t="s">
        <v>31</v>
      </c>
      <c r="F1085" s="3"/>
      <c r="G1085" s="9"/>
      <c r="H1085" s="9">
        <v>118</v>
      </c>
      <c r="I1085" s="12"/>
      <c r="J1085" s="5" t="e">
        <f>+SUMIFS(#REF!,#REF!,Planning[[#This Row],[Tarifa]],#REF!,Planning[[#This Row],[Proyectos]])</f>
        <v>#REF!</v>
      </c>
      <c r="K1085" s="5" t="e">
        <f>Planning[[#This Row],[Horas Planificadas]]+Planning[[#This Row],[Horas ajustadas adicionales]]-Planning[[#This Row],[Horas utilizadas]]</f>
        <v>#REF!</v>
      </c>
      <c r="L1085" s="7">
        <v>0</v>
      </c>
      <c r="M1085" s="19" t="e">
        <f>Planning[[#This Row],[Saldo]]-Planning[[#This Row],[Saldo estimado]]</f>
        <v>#REF!</v>
      </c>
      <c r="N1085" s="60" t="e">
        <f>+SUMIFS(#REF!,#REF!,Planning[[#This Row],[Proyectos]],#REF!,Planning[[#This Row],[Tipo de Tarea y especialidad]])</f>
        <v>#REF!</v>
      </c>
      <c r="O1085" s="19">
        <f t="shared" si="32"/>
        <v>10</v>
      </c>
      <c r="P1085" s="19">
        <f t="shared" si="33"/>
        <v>2024</v>
      </c>
      <c r="Q1085" s="19" t="e">
        <f>+SUMIFS(#REF!,#REF!,Planning[[#This Row],[Tarifa]],#REF!,Planning[[#This Row],[Proyectos]],#REF!,Planning[[#This Row],[Mes]],#REF!,Planning[[#This Row],[Año]])</f>
        <v>#REF!</v>
      </c>
      <c r="R1085" s="19" t="str">
        <f>TEXT(Planning[[#This Row],[Mes]]*29,"mmmm")</f>
        <v>October</v>
      </c>
      <c r="S10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85" s="193"/>
      <c r="U1085" s="43" t="e">
        <f>IF(Planning[[#This Row],[Horas Planificadas]]&lt;&gt;0,+K1085/Planning[[#This Row],[Horas Planificadas]],0)</f>
        <v>#REF!</v>
      </c>
      <c r="V1085" s="43" t="e">
        <f>IF(Planning[[#This Row],[Horas Planificadas]]&lt;&gt;0,Planning[[#This Row],[Horas utilizadas]]/Planning[[#This Row],[Horas Planificadas]],0)</f>
        <v>#REF!</v>
      </c>
      <c r="W1085" s="44">
        <f>Planning[[#This Row],[Horas Planificadas]]+Planning[[#This Row],[Horas ajustadas adicionales]]</f>
        <v>118</v>
      </c>
      <c r="X1085" s="142"/>
    </row>
    <row r="1086" spans="1:24" ht="22.5" x14ac:dyDescent="0.2">
      <c r="A1086" s="7" t="s">
        <v>294</v>
      </c>
      <c r="B1086" s="7" t="s">
        <v>169</v>
      </c>
      <c r="C1086" s="3"/>
      <c r="D1086" s="3" t="s">
        <v>295</v>
      </c>
      <c r="E1086" s="4" t="s">
        <v>32</v>
      </c>
      <c r="F1086" s="3"/>
      <c r="G1086" s="9"/>
      <c r="H1086" s="12">
        <v>135</v>
      </c>
      <c r="I1086" s="12"/>
      <c r="J1086" s="5" t="e">
        <f>+SUMIFS(#REF!,#REF!,Planning[[#This Row],[Tarifa]],#REF!,Planning[[#This Row],[Proyectos]])</f>
        <v>#REF!</v>
      </c>
      <c r="K1086" s="27" t="e">
        <f>Planning[[#This Row],[Horas Planificadas]]+Planning[[#This Row],[Horas ajustadas adicionales]]-Planning[[#This Row],[Horas utilizadas]]</f>
        <v>#REF!</v>
      </c>
      <c r="L1086" s="7">
        <v>0</v>
      </c>
      <c r="M1086" s="19" t="e">
        <f>Planning[[#This Row],[Saldo]]-Planning[[#This Row],[Saldo estimado]]</f>
        <v>#REF!</v>
      </c>
      <c r="N1086" s="60" t="e">
        <f>+SUMIFS(#REF!,#REF!,Planning[[#This Row],[Proyectos]],#REF!,Planning[[#This Row],[Tipo de Tarea y especialidad]])</f>
        <v>#REF!</v>
      </c>
      <c r="O1086" s="19">
        <f t="shared" si="32"/>
        <v>10</v>
      </c>
      <c r="P1086" s="19">
        <f t="shared" si="33"/>
        <v>2024</v>
      </c>
      <c r="Q1086" s="19" t="e">
        <f>+SUMIFS(#REF!,#REF!,Planning[[#This Row],[Tarifa]],#REF!,Planning[[#This Row],[Proyectos]],#REF!,Planning[[#This Row],[Mes]],#REF!,Planning[[#This Row],[Año]])</f>
        <v>#REF!</v>
      </c>
      <c r="R1086" s="19" t="str">
        <f>TEXT(Planning[[#This Row],[Mes]]*29,"mmmm")</f>
        <v>October</v>
      </c>
      <c r="S10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86" s="193"/>
      <c r="U1086" s="43" t="e">
        <f>IF(Planning[[#This Row],[Horas Planificadas]]&lt;&gt;0,+K1086/Planning[[#This Row],[Horas Planificadas]],0)</f>
        <v>#REF!</v>
      </c>
      <c r="V1086" s="43" t="e">
        <f>IF(Planning[[#This Row],[Horas Planificadas]]&lt;&gt;0,Planning[[#This Row],[Horas utilizadas]]/Planning[[#This Row],[Horas Planificadas]],0)</f>
        <v>#REF!</v>
      </c>
      <c r="W1086" s="44">
        <f>Planning[[#This Row],[Horas Planificadas]]+Planning[[#This Row],[Horas ajustadas adicionales]]</f>
        <v>135</v>
      </c>
      <c r="X1086" s="142"/>
    </row>
    <row r="1087" spans="1:24" ht="22.5" x14ac:dyDescent="0.2">
      <c r="A1087" s="7"/>
      <c r="B1087" s="7"/>
      <c r="C1087" s="3"/>
      <c r="D1087" s="3" t="s">
        <v>297</v>
      </c>
      <c r="E1087" s="4" t="s">
        <v>28</v>
      </c>
      <c r="F1087" s="3"/>
      <c r="G1087" s="9"/>
      <c r="H1087" s="9">
        <v>0</v>
      </c>
      <c r="I1087" s="12"/>
      <c r="J1087" s="5" t="e">
        <f>+SUMIFS(#REF!,#REF!,Planning[[#This Row],[Tarifa]],#REF!,Planning[[#This Row],[Proyectos]])</f>
        <v>#REF!</v>
      </c>
      <c r="K1087" s="5" t="e">
        <f>Planning[[#This Row],[Horas Planificadas]]+Planning[[#This Row],[Horas ajustadas adicionales]]-Planning[[#This Row],[Horas utilizadas]]</f>
        <v>#REF!</v>
      </c>
      <c r="L1087" s="7"/>
      <c r="M1087" s="19" t="e">
        <f>Planning[[#This Row],[Saldo]]-Planning[[#This Row],[Saldo estimado]]</f>
        <v>#REF!</v>
      </c>
      <c r="N1087" s="60" t="e">
        <f>+SUMIFS(#REF!,#REF!,Planning[[#This Row],[Proyectos]],#REF!,Planning[[#This Row],[Tipo de Tarea y especialidad]])</f>
        <v>#REF!</v>
      </c>
      <c r="O1087" s="19">
        <f t="shared" si="32"/>
        <v>10</v>
      </c>
      <c r="P1087" s="19">
        <f t="shared" si="33"/>
        <v>2024</v>
      </c>
      <c r="Q1087" s="19" t="e">
        <f>+SUMIFS(#REF!,#REF!,Planning[[#This Row],[Tarifa]],#REF!,Planning[[#This Row],[Proyectos]],#REF!,Planning[[#This Row],[Mes]],#REF!,Planning[[#This Row],[Año]])</f>
        <v>#REF!</v>
      </c>
      <c r="R1087" s="19" t="str">
        <f>TEXT(Planning[[#This Row],[Mes]]*29,"mmmm")</f>
        <v>October</v>
      </c>
      <c r="S10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87" s="228"/>
      <c r="U1087" s="43">
        <f>IF(Planning[[#This Row],[Horas Planificadas]]&lt;&gt;0,+K1087/Planning[[#This Row],[Horas Planificadas]],0)</f>
        <v>0</v>
      </c>
      <c r="V1087" s="43">
        <f>IF(Planning[[#This Row],[Horas Planificadas]]&lt;&gt;0,Planning[[#This Row],[Horas utilizadas]]/Planning[[#This Row],[Horas Planificadas]],0)</f>
        <v>0</v>
      </c>
      <c r="W1087" s="44">
        <f>Planning[[#This Row],[Horas Planificadas]]+Planning[[#This Row],[Horas ajustadas adicionales]]</f>
        <v>0</v>
      </c>
      <c r="X1087" s="142"/>
    </row>
    <row r="1088" spans="1:24" x14ac:dyDescent="0.2">
      <c r="A1088" s="7"/>
      <c r="B1088" s="7"/>
      <c r="C1088" s="3"/>
      <c r="D1088" s="3" t="s">
        <v>297</v>
      </c>
      <c r="E1088" s="4" t="s">
        <v>30</v>
      </c>
      <c r="F1088" s="3"/>
      <c r="G1088" s="9"/>
      <c r="H1088" s="9">
        <v>0</v>
      </c>
      <c r="I1088" s="12"/>
      <c r="J1088" s="5" t="e">
        <f>+SUMIFS(#REF!,#REF!,Planning[[#This Row],[Tarifa]],#REF!,Planning[[#This Row],[Proyectos]])</f>
        <v>#REF!</v>
      </c>
      <c r="K1088" s="5" t="e">
        <f>Planning[[#This Row],[Horas Planificadas]]+Planning[[#This Row],[Horas ajustadas adicionales]]-Planning[[#This Row],[Horas utilizadas]]</f>
        <v>#REF!</v>
      </c>
      <c r="L1088" s="7"/>
      <c r="M1088" s="19" t="e">
        <f>Planning[[#This Row],[Saldo]]-Planning[[#This Row],[Saldo estimado]]</f>
        <v>#REF!</v>
      </c>
      <c r="N1088" s="60" t="e">
        <f>+SUMIFS(#REF!,#REF!,Planning[[#This Row],[Proyectos]],#REF!,Planning[[#This Row],[Tipo de Tarea y especialidad]])</f>
        <v>#REF!</v>
      </c>
      <c r="O1088" s="19">
        <f t="shared" si="32"/>
        <v>10</v>
      </c>
      <c r="P1088" s="19">
        <f t="shared" si="33"/>
        <v>2024</v>
      </c>
      <c r="Q1088" s="19" t="e">
        <f>+SUMIFS(#REF!,#REF!,Planning[[#This Row],[Tarifa]],#REF!,Planning[[#This Row],[Proyectos]],#REF!,Planning[[#This Row],[Mes]],#REF!,Planning[[#This Row],[Año]])</f>
        <v>#REF!</v>
      </c>
      <c r="R1088" s="19" t="str">
        <f>TEXT(Planning[[#This Row],[Mes]]*29,"mmmm")</f>
        <v>October</v>
      </c>
      <c r="S10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88" s="228"/>
      <c r="U1088" s="43">
        <f>IF(Planning[[#This Row],[Horas Planificadas]]&lt;&gt;0,+K1088/Planning[[#This Row],[Horas Planificadas]],0)</f>
        <v>0</v>
      </c>
      <c r="V1088" s="43">
        <f>IF(Planning[[#This Row],[Horas Planificadas]]&lt;&gt;0,Planning[[#This Row],[Horas utilizadas]]/Planning[[#This Row],[Horas Planificadas]],0)</f>
        <v>0</v>
      </c>
      <c r="W1088" s="44">
        <f>Planning[[#This Row],[Horas Planificadas]]+Planning[[#This Row],[Horas ajustadas adicionales]]</f>
        <v>0</v>
      </c>
      <c r="X1088" s="142"/>
    </row>
    <row r="1089" spans="1:24" x14ac:dyDescent="0.2">
      <c r="A1089" s="7"/>
      <c r="B1089" s="7"/>
      <c r="C1089" s="3"/>
      <c r="D1089" s="3" t="s">
        <v>297</v>
      </c>
      <c r="E1089" s="4" t="s">
        <v>31</v>
      </c>
      <c r="F1089" s="3"/>
      <c r="G1089" s="9"/>
      <c r="H1089" s="9">
        <v>16</v>
      </c>
      <c r="I1089" s="12"/>
      <c r="J1089" s="5" t="e">
        <f>+SUMIFS(#REF!,#REF!,Planning[[#This Row],[Tarifa]],#REF!,Planning[[#This Row],[Proyectos]])</f>
        <v>#REF!</v>
      </c>
      <c r="K1089" s="5" t="e">
        <f>Planning[[#This Row],[Horas Planificadas]]+Planning[[#This Row],[Horas ajustadas adicionales]]-Planning[[#This Row],[Horas utilizadas]]</f>
        <v>#REF!</v>
      </c>
      <c r="L1089" s="7"/>
      <c r="M1089" s="19" t="e">
        <f>Planning[[#This Row],[Saldo]]-Planning[[#This Row],[Saldo estimado]]</f>
        <v>#REF!</v>
      </c>
      <c r="N1089" s="60" t="e">
        <f>+SUMIFS(#REF!,#REF!,Planning[[#This Row],[Proyectos]],#REF!,Planning[[#This Row],[Tipo de Tarea y especialidad]])</f>
        <v>#REF!</v>
      </c>
      <c r="O1089" s="19">
        <f t="shared" si="32"/>
        <v>10</v>
      </c>
      <c r="P1089" s="19">
        <f t="shared" si="33"/>
        <v>2024</v>
      </c>
      <c r="Q1089" s="19" t="e">
        <f>+SUMIFS(#REF!,#REF!,Planning[[#This Row],[Tarifa]],#REF!,Planning[[#This Row],[Proyectos]],#REF!,Planning[[#This Row],[Mes]],#REF!,Planning[[#This Row],[Año]])</f>
        <v>#REF!</v>
      </c>
      <c r="R1089" s="19" t="str">
        <f>TEXT(Planning[[#This Row],[Mes]]*29,"mmmm")</f>
        <v>October</v>
      </c>
      <c r="S10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89" s="228"/>
      <c r="U1089" s="43" t="e">
        <f>IF(Planning[[#This Row],[Horas Planificadas]]&lt;&gt;0,+K1089/Planning[[#This Row],[Horas Planificadas]],0)</f>
        <v>#REF!</v>
      </c>
      <c r="V1089" s="43" t="e">
        <f>IF(Planning[[#This Row],[Horas Planificadas]]&lt;&gt;0,Planning[[#This Row],[Horas utilizadas]]/Planning[[#This Row],[Horas Planificadas]],0)</f>
        <v>#REF!</v>
      </c>
      <c r="W1089" s="44">
        <f>Planning[[#This Row],[Horas Planificadas]]+Planning[[#This Row],[Horas ajustadas adicionales]]</f>
        <v>16</v>
      </c>
      <c r="X1089" s="142"/>
    </row>
    <row r="1090" spans="1:24" ht="22.5" x14ac:dyDescent="0.2">
      <c r="A1090" s="7"/>
      <c r="B1090" s="7"/>
      <c r="C1090" s="3"/>
      <c r="D1090" s="3" t="s">
        <v>297</v>
      </c>
      <c r="E1090" s="4" t="s">
        <v>32</v>
      </c>
      <c r="F1090" s="3"/>
      <c r="G1090" s="9"/>
      <c r="H1090" s="9">
        <v>18</v>
      </c>
      <c r="I1090" s="12"/>
      <c r="J1090" s="5" t="e">
        <f>+SUMIFS(#REF!,#REF!,Planning[[#This Row],[Tarifa]],#REF!,Planning[[#This Row],[Proyectos]])</f>
        <v>#REF!</v>
      </c>
      <c r="K1090" s="5" t="e">
        <f>Planning[[#This Row],[Horas Planificadas]]+Planning[[#This Row],[Horas ajustadas adicionales]]-Planning[[#This Row],[Horas utilizadas]]</f>
        <v>#REF!</v>
      </c>
      <c r="L1090" s="7"/>
      <c r="M1090" s="19" t="e">
        <f>Planning[[#This Row],[Saldo]]-Planning[[#This Row],[Saldo estimado]]</f>
        <v>#REF!</v>
      </c>
      <c r="N1090" s="60" t="e">
        <f>+SUMIFS(#REF!,#REF!,Planning[[#This Row],[Proyectos]],#REF!,Planning[[#This Row],[Tipo de Tarea y especialidad]])</f>
        <v>#REF!</v>
      </c>
      <c r="O1090" s="19">
        <f t="shared" si="32"/>
        <v>10</v>
      </c>
      <c r="P1090" s="19">
        <f t="shared" si="33"/>
        <v>2024</v>
      </c>
      <c r="Q1090" s="19" t="e">
        <f>+SUMIFS(#REF!,#REF!,Planning[[#This Row],[Tarifa]],#REF!,Planning[[#This Row],[Proyectos]],#REF!,Planning[[#This Row],[Mes]],#REF!,Planning[[#This Row],[Año]])</f>
        <v>#REF!</v>
      </c>
      <c r="R1090" s="19" t="str">
        <f>TEXT(Planning[[#This Row],[Mes]]*29,"mmmm")</f>
        <v>October</v>
      </c>
      <c r="S10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90" s="228"/>
      <c r="U1090" s="43" t="e">
        <f>IF(Planning[[#This Row],[Horas Planificadas]]&lt;&gt;0,+K1090/Planning[[#This Row],[Horas Planificadas]],0)</f>
        <v>#REF!</v>
      </c>
      <c r="V1090" s="43" t="e">
        <f>IF(Planning[[#This Row],[Horas Planificadas]]&lt;&gt;0,Planning[[#This Row],[Horas utilizadas]]/Planning[[#This Row],[Horas Planificadas]],0)</f>
        <v>#REF!</v>
      </c>
      <c r="W1090" s="44">
        <f>Planning[[#This Row],[Horas Planificadas]]+Planning[[#This Row],[Horas ajustadas adicionales]]</f>
        <v>18</v>
      </c>
      <c r="X1090" s="142"/>
    </row>
    <row r="1091" spans="1:24" ht="22.5" x14ac:dyDescent="0.2">
      <c r="A1091" s="7"/>
      <c r="B1091" s="7"/>
      <c r="C1091" s="3"/>
      <c r="D1091" s="3" t="s">
        <v>298</v>
      </c>
      <c r="E1091" s="4" t="s">
        <v>28</v>
      </c>
      <c r="F1091" s="3"/>
      <c r="G1091" s="9"/>
      <c r="H1091" s="9">
        <v>0</v>
      </c>
      <c r="I1091" s="12"/>
      <c r="J1091" s="5" t="e">
        <f>+SUMIFS(#REF!,#REF!,Planning[[#This Row],[Tarifa]],#REF!,Planning[[#This Row],[Proyectos]])</f>
        <v>#REF!</v>
      </c>
      <c r="K1091" s="5" t="e">
        <f>Planning[[#This Row],[Horas Planificadas]]+Planning[[#This Row],[Horas ajustadas adicionales]]-Planning[[#This Row],[Horas utilizadas]]</f>
        <v>#REF!</v>
      </c>
      <c r="L1091" s="7"/>
      <c r="M1091" s="19" t="e">
        <f>Planning[[#This Row],[Saldo]]-Planning[[#This Row],[Saldo estimado]]</f>
        <v>#REF!</v>
      </c>
      <c r="N1091" s="60" t="e">
        <f>+SUMIFS(#REF!,#REF!,Planning[[#This Row],[Proyectos]],#REF!,Planning[[#This Row],[Tipo de Tarea y especialidad]])</f>
        <v>#REF!</v>
      </c>
      <c r="O1091" s="19">
        <f t="shared" si="32"/>
        <v>10</v>
      </c>
      <c r="P1091" s="19">
        <f t="shared" si="33"/>
        <v>2024</v>
      </c>
      <c r="Q1091" s="19" t="e">
        <f>+SUMIFS(#REF!,#REF!,Planning[[#This Row],[Tarifa]],#REF!,Planning[[#This Row],[Proyectos]],#REF!,Planning[[#This Row],[Mes]],#REF!,Planning[[#This Row],[Año]])</f>
        <v>#REF!</v>
      </c>
      <c r="R1091" s="19" t="str">
        <f>TEXT(Planning[[#This Row],[Mes]]*29,"mmmm")</f>
        <v>October</v>
      </c>
      <c r="S10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91" s="228"/>
      <c r="U1091" s="43">
        <f>IF(Planning[[#This Row],[Horas Planificadas]]&lt;&gt;0,+K1091/Planning[[#This Row],[Horas Planificadas]],0)</f>
        <v>0</v>
      </c>
      <c r="V1091" s="43">
        <f>IF(Planning[[#This Row],[Horas Planificadas]]&lt;&gt;0,Planning[[#This Row],[Horas utilizadas]]/Planning[[#This Row],[Horas Planificadas]],0)</f>
        <v>0</v>
      </c>
      <c r="W1091" s="44">
        <f>Planning[[#This Row],[Horas Planificadas]]+Planning[[#This Row],[Horas ajustadas adicionales]]</f>
        <v>0</v>
      </c>
      <c r="X1091" s="142"/>
    </row>
    <row r="1092" spans="1:24" x14ac:dyDescent="0.2">
      <c r="A1092" s="7"/>
      <c r="B1092" s="7"/>
      <c r="C1092" s="3"/>
      <c r="D1092" s="3" t="s">
        <v>298</v>
      </c>
      <c r="E1092" s="4" t="s">
        <v>30</v>
      </c>
      <c r="F1092" s="3"/>
      <c r="G1092" s="9"/>
      <c r="H1092" s="9">
        <v>289</v>
      </c>
      <c r="I1092" s="12"/>
      <c r="J1092" s="5" t="e">
        <f>+SUMIFS(#REF!,#REF!,Planning[[#This Row],[Tarifa]],#REF!,Planning[[#This Row],[Proyectos]])</f>
        <v>#REF!</v>
      </c>
      <c r="K1092" s="5" t="e">
        <f>Planning[[#This Row],[Horas Planificadas]]+Planning[[#This Row],[Horas ajustadas adicionales]]-Planning[[#This Row],[Horas utilizadas]]</f>
        <v>#REF!</v>
      </c>
      <c r="L1092" s="7"/>
      <c r="M1092" s="19" t="e">
        <f>Planning[[#This Row],[Saldo]]-Planning[[#This Row],[Saldo estimado]]</f>
        <v>#REF!</v>
      </c>
      <c r="N1092" s="60" t="e">
        <f>+SUMIFS(#REF!,#REF!,Planning[[#This Row],[Proyectos]],#REF!,Planning[[#This Row],[Tipo de Tarea y especialidad]])</f>
        <v>#REF!</v>
      </c>
      <c r="O1092" s="19">
        <f t="shared" si="32"/>
        <v>10</v>
      </c>
      <c r="P1092" s="19">
        <f t="shared" si="33"/>
        <v>2024</v>
      </c>
      <c r="Q1092" s="19" t="e">
        <f>+SUMIFS(#REF!,#REF!,Planning[[#This Row],[Tarifa]],#REF!,Planning[[#This Row],[Proyectos]],#REF!,Planning[[#This Row],[Mes]],#REF!,Planning[[#This Row],[Año]])</f>
        <v>#REF!</v>
      </c>
      <c r="R1092" s="19" t="str">
        <f>TEXT(Planning[[#This Row],[Mes]]*29,"mmmm")</f>
        <v>October</v>
      </c>
      <c r="S10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92" s="228"/>
      <c r="U1092" s="43" t="e">
        <f>IF(Planning[[#This Row],[Horas Planificadas]]&lt;&gt;0,+K1092/Planning[[#This Row],[Horas Planificadas]],0)</f>
        <v>#REF!</v>
      </c>
      <c r="V1092" s="43" t="e">
        <f>IF(Planning[[#This Row],[Horas Planificadas]]&lt;&gt;0,Planning[[#This Row],[Horas utilizadas]]/Planning[[#This Row],[Horas Planificadas]],0)</f>
        <v>#REF!</v>
      </c>
      <c r="W1092" s="44">
        <f>Planning[[#This Row],[Horas Planificadas]]+Planning[[#This Row],[Horas ajustadas adicionales]]</f>
        <v>289</v>
      </c>
      <c r="X1092" s="142"/>
    </row>
    <row r="1093" spans="1:24" x14ac:dyDescent="0.2">
      <c r="A1093" s="7"/>
      <c r="B1093" s="7"/>
      <c r="C1093" s="3"/>
      <c r="D1093" s="3" t="s">
        <v>298</v>
      </c>
      <c r="E1093" s="4" t="s">
        <v>31</v>
      </c>
      <c r="F1093" s="3"/>
      <c r="G1093" s="9"/>
      <c r="H1093" s="9">
        <v>126</v>
      </c>
      <c r="I1093" s="12"/>
      <c r="J1093" s="5" t="e">
        <f>+SUMIFS(#REF!,#REF!,Planning[[#This Row],[Tarifa]],#REF!,Planning[[#This Row],[Proyectos]])</f>
        <v>#REF!</v>
      </c>
      <c r="K1093" s="5" t="e">
        <f>Planning[[#This Row],[Horas Planificadas]]+Planning[[#This Row],[Horas ajustadas adicionales]]-Planning[[#This Row],[Horas utilizadas]]</f>
        <v>#REF!</v>
      </c>
      <c r="L1093" s="7"/>
      <c r="M1093" s="19" t="e">
        <f>Planning[[#This Row],[Saldo]]-Planning[[#This Row],[Saldo estimado]]</f>
        <v>#REF!</v>
      </c>
      <c r="N1093" s="60" t="e">
        <f>+SUMIFS(#REF!,#REF!,Planning[[#This Row],[Proyectos]],#REF!,Planning[[#This Row],[Tipo de Tarea y especialidad]])</f>
        <v>#REF!</v>
      </c>
      <c r="O1093" s="19">
        <f t="shared" si="32"/>
        <v>10</v>
      </c>
      <c r="P1093" s="19">
        <f t="shared" si="33"/>
        <v>2024</v>
      </c>
      <c r="Q1093" s="19" t="e">
        <f>+SUMIFS(#REF!,#REF!,Planning[[#This Row],[Tarifa]],#REF!,Planning[[#This Row],[Proyectos]],#REF!,Planning[[#This Row],[Mes]],#REF!,Planning[[#This Row],[Año]])</f>
        <v>#REF!</v>
      </c>
      <c r="R1093" s="19" t="str">
        <f>TEXT(Planning[[#This Row],[Mes]]*29,"mmmm")</f>
        <v>October</v>
      </c>
      <c r="S10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93" s="228"/>
      <c r="U1093" s="43" t="e">
        <f>IF(Planning[[#This Row],[Horas Planificadas]]&lt;&gt;0,+K1093/Planning[[#This Row],[Horas Planificadas]],0)</f>
        <v>#REF!</v>
      </c>
      <c r="V1093" s="43" t="e">
        <f>IF(Planning[[#This Row],[Horas Planificadas]]&lt;&gt;0,Planning[[#This Row],[Horas utilizadas]]/Planning[[#This Row],[Horas Planificadas]],0)</f>
        <v>#REF!</v>
      </c>
      <c r="W1093" s="44">
        <f>Planning[[#This Row],[Horas Planificadas]]+Planning[[#This Row],[Horas ajustadas adicionales]]</f>
        <v>126</v>
      </c>
      <c r="X1093" s="142"/>
    </row>
    <row r="1094" spans="1:24" ht="22.5" x14ac:dyDescent="0.2">
      <c r="A1094" s="7"/>
      <c r="B1094" s="7"/>
      <c r="C1094" s="3"/>
      <c r="D1094" s="3" t="s">
        <v>298</v>
      </c>
      <c r="E1094" s="4" t="s">
        <v>32</v>
      </c>
      <c r="F1094" s="3"/>
      <c r="G1094" s="9"/>
      <c r="H1094" s="9">
        <v>117</v>
      </c>
      <c r="I1094" s="12"/>
      <c r="J1094" s="5" t="e">
        <f>+SUMIFS(#REF!,#REF!,Planning[[#This Row],[Tarifa]],#REF!,Planning[[#This Row],[Proyectos]])</f>
        <v>#REF!</v>
      </c>
      <c r="K1094" s="5" t="e">
        <f>Planning[[#This Row],[Horas Planificadas]]+Planning[[#This Row],[Horas ajustadas adicionales]]-Planning[[#This Row],[Horas utilizadas]]</f>
        <v>#REF!</v>
      </c>
      <c r="L1094" s="7"/>
      <c r="M1094" s="19" t="e">
        <f>Planning[[#This Row],[Saldo]]-Planning[[#This Row],[Saldo estimado]]</f>
        <v>#REF!</v>
      </c>
      <c r="N1094" s="60" t="e">
        <f>+SUMIFS(#REF!,#REF!,Planning[[#This Row],[Proyectos]],#REF!,Planning[[#This Row],[Tipo de Tarea y especialidad]])</f>
        <v>#REF!</v>
      </c>
      <c r="O1094" s="19">
        <f t="shared" si="32"/>
        <v>10</v>
      </c>
      <c r="P1094" s="19">
        <f t="shared" si="33"/>
        <v>2024</v>
      </c>
      <c r="Q1094" s="19" t="e">
        <f>+SUMIFS(#REF!,#REF!,Planning[[#This Row],[Tarifa]],#REF!,Planning[[#This Row],[Proyectos]],#REF!,Planning[[#This Row],[Mes]],#REF!,Planning[[#This Row],[Año]])</f>
        <v>#REF!</v>
      </c>
      <c r="R1094" s="19" t="str">
        <f>TEXT(Planning[[#This Row],[Mes]]*29,"mmmm")</f>
        <v>October</v>
      </c>
      <c r="S10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94" s="228"/>
      <c r="U1094" s="43" t="e">
        <f>IF(Planning[[#This Row],[Horas Planificadas]]&lt;&gt;0,+K1094/Planning[[#This Row],[Horas Planificadas]],0)</f>
        <v>#REF!</v>
      </c>
      <c r="V1094" s="43" t="e">
        <f>IF(Planning[[#This Row],[Horas Planificadas]]&lt;&gt;0,Planning[[#This Row],[Horas utilizadas]]/Planning[[#This Row],[Horas Planificadas]],0)</f>
        <v>#REF!</v>
      </c>
      <c r="W1094" s="44">
        <f>Planning[[#This Row],[Horas Planificadas]]+Planning[[#This Row],[Horas ajustadas adicionales]]</f>
        <v>117</v>
      </c>
      <c r="X1094" s="142"/>
    </row>
    <row r="1095" spans="1:24" ht="22.5" x14ac:dyDescent="0.2">
      <c r="A1095" s="7"/>
      <c r="B1095" s="7"/>
      <c r="C1095" s="3"/>
      <c r="D1095" s="3" t="s">
        <v>299</v>
      </c>
      <c r="E1095" s="4" t="s">
        <v>28</v>
      </c>
      <c r="F1095" s="3"/>
      <c r="G1095" s="9"/>
      <c r="H1095" s="12">
        <v>0</v>
      </c>
      <c r="I1095" s="12"/>
      <c r="J1095" s="5" t="e">
        <f>+SUMIFS(#REF!,#REF!,Planning[[#This Row],[Tarifa]],#REF!,Planning[[#This Row],[Proyectos]])</f>
        <v>#REF!</v>
      </c>
      <c r="K1095" s="27" t="e">
        <f>Planning[[#This Row],[Horas Planificadas]]+Planning[[#This Row],[Horas ajustadas adicionales]]-Planning[[#This Row],[Horas utilizadas]]</f>
        <v>#REF!</v>
      </c>
      <c r="L1095" s="7"/>
      <c r="M1095" s="19" t="e">
        <f>Planning[[#This Row],[Saldo]]-Planning[[#This Row],[Saldo estimado]]</f>
        <v>#REF!</v>
      </c>
      <c r="N1095" s="60" t="e">
        <f>+SUMIFS(#REF!,#REF!,Planning[[#This Row],[Proyectos]],#REF!,Planning[[#This Row],[Tipo de Tarea y especialidad]])</f>
        <v>#REF!</v>
      </c>
      <c r="O1095" s="19">
        <f t="shared" ref="O1095:O1158" si="34">$L$4</f>
        <v>10</v>
      </c>
      <c r="P1095" s="19">
        <f t="shared" ref="P1095:P1158" si="35">$M$4</f>
        <v>2024</v>
      </c>
      <c r="Q1095" s="19" t="e">
        <f>+SUMIFS(#REF!,#REF!,Planning[[#This Row],[Tarifa]],#REF!,Planning[[#This Row],[Proyectos]],#REF!,Planning[[#This Row],[Mes]],#REF!,Planning[[#This Row],[Año]])</f>
        <v>#REF!</v>
      </c>
      <c r="R1095" s="19" t="str">
        <f>TEXT(Planning[[#This Row],[Mes]]*29,"mmmm")</f>
        <v>October</v>
      </c>
      <c r="S10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95" s="228"/>
      <c r="U1095" s="43">
        <f>IF(Planning[[#This Row],[Horas Planificadas]]&lt;&gt;0,+K1095/Planning[[#This Row],[Horas Planificadas]],0)</f>
        <v>0</v>
      </c>
      <c r="V1095" s="43">
        <f>IF(Planning[[#This Row],[Horas Planificadas]]&lt;&gt;0,Planning[[#This Row],[Horas utilizadas]]/Planning[[#This Row],[Horas Planificadas]],0)</f>
        <v>0</v>
      </c>
      <c r="W1095" s="44">
        <f>Planning[[#This Row],[Horas Planificadas]]+Planning[[#This Row],[Horas ajustadas adicionales]]</f>
        <v>0</v>
      </c>
      <c r="X1095" s="142"/>
    </row>
    <row r="1096" spans="1:24" x14ac:dyDescent="0.2">
      <c r="A1096" s="7"/>
      <c r="B1096" s="7"/>
      <c r="C1096" s="3"/>
      <c r="D1096" s="3" t="s">
        <v>299</v>
      </c>
      <c r="E1096" s="4" t="s">
        <v>30</v>
      </c>
      <c r="F1096" s="3"/>
      <c r="G1096" s="9"/>
      <c r="H1096" s="9">
        <v>18</v>
      </c>
      <c r="I1096" s="12"/>
      <c r="J1096" s="5" t="e">
        <f>+SUMIFS(#REF!,#REF!,Planning[[#This Row],[Tarifa]],#REF!,Planning[[#This Row],[Proyectos]])</f>
        <v>#REF!</v>
      </c>
      <c r="K1096" s="5" t="e">
        <f>Planning[[#This Row],[Horas Planificadas]]+Planning[[#This Row],[Horas ajustadas adicionales]]-Planning[[#This Row],[Horas utilizadas]]</f>
        <v>#REF!</v>
      </c>
      <c r="L1096" s="7"/>
      <c r="M1096" s="19" t="e">
        <f>Planning[[#This Row],[Saldo]]-Planning[[#This Row],[Saldo estimado]]</f>
        <v>#REF!</v>
      </c>
      <c r="N1096" s="60" t="e">
        <f>+SUMIFS(#REF!,#REF!,Planning[[#This Row],[Proyectos]],#REF!,Planning[[#This Row],[Tipo de Tarea y especialidad]])</f>
        <v>#REF!</v>
      </c>
      <c r="O1096" s="19">
        <f t="shared" si="34"/>
        <v>10</v>
      </c>
      <c r="P1096" s="19">
        <f t="shared" si="35"/>
        <v>2024</v>
      </c>
      <c r="Q1096" s="19" t="e">
        <f>+SUMIFS(#REF!,#REF!,Planning[[#This Row],[Tarifa]],#REF!,Planning[[#This Row],[Proyectos]],#REF!,Planning[[#This Row],[Mes]],#REF!,Planning[[#This Row],[Año]])</f>
        <v>#REF!</v>
      </c>
      <c r="R1096" s="19" t="str">
        <f>TEXT(Planning[[#This Row],[Mes]]*29,"mmmm")</f>
        <v>October</v>
      </c>
      <c r="S10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96" s="228"/>
      <c r="U1096" s="43" t="e">
        <f>IF(Planning[[#This Row],[Horas Planificadas]]&lt;&gt;0,+K1096/Planning[[#This Row],[Horas Planificadas]],0)</f>
        <v>#REF!</v>
      </c>
      <c r="V1096" s="43" t="e">
        <f>IF(Planning[[#This Row],[Horas Planificadas]]&lt;&gt;0,Planning[[#This Row],[Horas utilizadas]]/Planning[[#This Row],[Horas Planificadas]],0)</f>
        <v>#REF!</v>
      </c>
      <c r="W1096" s="44">
        <f>Planning[[#This Row],[Horas Planificadas]]+Planning[[#This Row],[Horas ajustadas adicionales]]</f>
        <v>18</v>
      </c>
      <c r="X1096" s="142"/>
    </row>
    <row r="1097" spans="1:24" x14ac:dyDescent="0.2">
      <c r="A1097" s="7"/>
      <c r="B1097" s="7"/>
      <c r="C1097" s="3"/>
      <c r="D1097" s="3" t="s">
        <v>299</v>
      </c>
      <c r="E1097" s="4" t="s">
        <v>31</v>
      </c>
      <c r="F1097" s="3"/>
      <c r="G1097" s="9"/>
      <c r="H1097" s="9">
        <v>0</v>
      </c>
      <c r="I1097" s="12"/>
      <c r="J1097" s="5" t="e">
        <f>+SUMIFS(#REF!,#REF!,Planning[[#This Row],[Tarifa]],#REF!,Planning[[#This Row],[Proyectos]])</f>
        <v>#REF!</v>
      </c>
      <c r="K1097" s="5" t="e">
        <f>Planning[[#This Row],[Horas Planificadas]]+Planning[[#This Row],[Horas ajustadas adicionales]]-Planning[[#This Row],[Horas utilizadas]]</f>
        <v>#REF!</v>
      </c>
      <c r="L1097" s="7"/>
      <c r="M1097" s="19" t="e">
        <f>Planning[[#This Row],[Saldo]]-Planning[[#This Row],[Saldo estimado]]</f>
        <v>#REF!</v>
      </c>
      <c r="N1097" s="60" t="e">
        <f>+SUMIFS(#REF!,#REF!,Planning[[#This Row],[Proyectos]],#REF!,Planning[[#This Row],[Tipo de Tarea y especialidad]])</f>
        <v>#REF!</v>
      </c>
      <c r="O1097" s="19">
        <f t="shared" si="34"/>
        <v>10</v>
      </c>
      <c r="P1097" s="19">
        <f t="shared" si="35"/>
        <v>2024</v>
      </c>
      <c r="Q1097" s="19" t="e">
        <f>+SUMIFS(#REF!,#REF!,Planning[[#This Row],[Tarifa]],#REF!,Planning[[#This Row],[Proyectos]],#REF!,Planning[[#This Row],[Mes]],#REF!,Planning[[#This Row],[Año]])</f>
        <v>#REF!</v>
      </c>
      <c r="R1097" s="19" t="str">
        <f>TEXT(Planning[[#This Row],[Mes]]*29,"mmmm")</f>
        <v>October</v>
      </c>
      <c r="S10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97" s="228"/>
      <c r="U1097" s="43">
        <f>IF(Planning[[#This Row],[Horas Planificadas]]&lt;&gt;0,+K1097/Planning[[#This Row],[Horas Planificadas]],0)</f>
        <v>0</v>
      </c>
      <c r="V1097" s="43">
        <f>IF(Planning[[#This Row],[Horas Planificadas]]&lt;&gt;0,Planning[[#This Row],[Horas utilizadas]]/Planning[[#This Row],[Horas Planificadas]],0)</f>
        <v>0</v>
      </c>
      <c r="W1097" s="44">
        <f>Planning[[#This Row],[Horas Planificadas]]+Planning[[#This Row],[Horas ajustadas adicionales]]</f>
        <v>0</v>
      </c>
      <c r="X1097" s="142"/>
    </row>
    <row r="1098" spans="1:24" ht="22.5" x14ac:dyDescent="0.2">
      <c r="A1098" s="7"/>
      <c r="B1098" s="7"/>
      <c r="C1098" s="3"/>
      <c r="D1098" s="3" t="s">
        <v>299</v>
      </c>
      <c r="E1098" s="4" t="s">
        <v>32</v>
      </c>
      <c r="F1098" s="3"/>
      <c r="G1098" s="9"/>
      <c r="H1098" s="9">
        <v>12</v>
      </c>
      <c r="I1098" s="12"/>
      <c r="J1098" s="5" t="e">
        <f>+SUMIFS(#REF!,#REF!,Planning[[#This Row],[Tarifa]],#REF!,Planning[[#This Row],[Proyectos]])</f>
        <v>#REF!</v>
      </c>
      <c r="K1098" s="5" t="e">
        <f>Planning[[#This Row],[Horas Planificadas]]+Planning[[#This Row],[Horas ajustadas adicionales]]-Planning[[#This Row],[Horas utilizadas]]</f>
        <v>#REF!</v>
      </c>
      <c r="L1098" s="7"/>
      <c r="M1098" s="19" t="e">
        <f>Planning[[#This Row],[Saldo]]-Planning[[#This Row],[Saldo estimado]]</f>
        <v>#REF!</v>
      </c>
      <c r="N1098" s="60" t="e">
        <f>+SUMIFS(#REF!,#REF!,Planning[[#This Row],[Proyectos]],#REF!,Planning[[#This Row],[Tipo de Tarea y especialidad]])</f>
        <v>#REF!</v>
      </c>
      <c r="O1098" s="19">
        <f t="shared" si="34"/>
        <v>10</v>
      </c>
      <c r="P1098" s="19">
        <f t="shared" si="35"/>
        <v>2024</v>
      </c>
      <c r="Q1098" s="19" t="e">
        <f>+SUMIFS(#REF!,#REF!,Planning[[#This Row],[Tarifa]],#REF!,Planning[[#This Row],[Proyectos]],#REF!,Planning[[#This Row],[Mes]],#REF!,Planning[[#This Row],[Año]])</f>
        <v>#REF!</v>
      </c>
      <c r="R1098" s="19" t="str">
        <f>TEXT(Planning[[#This Row],[Mes]]*29,"mmmm")</f>
        <v>October</v>
      </c>
      <c r="S10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98" s="228"/>
      <c r="U1098" s="43" t="e">
        <f>IF(Planning[[#This Row],[Horas Planificadas]]&lt;&gt;0,+K1098/Planning[[#This Row],[Horas Planificadas]],0)</f>
        <v>#REF!</v>
      </c>
      <c r="V1098" s="43" t="e">
        <f>IF(Planning[[#This Row],[Horas Planificadas]]&lt;&gt;0,Planning[[#This Row],[Horas utilizadas]]/Planning[[#This Row],[Horas Planificadas]],0)</f>
        <v>#REF!</v>
      </c>
      <c r="W1098" s="44">
        <f>Planning[[#This Row],[Horas Planificadas]]+Planning[[#This Row],[Horas ajustadas adicionales]]</f>
        <v>12</v>
      </c>
      <c r="X1098" s="142"/>
    </row>
    <row r="1099" spans="1:24" ht="12.75" customHeight="1" x14ac:dyDescent="0.2">
      <c r="A1099" s="7"/>
      <c r="B1099" s="7" t="s">
        <v>178</v>
      </c>
      <c r="C1099" s="3"/>
      <c r="D1099" s="3" t="s">
        <v>300</v>
      </c>
      <c r="E1099" s="33" t="s">
        <v>28</v>
      </c>
      <c r="F1099" s="3"/>
      <c r="G1099" s="7">
        <v>0</v>
      </c>
      <c r="H1099" s="24">
        <v>45</v>
      </c>
      <c r="I1099" s="14"/>
      <c r="J1099" s="14" t="e">
        <f>SUM(J1100:J1101)</f>
        <v>#REF!</v>
      </c>
      <c r="K1099" s="18" t="e">
        <f>SUM(K1100:K1101)</f>
        <v>#REF!</v>
      </c>
      <c r="L1099" s="15">
        <f>SUM(L1100:L1101)</f>
        <v>0</v>
      </c>
      <c r="M1099" s="28" t="e">
        <f>SUM(M1100:M1101)</f>
        <v>#REF!</v>
      </c>
      <c r="N1099" s="61" t="e">
        <f>+SUMIFS(#REF!,#REF!,Planning[[#This Row],[Proyectos]],#REF!,Planning[[#This Row],[Tipo de Tarea y especialidad]])</f>
        <v>#REF!</v>
      </c>
      <c r="O1099" s="28">
        <f t="shared" si="34"/>
        <v>10</v>
      </c>
      <c r="P1099" s="28">
        <f t="shared" si="35"/>
        <v>2024</v>
      </c>
      <c r="Q1099" s="28" t="e">
        <f>SUM(Q1100:Q1101)</f>
        <v>#REF!</v>
      </c>
      <c r="R1099" s="28" t="str">
        <f>TEXT(Planning[[#This Row],[Mes]]*29,"mmmm")</f>
        <v>October</v>
      </c>
      <c r="S10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099" s="192" t="s">
        <v>301</v>
      </c>
      <c r="U1099" s="43" t="e">
        <f>IF(Planning[[#This Row],[Horas Planificadas]]&lt;&gt;0,+K1099/Planning[[#This Row],[Horas Planificadas]],0)</f>
        <v>#REF!</v>
      </c>
      <c r="V1099" s="43" t="e">
        <f>IF(Planning[[#This Row],[Horas Planificadas]]&lt;&gt;0,Planning[[#This Row],[Horas utilizadas]]/Planning[[#This Row],[Horas Planificadas]],0)</f>
        <v>#REF!</v>
      </c>
      <c r="W1099" s="44">
        <f>Planning[[#This Row],[Horas Planificadas]]+Planning[[#This Row],[Horas ajustadas adicionales]]</f>
        <v>45</v>
      </c>
      <c r="X1099" s="142"/>
    </row>
    <row r="1100" spans="1:24" ht="12.75" customHeight="1" x14ac:dyDescent="0.2">
      <c r="A1100" s="7"/>
      <c r="B1100" s="7" t="s">
        <v>178</v>
      </c>
      <c r="C1100" s="3"/>
      <c r="D1100" s="3" t="s">
        <v>300</v>
      </c>
      <c r="E1100" s="33"/>
      <c r="F1100" s="3" t="s">
        <v>120</v>
      </c>
      <c r="G1100" s="7"/>
      <c r="H1100" s="7"/>
      <c r="I1100" s="12"/>
      <c r="J1100" s="5" t="e">
        <f>SUM(SUMIFS(#REF!,#REF!,Planning[[#This Row],[Tipo de Tarea y especialidad]],#REF!,Planning[[#This Row],[Proyectos Reiwa]]),SUMIFS(#REF!,#REF!,Planning[[#This Row],[Tipo de Tarea y especialidad]],#REF!,Planning[[#This Row],[Proyectos]]))</f>
        <v>#REF!</v>
      </c>
      <c r="K1100" s="5" t="e">
        <f>Planning[[#This Row],[Horas Planificadas]]+Planning[[#This Row],[Horas ajustadas adicionales]]-Planning[[#This Row],[Horas utilizadas]]</f>
        <v>#REF!</v>
      </c>
      <c r="L1100" s="7"/>
      <c r="M1100" s="19" t="e">
        <f>Planning[[#This Row],[Saldo]]-Planning[[#This Row],[Saldo estimado]]</f>
        <v>#REF!</v>
      </c>
      <c r="N1100" s="60" t="e">
        <f>+SUMIFS(#REF!,#REF!,Planning[[#This Row],[Proyectos]],#REF!,Planning[[#This Row],[Tipo de Tarea y especialidad]])</f>
        <v>#REF!</v>
      </c>
      <c r="O1100" s="19">
        <f t="shared" si="34"/>
        <v>10</v>
      </c>
      <c r="P1100" s="19">
        <f t="shared" si="35"/>
        <v>2024</v>
      </c>
      <c r="Q11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00" s="19" t="str">
        <f>TEXT(Planning[[#This Row],[Mes]]*29,"mmmm")</f>
        <v>October</v>
      </c>
      <c r="S11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00" s="193"/>
      <c r="U1100" s="43">
        <f>IF(Planning[[#This Row],[Horas Planificadas]]&lt;&gt;0,+K1100/Planning[[#This Row],[Horas Planificadas]],0)</f>
        <v>0</v>
      </c>
      <c r="V1100" s="43">
        <f>IF(Planning[[#This Row],[Horas Planificadas]]&lt;&gt;0,Planning[[#This Row],[Horas utilizadas]]/Planning[[#This Row],[Horas Planificadas]],0)</f>
        <v>0</v>
      </c>
      <c r="W1100" s="44">
        <f>Planning[[#This Row],[Horas Planificadas]]+Planning[[#This Row],[Horas ajustadas adicionales]]</f>
        <v>0</v>
      </c>
      <c r="X1100" s="142"/>
    </row>
    <row r="1101" spans="1:24" ht="12.75" customHeight="1" x14ac:dyDescent="0.2">
      <c r="A1101" s="7"/>
      <c r="B1101" s="7" t="s">
        <v>178</v>
      </c>
      <c r="C1101" s="3"/>
      <c r="D1101" s="3" t="s">
        <v>300</v>
      </c>
      <c r="E1101" s="33"/>
      <c r="F1101" s="3" t="s">
        <v>121</v>
      </c>
      <c r="G1101" s="7"/>
      <c r="H1101" s="7">
        <v>45</v>
      </c>
      <c r="I1101" s="12"/>
      <c r="J1101" s="5" t="e">
        <f>SUM(SUMIFS(#REF!,#REF!,Planning[[#This Row],[Tipo de Tarea y especialidad]],#REF!,Planning[[#This Row],[Proyectos Reiwa]]),SUMIFS(#REF!,#REF!,Planning[[#This Row],[Tipo de Tarea y especialidad]],#REF!,Planning[[#This Row],[Proyectos]]))</f>
        <v>#REF!</v>
      </c>
      <c r="K1101" s="5" t="e">
        <f>Planning[[#This Row],[Horas Planificadas]]+Planning[[#This Row],[Horas ajustadas adicionales]]-Planning[[#This Row],[Horas utilizadas]]</f>
        <v>#REF!</v>
      </c>
      <c r="L1101" s="7">
        <v>0</v>
      </c>
      <c r="M1101" s="19" t="e">
        <f>Planning[[#This Row],[Saldo]]-Planning[[#This Row],[Saldo estimado]]</f>
        <v>#REF!</v>
      </c>
      <c r="N1101" s="60" t="e">
        <f>+SUMIFS(#REF!,#REF!,Planning[[#This Row],[Proyectos]],#REF!,Planning[[#This Row],[Tipo de Tarea y especialidad]])</f>
        <v>#REF!</v>
      </c>
      <c r="O1101" s="19">
        <f t="shared" si="34"/>
        <v>10</v>
      </c>
      <c r="P1101" s="19">
        <f t="shared" si="35"/>
        <v>2024</v>
      </c>
      <c r="Q11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01" s="19" t="str">
        <f>TEXT(Planning[[#This Row],[Mes]]*29,"mmmm")</f>
        <v>October</v>
      </c>
      <c r="S11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01" s="193"/>
      <c r="U1101" s="43" t="e">
        <f>IF(Planning[[#This Row],[Horas Planificadas]]&lt;&gt;0,+K1101/Planning[[#This Row],[Horas Planificadas]],0)</f>
        <v>#REF!</v>
      </c>
      <c r="V1101" s="43" t="e">
        <f>IF(Planning[[#This Row],[Horas Planificadas]]&lt;&gt;0,Planning[[#This Row],[Horas utilizadas]]/Planning[[#This Row],[Horas Planificadas]],0)</f>
        <v>#REF!</v>
      </c>
      <c r="W1101" s="44">
        <f>Planning[[#This Row],[Horas Planificadas]]+Planning[[#This Row],[Horas ajustadas adicionales]]</f>
        <v>45</v>
      </c>
      <c r="X1101" s="142"/>
    </row>
    <row r="1102" spans="1:24" ht="12.75" customHeight="1" x14ac:dyDescent="0.2">
      <c r="A1102" s="7"/>
      <c r="B1102" s="7" t="s">
        <v>178</v>
      </c>
      <c r="C1102" s="3"/>
      <c r="D1102" s="3" t="s">
        <v>300</v>
      </c>
      <c r="E1102" s="33" t="s">
        <v>30</v>
      </c>
      <c r="F1102" s="3"/>
      <c r="G1102" s="7">
        <v>1141</v>
      </c>
      <c r="H1102" s="24">
        <f>SUM(H1103:H1109)</f>
        <v>1545</v>
      </c>
      <c r="I1102" s="14"/>
      <c r="J1102" s="14" t="e">
        <f>SUM(J1103:J1109)</f>
        <v>#REF!</v>
      </c>
      <c r="K1102" s="18" t="e">
        <f>SUM(K1103:K1109)</f>
        <v>#REF!</v>
      </c>
      <c r="L1102" s="15">
        <f>SUM(L1103:L1109)</f>
        <v>0</v>
      </c>
      <c r="M1102" s="16" t="e">
        <f>SUM(M1103:M1109)</f>
        <v>#REF!</v>
      </c>
      <c r="N1102" s="60" t="e">
        <f>+SUMIFS(#REF!,#REF!,Planning[[#This Row],[Proyectos]],#REF!,Planning[[#This Row],[Tipo de Tarea y especialidad]])</f>
        <v>#REF!</v>
      </c>
      <c r="O1102" s="16">
        <f t="shared" si="34"/>
        <v>10</v>
      </c>
      <c r="P1102" s="16">
        <f t="shared" si="35"/>
        <v>2024</v>
      </c>
      <c r="Q1102" s="16" t="e">
        <f>SUM(Q1103:Q1109)</f>
        <v>#REF!</v>
      </c>
      <c r="R1102" s="16" t="str">
        <f>TEXT(Planning[[#This Row],[Mes]]*29,"mmmm")</f>
        <v>October</v>
      </c>
      <c r="S11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02" s="193"/>
      <c r="U1102" s="43" t="e">
        <f>IF(Planning[[#This Row],[Horas Planificadas]]&lt;&gt;0,+K1102/Planning[[#This Row],[Horas Planificadas]],0)</f>
        <v>#REF!</v>
      </c>
      <c r="V1102" s="43" t="e">
        <f>IF(Planning[[#This Row],[Horas Planificadas]]&lt;&gt;0,Planning[[#This Row],[Horas utilizadas]]/Planning[[#This Row],[Horas Planificadas]],0)</f>
        <v>#REF!</v>
      </c>
      <c r="W1102" s="44">
        <f>Planning[[#This Row],[Horas Planificadas]]+Planning[[#This Row],[Horas ajustadas adicionales]]</f>
        <v>1545</v>
      </c>
      <c r="X1102" s="142"/>
    </row>
    <row r="1103" spans="1:24" ht="12.75" customHeight="1" x14ac:dyDescent="0.2">
      <c r="A1103" s="7"/>
      <c r="B1103" s="7" t="s">
        <v>178</v>
      </c>
      <c r="C1103" s="3"/>
      <c r="D1103" s="3" t="s">
        <v>300</v>
      </c>
      <c r="E1103" s="33"/>
      <c r="F1103" s="3" t="s">
        <v>122</v>
      </c>
      <c r="G1103" s="7"/>
      <c r="H1103" s="7"/>
      <c r="I1103" s="12"/>
      <c r="J1103" s="5" t="e">
        <f>SUM(SUMIFS(#REF!,#REF!,Planning[[#This Row],[Tipo de Tarea y especialidad]],#REF!,Planning[[#This Row],[Proyectos Reiwa]]),SUMIFS(#REF!,#REF!,Planning[[#This Row],[Tipo de Tarea y especialidad]],#REF!,Planning[[#This Row],[Proyectos]]))</f>
        <v>#REF!</v>
      </c>
      <c r="K1103" s="5" t="e">
        <f>Planning[[#This Row],[Horas Planificadas]]+Planning[[#This Row],[Horas ajustadas adicionales]]-Planning[[#This Row],[Horas utilizadas]]</f>
        <v>#REF!</v>
      </c>
      <c r="L1103" s="7"/>
      <c r="M1103" s="19" t="e">
        <f>Planning[[#This Row],[Saldo]]-Planning[[#This Row],[Saldo estimado]]</f>
        <v>#REF!</v>
      </c>
      <c r="N1103" s="60" t="e">
        <f>+SUMIFS(#REF!,#REF!,Planning[[#This Row],[Proyectos]],#REF!,Planning[[#This Row],[Tipo de Tarea y especialidad]])</f>
        <v>#REF!</v>
      </c>
      <c r="O1103" s="19">
        <f t="shared" si="34"/>
        <v>10</v>
      </c>
      <c r="P1103" s="19">
        <f t="shared" si="35"/>
        <v>2024</v>
      </c>
      <c r="Q11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03" s="19" t="str">
        <f>TEXT(Planning[[#This Row],[Mes]]*29,"mmmm")</f>
        <v>October</v>
      </c>
      <c r="S11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03" s="193"/>
      <c r="U1103" s="43">
        <f>IF(Planning[[#This Row],[Horas Planificadas]]&lt;&gt;0,+K1103/Planning[[#This Row],[Horas Planificadas]],0)</f>
        <v>0</v>
      </c>
      <c r="V1103" s="43">
        <f>IF(Planning[[#This Row],[Horas Planificadas]]&lt;&gt;0,Planning[[#This Row],[Horas utilizadas]]/Planning[[#This Row],[Horas Planificadas]],0)</f>
        <v>0</v>
      </c>
      <c r="W1103" s="44">
        <f>Planning[[#This Row],[Horas Planificadas]]+Planning[[#This Row],[Horas ajustadas adicionales]]</f>
        <v>0</v>
      </c>
      <c r="X1103" s="142"/>
    </row>
    <row r="1104" spans="1:24" ht="12.75" customHeight="1" x14ac:dyDescent="0.2">
      <c r="A1104" s="7"/>
      <c r="B1104" s="7" t="s">
        <v>178</v>
      </c>
      <c r="C1104" s="3"/>
      <c r="D1104" s="3" t="s">
        <v>300</v>
      </c>
      <c r="E1104" s="33"/>
      <c r="F1104" s="3" t="s">
        <v>123</v>
      </c>
      <c r="G1104" s="7"/>
      <c r="H1104" s="7">
        <v>1545</v>
      </c>
      <c r="I1104" s="12"/>
      <c r="J1104" s="5" t="e">
        <f>SUM(SUMIFS(#REF!,#REF!,Planning[[#This Row],[Tipo de Tarea y especialidad]],#REF!,Planning[[#This Row],[Proyectos Reiwa]]),SUMIFS(#REF!,#REF!,Planning[[#This Row],[Tipo de Tarea y especialidad]],#REF!,Planning[[#This Row],[Proyectos]]))</f>
        <v>#REF!</v>
      </c>
      <c r="K1104" s="5" t="e">
        <f>Planning[[#This Row],[Horas Planificadas]]+Planning[[#This Row],[Horas ajustadas adicionales]]-Planning[[#This Row],[Horas utilizadas]]</f>
        <v>#REF!</v>
      </c>
      <c r="L1104" s="7">
        <v>0</v>
      </c>
      <c r="M1104" s="19" t="e">
        <f>Planning[[#This Row],[Saldo]]-Planning[[#This Row],[Saldo estimado]]</f>
        <v>#REF!</v>
      </c>
      <c r="N1104" s="60" t="e">
        <f>+SUMIFS(#REF!,#REF!,Planning[[#This Row],[Proyectos]],#REF!,Planning[[#This Row],[Tipo de Tarea y especialidad]])</f>
        <v>#REF!</v>
      </c>
      <c r="O1104" s="19">
        <f t="shared" si="34"/>
        <v>10</v>
      </c>
      <c r="P1104" s="19">
        <f t="shared" si="35"/>
        <v>2024</v>
      </c>
      <c r="Q11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04" s="19" t="str">
        <f>TEXT(Planning[[#This Row],[Mes]]*29,"mmmm")</f>
        <v>October</v>
      </c>
      <c r="S11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04" s="193"/>
      <c r="U1104" s="43" t="e">
        <f>IF(Planning[[#This Row],[Horas Planificadas]]&lt;&gt;0,+K1104/Planning[[#This Row],[Horas Planificadas]],0)</f>
        <v>#REF!</v>
      </c>
      <c r="V1104" s="43" t="e">
        <f>IF(Planning[[#This Row],[Horas Planificadas]]&lt;&gt;0,Planning[[#This Row],[Horas utilizadas]]/Planning[[#This Row],[Horas Planificadas]],0)</f>
        <v>#REF!</v>
      </c>
      <c r="W1104" s="44">
        <f>Planning[[#This Row],[Horas Planificadas]]+Planning[[#This Row],[Horas ajustadas adicionales]]</f>
        <v>1545</v>
      </c>
      <c r="X1104" s="142"/>
    </row>
    <row r="1105" spans="1:24" ht="12.75" customHeight="1" x14ac:dyDescent="0.2">
      <c r="A1105" s="7"/>
      <c r="B1105" s="7" t="s">
        <v>178</v>
      </c>
      <c r="C1105" s="3"/>
      <c r="D1105" s="3" t="s">
        <v>300</v>
      </c>
      <c r="E1105" s="33"/>
      <c r="F1105" s="3" t="s">
        <v>124</v>
      </c>
      <c r="G1105" s="7"/>
      <c r="H1105" s="7"/>
      <c r="I1105" s="12"/>
      <c r="J1105" s="5" t="e">
        <f>SUM(SUMIFS(#REF!,#REF!,Planning[[#This Row],[Tipo de Tarea y especialidad]],#REF!,Planning[[#This Row],[Proyectos Reiwa]]),SUMIFS(#REF!,#REF!,Planning[[#This Row],[Tipo de Tarea y especialidad]],#REF!,Planning[[#This Row],[Proyectos]]))</f>
        <v>#REF!</v>
      </c>
      <c r="K1105" s="5" t="e">
        <f>Planning[[#This Row],[Horas Planificadas]]+Planning[[#This Row],[Horas ajustadas adicionales]]-Planning[[#This Row],[Horas utilizadas]]</f>
        <v>#REF!</v>
      </c>
      <c r="L1105" s="7"/>
      <c r="M1105" s="19" t="e">
        <f>Planning[[#This Row],[Saldo]]-Planning[[#This Row],[Saldo estimado]]</f>
        <v>#REF!</v>
      </c>
      <c r="N1105" s="60" t="e">
        <f>+SUMIFS(#REF!,#REF!,Planning[[#This Row],[Proyectos]],#REF!,Planning[[#This Row],[Tipo de Tarea y especialidad]])</f>
        <v>#REF!</v>
      </c>
      <c r="O1105" s="19">
        <f t="shared" si="34"/>
        <v>10</v>
      </c>
      <c r="P1105" s="19">
        <f t="shared" si="35"/>
        <v>2024</v>
      </c>
      <c r="Q11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05" s="19" t="str">
        <f>TEXT(Planning[[#This Row],[Mes]]*29,"mmmm")</f>
        <v>October</v>
      </c>
      <c r="S11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05" s="193"/>
      <c r="U1105" s="43">
        <f>IF(Planning[[#This Row],[Horas Planificadas]]&lt;&gt;0,+K1105/Planning[[#This Row],[Horas Planificadas]],0)</f>
        <v>0</v>
      </c>
      <c r="V1105" s="43">
        <f>IF(Planning[[#This Row],[Horas Planificadas]]&lt;&gt;0,Planning[[#This Row],[Horas utilizadas]]/Planning[[#This Row],[Horas Planificadas]],0)</f>
        <v>0</v>
      </c>
      <c r="W1105" s="44">
        <f>Planning[[#This Row],[Horas Planificadas]]+Planning[[#This Row],[Horas ajustadas adicionales]]</f>
        <v>0</v>
      </c>
      <c r="X1105" s="142"/>
    </row>
    <row r="1106" spans="1:24" ht="12.75" customHeight="1" x14ac:dyDescent="0.2">
      <c r="A1106" s="7"/>
      <c r="B1106" s="7" t="s">
        <v>178</v>
      </c>
      <c r="C1106" s="3"/>
      <c r="D1106" s="3" t="s">
        <v>300</v>
      </c>
      <c r="E1106" s="33"/>
      <c r="F1106" s="3" t="s">
        <v>125</v>
      </c>
      <c r="G1106" s="7"/>
      <c r="H1106" s="7"/>
      <c r="I1106" s="12"/>
      <c r="J1106" s="5" t="e">
        <f>SUM(SUMIFS(#REF!,#REF!,Planning[[#This Row],[Tipo de Tarea y especialidad]],#REF!,Planning[[#This Row],[Proyectos Reiwa]]),SUMIFS(#REF!,#REF!,Planning[[#This Row],[Tipo de Tarea y especialidad]],#REF!,Planning[[#This Row],[Proyectos]]))</f>
        <v>#REF!</v>
      </c>
      <c r="K1106" s="5" t="e">
        <f>Planning[[#This Row],[Horas Planificadas]]+Planning[[#This Row],[Horas ajustadas adicionales]]-Planning[[#This Row],[Horas utilizadas]]</f>
        <v>#REF!</v>
      </c>
      <c r="L1106" s="7">
        <v>0</v>
      </c>
      <c r="M1106" s="19" t="e">
        <f>Planning[[#This Row],[Saldo]]-Planning[[#This Row],[Saldo estimado]]</f>
        <v>#REF!</v>
      </c>
      <c r="N1106" s="60" t="e">
        <f>+SUMIFS(#REF!,#REF!,Planning[[#This Row],[Proyectos]],#REF!,Planning[[#This Row],[Tipo de Tarea y especialidad]])</f>
        <v>#REF!</v>
      </c>
      <c r="O1106" s="19">
        <f t="shared" si="34"/>
        <v>10</v>
      </c>
      <c r="P1106" s="19">
        <f t="shared" si="35"/>
        <v>2024</v>
      </c>
      <c r="Q11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06" s="19" t="str">
        <f>TEXT(Planning[[#This Row],[Mes]]*29,"mmmm")</f>
        <v>October</v>
      </c>
      <c r="S11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06" s="193"/>
      <c r="U1106" s="43">
        <f>IF(Planning[[#This Row],[Horas Planificadas]]&lt;&gt;0,+K1106/Planning[[#This Row],[Horas Planificadas]],0)</f>
        <v>0</v>
      </c>
      <c r="V1106" s="43">
        <f>IF(Planning[[#This Row],[Horas Planificadas]]&lt;&gt;0,Planning[[#This Row],[Horas utilizadas]]/Planning[[#This Row],[Horas Planificadas]],0)</f>
        <v>0</v>
      </c>
      <c r="W1106" s="44">
        <f>Planning[[#This Row],[Horas Planificadas]]+Planning[[#This Row],[Horas ajustadas adicionales]]</f>
        <v>0</v>
      </c>
      <c r="X1106" s="142"/>
    </row>
    <row r="1107" spans="1:24" ht="12.75" customHeight="1" x14ac:dyDescent="0.2">
      <c r="A1107" s="7"/>
      <c r="B1107" s="7" t="s">
        <v>178</v>
      </c>
      <c r="C1107" s="3"/>
      <c r="D1107" s="3" t="s">
        <v>300</v>
      </c>
      <c r="E1107" s="33"/>
      <c r="F1107" s="3" t="s">
        <v>126</v>
      </c>
      <c r="G1107" s="7"/>
      <c r="H1107" s="7"/>
      <c r="I1107" s="12"/>
      <c r="J1107" s="5" t="e">
        <f>SUM(SUMIFS(#REF!,#REF!,Planning[[#This Row],[Tipo de Tarea y especialidad]],#REF!,Planning[[#This Row],[Proyectos Reiwa]]),SUMIFS(#REF!,#REF!,Planning[[#This Row],[Tipo de Tarea y especialidad]],#REF!,Planning[[#This Row],[Proyectos]]))</f>
        <v>#REF!</v>
      </c>
      <c r="K1107" s="5" t="e">
        <f>Planning[[#This Row],[Horas Planificadas]]+Planning[[#This Row],[Horas ajustadas adicionales]]-Planning[[#This Row],[Horas utilizadas]]</f>
        <v>#REF!</v>
      </c>
      <c r="L1107" s="7"/>
      <c r="M1107" s="19" t="e">
        <f>Planning[[#This Row],[Saldo]]-Planning[[#This Row],[Saldo estimado]]</f>
        <v>#REF!</v>
      </c>
      <c r="N1107" s="60" t="e">
        <f>+SUMIFS(#REF!,#REF!,Planning[[#This Row],[Proyectos]],#REF!,Planning[[#This Row],[Tipo de Tarea y especialidad]])</f>
        <v>#REF!</v>
      </c>
      <c r="O1107" s="19">
        <f t="shared" si="34"/>
        <v>10</v>
      </c>
      <c r="P1107" s="19">
        <f t="shared" si="35"/>
        <v>2024</v>
      </c>
      <c r="Q11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07" s="19" t="str">
        <f>TEXT(Planning[[#This Row],[Mes]]*29,"mmmm")</f>
        <v>October</v>
      </c>
      <c r="S11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07" s="193"/>
      <c r="U1107" s="43">
        <f>IF(Planning[[#This Row],[Horas Planificadas]]&lt;&gt;0,+K1107/Planning[[#This Row],[Horas Planificadas]],0)</f>
        <v>0</v>
      </c>
      <c r="V1107" s="43">
        <f>IF(Planning[[#This Row],[Horas Planificadas]]&lt;&gt;0,Planning[[#This Row],[Horas utilizadas]]/Planning[[#This Row],[Horas Planificadas]],0)</f>
        <v>0</v>
      </c>
      <c r="W1107" s="44">
        <f>Planning[[#This Row],[Horas Planificadas]]+Planning[[#This Row],[Horas ajustadas adicionales]]</f>
        <v>0</v>
      </c>
      <c r="X1107" s="142"/>
    </row>
    <row r="1108" spans="1:24" ht="12.75" customHeight="1" x14ac:dyDescent="0.2">
      <c r="A1108" s="7"/>
      <c r="B1108" s="7" t="s">
        <v>178</v>
      </c>
      <c r="C1108" s="3"/>
      <c r="D1108" s="3" t="s">
        <v>300</v>
      </c>
      <c r="E1108" s="33"/>
      <c r="F1108" s="3" t="s">
        <v>127</v>
      </c>
      <c r="G1108" s="7"/>
      <c r="H1108" s="7"/>
      <c r="I1108" s="12"/>
      <c r="J1108" s="5" t="e">
        <f>SUM(SUMIFS(#REF!,#REF!,Planning[[#This Row],[Tipo de Tarea y especialidad]],#REF!,Planning[[#This Row],[Proyectos Reiwa]]),SUMIFS(#REF!,#REF!,Planning[[#This Row],[Tipo de Tarea y especialidad]],#REF!,Planning[[#This Row],[Proyectos]]))</f>
        <v>#REF!</v>
      </c>
      <c r="K1108" s="5" t="e">
        <f>Planning[[#This Row],[Horas Planificadas]]+Planning[[#This Row],[Horas ajustadas adicionales]]-Planning[[#This Row],[Horas utilizadas]]</f>
        <v>#REF!</v>
      </c>
      <c r="L1108" s="7">
        <v>0</v>
      </c>
      <c r="M1108" s="19" t="e">
        <f>Planning[[#This Row],[Saldo]]-Planning[[#This Row],[Saldo estimado]]</f>
        <v>#REF!</v>
      </c>
      <c r="N1108" s="60" t="e">
        <f>+SUMIFS(#REF!,#REF!,Planning[[#This Row],[Proyectos]],#REF!,Planning[[#This Row],[Tipo de Tarea y especialidad]])</f>
        <v>#REF!</v>
      </c>
      <c r="O1108" s="19">
        <f t="shared" si="34"/>
        <v>10</v>
      </c>
      <c r="P1108" s="19">
        <f t="shared" si="35"/>
        <v>2024</v>
      </c>
      <c r="Q11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08" s="19" t="str">
        <f>TEXT(Planning[[#This Row],[Mes]]*29,"mmmm")</f>
        <v>October</v>
      </c>
      <c r="S11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08" s="193"/>
      <c r="U1108" s="43">
        <f>IF(Planning[[#This Row],[Horas Planificadas]]&lt;&gt;0,+K1108/Planning[[#This Row],[Horas Planificadas]],0)</f>
        <v>0</v>
      </c>
      <c r="V1108" s="43">
        <f>IF(Planning[[#This Row],[Horas Planificadas]]&lt;&gt;0,Planning[[#This Row],[Horas utilizadas]]/Planning[[#This Row],[Horas Planificadas]],0)</f>
        <v>0</v>
      </c>
      <c r="W1108" s="44">
        <f>Planning[[#This Row],[Horas Planificadas]]+Planning[[#This Row],[Horas ajustadas adicionales]]</f>
        <v>0</v>
      </c>
      <c r="X1108" s="142"/>
    </row>
    <row r="1109" spans="1:24" ht="12.75" customHeight="1" x14ac:dyDescent="0.2">
      <c r="A1109" s="7"/>
      <c r="B1109" s="7" t="s">
        <v>178</v>
      </c>
      <c r="C1109" s="3"/>
      <c r="D1109" s="3" t="s">
        <v>300</v>
      </c>
      <c r="E1109" s="33"/>
      <c r="F1109" s="3" t="s">
        <v>128</v>
      </c>
      <c r="G1109" s="7"/>
      <c r="H1109" s="7"/>
      <c r="I1109" s="12"/>
      <c r="J1109" s="5" t="e">
        <f>SUM(SUMIFS(#REF!,#REF!,Planning[[#This Row],[Tipo de Tarea y especialidad]],#REF!,Planning[[#This Row],[Proyectos Reiwa]]),SUMIFS(#REF!,#REF!,Planning[[#This Row],[Tipo de Tarea y especialidad]],#REF!,Planning[[#This Row],[Proyectos]]))</f>
        <v>#REF!</v>
      </c>
      <c r="K1109" s="5" t="e">
        <f>Planning[[#This Row],[Horas Planificadas]]+Planning[[#This Row],[Horas ajustadas adicionales]]-Planning[[#This Row],[Horas utilizadas]]</f>
        <v>#REF!</v>
      </c>
      <c r="L1109" s="7"/>
      <c r="M1109" s="19" t="e">
        <f>Planning[[#This Row],[Saldo]]-Planning[[#This Row],[Saldo estimado]]</f>
        <v>#REF!</v>
      </c>
      <c r="N1109" s="60" t="e">
        <f>+SUMIFS(#REF!,#REF!,Planning[[#This Row],[Proyectos]],#REF!,Planning[[#This Row],[Tipo de Tarea y especialidad]])</f>
        <v>#REF!</v>
      </c>
      <c r="O1109" s="19">
        <f t="shared" si="34"/>
        <v>10</v>
      </c>
      <c r="P1109" s="19">
        <f t="shared" si="35"/>
        <v>2024</v>
      </c>
      <c r="Q11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09" s="19" t="str">
        <f>TEXT(Planning[[#This Row],[Mes]]*29,"mmmm")</f>
        <v>October</v>
      </c>
      <c r="S11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09" s="193"/>
      <c r="U1109" s="43">
        <f>IF(Planning[[#This Row],[Horas Planificadas]]&lt;&gt;0,+K1109/Planning[[#This Row],[Horas Planificadas]],0)</f>
        <v>0</v>
      </c>
      <c r="V1109" s="43">
        <f>IF(Planning[[#This Row],[Horas Planificadas]]&lt;&gt;0,Planning[[#This Row],[Horas utilizadas]]/Planning[[#This Row],[Horas Planificadas]],0)</f>
        <v>0</v>
      </c>
      <c r="W1109" s="44">
        <f>Planning[[#This Row],[Horas Planificadas]]+Planning[[#This Row],[Horas ajustadas adicionales]]</f>
        <v>0</v>
      </c>
      <c r="X1109" s="142"/>
    </row>
    <row r="1110" spans="1:24" ht="12.75" customHeight="1" x14ac:dyDescent="0.2">
      <c r="A1110" s="7"/>
      <c r="B1110" s="7" t="s">
        <v>178</v>
      </c>
      <c r="C1110" s="3"/>
      <c r="D1110" s="3" t="s">
        <v>300</v>
      </c>
      <c r="E1110" s="33" t="s">
        <v>31</v>
      </c>
      <c r="F1110" s="3" t="s">
        <v>31</v>
      </c>
      <c r="G1110" s="7">
        <v>375</v>
      </c>
      <c r="H1110" s="15">
        <v>375</v>
      </c>
      <c r="I1110" s="18"/>
      <c r="J1110" s="14" t="e">
        <f>+SUMIFS(#REF!,#REF!,Planning[[#This Row],[Tarifa]],#REF!,Planning[[#This Row],[Proyectos]])</f>
        <v>#REF!</v>
      </c>
      <c r="K1110" s="14" t="e">
        <f>Planning[[#This Row],[Horas Planificadas]]+Planning[[#This Row],[Horas ajustadas adicionales]]-Planning[[#This Row],[Horas utilizadas]]</f>
        <v>#REF!</v>
      </c>
      <c r="L1110" s="15">
        <v>0</v>
      </c>
      <c r="M1110" s="16" t="e">
        <f>Planning[[#This Row],[Saldo]]-Planning[[#This Row],[Saldo estimado]]</f>
        <v>#REF!</v>
      </c>
      <c r="N1110" s="60" t="e">
        <f>+SUMIFS(#REF!,#REF!,Planning[[#This Row],[Proyectos]],#REF!,Planning[[#This Row],[Tipo de Tarea y especialidad]])</f>
        <v>#REF!</v>
      </c>
      <c r="O1110" s="16">
        <f t="shared" si="34"/>
        <v>10</v>
      </c>
      <c r="P1110" s="16">
        <f t="shared" si="35"/>
        <v>2024</v>
      </c>
      <c r="Q1110" s="16" t="e">
        <f>+SUMIFS(#REF!,#REF!,Planning[[#This Row],[Tarifa]],#REF!,Planning[[#This Row],[Proyectos]],#REF!,Planning[[#This Row],[Mes]],#REF!,Planning[[#This Row],[Año]])</f>
        <v>#REF!</v>
      </c>
      <c r="R1110" s="16" t="str">
        <f>TEXT(Planning[[#This Row],[Mes]]*29,"mmmm")</f>
        <v>October</v>
      </c>
      <c r="S11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10" s="193"/>
      <c r="U1110" s="43" t="e">
        <f>IF(Planning[[#This Row],[Horas Planificadas]]&lt;&gt;0,+K1110/Planning[[#This Row],[Horas Planificadas]],0)</f>
        <v>#REF!</v>
      </c>
      <c r="V1110" s="43" t="e">
        <f>IF(Planning[[#This Row],[Horas Planificadas]]&lt;&gt;0,Planning[[#This Row],[Horas utilizadas]]/Planning[[#This Row],[Horas Planificadas]],0)</f>
        <v>#REF!</v>
      </c>
      <c r="W1110" s="44">
        <f>Planning[[#This Row],[Horas Planificadas]]+Planning[[#This Row],[Horas ajustadas adicionales]]</f>
        <v>375</v>
      </c>
      <c r="X1110" s="142"/>
    </row>
    <row r="1111" spans="1:24" ht="12.75" customHeight="1" x14ac:dyDescent="0.2">
      <c r="A1111" s="7"/>
      <c r="B1111" s="7" t="s">
        <v>178</v>
      </c>
      <c r="C1111" s="3"/>
      <c r="D1111" s="3" t="s">
        <v>300</v>
      </c>
      <c r="E1111" s="33" t="s">
        <v>32</v>
      </c>
      <c r="F1111" s="3"/>
      <c r="G1111" s="7">
        <v>630</v>
      </c>
      <c r="H1111" s="24">
        <f>SUM(H1112:H1114)</f>
        <v>337</v>
      </c>
      <c r="I1111" s="14"/>
      <c r="J1111" s="14" t="e">
        <f>SUM(J1112:J1114)</f>
        <v>#REF!</v>
      </c>
      <c r="K1111" s="18" t="e">
        <f>SUM(K1112:K1114)</f>
        <v>#REF!</v>
      </c>
      <c r="L1111" s="15">
        <f>SUM(L1112:L1114)</f>
        <v>0</v>
      </c>
      <c r="M1111" s="16" t="e">
        <f>SUM(M1112:M1114)</f>
        <v>#REF!</v>
      </c>
      <c r="N1111" s="60" t="e">
        <f>+SUMIFS(#REF!,#REF!,Planning[[#This Row],[Proyectos]],#REF!,Planning[[#This Row],[Tipo de Tarea y especialidad]])</f>
        <v>#REF!</v>
      </c>
      <c r="O1111" s="16">
        <f t="shared" si="34"/>
        <v>10</v>
      </c>
      <c r="P1111" s="16">
        <f t="shared" si="35"/>
        <v>2024</v>
      </c>
      <c r="Q1111" s="16" t="e">
        <f>SUM(Q1112:Q1114)</f>
        <v>#REF!</v>
      </c>
      <c r="R1111" s="16" t="str">
        <f>TEXT(Planning[[#This Row],[Mes]]*29,"mmmm")</f>
        <v>October</v>
      </c>
      <c r="S11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11" s="193"/>
      <c r="U1111" s="43" t="e">
        <f>IF(Planning[[#This Row],[Horas Planificadas]]&lt;&gt;0,+K1111/Planning[[#This Row],[Horas Planificadas]],0)</f>
        <v>#REF!</v>
      </c>
      <c r="V1111" s="43" t="e">
        <f>IF(Planning[[#This Row],[Horas Planificadas]]&lt;&gt;0,Planning[[#This Row],[Horas utilizadas]]/Planning[[#This Row],[Horas Planificadas]],0)</f>
        <v>#REF!</v>
      </c>
      <c r="W1111" s="44">
        <f>Planning[[#This Row],[Horas Planificadas]]+Planning[[#This Row],[Horas ajustadas adicionales]]</f>
        <v>337</v>
      </c>
      <c r="X1111" s="142"/>
    </row>
    <row r="1112" spans="1:24" ht="12.75" customHeight="1" x14ac:dyDescent="0.2">
      <c r="A1112" s="7"/>
      <c r="B1112" s="7" t="s">
        <v>178</v>
      </c>
      <c r="C1112" s="3"/>
      <c r="D1112" s="3" t="s">
        <v>300</v>
      </c>
      <c r="E1112" s="33"/>
      <c r="F1112" s="3" t="s">
        <v>129</v>
      </c>
      <c r="G1112" s="7"/>
      <c r="H1112" s="7"/>
      <c r="I1112" s="12"/>
      <c r="J1112" s="5" t="e">
        <f>SUM(SUMIFS(#REF!,#REF!,Planning[[#This Row],[Tipo de Tarea y especialidad]],#REF!,Planning[[#This Row],[Proyectos Reiwa]]),SUMIFS(#REF!,#REF!,Planning[[#This Row],[Tipo de Tarea y especialidad]],#REF!,Planning[[#This Row],[Proyectos]]))</f>
        <v>#REF!</v>
      </c>
      <c r="K1112" s="5" t="e">
        <f>Planning[[#This Row],[Horas Planificadas]]+Planning[[#This Row],[Horas ajustadas adicionales]]-Planning[[#This Row],[Horas utilizadas]]</f>
        <v>#REF!</v>
      </c>
      <c r="L1112" s="7"/>
      <c r="M1112" s="19" t="e">
        <f>Planning[[#This Row],[Saldo]]-Planning[[#This Row],[Saldo estimado]]</f>
        <v>#REF!</v>
      </c>
      <c r="N1112" s="60" t="e">
        <f>+SUMIFS(#REF!,#REF!,Planning[[#This Row],[Proyectos]],#REF!,Planning[[#This Row],[Tipo de Tarea y especialidad]])</f>
        <v>#REF!</v>
      </c>
      <c r="O1112" s="19">
        <f t="shared" si="34"/>
        <v>10</v>
      </c>
      <c r="P1112" s="19">
        <f t="shared" si="35"/>
        <v>2024</v>
      </c>
      <c r="Q11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12" s="19" t="str">
        <f>TEXT(Planning[[#This Row],[Mes]]*29,"mmmm")</f>
        <v>October</v>
      </c>
      <c r="S11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12" s="193"/>
      <c r="U1112" s="43">
        <f>IF(Planning[[#This Row],[Horas Planificadas]]&lt;&gt;0,+K1112/Planning[[#This Row],[Horas Planificadas]],0)</f>
        <v>0</v>
      </c>
      <c r="V1112" s="43">
        <f>IF(Planning[[#This Row],[Horas Planificadas]]&lt;&gt;0,Planning[[#This Row],[Horas utilizadas]]/Planning[[#This Row],[Horas Planificadas]],0)</f>
        <v>0</v>
      </c>
      <c r="W1112" s="44">
        <f>Planning[[#This Row],[Horas Planificadas]]+Planning[[#This Row],[Horas ajustadas adicionales]]</f>
        <v>0</v>
      </c>
      <c r="X1112" s="142"/>
    </row>
    <row r="1113" spans="1:24" ht="12.75" customHeight="1" x14ac:dyDescent="0.2">
      <c r="A1113" s="7"/>
      <c r="B1113" s="7" t="s">
        <v>178</v>
      </c>
      <c r="C1113" s="3"/>
      <c r="D1113" s="3" t="s">
        <v>300</v>
      </c>
      <c r="E1113" s="33"/>
      <c r="F1113" s="3" t="s">
        <v>130</v>
      </c>
      <c r="G1113" s="7"/>
      <c r="H1113" s="7">
        <v>337</v>
      </c>
      <c r="I1113" s="12"/>
      <c r="J1113" s="5" t="e">
        <f>SUM(SUMIFS(#REF!,#REF!,Planning[[#This Row],[Tipo de Tarea y especialidad]],#REF!,Planning[[#This Row],[Proyectos Reiwa]]),SUMIFS(#REF!,#REF!,Planning[[#This Row],[Tipo de Tarea y especialidad]],#REF!,Planning[[#This Row],[Proyectos]]))</f>
        <v>#REF!</v>
      </c>
      <c r="K1113" s="5" t="e">
        <f>Planning[[#This Row],[Horas Planificadas]]+Planning[[#This Row],[Horas ajustadas adicionales]]-Planning[[#This Row],[Horas utilizadas]]</f>
        <v>#REF!</v>
      </c>
      <c r="L1113" s="7">
        <v>0</v>
      </c>
      <c r="M1113" s="19" t="e">
        <f>Planning[[#This Row],[Saldo]]-Planning[[#This Row],[Saldo estimado]]</f>
        <v>#REF!</v>
      </c>
      <c r="N1113" s="60" t="e">
        <f>+SUMIFS(#REF!,#REF!,Planning[[#This Row],[Proyectos]],#REF!,Planning[[#This Row],[Tipo de Tarea y especialidad]])</f>
        <v>#REF!</v>
      </c>
      <c r="O1113" s="19">
        <f t="shared" si="34"/>
        <v>10</v>
      </c>
      <c r="P1113" s="19">
        <f t="shared" si="35"/>
        <v>2024</v>
      </c>
      <c r="Q11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13" s="19" t="str">
        <f>TEXT(Planning[[#This Row],[Mes]]*29,"mmmm")</f>
        <v>October</v>
      </c>
      <c r="S11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13" s="193"/>
      <c r="U1113" s="43" t="e">
        <f>IF(Planning[[#This Row],[Horas Planificadas]]&lt;&gt;0,+K1113/Planning[[#This Row],[Horas Planificadas]],0)</f>
        <v>#REF!</v>
      </c>
      <c r="V1113" s="43" t="e">
        <f>IF(Planning[[#This Row],[Horas Planificadas]]&lt;&gt;0,Planning[[#This Row],[Horas utilizadas]]/Planning[[#This Row],[Horas Planificadas]],0)</f>
        <v>#REF!</v>
      </c>
      <c r="W1113" s="44">
        <f>Planning[[#This Row],[Horas Planificadas]]+Planning[[#This Row],[Horas ajustadas adicionales]]</f>
        <v>337</v>
      </c>
      <c r="X1113" s="142"/>
    </row>
    <row r="1114" spans="1:24" ht="12.75" customHeight="1" x14ac:dyDescent="0.2">
      <c r="A1114" s="7"/>
      <c r="B1114" s="7" t="s">
        <v>178</v>
      </c>
      <c r="C1114" s="3"/>
      <c r="D1114" s="3" t="s">
        <v>300</v>
      </c>
      <c r="E1114" s="33"/>
      <c r="F1114" s="3" t="s">
        <v>131</v>
      </c>
      <c r="G1114" s="7"/>
      <c r="H1114" s="7"/>
      <c r="I1114" s="12"/>
      <c r="J1114" s="5" t="e">
        <f>SUM(SUMIFS(#REF!,#REF!,Planning[[#This Row],[Tipo de Tarea y especialidad]],#REF!,Planning[[#This Row],[Proyectos Reiwa]]),SUMIFS(#REF!,#REF!,Planning[[#This Row],[Tipo de Tarea y especialidad]],#REF!,Planning[[#This Row],[Proyectos]]))</f>
        <v>#REF!</v>
      </c>
      <c r="K1114" s="5" t="e">
        <f>Planning[[#This Row],[Horas Planificadas]]+Planning[[#This Row],[Horas ajustadas adicionales]]-Planning[[#This Row],[Horas utilizadas]]</f>
        <v>#REF!</v>
      </c>
      <c r="L1114" s="7"/>
      <c r="M1114" s="19" t="e">
        <f>Planning[[#This Row],[Saldo]]-Planning[[#This Row],[Saldo estimado]]</f>
        <v>#REF!</v>
      </c>
      <c r="N1114" s="60" t="e">
        <f>+SUMIFS(#REF!,#REF!,Planning[[#This Row],[Proyectos]],#REF!,Planning[[#This Row],[Tipo de Tarea y especialidad]])</f>
        <v>#REF!</v>
      </c>
      <c r="O1114" s="19">
        <f t="shared" si="34"/>
        <v>10</v>
      </c>
      <c r="P1114" s="19">
        <f t="shared" si="35"/>
        <v>2024</v>
      </c>
      <c r="Q11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14" s="19" t="str">
        <f>TEXT(Planning[[#This Row],[Mes]]*29,"mmmm")</f>
        <v>October</v>
      </c>
      <c r="S11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14" s="193"/>
      <c r="U1114" s="43">
        <f>IF(Planning[[#This Row],[Horas Planificadas]]&lt;&gt;0,+K1114/Planning[[#This Row],[Horas Planificadas]],0)</f>
        <v>0</v>
      </c>
      <c r="V1114" s="43">
        <f>IF(Planning[[#This Row],[Horas Planificadas]]&lt;&gt;0,Planning[[#This Row],[Horas utilizadas]]/Planning[[#This Row],[Horas Planificadas]],0)</f>
        <v>0</v>
      </c>
      <c r="W1114" s="44">
        <f>Planning[[#This Row],[Horas Planificadas]]+Planning[[#This Row],[Horas ajustadas adicionales]]</f>
        <v>0</v>
      </c>
      <c r="X1114" s="142"/>
    </row>
    <row r="1115" spans="1:24" ht="12.75" customHeight="1" x14ac:dyDescent="0.2">
      <c r="A1115" s="7"/>
      <c r="B1115" s="7"/>
      <c r="C1115" s="3"/>
      <c r="D1115" s="3" t="s">
        <v>302</v>
      </c>
      <c r="E1115" s="33" t="s">
        <v>28</v>
      </c>
      <c r="F1115" s="3"/>
      <c r="G1115" s="7"/>
      <c r="H1115" s="7">
        <v>0</v>
      </c>
      <c r="I1115" s="12"/>
      <c r="J1115" s="5" t="e">
        <f>+SUMIFS(#REF!,#REF!,Planning[[#This Row],[Tarifa]],#REF!,Planning[[#This Row],[Proyectos]])</f>
        <v>#REF!</v>
      </c>
      <c r="K1115" s="5" t="e">
        <f>Planning[[#This Row],[Horas Planificadas]]+Planning[[#This Row],[Horas ajustadas adicionales]]-Planning[[#This Row],[Horas utilizadas]]</f>
        <v>#REF!</v>
      </c>
      <c r="L1115" s="7"/>
      <c r="M1115" s="19" t="e">
        <f>Planning[[#This Row],[Saldo]]-Planning[[#This Row],[Saldo estimado]]</f>
        <v>#REF!</v>
      </c>
      <c r="N1115" s="60" t="e">
        <f>+SUMIFS(#REF!,#REF!,Planning[[#This Row],[Proyectos]],#REF!,Planning[[#This Row],[Tipo de Tarea y especialidad]])</f>
        <v>#REF!</v>
      </c>
      <c r="O1115" s="19">
        <f t="shared" si="34"/>
        <v>10</v>
      </c>
      <c r="P1115" s="19">
        <f t="shared" si="35"/>
        <v>2024</v>
      </c>
      <c r="Q1115" s="19" t="e">
        <f>+SUMIFS(#REF!,#REF!,Planning[[#This Row],[Tarifa]],#REF!,Planning[[#This Row],[Proyectos]],#REF!,Planning[[#This Row],[Mes]],#REF!,Planning[[#This Row],[Año]])</f>
        <v>#REF!</v>
      </c>
      <c r="R1115" s="19" t="str">
        <f>TEXT(Planning[[#This Row],[Mes]]*29,"mmmm")</f>
        <v>October</v>
      </c>
      <c r="S11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15" s="228"/>
      <c r="U1115" s="43">
        <f>IF(Planning[[#This Row],[Horas Planificadas]]&lt;&gt;0,+K1115/Planning[[#This Row],[Horas Planificadas]],0)</f>
        <v>0</v>
      </c>
      <c r="V1115" s="43">
        <f>IF(Planning[[#This Row],[Horas Planificadas]]&lt;&gt;0,Planning[[#This Row],[Horas utilizadas]]/Planning[[#This Row],[Horas Planificadas]],0)</f>
        <v>0</v>
      </c>
      <c r="W1115" s="44">
        <f>Planning[[#This Row],[Horas Planificadas]]+Planning[[#This Row],[Horas ajustadas adicionales]]</f>
        <v>0</v>
      </c>
      <c r="X1115" s="142"/>
    </row>
    <row r="1116" spans="1:24" ht="12.75" customHeight="1" x14ac:dyDescent="0.2">
      <c r="A1116" s="7"/>
      <c r="B1116" s="7"/>
      <c r="C1116" s="3"/>
      <c r="D1116" s="3" t="s">
        <v>302</v>
      </c>
      <c r="E1116" s="33" t="s">
        <v>30</v>
      </c>
      <c r="F1116" s="3"/>
      <c r="G1116" s="7"/>
      <c r="H1116" s="7">
        <v>160</v>
      </c>
      <c r="I1116" s="12"/>
      <c r="J1116" s="5" t="e">
        <f>+SUMIFS(#REF!,#REF!,Planning[[#This Row],[Tarifa]],#REF!,Planning[[#This Row],[Proyectos]])</f>
        <v>#REF!</v>
      </c>
      <c r="K1116" s="5" t="e">
        <f>Planning[[#This Row],[Horas Planificadas]]+Planning[[#This Row],[Horas ajustadas adicionales]]-Planning[[#This Row],[Horas utilizadas]]</f>
        <v>#REF!</v>
      </c>
      <c r="L1116" s="7"/>
      <c r="M1116" s="19" t="e">
        <f>Planning[[#This Row],[Saldo]]-Planning[[#This Row],[Saldo estimado]]</f>
        <v>#REF!</v>
      </c>
      <c r="N1116" s="60" t="e">
        <f>+SUMIFS(#REF!,#REF!,Planning[[#This Row],[Proyectos]],#REF!,Planning[[#This Row],[Tipo de Tarea y especialidad]])</f>
        <v>#REF!</v>
      </c>
      <c r="O1116" s="19">
        <f t="shared" si="34"/>
        <v>10</v>
      </c>
      <c r="P1116" s="19">
        <f t="shared" si="35"/>
        <v>2024</v>
      </c>
      <c r="Q1116" s="19" t="e">
        <f>+SUMIFS(#REF!,#REF!,Planning[[#This Row],[Tarifa]],#REF!,Planning[[#This Row],[Proyectos]],#REF!,Planning[[#This Row],[Mes]],#REF!,Planning[[#This Row],[Año]])</f>
        <v>#REF!</v>
      </c>
      <c r="R1116" s="19" t="str">
        <f>TEXT(Planning[[#This Row],[Mes]]*29,"mmmm")</f>
        <v>October</v>
      </c>
      <c r="S11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16" s="228"/>
      <c r="U1116" s="43" t="e">
        <f>IF(Planning[[#This Row],[Horas Planificadas]]&lt;&gt;0,+K1116/Planning[[#This Row],[Horas Planificadas]],0)</f>
        <v>#REF!</v>
      </c>
      <c r="V1116" s="43" t="e">
        <f>IF(Planning[[#This Row],[Horas Planificadas]]&lt;&gt;0,Planning[[#This Row],[Horas utilizadas]]/Planning[[#This Row],[Horas Planificadas]],0)</f>
        <v>#REF!</v>
      </c>
      <c r="W1116" s="44">
        <f>Planning[[#This Row],[Horas Planificadas]]+Planning[[#This Row],[Horas ajustadas adicionales]]</f>
        <v>160</v>
      </c>
      <c r="X1116" s="142"/>
    </row>
    <row r="1117" spans="1:24" ht="12.75" customHeight="1" x14ac:dyDescent="0.2">
      <c r="A1117" s="7"/>
      <c r="B1117" s="7"/>
      <c r="C1117" s="3"/>
      <c r="D1117" s="3" t="s">
        <v>302</v>
      </c>
      <c r="E1117" s="33" t="s">
        <v>31</v>
      </c>
      <c r="F1117" s="3"/>
      <c r="G1117" s="7"/>
      <c r="H1117" s="7">
        <v>139</v>
      </c>
      <c r="I1117" s="12"/>
      <c r="J1117" s="5" t="e">
        <f>+SUMIFS(#REF!,#REF!,Planning[[#This Row],[Tarifa]],#REF!,Planning[[#This Row],[Proyectos]])</f>
        <v>#REF!</v>
      </c>
      <c r="K1117" s="5" t="e">
        <f>Planning[[#This Row],[Horas Planificadas]]+Planning[[#This Row],[Horas ajustadas adicionales]]-Planning[[#This Row],[Horas utilizadas]]</f>
        <v>#REF!</v>
      </c>
      <c r="L1117" s="7"/>
      <c r="M1117" s="19" t="e">
        <f>Planning[[#This Row],[Saldo]]-Planning[[#This Row],[Saldo estimado]]</f>
        <v>#REF!</v>
      </c>
      <c r="N1117" s="60" t="e">
        <f>+SUMIFS(#REF!,#REF!,Planning[[#This Row],[Proyectos]],#REF!,Planning[[#This Row],[Tipo de Tarea y especialidad]])</f>
        <v>#REF!</v>
      </c>
      <c r="O1117" s="19">
        <f t="shared" si="34"/>
        <v>10</v>
      </c>
      <c r="P1117" s="19">
        <f t="shared" si="35"/>
        <v>2024</v>
      </c>
      <c r="Q1117" s="19" t="e">
        <f>+SUMIFS(#REF!,#REF!,Planning[[#This Row],[Tarifa]],#REF!,Planning[[#This Row],[Proyectos]],#REF!,Planning[[#This Row],[Mes]],#REF!,Planning[[#This Row],[Año]])</f>
        <v>#REF!</v>
      </c>
      <c r="R1117" s="19" t="str">
        <f>TEXT(Planning[[#This Row],[Mes]]*29,"mmmm")</f>
        <v>October</v>
      </c>
      <c r="S11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17" s="228"/>
      <c r="U1117" s="43" t="e">
        <f>IF(Planning[[#This Row],[Horas Planificadas]]&lt;&gt;0,+K1117/Planning[[#This Row],[Horas Planificadas]],0)</f>
        <v>#REF!</v>
      </c>
      <c r="V1117" s="43" t="e">
        <f>IF(Planning[[#This Row],[Horas Planificadas]]&lt;&gt;0,Planning[[#This Row],[Horas utilizadas]]/Planning[[#This Row],[Horas Planificadas]],0)</f>
        <v>#REF!</v>
      </c>
      <c r="W1117" s="44">
        <f>Planning[[#This Row],[Horas Planificadas]]+Planning[[#This Row],[Horas ajustadas adicionales]]</f>
        <v>139</v>
      </c>
      <c r="X1117" s="142"/>
    </row>
    <row r="1118" spans="1:24" ht="12.75" customHeight="1" x14ac:dyDescent="0.2">
      <c r="A1118" s="7"/>
      <c r="B1118" s="7"/>
      <c r="C1118" s="3"/>
      <c r="D1118" s="3" t="s">
        <v>302</v>
      </c>
      <c r="E1118" s="33" t="s">
        <v>32</v>
      </c>
      <c r="F1118" s="3"/>
      <c r="G1118" s="7"/>
      <c r="H1118" s="7">
        <v>280</v>
      </c>
      <c r="I1118" s="12"/>
      <c r="J1118" s="5" t="e">
        <f>+SUMIFS(#REF!,#REF!,Planning[[#This Row],[Tarifa]],#REF!,Planning[[#This Row],[Proyectos]])</f>
        <v>#REF!</v>
      </c>
      <c r="K1118" s="5" t="e">
        <f>Planning[[#This Row],[Horas Planificadas]]+Planning[[#This Row],[Horas ajustadas adicionales]]-Planning[[#This Row],[Horas utilizadas]]</f>
        <v>#REF!</v>
      </c>
      <c r="L1118" s="7"/>
      <c r="M1118" s="19" t="e">
        <f>Planning[[#This Row],[Saldo]]-Planning[[#This Row],[Saldo estimado]]</f>
        <v>#REF!</v>
      </c>
      <c r="N1118" s="60" t="e">
        <f>+SUMIFS(#REF!,#REF!,Planning[[#This Row],[Proyectos]],#REF!,Planning[[#This Row],[Tipo de Tarea y especialidad]])</f>
        <v>#REF!</v>
      </c>
      <c r="O1118" s="19">
        <f t="shared" si="34"/>
        <v>10</v>
      </c>
      <c r="P1118" s="19">
        <f t="shared" si="35"/>
        <v>2024</v>
      </c>
      <c r="Q1118" s="19" t="e">
        <f>+SUMIFS(#REF!,#REF!,Planning[[#This Row],[Tarifa]],#REF!,Planning[[#This Row],[Proyectos]],#REF!,Planning[[#This Row],[Mes]],#REF!,Planning[[#This Row],[Año]])</f>
        <v>#REF!</v>
      </c>
      <c r="R1118" s="19" t="str">
        <f>TEXT(Planning[[#This Row],[Mes]]*29,"mmmm")</f>
        <v>October</v>
      </c>
      <c r="S11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18" s="228"/>
      <c r="U1118" s="43" t="e">
        <f>IF(Planning[[#This Row],[Horas Planificadas]]&lt;&gt;0,+K1118/Planning[[#This Row],[Horas Planificadas]],0)</f>
        <v>#REF!</v>
      </c>
      <c r="V1118" s="43" t="e">
        <f>IF(Planning[[#This Row],[Horas Planificadas]]&lt;&gt;0,Planning[[#This Row],[Horas utilizadas]]/Planning[[#This Row],[Horas Planificadas]],0)</f>
        <v>#REF!</v>
      </c>
      <c r="W1118" s="44">
        <f>Planning[[#This Row],[Horas Planificadas]]+Planning[[#This Row],[Horas ajustadas adicionales]]</f>
        <v>280</v>
      </c>
      <c r="X1118" s="142"/>
    </row>
    <row r="1119" spans="1:24" ht="12.75" customHeight="1" x14ac:dyDescent="0.2">
      <c r="A1119" s="7"/>
      <c r="B1119" s="7"/>
      <c r="C1119" s="3"/>
      <c r="D1119" s="3" t="s">
        <v>303</v>
      </c>
      <c r="E1119" s="33" t="s">
        <v>28</v>
      </c>
      <c r="F1119" s="3"/>
      <c r="G1119" s="7"/>
      <c r="H1119" s="7">
        <v>404</v>
      </c>
      <c r="I1119" s="12"/>
      <c r="J1119" s="5" t="e">
        <f>+SUMIFS(#REF!,#REF!,Planning[[#This Row],[Tarifa]],#REF!,Planning[[#This Row],[Proyectos]])</f>
        <v>#REF!</v>
      </c>
      <c r="K1119" s="5" t="e">
        <f>Planning[[#This Row],[Horas Planificadas]]+Planning[[#This Row],[Horas ajustadas adicionales]]-Planning[[#This Row],[Horas utilizadas]]</f>
        <v>#REF!</v>
      </c>
      <c r="L1119" s="7"/>
      <c r="M1119" s="19" t="e">
        <f>Planning[[#This Row],[Saldo]]-Planning[[#This Row],[Saldo estimado]]</f>
        <v>#REF!</v>
      </c>
      <c r="N1119" s="60" t="e">
        <f>+SUMIFS(#REF!,#REF!,Planning[[#This Row],[Proyectos]],#REF!,Planning[[#This Row],[Tipo de Tarea y especialidad]])</f>
        <v>#REF!</v>
      </c>
      <c r="O1119" s="19">
        <f t="shared" si="34"/>
        <v>10</v>
      </c>
      <c r="P1119" s="19">
        <f t="shared" si="35"/>
        <v>2024</v>
      </c>
      <c r="Q1119" s="19" t="e">
        <f>+SUMIFS(#REF!,#REF!,Planning[[#This Row],[Tarifa]],#REF!,Planning[[#This Row],[Proyectos]],#REF!,Planning[[#This Row],[Mes]],#REF!,Planning[[#This Row],[Año]])</f>
        <v>#REF!</v>
      </c>
      <c r="R1119" s="19" t="str">
        <f>TEXT(Planning[[#This Row],[Mes]]*29,"mmmm")</f>
        <v>October</v>
      </c>
      <c r="S11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19" s="228"/>
      <c r="U1119" s="43" t="e">
        <f>IF(Planning[[#This Row],[Horas Planificadas]]&lt;&gt;0,+K1119/Planning[[#This Row],[Horas Planificadas]],0)</f>
        <v>#REF!</v>
      </c>
      <c r="V1119" s="43" t="e">
        <f>IF(Planning[[#This Row],[Horas Planificadas]]&lt;&gt;0,Planning[[#This Row],[Horas utilizadas]]/Planning[[#This Row],[Horas Planificadas]],0)</f>
        <v>#REF!</v>
      </c>
      <c r="W1119" s="44">
        <f>Planning[[#This Row],[Horas Planificadas]]+Planning[[#This Row],[Horas ajustadas adicionales]]</f>
        <v>404</v>
      </c>
      <c r="X1119" s="142"/>
    </row>
    <row r="1120" spans="1:24" ht="12.75" customHeight="1" x14ac:dyDescent="0.2">
      <c r="A1120" s="7"/>
      <c r="B1120" s="7"/>
      <c r="C1120" s="3"/>
      <c r="D1120" s="3" t="s">
        <v>303</v>
      </c>
      <c r="E1120" s="33" t="s">
        <v>30</v>
      </c>
      <c r="F1120" s="3"/>
      <c r="G1120" s="7"/>
      <c r="H1120" s="7">
        <v>313</v>
      </c>
      <c r="I1120" s="12"/>
      <c r="J1120" s="5" t="e">
        <f>+SUMIFS(#REF!,#REF!,Planning[[#This Row],[Tarifa]],#REF!,Planning[[#This Row],[Proyectos]])</f>
        <v>#REF!</v>
      </c>
      <c r="K1120" s="5" t="e">
        <f>Planning[[#This Row],[Horas Planificadas]]+Planning[[#This Row],[Horas ajustadas adicionales]]-Planning[[#This Row],[Horas utilizadas]]</f>
        <v>#REF!</v>
      </c>
      <c r="L1120" s="7"/>
      <c r="M1120" s="19" t="e">
        <f>Planning[[#This Row],[Saldo]]-Planning[[#This Row],[Saldo estimado]]</f>
        <v>#REF!</v>
      </c>
      <c r="N1120" s="60" t="e">
        <f>+SUMIFS(#REF!,#REF!,Planning[[#This Row],[Proyectos]],#REF!,Planning[[#This Row],[Tipo de Tarea y especialidad]])</f>
        <v>#REF!</v>
      </c>
      <c r="O1120" s="19">
        <f t="shared" si="34"/>
        <v>10</v>
      </c>
      <c r="P1120" s="19">
        <f t="shared" si="35"/>
        <v>2024</v>
      </c>
      <c r="Q1120" s="19" t="e">
        <f>+SUMIFS(#REF!,#REF!,Planning[[#This Row],[Tarifa]],#REF!,Planning[[#This Row],[Proyectos]],#REF!,Planning[[#This Row],[Mes]],#REF!,Planning[[#This Row],[Año]])</f>
        <v>#REF!</v>
      </c>
      <c r="R1120" s="19" t="str">
        <f>TEXT(Planning[[#This Row],[Mes]]*29,"mmmm")</f>
        <v>October</v>
      </c>
      <c r="S11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20" s="228"/>
      <c r="U1120" s="43" t="e">
        <f>IF(Planning[[#This Row],[Horas Planificadas]]&lt;&gt;0,+K1120/Planning[[#This Row],[Horas Planificadas]],0)</f>
        <v>#REF!</v>
      </c>
      <c r="V1120" s="43" t="e">
        <f>IF(Planning[[#This Row],[Horas Planificadas]]&lt;&gt;0,Planning[[#This Row],[Horas utilizadas]]/Planning[[#This Row],[Horas Planificadas]],0)</f>
        <v>#REF!</v>
      </c>
      <c r="W1120" s="44">
        <f>Planning[[#This Row],[Horas Planificadas]]+Planning[[#This Row],[Horas ajustadas adicionales]]</f>
        <v>313</v>
      </c>
      <c r="X1120" s="142"/>
    </row>
    <row r="1121" spans="1:24" ht="12.75" customHeight="1" x14ac:dyDescent="0.2">
      <c r="A1121" s="7"/>
      <c r="B1121" s="7"/>
      <c r="C1121" s="3"/>
      <c r="D1121" s="3" t="s">
        <v>303</v>
      </c>
      <c r="E1121" s="33" t="s">
        <v>31</v>
      </c>
      <c r="F1121" s="3"/>
      <c r="G1121" s="7"/>
      <c r="H1121" s="7">
        <v>150</v>
      </c>
      <c r="I1121" s="12"/>
      <c r="J1121" s="5" t="e">
        <f>+SUMIFS(#REF!,#REF!,Planning[[#This Row],[Tarifa]],#REF!,Planning[[#This Row],[Proyectos]])</f>
        <v>#REF!</v>
      </c>
      <c r="K1121" s="5" t="e">
        <f>Planning[[#This Row],[Horas Planificadas]]+Planning[[#This Row],[Horas ajustadas adicionales]]-Planning[[#This Row],[Horas utilizadas]]</f>
        <v>#REF!</v>
      </c>
      <c r="L1121" s="7"/>
      <c r="M1121" s="19" t="e">
        <f>Planning[[#This Row],[Saldo]]-Planning[[#This Row],[Saldo estimado]]</f>
        <v>#REF!</v>
      </c>
      <c r="N1121" s="60" t="e">
        <f>+SUMIFS(#REF!,#REF!,Planning[[#This Row],[Proyectos]],#REF!,Planning[[#This Row],[Tipo de Tarea y especialidad]])</f>
        <v>#REF!</v>
      </c>
      <c r="O1121" s="19">
        <f t="shared" si="34"/>
        <v>10</v>
      </c>
      <c r="P1121" s="19">
        <f t="shared" si="35"/>
        <v>2024</v>
      </c>
      <c r="Q1121" s="19" t="e">
        <f>+SUMIFS(#REF!,#REF!,Planning[[#This Row],[Tarifa]],#REF!,Planning[[#This Row],[Proyectos]],#REF!,Planning[[#This Row],[Mes]],#REF!,Planning[[#This Row],[Año]])</f>
        <v>#REF!</v>
      </c>
      <c r="R1121" s="19" t="str">
        <f>TEXT(Planning[[#This Row],[Mes]]*29,"mmmm")</f>
        <v>October</v>
      </c>
      <c r="S11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21" s="228"/>
      <c r="U1121" s="43" t="e">
        <f>IF(Planning[[#This Row],[Horas Planificadas]]&lt;&gt;0,+K1121/Planning[[#This Row],[Horas Planificadas]],0)</f>
        <v>#REF!</v>
      </c>
      <c r="V1121" s="43" t="e">
        <f>IF(Planning[[#This Row],[Horas Planificadas]]&lt;&gt;0,Planning[[#This Row],[Horas utilizadas]]/Planning[[#This Row],[Horas Planificadas]],0)</f>
        <v>#REF!</v>
      </c>
      <c r="W1121" s="44">
        <f>Planning[[#This Row],[Horas Planificadas]]+Planning[[#This Row],[Horas ajustadas adicionales]]</f>
        <v>150</v>
      </c>
      <c r="X1121" s="142"/>
    </row>
    <row r="1122" spans="1:24" ht="12.75" customHeight="1" x14ac:dyDescent="0.2">
      <c r="A1122" s="7"/>
      <c r="B1122" s="7"/>
      <c r="C1122" s="3"/>
      <c r="D1122" s="3" t="s">
        <v>303</v>
      </c>
      <c r="E1122" s="33" t="s">
        <v>32</v>
      </c>
      <c r="F1122" s="3"/>
      <c r="G1122" s="7"/>
      <c r="H1122" s="7">
        <v>108</v>
      </c>
      <c r="I1122" s="12"/>
      <c r="J1122" s="5" t="e">
        <f>+SUMIFS(#REF!,#REF!,Planning[[#This Row],[Tarifa]],#REF!,Planning[[#This Row],[Proyectos]])</f>
        <v>#REF!</v>
      </c>
      <c r="K1122" s="5" t="e">
        <f>Planning[[#This Row],[Horas Planificadas]]+Planning[[#This Row],[Horas ajustadas adicionales]]-Planning[[#This Row],[Horas utilizadas]]</f>
        <v>#REF!</v>
      </c>
      <c r="L1122" s="7"/>
      <c r="M1122" s="19" t="e">
        <f>Planning[[#This Row],[Saldo]]-Planning[[#This Row],[Saldo estimado]]</f>
        <v>#REF!</v>
      </c>
      <c r="N1122" s="60" t="e">
        <f>+SUMIFS(#REF!,#REF!,Planning[[#This Row],[Proyectos]],#REF!,Planning[[#This Row],[Tipo de Tarea y especialidad]])</f>
        <v>#REF!</v>
      </c>
      <c r="O1122" s="19">
        <f t="shared" si="34"/>
        <v>10</v>
      </c>
      <c r="P1122" s="19">
        <f t="shared" si="35"/>
        <v>2024</v>
      </c>
      <c r="Q1122" s="19" t="e">
        <f>+SUMIFS(#REF!,#REF!,Planning[[#This Row],[Tarifa]],#REF!,Planning[[#This Row],[Proyectos]],#REF!,Planning[[#This Row],[Mes]],#REF!,Planning[[#This Row],[Año]])</f>
        <v>#REF!</v>
      </c>
      <c r="R1122" s="19" t="str">
        <f>TEXT(Planning[[#This Row],[Mes]]*29,"mmmm")</f>
        <v>October</v>
      </c>
      <c r="S11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22" s="228"/>
      <c r="U1122" s="43" t="e">
        <f>IF(Planning[[#This Row],[Horas Planificadas]]&lt;&gt;0,+K1122/Planning[[#This Row],[Horas Planificadas]],0)</f>
        <v>#REF!</v>
      </c>
      <c r="V1122" s="43" t="e">
        <f>IF(Planning[[#This Row],[Horas Planificadas]]&lt;&gt;0,Planning[[#This Row],[Horas utilizadas]]/Planning[[#This Row],[Horas Planificadas]],0)</f>
        <v>#REF!</v>
      </c>
      <c r="W1122" s="44">
        <f>Planning[[#This Row],[Horas Planificadas]]+Planning[[#This Row],[Horas ajustadas adicionales]]</f>
        <v>108</v>
      </c>
      <c r="X1122" s="142"/>
    </row>
    <row r="1123" spans="1:24" ht="12.75" customHeight="1" x14ac:dyDescent="0.2">
      <c r="A1123" s="7"/>
      <c r="B1123" s="7"/>
      <c r="C1123" s="3"/>
      <c r="D1123" s="3" t="s">
        <v>304</v>
      </c>
      <c r="E1123" s="33" t="s">
        <v>28</v>
      </c>
      <c r="F1123" s="3"/>
      <c r="G1123" s="7"/>
      <c r="H1123" s="7">
        <v>0</v>
      </c>
      <c r="I1123" s="12"/>
      <c r="J1123" s="5" t="e">
        <f>+SUMIFS(#REF!,#REF!,Planning[[#This Row],[Tarifa]],#REF!,Planning[[#This Row],[Proyectos]])</f>
        <v>#REF!</v>
      </c>
      <c r="K1123" s="5" t="e">
        <f>Planning[[#This Row],[Horas Planificadas]]+Planning[[#This Row],[Horas ajustadas adicionales]]-Planning[[#This Row],[Horas utilizadas]]</f>
        <v>#REF!</v>
      </c>
      <c r="L1123" s="7"/>
      <c r="M1123" s="19" t="e">
        <f>Planning[[#This Row],[Saldo]]-Planning[[#This Row],[Saldo estimado]]</f>
        <v>#REF!</v>
      </c>
      <c r="N1123" s="60" t="e">
        <f>+SUMIFS(#REF!,#REF!,Planning[[#This Row],[Proyectos]],#REF!,Planning[[#This Row],[Tipo de Tarea y especialidad]])</f>
        <v>#REF!</v>
      </c>
      <c r="O1123" s="19">
        <f t="shared" si="34"/>
        <v>10</v>
      </c>
      <c r="P1123" s="19">
        <f t="shared" si="35"/>
        <v>2024</v>
      </c>
      <c r="Q1123" s="19" t="e">
        <f>+SUMIFS(#REF!,#REF!,Planning[[#This Row],[Tarifa]],#REF!,Planning[[#This Row],[Proyectos]],#REF!,Planning[[#This Row],[Mes]],#REF!,Planning[[#This Row],[Año]])</f>
        <v>#REF!</v>
      </c>
      <c r="R1123" s="19" t="str">
        <f>TEXT(Planning[[#This Row],[Mes]]*29,"mmmm")</f>
        <v>October</v>
      </c>
      <c r="S11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23" s="228"/>
      <c r="U1123" s="43">
        <f>IF(Planning[[#This Row],[Horas Planificadas]]&lt;&gt;0,+K1123/Planning[[#This Row],[Horas Planificadas]],0)</f>
        <v>0</v>
      </c>
      <c r="V1123" s="43">
        <f>IF(Planning[[#This Row],[Horas Planificadas]]&lt;&gt;0,Planning[[#This Row],[Horas utilizadas]]/Planning[[#This Row],[Horas Planificadas]],0)</f>
        <v>0</v>
      </c>
      <c r="W1123" s="44">
        <f>Planning[[#This Row],[Horas Planificadas]]+Planning[[#This Row],[Horas ajustadas adicionales]]</f>
        <v>0</v>
      </c>
      <c r="X1123" s="142"/>
    </row>
    <row r="1124" spans="1:24" ht="12.75" customHeight="1" x14ac:dyDescent="0.2">
      <c r="A1124" s="7"/>
      <c r="B1124" s="7"/>
      <c r="C1124" s="3"/>
      <c r="D1124" s="3" t="s">
        <v>304</v>
      </c>
      <c r="E1124" s="33" t="s">
        <v>30</v>
      </c>
      <c r="F1124" s="3"/>
      <c r="G1124" s="7"/>
      <c r="H1124" s="7">
        <v>9</v>
      </c>
      <c r="I1124" s="12"/>
      <c r="J1124" s="5" t="e">
        <f>+SUMIFS(#REF!,#REF!,Planning[[#This Row],[Tarifa]],#REF!,Planning[[#This Row],[Proyectos]])</f>
        <v>#REF!</v>
      </c>
      <c r="K1124" s="5" t="e">
        <f>Planning[[#This Row],[Horas Planificadas]]+Planning[[#This Row],[Horas ajustadas adicionales]]-Planning[[#This Row],[Horas utilizadas]]</f>
        <v>#REF!</v>
      </c>
      <c r="L1124" s="7"/>
      <c r="M1124" s="19" t="e">
        <f>Planning[[#This Row],[Saldo]]-Planning[[#This Row],[Saldo estimado]]</f>
        <v>#REF!</v>
      </c>
      <c r="N1124" s="60" t="e">
        <f>+SUMIFS(#REF!,#REF!,Planning[[#This Row],[Proyectos]],#REF!,Planning[[#This Row],[Tipo de Tarea y especialidad]])</f>
        <v>#REF!</v>
      </c>
      <c r="O1124" s="19">
        <f t="shared" si="34"/>
        <v>10</v>
      </c>
      <c r="P1124" s="19">
        <f t="shared" si="35"/>
        <v>2024</v>
      </c>
      <c r="Q1124" s="19" t="e">
        <f>+SUMIFS(#REF!,#REF!,Planning[[#This Row],[Tarifa]],#REF!,Planning[[#This Row],[Proyectos]],#REF!,Planning[[#This Row],[Mes]],#REF!,Planning[[#This Row],[Año]])</f>
        <v>#REF!</v>
      </c>
      <c r="R1124" s="19" t="str">
        <f>TEXT(Planning[[#This Row],[Mes]]*29,"mmmm")</f>
        <v>October</v>
      </c>
      <c r="S11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24" s="228"/>
      <c r="U1124" s="43" t="e">
        <f>IF(Planning[[#This Row],[Horas Planificadas]]&lt;&gt;0,+K1124/Planning[[#This Row],[Horas Planificadas]],0)</f>
        <v>#REF!</v>
      </c>
      <c r="V1124" s="43" t="e">
        <f>IF(Planning[[#This Row],[Horas Planificadas]]&lt;&gt;0,Planning[[#This Row],[Horas utilizadas]]/Planning[[#This Row],[Horas Planificadas]],0)</f>
        <v>#REF!</v>
      </c>
      <c r="W1124" s="44">
        <f>Planning[[#This Row],[Horas Planificadas]]+Planning[[#This Row],[Horas ajustadas adicionales]]</f>
        <v>9</v>
      </c>
      <c r="X1124" s="142"/>
    </row>
    <row r="1125" spans="1:24" ht="12.75" customHeight="1" x14ac:dyDescent="0.2">
      <c r="A1125" s="7"/>
      <c r="B1125" s="7"/>
      <c r="C1125" s="3"/>
      <c r="D1125" s="3" t="s">
        <v>304</v>
      </c>
      <c r="E1125" s="33" t="s">
        <v>31</v>
      </c>
      <c r="F1125" s="3"/>
      <c r="G1125" s="7"/>
      <c r="H1125" s="7">
        <v>4</v>
      </c>
      <c r="I1125" s="12"/>
      <c r="J1125" s="5" t="e">
        <f>+SUMIFS(#REF!,#REF!,Planning[[#This Row],[Tarifa]],#REF!,Planning[[#This Row],[Proyectos]])</f>
        <v>#REF!</v>
      </c>
      <c r="K1125" s="5" t="e">
        <f>Planning[[#This Row],[Horas Planificadas]]+Planning[[#This Row],[Horas ajustadas adicionales]]-Planning[[#This Row],[Horas utilizadas]]</f>
        <v>#REF!</v>
      </c>
      <c r="L1125" s="7"/>
      <c r="M1125" s="19" t="e">
        <f>Planning[[#This Row],[Saldo]]-Planning[[#This Row],[Saldo estimado]]</f>
        <v>#REF!</v>
      </c>
      <c r="N1125" s="60" t="e">
        <f>+SUMIFS(#REF!,#REF!,Planning[[#This Row],[Proyectos]],#REF!,Planning[[#This Row],[Tipo de Tarea y especialidad]])</f>
        <v>#REF!</v>
      </c>
      <c r="O1125" s="19">
        <f t="shared" si="34"/>
        <v>10</v>
      </c>
      <c r="P1125" s="19">
        <f t="shared" si="35"/>
        <v>2024</v>
      </c>
      <c r="Q1125" s="19" t="e">
        <f>+SUMIFS(#REF!,#REF!,Planning[[#This Row],[Tarifa]],#REF!,Planning[[#This Row],[Proyectos]],#REF!,Planning[[#This Row],[Mes]],#REF!,Planning[[#This Row],[Año]])</f>
        <v>#REF!</v>
      </c>
      <c r="R1125" s="19" t="str">
        <f>TEXT(Planning[[#This Row],[Mes]]*29,"mmmm")</f>
        <v>October</v>
      </c>
      <c r="S11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25" s="228"/>
      <c r="U1125" s="43" t="e">
        <f>IF(Planning[[#This Row],[Horas Planificadas]]&lt;&gt;0,+K1125/Planning[[#This Row],[Horas Planificadas]],0)</f>
        <v>#REF!</v>
      </c>
      <c r="V1125" s="43" t="e">
        <f>IF(Planning[[#This Row],[Horas Planificadas]]&lt;&gt;0,Planning[[#This Row],[Horas utilizadas]]/Planning[[#This Row],[Horas Planificadas]],0)</f>
        <v>#REF!</v>
      </c>
      <c r="W1125" s="44">
        <f>Planning[[#This Row],[Horas Planificadas]]+Planning[[#This Row],[Horas ajustadas adicionales]]</f>
        <v>4</v>
      </c>
      <c r="X1125" s="142"/>
    </row>
    <row r="1126" spans="1:24" ht="12.75" customHeight="1" x14ac:dyDescent="0.2">
      <c r="A1126" s="7"/>
      <c r="B1126" s="7"/>
      <c r="C1126" s="3"/>
      <c r="D1126" s="3" t="s">
        <v>304</v>
      </c>
      <c r="E1126" s="33" t="s">
        <v>32</v>
      </c>
      <c r="F1126" s="3"/>
      <c r="G1126" s="7"/>
      <c r="H1126" s="7">
        <v>18</v>
      </c>
      <c r="I1126" s="12"/>
      <c r="J1126" s="5" t="e">
        <f>+SUMIFS(#REF!,#REF!,Planning[[#This Row],[Tarifa]],#REF!,Planning[[#This Row],[Proyectos]])</f>
        <v>#REF!</v>
      </c>
      <c r="K1126" s="5" t="e">
        <f>Planning[[#This Row],[Horas Planificadas]]+Planning[[#This Row],[Horas ajustadas adicionales]]-Planning[[#This Row],[Horas utilizadas]]</f>
        <v>#REF!</v>
      </c>
      <c r="L1126" s="7"/>
      <c r="M1126" s="19" t="e">
        <f>Planning[[#This Row],[Saldo]]-Planning[[#This Row],[Saldo estimado]]</f>
        <v>#REF!</v>
      </c>
      <c r="N1126" s="60" t="e">
        <f>+SUMIFS(#REF!,#REF!,Planning[[#This Row],[Proyectos]],#REF!,Planning[[#This Row],[Tipo de Tarea y especialidad]])</f>
        <v>#REF!</v>
      </c>
      <c r="O1126" s="19">
        <f t="shared" si="34"/>
        <v>10</v>
      </c>
      <c r="P1126" s="19">
        <f t="shared" si="35"/>
        <v>2024</v>
      </c>
      <c r="Q1126" s="19" t="e">
        <f>+SUMIFS(#REF!,#REF!,Planning[[#This Row],[Tarifa]],#REF!,Planning[[#This Row],[Proyectos]],#REF!,Planning[[#This Row],[Mes]],#REF!,Planning[[#This Row],[Año]])</f>
        <v>#REF!</v>
      </c>
      <c r="R1126" s="19" t="str">
        <f>TEXT(Planning[[#This Row],[Mes]]*29,"mmmm")</f>
        <v>October</v>
      </c>
      <c r="S11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26" s="228"/>
      <c r="U1126" s="43" t="e">
        <f>IF(Planning[[#This Row],[Horas Planificadas]]&lt;&gt;0,+K1126/Planning[[#This Row],[Horas Planificadas]],0)</f>
        <v>#REF!</v>
      </c>
      <c r="V1126" s="43" t="e">
        <f>IF(Planning[[#This Row],[Horas Planificadas]]&lt;&gt;0,Planning[[#This Row],[Horas utilizadas]]/Planning[[#This Row],[Horas Planificadas]],0)</f>
        <v>#REF!</v>
      </c>
      <c r="W1126" s="44">
        <f>Planning[[#This Row],[Horas Planificadas]]+Planning[[#This Row],[Horas ajustadas adicionales]]</f>
        <v>18</v>
      </c>
      <c r="X1126" s="142"/>
    </row>
    <row r="1127" spans="1:24" ht="12.75" customHeight="1" x14ac:dyDescent="0.2">
      <c r="A1127" s="7"/>
      <c r="B1127" s="7"/>
      <c r="C1127" s="3"/>
      <c r="D1127" s="3" t="s">
        <v>305</v>
      </c>
      <c r="E1127" s="33" t="s">
        <v>28</v>
      </c>
      <c r="F1127" s="3"/>
      <c r="G1127" s="7"/>
      <c r="H1127" s="7">
        <v>0</v>
      </c>
      <c r="I1127" s="12"/>
      <c r="J1127" s="5" t="e">
        <f>+SUMIFS(#REF!,#REF!,Planning[[#This Row],[Tarifa]],#REF!,Planning[[#This Row],[Proyectos]])</f>
        <v>#REF!</v>
      </c>
      <c r="K1127" s="5" t="e">
        <f>Planning[[#This Row],[Horas Planificadas]]+Planning[[#This Row],[Horas ajustadas adicionales]]-Planning[[#This Row],[Horas utilizadas]]</f>
        <v>#REF!</v>
      </c>
      <c r="L1127" s="7"/>
      <c r="M1127" s="19" t="e">
        <f>Planning[[#This Row],[Saldo]]-Planning[[#This Row],[Saldo estimado]]</f>
        <v>#REF!</v>
      </c>
      <c r="N1127" s="60" t="e">
        <f>+SUMIFS(#REF!,#REF!,Planning[[#This Row],[Proyectos]],#REF!,Planning[[#This Row],[Tipo de Tarea y especialidad]])</f>
        <v>#REF!</v>
      </c>
      <c r="O1127" s="19">
        <f t="shared" si="34"/>
        <v>10</v>
      </c>
      <c r="P1127" s="19">
        <f t="shared" si="35"/>
        <v>2024</v>
      </c>
      <c r="Q1127" s="19" t="e">
        <f>+SUMIFS(#REF!,#REF!,Planning[[#This Row],[Tarifa]],#REF!,Planning[[#This Row],[Proyectos]],#REF!,Planning[[#This Row],[Mes]],#REF!,Planning[[#This Row],[Año]])</f>
        <v>#REF!</v>
      </c>
      <c r="R1127" s="19" t="str">
        <f>TEXT(Planning[[#This Row],[Mes]]*29,"mmmm")</f>
        <v>October</v>
      </c>
      <c r="S11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27" s="228"/>
      <c r="U1127" s="43">
        <f>IF(Planning[[#This Row],[Horas Planificadas]]&lt;&gt;0,+K1127/Planning[[#This Row],[Horas Planificadas]],0)</f>
        <v>0</v>
      </c>
      <c r="V1127" s="43">
        <f>IF(Planning[[#This Row],[Horas Planificadas]]&lt;&gt;0,Planning[[#This Row],[Horas utilizadas]]/Planning[[#This Row],[Horas Planificadas]],0)</f>
        <v>0</v>
      </c>
      <c r="W1127" s="44">
        <f>Planning[[#This Row],[Horas Planificadas]]+Planning[[#This Row],[Horas ajustadas adicionales]]</f>
        <v>0</v>
      </c>
      <c r="X1127" s="142"/>
    </row>
    <row r="1128" spans="1:24" ht="12.75" customHeight="1" x14ac:dyDescent="0.2">
      <c r="A1128" s="7"/>
      <c r="B1128" s="7"/>
      <c r="C1128" s="3"/>
      <c r="D1128" s="3" t="s">
        <v>305</v>
      </c>
      <c r="E1128" s="33" t="s">
        <v>30</v>
      </c>
      <c r="F1128" s="3"/>
      <c r="G1128" s="7"/>
      <c r="H1128" s="7">
        <v>18</v>
      </c>
      <c r="I1128" s="12"/>
      <c r="J1128" s="5" t="e">
        <f>+SUMIFS(#REF!,#REF!,Planning[[#This Row],[Tarifa]],#REF!,Planning[[#This Row],[Proyectos]])</f>
        <v>#REF!</v>
      </c>
      <c r="K1128" s="5" t="e">
        <f>Planning[[#This Row],[Horas Planificadas]]+Planning[[#This Row],[Horas ajustadas adicionales]]-Planning[[#This Row],[Horas utilizadas]]</f>
        <v>#REF!</v>
      </c>
      <c r="L1128" s="7"/>
      <c r="M1128" s="19" t="e">
        <f>Planning[[#This Row],[Saldo]]-Planning[[#This Row],[Saldo estimado]]</f>
        <v>#REF!</v>
      </c>
      <c r="N1128" s="60" t="e">
        <f>+SUMIFS(#REF!,#REF!,Planning[[#This Row],[Proyectos]],#REF!,Planning[[#This Row],[Tipo de Tarea y especialidad]])</f>
        <v>#REF!</v>
      </c>
      <c r="O1128" s="19">
        <f t="shared" si="34"/>
        <v>10</v>
      </c>
      <c r="P1128" s="19">
        <f t="shared" si="35"/>
        <v>2024</v>
      </c>
      <c r="Q1128" s="19" t="e">
        <f>+SUMIFS(#REF!,#REF!,Planning[[#This Row],[Tarifa]],#REF!,Planning[[#This Row],[Proyectos]],#REF!,Planning[[#This Row],[Mes]],#REF!,Planning[[#This Row],[Año]])</f>
        <v>#REF!</v>
      </c>
      <c r="R1128" s="19" t="str">
        <f>TEXT(Planning[[#This Row],[Mes]]*29,"mmmm")</f>
        <v>October</v>
      </c>
      <c r="S11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28" s="228"/>
      <c r="U1128" s="43" t="e">
        <f>IF(Planning[[#This Row],[Horas Planificadas]]&lt;&gt;0,+K1128/Planning[[#This Row],[Horas Planificadas]],0)</f>
        <v>#REF!</v>
      </c>
      <c r="V1128" s="43" t="e">
        <f>IF(Planning[[#This Row],[Horas Planificadas]]&lt;&gt;0,Planning[[#This Row],[Horas utilizadas]]/Planning[[#This Row],[Horas Planificadas]],0)</f>
        <v>#REF!</v>
      </c>
      <c r="W1128" s="44">
        <f>Planning[[#This Row],[Horas Planificadas]]+Planning[[#This Row],[Horas ajustadas adicionales]]</f>
        <v>18</v>
      </c>
      <c r="X1128" s="142"/>
    </row>
    <row r="1129" spans="1:24" ht="12.75" customHeight="1" x14ac:dyDescent="0.2">
      <c r="A1129" s="7"/>
      <c r="B1129" s="7"/>
      <c r="C1129" s="3"/>
      <c r="D1129" s="3" t="s">
        <v>305</v>
      </c>
      <c r="E1129" s="33" t="s">
        <v>31</v>
      </c>
      <c r="F1129" s="3"/>
      <c r="G1129" s="7"/>
      <c r="H1129" s="7">
        <v>16</v>
      </c>
      <c r="I1129" s="12"/>
      <c r="J1129" s="5" t="e">
        <f>+SUMIFS(#REF!,#REF!,Planning[[#This Row],[Tarifa]],#REF!,Planning[[#This Row],[Proyectos]])</f>
        <v>#REF!</v>
      </c>
      <c r="K1129" s="5" t="e">
        <f>Planning[[#This Row],[Horas Planificadas]]+Planning[[#This Row],[Horas ajustadas adicionales]]-Planning[[#This Row],[Horas utilizadas]]</f>
        <v>#REF!</v>
      </c>
      <c r="L1129" s="7"/>
      <c r="M1129" s="19" t="e">
        <f>Planning[[#This Row],[Saldo]]-Planning[[#This Row],[Saldo estimado]]</f>
        <v>#REF!</v>
      </c>
      <c r="N1129" s="60" t="e">
        <f>+SUMIFS(#REF!,#REF!,Planning[[#This Row],[Proyectos]],#REF!,Planning[[#This Row],[Tipo de Tarea y especialidad]])</f>
        <v>#REF!</v>
      </c>
      <c r="O1129" s="19">
        <f t="shared" si="34"/>
        <v>10</v>
      </c>
      <c r="P1129" s="19">
        <f t="shared" si="35"/>
        <v>2024</v>
      </c>
      <c r="Q1129" s="19" t="e">
        <f>+SUMIFS(#REF!,#REF!,Planning[[#This Row],[Tarifa]],#REF!,Planning[[#This Row],[Proyectos]],#REF!,Planning[[#This Row],[Mes]],#REF!,Planning[[#This Row],[Año]])</f>
        <v>#REF!</v>
      </c>
      <c r="R1129" s="19" t="str">
        <f>TEXT(Planning[[#This Row],[Mes]]*29,"mmmm")</f>
        <v>October</v>
      </c>
      <c r="S11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29" s="228"/>
      <c r="U1129" s="43" t="e">
        <f>IF(Planning[[#This Row],[Horas Planificadas]]&lt;&gt;0,+K1129/Planning[[#This Row],[Horas Planificadas]],0)</f>
        <v>#REF!</v>
      </c>
      <c r="V1129" s="43" t="e">
        <f>IF(Planning[[#This Row],[Horas Planificadas]]&lt;&gt;0,Planning[[#This Row],[Horas utilizadas]]/Planning[[#This Row],[Horas Planificadas]],0)</f>
        <v>#REF!</v>
      </c>
      <c r="W1129" s="44">
        <f>Planning[[#This Row],[Horas Planificadas]]+Planning[[#This Row],[Horas ajustadas adicionales]]</f>
        <v>16</v>
      </c>
      <c r="X1129" s="142"/>
    </row>
    <row r="1130" spans="1:24" ht="12.75" customHeight="1" x14ac:dyDescent="0.2">
      <c r="A1130" s="7"/>
      <c r="B1130" s="7"/>
      <c r="C1130" s="3"/>
      <c r="D1130" s="3" t="s">
        <v>305</v>
      </c>
      <c r="E1130" s="33" t="s">
        <v>32</v>
      </c>
      <c r="F1130" s="3"/>
      <c r="G1130" s="7"/>
      <c r="H1130" s="7">
        <v>126</v>
      </c>
      <c r="I1130" s="12"/>
      <c r="J1130" s="5" t="e">
        <f>+SUMIFS(#REF!,#REF!,Planning[[#This Row],[Tarifa]],#REF!,Planning[[#This Row],[Proyectos]])</f>
        <v>#REF!</v>
      </c>
      <c r="K1130" s="5" t="e">
        <f>Planning[[#This Row],[Horas Planificadas]]+Planning[[#This Row],[Horas ajustadas adicionales]]-Planning[[#This Row],[Horas utilizadas]]</f>
        <v>#REF!</v>
      </c>
      <c r="L1130" s="7"/>
      <c r="M1130" s="19" t="e">
        <f>Planning[[#This Row],[Saldo]]-Planning[[#This Row],[Saldo estimado]]</f>
        <v>#REF!</v>
      </c>
      <c r="N1130" s="60" t="e">
        <f>+SUMIFS(#REF!,#REF!,Planning[[#This Row],[Proyectos]],#REF!,Planning[[#This Row],[Tipo de Tarea y especialidad]])</f>
        <v>#REF!</v>
      </c>
      <c r="O1130" s="19">
        <f t="shared" si="34"/>
        <v>10</v>
      </c>
      <c r="P1130" s="19">
        <f t="shared" si="35"/>
        <v>2024</v>
      </c>
      <c r="Q1130" s="19" t="e">
        <f>+SUMIFS(#REF!,#REF!,Planning[[#This Row],[Tarifa]],#REF!,Planning[[#This Row],[Proyectos]],#REF!,Planning[[#This Row],[Mes]],#REF!,Planning[[#This Row],[Año]])</f>
        <v>#REF!</v>
      </c>
      <c r="R1130" s="19" t="str">
        <f>TEXT(Planning[[#This Row],[Mes]]*29,"mmmm")</f>
        <v>October</v>
      </c>
      <c r="S11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30" s="228"/>
      <c r="U1130" s="43" t="e">
        <f>IF(Planning[[#This Row],[Horas Planificadas]]&lt;&gt;0,+K1130/Planning[[#This Row],[Horas Planificadas]],0)</f>
        <v>#REF!</v>
      </c>
      <c r="V1130" s="43" t="e">
        <f>IF(Planning[[#This Row],[Horas Planificadas]]&lt;&gt;0,Planning[[#This Row],[Horas utilizadas]]/Planning[[#This Row],[Horas Planificadas]],0)</f>
        <v>#REF!</v>
      </c>
      <c r="W1130" s="44">
        <f>Planning[[#This Row],[Horas Planificadas]]+Planning[[#This Row],[Horas ajustadas adicionales]]</f>
        <v>126</v>
      </c>
      <c r="X1130" s="142"/>
    </row>
    <row r="1131" spans="1:24" ht="12.75" customHeight="1" x14ac:dyDescent="0.2">
      <c r="A1131" s="7"/>
      <c r="B1131" s="7"/>
      <c r="C1131" s="3"/>
      <c r="D1131" s="3" t="s">
        <v>306</v>
      </c>
      <c r="E1131" s="33" t="s">
        <v>28</v>
      </c>
      <c r="F1131" s="33"/>
      <c r="G1131" s="7"/>
      <c r="H1131" s="7">
        <v>30</v>
      </c>
      <c r="I1131" s="12"/>
      <c r="J1131" s="5" t="e">
        <f>+SUMIFS(#REF!,#REF!,Planning[[#This Row],[Tarifa]],#REF!,Planning[[#This Row],[Proyectos]])</f>
        <v>#REF!</v>
      </c>
      <c r="K1131" s="5" t="e">
        <f>Planning[[#This Row],[Horas Planificadas]]+Planning[[#This Row],[Horas ajustadas adicionales]]-Planning[[#This Row],[Horas utilizadas]]</f>
        <v>#REF!</v>
      </c>
      <c r="L1131" s="7"/>
      <c r="M1131" s="19" t="e">
        <f>Planning[[#This Row],[Saldo]]-Planning[[#This Row],[Saldo estimado]]</f>
        <v>#REF!</v>
      </c>
      <c r="N1131" s="60" t="e">
        <f>+SUMIFS(#REF!,#REF!,Planning[[#This Row],[Proyectos]],#REF!,Planning[[#This Row],[Tipo de Tarea y especialidad]])</f>
        <v>#REF!</v>
      </c>
      <c r="O1131" s="19">
        <f t="shared" si="34"/>
        <v>10</v>
      </c>
      <c r="P1131" s="19">
        <f t="shared" si="35"/>
        <v>2024</v>
      </c>
      <c r="Q1131" s="19" t="e">
        <f>+SUMIFS(#REF!,#REF!,Planning[[#This Row],[Tarifa]],#REF!,Planning[[#This Row],[Proyectos]],#REF!,Planning[[#This Row],[Mes]],#REF!,Planning[[#This Row],[Año]])</f>
        <v>#REF!</v>
      </c>
      <c r="R1131" s="19" t="str">
        <f>TEXT(Planning[[#This Row],[Mes]]*29,"mmmm")</f>
        <v>October</v>
      </c>
      <c r="S11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31" s="228"/>
      <c r="U1131" s="43" t="e">
        <f>IF(Planning[[#This Row],[Horas Planificadas]]&lt;&gt;0,+K1131/Planning[[#This Row],[Horas Planificadas]],0)</f>
        <v>#REF!</v>
      </c>
      <c r="V1131" s="43" t="e">
        <f>IF(Planning[[#This Row],[Horas Planificadas]]&lt;&gt;0,Planning[[#This Row],[Horas utilizadas]]/Planning[[#This Row],[Horas Planificadas]],0)</f>
        <v>#REF!</v>
      </c>
      <c r="W1131" s="44">
        <f>Planning[[#This Row],[Horas Planificadas]]+Planning[[#This Row],[Horas ajustadas adicionales]]</f>
        <v>30</v>
      </c>
      <c r="X1131" s="142"/>
    </row>
    <row r="1132" spans="1:24" ht="12.75" customHeight="1" x14ac:dyDescent="0.2">
      <c r="A1132" s="7"/>
      <c r="B1132" s="7"/>
      <c r="C1132" s="3"/>
      <c r="D1132" s="3" t="s">
        <v>306</v>
      </c>
      <c r="E1132" s="33" t="s">
        <v>30</v>
      </c>
      <c r="F1132" s="33"/>
      <c r="G1132" s="7"/>
      <c r="H1132" s="7">
        <v>205</v>
      </c>
      <c r="I1132" s="12"/>
      <c r="J1132" s="5" t="e">
        <f>+SUMIFS(#REF!,#REF!,Planning[[#This Row],[Tarifa]],#REF!,Planning[[#This Row],[Proyectos]])</f>
        <v>#REF!</v>
      </c>
      <c r="K1132" s="5" t="e">
        <f>Planning[[#This Row],[Horas Planificadas]]+Planning[[#This Row],[Horas ajustadas adicionales]]-Planning[[#This Row],[Horas utilizadas]]</f>
        <v>#REF!</v>
      </c>
      <c r="L1132" s="7"/>
      <c r="M1132" s="19" t="e">
        <f>Planning[[#This Row],[Saldo]]-Planning[[#This Row],[Saldo estimado]]</f>
        <v>#REF!</v>
      </c>
      <c r="N1132" s="60" t="e">
        <f>+SUMIFS(#REF!,#REF!,Planning[[#This Row],[Proyectos]],#REF!,Planning[[#This Row],[Tipo de Tarea y especialidad]])</f>
        <v>#REF!</v>
      </c>
      <c r="O1132" s="19">
        <f t="shared" si="34"/>
        <v>10</v>
      </c>
      <c r="P1132" s="19">
        <f t="shared" si="35"/>
        <v>2024</v>
      </c>
      <c r="Q1132" s="19" t="e">
        <f>+SUMIFS(#REF!,#REF!,Planning[[#This Row],[Tarifa]],#REF!,Planning[[#This Row],[Proyectos]],#REF!,Planning[[#This Row],[Mes]],#REF!,Planning[[#This Row],[Año]])</f>
        <v>#REF!</v>
      </c>
      <c r="R1132" s="19" t="str">
        <f>TEXT(Planning[[#This Row],[Mes]]*29,"mmmm")</f>
        <v>October</v>
      </c>
      <c r="S11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32" s="228"/>
      <c r="U1132" s="43" t="e">
        <f>IF(Planning[[#This Row],[Horas Planificadas]]&lt;&gt;0,+K1132/Planning[[#This Row],[Horas Planificadas]],0)</f>
        <v>#REF!</v>
      </c>
      <c r="V1132" s="43" t="e">
        <f>IF(Planning[[#This Row],[Horas Planificadas]]&lt;&gt;0,Planning[[#This Row],[Horas utilizadas]]/Planning[[#This Row],[Horas Planificadas]],0)</f>
        <v>#REF!</v>
      </c>
      <c r="W1132" s="44">
        <f>Planning[[#This Row],[Horas Planificadas]]+Planning[[#This Row],[Horas ajustadas adicionales]]</f>
        <v>205</v>
      </c>
      <c r="X1132" s="142"/>
    </row>
    <row r="1133" spans="1:24" ht="12.75" customHeight="1" x14ac:dyDescent="0.2">
      <c r="A1133" s="7"/>
      <c r="B1133" s="7"/>
      <c r="C1133" s="3"/>
      <c r="D1133" s="3" t="s">
        <v>306</v>
      </c>
      <c r="E1133" s="33" t="s">
        <v>31</v>
      </c>
      <c r="F1133" s="33"/>
      <c r="G1133" s="7"/>
      <c r="H1133" s="7">
        <v>160</v>
      </c>
      <c r="I1133" s="12"/>
      <c r="J1133" s="5" t="e">
        <f>+SUMIFS(#REF!,#REF!,Planning[[#This Row],[Tarifa]],#REF!,Planning[[#This Row],[Proyectos]])</f>
        <v>#REF!</v>
      </c>
      <c r="K1133" s="5" t="e">
        <f>Planning[[#This Row],[Horas Planificadas]]+Planning[[#This Row],[Horas ajustadas adicionales]]-Planning[[#This Row],[Horas utilizadas]]</f>
        <v>#REF!</v>
      </c>
      <c r="L1133" s="7"/>
      <c r="M1133" s="19" t="e">
        <f>Planning[[#This Row],[Saldo]]-Planning[[#This Row],[Saldo estimado]]</f>
        <v>#REF!</v>
      </c>
      <c r="N1133" s="60" t="e">
        <f>+SUMIFS(#REF!,#REF!,Planning[[#This Row],[Proyectos]],#REF!,Planning[[#This Row],[Tipo de Tarea y especialidad]])</f>
        <v>#REF!</v>
      </c>
      <c r="O1133" s="19">
        <f t="shared" si="34"/>
        <v>10</v>
      </c>
      <c r="P1133" s="19">
        <f t="shared" si="35"/>
        <v>2024</v>
      </c>
      <c r="Q1133" s="19" t="e">
        <f>+SUMIFS(#REF!,#REF!,Planning[[#This Row],[Tarifa]],#REF!,Planning[[#This Row],[Proyectos]],#REF!,Planning[[#This Row],[Mes]],#REF!,Planning[[#This Row],[Año]])</f>
        <v>#REF!</v>
      </c>
      <c r="R1133" s="19" t="str">
        <f>TEXT(Planning[[#This Row],[Mes]]*29,"mmmm")</f>
        <v>October</v>
      </c>
      <c r="S11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33" s="228"/>
      <c r="U1133" s="43" t="e">
        <f>IF(Planning[[#This Row],[Horas Planificadas]]&lt;&gt;0,+K1133/Planning[[#This Row],[Horas Planificadas]],0)</f>
        <v>#REF!</v>
      </c>
      <c r="V1133" s="43" t="e">
        <f>IF(Planning[[#This Row],[Horas Planificadas]]&lt;&gt;0,Planning[[#This Row],[Horas utilizadas]]/Planning[[#This Row],[Horas Planificadas]],0)</f>
        <v>#REF!</v>
      </c>
      <c r="W1133" s="44">
        <f>Planning[[#This Row],[Horas Planificadas]]+Planning[[#This Row],[Horas ajustadas adicionales]]</f>
        <v>160</v>
      </c>
      <c r="X1133" s="142"/>
    </row>
    <row r="1134" spans="1:24" ht="12.75" customHeight="1" x14ac:dyDescent="0.2">
      <c r="A1134" s="7"/>
      <c r="B1134" s="7"/>
      <c r="C1134" s="3"/>
      <c r="D1134" s="3" t="s">
        <v>306</v>
      </c>
      <c r="E1134" s="33" t="s">
        <v>32</v>
      </c>
      <c r="F1134" s="33"/>
      <c r="G1134" s="7"/>
      <c r="H1134" s="7">
        <v>135</v>
      </c>
      <c r="I1134" s="12"/>
      <c r="J1134" s="5" t="e">
        <f>+SUMIFS(#REF!,#REF!,Planning[[#This Row],[Tarifa]],#REF!,Planning[[#This Row],[Proyectos]])</f>
        <v>#REF!</v>
      </c>
      <c r="K1134" s="5" t="e">
        <f>Planning[[#This Row],[Horas Planificadas]]+Planning[[#This Row],[Horas ajustadas adicionales]]-Planning[[#This Row],[Horas utilizadas]]</f>
        <v>#REF!</v>
      </c>
      <c r="L1134" s="7"/>
      <c r="M1134" s="19" t="e">
        <f>Planning[[#This Row],[Saldo]]-Planning[[#This Row],[Saldo estimado]]</f>
        <v>#REF!</v>
      </c>
      <c r="N1134" s="60" t="e">
        <f>+SUMIFS(#REF!,#REF!,Planning[[#This Row],[Proyectos]],#REF!,Planning[[#This Row],[Tipo de Tarea y especialidad]])</f>
        <v>#REF!</v>
      </c>
      <c r="O1134" s="19">
        <f t="shared" si="34"/>
        <v>10</v>
      </c>
      <c r="P1134" s="19">
        <f t="shared" si="35"/>
        <v>2024</v>
      </c>
      <c r="Q1134" s="19" t="e">
        <f>+SUMIFS(#REF!,#REF!,Planning[[#This Row],[Tarifa]],#REF!,Planning[[#This Row],[Proyectos]],#REF!,Planning[[#This Row],[Mes]],#REF!,Planning[[#This Row],[Año]])</f>
        <v>#REF!</v>
      </c>
      <c r="R1134" s="19" t="str">
        <f>TEXT(Planning[[#This Row],[Mes]]*29,"mmmm")</f>
        <v>October</v>
      </c>
      <c r="S11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34" s="228"/>
      <c r="U1134" s="43" t="e">
        <f>IF(Planning[[#This Row],[Horas Planificadas]]&lt;&gt;0,+K1134/Planning[[#This Row],[Horas Planificadas]],0)</f>
        <v>#REF!</v>
      </c>
      <c r="V1134" s="43" t="e">
        <f>IF(Planning[[#This Row],[Horas Planificadas]]&lt;&gt;0,Planning[[#This Row],[Horas utilizadas]]/Planning[[#This Row],[Horas Planificadas]],0)</f>
        <v>#REF!</v>
      </c>
      <c r="W1134" s="44">
        <f>Planning[[#This Row],[Horas Planificadas]]+Planning[[#This Row],[Horas ajustadas adicionales]]</f>
        <v>135</v>
      </c>
      <c r="X1134" s="142"/>
    </row>
    <row r="1135" spans="1:24" ht="12.75" customHeight="1" x14ac:dyDescent="0.2">
      <c r="A1135" s="7"/>
      <c r="B1135" s="7"/>
      <c r="C1135" s="3"/>
      <c r="D1135" s="3" t="s">
        <v>307</v>
      </c>
      <c r="E1135" s="33" t="s">
        <v>28</v>
      </c>
      <c r="F1135" s="33"/>
      <c r="G1135" s="7"/>
      <c r="H1135" s="7">
        <v>630</v>
      </c>
      <c r="I1135" s="12"/>
      <c r="J1135" s="5" t="e">
        <f>+SUMIFS(#REF!,#REF!,Planning[[#This Row],[Tarifa]],#REF!,Planning[[#This Row],[Proyectos]])</f>
        <v>#REF!</v>
      </c>
      <c r="K1135" s="5" t="e">
        <f>Planning[[#This Row],[Horas Planificadas]]+Planning[[#This Row],[Horas ajustadas adicionales]]-Planning[[#This Row],[Horas utilizadas]]</f>
        <v>#REF!</v>
      </c>
      <c r="L1135" s="7"/>
      <c r="M1135" s="19" t="e">
        <f>Planning[[#This Row],[Saldo]]-Planning[[#This Row],[Saldo estimado]]</f>
        <v>#REF!</v>
      </c>
      <c r="N1135" s="60" t="e">
        <f>+SUMIFS(#REF!,#REF!,Planning[[#This Row],[Proyectos]],#REF!,Planning[[#This Row],[Tipo de Tarea y especialidad]])</f>
        <v>#REF!</v>
      </c>
      <c r="O1135" s="19">
        <f t="shared" si="34"/>
        <v>10</v>
      </c>
      <c r="P1135" s="19">
        <f t="shared" si="35"/>
        <v>2024</v>
      </c>
      <c r="Q1135" s="19" t="e">
        <f>+SUMIFS(#REF!,#REF!,Planning[[#This Row],[Tarifa]],#REF!,Planning[[#This Row],[Proyectos]],#REF!,Planning[[#This Row],[Mes]],#REF!,Planning[[#This Row],[Año]])</f>
        <v>#REF!</v>
      </c>
      <c r="R1135" s="19" t="str">
        <f>TEXT(Planning[[#This Row],[Mes]]*29,"mmmm")</f>
        <v>October</v>
      </c>
      <c r="S11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35" s="228"/>
      <c r="U1135" s="43" t="e">
        <f>IF(Planning[[#This Row],[Horas Planificadas]]&lt;&gt;0,+K1135/Planning[[#This Row],[Horas Planificadas]],0)</f>
        <v>#REF!</v>
      </c>
      <c r="V1135" s="43" t="e">
        <f>IF(Planning[[#This Row],[Horas Planificadas]]&lt;&gt;0,Planning[[#This Row],[Horas utilizadas]]/Planning[[#This Row],[Horas Planificadas]],0)</f>
        <v>#REF!</v>
      </c>
      <c r="W1135" s="44">
        <f>Planning[[#This Row],[Horas Planificadas]]+Planning[[#This Row],[Horas ajustadas adicionales]]</f>
        <v>630</v>
      </c>
      <c r="X1135" s="142"/>
    </row>
    <row r="1136" spans="1:24" ht="12.75" customHeight="1" x14ac:dyDescent="0.2">
      <c r="A1136" s="7"/>
      <c r="B1136" s="7"/>
      <c r="C1136" s="3"/>
      <c r="D1136" s="3" t="s">
        <v>307</v>
      </c>
      <c r="E1136" s="33" t="s">
        <v>30</v>
      </c>
      <c r="F1136" s="33"/>
      <c r="G1136" s="7"/>
      <c r="H1136" s="7">
        <v>135</v>
      </c>
      <c r="I1136" s="12"/>
      <c r="J1136" s="5" t="e">
        <f>+SUMIFS(#REF!,#REF!,Planning[[#This Row],[Tarifa]],#REF!,Planning[[#This Row],[Proyectos]])</f>
        <v>#REF!</v>
      </c>
      <c r="K1136" s="5" t="e">
        <f>Planning[[#This Row],[Horas Planificadas]]+Planning[[#This Row],[Horas ajustadas adicionales]]-Planning[[#This Row],[Horas utilizadas]]</f>
        <v>#REF!</v>
      </c>
      <c r="L1136" s="7"/>
      <c r="M1136" s="19" t="e">
        <f>Planning[[#This Row],[Saldo]]-Planning[[#This Row],[Saldo estimado]]</f>
        <v>#REF!</v>
      </c>
      <c r="N1136" s="60" t="e">
        <f>+SUMIFS(#REF!,#REF!,Planning[[#This Row],[Proyectos]],#REF!,Planning[[#This Row],[Tipo de Tarea y especialidad]])</f>
        <v>#REF!</v>
      </c>
      <c r="O1136" s="19">
        <f t="shared" si="34"/>
        <v>10</v>
      </c>
      <c r="P1136" s="19">
        <f t="shared" si="35"/>
        <v>2024</v>
      </c>
      <c r="Q1136" s="19" t="e">
        <f>+SUMIFS(#REF!,#REF!,Planning[[#This Row],[Tarifa]],#REF!,Planning[[#This Row],[Proyectos]],#REF!,Planning[[#This Row],[Mes]],#REF!,Planning[[#This Row],[Año]])</f>
        <v>#REF!</v>
      </c>
      <c r="R1136" s="19" t="str">
        <f>TEXT(Planning[[#This Row],[Mes]]*29,"mmmm")</f>
        <v>October</v>
      </c>
      <c r="S11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36" s="228"/>
      <c r="U1136" s="43" t="e">
        <f>IF(Planning[[#This Row],[Horas Planificadas]]&lt;&gt;0,+K1136/Planning[[#This Row],[Horas Planificadas]],0)</f>
        <v>#REF!</v>
      </c>
      <c r="V1136" s="43" t="e">
        <f>IF(Planning[[#This Row],[Horas Planificadas]]&lt;&gt;0,Planning[[#This Row],[Horas utilizadas]]/Planning[[#This Row],[Horas Planificadas]],0)</f>
        <v>#REF!</v>
      </c>
      <c r="W1136" s="44">
        <f>Planning[[#This Row],[Horas Planificadas]]+Planning[[#This Row],[Horas ajustadas adicionales]]</f>
        <v>135</v>
      </c>
      <c r="X1136" s="142"/>
    </row>
    <row r="1137" spans="1:24" ht="12.75" customHeight="1" x14ac:dyDescent="0.2">
      <c r="A1137" s="7"/>
      <c r="B1137" s="7"/>
      <c r="C1137" s="3"/>
      <c r="D1137" s="3" t="s">
        <v>307</v>
      </c>
      <c r="E1137" s="33" t="s">
        <v>31</v>
      </c>
      <c r="F1137" s="33"/>
      <c r="G1137" s="7"/>
      <c r="H1137" s="7">
        <v>288</v>
      </c>
      <c r="I1137" s="12"/>
      <c r="J1137" s="5" t="e">
        <f>+SUMIFS(#REF!,#REF!,Planning[[#This Row],[Tarifa]],#REF!,Planning[[#This Row],[Proyectos]])</f>
        <v>#REF!</v>
      </c>
      <c r="K1137" s="5" t="e">
        <f>Planning[[#This Row],[Horas Planificadas]]+Planning[[#This Row],[Horas ajustadas adicionales]]-Planning[[#This Row],[Horas utilizadas]]</f>
        <v>#REF!</v>
      </c>
      <c r="L1137" s="7"/>
      <c r="M1137" s="19" t="e">
        <f>Planning[[#This Row],[Saldo]]-Planning[[#This Row],[Saldo estimado]]</f>
        <v>#REF!</v>
      </c>
      <c r="N1137" s="60" t="e">
        <f>+SUMIFS(#REF!,#REF!,Planning[[#This Row],[Proyectos]],#REF!,Planning[[#This Row],[Tipo de Tarea y especialidad]])</f>
        <v>#REF!</v>
      </c>
      <c r="O1137" s="19">
        <f t="shared" si="34"/>
        <v>10</v>
      </c>
      <c r="P1137" s="19">
        <f t="shared" si="35"/>
        <v>2024</v>
      </c>
      <c r="Q1137" s="19" t="e">
        <f>+SUMIFS(#REF!,#REF!,Planning[[#This Row],[Tarifa]],#REF!,Planning[[#This Row],[Proyectos]],#REF!,Planning[[#This Row],[Mes]],#REF!,Planning[[#This Row],[Año]])</f>
        <v>#REF!</v>
      </c>
      <c r="R1137" s="19" t="str">
        <f>TEXT(Planning[[#This Row],[Mes]]*29,"mmmm")</f>
        <v>October</v>
      </c>
      <c r="S11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37" s="228"/>
      <c r="U1137" s="43" t="e">
        <f>IF(Planning[[#This Row],[Horas Planificadas]]&lt;&gt;0,+K1137/Planning[[#This Row],[Horas Planificadas]],0)</f>
        <v>#REF!</v>
      </c>
      <c r="V1137" s="43" t="e">
        <f>IF(Planning[[#This Row],[Horas Planificadas]]&lt;&gt;0,Planning[[#This Row],[Horas utilizadas]]/Planning[[#This Row],[Horas Planificadas]],0)</f>
        <v>#REF!</v>
      </c>
      <c r="W1137" s="44">
        <f>Planning[[#This Row],[Horas Planificadas]]+Planning[[#This Row],[Horas ajustadas adicionales]]</f>
        <v>288</v>
      </c>
      <c r="X1137" s="142"/>
    </row>
    <row r="1138" spans="1:24" ht="12.75" customHeight="1" x14ac:dyDescent="0.2">
      <c r="A1138" s="7"/>
      <c r="B1138" s="7"/>
      <c r="C1138" s="3"/>
      <c r="D1138" s="3" t="s">
        <v>307</v>
      </c>
      <c r="E1138" s="33" t="s">
        <v>32</v>
      </c>
      <c r="F1138" s="33"/>
      <c r="G1138" s="7"/>
      <c r="H1138" s="7">
        <v>208</v>
      </c>
      <c r="I1138" s="12"/>
      <c r="J1138" s="5" t="e">
        <f>+SUMIFS(#REF!,#REF!,Planning[[#This Row],[Tarifa]],#REF!,Planning[[#This Row],[Proyectos]])</f>
        <v>#REF!</v>
      </c>
      <c r="K1138" s="5" t="e">
        <f>Planning[[#This Row],[Horas Planificadas]]+Planning[[#This Row],[Horas ajustadas adicionales]]-Planning[[#This Row],[Horas utilizadas]]</f>
        <v>#REF!</v>
      </c>
      <c r="L1138" s="7"/>
      <c r="M1138" s="19" t="e">
        <f>Planning[[#This Row],[Saldo]]-Planning[[#This Row],[Saldo estimado]]</f>
        <v>#REF!</v>
      </c>
      <c r="N1138" s="60" t="e">
        <f>+SUMIFS(#REF!,#REF!,Planning[[#This Row],[Proyectos]],#REF!,Planning[[#This Row],[Tipo de Tarea y especialidad]])</f>
        <v>#REF!</v>
      </c>
      <c r="O1138" s="19">
        <f t="shared" si="34"/>
        <v>10</v>
      </c>
      <c r="P1138" s="19">
        <f t="shared" si="35"/>
        <v>2024</v>
      </c>
      <c r="Q1138" s="19" t="e">
        <f>+SUMIFS(#REF!,#REF!,Planning[[#This Row],[Tarifa]],#REF!,Planning[[#This Row],[Proyectos]],#REF!,Planning[[#This Row],[Mes]],#REF!,Planning[[#This Row],[Año]])</f>
        <v>#REF!</v>
      </c>
      <c r="R1138" s="19" t="str">
        <f>TEXT(Planning[[#This Row],[Mes]]*29,"mmmm")</f>
        <v>October</v>
      </c>
      <c r="S11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38" s="228"/>
      <c r="U1138" s="43" t="e">
        <f>IF(Planning[[#This Row],[Horas Planificadas]]&lt;&gt;0,+K1138/Planning[[#This Row],[Horas Planificadas]],0)</f>
        <v>#REF!</v>
      </c>
      <c r="V1138" s="43" t="e">
        <f>IF(Planning[[#This Row],[Horas Planificadas]]&lt;&gt;0,Planning[[#This Row],[Horas utilizadas]]/Planning[[#This Row],[Horas Planificadas]],0)</f>
        <v>#REF!</v>
      </c>
      <c r="W1138" s="44">
        <f>Planning[[#This Row],[Horas Planificadas]]+Planning[[#This Row],[Horas ajustadas adicionales]]</f>
        <v>208</v>
      </c>
      <c r="X1138" s="142"/>
    </row>
    <row r="1139" spans="1:24" ht="12.75" customHeight="1" x14ac:dyDescent="0.2">
      <c r="A1139" s="7"/>
      <c r="B1139" s="7"/>
      <c r="C1139" s="3"/>
      <c r="D1139" s="3" t="s">
        <v>308</v>
      </c>
      <c r="E1139" s="33" t="s">
        <v>28</v>
      </c>
      <c r="F1139" s="33"/>
      <c r="G1139" s="7"/>
      <c r="H1139" s="7">
        <v>72</v>
      </c>
      <c r="I1139" s="12"/>
      <c r="J1139" s="5" t="e">
        <f>+SUMIFS(#REF!,#REF!,Planning[[#This Row],[Tarifa]],#REF!,Planning[[#This Row],[Proyectos]])</f>
        <v>#REF!</v>
      </c>
      <c r="K1139" s="5" t="e">
        <f>Planning[[#This Row],[Horas Planificadas]]+Planning[[#This Row],[Horas ajustadas adicionales]]-Planning[[#This Row],[Horas utilizadas]]</f>
        <v>#REF!</v>
      </c>
      <c r="L1139" s="7"/>
      <c r="M1139" s="19" t="e">
        <f>Planning[[#This Row],[Saldo]]-Planning[[#This Row],[Saldo estimado]]</f>
        <v>#REF!</v>
      </c>
      <c r="N1139" s="60" t="e">
        <f>+SUMIFS(#REF!,#REF!,Planning[[#This Row],[Proyectos]],#REF!,Planning[[#This Row],[Tipo de Tarea y especialidad]])</f>
        <v>#REF!</v>
      </c>
      <c r="O1139" s="19">
        <f t="shared" si="34"/>
        <v>10</v>
      </c>
      <c r="P1139" s="19">
        <f t="shared" si="35"/>
        <v>2024</v>
      </c>
      <c r="Q1139" s="19" t="e">
        <f>+SUMIFS(#REF!,#REF!,Planning[[#This Row],[Tarifa]],#REF!,Planning[[#This Row],[Proyectos]],#REF!,Planning[[#This Row],[Mes]],#REF!,Planning[[#This Row],[Año]])</f>
        <v>#REF!</v>
      </c>
      <c r="R1139" s="19" t="str">
        <f>TEXT(Planning[[#This Row],[Mes]]*29,"mmmm")</f>
        <v>October</v>
      </c>
      <c r="S11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39" s="228"/>
      <c r="U1139" s="43" t="e">
        <f>IF(Planning[[#This Row],[Horas Planificadas]]&lt;&gt;0,+K1139/Planning[[#This Row],[Horas Planificadas]],0)</f>
        <v>#REF!</v>
      </c>
      <c r="V1139" s="43" t="e">
        <f>IF(Planning[[#This Row],[Horas Planificadas]]&lt;&gt;0,Planning[[#This Row],[Horas utilizadas]]/Planning[[#This Row],[Horas Planificadas]],0)</f>
        <v>#REF!</v>
      </c>
      <c r="W1139" s="44">
        <f>Planning[[#This Row],[Horas Planificadas]]+Planning[[#This Row],[Horas ajustadas adicionales]]</f>
        <v>72</v>
      </c>
      <c r="X1139" s="142"/>
    </row>
    <row r="1140" spans="1:24" ht="12.75" customHeight="1" x14ac:dyDescent="0.2">
      <c r="A1140" s="7"/>
      <c r="B1140" s="7"/>
      <c r="C1140" s="3"/>
      <c r="D1140" s="3" t="s">
        <v>308</v>
      </c>
      <c r="E1140" s="33" t="s">
        <v>30</v>
      </c>
      <c r="F1140" s="33"/>
      <c r="G1140" s="7"/>
      <c r="H1140" s="7">
        <v>102</v>
      </c>
      <c r="I1140" s="12"/>
      <c r="J1140" s="5" t="e">
        <f>+SUMIFS(#REF!,#REF!,Planning[[#This Row],[Tarifa]],#REF!,Planning[[#This Row],[Proyectos]])</f>
        <v>#REF!</v>
      </c>
      <c r="K1140" s="5" t="e">
        <f>Planning[[#This Row],[Horas Planificadas]]+Planning[[#This Row],[Horas ajustadas adicionales]]-Planning[[#This Row],[Horas utilizadas]]</f>
        <v>#REF!</v>
      </c>
      <c r="L1140" s="7"/>
      <c r="M1140" s="19" t="e">
        <f>Planning[[#This Row],[Saldo]]-Planning[[#This Row],[Saldo estimado]]</f>
        <v>#REF!</v>
      </c>
      <c r="N1140" s="60" t="e">
        <f>+SUMIFS(#REF!,#REF!,Planning[[#This Row],[Proyectos]],#REF!,Planning[[#This Row],[Tipo de Tarea y especialidad]])</f>
        <v>#REF!</v>
      </c>
      <c r="O1140" s="19">
        <f t="shared" si="34"/>
        <v>10</v>
      </c>
      <c r="P1140" s="19">
        <f t="shared" si="35"/>
        <v>2024</v>
      </c>
      <c r="Q1140" s="19" t="e">
        <f>+SUMIFS(#REF!,#REF!,Planning[[#This Row],[Tarifa]],#REF!,Planning[[#This Row],[Proyectos]],#REF!,Planning[[#This Row],[Mes]],#REF!,Planning[[#This Row],[Año]])</f>
        <v>#REF!</v>
      </c>
      <c r="R1140" s="19" t="str">
        <f>TEXT(Planning[[#This Row],[Mes]]*29,"mmmm")</f>
        <v>October</v>
      </c>
      <c r="S11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40" s="228"/>
      <c r="U1140" s="43" t="e">
        <f>IF(Planning[[#This Row],[Horas Planificadas]]&lt;&gt;0,+K1140/Planning[[#This Row],[Horas Planificadas]],0)</f>
        <v>#REF!</v>
      </c>
      <c r="V1140" s="43" t="e">
        <f>IF(Planning[[#This Row],[Horas Planificadas]]&lt;&gt;0,Planning[[#This Row],[Horas utilizadas]]/Planning[[#This Row],[Horas Planificadas]],0)</f>
        <v>#REF!</v>
      </c>
      <c r="W1140" s="44">
        <f>Planning[[#This Row],[Horas Planificadas]]+Planning[[#This Row],[Horas ajustadas adicionales]]</f>
        <v>102</v>
      </c>
      <c r="X1140" s="142"/>
    </row>
    <row r="1141" spans="1:24" ht="12.75" customHeight="1" x14ac:dyDescent="0.2">
      <c r="A1141" s="7"/>
      <c r="B1141" s="7"/>
      <c r="C1141" s="3"/>
      <c r="D1141" s="3" t="s">
        <v>308</v>
      </c>
      <c r="E1141" s="33" t="s">
        <v>31</v>
      </c>
      <c r="F1141" s="33"/>
      <c r="G1141" s="7"/>
      <c r="H1141" s="7">
        <v>11</v>
      </c>
      <c r="I1141" s="12"/>
      <c r="J1141" s="5" t="e">
        <f>+SUMIFS(#REF!,#REF!,Planning[[#This Row],[Tarifa]],#REF!,Planning[[#This Row],[Proyectos]])</f>
        <v>#REF!</v>
      </c>
      <c r="K1141" s="5" t="e">
        <f>Planning[[#This Row],[Horas Planificadas]]+Planning[[#This Row],[Horas ajustadas adicionales]]-Planning[[#This Row],[Horas utilizadas]]</f>
        <v>#REF!</v>
      </c>
      <c r="L1141" s="7"/>
      <c r="M1141" s="19" t="e">
        <f>Planning[[#This Row],[Saldo]]-Planning[[#This Row],[Saldo estimado]]</f>
        <v>#REF!</v>
      </c>
      <c r="N1141" s="60" t="e">
        <f>+SUMIFS(#REF!,#REF!,Planning[[#This Row],[Proyectos]],#REF!,Planning[[#This Row],[Tipo de Tarea y especialidad]])</f>
        <v>#REF!</v>
      </c>
      <c r="O1141" s="19">
        <f t="shared" si="34"/>
        <v>10</v>
      </c>
      <c r="P1141" s="19">
        <f t="shared" si="35"/>
        <v>2024</v>
      </c>
      <c r="Q1141" s="19" t="e">
        <f>+SUMIFS(#REF!,#REF!,Planning[[#This Row],[Tarifa]],#REF!,Planning[[#This Row],[Proyectos]],#REF!,Planning[[#This Row],[Mes]],#REF!,Planning[[#This Row],[Año]])</f>
        <v>#REF!</v>
      </c>
      <c r="R1141" s="19" t="str">
        <f>TEXT(Planning[[#This Row],[Mes]]*29,"mmmm")</f>
        <v>October</v>
      </c>
      <c r="S11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41" s="228"/>
      <c r="U1141" s="43" t="e">
        <f>IF(Planning[[#This Row],[Horas Planificadas]]&lt;&gt;0,+K1141/Planning[[#This Row],[Horas Planificadas]],0)</f>
        <v>#REF!</v>
      </c>
      <c r="V1141" s="43" t="e">
        <f>IF(Planning[[#This Row],[Horas Planificadas]]&lt;&gt;0,Planning[[#This Row],[Horas utilizadas]]/Planning[[#This Row],[Horas Planificadas]],0)</f>
        <v>#REF!</v>
      </c>
      <c r="W1141" s="44">
        <f>Planning[[#This Row],[Horas Planificadas]]+Planning[[#This Row],[Horas ajustadas adicionales]]</f>
        <v>11</v>
      </c>
      <c r="X1141" s="142"/>
    </row>
    <row r="1142" spans="1:24" ht="12.75" customHeight="1" x14ac:dyDescent="0.2">
      <c r="A1142" s="7"/>
      <c r="B1142" s="7"/>
      <c r="C1142" s="3"/>
      <c r="D1142" s="3" t="s">
        <v>308</v>
      </c>
      <c r="E1142" s="33" t="s">
        <v>32</v>
      </c>
      <c r="F1142" s="33"/>
      <c r="G1142" s="7"/>
      <c r="H1142" s="7">
        <v>18</v>
      </c>
      <c r="I1142" s="12"/>
      <c r="J1142" s="5" t="e">
        <f>+SUMIFS(#REF!,#REF!,Planning[[#This Row],[Tarifa]],#REF!,Planning[[#This Row],[Proyectos]])</f>
        <v>#REF!</v>
      </c>
      <c r="K1142" s="5" t="e">
        <f>Planning[[#This Row],[Horas Planificadas]]+Planning[[#This Row],[Horas ajustadas adicionales]]-Planning[[#This Row],[Horas utilizadas]]</f>
        <v>#REF!</v>
      </c>
      <c r="L1142" s="7"/>
      <c r="M1142" s="19" t="e">
        <f>Planning[[#This Row],[Saldo]]-Planning[[#This Row],[Saldo estimado]]</f>
        <v>#REF!</v>
      </c>
      <c r="N1142" s="60" t="e">
        <f>+SUMIFS(#REF!,#REF!,Planning[[#This Row],[Proyectos]],#REF!,Planning[[#This Row],[Tipo de Tarea y especialidad]])</f>
        <v>#REF!</v>
      </c>
      <c r="O1142" s="19">
        <f t="shared" si="34"/>
        <v>10</v>
      </c>
      <c r="P1142" s="19">
        <f t="shared" si="35"/>
        <v>2024</v>
      </c>
      <c r="Q1142" s="19" t="e">
        <f>+SUMIFS(#REF!,#REF!,Planning[[#This Row],[Tarifa]],#REF!,Planning[[#This Row],[Proyectos]],#REF!,Planning[[#This Row],[Mes]],#REF!,Planning[[#This Row],[Año]])</f>
        <v>#REF!</v>
      </c>
      <c r="R1142" s="19" t="str">
        <f>TEXT(Planning[[#This Row],[Mes]]*29,"mmmm")</f>
        <v>October</v>
      </c>
      <c r="S11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42" s="228"/>
      <c r="U1142" s="43" t="e">
        <f>IF(Planning[[#This Row],[Horas Planificadas]]&lt;&gt;0,+K1142/Planning[[#This Row],[Horas Planificadas]],0)</f>
        <v>#REF!</v>
      </c>
      <c r="V1142" s="43" t="e">
        <f>IF(Planning[[#This Row],[Horas Planificadas]]&lt;&gt;0,Planning[[#This Row],[Horas utilizadas]]/Planning[[#This Row],[Horas Planificadas]],0)</f>
        <v>#REF!</v>
      </c>
      <c r="W1142" s="44">
        <f>Planning[[#This Row],[Horas Planificadas]]+Planning[[#This Row],[Horas ajustadas adicionales]]</f>
        <v>18</v>
      </c>
      <c r="X1142" s="142"/>
    </row>
    <row r="1143" spans="1:24" ht="12.75" customHeight="1" x14ac:dyDescent="0.2">
      <c r="A1143" s="7"/>
      <c r="B1143" s="7"/>
      <c r="C1143" s="3"/>
      <c r="D1143" s="3" t="s">
        <v>309</v>
      </c>
      <c r="E1143" s="33" t="s">
        <v>28</v>
      </c>
      <c r="F1143" s="33"/>
      <c r="G1143" s="7"/>
      <c r="H1143" s="7">
        <v>0</v>
      </c>
      <c r="I1143" s="12"/>
      <c r="J1143" s="5" t="e">
        <f>+SUMIFS(#REF!,#REF!,Planning[[#This Row],[Tarifa]],#REF!,Planning[[#This Row],[Proyectos]])</f>
        <v>#REF!</v>
      </c>
      <c r="K1143" s="5" t="e">
        <f>Planning[[#This Row],[Horas Planificadas]]+Planning[[#This Row],[Horas ajustadas adicionales]]-Planning[[#This Row],[Horas utilizadas]]</f>
        <v>#REF!</v>
      </c>
      <c r="L1143" s="7"/>
      <c r="M1143" s="19" t="e">
        <f>Planning[[#This Row],[Saldo]]-Planning[[#This Row],[Saldo estimado]]</f>
        <v>#REF!</v>
      </c>
      <c r="N1143" s="60" t="e">
        <f>+SUMIFS(#REF!,#REF!,Planning[[#This Row],[Proyectos]],#REF!,Planning[[#This Row],[Tipo de Tarea y especialidad]])</f>
        <v>#REF!</v>
      </c>
      <c r="O1143" s="19">
        <f t="shared" si="34"/>
        <v>10</v>
      </c>
      <c r="P1143" s="19">
        <f t="shared" si="35"/>
        <v>2024</v>
      </c>
      <c r="Q1143" s="19" t="e">
        <f>+SUMIFS(#REF!,#REF!,Planning[[#This Row],[Tarifa]],#REF!,Planning[[#This Row],[Proyectos]],#REF!,Planning[[#This Row],[Mes]],#REF!,Planning[[#This Row],[Año]])</f>
        <v>#REF!</v>
      </c>
      <c r="R1143" s="19" t="str">
        <f>TEXT(Planning[[#This Row],[Mes]]*29,"mmmm")</f>
        <v>October</v>
      </c>
      <c r="S11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43" s="228"/>
      <c r="U1143" s="43">
        <f>IF(Planning[[#This Row],[Horas Planificadas]]&lt;&gt;0,+K1143/Planning[[#This Row],[Horas Planificadas]],0)</f>
        <v>0</v>
      </c>
      <c r="V1143" s="43">
        <f>IF(Planning[[#This Row],[Horas Planificadas]]&lt;&gt;0,Planning[[#This Row],[Horas utilizadas]]/Planning[[#This Row],[Horas Planificadas]],0)</f>
        <v>0</v>
      </c>
      <c r="W1143" s="44">
        <f>Planning[[#This Row],[Horas Planificadas]]+Planning[[#This Row],[Horas ajustadas adicionales]]</f>
        <v>0</v>
      </c>
      <c r="X1143" s="142"/>
    </row>
    <row r="1144" spans="1:24" ht="12.75" customHeight="1" x14ac:dyDescent="0.2">
      <c r="A1144" s="7"/>
      <c r="B1144" s="7"/>
      <c r="C1144" s="3"/>
      <c r="D1144" s="3" t="s">
        <v>309</v>
      </c>
      <c r="E1144" s="33" t="s">
        <v>30</v>
      </c>
      <c r="F1144" s="33"/>
      <c r="G1144" s="7"/>
      <c r="H1144" s="7">
        <v>130</v>
      </c>
      <c r="I1144" s="12"/>
      <c r="J1144" s="5" t="e">
        <f>+SUMIFS(#REF!,#REF!,Planning[[#This Row],[Tarifa]],#REF!,Planning[[#This Row],[Proyectos]])</f>
        <v>#REF!</v>
      </c>
      <c r="K1144" s="5" t="e">
        <f>Planning[[#This Row],[Horas Planificadas]]+Planning[[#This Row],[Horas ajustadas adicionales]]-Planning[[#This Row],[Horas utilizadas]]</f>
        <v>#REF!</v>
      </c>
      <c r="L1144" s="7"/>
      <c r="M1144" s="19" t="e">
        <f>Planning[[#This Row],[Saldo]]-Planning[[#This Row],[Saldo estimado]]</f>
        <v>#REF!</v>
      </c>
      <c r="N1144" s="60" t="e">
        <f>+SUMIFS(#REF!,#REF!,Planning[[#This Row],[Proyectos]],#REF!,Planning[[#This Row],[Tipo de Tarea y especialidad]])</f>
        <v>#REF!</v>
      </c>
      <c r="O1144" s="19">
        <f t="shared" si="34"/>
        <v>10</v>
      </c>
      <c r="P1144" s="19">
        <f t="shared" si="35"/>
        <v>2024</v>
      </c>
      <c r="Q1144" s="19" t="e">
        <f>+SUMIFS(#REF!,#REF!,Planning[[#This Row],[Tarifa]],#REF!,Planning[[#This Row],[Proyectos]],#REF!,Planning[[#This Row],[Mes]],#REF!,Planning[[#This Row],[Año]])</f>
        <v>#REF!</v>
      </c>
      <c r="R1144" s="19" t="str">
        <f>TEXT(Planning[[#This Row],[Mes]]*29,"mmmm")</f>
        <v>October</v>
      </c>
      <c r="S11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44" s="228"/>
      <c r="U1144" s="43" t="e">
        <f>IF(Planning[[#This Row],[Horas Planificadas]]&lt;&gt;0,+K1144/Planning[[#This Row],[Horas Planificadas]],0)</f>
        <v>#REF!</v>
      </c>
      <c r="V1144" s="43" t="e">
        <f>IF(Planning[[#This Row],[Horas Planificadas]]&lt;&gt;0,Planning[[#This Row],[Horas utilizadas]]/Planning[[#This Row],[Horas Planificadas]],0)</f>
        <v>#REF!</v>
      </c>
      <c r="W1144" s="44">
        <f>Planning[[#This Row],[Horas Planificadas]]+Planning[[#This Row],[Horas ajustadas adicionales]]</f>
        <v>130</v>
      </c>
      <c r="X1144" s="142"/>
    </row>
    <row r="1145" spans="1:24" ht="12.75" customHeight="1" x14ac:dyDescent="0.2">
      <c r="A1145" s="7"/>
      <c r="B1145" s="7"/>
      <c r="C1145" s="3"/>
      <c r="D1145" s="3" t="s">
        <v>309</v>
      </c>
      <c r="E1145" s="33" t="s">
        <v>31</v>
      </c>
      <c r="F1145" s="33"/>
      <c r="G1145" s="7"/>
      <c r="H1145" s="7">
        <v>4</v>
      </c>
      <c r="I1145" s="12"/>
      <c r="J1145" s="5" t="e">
        <f>+SUMIFS(#REF!,#REF!,Planning[[#This Row],[Tarifa]],#REF!,Planning[[#This Row],[Proyectos]])</f>
        <v>#REF!</v>
      </c>
      <c r="K1145" s="5" t="e">
        <f>Planning[[#This Row],[Horas Planificadas]]+Planning[[#This Row],[Horas ajustadas adicionales]]-Planning[[#This Row],[Horas utilizadas]]</f>
        <v>#REF!</v>
      </c>
      <c r="L1145" s="7"/>
      <c r="M1145" s="19" t="e">
        <f>Planning[[#This Row],[Saldo]]-Planning[[#This Row],[Saldo estimado]]</f>
        <v>#REF!</v>
      </c>
      <c r="N1145" s="60" t="e">
        <f>+SUMIFS(#REF!,#REF!,Planning[[#This Row],[Proyectos]],#REF!,Planning[[#This Row],[Tipo de Tarea y especialidad]])</f>
        <v>#REF!</v>
      </c>
      <c r="O1145" s="19">
        <f t="shared" si="34"/>
        <v>10</v>
      </c>
      <c r="P1145" s="19">
        <f t="shared" si="35"/>
        <v>2024</v>
      </c>
      <c r="Q1145" s="19" t="e">
        <f>+SUMIFS(#REF!,#REF!,Planning[[#This Row],[Tarifa]],#REF!,Planning[[#This Row],[Proyectos]],#REF!,Planning[[#This Row],[Mes]],#REF!,Planning[[#This Row],[Año]])</f>
        <v>#REF!</v>
      </c>
      <c r="R1145" s="19" t="str">
        <f>TEXT(Planning[[#This Row],[Mes]]*29,"mmmm")</f>
        <v>October</v>
      </c>
      <c r="S11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45" s="228"/>
      <c r="U1145" s="43" t="e">
        <f>IF(Planning[[#This Row],[Horas Planificadas]]&lt;&gt;0,+K1145/Planning[[#This Row],[Horas Planificadas]],0)</f>
        <v>#REF!</v>
      </c>
      <c r="V1145" s="43" t="e">
        <f>IF(Planning[[#This Row],[Horas Planificadas]]&lt;&gt;0,Planning[[#This Row],[Horas utilizadas]]/Planning[[#This Row],[Horas Planificadas]],0)</f>
        <v>#REF!</v>
      </c>
      <c r="W1145" s="44">
        <f>Planning[[#This Row],[Horas Planificadas]]+Planning[[#This Row],[Horas ajustadas adicionales]]</f>
        <v>4</v>
      </c>
      <c r="X1145" s="142"/>
    </row>
    <row r="1146" spans="1:24" ht="12.75" customHeight="1" x14ac:dyDescent="0.2">
      <c r="A1146" s="7"/>
      <c r="B1146" s="7"/>
      <c r="C1146" s="3"/>
      <c r="D1146" s="3" t="s">
        <v>309</v>
      </c>
      <c r="E1146" s="33" t="s">
        <v>32</v>
      </c>
      <c r="F1146" s="33"/>
      <c r="G1146" s="7"/>
      <c r="H1146" s="7">
        <v>54</v>
      </c>
      <c r="I1146" s="12"/>
      <c r="J1146" s="5" t="e">
        <f>+SUMIFS(#REF!,#REF!,Planning[[#This Row],[Tarifa]],#REF!,Planning[[#This Row],[Proyectos]])</f>
        <v>#REF!</v>
      </c>
      <c r="K1146" s="5" t="e">
        <f>Planning[[#This Row],[Horas Planificadas]]+Planning[[#This Row],[Horas ajustadas adicionales]]-Planning[[#This Row],[Horas utilizadas]]</f>
        <v>#REF!</v>
      </c>
      <c r="L1146" s="7"/>
      <c r="M1146" s="19" t="e">
        <f>Planning[[#This Row],[Saldo]]-Planning[[#This Row],[Saldo estimado]]</f>
        <v>#REF!</v>
      </c>
      <c r="N1146" s="60" t="e">
        <f>+SUMIFS(#REF!,#REF!,Planning[[#This Row],[Proyectos]],#REF!,Planning[[#This Row],[Tipo de Tarea y especialidad]])</f>
        <v>#REF!</v>
      </c>
      <c r="O1146" s="19">
        <f t="shared" si="34"/>
        <v>10</v>
      </c>
      <c r="P1146" s="19">
        <f t="shared" si="35"/>
        <v>2024</v>
      </c>
      <c r="Q1146" s="19" t="e">
        <f>+SUMIFS(#REF!,#REF!,Planning[[#This Row],[Tarifa]],#REF!,Planning[[#This Row],[Proyectos]],#REF!,Planning[[#This Row],[Mes]],#REF!,Planning[[#This Row],[Año]])</f>
        <v>#REF!</v>
      </c>
      <c r="R1146" s="19" t="str">
        <f>TEXT(Planning[[#This Row],[Mes]]*29,"mmmm")</f>
        <v>October</v>
      </c>
      <c r="S11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46" s="228"/>
      <c r="U1146" s="43" t="e">
        <f>IF(Planning[[#This Row],[Horas Planificadas]]&lt;&gt;0,+K1146/Planning[[#This Row],[Horas Planificadas]],0)</f>
        <v>#REF!</v>
      </c>
      <c r="V1146" s="43" t="e">
        <f>IF(Planning[[#This Row],[Horas Planificadas]]&lt;&gt;0,Planning[[#This Row],[Horas utilizadas]]/Planning[[#This Row],[Horas Planificadas]],0)</f>
        <v>#REF!</v>
      </c>
      <c r="W1146" s="44">
        <f>Planning[[#This Row],[Horas Planificadas]]+Planning[[#This Row],[Horas ajustadas adicionales]]</f>
        <v>54</v>
      </c>
      <c r="X1146" s="142"/>
    </row>
    <row r="1147" spans="1:24" ht="12.75" customHeight="1" x14ac:dyDescent="0.2">
      <c r="A1147" s="7"/>
      <c r="B1147" s="7"/>
      <c r="C1147" s="3"/>
      <c r="D1147" s="3" t="s">
        <v>310</v>
      </c>
      <c r="E1147" s="4" t="s">
        <v>28</v>
      </c>
      <c r="F1147" s="3"/>
      <c r="G1147" s="9"/>
      <c r="H1147" s="12">
        <v>0</v>
      </c>
      <c r="I1147" s="12"/>
      <c r="J1147" s="5" t="e">
        <f>+SUMIFS(#REF!,#REF!,Planning[[#This Row],[Tarifa]],#REF!,Planning[[#This Row],[Proyectos]])</f>
        <v>#REF!</v>
      </c>
      <c r="K1147" s="27" t="e">
        <f>Planning[[#This Row],[Horas Planificadas]]+Planning[[#This Row],[Horas ajustadas adicionales]]-Planning[[#This Row],[Horas utilizadas]]</f>
        <v>#REF!</v>
      </c>
      <c r="L1147" s="7"/>
      <c r="M1147" s="34" t="e">
        <f>Planning[[#This Row],[Saldo]]-Planning[[#This Row],[Saldo estimado]]</f>
        <v>#REF!</v>
      </c>
      <c r="N1147" s="62" t="e">
        <f>+SUMIFS(#REF!,#REF!,Planning[[#This Row],[Proyectos]],#REF!,Planning[[#This Row],[Tipo de Tarea y especialidad]])</f>
        <v>#REF!</v>
      </c>
      <c r="O1147" s="34">
        <f t="shared" si="34"/>
        <v>10</v>
      </c>
      <c r="P1147" s="34">
        <f t="shared" si="35"/>
        <v>2024</v>
      </c>
      <c r="Q1147" s="34" t="e">
        <f>+SUMIFS(#REF!,#REF!,Planning[[#This Row],[Tarifa]],#REF!,Planning[[#This Row],[Proyectos]],#REF!,Planning[[#This Row],[Mes]],#REF!,Planning[[#This Row],[Año]])</f>
        <v>#REF!</v>
      </c>
      <c r="R1147" s="34" t="str">
        <f>TEXT(Planning[[#This Row],[Mes]]*29,"mmmm")</f>
        <v>October</v>
      </c>
      <c r="S114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47" s="228"/>
      <c r="U1147" s="43">
        <f>IF(Planning[[#This Row],[Horas Planificadas]]&lt;&gt;0,+K1147/Planning[[#This Row],[Horas Planificadas]],0)</f>
        <v>0</v>
      </c>
      <c r="V1147" s="43">
        <f>IF(Planning[[#This Row],[Horas Planificadas]]&lt;&gt;0,Planning[[#This Row],[Horas utilizadas]]/Planning[[#This Row],[Horas Planificadas]],0)</f>
        <v>0</v>
      </c>
      <c r="W1147" s="44">
        <f>Planning[[#This Row],[Horas Planificadas]]+Planning[[#This Row],[Horas ajustadas adicionales]]</f>
        <v>0</v>
      </c>
      <c r="X1147" s="142"/>
    </row>
    <row r="1148" spans="1:24" ht="12.75" customHeight="1" x14ac:dyDescent="0.2">
      <c r="A1148" s="7"/>
      <c r="B1148" s="7"/>
      <c r="C1148" s="3"/>
      <c r="D1148" s="3" t="s">
        <v>310</v>
      </c>
      <c r="E1148" s="4" t="s">
        <v>30</v>
      </c>
      <c r="F1148" s="3"/>
      <c r="G1148" s="9"/>
      <c r="H1148" s="9">
        <v>80</v>
      </c>
      <c r="I1148" s="12"/>
      <c r="J1148" s="5" t="e">
        <f>+SUMIFS(#REF!,#REF!,Planning[[#This Row],[Tarifa]],#REF!,Planning[[#This Row],[Proyectos]])</f>
        <v>#REF!</v>
      </c>
      <c r="K1148" s="5" t="e">
        <f>Planning[[#This Row],[Horas Planificadas]]+Planning[[#This Row],[Horas ajustadas adicionales]]-Planning[[#This Row],[Horas utilizadas]]</f>
        <v>#REF!</v>
      </c>
      <c r="L1148" s="7"/>
      <c r="M1148" s="19" t="e">
        <f>Planning[[#This Row],[Saldo]]-Planning[[#This Row],[Saldo estimado]]</f>
        <v>#REF!</v>
      </c>
      <c r="N1148" s="60" t="e">
        <f>+SUMIFS(#REF!,#REF!,Planning[[#This Row],[Proyectos]],#REF!,Planning[[#This Row],[Tipo de Tarea y especialidad]])</f>
        <v>#REF!</v>
      </c>
      <c r="O1148" s="19">
        <f t="shared" si="34"/>
        <v>10</v>
      </c>
      <c r="P1148" s="19">
        <f t="shared" si="35"/>
        <v>2024</v>
      </c>
      <c r="Q1148" s="19" t="e">
        <f>+SUMIFS(#REF!,#REF!,Planning[[#This Row],[Tarifa]],#REF!,Planning[[#This Row],[Proyectos]],#REF!,Planning[[#This Row],[Mes]],#REF!,Planning[[#This Row],[Año]])</f>
        <v>#REF!</v>
      </c>
      <c r="R1148" s="19" t="str">
        <f>TEXT(Planning[[#This Row],[Mes]]*29,"mmmm")</f>
        <v>October</v>
      </c>
      <c r="S11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48" s="228"/>
      <c r="U1148" s="43" t="e">
        <f>IF(Planning[[#This Row],[Horas Planificadas]]&lt;&gt;0,+K1148/Planning[[#This Row],[Horas Planificadas]],0)</f>
        <v>#REF!</v>
      </c>
      <c r="V1148" s="43" t="e">
        <f>IF(Planning[[#This Row],[Horas Planificadas]]&lt;&gt;0,Planning[[#This Row],[Horas utilizadas]]/Planning[[#This Row],[Horas Planificadas]],0)</f>
        <v>#REF!</v>
      </c>
      <c r="W1148" s="44">
        <f>Planning[[#This Row],[Horas Planificadas]]+Planning[[#This Row],[Horas ajustadas adicionales]]</f>
        <v>80</v>
      </c>
      <c r="X1148" s="142"/>
    </row>
    <row r="1149" spans="1:24" ht="12.75" customHeight="1" x14ac:dyDescent="0.2">
      <c r="A1149" s="7"/>
      <c r="B1149" s="7"/>
      <c r="C1149" s="3"/>
      <c r="D1149" s="3" t="s">
        <v>310</v>
      </c>
      <c r="E1149" s="4" t="s">
        <v>31</v>
      </c>
      <c r="F1149" s="3"/>
      <c r="G1149" s="9"/>
      <c r="H1149" s="9">
        <v>4</v>
      </c>
      <c r="I1149" s="12"/>
      <c r="J1149" s="5" t="e">
        <f>+SUMIFS(#REF!,#REF!,Planning[[#This Row],[Tarifa]],#REF!,Planning[[#This Row],[Proyectos]])</f>
        <v>#REF!</v>
      </c>
      <c r="K1149" s="5" t="e">
        <f>Planning[[#This Row],[Horas Planificadas]]+Planning[[#This Row],[Horas ajustadas adicionales]]-Planning[[#This Row],[Horas utilizadas]]</f>
        <v>#REF!</v>
      </c>
      <c r="L1149" s="7"/>
      <c r="M1149" s="19" t="e">
        <f>Planning[[#This Row],[Saldo]]-Planning[[#This Row],[Saldo estimado]]</f>
        <v>#REF!</v>
      </c>
      <c r="N1149" s="60" t="e">
        <f>+SUMIFS(#REF!,#REF!,Planning[[#This Row],[Proyectos]],#REF!,Planning[[#This Row],[Tipo de Tarea y especialidad]])</f>
        <v>#REF!</v>
      </c>
      <c r="O1149" s="19">
        <f t="shared" si="34"/>
        <v>10</v>
      </c>
      <c r="P1149" s="19">
        <f t="shared" si="35"/>
        <v>2024</v>
      </c>
      <c r="Q1149" s="19" t="e">
        <f>+SUMIFS(#REF!,#REF!,Planning[[#This Row],[Tarifa]],#REF!,Planning[[#This Row],[Proyectos]],#REF!,Planning[[#This Row],[Mes]],#REF!,Planning[[#This Row],[Año]])</f>
        <v>#REF!</v>
      </c>
      <c r="R1149" s="19" t="str">
        <f>TEXT(Planning[[#This Row],[Mes]]*29,"mmmm")</f>
        <v>October</v>
      </c>
      <c r="S11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49" s="228"/>
      <c r="U1149" s="43" t="e">
        <f>IF(Planning[[#This Row],[Horas Planificadas]]&lt;&gt;0,+K1149/Planning[[#This Row],[Horas Planificadas]],0)</f>
        <v>#REF!</v>
      </c>
      <c r="V1149" s="43" t="e">
        <f>IF(Planning[[#This Row],[Horas Planificadas]]&lt;&gt;0,Planning[[#This Row],[Horas utilizadas]]/Planning[[#This Row],[Horas Planificadas]],0)</f>
        <v>#REF!</v>
      </c>
      <c r="W1149" s="44">
        <f>Planning[[#This Row],[Horas Planificadas]]+Planning[[#This Row],[Horas ajustadas adicionales]]</f>
        <v>4</v>
      </c>
      <c r="X1149" s="142"/>
    </row>
    <row r="1150" spans="1:24" ht="12.75" customHeight="1" x14ac:dyDescent="0.2">
      <c r="A1150" s="7"/>
      <c r="B1150" s="7"/>
      <c r="C1150" s="3"/>
      <c r="D1150" s="3" t="s">
        <v>310</v>
      </c>
      <c r="E1150" s="4" t="s">
        <v>32</v>
      </c>
      <c r="F1150" s="3"/>
      <c r="G1150" s="9"/>
      <c r="H1150" s="12">
        <v>27</v>
      </c>
      <c r="I1150" s="12"/>
      <c r="J1150" s="5" t="e">
        <f>+SUMIFS(#REF!,#REF!,Planning[[#This Row],[Tarifa]],#REF!,Planning[[#This Row],[Proyectos]])</f>
        <v>#REF!</v>
      </c>
      <c r="K1150" s="27" t="e">
        <f>Planning[[#This Row],[Horas Planificadas]]+Planning[[#This Row],[Horas ajustadas adicionales]]-Planning[[#This Row],[Horas utilizadas]]</f>
        <v>#REF!</v>
      </c>
      <c r="L1150" s="7"/>
      <c r="M1150" s="19" t="e">
        <f>Planning[[#This Row],[Saldo]]-Planning[[#This Row],[Saldo estimado]]</f>
        <v>#REF!</v>
      </c>
      <c r="N1150" s="60" t="e">
        <f>+SUMIFS(#REF!,#REF!,Planning[[#This Row],[Proyectos]],#REF!,Planning[[#This Row],[Tipo de Tarea y especialidad]])</f>
        <v>#REF!</v>
      </c>
      <c r="O1150" s="19">
        <f t="shared" si="34"/>
        <v>10</v>
      </c>
      <c r="P1150" s="19">
        <f t="shared" si="35"/>
        <v>2024</v>
      </c>
      <c r="Q1150" s="19" t="e">
        <f>+SUMIFS(#REF!,#REF!,Planning[[#This Row],[Tarifa]],#REF!,Planning[[#This Row],[Proyectos]],#REF!,Planning[[#This Row],[Mes]],#REF!,Planning[[#This Row],[Año]])</f>
        <v>#REF!</v>
      </c>
      <c r="R1150" s="19" t="str">
        <f>TEXT(Planning[[#This Row],[Mes]]*29,"mmmm")</f>
        <v>October</v>
      </c>
      <c r="S11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50" s="228"/>
      <c r="U1150" s="43" t="e">
        <f>IF(Planning[[#This Row],[Horas Planificadas]]&lt;&gt;0,+K1150/Planning[[#This Row],[Horas Planificadas]],0)</f>
        <v>#REF!</v>
      </c>
      <c r="V1150" s="43" t="e">
        <f>IF(Planning[[#This Row],[Horas Planificadas]]&lt;&gt;0,Planning[[#This Row],[Horas utilizadas]]/Planning[[#This Row],[Horas Planificadas]],0)</f>
        <v>#REF!</v>
      </c>
      <c r="W1150" s="44">
        <f>Planning[[#This Row],[Horas Planificadas]]+Planning[[#This Row],[Horas ajustadas adicionales]]</f>
        <v>27</v>
      </c>
      <c r="X1150" s="142"/>
    </row>
    <row r="1151" spans="1:24" ht="12.75" customHeight="1" x14ac:dyDescent="0.2">
      <c r="A1151" s="7"/>
      <c r="B1151" s="7"/>
      <c r="C1151" s="3"/>
      <c r="D1151" s="3" t="s">
        <v>311</v>
      </c>
      <c r="E1151" s="4" t="s">
        <v>28</v>
      </c>
      <c r="F1151" s="3"/>
      <c r="G1151" s="9"/>
      <c r="H1151" s="9">
        <v>0</v>
      </c>
      <c r="I1151" s="12"/>
      <c r="J1151" s="5" t="e">
        <f>+SUMIFS(#REF!,#REF!,Planning[[#This Row],[Tarifa]],#REF!,Planning[[#This Row],[Proyectos]])</f>
        <v>#REF!</v>
      </c>
      <c r="K1151" s="5" t="e">
        <f>Planning[[#This Row],[Horas Planificadas]]+Planning[[#This Row],[Horas ajustadas adicionales]]-Planning[[#This Row],[Horas utilizadas]]</f>
        <v>#REF!</v>
      </c>
      <c r="L1151" s="7"/>
      <c r="M1151" s="19" t="e">
        <f>Planning[[#This Row],[Saldo]]-Planning[[#This Row],[Saldo estimado]]</f>
        <v>#REF!</v>
      </c>
      <c r="N1151" s="60" t="e">
        <f>+SUMIFS(#REF!,#REF!,Planning[[#This Row],[Proyectos]],#REF!,Planning[[#This Row],[Tipo de Tarea y especialidad]])</f>
        <v>#REF!</v>
      </c>
      <c r="O1151" s="19">
        <f t="shared" si="34"/>
        <v>10</v>
      </c>
      <c r="P1151" s="19">
        <f t="shared" si="35"/>
        <v>2024</v>
      </c>
      <c r="Q1151" s="19" t="e">
        <f>+SUMIFS(#REF!,#REF!,Planning[[#This Row],[Tarifa]],#REF!,Planning[[#This Row],[Proyectos]],#REF!,Planning[[#This Row],[Mes]],#REF!,Planning[[#This Row],[Año]])</f>
        <v>#REF!</v>
      </c>
      <c r="R1151" s="19" t="str">
        <f>TEXT(Planning[[#This Row],[Mes]]*29,"mmmm")</f>
        <v>October</v>
      </c>
      <c r="S11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51" s="228"/>
      <c r="U1151" s="43">
        <f>IF(Planning[[#This Row],[Horas Planificadas]]&lt;&gt;0,+K1151/Planning[[#This Row],[Horas Planificadas]],0)</f>
        <v>0</v>
      </c>
      <c r="V1151" s="43">
        <f>IF(Planning[[#This Row],[Horas Planificadas]]&lt;&gt;0,Planning[[#This Row],[Horas utilizadas]]/Planning[[#This Row],[Horas Planificadas]],0)</f>
        <v>0</v>
      </c>
      <c r="W1151" s="44">
        <f>Planning[[#This Row],[Horas Planificadas]]+Planning[[#This Row],[Horas ajustadas adicionales]]</f>
        <v>0</v>
      </c>
      <c r="X1151" s="142"/>
    </row>
    <row r="1152" spans="1:24" ht="12.75" customHeight="1" x14ac:dyDescent="0.2">
      <c r="A1152" s="7"/>
      <c r="B1152" s="7"/>
      <c r="C1152" s="3"/>
      <c r="D1152" s="3" t="s">
        <v>311</v>
      </c>
      <c r="E1152" s="4" t="s">
        <v>30</v>
      </c>
      <c r="F1152" s="3"/>
      <c r="G1152" s="9"/>
      <c r="H1152" s="9">
        <v>144</v>
      </c>
      <c r="I1152" s="12"/>
      <c r="J1152" s="5" t="e">
        <f>+SUMIFS(#REF!,#REF!,Planning[[#This Row],[Tarifa]],#REF!,Planning[[#This Row],[Proyectos]])</f>
        <v>#REF!</v>
      </c>
      <c r="K1152" s="5" t="e">
        <f>Planning[[#This Row],[Horas Planificadas]]+Planning[[#This Row],[Horas ajustadas adicionales]]-Planning[[#This Row],[Horas utilizadas]]</f>
        <v>#REF!</v>
      </c>
      <c r="L1152" s="7"/>
      <c r="M1152" s="19" t="e">
        <f>Planning[[#This Row],[Saldo]]-Planning[[#This Row],[Saldo estimado]]</f>
        <v>#REF!</v>
      </c>
      <c r="N1152" s="60" t="e">
        <f>+SUMIFS(#REF!,#REF!,Planning[[#This Row],[Proyectos]],#REF!,Planning[[#This Row],[Tipo de Tarea y especialidad]])</f>
        <v>#REF!</v>
      </c>
      <c r="O1152" s="19">
        <f t="shared" si="34"/>
        <v>10</v>
      </c>
      <c r="P1152" s="19">
        <f t="shared" si="35"/>
        <v>2024</v>
      </c>
      <c r="Q1152" s="19" t="e">
        <f>+SUMIFS(#REF!,#REF!,Planning[[#This Row],[Tarifa]],#REF!,Planning[[#This Row],[Proyectos]],#REF!,Planning[[#This Row],[Mes]],#REF!,Planning[[#This Row],[Año]])</f>
        <v>#REF!</v>
      </c>
      <c r="R1152" s="19" t="str">
        <f>TEXT(Planning[[#This Row],[Mes]]*29,"mmmm")</f>
        <v>October</v>
      </c>
      <c r="S11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52" s="228"/>
      <c r="U1152" s="43" t="e">
        <f>IF(Planning[[#This Row],[Horas Planificadas]]&lt;&gt;0,+K1152/Planning[[#This Row],[Horas Planificadas]],0)</f>
        <v>#REF!</v>
      </c>
      <c r="V1152" s="43" t="e">
        <f>IF(Planning[[#This Row],[Horas Planificadas]]&lt;&gt;0,Planning[[#This Row],[Horas utilizadas]]/Planning[[#This Row],[Horas Planificadas]],0)</f>
        <v>#REF!</v>
      </c>
      <c r="W1152" s="44">
        <f>Planning[[#This Row],[Horas Planificadas]]+Planning[[#This Row],[Horas ajustadas adicionales]]</f>
        <v>144</v>
      </c>
      <c r="X1152" s="142"/>
    </row>
    <row r="1153" spans="1:24" ht="12.75" customHeight="1" x14ac:dyDescent="0.2">
      <c r="A1153" s="7"/>
      <c r="B1153" s="7"/>
      <c r="C1153" s="3"/>
      <c r="D1153" s="3" t="s">
        <v>311</v>
      </c>
      <c r="E1153" s="4" t="s">
        <v>31</v>
      </c>
      <c r="F1153" s="3"/>
      <c r="G1153" s="9"/>
      <c r="H1153" s="9">
        <v>4</v>
      </c>
      <c r="I1153" s="12"/>
      <c r="J1153" s="5" t="e">
        <f>+SUMIFS(#REF!,#REF!,Planning[[#This Row],[Tarifa]],#REF!,Planning[[#This Row],[Proyectos]])</f>
        <v>#REF!</v>
      </c>
      <c r="K1153" s="5" t="e">
        <f>Planning[[#This Row],[Horas Planificadas]]+Planning[[#This Row],[Horas ajustadas adicionales]]-Planning[[#This Row],[Horas utilizadas]]</f>
        <v>#REF!</v>
      </c>
      <c r="L1153" s="7"/>
      <c r="M1153" s="19" t="e">
        <f>Planning[[#This Row],[Saldo]]-Planning[[#This Row],[Saldo estimado]]</f>
        <v>#REF!</v>
      </c>
      <c r="N1153" s="60" t="e">
        <f>+SUMIFS(#REF!,#REF!,Planning[[#This Row],[Proyectos]],#REF!,Planning[[#This Row],[Tipo de Tarea y especialidad]])</f>
        <v>#REF!</v>
      </c>
      <c r="O1153" s="19">
        <f t="shared" si="34"/>
        <v>10</v>
      </c>
      <c r="P1153" s="19">
        <f t="shared" si="35"/>
        <v>2024</v>
      </c>
      <c r="Q1153" s="19" t="e">
        <f>+SUMIFS(#REF!,#REF!,Planning[[#This Row],[Tarifa]],#REF!,Planning[[#This Row],[Proyectos]],#REF!,Planning[[#This Row],[Mes]],#REF!,Planning[[#This Row],[Año]])</f>
        <v>#REF!</v>
      </c>
      <c r="R1153" s="19" t="str">
        <f>TEXT(Planning[[#This Row],[Mes]]*29,"mmmm")</f>
        <v>October</v>
      </c>
      <c r="S11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53" s="228"/>
      <c r="U1153" s="43" t="e">
        <f>IF(Planning[[#This Row],[Horas Planificadas]]&lt;&gt;0,+K1153/Planning[[#This Row],[Horas Planificadas]],0)</f>
        <v>#REF!</v>
      </c>
      <c r="V1153" s="43" t="e">
        <f>IF(Planning[[#This Row],[Horas Planificadas]]&lt;&gt;0,Planning[[#This Row],[Horas utilizadas]]/Planning[[#This Row],[Horas Planificadas]],0)</f>
        <v>#REF!</v>
      </c>
      <c r="W1153" s="44">
        <f>Planning[[#This Row],[Horas Planificadas]]+Planning[[#This Row],[Horas ajustadas adicionales]]</f>
        <v>4</v>
      </c>
      <c r="X1153" s="142"/>
    </row>
    <row r="1154" spans="1:24" ht="12.75" customHeight="1" x14ac:dyDescent="0.2">
      <c r="A1154" s="7"/>
      <c r="B1154" s="7"/>
      <c r="C1154" s="3"/>
      <c r="D1154" s="3" t="s">
        <v>311</v>
      </c>
      <c r="E1154" s="4" t="s">
        <v>32</v>
      </c>
      <c r="F1154" s="3"/>
      <c r="G1154" s="9"/>
      <c r="H1154" s="9">
        <v>63</v>
      </c>
      <c r="I1154" s="12"/>
      <c r="J1154" s="5" t="e">
        <f>+SUMIFS(#REF!,#REF!,Planning[[#This Row],[Tarifa]],#REF!,Planning[[#This Row],[Proyectos]])</f>
        <v>#REF!</v>
      </c>
      <c r="K1154" s="5" t="e">
        <f>Planning[[#This Row],[Horas Planificadas]]+Planning[[#This Row],[Horas ajustadas adicionales]]-Planning[[#This Row],[Horas utilizadas]]</f>
        <v>#REF!</v>
      </c>
      <c r="L1154" s="7"/>
      <c r="M1154" s="19" t="e">
        <f>Planning[[#This Row],[Saldo]]-Planning[[#This Row],[Saldo estimado]]</f>
        <v>#REF!</v>
      </c>
      <c r="N1154" s="60" t="e">
        <f>+SUMIFS(#REF!,#REF!,Planning[[#This Row],[Proyectos]],#REF!,Planning[[#This Row],[Tipo de Tarea y especialidad]])</f>
        <v>#REF!</v>
      </c>
      <c r="O1154" s="19">
        <f t="shared" si="34"/>
        <v>10</v>
      </c>
      <c r="P1154" s="19">
        <f t="shared" si="35"/>
        <v>2024</v>
      </c>
      <c r="Q1154" s="19" t="e">
        <f>+SUMIFS(#REF!,#REF!,Planning[[#This Row],[Tarifa]],#REF!,Planning[[#This Row],[Proyectos]],#REF!,Planning[[#This Row],[Mes]],#REF!,Planning[[#This Row],[Año]])</f>
        <v>#REF!</v>
      </c>
      <c r="R1154" s="19" t="str">
        <f>TEXT(Planning[[#This Row],[Mes]]*29,"mmmm")</f>
        <v>October</v>
      </c>
      <c r="S11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54" s="228"/>
      <c r="U1154" s="43" t="e">
        <f>IF(Planning[[#This Row],[Horas Planificadas]]&lt;&gt;0,+K1154/Planning[[#This Row],[Horas Planificadas]],0)</f>
        <v>#REF!</v>
      </c>
      <c r="V1154" s="43" t="e">
        <f>IF(Planning[[#This Row],[Horas Planificadas]]&lt;&gt;0,Planning[[#This Row],[Horas utilizadas]]/Planning[[#This Row],[Horas Planificadas]],0)</f>
        <v>#REF!</v>
      </c>
      <c r="W1154" s="44">
        <f>Planning[[#This Row],[Horas Planificadas]]+Planning[[#This Row],[Horas ajustadas adicionales]]</f>
        <v>63</v>
      </c>
      <c r="X1154" s="142"/>
    </row>
    <row r="1155" spans="1:24" ht="12.75" customHeight="1" x14ac:dyDescent="0.2">
      <c r="A1155" s="7"/>
      <c r="B1155" s="7"/>
      <c r="C1155" s="3"/>
      <c r="D1155" s="3" t="s">
        <v>312</v>
      </c>
      <c r="E1155" s="4" t="s">
        <v>28</v>
      </c>
      <c r="F1155" s="3"/>
      <c r="G1155" s="9"/>
      <c r="H1155" s="9">
        <v>0</v>
      </c>
      <c r="I1155" s="12"/>
      <c r="J1155" s="5" t="e">
        <f>+SUMIFS(#REF!,#REF!,Planning[[#This Row],[Tarifa]],#REF!,Planning[[#This Row],[Proyectos]])</f>
        <v>#REF!</v>
      </c>
      <c r="K1155" s="5" t="e">
        <f>Planning[[#This Row],[Horas Planificadas]]+Planning[[#This Row],[Horas ajustadas adicionales]]-Planning[[#This Row],[Horas utilizadas]]</f>
        <v>#REF!</v>
      </c>
      <c r="L1155" s="7"/>
      <c r="M1155" s="19" t="e">
        <f>Planning[[#This Row],[Saldo]]-Planning[[#This Row],[Saldo estimado]]</f>
        <v>#REF!</v>
      </c>
      <c r="N1155" s="60" t="e">
        <f>+SUMIFS(#REF!,#REF!,Planning[[#This Row],[Proyectos]],#REF!,Planning[[#This Row],[Tipo de Tarea y especialidad]])</f>
        <v>#REF!</v>
      </c>
      <c r="O1155" s="19">
        <f t="shared" si="34"/>
        <v>10</v>
      </c>
      <c r="P1155" s="19">
        <f t="shared" si="35"/>
        <v>2024</v>
      </c>
      <c r="Q1155" s="19" t="e">
        <f>+SUMIFS(#REF!,#REF!,Planning[[#This Row],[Tarifa]],#REF!,Planning[[#This Row],[Proyectos]],#REF!,Planning[[#This Row],[Mes]],#REF!,Planning[[#This Row],[Año]])</f>
        <v>#REF!</v>
      </c>
      <c r="R1155" s="19" t="str">
        <f>TEXT(Planning[[#This Row],[Mes]]*29,"mmmm")</f>
        <v>October</v>
      </c>
      <c r="S11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55" s="228"/>
      <c r="U1155" s="43">
        <f>IF(Planning[[#This Row],[Horas Planificadas]]&lt;&gt;0,+K1155/Planning[[#This Row],[Horas Planificadas]],0)</f>
        <v>0</v>
      </c>
      <c r="V1155" s="43">
        <f>IF(Planning[[#This Row],[Horas Planificadas]]&lt;&gt;0,Planning[[#This Row],[Horas utilizadas]]/Planning[[#This Row],[Horas Planificadas]],0)</f>
        <v>0</v>
      </c>
      <c r="W1155" s="44">
        <f>Planning[[#This Row],[Horas Planificadas]]+Planning[[#This Row],[Horas ajustadas adicionales]]</f>
        <v>0</v>
      </c>
      <c r="X1155" s="142"/>
    </row>
    <row r="1156" spans="1:24" ht="12.75" customHeight="1" x14ac:dyDescent="0.2">
      <c r="A1156" s="7"/>
      <c r="B1156" s="7"/>
      <c r="C1156" s="3"/>
      <c r="D1156" s="3" t="s">
        <v>312</v>
      </c>
      <c r="E1156" s="4" t="s">
        <v>30</v>
      </c>
      <c r="F1156" s="3"/>
      <c r="G1156" s="9"/>
      <c r="H1156" s="9">
        <v>80</v>
      </c>
      <c r="I1156" s="12"/>
      <c r="J1156" s="5" t="e">
        <f>+SUMIFS(#REF!,#REF!,Planning[[#This Row],[Tarifa]],#REF!,Planning[[#This Row],[Proyectos]])</f>
        <v>#REF!</v>
      </c>
      <c r="K1156" s="5" t="e">
        <f>Planning[[#This Row],[Horas Planificadas]]+Planning[[#This Row],[Horas ajustadas adicionales]]-Planning[[#This Row],[Horas utilizadas]]</f>
        <v>#REF!</v>
      </c>
      <c r="L1156" s="7"/>
      <c r="M1156" s="19" t="e">
        <f>Planning[[#This Row],[Saldo]]-Planning[[#This Row],[Saldo estimado]]</f>
        <v>#REF!</v>
      </c>
      <c r="N1156" s="60" t="e">
        <f>+SUMIFS(#REF!,#REF!,Planning[[#This Row],[Proyectos]],#REF!,Planning[[#This Row],[Tipo de Tarea y especialidad]])</f>
        <v>#REF!</v>
      </c>
      <c r="O1156" s="19">
        <f t="shared" si="34"/>
        <v>10</v>
      </c>
      <c r="P1156" s="19">
        <f t="shared" si="35"/>
        <v>2024</v>
      </c>
      <c r="Q1156" s="19" t="e">
        <f>+SUMIFS(#REF!,#REF!,Planning[[#This Row],[Tarifa]],#REF!,Planning[[#This Row],[Proyectos]],#REF!,Planning[[#This Row],[Mes]],#REF!,Planning[[#This Row],[Año]])</f>
        <v>#REF!</v>
      </c>
      <c r="R1156" s="19" t="str">
        <f>TEXT(Planning[[#This Row],[Mes]]*29,"mmmm")</f>
        <v>October</v>
      </c>
      <c r="S11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56" s="228"/>
      <c r="U1156" s="43" t="e">
        <f>IF(Planning[[#This Row],[Horas Planificadas]]&lt;&gt;0,+K1156/Planning[[#This Row],[Horas Planificadas]],0)</f>
        <v>#REF!</v>
      </c>
      <c r="V1156" s="43" t="e">
        <f>IF(Planning[[#This Row],[Horas Planificadas]]&lt;&gt;0,Planning[[#This Row],[Horas utilizadas]]/Planning[[#This Row],[Horas Planificadas]],0)</f>
        <v>#REF!</v>
      </c>
      <c r="W1156" s="44">
        <f>Planning[[#This Row],[Horas Planificadas]]+Planning[[#This Row],[Horas ajustadas adicionales]]</f>
        <v>80</v>
      </c>
      <c r="X1156" s="142"/>
    </row>
    <row r="1157" spans="1:24" ht="12.75" customHeight="1" x14ac:dyDescent="0.2">
      <c r="A1157" s="7"/>
      <c r="B1157" s="7"/>
      <c r="C1157" s="3"/>
      <c r="D1157" s="3" t="s">
        <v>312</v>
      </c>
      <c r="E1157" s="4" t="s">
        <v>31</v>
      </c>
      <c r="F1157" s="3"/>
      <c r="G1157" s="9"/>
      <c r="H1157" s="9">
        <v>4</v>
      </c>
      <c r="I1157" s="12"/>
      <c r="J1157" s="5" t="e">
        <f>+SUMIFS(#REF!,#REF!,Planning[[#This Row],[Tarifa]],#REF!,Planning[[#This Row],[Proyectos]])</f>
        <v>#REF!</v>
      </c>
      <c r="K1157" s="5" t="e">
        <f>Planning[[#This Row],[Horas Planificadas]]+Planning[[#This Row],[Horas ajustadas adicionales]]-Planning[[#This Row],[Horas utilizadas]]</f>
        <v>#REF!</v>
      </c>
      <c r="L1157" s="7"/>
      <c r="M1157" s="19" t="e">
        <f>Planning[[#This Row],[Saldo]]-Planning[[#This Row],[Saldo estimado]]</f>
        <v>#REF!</v>
      </c>
      <c r="N1157" s="60" t="e">
        <f>+SUMIFS(#REF!,#REF!,Planning[[#This Row],[Proyectos]],#REF!,Planning[[#This Row],[Tipo de Tarea y especialidad]])</f>
        <v>#REF!</v>
      </c>
      <c r="O1157" s="19">
        <f t="shared" si="34"/>
        <v>10</v>
      </c>
      <c r="P1157" s="19">
        <f t="shared" si="35"/>
        <v>2024</v>
      </c>
      <c r="Q1157" s="19" t="e">
        <f>+SUMIFS(#REF!,#REF!,Planning[[#This Row],[Tarifa]],#REF!,Planning[[#This Row],[Proyectos]],#REF!,Planning[[#This Row],[Mes]],#REF!,Planning[[#This Row],[Año]])</f>
        <v>#REF!</v>
      </c>
      <c r="R1157" s="19" t="str">
        <f>TEXT(Planning[[#This Row],[Mes]]*29,"mmmm")</f>
        <v>October</v>
      </c>
      <c r="S11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57" s="228"/>
      <c r="U1157" s="43" t="e">
        <f>IF(Planning[[#This Row],[Horas Planificadas]]&lt;&gt;0,+K1157/Planning[[#This Row],[Horas Planificadas]],0)</f>
        <v>#REF!</v>
      </c>
      <c r="V1157" s="43" t="e">
        <f>IF(Planning[[#This Row],[Horas Planificadas]]&lt;&gt;0,Planning[[#This Row],[Horas utilizadas]]/Planning[[#This Row],[Horas Planificadas]],0)</f>
        <v>#REF!</v>
      </c>
      <c r="W1157" s="44">
        <f>Planning[[#This Row],[Horas Planificadas]]+Planning[[#This Row],[Horas ajustadas adicionales]]</f>
        <v>4</v>
      </c>
      <c r="X1157" s="142"/>
    </row>
    <row r="1158" spans="1:24" ht="12.75" customHeight="1" x14ac:dyDescent="0.2">
      <c r="A1158" s="7"/>
      <c r="B1158" s="7"/>
      <c r="C1158" s="3"/>
      <c r="D1158" s="3" t="s">
        <v>312</v>
      </c>
      <c r="E1158" s="4" t="s">
        <v>32</v>
      </c>
      <c r="F1158" s="3"/>
      <c r="G1158" s="9"/>
      <c r="H1158" s="9">
        <v>45</v>
      </c>
      <c r="I1158" s="12"/>
      <c r="J1158" s="5" t="e">
        <f>+SUMIFS(#REF!,#REF!,Planning[[#This Row],[Tarifa]],#REF!,Planning[[#This Row],[Proyectos]])</f>
        <v>#REF!</v>
      </c>
      <c r="K1158" s="5" t="e">
        <f>Planning[[#This Row],[Horas Planificadas]]+Planning[[#This Row],[Horas ajustadas adicionales]]-Planning[[#This Row],[Horas utilizadas]]</f>
        <v>#REF!</v>
      </c>
      <c r="L1158" s="7"/>
      <c r="M1158" s="19" t="e">
        <f>Planning[[#This Row],[Saldo]]-Planning[[#This Row],[Saldo estimado]]</f>
        <v>#REF!</v>
      </c>
      <c r="N1158" s="60" t="e">
        <f>+SUMIFS(#REF!,#REF!,Planning[[#This Row],[Proyectos]],#REF!,Planning[[#This Row],[Tipo de Tarea y especialidad]])</f>
        <v>#REF!</v>
      </c>
      <c r="O1158" s="19">
        <f t="shared" si="34"/>
        <v>10</v>
      </c>
      <c r="P1158" s="19">
        <f t="shared" si="35"/>
        <v>2024</v>
      </c>
      <c r="Q1158" s="19" t="e">
        <f>+SUMIFS(#REF!,#REF!,Planning[[#This Row],[Tarifa]],#REF!,Planning[[#This Row],[Proyectos]],#REF!,Planning[[#This Row],[Mes]],#REF!,Planning[[#This Row],[Año]])</f>
        <v>#REF!</v>
      </c>
      <c r="R1158" s="19" t="str">
        <f>TEXT(Planning[[#This Row],[Mes]]*29,"mmmm")</f>
        <v>October</v>
      </c>
      <c r="S11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58" s="228"/>
      <c r="U1158" s="43" t="e">
        <f>IF(Planning[[#This Row],[Horas Planificadas]]&lt;&gt;0,+K1158/Planning[[#This Row],[Horas Planificadas]],0)</f>
        <v>#REF!</v>
      </c>
      <c r="V1158" s="43" t="e">
        <f>IF(Planning[[#This Row],[Horas Planificadas]]&lt;&gt;0,Planning[[#This Row],[Horas utilizadas]]/Planning[[#This Row],[Horas Planificadas]],0)</f>
        <v>#REF!</v>
      </c>
      <c r="W1158" s="44">
        <f>Planning[[#This Row],[Horas Planificadas]]+Planning[[#This Row],[Horas ajustadas adicionales]]</f>
        <v>45</v>
      </c>
      <c r="X1158" s="142"/>
    </row>
    <row r="1159" spans="1:24" ht="12.75" customHeight="1" x14ac:dyDescent="0.2">
      <c r="A1159" s="7"/>
      <c r="B1159" s="7"/>
      <c r="C1159" s="3"/>
      <c r="D1159" s="3" t="s">
        <v>313</v>
      </c>
      <c r="E1159" s="4" t="s">
        <v>28</v>
      </c>
      <c r="F1159" s="3"/>
      <c r="G1159" s="9"/>
      <c r="H1159" s="12">
        <v>0</v>
      </c>
      <c r="I1159" s="12"/>
      <c r="J1159" s="5" t="e">
        <f>+SUMIFS(#REF!,#REF!,Planning[[#This Row],[Tarifa]],#REF!,Planning[[#This Row],[Proyectos]])</f>
        <v>#REF!</v>
      </c>
      <c r="K1159" s="27" t="e">
        <f>Planning[[#This Row],[Horas Planificadas]]+Planning[[#This Row],[Horas ajustadas adicionales]]-Planning[[#This Row],[Horas utilizadas]]</f>
        <v>#REF!</v>
      </c>
      <c r="L1159" s="7"/>
      <c r="M1159" s="19" t="e">
        <f>Planning[[#This Row],[Saldo]]-Planning[[#This Row],[Saldo estimado]]</f>
        <v>#REF!</v>
      </c>
      <c r="N1159" s="60" t="e">
        <f>+SUMIFS(#REF!,#REF!,Planning[[#This Row],[Proyectos]],#REF!,Planning[[#This Row],[Tipo de Tarea y especialidad]])</f>
        <v>#REF!</v>
      </c>
      <c r="O1159" s="19">
        <f t="shared" ref="O1159:O1222" si="36">$L$4</f>
        <v>10</v>
      </c>
      <c r="P1159" s="19">
        <f t="shared" ref="P1159:P1222" si="37">$M$4</f>
        <v>2024</v>
      </c>
      <c r="Q1159" s="19" t="e">
        <f>+SUMIFS(#REF!,#REF!,Planning[[#This Row],[Tarifa]],#REF!,Planning[[#This Row],[Proyectos]],#REF!,Planning[[#This Row],[Mes]],#REF!,Planning[[#This Row],[Año]])</f>
        <v>#REF!</v>
      </c>
      <c r="R1159" s="19" t="str">
        <f>TEXT(Planning[[#This Row],[Mes]]*29,"mmmm")</f>
        <v>October</v>
      </c>
      <c r="S11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59" s="228"/>
      <c r="U1159" s="43">
        <f>IF(Planning[[#This Row],[Horas Planificadas]]&lt;&gt;0,+K1159/Planning[[#This Row],[Horas Planificadas]],0)</f>
        <v>0</v>
      </c>
      <c r="V1159" s="43">
        <f>IF(Planning[[#This Row],[Horas Planificadas]]&lt;&gt;0,Planning[[#This Row],[Horas utilizadas]]/Planning[[#This Row],[Horas Planificadas]],0)</f>
        <v>0</v>
      </c>
      <c r="W1159" s="44">
        <f>Planning[[#This Row],[Horas Planificadas]]+Planning[[#This Row],[Horas ajustadas adicionales]]</f>
        <v>0</v>
      </c>
      <c r="X1159" s="142"/>
    </row>
    <row r="1160" spans="1:24" ht="12.75" customHeight="1" x14ac:dyDescent="0.2">
      <c r="A1160" s="7"/>
      <c r="B1160" s="7"/>
      <c r="C1160" s="3"/>
      <c r="D1160" s="3" t="s">
        <v>313</v>
      </c>
      <c r="E1160" s="4" t="s">
        <v>30</v>
      </c>
      <c r="F1160" s="3"/>
      <c r="G1160" s="9"/>
      <c r="H1160" s="9">
        <v>48</v>
      </c>
      <c r="I1160" s="12"/>
      <c r="J1160" s="5" t="e">
        <f>+SUMIFS(#REF!,#REF!,Planning[[#This Row],[Tarifa]],#REF!,Planning[[#This Row],[Proyectos]])</f>
        <v>#REF!</v>
      </c>
      <c r="K1160" s="5" t="e">
        <f>Planning[[#This Row],[Horas Planificadas]]+Planning[[#This Row],[Horas ajustadas adicionales]]-Planning[[#This Row],[Horas utilizadas]]</f>
        <v>#REF!</v>
      </c>
      <c r="L1160" s="7"/>
      <c r="M1160" s="19" t="e">
        <f>Planning[[#This Row],[Saldo]]-Planning[[#This Row],[Saldo estimado]]</f>
        <v>#REF!</v>
      </c>
      <c r="N1160" s="60" t="e">
        <f>+SUMIFS(#REF!,#REF!,Planning[[#This Row],[Proyectos]],#REF!,Planning[[#This Row],[Tipo de Tarea y especialidad]])</f>
        <v>#REF!</v>
      </c>
      <c r="O1160" s="19">
        <f t="shared" si="36"/>
        <v>10</v>
      </c>
      <c r="P1160" s="19">
        <f t="shared" si="37"/>
        <v>2024</v>
      </c>
      <c r="Q1160" s="19" t="e">
        <f>+SUMIFS(#REF!,#REF!,Planning[[#This Row],[Tarifa]],#REF!,Planning[[#This Row],[Proyectos]],#REF!,Planning[[#This Row],[Mes]],#REF!,Planning[[#This Row],[Año]])</f>
        <v>#REF!</v>
      </c>
      <c r="R1160" s="19" t="str">
        <f>TEXT(Planning[[#This Row],[Mes]]*29,"mmmm")</f>
        <v>October</v>
      </c>
      <c r="S11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60" s="228"/>
      <c r="U1160" s="43" t="e">
        <f>IF(Planning[[#This Row],[Horas Planificadas]]&lt;&gt;0,+K1160/Planning[[#This Row],[Horas Planificadas]],0)</f>
        <v>#REF!</v>
      </c>
      <c r="V1160" s="43" t="e">
        <f>IF(Planning[[#This Row],[Horas Planificadas]]&lt;&gt;0,Planning[[#This Row],[Horas utilizadas]]/Planning[[#This Row],[Horas Planificadas]],0)</f>
        <v>#REF!</v>
      </c>
      <c r="W1160" s="44">
        <f>Planning[[#This Row],[Horas Planificadas]]+Planning[[#This Row],[Horas ajustadas adicionales]]</f>
        <v>48</v>
      </c>
      <c r="X1160" s="142"/>
    </row>
    <row r="1161" spans="1:24" ht="12.75" customHeight="1" x14ac:dyDescent="0.2">
      <c r="A1161" s="7"/>
      <c r="B1161" s="7"/>
      <c r="C1161" s="3"/>
      <c r="D1161" s="3" t="s">
        <v>313</v>
      </c>
      <c r="E1161" s="4" t="s">
        <v>31</v>
      </c>
      <c r="F1161" s="3"/>
      <c r="G1161" s="9"/>
      <c r="H1161" s="9">
        <v>4</v>
      </c>
      <c r="I1161" s="12"/>
      <c r="J1161" s="5" t="e">
        <f>+SUMIFS(#REF!,#REF!,Planning[[#This Row],[Tarifa]],#REF!,Planning[[#This Row],[Proyectos]])</f>
        <v>#REF!</v>
      </c>
      <c r="K1161" s="5" t="e">
        <f>Planning[[#This Row],[Horas Planificadas]]+Planning[[#This Row],[Horas ajustadas adicionales]]-Planning[[#This Row],[Horas utilizadas]]</f>
        <v>#REF!</v>
      </c>
      <c r="L1161" s="7"/>
      <c r="M1161" s="19" t="e">
        <f>Planning[[#This Row],[Saldo]]-Planning[[#This Row],[Saldo estimado]]</f>
        <v>#REF!</v>
      </c>
      <c r="N1161" s="60" t="e">
        <f>+SUMIFS(#REF!,#REF!,Planning[[#This Row],[Proyectos]],#REF!,Planning[[#This Row],[Tipo de Tarea y especialidad]])</f>
        <v>#REF!</v>
      </c>
      <c r="O1161" s="19">
        <f t="shared" si="36"/>
        <v>10</v>
      </c>
      <c r="P1161" s="19">
        <f t="shared" si="37"/>
        <v>2024</v>
      </c>
      <c r="Q1161" s="19" t="e">
        <f>+SUMIFS(#REF!,#REF!,Planning[[#This Row],[Tarifa]],#REF!,Planning[[#This Row],[Proyectos]],#REF!,Planning[[#This Row],[Mes]],#REF!,Planning[[#This Row],[Año]])</f>
        <v>#REF!</v>
      </c>
      <c r="R1161" s="19" t="str">
        <f>TEXT(Planning[[#This Row],[Mes]]*29,"mmmm")</f>
        <v>October</v>
      </c>
      <c r="S11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61" s="228"/>
      <c r="U1161" s="43" t="e">
        <f>IF(Planning[[#This Row],[Horas Planificadas]]&lt;&gt;0,+K1161/Planning[[#This Row],[Horas Planificadas]],0)</f>
        <v>#REF!</v>
      </c>
      <c r="V1161" s="43" t="e">
        <f>IF(Planning[[#This Row],[Horas Planificadas]]&lt;&gt;0,Planning[[#This Row],[Horas utilizadas]]/Planning[[#This Row],[Horas Planificadas]],0)</f>
        <v>#REF!</v>
      </c>
      <c r="W1161" s="44">
        <f>Planning[[#This Row],[Horas Planificadas]]+Planning[[#This Row],[Horas ajustadas adicionales]]</f>
        <v>4</v>
      </c>
      <c r="X1161" s="142"/>
    </row>
    <row r="1162" spans="1:24" ht="12.75" customHeight="1" x14ac:dyDescent="0.2">
      <c r="A1162" s="7"/>
      <c r="B1162" s="7"/>
      <c r="C1162" s="3"/>
      <c r="D1162" s="3" t="s">
        <v>313</v>
      </c>
      <c r="E1162" s="4" t="s">
        <v>32</v>
      </c>
      <c r="F1162" s="3"/>
      <c r="G1162" s="9"/>
      <c r="H1162" s="9">
        <v>36</v>
      </c>
      <c r="I1162" s="12"/>
      <c r="J1162" s="5" t="e">
        <f>+SUMIFS(#REF!,#REF!,Planning[[#This Row],[Tarifa]],#REF!,Planning[[#This Row],[Proyectos]])</f>
        <v>#REF!</v>
      </c>
      <c r="K1162" s="5" t="e">
        <f>Planning[[#This Row],[Horas Planificadas]]+Planning[[#This Row],[Horas ajustadas adicionales]]-Planning[[#This Row],[Horas utilizadas]]</f>
        <v>#REF!</v>
      </c>
      <c r="L1162" s="7"/>
      <c r="M1162" s="19" t="e">
        <f>Planning[[#This Row],[Saldo]]-Planning[[#This Row],[Saldo estimado]]</f>
        <v>#REF!</v>
      </c>
      <c r="N1162" s="60" t="e">
        <f>+SUMIFS(#REF!,#REF!,Planning[[#This Row],[Proyectos]],#REF!,Planning[[#This Row],[Tipo de Tarea y especialidad]])</f>
        <v>#REF!</v>
      </c>
      <c r="O1162" s="19">
        <f t="shared" si="36"/>
        <v>10</v>
      </c>
      <c r="P1162" s="19">
        <f t="shared" si="37"/>
        <v>2024</v>
      </c>
      <c r="Q1162" s="19" t="e">
        <f>+SUMIFS(#REF!,#REF!,Planning[[#This Row],[Tarifa]],#REF!,Planning[[#This Row],[Proyectos]],#REF!,Planning[[#This Row],[Mes]],#REF!,Planning[[#This Row],[Año]])</f>
        <v>#REF!</v>
      </c>
      <c r="R1162" s="19" t="str">
        <f>TEXT(Planning[[#This Row],[Mes]]*29,"mmmm")</f>
        <v>October</v>
      </c>
      <c r="S11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62" s="228"/>
      <c r="U1162" s="43" t="e">
        <f>IF(Planning[[#This Row],[Horas Planificadas]]&lt;&gt;0,+K1162/Planning[[#This Row],[Horas Planificadas]],0)</f>
        <v>#REF!</v>
      </c>
      <c r="V1162" s="43" t="e">
        <f>IF(Planning[[#This Row],[Horas Planificadas]]&lt;&gt;0,Planning[[#This Row],[Horas utilizadas]]/Planning[[#This Row],[Horas Planificadas]],0)</f>
        <v>#REF!</v>
      </c>
      <c r="W1162" s="44">
        <f>Planning[[#This Row],[Horas Planificadas]]+Planning[[#This Row],[Horas ajustadas adicionales]]</f>
        <v>36</v>
      </c>
      <c r="X1162" s="142"/>
    </row>
    <row r="1163" spans="1:24" ht="12.75" customHeight="1" x14ac:dyDescent="0.2">
      <c r="A1163" s="7" t="s">
        <v>294</v>
      </c>
      <c r="B1163" s="7" t="s">
        <v>178</v>
      </c>
      <c r="C1163" s="3"/>
      <c r="D1163" s="3" t="s">
        <v>314</v>
      </c>
      <c r="E1163" s="33" t="s">
        <v>28</v>
      </c>
      <c r="F1163" s="33"/>
      <c r="G1163" s="7">
        <v>45</v>
      </c>
      <c r="H1163" s="24">
        <v>45</v>
      </c>
      <c r="I1163" s="14"/>
      <c r="J1163" s="14" t="e">
        <f>SUM(J1164:J1165)</f>
        <v>#REF!</v>
      </c>
      <c r="K1163" s="18" t="e">
        <f>SUM(K1164:K1165)</f>
        <v>#REF!</v>
      </c>
      <c r="L1163" s="15">
        <f>SUM(L1164:L1165)</f>
        <v>0</v>
      </c>
      <c r="M1163" s="28" t="e">
        <f>SUM(M1164:M1165)</f>
        <v>#REF!</v>
      </c>
      <c r="N1163" s="61" t="e">
        <f>+SUMIFS(#REF!,#REF!,Planning[[#This Row],[Proyectos]],#REF!,Planning[[#This Row],[Tipo de Tarea y especialidad]])</f>
        <v>#REF!</v>
      </c>
      <c r="O1163" s="28">
        <f t="shared" si="36"/>
        <v>10</v>
      </c>
      <c r="P1163" s="28">
        <f t="shared" si="37"/>
        <v>2024</v>
      </c>
      <c r="Q1163" s="28" t="e">
        <f>SUM(Q1164:Q1165)</f>
        <v>#REF!</v>
      </c>
      <c r="R1163" s="28" t="str">
        <f>TEXT(Planning[[#This Row],[Mes]]*29,"mmmm")</f>
        <v>October</v>
      </c>
      <c r="S11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63" s="192" t="s">
        <v>315</v>
      </c>
      <c r="U1163" s="43" t="e">
        <f>IF(Planning[[#This Row],[Horas Planificadas]]&lt;&gt;0,+K1163/Planning[[#This Row],[Horas Planificadas]],0)</f>
        <v>#REF!</v>
      </c>
      <c r="V1163" s="43" t="e">
        <f>IF(Planning[[#This Row],[Horas Planificadas]]&lt;&gt;0,Planning[[#This Row],[Horas utilizadas]]/Planning[[#This Row],[Horas Planificadas]],0)</f>
        <v>#REF!</v>
      </c>
      <c r="W1163" s="44">
        <f>Planning[[#This Row],[Horas Planificadas]]+Planning[[#This Row],[Horas ajustadas adicionales]]</f>
        <v>45</v>
      </c>
      <c r="X1163" s="142"/>
    </row>
    <row r="1164" spans="1:24" ht="12.75" customHeight="1" x14ac:dyDescent="0.2">
      <c r="A1164" s="7" t="s">
        <v>294</v>
      </c>
      <c r="B1164" s="7" t="s">
        <v>178</v>
      </c>
      <c r="C1164" s="3"/>
      <c r="D1164" s="3" t="s">
        <v>314</v>
      </c>
      <c r="E1164" s="33"/>
      <c r="F1164" s="33" t="s">
        <v>120</v>
      </c>
      <c r="G1164" s="7"/>
      <c r="H1164" s="7"/>
      <c r="I1164" s="12"/>
      <c r="J1164" s="5" t="e">
        <f>SUM(SUMIFS(#REF!,#REF!,Planning[[#This Row],[Tipo de Tarea y especialidad]],#REF!,Planning[[#This Row],[Proyectos Reiwa]]),SUMIFS(#REF!,#REF!,Planning[[#This Row],[Tipo de Tarea y especialidad]],#REF!,Planning[[#This Row],[Proyectos]]))</f>
        <v>#REF!</v>
      </c>
      <c r="K1164" s="5" t="e">
        <f>Planning[[#This Row],[Horas Planificadas]]+Planning[[#This Row],[Horas ajustadas adicionales]]-Planning[[#This Row],[Horas utilizadas]]</f>
        <v>#REF!</v>
      </c>
      <c r="L1164" s="7"/>
      <c r="M1164" s="19" t="e">
        <f>Planning[[#This Row],[Saldo]]-Planning[[#This Row],[Saldo estimado]]</f>
        <v>#REF!</v>
      </c>
      <c r="N1164" s="60" t="e">
        <f>+SUMIFS(#REF!,#REF!,Planning[[#This Row],[Proyectos]],#REF!,Planning[[#This Row],[Tipo de Tarea y especialidad]])</f>
        <v>#REF!</v>
      </c>
      <c r="O1164" s="19">
        <f t="shared" si="36"/>
        <v>10</v>
      </c>
      <c r="P1164" s="19">
        <f t="shared" si="37"/>
        <v>2024</v>
      </c>
      <c r="Q11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64" s="19" t="str">
        <f>TEXT(Planning[[#This Row],[Mes]]*29,"mmmm")</f>
        <v>October</v>
      </c>
      <c r="S11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64" s="193"/>
      <c r="U1164" s="43">
        <f>IF(Planning[[#This Row],[Horas Planificadas]]&lt;&gt;0,+K1164/Planning[[#This Row],[Horas Planificadas]],0)</f>
        <v>0</v>
      </c>
      <c r="V1164" s="43">
        <f>IF(Planning[[#This Row],[Horas Planificadas]]&lt;&gt;0,Planning[[#This Row],[Horas utilizadas]]/Planning[[#This Row],[Horas Planificadas]],0)</f>
        <v>0</v>
      </c>
      <c r="W1164" s="44">
        <f>Planning[[#This Row],[Horas Planificadas]]+Planning[[#This Row],[Horas ajustadas adicionales]]</f>
        <v>0</v>
      </c>
      <c r="X1164" s="142"/>
    </row>
    <row r="1165" spans="1:24" ht="12.75" customHeight="1" x14ac:dyDescent="0.2">
      <c r="A1165" s="7" t="s">
        <v>294</v>
      </c>
      <c r="B1165" s="7" t="s">
        <v>178</v>
      </c>
      <c r="C1165" s="3"/>
      <c r="D1165" s="3" t="s">
        <v>314</v>
      </c>
      <c r="E1165" s="33"/>
      <c r="F1165" s="33" t="s">
        <v>121</v>
      </c>
      <c r="G1165" s="7"/>
      <c r="H1165" s="7">
        <v>36</v>
      </c>
      <c r="I1165" s="12"/>
      <c r="J1165" s="5" t="e">
        <f>SUM(SUMIFS(#REF!,#REF!,Planning[[#This Row],[Tipo de Tarea y especialidad]],#REF!,Planning[[#This Row],[Proyectos Reiwa]]),SUMIFS(#REF!,#REF!,Planning[[#This Row],[Tipo de Tarea y especialidad]],#REF!,Planning[[#This Row],[Proyectos]]))</f>
        <v>#REF!</v>
      </c>
      <c r="K1165" s="5" t="e">
        <f>Planning[[#This Row],[Horas Planificadas]]+Planning[[#This Row],[Horas ajustadas adicionales]]-Planning[[#This Row],[Horas utilizadas]]</f>
        <v>#REF!</v>
      </c>
      <c r="L1165" s="7">
        <v>0</v>
      </c>
      <c r="M1165" s="19" t="e">
        <f>Planning[[#This Row],[Saldo]]-Planning[[#This Row],[Saldo estimado]]</f>
        <v>#REF!</v>
      </c>
      <c r="N1165" s="60" t="e">
        <f>+SUMIFS(#REF!,#REF!,Planning[[#This Row],[Proyectos]],#REF!,Planning[[#This Row],[Tipo de Tarea y especialidad]])</f>
        <v>#REF!</v>
      </c>
      <c r="O1165" s="19">
        <f t="shared" si="36"/>
        <v>10</v>
      </c>
      <c r="P1165" s="19">
        <f t="shared" si="37"/>
        <v>2024</v>
      </c>
      <c r="Q11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65" s="19" t="str">
        <f>TEXT(Planning[[#This Row],[Mes]]*29,"mmmm")</f>
        <v>October</v>
      </c>
      <c r="S11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65" s="193"/>
      <c r="U1165" s="43" t="e">
        <f>IF(Planning[[#This Row],[Horas Planificadas]]&lt;&gt;0,+K1165/Planning[[#This Row],[Horas Planificadas]],0)</f>
        <v>#REF!</v>
      </c>
      <c r="V1165" s="43" t="e">
        <f>IF(Planning[[#This Row],[Horas Planificadas]]&lt;&gt;0,Planning[[#This Row],[Horas utilizadas]]/Planning[[#This Row],[Horas Planificadas]],0)</f>
        <v>#REF!</v>
      </c>
      <c r="W1165" s="44">
        <f>Planning[[#This Row],[Horas Planificadas]]+Planning[[#This Row],[Horas ajustadas adicionales]]</f>
        <v>36</v>
      </c>
      <c r="X1165" s="142"/>
    </row>
    <row r="1166" spans="1:24" ht="12.75" customHeight="1" x14ac:dyDescent="0.2">
      <c r="A1166" s="7" t="s">
        <v>294</v>
      </c>
      <c r="B1166" s="7" t="s">
        <v>178</v>
      </c>
      <c r="C1166" s="3"/>
      <c r="D1166" s="3" t="s">
        <v>314</v>
      </c>
      <c r="E1166" s="33" t="s">
        <v>30</v>
      </c>
      <c r="F1166" s="33"/>
      <c r="G1166" s="7">
        <v>171</v>
      </c>
      <c r="H1166" s="24">
        <f>SUM(H1167:H1173)</f>
        <v>360</v>
      </c>
      <c r="I1166" s="14"/>
      <c r="J1166" s="14" t="e">
        <f>SUM(J1167:J1173)</f>
        <v>#REF!</v>
      </c>
      <c r="K1166" s="18" t="e">
        <f>SUM(K1167:K1173)</f>
        <v>#REF!</v>
      </c>
      <c r="L1166" s="15">
        <f>SUM(L1167:L1173)</f>
        <v>0</v>
      </c>
      <c r="M1166" s="16" t="e">
        <f>SUM(M1167:M1173)</f>
        <v>#REF!</v>
      </c>
      <c r="N1166" s="60" t="e">
        <f>+SUMIFS(#REF!,#REF!,Planning[[#This Row],[Proyectos]],#REF!,Planning[[#This Row],[Tipo de Tarea y especialidad]])</f>
        <v>#REF!</v>
      </c>
      <c r="O1166" s="16">
        <f t="shared" si="36"/>
        <v>10</v>
      </c>
      <c r="P1166" s="16">
        <f t="shared" si="37"/>
        <v>2024</v>
      </c>
      <c r="Q1166" s="16" t="e">
        <f>SUM(Q1167:Q1173)</f>
        <v>#REF!</v>
      </c>
      <c r="R1166" s="16" t="str">
        <f>TEXT(Planning[[#This Row],[Mes]]*29,"mmmm")</f>
        <v>October</v>
      </c>
      <c r="S11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66" s="193"/>
      <c r="U1166" s="43" t="e">
        <f>IF(Planning[[#This Row],[Horas Planificadas]]&lt;&gt;0,+K1166/Planning[[#This Row],[Horas Planificadas]],0)</f>
        <v>#REF!</v>
      </c>
      <c r="V1166" s="43" t="e">
        <f>IF(Planning[[#This Row],[Horas Planificadas]]&lt;&gt;0,Planning[[#This Row],[Horas utilizadas]]/Planning[[#This Row],[Horas Planificadas]],0)</f>
        <v>#REF!</v>
      </c>
      <c r="W1166" s="44">
        <f>Planning[[#This Row],[Horas Planificadas]]+Planning[[#This Row],[Horas ajustadas adicionales]]</f>
        <v>360</v>
      </c>
      <c r="X1166" s="142"/>
    </row>
    <row r="1167" spans="1:24" ht="12.75" customHeight="1" x14ac:dyDescent="0.2">
      <c r="A1167" s="7" t="s">
        <v>294</v>
      </c>
      <c r="B1167" s="7" t="s">
        <v>178</v>
      </c>
      <c r="C1167" s="3"/>
      <c r="D1167" s="3" t="s">
        <v>314</v>
      </c>
      <c r="E1167" s="33"/>
      <c r="F1167" s="33" t="s">
        <v>122</v>
      </c>
      <c r="G1167" s="7"/>
      <c r="H1167" s="7"/>
      <c r="I1167" s="12"/>
      <c r="J1167" s="5" t="e">
        <f>SUM(SUMIFS(#REF!,#REF!,Planning[[#This Row],[Tipo de Tarea y especialidad]],#REF!,Planning[[#This Row],[Proyectos Reiwa]]),SUMIFS(#REF!,#REF!,Planning[[#This Row],[Tipo de Tarea y especialidad]],#REF!,Planning[[#This Row],[Proyectos]]))</f>
        <v>#REF!</v>
      </c>
      <c r="K1167" s="5" t="e">
        <f>Planning[[#This Row],[Horas Planificadas]]+Planning[[#This Row],[Horas ajustadas adicionales]]-Planning[[#This Row],[Horas utilizadas]]</f>
        <v>#REF!</v>
      </c>
      <c r="L1167" s="7"/>
      <c r="M1167" s="19" t="e">
        <f>Planning[[#This Row],[Saldo]]-Planning[[#This Row],[Saldo estimado]]</f>
        <v>#REF!</v>
      </c>
      <c r="N1167" s="60" t="e">
        <f>+SUMIFS(#REF!,#REF!,Planning[[#This Row],[Proyectos]],#REF!,Planning[[#This Row],[Tipo de Tarea y especialidad]])</f>
        <v>#REF!</v>
      </c>
      <c r="O1167" s="19">
        <f t="shared" si="36"/>
        <v>10</v>
      </c>
      <c r="P1167" s="19">
        <f t="shared" si="37"/>
        <v>2024</v>
      </c>
      <c r="Q11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67" s="19" t="str">
        <f>TEXT(Planning[[#This Row],[Mes]]*29,"mmmm")</f>
        <v>October</v>
      </c>
      <c r="S11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67" s="193"/>
      <c r="U1167" s="43">
        <f>IF(Planning[[#This Row],[Horas Planificadas]]&lt;&gt;0,+K1167/Planning[[#This Row],[Horas Planificadas]],0)</f>
        <v>0</v>
      </c>
      <c r="V1167" s="43">
        <f>IF(Planning[[#This Row],[Horas Planificadas]]&lt;&gt;0,Planning[[#This Row],[Horas utilizadas]]/Planning[[#This Row],[Horas Planificadas]],0)</f>
        <v>0</v>
      </c>
      <c r="W1167" s="44">
        <f>Planning[[#This Row],[Horas Planificadas]]+Planning[[#This Row],[Horas ajustadas adicionales]]</f>
        <v>0</v>
      </c>
      <c r="X1167" s="142"/>
    </row>
    <row r="1168" spans="1:24" ht="12.75" customHeight="1" x14ac:dyDescent="0.2">
      <c r="A1168" s="7" t="s">
        <v>294</v>
      </c>
      <c r="B1168" s="7" t="s">
        <v>178</v>
      </c>
      <c r="C1168" s="3"/>
      <c r="D1168" s="3" t="s">
        <v>314</v>
      </c>
      <c r="E1168" s="33"/>
      <c r="F1168" s="33" t="s">
        <v>123</v>
      </c>
      <c r="G1168" s="7"/>
      <c r="H1168" s="7">
        <v>351</v>
      </c>
      <c r="I1168" s="12"/>
      <c r="J1168" s="5" t="e">
        <f>SUM(SUMIFS(#REF!,#REF!,Planning[[#This Row],[Tipo de Tarea y especialidad]],#REF!,Planning[[#This Row],[Proyectos Reiwa]]),SUMIFS(#REF!,#REF!,Planning[[#This Row],[Tipo de Tarea y especialidad]],#REF!,Planning[[#This Row],[Proyectos]]))</f>
        <v>#REF!</v>
      </c>
      <c r="K1168" s="5" t="e">
        <f>Planning[[#This Row],[Horas Planificadas]]+Planning[[#This Row],[Horas ajustadas adicionales]]-Planning[[#This Row],[Horas utilizadas]]</f>
        <v>#REF!</v>
      </c>
      <c r="L1168" s="7">
        <v>0</v>
      </c>
      <c r="M1168" s="19" t="e">
        <f>Planning[[#This Row],[Saldo]]-Planning[[#This Row],[Saldo estimado]]</f>
        <v>#REF!</v>
      </c>
      <c r="N1168" s="60" t="e">
        <f>+SUMIFS(#REF!,#REF!,Planning[[#This Row],[Proyectos]],#REF!,Planning[[#This Row],[Tipo de Tarea y especialidad]])</f>
        <v>#REF!</v>
      </c>
      <c r="O1168" s="19">
        <f t="shared" si="36"/>
        <v>10</v>
      </c>
      <c r="P1168" s="19">
        <f t="shared" si="37"/>
        <v>2024</v>
      </c>
      <c r="Q11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68" s="19" t="str">
        <f>TEXT(Planning[[#This Row],[Mes]]*29,"mmmm")</f>
        <v>October</v>
      </c>
      <c r="S11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68" s="193"/>
      <c r="U1168" s="43" t="e">
        <f>IF(Planning[[#This Row],[Horas Planificadas]]&lt;&gt;0,+K1168/Planning[[#This Row],[Horas Planificadas]],0)</f>
        <v>#REF!</v>
      </c>
      <c r="V1168" s="43" t="e">
        <f>IF(Planning[[#This Row],[Horas Planificadas]]&lt;&gt;0,Planning[[#This Row],[Horas utilizadas]]/Planning[[#This Row],[Horas Planificadas]],0)</f>
        <v>#REF!</v>
      </c>
      <c r="W1168" s="44">
        <f>Planning[[#This Row],[Horas Planificadas]]+Planning[[#This Row],[Horas ajustadas adicionales]]</f>
        <v>351</v>
      </c>
      <c r="X1168" s="142"/>
    </row>
    <row r="1169" spans="1:24" ht="12.75" customHeight="1" x14ac:dyDescent="0.2">
      <c r="A1169" s="7" t="s">
        <v>294</v>
      </c>
      <c r="B1169" s="7" t="s">
        <v>178</v>
      </c>
      <c r="C1169" s="3"/>
      <c r="D1169" s="3" t="s">
        <v>314</v>
      </c>
      <c r="E1169" s="33"/>
      <c r="F1169" s="33" t="s">
        <v>124</v>
      </c>
      <c r="G1169" s="7"/>
      <c r="H1169" s="7"/>
      <c r="I1169" s="12"/>
      <c r="J1169" s="5" t="e">
        <f>SUM(SUMIFS(#REF!,#REF!,Planning[[#This Row],[Tipo de Tarea y especialidad]],#REF!,Planning[[#This Row],[Proyectos Reiwa]]),SUMIFS(#REF!,#REF!,Planning[[#This Row],[Tipo de Tarea y especialidad]],#REF!,Planning[[#This Row],[Proyectos]]))</f>
        <v>#REF!</v>
      </c>
      <c r="K1169" s="5" t="e">
        <f>Planning[[#This Row],[Horas Planificadas]]+Planning[[#This Row],[Horas ajustadas adicionales]]-Planning[[#This Row],[Horas utilizadas]]</f>
        <v>#REF!</v>
      </c>
      <c r="L1169" s="7"/>
      <c r="M1169" s="19" t="e">
        <f>Planning[[#This Row],[Saldo]]-Planning[[#This Row],[Saldo estimado]]</f>
        <v>#REF!</v>
      </c>
      <c r="N1169" s="60" t="e">
        <f>+SUMIFS(#REF!,#REF!,Planning[[#This Row],[Proyectos]],#REF!,Planning[[#This Row],[Tipo de Tarea y especialidad]])</f>
        <v>#REF!</v>
      </c>
      <c r="O1169" s="19">
        <f t="shared" si="36"/>
        <v>10</v>
      </c>
      <c r="P1169" s="19">
        <f t="shared" si="37"/>
        <v>2024</v>
      </c>
      <c r="Q11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69" s="19" t="str">
        <f>TEXT(Planning[[#This Row],[Mes]]*29,"mmmm")</f>
        <v>October</v>
      </c>
      <c r="S11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69" s="193"/>
      <c r="U1169" s="43">
        <f>IF(Planning[[#This Row],[Horas Planificadas]]&lt;&gt;0,+K1169/Planning[[#This Row],[Horas Planificadas]],0)</f>
        <v>0</v>
      </c>
      <c r="V1169" s="43">
        <f>IF(Planning[[#This Row],[Horas Planificadas]]&lt;&gt;0,Planning[[#This Row],[Horas utilizadas]]/Planning[[#This Row],[Horas Planificadas]],0)</f>
        <v>0</v>
      </c>
      <c r="W1169" s="44">
        <f>Planning[[#This Row],[Horas Planificadas]]+Planning[[#This Row],[Horas ajustadas adicionales]]</f>
        <v>0</v>
      </c>
      <c r="X1169" s="142"/>
    </row>
    <row r="1170" spans="1:24" ht="12.75" customHeight="1" x14ac:dyDescent="0.2">
      <c r="A1170" s="7" t="s">
        <v>294</v>
      </c>
      <c r="B1170" s="7" t="s">
        <v>178</v>
      </c>
      <c r="C1170" s="3"/>
      <c r="D1170" s="3" t="s">
        <v>314</v>
      </c>
      <c r="E1170" s="33"/>
      <c r="F1170" s="33" t="s">
        <v>125</v>
      </c>
      <c r="G1170" s="7"/>
      <c r="H1170" s="7">
        <v>9</v>
      </c>
      <c r="I1170" s="12"/>
      <c r="J1170" s="5" t="e">
        <f>SUM(SUMIFS(#REF!,#REF!,Planning[[#This Row],[Tipo de Tarea y especialidad]],#REF!,Planning[[#This Row],[Proyectos Reiwa]]),SUMIFS(#REF!,#REF!,Planning[[#This Row],[Tipo de Tarea y especialidad]],#REF!,Planning[[#This Row],[Proyectos]]))</f>
        <v>#REF!</v>
      </c>
      <c r="K1170" s="5" t="e">
        <f>Planning[[#This Row],[Horas Planificadas]]+Planning[[#This Row],[Horas ajustadas adicionales]]-Planning[[#This Row],[Horas utilizadas]]</f>
        <v>#REF!</v>
      </c>
      <c r="L1170" s="7">
        <v>0</v>
      </c>
      <c r="M1170" s="19" t="e">
        <f>Planning[[#This Row],[Saldo]]-Planning[[#This Row],[Saldo estimado]]</f>
        <v>#REF!</v>
      </c>
      <c r="N1170" s="60" t="e">
        <f>+SUMIFS(#REF!,#REF!,Planning[[#This Row],[Proyectos]],#REF!,Planning[[#This Row],[Tipo de Tarea y especialidad]])</f>
        <v>#REF!</v>
      </c>
      <c r="O1170" s="19">
        <f t="shared" si="36"/>
        <v>10</v>
      </c>
      <c r="P1170" s="19">
        <f t="shared" si="37"/>
        <v>2024</v>
      </c>
      <c r="Q11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70" s="19" t="str">
        <f>TEXT(Planning[[#This Row],[Mes]]*29,"mmmm")</f>
        <v>October</v>
      </c>
      <c r="S11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70" s="193"/>
      <c r="U1170" s="43" t="e">
        <f>IF(Planning[[#This Row],[Horas Planificadas]]&lt;&gt;0,+K1170/Planning[[#This Row],[Horas Planificadas]],0)</f>
        <v>#REF!</v>
      </c>
      <c r="V1170" s="43" t="e">
        <f>IF(Planning[[#This Row],[Horas Planificadas]]&lt;&gt;0,Planning[[#This Row],[Horas utilizadas]]/Planning[[#This Row],[Horas Planificadas]],0)</f>
        <v>#REF!</v>
      </c>
      <c r="W1170" s="44">
        <f>Planning[[#This Row],[Horas Planificadas]]+Planning[[#This Row],[Horas ajustadas adicionales]]</f>
        <v>9</v>
      </c>
      <c r="X1170" s="142"/>
    </row>
    <row r="1171" spans="1:24" ht="12.75" customHeight="1" x14ac:dyDescent="0.2">
      <c r="A1171" s="7" t="s">
        <v>294</v>
      </c>
      <c r="B1171" s="7" t="s">
        <v>178</v>
      </c>
      <c r="C1171" s="3"/>
      <c r="D1171" s="3" t="s">
        <v>314</v>
      </c>
      <c r="E1171" s="33"/>
      <c r="F1171" s="33" t="s">
        <v>126</v>
      </c>
      <c r="G1171" s="7"/>
      <c r="H1171" s="7"/>
      <c r="I1171" s="12"/>
      <c r="J1171" s="5" t="e">
        <f>SUM(SUMIFS(#REF!,#REF!,Planning[[#This Row],[Tipo de Tarea y especialidad]],#REF!,Planning[[#This Row],[Proyectos Reiwa]]),SUMIFS(#REF!,#REF!,Planning[[#This Row],[Tipo de Tarea y especialidad]],#REF!,Planning[[#This Row],[Proyectos]]))</f>
        <v>#REF!</v>
      </c>
      <c r="K1171" s="5" t="e">
        <f>Planning[[#This Row],[Horas Planificadas]]+Planning[[#This Row],[Horas ajustadas adicionales]]-Planning[[#This Row],[Horas utilizadas]]</f>
        <v>#REF!</v>
      </c>
      <c r="L1171" s="7"/>
      <c r="M1171" s="19" t="e">
        <f>Planning[[#This Row],[Saldo]]-Planning[[#This Row],[Saldo estimado]]</f>
        <v>#REF!</v>
      </c>
      <c r="N1171" s="60" t="e">
        <f>+SUMIFS(#REF!,#REF!,Planning[[#This Row],[Proyectos]],#REF!,Planning[[#This Row],[Tipo de Tarea y especialidad]])</f>
        <v>#REF!</v>
      </c>
      <c r="O1171" s="19">
        <f t="shared" si="36"/>
        <v>10</v>
      </c>
      <c r="P1171" s="19">
        <f t="shared" si="37"/>
        <v>2024</v>
      </c>
      <c r="Q11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71" s="19" t="str">
        <f>TEXT(Planning[[#This Row],[Mes]]*29,"mmmm")</f>
        <v>October</v>
      </c>
      <c r="S11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71" s="193"/>
      <c r="U1171" s="43">
        <f>IF(Planning[[#This Row],[Horas Planificadas]]&lt;&gt;0,+K1171/Planning[[#This Row],[Horas Planificadas]],0)</f>
        <v>0</v>
      </c>
      <c r="V1171" s="43">
        <f>IF(Planning[[#This Row],[Horas Planificadas]]&lt;&gt;0,Planning[[#This Row],[Horas utilizadas]]/Planning[[#This Row],[Horas Planificadas]],0)</f>
        <v>0</v>
      </c>
      <c r="W1171" s="44">
        <f>Planning[[#This Row],[Horas Planificadas]]+Planning[[#This Row],[Horas ajustadas adicionales]]</f>
        <v>0</v>
      </c>
      <c r="X1171" s="142"/>
    </row>
    <row r="1172" spans="1:24" ht="12.75" customHeight="1" x14ac:dyDescent="0.2">
      <c r="A1172" s="7" t="s">
        <v>294</v>
      </c>
      <c r="B1172" s="7" t="s">
        <v>178</v>
      </c>
      <c r="C1172" s="3"/>
      <c r="D1172" s="3" t="s">
        <v>314</v>
      </c>
      <c r="E1172" s="33"/>
      <c r="F1172" s="33" t="s">
        <v>127</v>
      </c>
      <c r="G1172" s="7"/>
      <c r="H1172" s="7"/>
      <c r="I1172" s="12"/>
      <c r="J1172" s="5" t="e">
        <f>SUM(SUMIFS(#REF!,#REF!,Planning[[#This Row],[Tipo de Tarea y especialidad]],#REF!,Planning[[#This Row],[Proyectos Reiwa]]),SUMIFS(#REF!,#REF!,Planning[[#This Row],[Tipo de Tarea y especialidad]],#REF!,Planning[[#This Row],[Proyectos]]))</f>
        <v>#REF!</v>
      </c>
      <c r="K1172" s="5" t="e">
        <f>Planning[[#This Row],[Horas Planificadas]]+Planning[[#This Row],[Horas ajustadas adicionales]]-Planning[[#This Row],[Horas utilizadas]]</f>
        <v>#REF!</v>
      </c>
      <c r="L1172" s="7"/>
      <c r="M1172" s="19" t="e">
        <f>Planning[[#This Row],[Saldo]]-Planning[[#This Row],[Saldo estimado]]</f>
        <v>#REF!</v>
      </c>
      <c r="N1172" s="60" t="e">
        <f>+SUMIFS(#REF!,#REF!,Planning[[#This Row],[Proyectos]],#REF!,Planning[[#This Row],[Tipo de Tarea y especialidad]])</f>
        <v>#REF!</v>
      </c>
      <c r="O1172" s="19">
        <f t="shared" si="36"/>
        <v>10</v>
      </c>
      <c r="P1172" s="19">
        <f t="shared" si="37"/>
        <v>2024</v>
      </c>
      <c r="Q11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72" s="19" t="str">
        <f>TEXT(Planning[[#This Row],[Mes]]*29,"mmmm")</f>
        <v>October</v>
      </c>
      <c r="S11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72" s="193"/>
      <c r="U1172" s="43">
        <f>IF(Planning[[#This Row],[Horas Planificadas]]&lt;&gt;0,+K1172/Planning[[#This Row],[Horas Planificadas]],0)</f>
        <v>0</v>
      </c>
      <c r="V1172" s="43">
        <f>IF(Planning[[#This Row],[Horas Planificadas]]&lt;&gt;0,Planning[[#This Row],[Horas utilizadas]]/Planning[[#This Row],[Horas Planificadas]],0)</f>
        <v>0</v>
      </c>
      <c r="W1172" s="44">
        <f>Planning[[#This Row],[Horas Planificadas]]+Planning[[#This Row],[Horas ajustadas adicionales]]</f>
        <v>0</v>
      </c>
      <c r="X1172" s="142"/>
    </row>
    <row r="1173" spans="1:24" ht="12.75" customHeight="1" x14ac:dyDescent="0.2">
      <c r="A1173" s="7" t="s">
        <v>294</v>
      </c>
      <c r="B1173" s="7" t="s">
        <v>178</v>
      </c>
      <c r="C1173" s="3"/>
      <c r="D1173" s="3" t="s">
        <v>314</v>
      </c>
      <c r="E1173" s="33"/>
      <c r="F1173" s="33" t="s">
        <v>128</v>
      </c>
      <c r="G1173" s="7"/>
      <c r="H1173" s="7"/>
      <c r="I1173" s="12"/>
      <c r="J1173" s="5" t="e">
        <f>SUM(SUMIFS(#REF!,#REF!,Planning[[#This Row],[Tipo de Tarea y especialidad]],#REF!,Planning[[#This Row],[Proyectos Reiwa]]),SUMIFS(#REF!,#REF!,Planning[[#This Row],[Tipo de Tarea y especialidad]],#REF!,Planning[[#This Row],[Proyectos]]))</f>
        <v>#REF!</v>
      </c>
      <c r="K1173" s="5" t="e">
        <f>Planning[[#This Row],[Horas Planificadas]]+Planning[[#This Row],[Horas ajustadas adicionales]]-Planning[[#This Row],[Horas utilizadas]]</f>
        <v>#REF!</v>
      </c>
      <c r="L1173" s="7"/>
      <c r="M1173" s="19" t="e">
        <f>Planning[[#This Row],[Saldo]]-Planning[[#This Row],[Saldo estimado]]</f>
        <v>#REF!</v>
      </c>
      <c r="N1173" s="60" t="e">
        <f>+SUMIFS(#REF!,#REF!,Planning[[#This Row],[Proyectos]],#REF!,Planning[[#This Row],[Tipo de Tarea y especialidad]])</f>
        <v>#REF!</v>
      </c>
      <c r="O1173" s="19">
        <f t="shared" si="36"/>
        <v>10</v>
      </c>
      <c r="P1173" s="19">
        <f t="shared" si="37"/>
        <v>2024</v>
      </c>
      <c r="Q11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73" s="19" t="str">
        <f>TEXT(Planning[[#This Row],[Mes]]*29,"mmmm")</f>
        <v>October</v>
      </c>
      <c r="S11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73" s="193"/>
      <c r="U1173" s="43">
        <f>IF(Planning[[#This Row],[Horas Planificadas]]&lt;&gt;0,+K1173/Planning[[#This Row],[Horas Planificadas]],0)</f>
        <v>0</v>
      </c>
      <c r="V1173" s="43">
        <f>IF(Planning[[#This Row],[Horas Planificadas]]&lt;&gt;0,Planning[[#This Row],[Horas utilizadas]]/Planning[[#This Row],[Horas Planificadas]],0)</f>
        <v>0</v>
      </c>
      <c r="W1173" s="44">
        <f>Planning[[#This Row],[Horas Planificadas]]+Planning[[#This Row],[Horas ajustadas adicionales]]</f>
        <v>0</v>
      </c>
      <c r="X1173" s="142"/>
    </row>
    <row r="1174" spans="1:24" ht="12.75" customHeight="1" x14ac:dyDescent="0.2">
      <c r="A1174" s="7" t="s">
        <v>294</v>
      </c>
      <c r="B1174" s="7" t="s">
        <v>178</v>
      </c>
      <c r="C1174" s="3"/>
      <c r="D1174" s="3" t="s">
        <v>314</v>
      </c>
      <c r="E1174" s="33" t="s">
        <v>31</v>
      </c>
      <c r="F1174" s="33" t="s">
        <v>31</v>
      </c>
      <c r="G1174" s="7">
        <v>72</v>
      </c>
      <c r="H1174" s="15">
        <v>72</v>
      </c>
      <c r="I1174" s="18"/>
      <c r="J1174" s="14" t="e">
        <f>+SUMIFS(#REF!,#REF!,Planning[[#This Row],[Tarifa]],#REF!,Planning[[#This Row],[Proyectos]])</f>
        <v>#REF!</v>
      </c>
      <c r="K1174" s="14" t="e">
        <f>Planning[[#This Row],[Horas Planificadas]]+Planning[[#This Row],[Horas ajustadas adicionales]]-Planning[[#This Row],[Horas utilizadas]]</f>
        <v>#REF!</v>
      </c>
      <c r="L1174" s="15">
        <v>0</v>
      </c>
      <c r="M1174" s="16" t="e">
        <f>Planning[[#This Row],[Saldo]]-Planning[[#This Row],[Saldo estimado]]</f>
        <v>#REF!</v>
      </c>
      <c r="N1174" s="60" t="e">
        <f>+SUMIFS(#REF!,#REF!,Planning[[#This Row],[Proyectos]],#REF!,Planning[[#This Row],[Tipo de Tarea y especialidad]])</f>
        <v>#REF!</v>
      </c>
      <c r="O1174" s="16">
        <f t="shared" si="36"/>
        <v>10</v>
      </c>
      <c r="P1174" s="16">
        <f t="shared" si="37"/>
        <v>2024</v>
      </c>
      <c r="Q1174" s="16" t="e">
        <f>+SUMIFS(#REF!,#REF!,Planning[[#This Row],[Tarifa]],#REF!,Planning[[#This Row],[Proyectos]],#REF!,Planning[[#This Row],[Mes]],#REF!,Planning[[#This Row],[Año]])</f>
        <v>#REF!</v>
      </c>
      <c r="R1174" s="16" t="str">
        <f>TEXT(Planning[[#This Row],[Mes]]*29,"mmmm")</f>
        <v>October</v>
      </c>
      <c r="S11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74" s="193"/>
      <c r="U1174" s="43" t="e">
        <f>IF(Planning[[#This Row],[Horas Planificadas]]&lt;&gt;0,+K1174/Planning[[#This Row],[Horas Planificadas]],0)</f>
        <v>#REF!</v>
      </c>
      <c r="V1174" s="43" t="e">
        <f>IF(Planning[[#This Row],[Horas Planificadas]]&lt;&gt;0,Planning[[#This Row],[Horas utilizadas]]/Planning[[#This Row],[Horas Planificadas]],0)</f>
        <v>#REF!</v>
      </c>
      <c r="W1174" s="44">
        <f>Planning[[#This Row],[Horas Planificadas]]+Planning[[#This Row],[Horas ajustadas adicionales]]</f>
        <v>72</v>
      </c>
      <c r="X1174" s="142"/>
    </row>
    <row r="1175" spans="1:24" ht="12.75" customHeight="1" x14ac:dyDescent="0.2">
      <c r="A1175" s="7" t="s">
        <v>294</v>
      </c>
      <c r="B1175" s="7" t="s">
        <v>178</v>
      </c>
      <c r="C1175" s="3"/>
      <c r="D1175" s="3" t="s">
        <v>314</v>
      </c>
      <c r="E1175" s="4" t="s">
        <v>32</v>
      </c>
      <c r="F1175" s="3"/>
      <c r="G1175" s="9">
        <v>90</v>
      </c>
      <c r="H1175" s="14">
        <f>SUM(H1176:H1178)</f>
        <v>70</v>
      </c>
      <c r="I1175" s="14"/>
      <c r="J1175" s="14" t="e">
        <f>SUM(J1176:J1178)</f>
        <v>#REF!</v>
      </c>
      <c r="K1175" s="15" t="e">
        <f>SUM(K1176:K1178)</f>
        <v>#REF!</v>
      </c>
      <c r="L1175" s="15">
        <f>SUM(L1176:L1178)</f>
        <v>0</v>
      </c>
      <c r="M1175" s="35" t="e">
        <f>SUM(M1176:M1178)</f>
        <v>#REF!</v>
      </c>
      <c r="N1175" s="62" t="e">
        <f>+SUMIFS(#REF!,#REF!,Planning[[#This Row],[Proyectos]],#REF!,Planning[[#This Row],[Tipo de Tarea y especialidad]])</f>
        <v>#REF!</v>
      </c>
      <c r="O1175" s="35">
        <f t="shared" si="36"/>
        <v>10</v>
      </c>
      <c r="P1175" s="35">
        <f t="shared" si="37"/>
        <v>2024</v>
      </c>
      <c r="Q1175" s="16" t="e">
        <f>SUM(Q1176:Q1178)</f>
        <v>#REF!</v>
      </c>
      <c r="R1175" s="16" t="str">
        <f>TEXT(Planning[[#This Row],[Mes]]*29,"mmmm")</f>
        <v>October</v>
      </c>
      <c r="S11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75" s="193"/>
      <c r="U1175" s="43" t="e">
        <f>IF(Planning[[#This Row],[Horas Planificadas]]&lt;&gt;0,+K1175/Planning[[#This Row],[Horas Planificadas]],0)</f>
        <v>#REF!</v>
      </c>
      <c r="V1175" s="43" t="e">
        <f>IF(Planning[[#This Row],[Horas Planificadas]]&lt;&gt;0,Planning[[#This Row],[Horas utilizadas]]/Planning[[#This Row],[Horas Planificadas]],0)</f>
        <v>#REF!</v>
      </c>
      <c r="W1175" s="44">
        <f>Planning[[#This Row],[Horas Planificadas]]+Planning[[#This Row],[Horas ajustadas adicionales]]</f>
        <v>70</v>
      </c>
      <c r="X1175" s="142"/>
    </row>
    <row r="1176" spans="1:24" ht="12.75" customHeight="1" x14ac:dyDescent="0.2">
      <c r="A1176" s="7" t="s">
        <v>294</v>
      </c>
      <c r="B1176" s="7" t="s">
        <v>178</v>
      </c>
      <c r="C1176" s="3"/>
      <c r="D1176" s="3" t="s">
        <v>314</v>
      </c>
      <c r="E1176" s="4"/>
      <c r="F1176" s="3" t="s">
        <v>129</v>
      </c>
      <c r="G1176" s="9"/>
      <c r="H1176" s="9"/>
      <c r="I1176" s="12"/>
      <c r="J1176" s="5" t="e">
        <f>SUM(SUMIFS(#REF!,#REF!,Planning[[#This Row],[Tipo de Tarea y especialidad]],#REF!,Planning[[#This Row],[Proyectos Reiwa]]),SUMIFS(#REF!,#REF!,Planning[[#This Row],[Tipo de Tarea y especialidad]],#REF!,Planning[[#This Row],[Proyectos]]))</f>
        <v>#REF!</v>
      </c>
      <c r="K1176" s="5" t="e">
        <f>Planning[[#This Row],[Horas Planificadas]]+Planning[[#This Row],[Horas ajustadas adicionales]]-Planning[[#This Row],[Horas utilizadas]]</f>
        <v>#REF!</v>
      </c>
      <c r="L1176" s="7"/>
      <c r="M1176" s="19" t="e">
        <f>Planning[[#This Row],[Saldo]]-Planning[[#This Row],[Saldo estimado]]</f>
        <v>#REF!</v>
      </c>
      <c r="N1176" s="60" t="e">
        <f>+SUMIFS(#REF!,#REF!,Planning[[#This Row],[Proyectos]],#REF!,Planning[[#This Row],[Tipo de Tarea y especialidad]])</f>
        <v>#REF!</v>
      </c>
      <c r="O1176" s="19">
        <f t="shared" si="36"/>
        <v>10</v>
      </c>
      <c r="P1176" s="19">
        <f t="shared" si="37"/>
        <v>2024</v>
      </c>
      <c r="Q11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76" s="19" t="str">
        <f>TEXT(Planning[[#This Row],[Mes]]*29,"mmmm")</f>
        <v>October</v>
      </c>
      <c r="S11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76" s="193"/>
      <c r="U1176" s="43">
        <f>IF(Planning[[#This Row],[Horas Planificadas]]&lt;&gt;0,+K1176/Planning[[#This Row],[Horas Planificadas]],0)</f>
        <v>0</v>
      </c>
      <c r="V1176" s="43">
        <f>IF(Planning[[#This Row],[Horas Planificadas]]&lt;&gt;0,Planning[[#This Row],[Horas utilizadas]]/Planning[[#This Row],[Horas Planificadas]],0)</f>
        <v>0</v>
      </c>
      <c r="W1176" s="44">
        <f>Planning[[#This Row],[Horas Planificadas]]+Planning[[#This Row],[Horas ajustadas adicionales]]</f>
        <v>0</v>
      </c>
      <c r="X1176" s="142"/>
    </row>
    <row r="1177" spans="1:24" ht="12.75" customHeight="1" x14ac:dyDescent="0.2">
      <c r="A1177" s="7" t="s">
        <v>294</v>
      </c>
      <c r="B1177" s="7" t="s">
        <v>178</v>
      </c>
      <c r="C1177" s="3"/>
      <c r="D1177" s="3" t="s">
        <v>314</v>
      </c>
      <c r="E1177" s="4"/>
      <c r="F1177" s="3" t="s">
        <v>130</v>
      </c>
      <c r="G1177" s="9"/>
      <c r="H1177" s="9">
        <v>70</v>
      </c>
      <c r="I1177" s="12"/>
      <c r="J1177" s="5" t="e">
        <f>SUM(SUMIFS(#REF!,#REF!,Planning[[#This Row],[Tipo de Tarea y especialidad]],#REF!,Planning[[#This Row],[Proyectos Reiwa]]),SUMIFS(#REF!,#REF!,Planning[[#This Row],[Tipo de Tarea y especialidad]],#REF!,Planning[[#This Row],[Proyectos]]))</f>
        <v>#REF!</v>
      </c>
      <c r="K1177" s="5" t="e">
        <f>Planning[[#This Row],[Horas Planificadas]]+Planning[[#This Row],[Horas ajustadas adicionales]]-Planning[[#This Row],[Horas utilizadas]]</f>
        <v>#REF!</v>
      </c>
      <c r="L1177" s="7">
        <v>0</v>
      </c>
      <c r="M1177" s="19" t="e">
        <f>Planning[[#This Row],[Saldo]]-Planning[[#This Row],[Saldo estimado]]</f>
        <v>#REF!</v>
      </c>
      <c r="N1177" s="60" t="e">
        <f>+SUMIFS(#REF!,#REF!,Planning[[#This Row],[Proyectos]],#REF!,Planning[[#This Row],[Tipo de Tarea y especialidad]])</f>
        <v>#REF!</v>
      </c>
      <c r="O1177" s="19">
        <f t="shared" si="36"/>
        <v>10</v>
      </c>
      <c r="P1177" s="19">
        <f t="shared" si="37"/>
        <v>2024</v>
      </c>
      <c r="Q11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77" s="19" t="str">
        <f>TEXT(Planning[[#This Row],[Mes]]*29,"mmmm")</f>
        <v>October</v>
      </c>
      <c r="S11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77" s="193"/>
      <c r="U1177" s="43" t="e">
        <f>IF(Planning[[#This Row],[Horas Planificadas]]&lt;&gt;0,+K1177/Planning[[#This Row],[Horas Planificadas]],0)</f>
        <v>#REF!</v>
      </c>
      <c r="V1177" s="43" t="e">
        <f>IF(Planning[[#This Row],[Horas Planificadas]]&lt;&gt;0,Planning[[#This Row],[Horas utilizadas]]/Planning[[#This Row],[Horas Planificadas]],0)</f>
        <v>#REF!</v>
      </c>
      <c r="W1177" s="44">
        <f>Planning[[#This Row],[Horas Planificadas]]+Planning[[#This Row],[Horas ajustadas adicionales]]</f>
        <v>70</v>
      </c>
      <c r="X1177" s="142"/>
    </row>
    <row r="1178" spans="1:24" ht="12.75" customHeight="1" x14ac:dyDescent="0.2">
      <c r="A1178" s="7" t="s">
        <v>294</v>
      </c>
      <c r="B1178" s="7" t="s">
        <v>178</v>
      </c>
      <c r="C1178" s="3"/>
      <c r="D1178" s="3" t="s">
        <v>314</v>
      </c>
      <c r="E1178" s="4"/>
      <c r="F1178" s="3" t="s">
        <v>131</v>
      </c>
      <c r="G1178" s="9"/>
      <c r="H1178" s="12"/>
      <c r="I1178" s="12"/>
      <c r="J1178" s="5" t="e">
        <f>SUM(SUMIFS(#REF!,#REF!,Planning[[#This Row],[Tipo de Tarea y especialidad]],#REF!,Planning[[#This Row],[Proyectos Reiwa]]),SUMIFS(#REF!,#REF!,Planning[[#This Row],[Tipo de Tarea y especialidad]],#REF!,Planning[[#This Row],[Proyectos]]))</f>
        <v>#REF!</v>
      </c>
      <c r="K1178" s="27" t="e">
        <f>Planning[[#This Row],[Horas Planificadas]]+Planning[[#This Row],[Horas ajustadas adicionales]]-Planning[[#This Row],[Horas utilizadas]]</f>
        <v>#REF!</v>
      </c>
      <c r="L1178" s="7"/>
      <c r="M1178" s="19" t="e">
        <f>Planning[[#This Row],[Saldo]]-Planning[[#This Row],[Saldo estimado]]</f>
        <v>#REF!</v>
      </c>
      <c r="N1178" s="60" t="e">
        <f>+SUMIFS(#REF!,#REF!,Planning[[#This Row],[Proyectos]],#REF!,Planning[[#This Row],[Tipo de Tarea y especialidad]])</f>
        <v>#REF!</v>
      </c>
      <c r="O1178" s="19">
        <f t="shared" si="36"/>
        <v>10</v>
      </c>
      <c r="P1178" s="19">
        <f t="shared" si="37"/>
        <v>2024</v>
      </c>
      <c r="Q11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78" s="19" t="str">
        <f>TEXT(Planning[[#This Row],[Mes]]*29,"mmmm")</f>
        <v>October</v>
      </c>
      <c r="S11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78" s="193"/>
      <c r="U1178" s="43">
        <f>IF(Planning[[#This Row],[Horas Planificadas]]&lt;&gt;0,+K1178/Planning[[#This Row],[Horas Planificadas]],0)</f>
        <v>0</v>
      </c>
      <c r="V1178" s="43">
        <f>IF(Planning[[#This Row],[Horas Planificadas]]&lt;&gt;0,Planning[[#This Row],[Horas utilizadas]]/Planning[[#This Row],[Horas Planificadas]],0)</f>
        <v>0</v>
      </c>
      <c r="W1178" s="44">
        <f>Planning[[#This Row],[Horas Planificadas]]+Planning[[#This Row],[Horas ajustadas adicionales]]</f>
        <v>0</v>
      </c>
      <c r="X1178" s="142"/>
    </row>
    <row r="1179" spans="1:24" ht="12.75" customHeight="1" x14ac:dyDescent="0.2">
      <c r="A1179" s="7"/>
      <c r="B1179" s="7"/>
      <c r="C1179" s="3"/>
      <c r="D1179" s="3" t="s">
        <v>316</v>
      </c>
      <c r="E1179" s="4" t="s">
        <v>28</v>
      </c>
      <c r="F1179" s="3"/>
      <c r="G1179" s="9"/>
      <c r="H1179" s="9">
        <v>0</v>
      </c>
      <c r="I1179" s="12"/>
      <c r="J1179" s="5" t="e">
        <f>+SUMIFS(#REF!,#REF!,Planning[[#This Row],[Tarifa]],#REF!,Planning[[#This Row],[Proyectos]])</f>
        <v>#REF!</v>
      </c>
      <c r="K1179" s="5" t="e">
        <f>Planning[[#This Row],[Horas Planificadas]]+Planning[[#This Row],[Horas ajustadas adicionales]]-Planning[[#This Row],[Horas utilizadas]]</f>
        <v>#REF!</v>
      </c>
      <c r="L1179" s="7"/>
      <c r="M1179" s="19" t="e">
        <f>Planning[[#This Row],[Saldo]]-Planning[[#This Row],[Saldo estimado]]</f>
        <v>#REF!</v>
      </c>
      <c r="N1179" s="60" t="e">
        <f>+SUMIFS(#REF!,#REF!,Planning[[#This Row],[Proyectos]],#REF!,Planning[[#This Row],[Tipo de Tarea y especialidad]])</f>
        <v>#REF!</v>
      </c>
      <c r="O1179" s="19">
        <f t="shared" si="36"/>
        <v>10</v>
      </c>
      <c r="P1179" s="19">
        <f t="shared" si="37"/>
        <v>2024</v>
      </c>
      <c r="Q1179" s="19" t="e">
        <f>+SUMIFS(#REF!,#REF!,Planning[[#This Row],[Tarifa]],#REF!,Planning[[#This Row],[Proyectos]],#REF!,Planning[[#This Row],[Mes]],#REF!,Planning[[#This Row],[Año]])</f>
        <v>#REF!</v>
      </c>
      <c r="R1179" s="19" t="str">
        <f>TEXT(Planning[[#This Row],[Mes]]*29,"mmmm")</f>
        <v>October</v>
      </c>
      <c r="S11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79" s="228"/>
      <c r="U1179" s="43">
        <f>IF(Planning[[#This Row],[Horas Planificadas]]&lt;&gt;0,+K1179/Planning[[#This Row],[Horas Planificadas]],0)</f>
        <v>0</v>
      </c>
      <c r="V1179" s="43">
        <f>IF(Planning[[#This Row],[Horas Planificadas]]&lt;&gt;0,Planning[[#This Row],[Horas utilizadas]]/Planning[[#This Row],[Horas Planificadas]],0)</f>
        <v>0</v>
      </c>
      <c r="W1179" s="44">
        <f>Planning[[#This Row],[Horas Planificadas]]+Planning[[#This Row],[Horas ajustadas adicionales]]</f>
        <v>0</v>
      </c>
      <c r="X1179" s="142"/>
    </row>
    <row r="1180" spans="1:24" ht="12.75" customHeight="1" x14ac:dyDescent="0.2">
      <c r="A1180" s="7"/>
      <c r="B1180" s="7"/>
      <c r="C1180" s="3"/>
      <c r="D1180" s="3" t="s">
        <v>316</v>
      </c>
      <c r="E1180" s="4" t="s">
        <v>30</v>
      </c>
      <c r="F1180" s="3"/>
      <c r="G1180" s="9"/>
      <c r="H1180" s="9">
        <v>135</v>
      </c>
      <c r="I1180" s="12"/>
      <c r="J1180" s="5" t="e">
        <f>+SUMIFS(#REF!,#REF!,Planning[[#This Row],[Tarifa]],#REF!,Planning[[#This Row],[Proyectos]])</f>
        <v>#REF!</v>
      </c>
      <c r="K1180" s="5" t="e">
        <f>Planning[[#This Row],[Horas Planificadas]]+Planning[[#This Row],[Horas ajustadas adicionales]]-Planning[[#This Row],[Horas utilizadas]]</f>
        <v>#REF!</v>
      </c>
      <c r="L1180" s="7"/>
      <c r="M1180" s="19" t="e">
        <f>Planning[[#This Row],[Saldo]]-Planning[[#This Row],[Saldo estimado]]</f>
        <v>#REF!</v>
      </c>
      <c r="N1180" s="60" t="e">
        <f>+SUMIFS(#REF!,#REF!,Planning[[#This Row],[Proyectos]],#REF!,Planning[[#This Row],[Tipo de Tarea y especialidad]])</f>
        <v>#REF!</v>
      </c>
      <c r="O1180" s="19">
        <f t="shared" si="36"/>
        <v>10</v>
      </c>
      <c r="P1180" s="19">
        <f t="shared" si="37"/>
        <v>2024</v>
      </c>
      <c r="Q1180" s="19" t="e">
        <f>+SUMIFS(#REF!,#REF!,Planning[[#This Row],[Tarifa]],#REF!,Planning[[#This Row],[Proyectos]],#REF!,Planning[[#This Row],[Mes]],#REF!,Planning[[#This Row],[Año]])</f>
        <v>#REF!</v>
      </c>
      <c r="R1180" s="19" t="str">
        <f>TEXT(Planning[[#This Row],[Mes]]*29,"mmmm")</f>
        <v>October</v>
      </c>
      <c r="S11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80" s="228"/>
      <c r="U1180" s="43" t="e">
        <f>IF(Planning[[#This Row],[Horas Planificadas]]&lt;&gt;0,+K1180/Planning[[#This Row],[Horas Planificadas]],0)</f>
        <v>#REF!</v>
      </c>
      <c r="V1180" s="43" t="e">
        <f>IF(Planning[[#This Row],[Horas Planificadas]]&lt;&gt;0,Planning[[#This Row],[Horas utilizadas]]/Planning[[#This Row],[Horas Planificadas]],0)</f>
        <v>#REF!</v>
      </c>
      <c r="W1180" s="44">
        <f>Planning[[#This Row],[Horas Planificadas]]+Planning[[#This Row],[Horas ajustadas adicionales]]</f>
        <v>135</v>
      </c>
      <c r="X1180" s="142"/>
    </row>
    <row r="1181" spans="1:24" ht="12.75" customHeight="1" x14ac:dyDescent="0.2">
      <c r="A1181" s="7"/>
      <c r="B1181" s="7"/>
      <c r="C1181" s="3"/>
      <c r="D1181" s="3" t="s">
        <v>316</v>
      </c>
      <c r="E1181" s="4" t="s">
        <v>31</v>
      </c>
      <c r="F1181" s="3"/>
      <c r="G1181" s="9"/>
      <c r="H1181" s="9">
        <v>100</v>
      </c>
      <c r="I1181" s="12"/>
      <c r="J1181" s="5" t="e">
        <f>+SUMIFS(#REF!,#REF!,Planning[[#This Row],[Tarifa]],#REF!,Planning[[#This Row],[Proyectos]])</f>
        <v>#REF!</v>
      </c>
      <c r="K1181" s="5" t="e">
        <f>Planning[[#This Row],[Horas Planificadas]]+Planning[[#This Row],[Horas ajustadas adicionales]]-Planning[[#This Row],[Horas utilizadas]]</f>
        <v>#REF!</v>
      </c>
      <c r="L1181" s="7"/>
      <c r="M1181" s="19" t="e">
        <f>Planning[[#This Row],[Saldo]]-Planning[[#This Row],[Saldo estimado]]</f>
        <v>#REF!</v>
      </c>
      <c r="N1181" s="60" t="e">
        <f>+SUMIFS(#REF!,#REF!,Planning[[#This Row],[Proyectos]],#REF!,Planning[[#This Row],[Tipo de Tarea y especialidad]])</f>
        <v>#REF!</v>
      </c>
      <c r="O1181" s="19">
        <f t="shared" si="36"/>
        <v>10</v>
      </c>
      <c r="P1181" s="19">
        <f t="shared" si="37"/>
        <v>2024</v>
      </c>
      <c r="Q1181" s="19" t="e">
        <f>+SUMIFS(#REF!,#REF!,Planning[[#This Row],[Tarifa]],#REF!,Planning[[#This Row],[Proyectos]],#REF!,Planning[[#This Row],[Mes]],#REF!,Planning[[#This Row],[Año]])</f>
        <v>#REF!</v>
      </c>
      <c r="R1181" s="19" t="str">
        <f>TEXT(Planning[[#This Row],[Mes]]*29,"mmmm")</f>
        <v>October</v>
      </c>
      <c r="S11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81" s="228"/>
      <c r="U1181" s="43" t="e">
        <f>IF(Planning[[#This Row],[Horas Planificadas]]&lt;&gt;0,+K1181/Planning[[#This Row],[Horas Planificadas]],0)</f>
        <v>#REF!</v>
      </c>
      <c r="V1181" s="43" t="e">
        <f>IF(Planning[[#This Row],[Horas Planificadas]]&lt;&gt;0,Planning[[#This Row],[Horas utilizadas]]/Planning[[#This Row],[Horas Planificadas]],0)</f>
        <v>#REF!</v>
      </c>
      <c r="W1181" s="44">
        <f>Planning[[#This Row],[Horas Planificadas]]+Planning[[#This Row],[Horas ajustadas adicionales]]</f>
        <v>100</v>
      </c>
      <c r="X1181" s="142"/>
    </row>
    <row r="1182" spans="1:24" ht="12.75" customHeight="1" x14ac:dyDescent="0.2">
      <c r="A1182" s="7"/>
      <c r="B1182" s="7"/>
      <c r="C1182" s="3"/>
      <c r="D1182" s="3" t="s">
        <v>316</v>
      </c>
      <c r="E1182" s="4" t="s">
        <v>32</v>
      </c>
      <c r="F1182" s="3"/>
      <c r="G1182" s="9"/>
      <c r="H1182" s="9">
        <v>387</v>
      </c>
      <c r="I1182" s="12"/>
      <c r="J1182" s="5" t="e">
        <f>+SUMIFS(#REF!,#REF!,Planning[[#This Row],[Tarifa]],#REF!,Planning[[#This Row],[Proyectos]])</f>
        <v>#REF!</v>
      </c>
      <c r="K1182" s="5" t="e">
        <f>Planning[[#This Row],[Horas Planificadas]]+Planning[[#This Row],[Horas ajustadas adicionales]]-Planning[[#This Row],[Horas utilizadas]]</f>
        <v>#REF!</v>
      </c>
      <c r="L1182" s="7"/>
      <c r="M1182" s="19" t="e">
        <f>Planning[[#This Row],[Saldo]]-Planning[[#This Row],[Saldo estimado]]</f>
        <v>#REF!</v>
      </c>
      <c r="N1182" s="60" t="e">
        <f>+SUMIFS(#REF!,#REF!,Planning[[#This Row],[Proyectos]],#REF!,Planning[[#This Row],[Tipo de Tarea y especialidad]])</f>
        <v>#REF!</v>
      </c>
      <c r="O1182" s="19">
        <f t="shared" si="36"/>
        <v>10</v>
      </c>
      <c r="P1182" s="19">
        <f t="shared" si="37"/>
        <v>2024</v>
      </c>
      <c r="Q1182" s="19" t="e">
        <f>+SUMIFS(#REF!,#REF!,Planning[[#This Row],[Tarifa]],#REF!,Planning[[#This Row],[Proyectos]],#REF!,Planning[[#This Row],[Mes]],#REF!,Planning[[#This Row],[Año]])</f>
        <v>#REF!</v>
      </c>
      <c r="R1182" s="19" t="str">
        <f>TEXT(Planning[[#This Row],[Mes]]*29,"mmmm")</f>
        <v>October</v>
      </c>
      <c r="S11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82" s="228"/>
      <c r="U1182" s="43" t="e">
        <f>IF(Planning[[#This Row],[Horas Planificadas]]&lt;&gt;0,+K1182/Planning[[#This Row],[Horas Planificadas]],0)</f>
        <v>#REF!</v>
      </c>
      <c r="V1182" s="43" t="e">
        <f>IF(Planning[[#This Row],[Horas Planificadas]]&lt;&gt;0,Planning[[#This Row],[Horas utilizadas]]/Planning[[#This Row],[Horas Planificadas]],0)</f>
        <v>#REF!</v>
      </c>
      <c r="W1182" s="44">
        <f>Planning[[#This Row],[Horas Planificadas]]+Planning[[#This Row],[Horas ajustadas adicionales]]</f>
        <v>387</v>
      </c>
      <c r="X1182" s="142"/>
    </row>
    <row r="1183" spans="1:24" ht="12.75" customHeight="1" x14ac:dyDescent="0.2">
      <c r="A1183" s="7"/>
      <c r="B1183" s="7"/>
      <c r="C1183" s="3"/>
      <c r="D1183" s="3" t="s">
        <v>317</v>
      </c>
      <c r="E1183" s="4" t="s">
        <v>28</v>
      </c>
      <c r="F1183" s="3"/>
      <c r="G1183" s="9"/>
      <c r="H1183" s="9">
        <v>0</v>
      </c>
      <c r="I1183" s="12"/>
      <c r="J1183" s="5" t="e">
        <f>+SUMIFS(#REF!,#REF!,Planning[[#This Row],[Tarifa]],#REF!,Planning[[#This Row],[Proyectos]])</f>
        <v>#REF!</v>
      </c>
      <c r="K1183" s="5" t="e">
        <f>Planning[[#This Row],[Horas Planificadas]]+Planning[[#This Row],[Horas ajustadas adicionales]]-Planning[[#This Row],[Horas utilizadas]]</f>
        <v>#REF!</v>
      </c>
      <c r="L1183" s="7"/>
      <c r="M1183" s="19" t="e">
        <f>Planning[[#This Row],[Saldo]]-Planning[[#This Row],[Saldo estimado]]</f>
        <v>#REF!</v>
      </c>
      <c r="N1183" s="60" t="e">
        <f>+SUMIFS(#REF!,#REF!,Planning[[#This Row],[Proyectos]],#REF!,Planning[[#This Row],[Tipo de Tarea y especialidad]])</f>
        <v>#REF!</v>
      </c>
      <c r="O1183" s="19">
        <f t="shared" si="36"/>
        <v>10</v>
      </c>
      <c r="P1183" s="19">
        <f t="shared" si="37"/>
        <v>2024</v>
      </c>
      <c r="Q1183" s="19" t="e">
        <f>+SUMIFS(#REF!,#REF!,Planning[[#This Row],[Tarifa]],#REF!,Planning[[#This Row],[Proyectos]],#REF!,Planning[[#This Row],[Mes]],#REF!,Planning[[#This Row],[Año]])</f>
        <v>#REF!</v>
      </c>
      <c r="R1183" s="19" t="str">
        <f>TEXT(Planning[[#This Row],[Mes]]*29,"mmmm")</f>
        <v>October</v>
      </c>
      <c r="S11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83" s="228"/>
      <c r="U1183" s="43">
        <f>IF(Planning[[#This Row],[Horas Planificadas]]&lt;&gt;0,+K1183/Planning[[#This Row],[Horas Planificadas]],0)</f>
        <v>0</v>
      </c>
      <c r="V1183" s="43">
        <f>IF(Planning[[#This Row],[Horas Planificadas]]&lt;&gt;0,Planning[[#This Row],[Horas utilizadas]]/Planning[[#This Row],[Horas Planificadas]],0)</f>
        <v>0</v>
      </c>
      <c r="W1183" s="44">
        <f>Planning[[#This Row],[Horas Planificadas]]+Planning[[#This Row],[Horas ajustadas adicionales]]</f>
        <v>0</v>
      </c>
      <c r="X1183" s="142"/>
    </row>
    <row r="1184" spans="1:24" ht="12.75" customHeight="1" x14ac:dyDescent="0.2">
      <c r="A1184" s="7"/>
      <c r="B1184" s="7"/>
      <c r="C1184" s="3"/>
      <c r="D1184" s="3" t="s">
        <v>317</v>
      </c>
      <c r="E1184" s="4" t="s">
        <v>30</v>
      </c>
      <c r="F1184" s="3"/>
      <c r="G1184" s="9"/>
      <c r="H1184" s="9">
        <v>315</v>
      </c>
      <c r="I1184" s="12"/>
      <c r="J1184" s="5" t="e">
        <f>+SUMIFS(#REF!,#REF!,Planning[[#This Row],[Tarifa]],#REF!,Planning[[#This Row],[Proyectos]])</f>
        <v>#REF!</v>
      </c>
      <c r="K1184" s="5" t="e">
        <f>Planning[[#This Row],[Horas Planificadas]]+Planning[[#This Row],[Horas ajustadas adicionales]]-Planning[[#This Row],[Horas utilizadas]]</f>
        <v>#REF!</v>
      </c>
      <c r="L1184" s="7"/>
      <c r="M1184" s="19" t="e">
        <f>Planning[[#This Row],[Saldo]]-Planning[[#This Row],[Saldo estimado]]</f>
        <v>#REF!</v>
      </c>
      <c r="N1184" s="60" t="e">
        <f>+SUMIFS(#REF!,#REF!,Planning[[#This Row],[Proyectos]],#REF!,Planning[[#This Row],[Tipo de Tarea y especialidad]])</f>
        <v>#REF!</v>
      </c>
      <c r="O1184" s="19">
        <f t="shared" si="36"/>
        <v>10</v>
      </c>
      <c r="P1184" s="19">
        <f t="shared" si="37"/>
        <v>2024</v>
      </c>
      <c r="Q1184" s="19" t="e">
        <f>+SUMIFS(#REF!,#REF!,Planning[[#This Row],[Tarifa]],#REF!,Planning[[#This Row],[Proyectos]],#REF!,Planning[[#This Row],[Mes]],#REF!,Planning[[#This Row],[Año]])</f>
        <v>#REF!</v>
      </c>
      <c r="R1184" s="19" t="str">
        <f>TEXT(Planning[[#This Row],[Mes]]*29,"mmmm")</f>
        <v>October</v>
      </c>
      <c r="S11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84" s="228"/>
      <c r="U1184" s="43" t="e">
        <f>IF(Planning[[#This Row],[Horas Planificadas]]&lt;&gt;0,+K1184/Planning[[#This Row],[Horas Planificadas]],0)</f>
        <v>#REF!</v>
      </c>
      <c r="V1184" s="43" t="e">
        <f>IF(Planning[[#This Row],[Horas Planificadas]]&lt;&gt;0,Planning[[#This Row],[Horas utilizadas]]/Planning[[#This Row],[Horas Planificadas]],0)</f>
        <v>#REF!</v>
      </c>
      <c r="W1184" s="44">
        <f>Planning[[#This Row],[Horas Planificadas]]+Planning[[#This Row],[Horas ajustadas adicionales]]</f>
        <v>315</v>
      </c>
      <c r="X1184" s="142"/>
    </row>
    <row r="1185" spans="1:24" ht="12.75" customHeight="1" x14ac:dyDescent="0.2">
      <c r="A1185" s="7"/>
      <c r="B1185" s="7"/>
      <c r="C1185" s="3"/>
      <c r="D1185" s="3" t="s">
        <v>317</v>
      </c>
      <c r="E1185" s="4" t="s">
        <v>31</v>
      </c>
      <c r="F1185" s="3"/>
      <c r="G1185" s="9"/>
      <c r="H1185" s="9">
        <v>160</v>
      </c>
      <c r="I1185" s="12"/>
      <c r="J1185" s="5" t="e">
        <f>+SUMIFS(#REF!,#REF!,Planning[[#This Row],[Tarifa]],#REF!,Planning[[#This Row],[Proyectos]])</f>
        <v>#REF!</v>
      </c>
      <c r="K1185" s="5" t="e">
        <f>Planning[[#This Row],[Horas Planificadas]]+Planning[[#This Row],[Horas ajustadas adicionales]]-Planning[[#This Row],[Horas utilizadas]]</f>
        <v>#REF!</v>
      </c>
      <c r="L1185" s="7"/>
      <c r="M1185" s="19" t="e">
        <f>Planning[[#This Row],[Saldo]]-Planning[[#This Row],[Saldo estimado]]</f>
        <v>#REF!</v>
      </c>
      <c r="N1185" s="60" t="e">
        <f>+SUMIFS(#REF!,#REF!,Planning[[#This Row],[Proyectos]],#REF!,Planning[[#This Row],[Tipo de Tarea y especialidad]])</f>
        <v>#REF!</v>
      </c>
      <c r="O1185" s="19">
        <f t="shared" si="36"/>
        <v>10</v>
      </c>
      <c r="P1185" s="19">
        <f t="shared" si="37"/>
        <v>2024</v>
      </c>
      <c r="Q1185" s="19" t="e">
        <f>+SUMIFS(#REF!,#REF!,Planning[[#This Row],[Tarifa]],#REF!,Planning[[#This Row],[Proyectos]],#REF!,Planning[[#This Row],[Mes]],#REF!,Planning[[#This Row],[Año]])</f>
        <v>#REF!</v>
      </c>
      <c r="R1185" s="19" t="str">
        <f>TEXT(Planning[[#This Row],[Mes]]*29,"mmmm")</f>
        <v>October</v>
      </c>
      <c r="S11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85" s="228"/>
      <c r="U1185" s="43" t="e">
        <f>IF(Planning[[#This Row],[Horas Planificadas]]&lt;&gt;0,+K1185/Planning[[#This Row],[Horas Planificadas]],0)</f>
        <v>#REF!</v>
      </c>
      <c r="V1185" s="43" t="e">
        <f>IF(Planning[[#This Row],[Horas Planificadas]]&lt;&gt;0,Planning[[#This Row],[Horas utilizadas]]/Planning[[#This Row],[Horas Planificadas]],0)</f>
        <v>#REF!</v>
      </c>
      <c r="W1185" s="44">
        <f>Planning[[#This Row],[Horas Planificadas]]+Planning[[#This Row],[Horas ajustadas adicionales]]</f>
        <v>160</v>
      </c>
      <c r="X1185" s="142"/>
    </row>
    <row r="1186" spans="1:24" ht="12.75" customHeight="1" x14ac:dyDescent="0.2">
      <c r="A1186" s="7"/>
      <c r="B1186" s="7"/>
      <c r="C1186" s="3"/>
      <c r="D1186" s="3" t="s">
        <v>317</v>
      </c>
      <c r="E1186" s="4" t="s">
        <v>32</v>
      </c>
      <c r="F1186" s="3"/>
      <c r="G1186" s="9"/>
      <c r="H1186" s="9">
        <v>702</v>
      </c>
      <c r="I1186" s="12"/>
      <c r="J1186" s="5" t="e">
        <f>+SUMIFS(#REF!,#REF!,Planning[[#This Row],[Tarifa]],#REF!,Planning[[#This Row],[Proyectos]])</f>
        <v>#REF!</v>
      </c>
      <c r="K1186" s="5" t="e">
        <f>Planning[[#This Row],[Horas Planificadas]]+Planning[[#This Row],[Horas ajustadas adicionales]]-Planning[[#This Row],[Horas utilizadas]]</f>
        <v>#REF!</v>
      </c>
      <c r="L1186" s="7"/>
      <c r="M1186" s="19" t="e">
        <f>Planning[[#This Row],[Saldo]]-Planning[[#This Row],[Saldo estimado]]</f>
        <v>#REF!</v>
      </c>
      <c r="N1186" s="60" t="e">
        <f>+SUMIFS(#REF!,#REF!,Planning[[#This Row],[Proyectos]],#REF!,Planning[[#This Row],[Tipo de Tarea y especialidad]])</f>
        <v>#REF!</v>
      </c>
      <c r="O1186" s="19">
        <f t="shared" si="36"/>
        <v>10</v>
      </c>
      <c r="P1186" s="19">
        <f t="shared" si="37"/>
        <v>2024</v>
      </c>
      <c r="Q1186" s="19" t="e">
        <f>+SUMIFS(#REF!,#REF!,Planning[[#This Row],[Tarifa]],#REF!,Planning[[#This Row],[Proyectos]],#REF!,Planning[[#This Row],[Mes]],#REF!,Planning[[#This Row],[Año]])</f>
        <v>#REF!</v>
      </c>
      <c r="R1186" s="19" t="str">
        <f>TEXT(Planning[[#This Row],[Mes]]*29,"mmmm")</f>
        <v>October</v>
      </c>
      <c r="S11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86" s="228"/>
      <c r="U1186" s="43" t="e">
        <f>IF(Planning[[#This Row],[Horas Planificadas]]&lt;&gt;0,+K1186/Planning[[#This Row],[Horas Planificadas]],0)</f>
        <v>#REF!</v>
      </c>
      <c r="V1186" s="43" t="e">
        <f>IF(Planning[[#This Row],[Horas Planificadas]]&lt;&gt;0,Planning[[#This Row],[Horas utilizadas]]/Planning[[#This Row],[Horas Planificadas]],0)</f>
        <v>#REF!</v>
      </c>
      <c r="W1186" s="44">
        <f>Planning[[#This Row],[Horas Planificadas]]+Planning[[#This Row],[Horas ajustadas adicionales]]</f>
        <v>702</v>
      </c>
      <c r="X1186" s="142"/>
    </row>
    <row r="1187" spans="1:24" ht="12.75" customHeight="1" x14ac:dyDescent="0.2">
      <c r="A1187" s="7"/>
      <c r="B1187" s="7"/>
      <c r="C1187" s="3"/>
      <c r="D1187" s="3" t="s">
        <v>318</v>
      </c>
      <c r="E1187" s="4" t="s">
        <v>28</v>
      </c>
      <c r="F1187" s="3"/>
      <c r="G1187" s="9"/>
      <c r="H1187" s="12">
        <v>0</v>
      </c>
      <c r="I1187" s="12"/>
      <c r="J1187" s="5" t="e">
        <f>+SUMIFS(#REF!,#REF!,Planning[[#This Row],[Tarifa]],#REF!,Planning[[#This Row],[Proyectos]])</f>
        <v>#REF!</v>
      </c>
      <c r="K1187" s="27" t="e">
        <f>Planning[[#This Row],[Horas Planificadas]]+Planning[[#This Row],[Horas ajustadas adicionales]]-Planning[[#This Row],[Horas utilizadas]]</f>
        <v>#REF!</v>
      </c>
      <c r="L1187" s="7"/>
      <c r="M1187" s="19" t="e">
        <f>Planning[[#This Row],[Saldo]]-Planning[[#This Row],[Saldo estimado]]</f>
        <v>#REF!</v>
      </c>
      <c r="N1187" s="60" t="e">
        <f>+SUMIFS(#REF!,#REF!,Planning[[#This Row],[Proyectos]],#REF!,Planning[[#This Row],[Tipo de Tarea y especialidad]])</f>
        <v>#REF!</v>
      </c>
      <c r="O1187" s="19">
        <f t="shared" si="36"/>
        <v>10</v>
      </c>
      <c r="P1187" s="19">
        <f t="shared" si="37"/>
        <v>2024</v>
      </c>
      <c r="Q1187" s="19" t="e">
        <f>+SUMIFS(#REF!,#REF!,Planning[[#This Row],[Tarifa]],#REF!,Planning[[#This Row],[Proyectos]],#REF!,Planning[[#This Row],[Mes]],#REF!,Planning[[#This Row],[Año]])</f>
        <v>#REF!</v>
      </c>
      <c r="R1187" s="19" t="str">
        <f>TEXT(Planning[[#This Row],[Mes]]*29,"mmmm")</f>
        <v>October</v>
      </c>
      <c r="S11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87" s="228"/>
      <c r="U1187" s="43">
        <f>IF(Planning[[#This Row],[Horas Planificadas]]&lt;&gt;0,+K1187/Planning[[#This Row],[Horas Planificadas]],0)</f>
        <v>0</v>
      </c>
      <c r="V1187" s="43">
        <f>IF(Planning[[#This Row],[Horas Planificadas]]&lt;&gt;0,Planning[[#This Row],[Horas utilizadas]]/Planning[[#This Row],[Horas Planificadas]],0)</f>
        <v>0</v>
      </c>
      <c r="W1187" s="44">
        <f>Planning[[#This Row],[Horas Planificadas]]+Planning[[#This Row],[Horas ajustadas adicionales]]</f>
        <v>0</v>
      </c>
      <c r="X1187" s="142"/>
    </row>
    <row r="1188" spans="1:24" ht="12.75" customHeight="1" x14ac:dyDescent="0.2">
      <c r="A1188" s="7"/>
      <c r="B1188" s="7"/>
      <c r="C1188" s="3"/>
      <c r="D1188" s="3" t="s">
        <v>318</v>
      </c>
      <c r="E1188" s="4" t="s">
        <v>30</v>
      </c>
      <c r="F1188" s="3"/>
      <c r="G1188" s="9"/>
      <c r="H1188" s="9">
        <v>27</v>
      </c>
      <c r="I1188" s="12"/>
      <c r="J1188" s="5" t="e">
        <f>+SUMIFS(#REF!,#REF!,Planning[[#This Row],[Tarifa]],#REF!,Planning[[#This Row],[Proyectos]])</f>
        <v>#REF!</v>
      </c>
      <c r="K1188" s="5" t="e">
        <f>Planning[[#This Row],[Horas Planificadas]]+Planning[[#This Row],[Horas ajustadas adicionales]]-Planning[[#This Row],[Horas utilizadas]]</f>
        <v>#REF!</v>
      </c>
      <c r="L1188" s="7"/>
      <c r="M1188" s="19" t="e">
        <f>Planning[[#This Row],[Saldo]]-Planning[[#This Row],[Saldo estimado]]</f>
        <v>#REF!</v>
      </c>
      <c r="N1188" s="60" t="e">
        <f>+SUMIFS(#REF!,#REF!,Planning[[#This Row],[Proyectos]],#REF!,Planning[[#This Row],[Tipo de Tarea y especialidad]])</f>
        <v>#REF!</v>
      </c>
      <c r="O1188" s="19">
        <f t="shared" si="36"/>
        <v>10</v>
      </c>
      <c r="P1188" s="19">
        <f t="shared" si="37"/>
        <v>2024</v>
      </c>
      <c r="Q1188" s="19" t="e">
        <f>+SUMIFS(#REF!,#REF!,Planning[[#This Row],[Tarifa]],#REF!,Planning[[#This Row],[Proyectos]],#REF!,Planning[[#This Row],[Mes]],#REF!,Planning[[#This Row],[Año]])</f>
        <v>#REF!</v>
      </c>
      <c r="R1188" s="19" t="str">
        <f>TEXT(Planning[[#This Row],[Mes]]*29,"mmmm")</f>
        <v>October</v>
      </c>
      <c r="S11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88" s="228"/>
      <c r="U1188" s="43" t="e">
        <f>IF(Planning[[#This Row],[Horas Planificadas]]&lt;&gt;0,+K1188/Planning[[#This Row],[Horas Planificadas]],0)</f>
        <v>#REF!</v>
      </c>
      <c r="V1188" s="43" t="e">
        <f>IF(Planning[[#This Row],[Horas Planificadas]]&lt;&gt;0,Planning[[#This Row],[Horas utilizadas]]/Planning[[#This Row],[Horas Planificadas]],0)</f>
        <v>#REF!</v>
      </c>
      <c r="W1188" s="44">
        <f>Planning[[#This Row],[Horas Planificadas]]+Planning[[#This Row],[Horas ajustadas adicionales]]</f>
        <v>27</v>
      </c>
      <c r="X1188" s="142"/>
    </row>
    <row r="1189" spans="1:24" ht="12.75" customHeight="1" x14ac:dyDescent="0.2">
      <c r="A1189" s="7"/>
      <c r="B1189" s="7"/>
      <c r="C1189" s="3"/>
      <c r="D1189" s="3" t="s">
        <v>318</v>
      </c>
      <c r="E1189" s="4" t="s">
        <v>31</v>
      </c>
      <c r="F1189" s="3"/>
      <c r="G1189" s="9"/>
      <c r="H1189" s="9">
        <v>4</v>
      </c>
      <c r="I1189" s="12"/>
      <c r="J1189" s="5" t="e">
        <f>+SUMIFS(#REF!,#REF!,Planning[[#This Row],[Tarifa]],#REF!,Planning[[#This Row],[Proyectos]])</f>
        <v>#REF!</v>
      </c>
      <c r="K1189" s="5" t="e">
        <f>Planning[[#This Row],[Horas Planificadas]]+Planning[[#This Row],[Horas ajustadas adicionales]]-Planning[[#This Row],[Horas utilizadas]]</f>
        <v>#REF!</v>
      </c>
      <c r="L1189" s="7"/>
      <c r="M1189" s="19" t="e">
        <f>Planning[[#This Row],[Saldo]]-Planning[[#This Row],[Saldo estimado]]</f>
        <v>#REF!</v>
      </c>
      <c r="N1189" s="60" t="e">
        <f>+SUMIFS(#REF!,#REF!,Planning[[#This Row],[Proyectos]],#REF!,Planning[[#This Row],[Tipo de Tarea y especialidad]])</f>
        <v>#REF!</v>
      </c>
      <c r="O1189" s="19">
        <f t="shared" si="36"/>
        <v>10</v>
      </c>
      <c r="P1189" s="19">
        <f t="shared" si="37"/>
        <v>2024</v>
      </c>
      <c r="Q1189" s="19" t="e">
        <f>+SUMIFS(#REF!,#REF!,Planning[[#This Row],[Tarifa]],#REF!,Planning[[#This Row],[Proyectos]],#REF!,Planning[[#This Row],[Mes]],#REF!,Planning[[#This Row],[Año]])</f>
        <v>#REF!</v>
      </c>
      <c r="R1189" s="19" t="str">
        <f>TEXT(Planning[[#This Row],[Mes]]*29,"mmmm")</f>
        <v>October</v>
      </c>
      <c r="S11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89" s="228"/>
      <c r="U1189" s="43" t="e">
        <f>IF(Planning[[#This Row],[Horas Planificadas]]&lt;&gt;0,+K1189/Planning[[#This Row],[Horas Planificadas]],0)</f>
        <v>#REF!</v>
      </c>
      <c r="V1189" s="43" t="e">
        <f>IF(Planning[[#This Row],[Horas Planificadas]]&lt;&gt;0,Planning[[#This Row],[Horas utilizadas]]/Planning[[#This Row],[Horas Planificadas]],0)</f>
        <v>#REF!</v>
      </c>
      <c r="W1189" s="44">
        <f>Planning[[#This Row],[Horas Planificadas]]+Planning[[#This Row],[Horas ajustadas adicionales]]</f>
        <v>4</v>
      </c>
      <c r="X1189" s="142"/>
    </row>
    <row r="1190" spans="1:24" ht="12.75" customHeight="1" x14ac:dyDescent="0.2">
      <c r="A1190" s="7"/>
      <c r="B1190" s="7"/>
      <c r="C1190" s="3"/>
      <c r="D1190" s="3" t="s">
        <v>318</v>
      </c>
      <c r="E1190" s="4" t="s">
        <v>32</v>
      </c>
      <c r="F1190" s="3"/>
      <c r="G1190" s="9"/>
      <c r="H1190" s="9">
        <v>54</v>
      </c>
      <c r="I1190" s="12"/>
      <c r="J1190" s="5" t="e">
        <f>+SUMIFS(#REF!,#REF!,Planning[[#This Row],[Tarifa]],#REF!,Planning[[#This Row],[Proyectos]])</f>
        <v>#REF!</v>
      </c>
      <c r="K1190" s="5" t="e">
        <f>Planning[[#This Row],[Horas Planificadas]]+Planning[[#This Row],[Horas ajustadas adicionales]]-Planning[[#This Row],[Horas utilizadas]]</f>
        <v>#REF!</v>
      </c>
      <c r="L1190" s="7"/>
      <c r="M1190" s="19" t="e">
        <f>Planning[[#This Row],[Saldo]]-Planning[[#This Row],[Saldo estimado]]</f>
        <v>#REF!</v>
      </c>
      <c r="N1190" s="60" t="e">
        <f>+SUMIFS(#REF!,#REF!,Planning[[#This Row],[Proyectos]],#REF!,Planning[[#This Row],[Tipo de Tarea y especialidad]])</f>
        <v>#REF!</v>
      </c>
      <c r="O1190" s="19">
        <f t="shared" si="36"/>
        <v>10</v>
      </c>
      <c r="P1190" s="19">
        <f t="shared" si="37"/>
        <v>2024</v>
      </c>
      <c r="Q1190" s="19" t="e">
        <f>+SUMIFS(#REF!,#REF!,Planning[[#This Row],[Tarifa]],#REF!,Planning[[#This Row],[Proyectos]],#REF!,Planning[[#This Row],[Mes]],#REF!,Planning[[#This Row],[Año]])</f>
        <v>#REF!</v>
      </c>
      <c r="R1190" s="19" t="str">
        <f>TEXT(Planning[[#This Row],[Mes]]*29,"mmmm")</f>
        <v>October</v>
      </c>
      <c r="S11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90" s="228"/>
      <c r="U1190" s="43" t="e">
        <f>IF(Planning[[#This Row],[Horas Planificadas]]&lt;&gt;0,+K1190/Planning[[#This Row],[Horas Planificadas]],0)</f>
        <v>#REF!</v>
      </c>
      <c r="V1190" s="43" t="e">
        <f>IF(Planning[[#This Row],[Horas Planificadas]]&lt;&gt;0,Planning[[#This Row],[Horas utilizadas]]/Planning[[#This Row],[Horas Planificadas]],0)</f>
        <v>#REF!</v>
      </c>
      <c r="W1190" s="44">
        <f>Planning[[#This Row],[Horas Planificadas]]+Planning[[#This Row],[Horas ajustadas adicionales]]</f>
        <v>54</v>
      </c>
      <c r="X1190" s="142"/>
    </row>
    <row r="1191" spans="1:24" ht="12.75" customHeight="1" x14ac:dyDescent="0.2">
      <c r="A1191" s="7" t="s">
        <v>117</v>
      </c>
      <c r="B1191" s="7" t="s">
        <v>118</v>
      </c>
      <c r="C1191" s="3"/>
      <c r="D1191" s="3" t="s">
        <v>319</v>
      </c>
      <c r="E1191" s="33" t="s">
        <v>28</v>
      </c>
      <c r="F1191" s="33"/>
      <c r="G1191" s="7">
        <v>902</v>
      </c>
      <c r="H1191" s="24">
        <f>SUM(H1192:H1193)</f>
        <v>1145</v>
      </c>
      <c r="I1191" s="14"/>
      <c r="J1191" s="14" t="e">
        <f>SUM(J1192:J1193)</f>
        <v>#REF!</v>
      </c>
      <c r="K1191" s="18" t="e">
        <f>SUM(K1192:K1193)</f>
        <v>#REF!</v>
      </c>
      <c r="L1191" s="15">
        <f>SUM(L1192:L1193)</f>
        <v>9</v>
      </c>
      <c r="M1191" s="28" t="e">
        <f>SUM(M1192:M1193)</f>
        <v>#REF!</v>
      </c>
      <c r="N1191" s="61" t="e">
        <f>+SUMIFS(#REF!,#REF!,Planning[[#This Row],[Proyectos]],#REF!,Planning[[#This Row],[Tipo de Tarea y especialidad]])</f>
        <v>#REF!</v>
      </c>
      <c r="O1191" s="28">
        <f t="shared" si="36"/>
        <v>10</v>
      </c>
      <c r="P1191" s="28">
        <f t="shared" si="37"/>
        <v>2024</v>
      </c>
      <c r="Q1191" s="28" t="e">
        <f>SUM(Q1192:Q1193)</f>
        <v>#REF!</v>
      </c>
      <c r="R1191" s="28" t="str">
        <f>TEXT(Planning[[#This Row],[Mes]]*29,"mmmm")</f>
        <v>October</v>
      </c>
      <c r="S11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91" s="192" t="s">
        <v>320</v>
      </c>
      <c r="U1191" s="43" t="e">
        <f>IF(Planning[[#This Row],[Horas Planificadas]]&lt;&gt;0,+K1191/Planning[[#This Row],[Horas Planificadas]],0)</f>
        <v>#REF!</v>
      </c>
      <c r="V1191" s="43" t="e">
        <f>IF(Planning[[#This Row],[Horas Planificadas]]&lt;&gt;0,Planning[[#This Row],[Horas utilizadas]]/Planning[[#This Row],[Horas Planificadas]],0)</f>
        <v>#REF!</v>
      </c>
      <c r="W1191" s="44">
        <f>Planning[[#This Row],[Horas Planificadas]]+Planning[[#This Row],[Horas ajustadas adicionales]]</f>
        <v>1145</v>
      </c>
      <c r="X1191" s="142"/>
    </row>
    <row r="1192" spans="1:24" ht="12.75" customHeight="1" x14ac:dyDescent="0.2">
      <c r="A1192" s="7" t="s">
        <v>117</v>
      </c>
      <c r="B1192" s="7" t="s">
        <v>118</v>
      </c>
      <c r="C1192" s="3"/>
      <c r="D1192" s="3" t="s">
        <v>319</v>
      </c>
      <c r="E1192" s="33"/>
      <c r="F1192" s="33" t="s">
        <v>120</v>
      </c>
      <c r="G1192" s="7"/>
      <c r="H1192" s="7">
        <v>725</v>
      </c>
      <c r="I1192" s="12"/>
      <c r="J1192" s="5" t="e">
        <f>SUM(SUMIFS(#REF!,#REF!,Planning[[#This Row],[Tipo de Tarea y especialidad]],#REF!,Planning[[#This Row],[Proyectos Reiwa]]),SUMIFS(#REF!,#REF!,Planning[[#This Row],[Tipo de Tarea y especialidad]],#REF!,Planning[[#This Row],[Proyectos]]))</f>
        <v>#REF!</v>
      </c>
      <c r="K1192" s="5" t="e">
        <f>Planning[[#This Row],[Horas Planificadas]]+Planning[[#This Row],[Horas ajustadas adicionales]]-Planning[[#This Row],[Horas utilizadas]]</f>
        <v>#REF!</v>
      </c>
      <c r="L1192" s="7">
        <v>0</v>
      </c>
      <c r="M1192" s="19" t="e">
        <f>Planning[[#This Row],[Saldo]]-Planning[[#This Row],[Saldo estimado]]</f>
        <v>#REF!</v>
      </c>
      <c r="N1192" s="60" t="e">
        <f>+SUMIFS(#REF!,#REF!,Planning[[#This Row],[Proyectos]],#REF!,Planning[[#This Row],[Tipo de Tarea y especialidad]])</f>
        <v>#REF!</v>
      </c>
      <c r="O1192" s="19">
        <f t="shared" si="36"/>
        <v>10</v>
      </c>
      <c r="P1192" s="19">
        <f t="shared" si="37"/>
        <v>2024</v>
      </c>
      <c r="Q11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92" s="19" t="str">
        <f>TEXT(Planning[[#This Row],[Mes]]*29,"mmmm")</f>
        <v>October</v>
      </c>
      <c r="S11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92" s="193"/>
      <c r="U1192" s="43" t="e">
        <f>IF(Planning[[#This Row],[Horas Planificadas]]&lt;&gt;0,+K1192/Planning[[#This Row],[Horas Planificadas]],0)</f>
        <v>#REF!</v>
      </c>
      <c r="V1192" s="43" t="e">
        <f>IF(Planning[[#This Row],[Horas Planificadas]]&lt;&gt;0,Planning[[#This Row],[Horas utilizadas]]/Planning[[#This Row],[Horas Planificadas]],0)</f>
        <v>#REF!</v>
      </c>
      <c r="W1192" s="44">
        <f>Planning[[#This Row],[Horas Planificadas]]+Planning[[#This Row],[Horas ajustadas adicionales]]</f>
        <v>725</v>
      </c>
      <c r="X1192" s="142"/>
    </row>
    <row r="1193" spans="1:24" ht="12.75" customHeight="1" x14ac:dyDescent="0.2">
      <c r="A1193" s="7" t="s">
        <v>117</v>
      </c>
      <c r="B1193" s="7" t="s">
        <v>118</v>
      </c>
      <c r="C1193" s="3"/>
      <c r="D1193" s="3" t="s">
        <v>319</v>
      </c>
      <c r="E1193" s="33"/>
      <c r="F1193" s="33" t="s">
        <v>121</v>
      </c>
      <c r="G1193" s="7"/>
      <c r="H1193" s="7">
        <v>420</v>
      </c>
      <c r="I1193" s="12"/>
      <c r="J1193" s="5" t="e">
        <f>SUM(SUMIFS(#REF!,#REF!,Planning[[#This Row],[Tipo de Tarea y especialidad]],#REF!,Planning[[#This Row],[Proyectos Reiwa]]),SUMIFS(#REF!,#REF!,Planning[[#This Row],[Tipo de Tarea y especialidad]],#REF!,Planning[[#This Row],[Proyectos]]))</f>
        <v>#REF!</v>
      </c>
      <c r="K1193" s="5" t="e">
        <f>Planning[[#This Row],[Horas Planificadas]]+Planning[[#This Row],[Horas ajustadas adicionales]]-Planning[[#This Row],[Horas utilizadas]]</f>
        <v>#REF!</v>
      </c>
      <c r="L1193" s="7">
        <v>9</v>
      </c>
      <c r="M1193" s="19" t="e">
        <f>Planning[[#This Row],[Saldo]]-Planning[[#This Row],[Saldo estimado]]</f>
        <v>#REF!</v>
      </c>
      <c r="N1193" s="60" t="e">
        <f>+SUMIFS(#REF!,#REF!,Planning[[#This Row],[Proyectos]],#REF!,Planning[[#This Row],[Tipo de Tarea y especialidad]])</f>
        <v>#REF!</v>
      </c>
      <c r="O1193" s="19">
        <f t="shared" si="36"/>
        <v>10</v>
      </c>
      <c r="P1193" s="19">
        <f t="shared" si="37"/>
        <v>2024</v>
      </c>
      <c r="Q11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93" s="19" t="str">
        <f>TEXT(Planning[[#This Row],[Mes]]*29,"mmmm")</f>
        <v>October</v>
      </c>
      <c r="S11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93" s="193"/>
      <c r="U1193" s="43" t="e">
        <f>IF(Planning[[#This Row],[Horas Planificadas]]&lt;&gt;0,+K1193/Planning[[#This Row],[Horas Planificadas]],0)</f>
        <v>#REF!</v>
      </c>
      <c r="V1193" s="43" t="e">
        <f>IF(Planning[[#This Row],[Horas Planificadas]]&lt;&gt;0,Planning[[#This Row],[Horas utilizadas]]/Planning[[#This Row],[Horas Planificadas]],0)</f>
        <v>#REF!</v>
      </c>
      <c r="W1193" s="44">
        <f>Planning[[#This Row],[Horas Planificadas]]+Planning[[#This Row],[Horas ajustadas adicionales]]</f>
        <v>420</v>
      </c>
      <c r="X1193" s="142"/>
    </row>
    <row r="1194" spans="1:24" ht="12.75" customHeight="1" x14ac:dyDescent="0.2">
      <c r="A1194" s="7" t="s">
        <v>117</v>
      </c>
      <c r="B1194" s="7" t="s">
        <v>118</v>
      </c>
      <c r="C1194" s="3"/>
      <c r="D1194" s="3" t="s">
        <v>319</v>
      </c>
      <c r="E1194" s="33" t="s">
        <v>30</v>
      </c>
      <c r="F1194" s="33"/>
      <c r="G1194" s="7">
        <v>469</v>
      </c>
      <c r="H1194" s="24">
        <f>SUM(H1195:H1201)</f>
        <v>519</v>
      </c>
      <c r="I1194" s="14"/>
      <c r="J1194" s="14" t="e">
        <f>SUM(J1195:J1201)</f>
        <v>#REF!</v>
      </c>
      <c r="K1194" s="18" t="e">
        <f>SUM(K1195:K1201)</f>
        <v>#REF!</v>
      </c>
      <c r="L1194" s="15">
        <f>SUM(L1195:L1201)</f>
        <v>9</v>
      </c>
      <c r="M1194" s="16" t="e">
        <f>SUM(M1195:M1201)</f>
        <v>#REF!</v>
      </c>
      <c r="N1194" s="60" t="e">
        <f>+SUMIFS(#REF!,#REF!,Planning[[#This Row],[Proyectos]],#REF!,Planning[[#This Row],[Tipo de Tarea y especialidad]])</f>
        <v>#REF!</v>
      </c>
      <c r="O1194" s="16">
        <f t="shared" si="36"/>
        <v>10</v>
      </c>
      <c r="P1194" s="16">
        <f t="shared" si="37"/>
        <v>2024</v>
      </c>
      <c r="Q1194" s="16" t="e">
        <f>SUM(Q1195:Q1201)</f>
        <v>#REF!</v>
      </c>
      <c r="R1194" s="16" t="str">
        <f>TEXT(Planning[[#This Row],[Mes]]*29,"mmmm")</f>
        <v>October</v>
      </c>
      <c r="S11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94" s="193"/>
      <c r="U1194" s="43" t="e">
        <f>IF(Planning[[#This Row],[Horas Planificadas]]&lt;&gt;0,+K1194/Planning[[#This Row],[Horas Planificadas]],0)</f>
        <v>#REF!</v>
      </c>
      <c r="V1194" s="43" t="e">
        <f>IF(Planning[[#This Row],[Horas Planificadas]]&lt;&gt;0,Planning[[#This Row],[Horas utilizadas]]/Planning[[#This Row],[Horas Planificadas]],0)</f>
        <v>#REF!</v>
      </c>
      <c r="W1194" s="44">
        <f>Planning[[#This Row],[Horas Planificadas]]+Planning[[#This Row],[Horas ajustadas adicionales]]</f>
        <v>519</v>
      </c>
      <c r="X1194" s="142"/>
    </row>
    <row r="1195" spans="1:24" ht="12.75" customHeight="1" x14ac:dyDescent="0.2">
      <c r="A1195" s="7" t="s">
        <v>117</v>
      </c>
      <c r="B1195" s="7" t="s">
        <v>118</v>
      </c>
      <c r="C1195" s="3"/>
      <c r="D1195" s="3" t="s">
        <v>319</v>
      </c>
      <c r="E1195" s="33"/>
      <c r="F1195" s="33" t="s">
        <v>122</v>
      </c>
      <c r="G1195" s="7"/>
      <c r="H1195" s="7">
        <v>519</v>
      </c>
      <c r="I1195" s="12"/>
      <c r="J1195" s="5" t="e">
        <f>SUM(SUMIFS(#REF!,#REF!,Planning[[#This Row],[Tipo de Tarea y especialidad]],#REF!,Planning[[#This Row],[Proyectos Reiwa]]),SUMIFS(#REF!,#REF!,Planning[[#This Row],[Tipo de Tarea y especialidad]],#REF!,Planning[[#This Row],[Proyectos]]))</f>
        <v>#REF!</v>
      </c>
      <c r="K1195" s="5" t="e">
        <f>Planning[[#This Row],[Horas Planificadas]]+Planning[[#This Row],[Horas ajustadas adicionales]]-Planning[[#This Row],[Horas utilizadas]]</f>
        <v>#REF!</v>
      </c>
      <c r="L1195" s="7">
        <v>0</v>
      </c>
      <c r="M1195" s="19" t="e">
        <f>Planning[[#This Row],[Saldo]]-Planning[[#This Row],[Saldo estimado]]</f>
        <v>#REF!</v>
      </c>
      <c r="N1195" s="60" t="e">
        <f>+SUMIFS(#REF!,#REF!,Planning[[#This Row],[Proyectos]],#REF!,Planning[[#This Row],[Tipo de Tarea y especialidad]])</f>
        <v>#REF!</v>
      </c>
      <c r="O1195" s="19">
        <f t="shared" si="36"/>
        <v>10</v>
      </c>
      <c r="P1195" s="19">
        <f t="shared" si="37"/>
        <v>2024</v>
      </c>
      <c r="Q11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95" s="19" t="str">
        <f>TEXT(Planning[[#This Row],[Mes]]*29,"mmmm")</f>
        <v>October</v>
      </c>
      <c r="S11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95" s="193"/>
      <c r="U1195" s="43" t="e">
        <f>IF(Planning[[#This Row],[Horas Planificadas]]&lt;&gt;0,+K1195/Planning[[#This Row],[Horas Planificadas]],0)</f>
        <v>#REF!</v>
      </c>
      <c r="V1195" s="43" t="e">
        <f>IF(Planning[[#This Row],[Horas Planificadas]]&lt;&gt;0,Planning[[#This Row],[Horas utilizadas]]/Planning[[#This Row],[Horas Planificadas]],0)</f>
        <v>#REF!</v>
      </c>
      <c r="W1195" s="44">
        <f>Planning[[#This Row],[Horas Planificadas]]+Planning[[#This Row],[Horas ajustadas adicionales]]</f>
        <v>519</v>
      </c>
      <c r="X1195" s="142"/>
    </row>
    <row r="1196" spans="1:24" ht="12.75" customHeight="1" x14ac:dyDescent="0.2">
      <c r="A1196" s="7" t="s">
        <v>117</v>
      </c>
      <c r="B1196" s="7" t="s">
        <v>118</v>
      </c>
      <c r="C1196" s="3"/>
      <c r="D1196" s="3" t="s">
        <v>319</v>
      </c>
      <c r="E1196" s="33"/>
      <c r="F1196" s="33" t="s">
        <v>123</v>
      </c>
      <c r="G1196" s="7"/>
      <c r="H1196" s="7"/>
      <c r="I1196" s="12"/>
      <c r="J1196" s="5" t="e">
        <f>SUM(SUMIFS(#REF!,#REF!,Planning[[#This Row],[Tipo de Tarea y especialidad]],#REF!,Planning[[#This Row],[Proyectos Reiwa]]),SUMIFS(#REF!,#REF!,Planning[[#This Row],[Tipo de Tarea y especialidad]],#REF!,Planning[[#This Row],[Proyectos]]))</f>
        <v>#REF!</v>
      </c>
      <c r="K1196" s="5" t="e">
        <f>Planning[[#This Row],[Horas Planificadas]]+Planning[[#This Row],[Horas ajustadas adicionales]]-Planning[[#This Row],[Horas utilizadas]]</f>
        <v>#REF!</v>
      </c>
      <c r="L1196" s="7">
        <v>0</v>
      </c>
      <c r="M1196" s="19" t="e">
        <f>Planning[[#This Row],[Saldo]]-Planning[[#This Row],[Saldo estimado]]</f>
        <v>#REF!</v>
      </c>
      <c r="N1196" s="60" t="e">
        <f>+SUMIFS(#REF!,#REF!,Planning[[#This Row],[Proyectos]],#REF!,Planning[[#This Row],[Tipo de Tarea y especialidad]])</f>
        <v>#REF!</v>
      </c>
      <c r="O1196" s="19">
        <f t="shared" si="36"/>
        <v>10</v>
      </c>
      <c r="P1196" s="19">
        <f t="shared" si="37"/>
        <v>2024</v>
      </c>
      <c r="Q11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96" s="19" t="str">
        <f>TEXT(Planning[[#This Row],[Mes]]*29,"mmmm")</f>
        <v>October</v>
      </c>
      <c r="S11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96" s="193"/>
      <c r="U1196" s="43">
        <f>IF(Planning[[#This Row],[Horas Planificadas]]&lt;&gt;0,+K1196/Planning[[#This Row],[Horas Planificadas]],0)</f>
        <v>0</v>
      </c>
      <c r="V1196" s="43">
        <f>IF(Planning[[#This Row],[Horas Planificadas]]&lt;&gt;0,Planning[[#This Row],[Horas utilizadas]]/Planning[[#This Row],[Horas Planificadas]],0)</f>
        <v>0</v>
      </c>
      <c r="W1196" s="44">
        <f>Planning[[#This Row],[Horas Planificadas]]+Planning[[#This Row],[Horas ajustadas adicionales]]</f>
        <v>0</v>
      </c>
      <c r="X1196" s="142"/>
    </row>
    <row r="1197" spans="1:24" ht="12.75" customHeight="1" x14ac:dyDescent="0.2">
      <c r="A1197" s="7" t="s">
        <v>117</v>
      </c>
      <c r="B1197" s="7" t="s">
        <v>118</v>
      </c>
      <c r="C1197" s="3"/>
      <c r="D1197" s="3" t="s">
        <v>319</v>
      </c>
      <c r="E1197" s="33"/>
      <c r="F1197" s="33" t="s">
        <v>124</v>
      </c>
      <c r="G1197" s="7"/>
      <c r="H1197" s="7"/>
      <c r="I1197" s="12"/>
      <c r="J1197" s="5" t="e">
        <f>SUM(SUMIFS(#REF!,#REF!,Planning[[#This Row],[Tipo de Tarea y especialidad]],#REF!,Planning[[#This Row],[Proyectos Reiwa]]),SUMIFS(#REF!,#REF!,Planning[[#This Row],[Tipo de Tarea y especialidad]],#REF!,Planning[[#This Row],[Proyectos]]))</f>
        <v>#REF!</v>
      </c>
      <c r="K1197" s="5" t="e">
        <f>Planning[[#This Row],[Horas Planificadas]]+Planning[[#This Row],[Horas ajustadas adicionales]]-Planning[[#This Row],[Horas utilizadas]]</f>
        <v>#REF!</v>
      </c>
      <c r="L1197" s="7"/>
      <c r="M1197" s="19" t="e">
        <f>Planning[[#This Row],[Saldo]]-Planning[[#This Row],[Saldo estimado]]</f>
        <v>#REF!</v>
      </c>
      <c r="N1197" s="60" t="e">
        <f>+SUMIFS(#REF!,#REF!,Planning[[#This Row],[Proyectos]],#REF!,Planning[[#This Row],[Tipo de Tarea y especialidad]])</f>
        <v>#REF!</v>
      </c>
      <c r="O1197" s="19">
        <f t="shared" si="36"/>
        <v>10</v>
      </c>
      <c r="P1197" s="19">
        <f t="shared" si="37"/>
        <v>2024</v>
      </c>
      <c r="Q11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97" s="19" t="str">
        <f>TEXT(Planning[[#This Row],[Mes]]*29,"mmmm")</f>
        <v>October</v>
      </c>
      <c r="S11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97" s="193"/>
      <c r="U1197" s="43">
        <f>IF(Planning[[#This Row],[Horas Planificadas]]&lt;&gt;0,+K1197/Planning[[#This Row],[Horas Planificadas]],0)</f>
        <v>0</v>
      </c>
      <c r="V1197" s="43">
        <f>IF(Planning[[#This Row],[Horas Planificadas]]&lt;&gt;0,Planning[[#This Row],[Horas utilizadas]]/Planning[[#This Row],[Horas Planificadas]],0)</f>
        <v>0</v>
      </c>
      <c r="W1197" s="44">
        <f>Planning[[#This Row],[Horas Planificadas]]+Planning[[#This Row],[Horas ajustadas adicionales]]</f>
        <v>0</v>
      </c>
      <c r="X1197" s="142"/>
    </row>
    <row r="1198" spans="1:24" ht="12.75" customHeight="1" x14ac:dyDescent="0.2">
      <c r="A1198" s="7" t="s">
        <v>117</v>
      </c>
      <c r="B1198" s="7" t="s">
        <v>118</v>
      </c>
      <c r="C1198" s="3"/>
      <c r="D1198" s="3" t="s">
        <v>319</v>
      </c>
      <c r="E1198" s="33"/>
      <c r="F1198" s="33" t="s">
        <v>125</v>
      </c>
      <c r="G1198" s="7"/>
      <c r="H1198" s="7"/>
      <c r="I1198" s="12"/>
      <c r="J1198" s="5" t="e">
        <f>SUM(SUMIFS(#REF!,#REF!,Planning[[#This Row],[Tipo de Tarea y especialidad]],#REF!,Planning[[#This Row],[Proyectos Reiwa]]),SUMIFS(#REF!,#REF!,Planning[[#This Row],[Tipo de Tarea y especialidad]],#REF!,Planning[[#This Row],[Proyectos]]))</f>
        <v>#REF!</v>
      </c>
      <c r="K1198" s="5" t="e">
        <f>Planning[[#This Row],[Horas Planificadas]]+Planning[[#This Row],[Horas ajustadas adicionales]]-Planning[[#This Row],[Horas utilizadas]]</f>
        <v>#REF!</v>
      </c>
      <c r="L1198" s="7">
        <v>9</v>
      </c>
      <c r="M1198" s="19" t="e">
        <f>Planning[[#This Row],[Saldo]]-Planning[[#This Row],[Saldo estimado]]</f>
        <v>#REF!</v>
      </c>
      <c r="N1198" s="60" t="e">
        <f>+SUMIFS(#REF!,#REF!,Planning[[#This Row],[Proyectos]],#REF!,Planning[[#This Row],[Tipo de Tarea y especialidad]])</f>
        <v>#REF!</v>
      </c>
      <c r="O1198" s="19">
        <f t="shared" si="36"/>
        <v>10</v>
      </c>
      <c r="P1198" s="19">
        <f t="shared" si="37"/>
        <v>2024</v>
      </c>
      <c r="Q11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98" s="19" t="str">
        <f>TEXT(Planning[[#This Row],[Mes]]*29,"mmmm")</f>
        <v>October</v>
      </c>
      <c r="S11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98" s="193"/>
      <c r="U1198" s="43">
        <f>IF(Planning[[#This Row],[Horas Planificadas]]&lt;&gt;0,+K1198/Planning[[#This Row],[Horas Planificadas]],0)</f>
        <v>0</v>
      </c>
      <c r="V1198" s="43">
        <f>IF(Planning[[#This Row],[Horas Planificadas]]&lt;&gt;0,Planning[[#This Row],[Horas utilizadas]]/Planning[[#This Row],[Horas Planificadas]],0)</f>
        <v>0</v>
      </c>
      <c r="W1198" s="44">
        <f>Planning[[#This Row],[Horas Planificadas]]+Planning[[#This Row],[Horas ajustadas adicionales]]</f>
        <v>0</v>
      </c>
      <c r="X1198" s="142"/>
    </row>
    <row r="1199" spans="1:24" ht="12.75" customHeight="1" x14ac:dyDescent="0.2">
      <c r="A1199" s="7" t="s">
        <v>117</v>
      </c>
      <c r="B1199" s="7" t="s">
        <v>118</v>
      </c>
      <c r="C1199" s="3"/>
      <c r="D1199" s="3" t="s">
        <v>319</v>
      </c>
      <c r="E1199" s="33"/>
      <c r="F1199" s="33" t="s">
        <v>126</v>
      </c>
      <c r="G1199" s="7"/>
      <c r="H1199" s="7"/>
      <c r="I1199" s="12"/>
      <c r="J1199" s="5" t="e">
        <f>SUM(SUMIFS(#REF!,#REF!,Planning[[#This Row],[Tipo de Tarea y especialidad]],#REF!,Planning[[#This Row],[Proyectos Reiwa]]),SUMIFS(#REF!,#REF!,Planning[[#This Row],[Tipo de Tarea y especialidad]],#REF!,Planning[[#This Row],[Proyectos]]))</f>
        <v>#REF!</v>
      </c>
      <c r="K1199" s="5" t="e">
        <f>Planning[[#This Row],[Horas Planificadas]]+Planning[[#This Row],[Horas ajustadas adicionales]]-Planning[[#This Row],[Horas utilizadas]]</f>
        <v>#REF!</v>
      </c>
      <c r="L1199" s="7"/>
      <c r="M1199" s="19" t="e">
        <f>Planning[[#This Row],[Saldo]]-Planning[[#This Row],[Saldo estimado]]</f>
        <v>#REF!</v>
      </c>
      <c r="N1199" s="60" t="e">
        <f>+SUMIFS(#REF!,#REF!,Planning[[#This Row],[Proyectos]],#REF!,Planning[[#This Row],[Tipo de Tarea y especialidad]])</f>
        <v>#REF!</v>
      </c>
      <c r="O1199" s="19">
        <f t="shared" si="36"/>
        <v>10</v>
      </c>
      <c r="P1199" s="19">
        <f t="shared" si="37"/>
        <v>2024</v>
      </c>
      <c r="Q11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199" s="19" t="str">
        <f>TEXT(Planning[[#This Row],[Mes]]*29,"mmmm")</f>
        <v>October</v>
      </c>
      <c r="S11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199" s="193"/>
      <c r="U1199" s="43">
        <f>IF(Planning[[#This Row],[Horas Planificadas]]&lt;&gt;0,+K1199/Planning[[#This Row],[Horas Planificadas]],0)</f>
        <v>0</v>
      </c>
      <c r="V1199" s="43">
        <f>IF(Planning[[#This Row],[Horas Planificadas]]&lt;&gt;0,Planning[[#This Row],[Horas utilizadas]]/Planning[[#This Row],[Horas Planificadas]],0)</f>
        <v>0</v>
      </c>
      <c r="W1199" s="44">
        <f>Planning[[#This Row],[Horas Planificadas]]+Planning[[#This Row],[Horas ajustadas adicionales]]</f>
        <v>0</v>
      </c>
      <c r="X1199" s="142"/>
    </row>
    <row r="1200" spans="1:24" ht="12.75" customHeight="1" x14ac:dyDescent="0.2">
      <c r="A1200" s="7" t="s">
        <v>117</v>
      </c>
      <c r="B1200" s="7" t="s">
        <v>118</v>
      </c>
      <c r="C1200" s="3"/>
      <c r="D1200" s="3" t="s">
        <v>319</v>
      </c>
      <c r="E1200" s="33"/>
      <c r="F1200" s="33" t="s">
        <v>127</v>
      </c>
      <c r="G1200" s="7"/>
      <c r="H1200" s="7"/>
      <c r="I1200" s="12"/>
      <c r="J1200" s="5" t="e">
        <f>SUM(SUMIFS(#REF!,#REF!,Planning[[#This Row],[Tipo de Tarea y especialidad]],#REF!,Planning[[#This Row],[Proyectos Reiwa]]),SUMIFS(#REF!,#REF!,Planning[[#This Row],[Tipo de Tarea y especialidad]],#REF!,Planning[[#This Row],[Proyectos]]))</f>
        <v>#REF!</v>
      </c>
      <c r="K1200" s="5" t="e">
        <f>Planning[[#This Row],[Horas Planificadas]]+Planning[[#This Row],[Horas ajustadas adicionales]]-Planning[[#This Row],[Horas utilizadas]]</f>
        <v>#REF!</v>
      </c>
      <c r="L1200" s="7"/>
      <c r="M1200" s="19" t="e">
        <f>Planning[[#This Row],[Saldo]]-Planning[[#This Row],[Saldo estimado]]</f>
        <v>#REF!</v>
      </c>
      <c r="N1200" s="60" t="e">
        <f>+SUMIFS(#REF!,#REF!,Planning[[#This Row],[Proyectos]],#REF!,Planning[[#This Row],[Tipo de Tarea y especialidad]])</f>
        <v>#REF!</v>
      </c>
      <c r="O1200" s="19">
        <f t="shared" si="36"/>
        <v>10</v>
      </c>
      <c r="P1200" s="19">
        <f t="shared" si="37"/>
        <v>2024</v>
      </c>
      <c r="Q12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00" s="19" t="str">
        <f>TEXT(Planning[[#This Row],[Mes]]*29,"mmmm")</f>
        <v>October</v>
      </c>
      <c r="S12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00" s="193"/>
      <c r="U1200" s="43">
        <f>IF(Planning[[#This Row],[Horas Planificadas]]&lt;&gt;0,+K1200/Planning[[#This Row],[Horas Planificadas]],0)</f>
        <v>0</v>
      </c>
      <c r="V1200" s="43">
        <f>IF(Planning[[#This Row],[Horas Planificadas]]&lt;&gt;0,Planning[[#This Row],[Horas utilizadas]]/Planning[[#This Row],[Horas Planificadas]],0)</f>
        <v>0</v>
      </c>
      <c r="W1200" s="44">
        <f>Planning[[#This Row],[Horas Planificadas]]+Planning[[#This Row],[Horas ajustadas adicionales]]</f>
        <v>0</v>
      </c>
      <c r="X1200" s="142"/>
    </row>
    <row r="1201" spans="1:24" ht="12.75" customHeight="1" x14ac:dyDescent="0.2">
      <c r="A1201" s="7" t="s">
        <v>117</v>
      </c>
      <c r="B1201" s="7" t="s">
        <v>118</v>
      </c>
      <c r="C1201" s="3"/>
      <c r="D1201" s="3" t="s">
        <v>319</v>
      </c>
      <c r="E1201" s="33"/>
      <c r="F1201" s="33" t="s">
        <v>128</v>
      </c>
      <c r="G1201" s="7"/>
      <c r="H1201" s="7"/>
      <c r="I1201" s="12"/>
      <c r="J1201" s="5" t="e">
        <f>SUM(SUMIFS(#REF!,#REF!,Planning[[#This Row],[Tipo de Tarea y especialidad]],#REF!,Planning[[#This Row],[Proyectos Reiwa]]),SUMIFS(#REF!,#REF!,Planning[[#This Row],[Tipo de Tarea y especialidad]],#REF!,Planning[[#This Row],[Proyectos]]))</f>
        <v>#REF!</v>
      </c>
      <c r="K1201" s="5" t="e">
        <f>Planning[[#This Row],[Horas Planificadas]]+Planning[[#This Row],[Horas ajustadas adicionales]]-Planning[[#This Row],[Horas utilizadas]]</f>
        <v>#REF!</v>
      </c>
      <c r="L1201" s="7"/>
      <c r="M1201" s="19" t="e">
        <f>Planning[[#This Row],[Saldo]]-Planning[[#This Row],[Saldo estimado]]</f>
        <v>#REF!</v>
      </c>
      <c r="N1201" s="60" t="e">
        <f>+SUMIFS(#REF!,#REF!,Planning[[#This Row],[Proyectos]],#REF!,Planning[[#This Row],[Tipo de Tarea y especialidad]])</f>
        <v>#REF!</v>
      </c>
      <c r="O1201" s="19">
        <f t="shared" si="36"/>
        <v>10</v>
      </c>
      <c r="P1201" s="19">
        <f t="shared" si="37"/>
        <v>2024</v>
      </c>
      <c r="Q12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01" s="19" t="str">
        <f>TEXT(Planning[[#This Row],[Mes]]*29,"mmmm")</f>
        <v>October</v>
      </c>
      <c r="S12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01" s="193"/>
      <c r="U1201" s="43">
        <f>IF(Planning[[#This Row],[Horas Planificadas]]&lt;&gt;0,+K1201/Planning[[#This Row],[Horas Planificadas]],0)</f>
        <v>0</v>
      </c>
      <c r="V1201" s="43">
        <f>IF(Planning[[#This Row],[Horas Planificadas]]&lt;&gt;0,Planning[[#This Row],[Horas utilizadas]]/Planning[[#This Row],[Horas Planificadas]],0)</f>
        <v>0</v>
      </c>
      <c r="W1201" s="44">
        <f>Planning[[#This Row],[Horas Planificadas]]+Planning[[#This Row],[Horas ajustadas adicionales]]</f>
        <v>0</v>
      </c>
      <c r="X1201" s="142"/>
    </row>
    <row r="1202" spans="1:24" ht="12.75" customHeight="1" x14ac:dyDescent="0.2">
      <c r="A1202" s="7" t="s">
        <v>117</v>
      </c>
      <c r="B1202" s="7" t="s">
        <v>118</v>
      </c>
      <c r="C1202" s="3"/>
      <c r="D1202" s="3" t="s">
        <v>319</v>
      </c>
      <c r="E1202" s="33" t="s">
        <v>31</v>
      </c>
      <c r="F1202" s="33" t="s">
        <v>31</v>
      </c>
      <c r="G1202" s="7">
        <v>117</v>
      </c>
      <c r="H1202" s="15">
        <v>117</v>
      </c>
      <c r="I1202" s="18"/>
      <c r="J1202" s="14" t="e">
        <f>+SUMIFS(#REF!,#REF!,Planning[[#This Row],[Tarifa]],#REF!,Planning[[#This Row],[Proyectos]])</f>
        <v>#REF!</v>
      </c>
      <c r="K1202" s="14" t="e">
        <f>Planning[[#This Row],[Horas Planificadas]]+Planning[[#This Row],[Horas ajustadas adicionales]]-Planning[[#This Row],[Horas utilizadas]]</f>
        <v>#REF!</v>
      </c>
      <c r="L1202" s="15">
        <v>0</v>
      </c>
      <c r="M1202" s="16" t="e">
        <f>Planning[[#This Row],[Saldo]]-Planning[[#This Row],[Saldo estimado]]</f>
        <v>#REF!</v>
      </c>
      <c r="N1202" s="60" t="e">
        <f>+SUMIFS(#REF!,#REF!,Planning[[#This Row],[Proyectos]],#REF!,Planning[[#This Row],[Tipo de Tarea y especialidad]])</f>
        <v>#REF!</v>
      </c>
      <c r="O1202" s="16">
        <f t="shared" si="36"/>
        <v>10</v>
      </c>
      <c r="P1202" s="16">
        <f t="shared" si="37"/>
        <v>2024</v>
      </c>
      <c r="Q1202" s="16" t="e">
        <f>+SUMIFS(#REF!,#REF!,Planning[[#This Row],[Tarifa]],#REF!,Planning[[#This Row],[Proyectos]],#REF!,Planning[[#This Row],[Mes]],#REF!,Planning[[#This Row],[Año]])</f>
        <v>#REF!</v>
      </c>
      <c r="R1202" s="16" t="str">
        <f>TEXT(Planning[[#This Row],[Mes]]*29,"mmmm")</f>
        <v>October</v>
      </c>
      <c r="S12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02" s="193"/>
      <c r="U1202" s="43" t="e">
        <f>IF(Planning[[#This Row],[Horas Planificadas]]&lt;&gt;0,+K1202/Planning[[#This Row],[Horas Planificadas]],0)</f>
        <v>#REF!</v>
      </c>
      <c r="V1202" s="43" t="e">
        <f>IF(Planning[[#This Row],[Horas Planificadas]]&lt;&gt;0,Planning[[#This Row],[Horas utilizadas]]/Planning[[#This Row],[Horas Planificadas]],0)</f>
        <v>#REF!</v>
      </c>
      <c r="W1202" s="44">
        <f>Planning[[#This Row],[Horas Planificadas]]+Planning[[#This Row],[Horas ajustadas adicionales]]</f>
        <v>117</v>
      </c>
      <c r="X1202" s="142"/>
    </row>
    <row r="1203" spans="1:24" ht="22.5" x14ac:dyDescent="0.2">
      <c r="A1203" s="7" t="s">
        <v>117</v>
      </c>
      <c r="B1203" s="7" t="s">
        <v>118</v>
      </c>
      <c r="C1203" s="3"/>
      <c r="D1203" s="3" t="s">
        <v>319</v>
      </c>
      <c r="E1203" s="4" t="s">
        <v>32</v>
      </c>
      <c r="F1203" s="3"/>
      <c r="G1203" s="9">
        <v>216</v>
      </c>
      <c r="H1203" s="14">
        <f>SUM(H1204:H1206)</f>
        <v>225</v>
      </c>
      <c r="I1203" s="14"/>
      <c r="J1203" s="14" t="e">
        <f>SUM(J1204:J1206)</f>
        <v>#REF!</v>
      </c>
      <c r="K1203" s="15" t="e">
        <f>SUM(K1204:K1206)</f>
        <v>#REF!</v>
      </c>
      <c r="L1203" s="15">
        <f>SUM(L1204:L1206)</f>
        <v>0</v>
      </c>
      <c r="M1203" s="35" t="e">
        <f>SUM(M1204:M1206)</f>
        <v>#REF!</v>
      </c>
      <c r="N1203" s="62" t="e">
        <f>+SUMIFS(#REF!,#REF!,Planning[[#This Row],[Proyectos]],#REF!,Planning[[#This Row],[Tipo de Tarea y especialidad]])</f>
        <v>#REF!</v>
      </c>
      <c r="O1203" s="35">
        <f t="shared" si="36"/>
        <v>10</v>
      </c>
      <c r="P1203" s="35">
        <f t="shared" si="37"/>
        <v>2024</v>
      </c>
      <c r="Q1203" s="16" t="e">
        <f>SUM(Q1204:Q1206)</f>
        <v>#REF!</v>
      </c>
      <c r="R1203" s="16" t="str">
        <f>TEXT(Planning[[#This Row],[Mes]]*29,"mmmm")</f>
        <v>October</v>
      </c>
      <c r="S12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03" s="193"/>
      <c r="U1203" s="43" t="e">
        <f>IF(Planning[[#This Row],[Horas Planificadas]]&lt;&gt;0,+K1203/Planning[[#This Row],[Horas Planificadas]],0)</f>
        <v>#REF!</v>
      </c>
      <c r="V1203" s="43" t="e">
        <f>IF(Planning[[#This Row],[Horas Planificadas]]&lt;&gt;0,Planning[[#This Row],[Horas utilizadas]]/Planning[[#This Row],[Horas Planificadas]],0)</f>
        <v>#REF!</v>
      </c>
      <c r="W1203" s="44">
        <f>Planning[[#This Row],[Horas Planificadas]]+Planning[[#This Row],[Horas ajustadas adicionales]]</f>
        <v>225</v>
      </c>
      <c r="X1203" s="142"/>
    </row>
    <row r="1204" spans="1:24" x14ac:dyDescent="0.2">
      <c r="A1204" s="7" t="s">
        <v>117</v>
      </c>
      <c r="B1204" s="7" t="s">
        <v>118</v>
      </c>
      <c r="C1204" s="3"/>
      <c r="D1204" s="3" t="s">
        <v>319</v>
      </c>
      <c r="E1204" s="4"/>
      <c r="F1204" s="3" t="s">
        <v>129</v>
      </c>
      <c r="G1204" s="9"/>
      <c r="H1204" s="9">
        <v>225</v>
      </c>
      <c r="I1204" s="12"/>
      <c r="J1204" s="5" t="e">
        <f>SUM(SUMIFS(#REF!,#REF!,Planning[[#This Row],[Tipo de Tarea y especialidad]],#REF!,Planning[[#This Row],[Proyectos Reiwa]]),SUMIFS(#REF!,#REF!,Planning[[#This Row],[Tipo de Tarea y especialidad]],#REF!,Planning[[#This Row],[Proyectos]]))</f>
        <v>#REF!</v>
      </c>
      <c r="K1204" s="5" t="e">
        <f>Planning[[#This Row],[Horas Planificadas]]+Planning[[#This Row],[Horas ajustadas adicionales]]-Planning[[#This Row],[Horas utilizadas]]</f>
        <v>#REF!</v>
      </c>
      <c r="L1204" s="7">
        <v>0</v>
      </c>
      <c r="M1204" s="19" t="e">
        <f>Planning[[#This Row],[Saldo]]-Planning[[#This Row],[Saldo estimado]]</f>
        <v>#REF!</v>
      </c>
      <c r="N1204" s="60" t="e">
        <f>+SUMIFS(#REF!,#REF!,Planning[[#This Row],[Proyectos]],#REF!,Planning[[#This Row],[Tipo de Tarea y especialidad]])</f>
        <v>#REF!</v>
      </c>
      <c r="O1204" s="19">
        <f t="shared" si="36"/>
        <v>10</v>
      </c>
      <c r="P1204" s="19">
        <f t="shared" si="37"/>
        <v>2024</v>
      </c>
      <c r="Q12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04" s="19" t="str">
        <f>TEXT(Planning[[#This Row],[Mes]]*29,"mmmm")</f>
        <v>October</v>
      </c>
      <c r="S12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04" s="193"/>
      <c r="U1204" s="43" t="e">
        <f>IF(Planning[[#This Row],[Horas Planificadas]]&lt;&gt;0,+K1204/Planning[[#This Row],[Horas Planificadas]],0)</f>
        <v>#REF!</v>
      </c>
      <c r="V1204" s="43" t="e">
        <f>IF(Planning[[#This Row],[Horas Planificadas]]&lt;&gt;0,Planning[[#This Row],[Horas utilizadas]]/Planning[[#This Row],[Horas Planificadas]],0)</f>
        <v>#REF!</v>
      </c>
      <c r="W1204" s="44">
        <f>Planning[[#This Row],[Horas Planificadas]]+Planning[[#This Row],[Horas ajustadas adicionales]]</f>
        <v>225</v>
      </c>
      <c r="X1204" s="142"/>
    </row>
    <row r="1205" spans="1:24" x14ac:dyDescent="0.2">
      <c r="A1205" s="7" t="s">
        <v>117</v>
      </c>
      <c r="B1205" s="7" t="s">
        <v>118</v>
      </c>
      <c r="C1205" s="3"/>
      <c r="D1205" s="3" t="s">
        <v>319</v>
      </c>
      <c r="E1205" s="4"/>
      <c r="F1205" s="3" t="s">
        <v>130</v>
      </c>
      <c r="G1205" s="9"/>
      <c r="H1205" s="9"/>
      <c r="I1205" s="12"/>
      <c r="J1205" s="5" t="e">
        <f>SUM(SUMIFS(#REF!,#REF!,Planning[[#This Row],[Tipo de Tarea y especialidad]],#REF!,Planning[[#This Row],[Proyectos Reiwa]]),SUMIFS(#REF!,#REF!,Planning[[#This Row],[Tipo de Tarea y especialidad]],#REF!,Planning[[#This Row],[Proyectos]]))</f>
        <v>#REF!</v>
      </c>
      <c r="K1205" s="5" t="e">
        <f>Planning[[#This Row],[Horas Planificadas]]+Planning[[#This Row],[Horas ajustadas adicionales]]-Planning[[#This Row],[Horas utilizadas]]</f>
        <v>#REF!</v>
      </c>
      <c r="L1205" s="7"/>
      <c r="M1205" s="19" t="e">
        <f>Planning[[#This Row],[Saldo]]-Planning[[#This Row],[Saldo estimado]]</f>
        <v>#REF!</v>
      </c>
      <c r="N1205" s="60" t="e">
        <f>+SUMIFS(#REF!,#REF!,Planning[[#This Row],[Proyectos]],#REF!,Planning[[#This Row],[Tipo de Tarea y especialidad]])</f>
        <v>#REF!</v>
      </c>
      <c r="O1205" s="19">
        <f t="shared" si="36"/>
        <v>10</v>
      </c>
      <c r="P1205" s="19">
        <f t="shared" si="37"/>
        <v>2024</v>
      </c>
      <c r="Q12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05" s="19" t="str">
        <f>TEXT(Planning[[#This Row],[Mes]]*29,"mmmm")</f>
        <v>October</v>
      </c>
      <c r="S12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05" s="193"/>
      <c r="U1205" s="43">
        <f>IF(Planning[[#This Row],[Horas Planificadas]]&lt;&gt;0,+K1205/Planning[[#This Row],[Horas Planificadas]],0)</f>
        <v>0</v>
      </c>
      <c r="V1205" s="43">
        <f>IF(Planning[[#This Row],[Horas Planificadas]]&lt;&gt;0,Planning[[#This Row],[Horas utilizadas]]/Planning[[#This Row],[Horas Planificadas]],0)</f>
        <v>0</v>
      </c>
      <c r="W1205" s="44">
        <f>Planning[[#This Row],[Horas Planificadas]]+Planning[[#This Row],[Horas ajustadas adicionales]]</f>
        <v>0</v>
      </c>
      <c r="X1205" s="142"/>
    </row>
    <row r="1206" spans="1:24" x14ac:dyDescent="0.2">
      <c r="A1206" s="7" t="s">
        <v>117</v>
      </c>
      <c r="B1206" s="7" t="s">
        <v>118</v>
      </c>
      <c r="C1206" s="3"/>
      <c r="D1206" s="3" t="s">
        <v>319</v>
      </c>
      <c r="E1206" s="4"/>
      <c r="F1206" s="3" t="s">
        <v>131</v>
      </c>
      <c r="G1206" s="9"/>
      <c r="H1206" s="12"/>
      <c r="I1206" s="12"/>
      <c r="J1206" s="5" t="e">
        <f>SUM(SUMIFS(#REF!,#REF!,Planning[[#This Row],[Tipo de Tarea y especialidad]],#REF!,Planning[[#This Row],[Proyectos Reiwa]]),SUMIFS(#REF!,#REF!,Planning[[#This Row],[Tipo de Tarea y especialidad]],#REF!,Planning[[#This Row],[Proyectos]]))</f>
        <v>#REF!</v>
      </c>
      <c r="K1206" s="27" t="e">
        <f>Planning[[#This Row],[Horas Planificadas]]+Planning[[#This Row],[Horas ajustadas adicionales]]-Planning[[#This Row],[Horas utilizadas]]</f>
        <v>#REF!</v>
      </c>
      <c r="L1206" s="7"/>
      <c r="M1206" s="19" t="e">
        <f>Planning[[#This Row],[Saldo]]-Planning[[#This Row],[Saldo estimado]]</f>
        <v>#REF!</v>
      </c>
      <c r="N1206" s="60" t="e">
        <f>+SUMIFS(#REF!,#REF!,Planning[[#This Row],[Proyectos]],#REF!,Planning[[#This Row],[Tipo de Tarea y especialidad]])</f>
        <v>#REF!</v>
      </c>
      <c r="O1206" s="19">
        <f t="shared" si="36"/>
        <v>10</v>
      </c>
      <c r="P1206" s="19">
        <f t="shared" si="37"/>
        <v>2024</v>
      </c>
      <c r="Q12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06" s="19" t="str">
        <f>TEXT(Planning[[#This Row],[Mes]]*29,"mmmm")</f>
        <v>October</v>
      </c>
      <c r="S12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06" s="193"/>
      <c r="U1206" s="43">
        <f>IF(Planning[[#This Row],[Horas Planificadas]]&lt;&gt;0,+K1206/Planning[[#This Row],[Horas Planificadas]],0)</f>
        <v>0</v>
      </c>
      <c r="V1206" s="43">
        <f>IF(Planning[[#This Row],[Horas Planificadas]]&lt;&gt;0,Planning[[#This Row],[Horas utilizadas]]/Planning[[#This Row],[Horas Planificadas]],0)</f>
        <v>0</v>
      </c>
      <c r="W1206" s="44">
        <f>Planning[[#This Row],[Horas Planificadas]]+Planning[[#This Row],[Horas ajustadas adicionales]]</f>
        <v>0</v>
      </c>
      <c r="X1206" s="142"/>
    </row>
    <row r="1207" spans="1:24" ht="22.5" x14ac:dyDescent="0.2">
      <c r="A1207" s="7"/>
      <c r="B1207" s="7"/>
      <c r="C1207" s="3"/>
      <c r="D1207" s="3" t="s">
        <v>321</v>
      </c>
      <c r="E1207" s="4" t="s">
        <v>28</v>
      </c>
      <c r="F1207" s="3"/>
      <c r="G1207" s="9"/>
      <c r="H1207" s="9">
        <v>444</v>
      </c>
      <c r="I1207" s="12"/>
      <c r="J1207" s="5" t="e">
        <f>+SUMIFS(#REF!,#REF!,Planning[[#This Row],[Tarifa]],#REF!,Planning[[#This Row],[Proyectos]])</f>
        <v>#REF!</v>
      </c>
      <c r="K1207" s="5" t="e">
        <f>Planning[[#This Row],[Horas Planificadas]]+Planning[[#This Row],[Horas ajustadas adicionales]]-Planning[[#This Row],[Horas utilizadas]]</f>
        <v>#REF!</v>
      </c>
      <c r="L1207" s="7"/>
      <c r="M1207" s="19" t="e">
        <f>Planning[[#This Row],[Saldo]]-Planning[[#This Row],[Saldo estimado]]</f>
        <v>#REF!</v>
      </c>
      <c r="N1207" s="60" t="e">
        <f>+SUMIFS(#REF!,#REF!,Planning[[#This Row],[Proyectos]],#REF!,Planning[[#This Row],[Tipo de Tarea y especialidad]])</f>
        <v>#REF!</v>
      </c>
      <c r="O1207" s="19">
        <f t="shared" si="36"/>
        <v>10</v>
      </c>
      <c r="P1207" s="19">
        <f t="shared" si="37"/>
        <v>2024</v>
      </c>
      <c r="Q1207" s="19" t="e">
        <f>+SUMIFS(#REF!,#REF!,Planning[[#This Row],[Tarifa]],#REF!,Planning[[#This Row],[Proyectos]],#REF!,Planning[[#This Row],[Mes]],#REF!,Planning[[#This Row],[Año]])</f>
        <v>#REF!</v>
      </c>
      <c r="R1207" s="19" t="str">
        <f>TEXT(Planning[[#This Row],[Mes]]*29,"mmmm")</f>
        <v>October</v>
      </c>
      <c r="S12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07" s="228"/>
      <c r="U1207" s="43" t="e">
        <f>IF(Planning[[#This Row],[Horas Planificadas]]&lt;&gt;0,+K1207/Planning[[#This Row],[Horas Planificadas]],0)</f>
        <v>#REF!</v>
      </c>
      <c r="V1207" s="43" t="e">
        <f>IF(Planning[[#This Row],[Horas Planificadas]]&lt;&gt;0,Planning[[#This Row],[Horas utilizadas]]/Planning[[#This Row],[Horas Planificadas]],0)</f>
        <v>#REF!</v>
      </c>
      <c r="W1207" s="44">
        <f>Planning[[#This Row],[Horas Planificadas]]+Planning[[#This Row],[Horas ajustadas adicionales]]</f>
        <v>444</v>
      </c>
      <c r="X1207" s="142"/>
    </row>
    <row r="1208" spans="1:24" x14ac:dyDescent="0.2">
      <c r="A1208" s="7"/>
      <c r="B1208" s="7"/>
      <c r="C1208" s="3"/>
      <c r="D1208" s="3" t="s">
        <v>321</v>
      </c>
      <c r="E1208" s="4" t="s">
        <v>30</v>
      </c>
      <c r="F1208" s="3"/>
      <c r="G1208" s="9"/>
      <c r="H1208" s="9">
        <v>354</v>
      </c>
      <c r="I1208" s="12"/>
      <c r="J1208" s="5" t="e">
        <f>+SUMIFS(#REF!,#REF!,Planning[[#This Row],[Tarifa]],#REF!,Planning[[#This Row],[Proyectos]])</f>
        <v>#REF!</v>
      </c>
      <c r="K1208" s="5" t="e">
        <f>Planning[[#This Row],[Horas Planificadas]]+Planning[[#This Row],[Horas ajustadas adicionales]]-Planning[[#This Row],[Horas utilizadas]]</f>
        <v>#REF!</v>
      </c>
      <c r="L1208" s="7"/>
      <c r="M1208" s="19" t="e">
        <f>Planning[[#This Row],[Saldo]]-Planning[[#This Row],[Saldo estimado]]</f>
        <v>#REF!</v>
      </c>
      <c r="N1208" s="60" t="e">
        <f>+SUMIFS(#REF!,#REF!,Planning[[#This Row],[Proyectos]],#REF!,Planning[[#This Row],[Tipo de Tarea y especialidad]])</f>
        <v>#REF!</v>
      </c>
      <c r="O1208" s="19">
        <f t="shared" si="36"/>
        <v>10</v>
      </c>
      <c r="P1208" s="19">
        <f t="shared" si="37"/>
        <v>2024</v>
      </c>
      <c r="Q1208" s="19" t="e">
        <f>+SUMIFS(#REF!,#REF!,Planning[[#This Row],[Tarifa]],#REF!,Planning[[#This Row],[Proyectos]],#REF!,Planning[[#This Row],[Mes]],#REF!,Planning[[#This Row],[Año]])</f>
        <v>#REF!</v>
      </c>
      <c r="R1208" s="19" t="str">
        <f>TEXT(Planning[[#This Row],[Mes]]*29,"mmmm")</f>
        <v>October</v>
      </c>
      <c r="S12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08" s="228"/>
      <c r="U1208" s="43" t="e">
        <f>IF(Planning[[#This Row],[Horas Planificadas]]&lt;&gt;0,+K1208/Planning[[#This Row],[Horas Planificadas]],0)</f>
        <v>#REF!</v>
      </c>
      <c r="V1208" s="43" t="e">
        <f>IF(Planning[[#This Row],[Horas Planificadas]]&lt;&gt;0,Planning[[#This Row],[Horas utilizadas]]/Planning[[#This Row],[Horas Planificadas]],0)</f>
        <v>#REF!</v>
      </c>
      <c r="W1208" s="44">
        <f>Planning[[#This Row],[Horas Planificadas]]+Planning[[#This Row],[Horas ajustadas adicionales]]</f>
        <v>354</v>
      </c>
      <c r="X1208" s="142"/>
    </row>
    <row r="1209" spans="1:24" x14ac:dyDescent="0.2">
      <c r="A1209" s="7"/>
      <c r="B1209" s="7"/>
      <c r="C1209" s="3"/>
      <c r="D1209" s="3" t="s">
        <v>321</v>
      </c>
      <c r="E1209" s="4" t="s">
        <v>31</v>
      </c>
      <c r="F1209" s="3"/>
      <c r="G1209" s="9"/>
      <c r="H1209" s="9">
        <v>172</v>
      </c>
      <c r="I1209" s="12"/>
      <c r="J1209" s="5" t="e">
        <f>+SUMIFS(#REF!,#REF!,Planning[[#This Row],[Tarifa]],#REF!,Planning[[#This Row],[Proyectos]])</f>
        <v>#REF!</v>
      </c>
      <c r="K1209" s="5" t="e">
        <f>Planning[[#This Row],[Horas Planificadas]]+Planning[[#This Row],[Horas ajustadas adicionales]]-Planning[[#This Row],[Horas utilizadas]]</f>
        <v>#REF!</v>
      </c>
      <c r="L1209" s="7"/>
      <c r="M1209" s="19" t="e">
        <f>Planning[[#This Row],[Saldo]]-Planning[[#This Row],[Saldo estimado]]</f>
        <v>#REF!</v>
      </c>
      <c r="N1209" s="60" t="e">
        <f>+SUMIFS(#REF!,#REF!,Planning[[#This Row],[Proyectos]],#REF!,Planning[[#This Row],[Tipo de Tarea y especialidad]])</f>
        <v>#REF!</v>
      </c>
      <c r="O1209" s="19">
        <f t="shared" si="36"/>
        <v>10</v>
      </c>
      <c r="P1209" s="19">
        <f t="shared" si="37"/>
        <v>2024</v>
      </c>
      <c r="Q1209" s="19" t="e">
        <f>+SUMIFS(#REF!,#REF!,Planning[[#This Row],[Tarifa]],#REF!,Planning[[#This Row],[Proyectos]],#REF!,Planning[[#This Row],[Mes]],#REF!,Planning[[#This Row],[Año]])</f>
        <v>#REF!</v>
      </c>
      <c r="R1209" s="19" t="str">
        <f>TEXT(Planning[[#This Row],[Mes]]*29,"mmmm")</f>
        <v>October</v>
      </c>
      <c r="S12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09" s="228"/>
      <c r="U1209" s="43" t="e">
        <f>IF(Planning[[#This Row],[Horas Planificadas]]&lt;&gt;0,+K1209/Planning[[#This Row],[Horas Planificadas]],0)</f>
        <v>#REF!</v>
      </c>
      <c r="V1209" s="43" t="e">
        <f>IF(Planning[[#This Row],[Horas Planificadas]]&lt;&gt;0,Planning[[#This Row],[Horas utilizadas]]/Planning[[#This Row],[Horas Planificadas]],0)</f>
        <v>#REF!</v>
      </c>
      <c r="W1209" s="44">
        <f>Planning[[#This Row],[Horas Planificadas]]+Planning[[#This Row],[Horas ajustadas adicionales]]</f>
        <v>172</v>
      </c>
      <c r="X1209" s="142"/>
    </row>
    <row r="1210" spans="1:24" ht="22.5" x14ac:dyDescent="0.2">
      <c r="A1210" s="7"/>
      <c r="B1210" s="7"/>
      <c r="C1210" s="3"/>
      <c r="D1210" s="3" t="s">
        <v>321</v>
      </c>
      <c r="E1210" s="4" t="s">
        <v>32</v>
      </c>
      <c r="F1210" s="3"/>
      <c r="G1210" s="9"/>
      <c r="H1210" s="9">
        <v>90</v>
      </c>
      <c r="I1210" s="12"/>
      <c r="J1210" s="5" t="e">
        <f>+SUMIFS(#REF!,#REF!,Planning[[#This Row],[Tarifa]],#REF!,Planning[[#This Row],[Proyectos]])</f>
        <v>#REF!</v>
      </c>
      <c r="K1210" s="5" t="e">
        <f>Planning[[#This Row],[Horas Planificadas]]+Planning[[#This Row],[Horas ajustadas adicionales]]-Planning[[#This Row],[Horas utilizadas]]</f>
        <v>#REF!</v>
      </c>
      <c r="L1210" s="7"/>
      <c r="M1210" s="19" t="e">
        <f>Planning[[#This Row],[Saldo]]-Planning[[#This Row],[Saldo estimado]]</f>
        <v>#REF!</v>
      </c>
      <c r="N1210" s="60" t="e">
        <f>+SUMIFS(#REF!,#REF!,Planning[[#This Row],[Proyectos]],#REF!,Planning[[#This Row],[Tipo de Tarea y especialidad]])</f>
        <v>#REF!</v>
      </c>
      <c r="O1210" s="19">
        <f t="shared" si="36"/>
        <v>10</v>
      </c>
      <c r="P1210" s="19">
        <f t="shared" si="37"/>
        <v>2024</v>
      </c>
      <c r="Q1210" s="19" t="e">
        <f>+SUMIFS(#REF!,#REF!,Planning[[#This Row],[Tarifa]],#REF!,Planning[[#This Row],[Proyectos]],#REF!,Planning[[#This Row],[Mes]],#REF!,Planning[[#This Row],[Año]])</f>
        <v>#REF!</v>
      </c>
      <c r="R1210" s="19" t="str">
        <f>TEXT(Planning[[#This Row],[Mes]]*29,"mmmm")</f>
        <v>October</v>
      </c>
      <c r="S12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10" s="228"/>
      <c r="U1210" s="43" t="e">
        <f>IF(Planning[[#This Row],[Horas Planificadas]]&lt;&gt;0,+K1210/Planning[[#This Row],[Horas Planificadas]],0)</f>
        <v>#REF!</v>
      </c>
      <c r="V1210" s="43" t="e">
        <f>IF(Planning[[#This Row],[Horas Planificadas]]&lt;&gt;0,Planning[[#This Row],[Horas utilizadas]]/Planning[[#This Row],[Horas Planificadas]],0)</f>
        <v>#REF!</v>
      </c>
      <c r="W1210" s="44">
        <f>Planning[[#This Row],[Horas Planificadas]]+Planning[[#This Row],[Horas ajustadas adicionales]]</f>
        <v>90</v>
      </c>
      <c r="X1210" s="142"/>
    </row>
    <row r="1211" spans="1:24" ht="22.5" x14ac:dyDescent="0.2">
      <c r="A1211" s="7"/>
      <c r="B1211" s="7"/>
      <c r="C1211" s="3"/>
      <c r="D1211" s="3" t="s">
        <v>322</v>
      </c>
      <c r="E1211" s="4" t="s">
        <v>28</v>
      </c>
      <c r="F1211" s="3"/>
      <c r="G1211" s="9"/>
      <c r="H1211" s="9">
        <v>0</v>
      </c>
      <c r="I1211" s="12"/>
      <c r="J1211" s="5" t="e">
        <f>+SUMIFS(#REF!,#REF!,Planning[[#This Row],[Tarifa]],#REF!,Planning[[#This Row],[Proyectos]])</f>
        <v>#REF!</v>
      </c>
      <c r="K1211" s="5" t="e">
        <f>Planning[[#This Row],[Horas Planificadas]]+Planning[[#This Row],[Horas ajustadas adicionales]]-Planning[[#This Row],[Horas utilizadas]]</f>
        <v>#REF!</v>
      </c>
      <c r="L1211" s="7"/>
      <c r="M1211" s="19" t="e">
        <f>Planning[[#This Row],[Saldo]]-Planning[[#This Row],[Saldo estimado]]</f>
        <v>#REF!</v>
      </c>
      <c r="N1211" s="60" t="e">
        <f>+SUMIFS(#REF!,#REF!,Planning[[#This Row],[Proyectos]],#REF!,Planning[[#This Row],[Tipo de Tarea y especialidad]])</f>
        <v>#REF!</v>
      </c>
      <c r="O1211" s="19">
        <f t="shared" si="36"/>
        <v>10</v>
      </c>
      <c r="P1211" s="19">
        <f t="shared" si="37"/>
        <v>2024</v>
      </c>
      <c r="Q1211" s="19" t="e">
        <f>+SUMIFS(#REF!,#REF!,Planning[[#This Row],[Tarifa]],#REF!,Planning[[#This Row],[Proyectos]],#REF!,Planning[[#This Row],[Mes]],#REF!,Planning[[#This Row],[Año]])</f>
        <v>#REF!</v>
      </c>
      <c r="R1211" s="19" t="str">
        <f>TEXT(Planning[[#This Row],[Mes]]*29,"mmmm")</f>
        <v>October</v>
      </c>
      <c r="S12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11" s="228"/>
      <c r="U1211" s="43">
        <f>IF(Planning[[#This Row],[Horas Planificadas]]&lt;&gt;0,+K1211/Planning[[#This Row],[Horas Planificadas]],0)</f>
        <v>0</v>
      </c>
      <c r="V1211" s="43">
        <f>IF(Planning[[#This Row],[Horas Planificadas]]&lt;&gt;0,Planning[[#This Row],[Horas utilizadas]]/Planning[[#This Row],[Horas Planificadas]],0)</f>
        <v>0</v>
      </c>
      <c r="W1211" s="44">
        <f>Planning[[#This Row],[Horas Planificadas]]+Planning[[#This Row],[Horas ajustadas adicionales]]</f>
        <v>0</v>
      </c>
      <c r="X1211" s="142"/>
    </row>
    <row r="1212" spans="1:24" x14ac:dyDescent="0.2">
      <c r="A1212" s="7"/>
      <c r="B1212" s="7"/>
      <c r="C1212" s="3"/>
      <c r="D1212" s="3" t="s">
        <v>322</v>
      </c>
      <c r="E1212" s="4" t="s">
        <v>30</v>
      </c>
      <c r="F1212" s="3"/>
      <c r="G1212" s="9"/>
      <c r="H1212" s="9">
        <v>45</v>
      </c>
      <c r="I1212" s="12"/>
      <c r="J1212" s="5" t="e">
        <f>+SUMIFS(#REF!,#REF!,Planning[[#This Row],[Tarifa]],#REF!,Planning[[#This Row],[Proyectos]])</f>
        <v>#REF!</v>
      </c>
      <c r="K1212" s="5" t="e">
        <f>Planning[[#This Row],[Horas Planificadas]]+Planning[[#This Row],[Horas ajustadas adicionales]]-Planning[[#This Row],[Horas utilizadas]]</f>
        <v>#REF!</v>
      </c>
      <c r="L1212" s="7"/>
      <c r="M1212" s="19" t="e">
        <f>Planning[[#This Row],[Saldo]]-Planning[[#This Row],[Saldo estimado]]</f>
        <v>#REF!</v>
      </c>
      <c r="N1212" s="60" t="e">
        <f>+SUMIFS(#REF!,#REF!,Planning[[#This Row],[Proyectos]],#REF!,Planning[[#This Row],[Tipo de Tarea y especialidad]])</f>
        <v>#REF!</v>
      </c>
      <c r="O1212" s="19">
        <f t="shared" si="36"/>
        <v>10</v>
      </c>
      <c r="P1212" s="19">
        <f t="shared" si="37"/>
        <v>2024</v>
      </c>
      <c r="Q1212" s="19" t="e">
        <f>+SUMIFS(#REF!,#REF!,Planning[[#This Row],[Tarifa]],#REF!,Planning[[#This Row],[Proyectos]],#REF!,Planning[[#This Row],[Mes]],#REF!,Planning[[#This Row],[Año]])</f>
        <v>#REF!</v>
      </c>
      <c r="R1212" s="19" t="str">
        <f>TEXT(Planning[[#This Row],[Mes]]*29,"mmmm")</f>
        <v>October</v>
      </c>
      <c r="S12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12" s="228"/>
      <c r="U1212" s="43" t="e">
        <f>IF(Planning[[#This Row],[Horas Planificadas]]&lt;&gt;0,+K1212/Planning[[#This Row],[Horas Planificadas]],0)</f>
        <v>#REF!</v>
      </c>
      <c r="V1212" s="43" t="e">
        <f>IF(Planning[[#This Row],[Horas Planificadas]]&lt;&gt;0,Planning[[#This Row],[Horas utilizadas]]/Planning[[#This Row],[Horas Planificadas]],0)</f>
        <v>#REF!</v>
      </c>
      <c r="W1212" s="44">
        <f>Planning[[#This Row],[Horas Planificadas]]+Planning[[#This Row],[Horas ajustadas adicionales]]</f>
        <v>45</v>
      </c>
      <c r="X1212" s="142"/>
    </row>
    <row r="1213" spans="1:24" x14ac:dyDescent="0.2">
      <c r="A1213" s="7"/>
      <c r="B1213" s="7"/>
      <c r="C1213" s="3"/>
      <c r="D1213" s="3" t="s">
        <v>322</v>
      </c>
      <c r="E1213" s="4" t="s">
        <v>31</v>
      </c>
      <c r="F1213" s="3"/>
      <c r="G1213" s="9"/>
      <c r="H1213" s="9">
        <v>12</v>
      </c>
      <c r="I1213" s="12"/>
      <c r="J1213" s="5" t="e">
        <f>+SUMIFS(#REF!,#REF!,Planning[[#This Row],[Tarifa]],#REF!,Planning[[#This Row],[Proyectos]])</f>
        <v>#REF!</v>
      </c>
      <c r="K1213" s="5" t="e">
        <f>Planning[[#This Row],[Horas Planificadas]]+Planning[[#This Row],[Horas ajustadas adicionales]]-Planning[[#This Row],[Horas utilizadas]]</f>
        <v>#REF!</v>
      </c>
      <c r="L1213" s="7"/>
      <c r="M1213" s="19" t="e">
        <f>Planning[[#This Row],[Saldo]]-Planning[[#This Row],[Saldo estimado]]</f>
        <v>#REF!</v>
      </c>
      <c r="N1213" s="60" t="e">
        <f>+SUMIFS(#REF!,#REF!,Planning[[#This Row],[Proyectos]],#REF!,Planning[[#This Row],[Tipo de Tarea y especialidad]])</f>
        <v>#REF!</v>
      </c>
      <c r="O1213" s="19">
        <f t="shared" si="36"/>
        <v>10</v>
      </c>
      <c r="P1213" s="19">
        <f t="shared" si="37"/>
        <v>2024</v>
      </c>
      <c r="Q1213" s="19" t="e">
        <f>+SUMIFS(#REF!,#REF!,Planning[[#This Row],[Tarifa]],#REF!,Planning[[#This Row],[Proyectos]],#REF!,Planning[[#This Row],[Mes]],#REF!,Planning[[#This Row],[Año]])</f>
        <v>#REF!</v>
      </c>
      <c r="R1213" s="19" t="str">
        <f>TEXT(Planning[[#This Row],[Mes]]*29,"mmmm")</f>
        <v>October</v>
      </c>
      <c r="S12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13" s="228"/>
      <c r="U1213" s="43" t="e">
        <f>IF(Planning[[#This Row],[Horas Planificadas]]&lt;&gt;0,+K1213/Planning[[#This Row],[Horas Planificadas]],0)</f>
        <v>#REF!</v>
      </c>
      <c r="V1213" s="43" t="e">
        <f>IF(Planning[[#This Row],[Horas Planificadas]]&lt;&gt;0,Planning[[#This Row],[Horas utilizadas]]/Planning[[#This Row],[Horas Planificadas]],0)</f>
        <v>#REF!</v>
      </c>
      <c r="W1213" s="44">
        <f>Planning[[#This Row],[Horas Planificadas]]+Planning[[#This Row],[Horas ajustadas adicionales]]</f>
        <v>12</v>
      </c>
      <c r="X1213" s="142"/>
    </row>
    <row r="1214" spans="1:24" ht="22.5" x14ac:dyDescent="0.2">
      <c r="A1214" s="7"/>
      <c r="B1214" s="7"/>
      <c r="C1214" s="3"/>
      <c r="D1214" s="3" t="s">
        <v>322</v>
      </c>
      <c r="E1214" s="4" t="s">
        <v>32</v>
      </c>
      <c r="F1214" s="3"/>
      <c r="G1214" s="9"/>
      <c r="H1214" s="9">
        <v>0</v>
      </c>
      <c r="I1214" s="12"/>
      <c r="J1214" s="5" t="e">
        <f>+SUMIFS(#REF!,#REF!,Planning[[#This Row],[Tarifa]],#REF!,Planning[[#This Row],[Proyectos]])</f>
        <v>#REF!</v>
      </c>
      <c r="K1214" s="5" t="e">
        <f>Planning[[#This Row],[Horas Planificadas]]+Planning[[#This Row],[Horas ajustadas adicionales]]-Planning[[#This Row],[Horas utilizadas]]</f>
        <v>#REF!</v>
      </c>
      <c r="L1214" s="7"/>
      <c r="M1214" s="19" t="e">
        <f>Planning[[#This Row],[Saldo]]-Planning[[#This Row],[Saldo estimado]]</f>
        <v>#REF!</v>
      </c>
      <c r="N1214" s="60" t="e">
        <f>+SUMIFS(#REF!,#REF!,Planning[[#This Row],[Proyectos]],#REF!,Planning[[#This Row],[Tipo de Tarea y especialidad]])</f>
        <v>#REF!</v>
      </c>
      <c r="O1214" s="19">
        <f t="shared" si="36"/>
        <v>10</v>
      </c>
      <c r="P1214" s="19">
        <f t="shared" si="37"/>
        <v>2024</v>
      </c>
      <c r="Q1214" s="19" t="e">
        <f>+SUMIFS(#REF!,#REF!,Planning[[#This Row],[Tarifa]],#REF!,Planning[[#This Row],[Proyectos]],#REF!,Planning[[#This Row],[Mes]],#REF!,Planning[[#This Row],[Año]])</f>
        <v>#REF!</v>
      </c>
      <c r="R1214" s="19" t="str">
        <f>TEXT(Planning[[#This Row],[Mes]]*29,"mmmm")</f>
        <v>October</v>
      </c>
      <c r="S12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14" s="228"/>
      <c r="U1214" s="43">
        <f>IF(Planning[[#This Row],[Horas Planificadas]]&lt;&gt;0,+K1214/Planning[[#This Row],[Horas Planificadas]],0)</f>
        <v>0</v>
      </c>
      <c r="V1214" s="43">
        <f>IF(Planning[[#This Row],[Horas Planificadas]]&lt;&gt;0,Planning[[#This Row],[Horas utilizadas]]/Planning[[#This Row],[Horas Planificadas]],0)</f>
        <v>0</v>
      </c>
      <c r="W1214" s="44">
        <f>Planning[[#This Row],[Horas Planificadas]]+Planning[[#This Row],[Horas ajustadas adicionales]]</f>
        <v>0</v>
      </c>
      <c r="X1214" s="142"/>
    </row>
    <row r="1215" spans="1:24" ht="22.5" x14ac:dyDescent="0.2">
      <c r="A1215" s="7"/>
      <c r="B1215" s="7"/>
      <c r="C1215" s="3"/>
      <c r="D1215" s="3" t="s">
        <v>323</v>
      </c>
      <c r="E1215" s="4" t="s">
        <v>28</v>
      </c>
      <c r="F1215" s="3"/>
      <c r="G1215" s="9"/>
      <c r="H1215" s="12">
        <v>225</v>
      </c>
      <c r="I1215" s="12"/>
      <c r="J1215" s="5" t="e">
        <f>+SUMIFS(#REF!,#REF!,Planning[[#This Row],[Tarifa]],#REF!,Planning[[#This Row],[Proyectos]])</f>
        <v>#REF!</v>
      </c>
      <c r="K1215" s="27" t="e">
        <f>Planning[[#This Row],[Horas Planificadas]]+Planning[[#This Row],[Horas ajustadas adicionales]]-Planning[[#This Row],[Horas utilizadas]]</f>
        <v>#REF!</v>
      </c>
      <c r="L1215" s="7"/>
      <c r="M1215" s="19" t="e">
        <f>Planning[[#This Row],[Saldo]]-Planning[[#This Row],[Saldo estimado]]</f>
        <v>#REF!</v>
      </c>
      <c r="N1215" s="60" t="e">
        <f>+SUMIFS(#REF!,#REF!,Planning[[#This Row],[Proyectos]],#REF!,Planning[[#This Row],[Tipo de Tarea y especialidad]])</f>
        <v>#REF!</v>
      </c>
      <c r="O1215" s="19">
        <f t="shared" si="36"/>
        <v>10</v>
      </c>
      <c r="P1215" s="19">
        <f t="shared" si="37"/>
        <v>2024</v>
      </c>
      <c r="Q1215" s="19" t="e">
        <f>+SUMIFS(#REF!,#REF!,Planning[[#This Row],[Tarifa]],#REF!,Planning[[#This Row],[Proyectos]],#REF!,Planning[[#This Row],[Mes]],#REF!,Planning[[#This Row],[Año]])</f>
        <v>#REF!</v>
      </c>
      <c r="R1215" s="19" t="str">
        <f>TEXT(Planning[[#This Row],[Mes]]*29,"mmmm")</f>
        <v>October</v>
      </c>
      <c r="S12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15" s="228"/>
      <c r="U1215" s="43" t="e">
        <f>IF(Planning[[#This Row],[Horas Planificadas]]&lt;&gt;0,+K1215/Planning[[#This Row],[Horas Planificadas]],0)</f>
        <v>#REF!</v>
      </c>
      <c r="V1215" s="43" t="e">
        <f>IF(Planning[[#This Row],[Horas Planificadas]]&lt;&gt;0,Planning[[#This Row],[Horas utilizadas]]/Planning[[#This Row],[Horas Planificadas]],0)</f>
        <v>#REF!</v>
      </c>
      <c r="W1215" s="44">
        <f>Planning[[#This Row],[Horas Planificadas]]+Planning[[#This Row],[Horas ajustadas adicionales]]</f>
        <v>225</v>
      </c>
      <c r="X1215" s="142"/>
    </row>
    <row r="1216" spans="1:24" x14ac:dyDescent="0.2">
      <c r="A1216" s="7"/>
      <c r="B1216" s="7"/>
      <c r="C1216" s="3"/>
      <c r="D1216" s="3" t="s">
        <v>323</v>
      </c>
      <c r="E1216" s="4" t="s">
        <v>30</v>
      </c>
      <c r="F1216" s="3"/>
      <c r="G1216" s="9"/>
      <c r="H1216" s="9">
        <v>240</v>
      </c>
      <c r="I1216" s="12"/>
      <c r="J1216" s="5" t="e">
        <f>+SUMIFS(#REF!,#REF!,Planning[[#This Row],[Tarifa]],#REF!,Planning[[#This Row],[Proyectos]])</f>
        <v>#REF!</v>
      </c>
      <c r="K1216" s="5" t="e">
        <f>Planning[[#This Row],[Horas Planificadas]]+Planning[[#This Row],[Horas ajustadas adicionales]]-Planning[[#This Row],[Horas utilizadas]]</f>
        <v>#REF!</v>
      </c>
      <c r="L1216" s="7"/>
      <c r="M1216" s="19" t="e">
        <f>Planning[[#This Row],[Saldo]]-Planning[[#This Row],[Saldo estimado]]</f>
        <v>#REF!</v>
      </c>
      <c r="N1216" s="60" t="e">
        <f>+SUMIFS(#REF!,#REF!,Planning[[#This Row],[Proyectos]],#REF!,Planning[[#This Row],[Tipo de Tarea y especialidad]])</f>
        <v>#REF!</v>
      </c>
      <c r="O1216" s="19">
        <f t="shared" si="36"/>
        <v>10</v>
      </c>
      <c r="P1216" s="19">
        <f t="shared" si="37"/>
        <v>2024</v>
      </c>
      <c r="Q1216" s="19" t="e">
        <f>+SUMIFS(#REF!,#REF!,Planning[[#This Row],[Tarifa]],#REF!,Planning[[#This Row],[Proyectos]],#REF!,Planning[[#This Row],[Mes]],#REF!,Planning[[#This Row],[Año]])</f>
        <v>#REF!</v>
      </c>
      <c r="R1216" s="19" t="str">
        <f>TEXT(Planning[[#This Row],[Mes]]*29,"mmmm")</f>
        <v>October</v>
      </c>
      <c r="S12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16" s="228"/>
      <c r="U1216" s="43" t="e">
        <f>IF(Planning[[#This Row],[Horas Planificadas]]&lt;&gt;0,+K1216/Planning[[#This Row],[Horas Planificadas]],0)</f>
        <v>#REF!</v>
      </c>
      <c r="V1216" s="43" t="e">
        <f>IF(Planning[[#This Row],[Horas Planificadas]]&lt;&gt;0,Planning[[#This Row],[Horas utilizadas]]/Planning[[#This Row],[Horas Planificadas]],0)</f>
        <v>#REF!</v>
      </c>
      <c r="W1216" s="44">
        <f>Planning[[#This Row],[Horas Planificadas]]+Planning[[#This Row],[Horas ajustadas adicionales]]</f>
        <v>240</v>
      </c>
      <c r="X1216" s="142"/>
    </row>
    <row r="1217" spans="1:24" x14ac:dyDescent="0.2">
      <c r="A1217" s="7"/>
      <c r="B1217" s="7"/>
      <c r="C1217" s="3"/>
      <c r="D1217" s="3" t="s">
        <v>323</v>
      </c>
      <c r="E1217" s="4" t="s">
        <v>31</v>
      </c>
      <c r="F1217" s="3"/>
      <c r="G1217" s="9"/>
      <c r="H1217" s="9">
        <v>240</v>
      </c>
      <c r="I1217" s="12"/>
      <c r="J1217" s="5" t="e">
        <f>+SUMIFS(#REF!,#REF!,Planning[[#This Row],[Tarifa]],#REF!,Planning[[#This Row],[Proyectos]])</f>
        <v>#REF!</v>
      </c>
      <c r="K1217" s="5" t="e">
        <f>Planning[[#This Row],[Horas Planificadas]]+Planning[[#This Row],[Horas ajustadas adicionales]]-Planning[[#This Row],[Horas utilizadas]]</f>
        <v>#REF!</v>
      </c>
      <c r="L1217" s="7"/>
      <c r="M1217" s="19" t="e">
        <f>Planning[[#This Row],[Saldo]]-Planning[[#This Row],[Saldo estimado]]</f>
        <v>#REF!</v>
      </c>
      <c r="N1217" s="60" t="e">
        <f>+SUMIFS(#REF!,#REF!,Planning[[#This Row],[Proyectos]],#REF!,Planning[[#This Row],[Tipo de Tarea y especialidad]])</f>
        <v>#REF!</v>
      </c>
      <c r="O1217" s="19">
        <f t="shared" si="36"/>
        <v>10</v>
      </c>
      <c r="P1217" s="19">
        <f t="shared" si="37"/>
        <v>2024</v>
      </c>
      <c r="Q1217" s="19" t="e">
        <f>+SUMIFS(#REF!,#REF!,Planning[[#This Row],[Tarifa]],#REF!,Planning[[#This Row],[Proyectos]],#REF!,Planning[[#This Row],[Mes]],#REF!,Planning[[#This Row],[Año]])</f>
        <v>#REF!</v>
      </c>
      <c r="R1217" s="19" t="str">
        <f>TEXT(Planning[[#This Row],[Mes]]*29,"mmmm")</f>
        <v>October</v>
      </c>
      <c r="S12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17" s="228"/>
      <c r="U1217" s="43" t="e">
        <f>IF(Planning[[#This Row],[Horas Planificadas]]&lt;&gt;0,+K1217/Planning[[#This Row],[Horas Planificadas]],0)</f>
        <v>#REF!</v>
      </c>
      <c r="V1217" s="43" t="e">
        <f>IF(Planning[[#This Row],[Horas Planificadas]]&lt;&gt;0,Planning[[#This Row],[Horas utilizadas]]/Planning[[#This Row],[Horas Planificadas]],0)</f>
        <v>#REF!</v>
      </c>
      <c r="W1217" s="44">
        <f>Planning[[#This Row],[Horas Planificadas]]+Planning[[#This Row],[Horas ajustadas adicionales]]</f>
        <v>240</v>
      </c>
      <c r="X1217" s="142"/>
    </row>
    <row r="1218" spans="1:24" ht="22.5" x14ac:dyDescent="0.2">
      <c r="A1218" s="7"/>
      <c r="B1218" s="7"/>
      <c r="C1218" s="3"/>
      <c r="D1218" s="3" t="s">
        <v>323</v>
      </c>
      <c r="E1218" s="4" t="s">
        <v>32</v>
      </c>
      <c r="F1218" s="3"/>
      <c r="G1218" s="9"/>
      <c r="H1218" s="9">
        <v>120</v>
      </c>
      <c r="I1218" s="12"/>
      <c r="J1218" s="5" t="e">
        <f>+SUMIFS(#REF!,#REF!,Planning[[#This Row],[Tarifa]],#REF!,Planning[[#This Row],[Proyectos]])</f>
        <v>#REF!</v>
      </c>
      <c r="K1218" s="5" t="e">
        <f>Planning[[#This Row],[Horas Planificadas]]+Planning[[#This Row],[Horas ajustadas adicionales]]-Planning[[#This Row],[Horas utilizadas]]</f>
        <v>#REF!</v>
      </c>
      <c r="L1218" s="7"/>
      <c r="M1218" s="19" t="e">
        <f>Planning[[#This Row],[Saldo]]-Planning[[#This Row],[Saldo estimado]]</f>
        <v>#REF!</v>
      </c>
      <c r="N1218" s="60" t="e">
        <f>+SUMIFS(#REF!,#REF!,Planning[[#This Row],[Proyectos]],#REF!,Planning[[#This Row],[Tipo de Tarea y especialidad]])</f>
        <v>#REF!</v>
      </c>
      <c r="O1218" s="19">
        <f t="shared" si="36"/>
        <v>10</v>
      </c>
      <c r="P1218" s="19">
        <f t="shared" si="37"/>
        <v>2024</v>
      </c>
      <c r="Q1218" s="19" t="e">
        <f>+SUMIFS(#REF!,#REF!,Planning[[#This Row],[Tarifa]],#REF!,Planning[[#This Row],[Proyectos]],#REF!,Planning[[#This Row],[Mes]],#REF!,Planning[[#This Row],[Año]])</f>
        <v>#REF!</v>
      </c>
      <c r="R1218" s="19" t="str">
        <f>TEXT(Planning[[#This Row],[Mes]]*29,"mmmm")</f>
        <v>October</v>
      </c>
      <c r="S12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18" s="228"/>
      <c r="U1218" s="43" t="e">
        <f>IF(Planning[[#This Row],[Horas Planificadas]]&lt;&gt;0,+K1218/Planning[[#This Row],[Horas Planificadas]],0)</f>
        <v>#REF!</v>
      </c>
      <c r="V1218" s="43" t="e">
        <f>IF(Planning[[#This Row],[Horas Planificadas]]&lt;&gt;0,Planning[[#This Row],[Horas utilizadas]]/Planning[[#This Row],[Horas Planificadas]],0)</f>
        <v>#REF!</v>
      </c>
      <c r="W1218" s="44">
        <f>Planning[[#This Row],[Horas Planificadas]]+Planning[[#This Row],[Horas ajustadas adicionales]]</f>
        <v>120</v>
      </c>
      <c r="X1218" s="142"/>
    </row>
    <row r="1219" spans="1:24" ht="12.75" customHeight="1" x14ac:dyDescent="0.2">
      <c r="A1219" s="7" t="s">
        <v>168</v>
      </c>
      <c r="B1219" s="7" t="s">
        <v>169</v>
      </c>
      <c r="C1219" s="3"/>
      <c r="D1219" s="3" t="s">
        <v>324</v>
      </c>
      <c r="E1219" s="33" t="s">
        <v>28</v>
      </c>
      <c r="F1219" s="33"/>
      <c r="G1219" s="7">
        <v>1200</v>
      </c>
      <c r="H1219" s="24">
        <f>SUM(H1220:H1221)</f>
        <v>1746</v>
      </c>
      <c r="I1219" s="14"/>
      <c r="J1219" s="14" t="e">
        <f>SUM(J1220:J1221)</f>
        <v>#REF!</v>
      </c>
      <c r="K1219" s="18" t="e">
        <f>SUM(K1220:K1221)</f>
        <v>#REF!</v>
      </c>
      <c r="L1219" s="15">
        <f>SUM(L1220:L1221)</f>
        <v>0</v>
      </c>
      <c r="M1219" s="28" t="e">
        <f>SUM(M1220:M1221)</f>
        <v>#REF!</v>
      </c>
      <c r="N1219" s="61" t="e">
        <f>+SUMIFS(#REF!,#REF!,Planning[[#This Row],[Proyectos]],#REF!,Planning[[#This Row],[Tipo de Tarea y especialidad]])</f>
        <v>#REF!</v>
      </c>
      <c r="O1219" s="28">
        <f t="shared" si="36"/>
        <v>10</v>
      </c>
      <c r="P1219" s="28">
        <f t="shared" si="37"/>
        <v>2024</v>
      </c>
      <c r="Q1219" s="28" t="e">
        <f>SUM(Q1220:Q1221)</f>
        <v>#REF!</v>
      </c>
      <c r="R1219" s="28" t="str">
        <f>TEXT(Planning[[#This Row],[Mes]]*29,"mmmm")</f>
        <v>October</v>
      </c>
      <c r="S12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19" s="192" t="s">
        <v>325</v>
      </c>
      <c r="U1219" s="43" t="e">
        <f>IF(Planning[[#This Row],[Horas Planificadas]]&lt;&gt;0,+K1219/Planning[[#This Row],[Horas Planificadas]],0)</f>
        <v>#REF!</v>
      </c>
      <c r="V1219" s="43" t="e">
        <f>IF(Planning[[#This Row],[Horas Planificadas]]&lt;&gt;0,Planning[[#This Row],[Horas utilizadas]]/Planning[[#This Row],[Horas Planificadas]],0)</f>
        <v>#REF!</v>
      </c>
      <c r="W1219" s="44">
        <f>Planning[[#This Row],[Horas Planificadas]]+Planning[[#This Row],[Horas ajustadas adicionales]]</f>
        <v>1746</v>
      </c>
      <c r="X1219" s="142"/>
    </row>
    <row r="1220" spans="1:24" ht="12.75" customHeight="1" x14ac:dyDescent="0.2">
      <c r="A1220" s="7" t="s">
        <v>168</v>
      </c>
      <c r="B1220" s="7" t="s">
        <v>169</v>
      </c>
      <c r="C1220" s="3"/>
      <c r="D1220" s="3" t="s">
        <v>324</v>
      </c>
      <c r="E1220" s="33"/>
      <c r="F1220" s="33" t="s">
        <v>120</v>
      </c>
      <c r="G1220" s="7"/>
      <c r="H1220" s="7">
        <v>1021</v>
      </c>
      <c r="I1220" s="12"/>
      <c r="J1220" s="5" t="e">
        <f>SUM(SUMIFS(#REF!,#REF!,Planning[[#This Row],[Tipo de Tarea y especialidad]],#REF!,Planning[[#This Row],[Proyectos Reiwa]]),SUMIFS(#REF!,#REF!,Planning[[#This Row],[Tipo de Tarea y especialidad]],#REF!,Planning[[#This Row],[Proyectos]]))</f>
        <v>#REF!</v>
      </c>
      <c r="K1220" s="5" t="e">
        <f>Planning[[#This Row],[Horas Planificadas]]+Planning[[#This Row],[Horas ajustadas adicionales]]-Planning[[#This Row],[Horas utilizadas]]</f>
        <v>#REF!</v>
      </c>
      <c r="L1220" s="7">
        <v>0</v>
      </c>
      <c r="M1220" s="19" t="e">
        <f>Planning[[#This Row],[Saldo]]-Planning[[#This Row],[Saldo estimado]]</f>
        <v>#REF!</v>
      </c>
      <c r="N1220" s="60" t="e">
        <f>+SUMIFS(#REF!,#REF!,Planning[[#This Row],[Proyectos]],#REF!,Planning[[#This Row],[Tipo de Tarea y especialidad]])</f>
        <v>#REF!</v>
      </c>
      <c r="O1220" s="19">
        <f t="shared" si="36"/>
        <v>10</v>
      </c>
      <c r="P1220" s="19">
        <f t="shared" si="37"/>
        <v>2024</v>
      </c>
      <c r="Q12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20" s="19" t="str">
        <f>TEXT(Planning[[#This Row],[Mes]]*29,"mmmm")</f>
        <v>October</v>
      </c>
      <c r="S12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20" s="193"/>
      <c r="U1220" s="43" t="e">
        <f>IF(Planning[[#This Row],[Horas Planificadas]]&lt;&gt;0,+K1220/Planning[[#This Row],[Horas Planificadas]],0)</f>
        <v>#REF!</v>
      </c>
      <c r="V1220" s="43" t="e">
        <f>IF(Planning[[#This Row],[Horas Planificadas]]&lt;&gt;0,Planning[[#This Row],[Horas utilizadas]]/Planning[[#This Row],[Horas Planificadas]],0)</f>
        <v>#REF!</v>
      </c>
      <c r="W1220" s="44">
        <f>Planning[[#This Row],[Horas Planificadas]]+Planning[[#This Row],[Horas ajustadas adicionales]]</f>
        <v>1021</v>
      </c>
      <c r="X1220" s="142"/>
    </row>
    <row r="1221" spans="1:24" ht="12.75" customHeight="1" x14ac:dyDescent="0.2">
      <c r="A1221" s="7" t="s">
        <v>168</v>
      </c>
      <c r="B1221" s="7" t="s">
        <v>169</v>
      </c>
      <c r="C1221" s="3"/>
      <c r="D1221" s="3" t="s">
        <v>324</v>
      </c>
      <c r="E1221" s="33"/>
      <c r="F1221" s="33" t="s">
        <v>121</v>
      </c>
      <c r="G1221" s="7"/>
      <c r="H1221" s="7">
        <v>725</v>
      </c>
      <c r="I1221" s="12"/>
      <c r="J1221" s="5" t="e">
        <f>SUM(SUMIFS(#REF!,#REF!,Planning[[#This Row],[Tipo de Tarea y especialidad]],#REF!,Planning[[#This Row],[Proyectos Reiwa]]),SUMIFS(#REF!,#REF!,Planning[[#This Row],[Tipo de Tarea y especialidad]],#REF!,Planning[[#This Row],[Proyectos]]))</f>
        <v>#REF!</v>
      </c>
      <c r="K1221" s="5" t="e">
        <f>Planning[[#This Row],[Horas Planificadas]]+Planning[[#This Row],[Horas ajustadas adicionales]]-Planning[[#This Row],[Horas utilizadas]]</f>
        <v>#REF!</v>
      </c>
      <c r="L1221" s="7">
        <v>0</v>
      </c>
      <c r="M1221" s="19" t="e">
        <f>Planning[[#This Row],[Saldo]]-Planning[[#This Row],[Saldo estimado]]</f>
        <v>#REF!</v>
      </c>
      <c r="N1221" s="60" t="e">
        <f>+SUMIFS(#REF!,#REF!,Planning[[#This Row],[Proyectos]],#REF!,Planning[[#This Row],[Tipo de Tarea y especialidad]])</f>
        <v>#REF!</v>
      </c>
      <c r="O1221" s="19">
        <f t="shared" si="36"/>
        <v>10</v>
      </c>
      <c r="P1221" s="19">
        <f t="shared" si="37"/>
        <v>2024</v>
      </c>
      <c r="Q12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21" s="19" t="str">
        <f>TEXT(Planning[[#This Row],[Mes]]*29,"mmmm")</f>
        <v>October</v>
      </c>
      <c r="S12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21" s="193"/>
      <c r="U1221" s="43" t="e">
        <f>IF(Planning[[#This Row],[Horas Planificadas]]&lt;&gt;0,+K1221/Planning[[#This Row],[Horas Planificadas]],0)</f>
        <v>#REF!</v>
      </c>
      <c r="V1221" s="43" t="e">
        <f>IF(Planning[[#This Row],[Horas Planificadas]]&lt;&gt;0,Planning[[#This Row],[Horas utilizadas]]/Planning[[#This Row],[Horas Planificadas]],0)</f>
        <v>#REF!</v>
      </c>
      <c r="W1221" s="44">
        <f>Planning[[#This Row],[Horas Planificadas]]+Planning[[#This Row],[Horas ajustadas adicionales]]</f>
        <v>725</v>
      </c>
      <c r="X1221" s="142"/>
    </row>
    <row r="1222" spans="1:24" ht="12.75" customHeight="1" x14ac:dyDescent="0.2">
      <c r="A1222" s="7" t="s">
        <v>168</v>
      </c>
      <c r="B1222" s="7" t="s">
        <v>169</v>
      </c>
      <c r="C1222" s="3"/>
      <c r="D1222" s="3" t="s">
        <v>324</v>
      </c>
      <c r="E1222" s="33" t="s">
        <v>30</v>
      </c>
      <c r="F1222" s="33"/>
      <c r="G1222" s="7">
        <v>815</v>
      </c>
      <c r="H1222" s="24">
        <f>SUM(H1223:H1229)</f>
        <v>1641</v>
      </c>
      <c r="I1222" s="14"/>
      <c r="J1222" s="14" t="e">
        <f>SUM(J1223:J1229)</f>
        <v>#REF!</v>
      </c>
      <c r="K1222" s="18" t="e">
        <f>SUM(K1223:K1229)</f>
        <v>#REF!</v>
      </c>
      <c r="L1222" s="15">
        <f>SUM(L1223:L1229)</f>
        <v>0</v>
      </c>
      <c r="M1222" s="16" t="e">
        <f>SUM(M1223:M1229)</f>
        <v>#REF!</v>
      </c>
      <c r="N1222" s="60" t="e">
        <f>+SUMIFS(#REF!,#REF!,Planning[[#This Row],[Proyectos]],#REF!,Planning[[#This Row],[Tipo de Tarea y especialidad]])</f>
        <v>#REF!</v>
      </c>
      <c r="O1222" s="16">
        <f t="shared" si="36"/>
        <v>10</v>
      </c>
      <c r="P1222" s="16">
        <f t="shared" si="37"/>
        <v>2024</v>
      </c>
      <c r="Q1222" s="16" t="e">
        <f>SUM(Q1223:Q1229)</f>
        <v>#REF!</v>
      </c>
      <c r="R1222" s="16" t="str">
        <f>TEXT(Planning[[#This Row],[Mes]]*29,"mmmm")</f>
        <v>October</v>
      </c>
      <c r="S12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22" s="193"/>
      <c r="U1222" s="43" t="e">
        <f>IF(Planning[[#This Row],[Horas Planificadas]]&lt;&gt;0,+K1222/Planning[[#This Row],[Horas Planificadas]],0)</f>
        <v>#REF!</v>
      </c>
      <c r="V1222" s="43" t="e">
        <f>IF(Planning[[#This Row],[Horas Planificadas]]&lt;&gt;0,Planning[[#This Row],[Horas utilizadas]]/Planning[[#This Row],[Horas Planificadas]],0)</f>
        <v>#REF!</v>
      </c>
      <c r="W1222" s="44">
        <f>Planning[[#This Row],[Horas Planificadas]]+Planning[[#This Row],[Horas ajustadas adicionales]]</f>
        <v>1641</v>
      </c>
      <c r="X1222" s="142"/>
    </row>
    <row r="1223" spans="1:24" ht="12.75" customHeight="1" x14ac:dyDescent="0.2">
      <c r="A1223" s="7" t="s">
        <v>168</v>
      </c>
      <c r="B1223" s="7" t="s">
        <v>169</v>
      </c>
      <c r="C1223" s="3"/>
      <c r="D1223" s="3" t="s">
        <v>324</v>
      </c>
      <c r="E1223" s="33"/>
      <c r="F1223" s="33" t="s">
        <v>122</v>
      </c>
      <c r="G1223" s="7"/>
      <c r="H1223" s="7">
        <v>1641</v>
      </c>
      <c r="I1223" s="12"/>
      <c r="J1223" s="5" t="e">
        <f>SUM(SUMIFS(#REF!,#REF!,Planning[[#This Row],[Tipo de Tarea y especialidad]],#REF!,Planning[[#This Row],[Proyectos Reiwa]]),SUMIFS(#REF!,#REF!,Planning[[#This Row],[Tipo de Tarea y especialidad]],#REF!,Planning[[#This Row],[Proyectos]]))</f>
        <v>#REF!</v>
      </c>
      <c r="K1223" s="5" t="e">
        <f>Planning[[#This Row],[Horas Planificadas]]+Planning[[#This Row],[Horas ajustadas adicionales]]-Planning[[#This Row],[Horas utilizadas]]</f>
        <v>#REF!</v>
      </c>
      <c r="L1223" s="7">
        <v>0</v>
      </c>
      <c r="M1223" s="19" t="e">
        <f>Planning[[#This Row],[Saldo]]-Planning[[#This Row],[Saldo estimado]]</f>
        <v>#REF!</v>
      </c>
      <c r="N1223" s="60" t="e">
        <f>+SUMIFS(#REF!,#REF!,Planning[[#This Row],[Proyectos]],#REF!,Planning[[#This Row],[Tipo de Tarea y especialidad]])</f>
        <v>#REF!</v>
      </c>
      <c r="O1223" s="19">
        <f t="shared" ref="O1223:O1286" si="38">$L$4</f>
        <v>10</v>
      </c>
      <c r="P1223" s="19">
        <f t="shared" ref="P1223:P1286" si="39">$M$4</f>
        <v>2024</v>
      </c>
      <c r="Q12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23" s="19" t="str">
        <f>TEXT(Planning[[#This Row],[Mes]]*29,"mmmm")</f>
        <v>October</v>
      </c>
      <c r="S12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23" s="193"/>
      <c r="U1223" s="43" t="e">
        <f>IF(Planning[[#This Row],[Horas Planificadas]]&lt;&gt;0,+K1223/Planning[[#This Row],[Horas Planificadas]],0)</f>
        <v>#REF!</v>
      </c>
      <c r="V1223" s="43" t="e">
        <f>IF(Planning[[#This Row],[Horas Planificadas]]&lt;&gt;0,Planning[[#This Row],[Horas utilizadas]]/Planning[[#This Row],[Horas Planificadas]],0)</f>
        <v>#REF!</v>
      </c>
      <c r="W1223" s="44">
        <f>Planning[[#This Row],[Horas Planificadas]]+Planning[[#This Row],[Horas ajustadas adicionales]]</f>
        <v>1641</v>
      </c>
      <c r="X1223" s="142"/>
    </row>
    <row r="1224" spans="1:24" ht="12.75" customHeight="1" x14ac:dyDescent="0.2">
      <c r="A1224" s="7" t="s">
        <v>168</v>
      </c>
      <c r="B1224" s="7" t="s">
        <v>169</v>
      </c>
      <c r="C1224" s="3"/>
      <c r="D1224" s="3" t="s">
        <v>324</v>
      </c>
      <c r="E1224" s="33"/>
      <c r="F1224" s="33" t="s">
        <v>123</v>
      </c>
      <c r="G1224" s="7"/>
      <c r="H1224" s="7"/>
      <c r="I1224" s="12"/>
      <c r="J1224" s="5" t="e">
        <f>SUM(SUMIFS(#REF!,#REF!,Planning[[#This Row],[Tipo de Tarea y especialidad]],#REF!,Planning[[#This Row],[Proyectos Reiwa]]),SUMIFS(#REF!,#REF!,Planning[[#This Row],[Tipo de Tarea y especialidad]],#REF!,Planning[[#This Row],[Proyectos]]))</f>
        <v>#REF!</v>
      </c>
      <c r="K1224" s="5" t="e">
        <f>Planning[[#This Row],[Horas Planificadas]]+Planning[[#This Row],[Horas ajustadas adicionales]]-Planning[[#This Row],[Horas utilizadas]]</f>
        <v>#REF!</v>
      </c>
      <c r="L1224" s="7">
        <v>0</v>
      </c>
      <c r="M1224" s="19" t="e">
        <f>Planning[[#This Row],[Saldo]]-Planning[[#This Row],[Saldo estimado]]</f>
        <v>#REF!</v>
      </c>
      <c r="N1224" s="60" t="e">
        <f>+SUMIFS(#REF!,#REF!,Planning[[#This Row],[Proyectos]],#REF!,Planning[[#This Row],[Tipo de Tarea y especialidad]])</f>
        <v>#REF!</v>
      </c>
      <c r="O1224" s="19">
        <f t="shared" si="38"/>
        <v>10</v>
      </c>
      <c r="P1224" s="19">
        <f t="shared" si="39"/>
        <v>2024</v>
      </c>
      <c r="Q12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24" s="19" t="str">
        <f>TEXT(Planning[[#This Row],[Mes]]*29,"mmmm")</f>
        <v>October</v>
      </c>
      <c r="S12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24" s="193"/>
      <c r="U1224" s="43">
        <f>IF(Planning[[#This Row],[Horas Planificadas]]&lt;&gt;0,+K1224/Planning[[#This Row],[Horas Planificadas]],0)</f>
        <v>0</v>
      </c>
      <c r="V1224" s="43">
        <f>IF(Planning[[#This Row],[Horas Planificadas]]&lt;&gt;0,Planning[[#This Row],[Horas utilizadas]]/Planning[[#This Row],[Horas Planificadas]],0)</f>
        <v>0</v>
      </c>
      <c r="W1224" s="44">
        <f>Planning[[#This Row],[Horas Planificadas]]+Planning[[#This Row],[Horas ajustadas adicionales]]</f>
        <v>0</v>
      </c>
      <c r="X1224" s="142"/>
    </row>
    <row r="1225" spans="1:24" ht="12.75" customHeight="1" x14ac:dyDescent="0.2">
      <c r="A1225" s="7" t="s">
        <v>168</v>
      </c>
      <c r="B1225" s="7" t="s">
        <v>169</v>
      </c>
      <c r="C1225" s="3"/>
      <c r="D1225" s="3" t="s">
        <v>324</v>
      </c>
      <c r="E1225" s="33"/>
      <c r="F1225" s="33" t="s">
        <v>124</v>
      </c>
      <c r="G1225" s="7"/>
      <c r="H1225" s="7"/>
      <c r="I1225" s="12"/>
      <c r="J1225" s="5" t="e">
        <f>SUM(SUMIFS(#REF!,#REF!,Planning[[#This Row],[Tipo de Tarea y especialidad]],#REF!,Planning[[#This Row],[Proyectos Reiwa]]),SUMIFS(#REF!,#REF!,Planning[[#This Row],[Tipo de Tarea y especialidad]],#REF!,Planning[[#This Row],[Proyectos]]))</f>
        <v>#REF!</v>
      </c>
      <c r="K1225" s="5" t="e">
        <f>Planning[[#This Row],[Horas Planificadas]]+Planning[[#This Row],[Horas ajustadas adicionales]]-Planning[[#This Row],[Horas utilizadas]]</f>
        <v>#REF!</v>
      </c>
      <c r="L1225" s="7">
        <v>0</v>
      </c>
      <c r="M1225" s="19" t="e">
        <f>Planning[[#This Row],[Saldo]]-Planning[[#This Row],[Saldo estimado]]</f>
        <v>#REF!</v>
      </c>
      <c r="N1225" s="60" t="e">
        <f>+SUMIFS(#REF!,#REF!,Planning[[#This Row],[Proyectos]],#REF!,Planning[[#This Row],[Tipo de Tarea y especialidad]])</f>
        <v>#REF!</v>
      </c>
      <c r="O1225" s="19">
        <f t="shared" si="38"/>
        <v>10</v>
      </c>
      <c r="P1225" s="19">
        <f t="shared" si="39"/>
        <v>2024</v>
      </c>
      <c r="Q12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25" s="19" t="str">
        <f>TEXT(Planning[[#This Row],[Mes]]*29,"mmmm")</f>
        <v>October</v>
      </c>
      <c r="S12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25" s="193"/>
      <c r="U1225" s="43">
        <f>IF(Planning[[#This Row],[Horas Planificadas]]&lt;&gt;0,+K1225/Planning[[#This Row],[Horas Planificadas]],0)</f>
        <v>0</v>
      </c>
      <c r="V1225" s="43">
        <f>IF(Planning[[#This Row],[Horas Planificadas]]&lt;&gt;0,Planning[[#This Row],[Horas utilizadas]]/Planning[[#This Row],[Horas Planificadas]],0)</f>
        <v>0</v>
      </c>
      <c r="W1225" s="44">
        <f>Planning[[#This Row],[Horas Planificadas]]+Planning[[#This Row],[Horas ajustadas adicionales]]</f>
        <v>0</v>
      </c>
      <c r="X1225" s="142"/>
    </row>
    <row r="1226" spans="1:24" ht="12.75" customHeight="1" x14ac:dyDescent="0.2">
      <c r="A1226" s="7" t="s">
        <v>168</v>
      </c>
      <c r="B1226" s="7" t="s">
        <v>169</v>
      </c>
      <c r="C1226" s="3"/>
      <c r="D1226" s="3" t="s">
        <v>324</v>
      </c>
      <c r="E1226" s="33"/>
      <c r="F1226" s="33" t="s">
        <v>125</v>
      </c>
      <c r="G1226" s="7"/>
      <c r="H1226" s="7"/>
      <c r="I1226" s="12"/>
      <c r="J1226" s="5" t="e">
        <f>SUM(SUMIFS(#REF!,#REF!,Planning[[#This Row],[Tipo de Tarea y especialidad]],#REF!,Planning[[#This Row],[Proyectos Reiwa]]),SUMIFS(#REF!,#REF!,Planning[[#This Row],[Tipo de Tarea y especialidad]],#REF!,Planning[[#This Row],[Proyectos]]))</f>
        <v>#REF!</v>
      </c>
      <c r="K1226" s="5" t="e">
        <f>Planning[[#This Row],[Horas Planificadas]]+Planning[[#This Row],[Horas ajustadas adicionales]]-Planning[[#This Row],[Horas utilizadas]]</f>
        <v>#REF!</v>
      </c>
      <c r="L1226" s="7">
        <v>0</v>
      </c>
      <c r="M1226" s="19" t="e">
        <f>Planning[[#This Row],[Saldo]]-Planning[[#This Row],[Saldo estimado]]</f>
        <v>#REF!</v>
      </c>
      <c r="N1226" s="60" t="e">
        <f>+SUMIFS(#REF!,#REF!,Planning[[#This Row],[Proyectos]],#REF!,Planning[[#This Row],[Tipo de Tarea y especialidad]])</f>
        <v>#REF!</v>
      </c>
      <c r="O1226" s="19">
        <f t="shared" si="38"/>
        <v>10</v>
      </c>
      <c r="P1226" s="19">
        <f t="shared" si="39"/>
        <v>2024</v>
      </c>
      <c r="Q12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26" s="19" t="str">
        <f>TEXT(Planning[[#This Row],[Mes]]*29,"mmmm")</f>
        <v>October</v>
      </c>
      <c r="S12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26" s="193"/>
      <c r="U1226" s="43">
        <f>IF(Planning[[#This Row],[Horas Planificadas]]&lt;&gt;0,+K1226/Planning[[#This Row],[Horas Planificadas]],0)</f>
        <v>0</v>
      </c>
      <c r="V1226" s="43">
        <f>IF(Planning[[#This Row],[Horas Planificadas]]&lt;&gt;0,Planning[[#This Row],[Horas utilizadas]]/Planning[[#This Row],[Horas Planificadas]],0)</f>
        <v>0</v>
      </c>
      <c r="W1226" s="44">
        <f>Planning[[#This Row],[Horas Planificadas]]+Planning[[#This Row],[Horas ajustadas adicionales]]</f>
        <v>0</v>
      </c>
      <c r="X1226" s="142"/>
    </row>
    <row r="1227" spans="1:24" x14ac:dyDescent="0.2">
      <c r="A1227" s="7" t="s">
        <v>168</v>
      </c>
      <c r="B1227" s="7" t="s">
        <v>169</v>
      </c>
      <c r="C1227" s="3"/>
      <c r="D1227" s="3" t="s">
        <v>324</v>
      </c>
      <c r="E1227" s="4"/>
      <c r="F1227" s="3" t="s">
        <v>126</v>
      </c>
      <c r="G1227" s="9"/>
      <c r="H1227" s="12"/>
      <c r="I1227" s="12"/>
      <c r="J1227" s="5" t="e">
        <f>SUM(SUMIFS(#REF!,#REF!,Planning[[#This Row],[Tipo de Tarea y especialidad]],#REF!,Planning[[#This Row],[Proyectos Reiwa]]),SUMIFS(#REF!,#REF!,Planning[[#This Row],[Tipo de Tarea y especialidad]],#REF!,Planning[[#This Row],[Proyectos]]))</f>
        <v>#REF!</v>
      </c>
      <c r="K1227" s="27" t="e">
        <f>Planning[[#This Row],[Horas Planificadas]]+Planning[[#This Row],[Horas ajustadas adicionales]]-Planning[[#This Row],[Horas utilizadas]]</f>
        <v>#REF!</v>
      </c>
      <c r="L1227" s="7">
        <v>0</v>
      </c>
      <c r="M1227" s="34" t="e">
        <f>Planning[[#This Row],[Saldo]]-Planning[[#This Row],[Saldo estimado]]</f>
        <v>#REF!</v>
      </c>
      <c r="N1227" s="62" t="e">
        <f>+SUMIFS(#REF!,#REF!,Planning[[#This Row],[Proyectos]],#REF!,Planning[[#This Row],[Tipo de Tarea y especialidad]])</f>
        <v>#REF!</v>
      </c>
      <c r="O1227" s="34">
        <f t="shared" si="38"/>
        <v>10</v>
      </c>
      <c r="P1227" s="34">
        <f t="shared" si="39"/>
        <v>2024</v>
      </c>
      <c r="Q12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27" s="19" t="str">
        <f>TEXT(Planning[[#This Row],[Mes]]*29,"mmmm")</f>
        <v>October</v>
      </c>
      <c r="S12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27" s="193"/>
      <c r="U1227" s="43">
        <f>IF(Planning[[#This Row],[Horas Planificadas]]&lt;&gt;0,+K1227/Planning[[#This Row],[Horas Planificadas]],0)</f>
        <v>0</v>
      </c>
      <c r="V1227" s="43">
        <f>IF(Planning[[#This Row],[Horas Planificadas]]&lt;&gt;0,Planning[[#This Row],[Horas utilizadas]]/Planning[[#This Row],[Horas Planificadas]],0)</f>
        <v>0</v>
      </c>
      <c r="W1227" s="44">
        <f>Planning[[#This Row],[Horas Planificadas]]+Planning[[#This Row],[Horas ajustadas adicionales]]</f>
        <v>0</v>
      </c>
      <c r="X1227" s="142"/>
    </row>
    <row r="1228" spans="1:24" x14ac:dyDescent="0.2">
      <c r="A1228" s="7" t="s">
        <v>168</v>
      </c>
      <c r="B1228" s="7" t="s">
        <v>169</v>
      </c>
      <c r="C1228" s="3"/>
      <c r="D1228" s="3" t="s">
        <v>324</v>
      </c>
      <c r="E1228" s="4"/>
      <c r="F1228" s="3" t="s">
        <v>127</v>
      </c>
      <c r="G1228" s="9"/>
      <c r="H1228" s="9"/>
      <c r="I1228" s="12"/>
      <c r="J1228" s="5" t="e">
        <f>SUM(SUMIFS(#REF!,#REF!,Planning[[#This Row],[Tipo de Tarea y especialidad]],#REF!,Planning[[#This Row],[Proyectos Reiwa]]),SUMIFS(#REF!,#REF!,Planning[[#This Row],[Tipo de Tarea y especialidad]],#REF!,Planning[[#This Row],[Proyectos]]))</f>
        <v>#REF!</v>
      </c>
      <c r="K1228" s="5" t="e">
        <f>Planning[[#This Row],[Horas Planificadas]]+Planning[[#This Row],[Horas ajustadas adicionales]]-Planning[[#This Row],[Horas utilizadas]]</f>
        <v>#REF!</v>
      </c>
      <c r="L1228" s="7">
        <v>0</v>
      </c>
      <c r="M1228" s="19" t="e">
        <f>Planning[[#This Row],[Saldo]]-Planning[[#This Row],[Saldo estimado]]</f>
        <v>#REF!</v>
      </c>
      <c r="N1228" s="60" t="e">
        <f>+SUMIFS(#REF!,#REF!,Planning[[#This Row],[Proyectos]],#REF!,Planning[[#This Row],[Tipo de Tarea y especialidad]])</f>
        <v>#REF!</v>
      </c>
      <c r="O1228" s="19">
        <f t="shared" si="38"/>
        <v>10</v>
      </c>
      <c r="P1228" s="19">
        <f t="shared" si="39"/>
        <v>2024</v>
      </c>
      <c r="Q12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28" s="19" t="str">
        <f>TEXT(Planning[[#This Row],[Mes]]*29,"mmmm")</f>
        <v>October</v>
      </c>
      <c r="S12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28" s="193"/>
      <c r="U1228" s="43">
        <f>IF(Planning[[#This Row],[Horas Planificadas]]&lt;&gt;0,+K1228/Planning[[#This Row],[Horas Planificadas]],0)</f>
        <v>0</v>
      </c>
      <c r="V1228" s="43">
        <f>IF(Planning[[#This Row],[Horas Planificadas]]&lt;&gt;0,Planning[[#This Row],[Horas utilizadas]]/Planning[[#This Row],[Horas Planificadas]],0)</f>
        <v>0</v>
      </c>
      <c r="W1228" s="44">
        <f>Planning[[#This Row],[Horas Planificadas]]+Planning[[#This Row],[Horas ajustadas adicionales]]</f>
        <v>0</v>
      </c>
      <c r="X1228" s="142"/>
    </row>
    <row r="1229" spans="1:24" x14ac:dyDescent="0.2">
      <c r="A1229" s="7" t="s">
        <v>168</v>
      </c>
      <c r="B1229" s="7" t="s">
        <v>169</v>
      </c>
      <c r="C1229" s="3"/>
      <c r="D1229" s="3" t="s">
        <v>324</v>
      </c>
      <c r="E1229" s="4"/>
      <c r="F1229" s="3" t="s">
        <v>128</v>
      </c>
      <c r="G1229" s="9"/>
      <c r="H1229" s="9"/>
      <c r="I1229" s="12"/>
      <c r="J1229" s="5" t="e">
        <f>SUM(SUMIFS(#REF!,#REF!,Planning[[#This Row],[Tipo de Tarea y especialidad]],#REF!,Planning[[#This Row],[Proyectos Reiwa]]),SUMIFS(#REF!,#REF!,Planning[[#This Row],[Tipo de Tarea y especialidad]],#REF!,Planning[[#This Row],[Proyectos]]))</f>
        <v>#REF!</v>
      </c>
      <c r="K1229" s="5" t="e">
        <f>Planning[[#This Row],[Horas Planificadas]]+Planning[[#This Row],[Horas ajustadas adicionales]]-Planning[[#This Row],[Horas utilizadas]]</f>
        <v>#REF!</v>
      </c>
      <c r="L1229" s="7">
        <v>0</v>
      </c>
      <c r="M1229" s="19" t="e">
        <f>Planning[[#This Row],[Saldo]]-Planning[[#This Row],[Saldo estimado]]</f>
        <v>#REF!</v>
      </c>
      <c r="N1229" s="60" t="e">
        <f>+SUMIFS(#REF!,#REF!,Planning[[#This Row],[Proyectos]],#REF!,Planning[[#This Row],[Tipo de Tarea y especialidad]])</f>
        <v>#REF!</v>
      </c>
      <c r="O1229" s="19">
        <f t="shared" si="38"/>
        <v>10</v>
      </c>
      <c r="P1229" s="19">
        <f t="shared" si="39"/>
        <v>2024</v>
      </c>
      <c r="Q12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29" s="19" t="str">
        <f>TEXT(Planning[[#This Row],[Mes]]*29,"mmmm")</f>
        <v>October</v>
      </c>
      <c r="S12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29" s="193"/>
      <c r="U1229" s="43">
        <f>IF(Planning[[#This Row],[Horas Planificadas]]&lt;&gt;0,+K1229/Planning[[#This Row],[Horas Planificadas]],0)</f>
        <v>0</v>
      </c>
      <c r="V1229" s="43">
        <f>IF(Planning[[#This Row],[Horas Planificadas]]&lt;&gt;0,Planning[[#This Row],[Horas utilizadas]]/Planning[[#This Row],[Horas Planificadas]],0)</f>
        <v>0</v>
      </c>
      <c r="W1229" s="44">
        <f>Planning[[#This Row],[Horas Planificadas]]+Planning[[#This Row],[Horas ajustadas adicionales]]</f>
        <v>0</v>
      </c>
      <c r="X1229" s="142"/>
    </row>
    <row r="1230" spans="1:24" x14ac:dyDescent="0.2">
      <c r="A1230" s="7" t="s">
        <v>168</v>
      </c>
      <c r="B1230" s="7" t="s">
        <v>169</v>
      </c>
      <c r="C1230" s="3"/>
      <c r="D1230" s="3" t="s">
        <v>324</v>
      </c>
      <c r="E1230" s="4" t="s">
        <v>31</v>
      </c>
      <c r="F1230" s="3" t="s">
        <v>31</v>
      </c>
      <c r="G1230" s="9">
        <v>357</v>
      </c>
      <c r="H1230" s="18">
        <v>357</v>
      </c>
      <c r="I1230" s="18"/>
      <c r="J1230" s="14" t="e">
        <f>+SUMIFS(#REF!,#REF!,Planning[[#This Row],[Tarifa]],#REF!,Planning[[#This Row],[Proyectos]])</f>
        <v>#REF!</v>
      </c>
      <c r="K1230" s="24" t="e">
        <f>Planning[[#This Row],[Horas Planificadas]]+Planning[[#This Row],[Horas ajustadas adicionales]]-Planning[[#This Row],[Horas utilizadas]]</f>
        <v>#REF!</v>
      </c>
      <c r="L1230" s="15">
        <v>0</v>
      </c>
      <c r="M1230" s="16" t="e">
        <f>Planning[[#This Row],[Saldo]]-Planning[[#This Row],[Saldo estimado]]</f>
        <v>#REF!</v>
      </c>
      <c r="N1230" s="60" t="e">
        <f>+SUMIFS(#REF!,#REF!,Planning[[#This Row],[Proyectos]],#REF!,Planning[[#This Row],[Tipo de Tarea y especialidad]])</f>
        <v>#REF!</v>
      </c>
      <c r="O1230" s="16">
        <f t="shared" si="38"/>
        <v>10</v>
      </c>
      <c r="P1230" s="16">
        <f t="shared" si="39"/>
        <v>2024</v>
      </c>
      <c r="Q1230" s="16" t="e">
        <f>+SUMIFS(#REF!,#REF!,Planning[[#This Row],[Tarifa]],#REF!,Planning[[#This Row],[Proyectos]],#REF!,Planning[[#This Row],[Mes]],#REF!,Planning[[#This Row],[Año]])</f>
        <v>#REF!</v>
      </c>
      <c r="R1230" s="16" t="str">
        <f>TEXT(Planning[[#This Row],[Mes]]*29,"mmmm")</f>
        <v>October</v>
      </c>
      <c r="S12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30" s="193"/>
      <c r="U1230" s="43" t="e">
        <f>IF(Planning[[#This Row],[Horas Planificadas]]&lt;&gt;0,+K1230/Planning[[#This Row],[Horas Planificadas]],0)</f>
        <v>#REF!</v>
      </c>
      <c r="V1230" s="43" t="e">
        <f>IF(Planning[[#This Row],[Horas Planificadas]]&lt;&gt;0,Planning[[#This Row],[Horas utilizadas]]/Planning[[#This Row],[Horas Planificadas]],0)</f>
        <v>#REF!</v>
      </c>
      <c r="W1230" s="44">
        <f>Planning[[#This Row],[Horas Planificadas]]+Planning[[#This Row],[Horas ajustadas adicionales]]</f>
        <v>357</v>
      </c>
      <c r="X1230" s="142"/>
    </row>
    <row r="1231" spans="1:24" ht="22.5" x14ac:dyDescent="0.2">
      <c r="A1231" s="7" t="s">
        <v>168</v>
      </c>
      <c r="B1231" s="7" t="s">
        <v>169</v>
      </c>
      <c r="C1231" s="3"/>
      <c r="D1231" s="3" t="s">
        <v>324</v>
      </c>
      <c r="E1231" s="4" t="s">
        <v>32</v>
      </c>
      <c r="F1231" s="3"/>
      <c r="G1231" s="9">
        <v>667</v>
      </c>
      <c r="H1231" s="25">
        <f>SUM(H1232:H1234)</f>
        <v>667</v>
      </c>
      <c r="I1231" s="14"/>
      <c r="J1231" s="14" t="e">
        <f>SUM(J1232:J1234)</f>
        <v>#REF!</v>
      </c>
      <c r="K1231" s="18" t="e">
        <f>SUM(K1232:K1234)</f>
        <v>#REF!</v>
      </c>
      <c r="L1231" s="15">
        <f>SUM(L1232:L1234)</f>
        <v>0</v>
      </c>
      <c r="M1231" s="16" t="e">
        <f>SUM(M1232:M1234)</f>
        <v>#REF!</v>
      </c>
      <c r="N1231" s="60" t="e">
        <f>+SUMIFS(#REF!,#REF!,Planning[[#This Row],[Proyectos]],#REF!,Planning[[#This Row],[Tipo de Tarea y especialidad]])</f>
        <v>#REF!</v>
      </c>
      <c r="O1231" s="16">
        <f t="shared" si="38"/>
        <v>10</v>
      </c>
      <c r="P1231" s="16">
        <f t="shared" si="39"/>
        <v>2024</v>
      </c>
      <c r="Q1231" s="16" t="e">
        <f>SUM(Q1232:Q1234)</f>
        <v>#REF!</v>
      </c>
      <c r="R1231" s="16" t="str">
        <f>TEXT(Planning[[#This Row],[Mes]]*29,"mmmm")</f>
        <v>October</v>
      </c>
      <c r="S12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31" s="193"/>
      <c r="U1231" s="43" t="e">
        <f>IF(Planning[[#This Row],[Horas Planificadas]]&lt;&gt;0,+K1231/Planning[[#This Row],[Horas Planificadas]],0)</f>
        <v>#REF!</v>
      </c>
      <c r="V1231" s="43" t="e">
        <f>IF(Planning[[#This Row],[Horas Planificadas]]&lt;&gt;0,Planning[[#This Row],[Horas utilizadas]]/Planning[[#This Row],[Horas Planificadas]],0)</f>
        <v>#REF!</v>
      </c>
      <c r="W1231" s="44">
        <f>Planning[[#This Row],[Horas Planificadas]]+Planning[[#This Row],[Horas ajustadas adicionales]]</f>
        <v>667</v>
      </c>
      <c r="X1231" s="142"/>
    </row>
    <row r="1232" spans="1:24" x14ac:dyDescent="0.2">
      <c r="A1232" s="7" t="s">
        <v>168</v>
      </c>
      <c r="B1232" s="7" t="s">
        <v>169</v>
      </c>
      <c r="C1232" s="3"/>
      <c r="D1232" s="3" t="s">
        <v>324</v>
      </c>
      <c r="E1232" s="4"/>
      <c r="F1232" s="3" t="s">
        <v>129</v>
      </c>
      <c r="G1232" s="9"/>
      <c r="H1232" s="9">
        <v>667</v>
      </c>
      <c r="I1232" s="12"/>
      <c r="J1232" s="5" t="e">
        <f>SUM(SUMIFS(#REF!,#REF!,Planning[[#This Row],[Tipo de Tarea y especialidad]],#REF!,Planning[[#This Row],[Proyectos Reiwa]]),SUMIFS(#REF!,#REF!,Planning[[#This Row],[Tipo de Tarea y especialidad]],#REF!,Planning[[#This Row],[Proyectos]]))</f>
        <v>#REF!</v>
      </c>
      <c r="K1232" s="5" t="e">
        <f>Planning[[#This Row],[Horas Planificadas]]+Planning[[#This Row],[Horas ajustadas adicionales]]-Planning[[#This Row],[Horas utilizadas]]</f>
        <v>#REF!</v>
      </c>
      <c r="L1232" s="7">
        <v>0</v>
      </c>
      <c r="M1232" s="19" t="e">
        <f>Planning[[#This Row],[Saldo]]-Planning[[#This Row],[Saldo estimado]]</f>
        <v>#REF!</v>
      </c>
      <c r="N1232" s="60" t="e">
        <f>+SUMIFS(#REF!,#REF!,Planning[[#This Row],[Proyectos]],#REF!,Planning[[#This Row],[Tipo de Tarea y especialidad]])</f>
        <v>#REF!</v>
      </c>
      <c r="O1232" s="19">
        <f t="shared" si="38"/>
        <v>10</v>
      </c>
      <c r="P1232" s="19">
        <f t="shared" si="39"/>
        <v>2024</v>
      </c>
      <c r="Q12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32" s="19" t="str">
        <f>TEXT(Planning[[#This Row],[Mes]]*29,"mmmm")</f>
        <v>October</v>
      </c>
      <c r="S12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32" s="193"/>
      <c r="U1232" s="43" t="e">
        <f>IF(Planning[[#This Row],[Horas Planificadas]]&lt;&gt;0,+K1232/Planning[[#This Row],[Horas Planificadas]],0)</f>
        <v>#REF!</v>
      </c>
      <c r="V1232" s="43" t="e">
        <f>IF(Planning[[#This Row],[Horas Planificadas]]&lt;&gt;0,Planning[[#This Row],[Horas utilizadas]]/Planning[[#This Row],[Horas Planificadas]],0)</f>
        <v>#REF!</v>
      </c>
      <c r="W1232" s="44">
        <f>Planning[[#This Row],[Horas Planificadas]]+Planning[[#This Row],[Horas ajustadas adicionales]]</f>
        <v>667</v>
      </c>
      <c r="X1232" s="142"/>
    </row>
    <row r="1233" spans="1:24" x14ac:dyDescent="0.2">
      <c r="A1233" s="7" t="s">
        <v>168</v>
      </c>
      <c r="B1233" s="7" t="s">
        <v>169</v>
      </c>
      <c r="C1233" s="3"/>
      <c r="D1233" s="3" t="s">
        <v>324</v>
      </c>
      <c r="E1233" s="4"/>
      <c r="F1233" s="3" t="s">
        <v>130</v>
      </c>
      <c r="G1233" s="9"/>
      <c r="H1233" s="9"/>
      <c r="I1233" s="12"/>
      <c r="J1233" s="5" t="e">
        <f>SUM(SUMIFS(#REF!,#REF!,Planning[[#This Row],[Tipo de Tarea y especialidad]],#REF!,Planning[[#This Row],[Proyectos Reiwa]]),SUMIFS(#REF!,#REF!,Planning[[#This Row],[Tipo de Tarea y especialidad]],#REF!,Planning[[#This Row],[Proyectos]]))</f>
        <v>#REF!</v>
      </c>
      <c r="K1233" s="5" t="e">
        <f>Planning[[#This Row],[Horas Planificadas]]+Planning[[#This Row],[Horas ajustadas adicionales]]-Planning[[#This Row],[Horas utilizadas]]</f>
        <v>#REF!</v>
      </c>
      <c r="L1233" s="7">
        <v>0</v>
      </c>
      <c r="M1233" s="19" t="e">
        <f>Planning[[#This Row],[Saldo]]-Planning[[#This Row],[Saldo estimado]]</f>
        <v>#REF!</v>
      </c>
      <c r="N1233" s="60" t="e">
        <f>+SUMIFS(#REF!,#REF!,Planning[[#This Row],[Proyectos]],#REF!,Planning[[#This Row],[Tipo de Tarea y especialidad]])</f>
        <v>#REF!</v>
      </c>
      <c r="O1233" s="19">
        <f t="shared" si="38"/>
        <v>10</v>
      </c>
      <c r="P1233" s="19">
        <f t="shared" si="39"/>
        <v>2024</v>
      </c>
      <c r="Q12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33" s="19" t="str">
        <f>TEXT(Planning[[#This Row],[Mes]]*29,"mmmm")</f>
        <v>October</v>
      </c>
      <c r="S12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33" s="193"/>
      <c r="U1233" s="43">
        <f>IF(Planning[[#This Row],[Horas Planificadas]]&lt;&gt;0,+K1233/Planning[[#This Row],[Horas Planificadas]],0)</f>
        <v>0</v>
      </c>
      <c r="V1233" s="43">
        <f>IF(Planning[[#This Row],[Horas Planificadas]]&lt;&gt;0,Planning[[#This Row],[Horas utilizadas]]/Planning[[#This Row],[Horas Planificadas]],0)</f>
        <v>0</v>
      </c>
      <c r="W1233" s="44">
        <f>Planning[[#This Row],[Horas Planificadas]]+Planning[[#This Row],[Horas ajustadas adicionales]]</f>
        <v>0</v>
      </c>
      <c r="X1233" s="142"/>
    </row>
    <row r="1234" spans="1:24" x14ac:dyDescent="0.2">
      <c r="A1234" s="7" t="s">
        <v>168</v>
      </c>
      <c r="B1234" s="7" t="s">
        <v>169</v>
      </c>
      <c r="C1234" s="3"/>
      <c r="D1234" s="3" t="s">
        <v>324</v>
      </c>
      <c r="E1234" s="4"/>
      <c r="F1234" s="3" t="s">
        <v>131</v>
      </c>
      <c r="G1234" s="9"/>
      <c r="H1234" s="9"/>
      <c r="I1234" s="12"/>
      <c r="J1234" s="5" t="e">
        <f>SUM(SUMIFS(#REF!,#REF!,Planning[[#This Row],[Tipo de Tarea y especialidad]],#REF!,Planning[[#This Row],[Proyectos Reiwa]]),SUMIFS(#REF!,#REF!,Planning[[#This Row],[Tipo de Tarea y especialidad]],#REF!,Planning[[#This Row],[Proyectos]]))</f>
        <v>#REF!</v>
      </c>
      <c r="K1234" s="5" t="e">
        <f>Planning[[#This Row],[Horas Planificadas]]+Planning[[#This Row],[Horas ajustadas adicionales]]-Planning[[#This Row],[Horas utilizadas]]</f>
        <v>#REF!</v>
      </c>
      <c r="L1234" s="7">
        <v>0</v>
      </c>
      <c r="M1234" s="19" t="e">
        <f>Planning[[#This Row],[Saldo]]-Planning[[#This Row],[Saldo estimado]]</f>
        <v>#REF!</v>
      </c>
      <c r="N1234" s="60" t="e">
        <f>+SUMIFS(#REF!,#REF!,Planning[[#This Row],[Proyectos]],#REF!,Planning[[#This Row],[Tipo de Tarea y especialidad]])</f>
        <v>#REF!</v>
      </c>
      <c r="O1234" s="19">
        <f t="shared" si="38"/>
        <v>10</v>
      </c>
      <c r="P1234" s="19">
        <f t="shared" si="39"/>
        <v>2024</v>
      </c>
      <c r="Q12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34" s="19" t="str">
        <f>TEXT(Planning[[#This Row],[Mes]]*29,"mmmm")</f>
        <v>October</v>
      </c>
      <c r="S12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34" s="193"/>
      <c r="U1234" s="43">
        <f>IF(Planning[[#This Row],[Horas Planificadas]]&lt;&gt;0,+K1234/Planning[[#This Row],[Horas Planificadas]],0)</f>
        <v>0</v>
      </c>
      <c r="V1234" s="43">
        <f>IF(Planning[[#This Row],[Horas Planificadas]]&lt;&gt;0,Planning[[#This Row],[Horas utilizadas]]/Planning[[#This Row],[Horas Planificadas]],0)</f>
        <v>0</v>
      </c>
      <c r="W1234" s="44">
        <f>Planning[[#This Row],[Horas Planificadas]]+Planning[[#This Row],[Horas ajustadas adicionales]]</f>
        <v>0</v>
      </c>
      <c r="X1234" s="142"/>
    </row>
    <row r="1235" spans="1:24" ht="22.5" x14ac:dyDescent="0.2">
      <c r="A1235" s="7"/>
      <c r="B1235" s="7"/>
      <c r="C1235" s="3"/>
      <c r="D1235" s="3" t="s">
        <v>326</v>
      </c>
      <c r="E1235" s="4" t="s">
        <v>28</v>
      </c>
      <c r="F1235" s="3"/>
      <c r="G1235" s="9"/>
      <c r="H1235" s="9">
        <v>0</v>
      </c>
      <c r="I1235" s="12"/>
      <c r="J1235" s="5" t="e">
        <f>+SUMIFS(#REF!,#REF!,Planning[[#This Row],[Tarifa]],#REF!,Planning[[#This Row],[Proyectos]])</f>
        <v>#REF!</v>
      </c>
      <c r="K1235" s="5" t="e">
        <f>Planning[[#This Row],[Horas Planificadas]]+Planning[[#This Row],[Horas ajustadas adicionales]]-Planning[[#This Row],[Horas utilizadas]]</f>
        <v>#REF!</v>
      </c>
      <c r="L1235" s="7"/>
      <c r="M1235" s="19" t="e">
        <f>Planning[[#This Row],[Saldo]]-Planning[[#This Row],[Saldo estimado]]</f>
        <v>#REF!</v>
      </c>
      <c r="N1235" s="60" t="e">
        <f>+SUMIFS(#REF!,#REF!,Planning[[#This Row],[Proyectos]],#REF!,Planning[[#This Row],[Tipo de Tarea y especialidad]])</f>
        <v>#REF!</v>
      </c>
      <c r="O1235" s="19">
        <f t="shared" si="38"/>
        <v>10</v>
      </c>
      <c r="P1235" s="19">
        <f t="shared" si="39"/>
        <v>2024</v>
      </c>
      <c r="Q1235" s="19" t="e">
        <f>+SUMIFS(#REF!,#REF!,Planning[[#This Row],[Tarifa]],#REF!,Planning[[#This Row],[Proyectos]],#REF!,Planning[[#This Row],[Mes]],#REF!,Planning[[#This Row],[Año]])</f>
        <v>#REF!</v>
      </c>
      <c r="R1235" s="19" t="str">
        <f>TEXT(Planning[[#This Row],[Mes]]*29,"mmmm")</f>
        <v>October</v>
      </c>
      <c r="S12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35" s="228"/>
      <c r="U1235" s="43">
        <f>IF(Planning[[#This Row],[Horas Planificadas]]&lt;&gt;0,+K1235/Planning[[#This Row],[Horas Planificadas]],0)</f>
        <v>0</v>
      </c>
      <c r="V1235" s="43">
        <f>IF(Planning[[#This Row],[Horas Planificadas]]&lt;&gt;0,Planning[[#This Row],[Horas utilizadas]]/Planning[[#This Row],[Horas Planificadas]],0)</f>
        <v>0</v>
      </c>
      <c r="W1235" s="44">
        <f>Planning[[#This Row],[Horas Planificadas]]+Planning[[#This Row],[Horas ajustadas adicionales]]</f>
        <v>0</v>
      </c>
      <c r="X1235" s="142"/>
    </row>
    <row r="1236" spans="1:24" x14ac:dyDescent="0.2">
      <c r="A1236" s="7"/>
      <c r="B1236" s="7"/>
      <c r="C1236" s="3"/>
      <c r="D1236" s="3" t="s">
        <v>326</v>
      </c>
      <c r="E1236" s="4" t="s">
        <v>30</v>
      </c>
      <c r="F1236" s="3"/>
      <c r="G1236" s="9"/>
      <c r="H1236" s="9">
        <v>46</v>
      </c>
      <c r="I1236" s="12"/>
      <c r="J1236" s="5" t="e">
        <f>+SUMIFS(#REF!,#REF!,Planning[[#This Row],[Tarifa]],#REF!,Planning[[#This Row],[Proyectos]])</f>
        <v>#REF!</v>
      </c>
      <c r="K1236" s="5" t="e">
        <f>Planning[[#This Row],[Horas Planificadas]]+Planning[[#This Row],[Horas ajustadas adicionales]]-Planning[[#This Row],[Horas utilizadas]]</f>
        <v>#REF!</v>
      </c>
      <c r="L1236" s="7"/>
      <c r="M1236" s="19" t="e">
        <f>Planning[[#This Row],[Saldo]]-Planning[[#This Row],[Saldo estimado]]</f>
        <v>#REF!</v>
      </c>
      <c r="N1236" s="60" t="e">
        <f>+SUMIFS(#REF!,#REF!,Planning[[#This Row],[Proyectos]],#REF!,Planning[[#This Row],[Tipo de Tarea y especialidad]])</f>
        <v>#REF!</v>
      </c>
      <c r="O1236" s="19">
        <f t="shared" si="38"/>
        <v>10</v>
      </c>
      <c r="P1236" s="19">
        <f t="shared" si="39"/>
        <v>2024</v>
      </c>
      <c r="Q1236" s="19" t="e">
        <f>+SUMIFS(#REF!,#REF!,Planning[[#This Row],[Tarifa]],#REF!,Planning[[#This Row],[Proyectos]],#REF!,Planning[[#This Row],[Mes]],#REF!,Planning[[#This Row],[Año]])</f>
        <v>#REF!</v>
      </c>
      <c r="R1236" s="19" t="str">
        <f>TEXT(Planning[[#This Row],[Mes]]*29,"mmmm")</f>
        <v>October</v>
      </c>
      <c r="S12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36" s="228"/>
      <c r="U1236" s="43" t="e">
        <f>IF(Planning[[#This Row],[Horas Planificadas]]&lt;&gt;0,+K1236/Planning[[#This Row],[Horas Planificadas]],0)</f>
        <v>#REF!</v>
      </c>
      <c r="V1236" s="43" t="e">
        <f>IF(Planning[[#This Row],[Horas Planificadas]]&lt;&gt;0,Planning[[#This Row],[Horas utilizadas]]/Planning[[#This Row],[Horas Planificadas]],0)</f>
        <v>#REF!</v>
      </c>
      <c r="W1236" s="44">
        <f>Planning[[#This Row],[Horas Planificadas]]+Planning[[#This Row],[Horas ajustadas adicionales]]</f>
        <v>46</v>
      </c>
      <c r="X1236" s="142"/>
    </row>
    <row r="1237" spans="1:24" x14ac:dyDescent="0.2">
      <c r="A1237" s="7"/>
      <c r="B1237" s="7"/>
      <c r="C1237" s="3"/>
      <c r="D1237" s="3" t="s">
        <v>326</v>
      </c>
      <c r="E1237" s="4" t="s">
        <v>31</v>
      </c>
      <c r="F1237" s="3"/>
      <c r="G1237" s="9"/>
      <c r="H1237" s="9">
        <v>14</v>
      </c>
      <c r="I1237" s="12"/>
      <c r="J1237" s="5" t="e">
        <f>+SUMIFS(#REF!,#REF!,Planning[[#This Row],[Tarifa]],#REF!,Planning[[#This Row],[Proyectos]])</f>
        <v>#REF!</v>
      </c>
      <c r="K1237" s="5" t="e">
        <f>Planning[[#This Row],[Horas Planificadas]]+Planning[[#This Row],[Horas ajustadas adicionales]]-Planning[[#This Row],[Horas utilizadas]]</f>
        <v>#REF!</v>
      </c>
      <c r="L1237" s="7"/>
      <c r="M1237" s="19" t="e">
        <f>Planning[[#This Row],[Saldo]]-Planning[[#This Row],[Saldo estimado]]</f>
        <v>#REF!</v>
      </c>
      <c r="N1237" s="60" t="e">
        <f>+SUMIFS(#REF!,#REF!,Planning[[#This Row],[Proyectos]],#REF!,Planning[[#This Row],[Tipo de Tarea y especialidad]])</f>
        <v>#REF!</v>
      </c>
      <c r="O1237" s="19">
        <f t="shared" si="38"/>
        <v>10</v>
      </c>
      <c r="P1237" s="19">
        <f t="shared" si="39"/>
        <v>2024</v>
      </c>
      <c r="Q1237" s="19" t="e">
        <f>+SUMIFS(#REF!,#REF!,Planning[[#This Row],[Tarifa]],#REF!,Planning[[#This Row],[Proyectos]],#REF!,Planning[[#This Row],[Mes]],#REF!,Planning[[#This Row],[Año]])</f>
        <v>#REF!</v>
      </c>
      <c r="R1237" s="19" t="str">
        <f>TEXT(Planning[[#This Row],[Mes]]*29,"mmmm")</f>
        <v>October</v>
      </c>
      <c r="S12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37" s="228"/>
      <c r="U1237" s="43" t="e">
        <f>IF(Planning[[#This Row],[Horas Planificadas]]&lt;&gt;0,+K1237/Planning[[#This Row],[Horas Planificadas]],0)</f>
        <v>#REF!</v>
      </c>
      <c r="V1237" s="43" t="e">
        <f>IF(Planning[[#This Row],[Horas Planificadas]]&lt;&gt;0,Planning[[#This Row],[Horas utilizadas]]/Planning[[#This Row],[Horas Planificadas]],0)</f>
        <v>#REF!</v>
      </c>
      <c r="W1237" s="44">
        <f>Planning[[#This Row],[Horas Planificadas]]+Planning[[#This Row],[Horas ajustadas adicionales]]</f>
        <v>14</v>
      </c>
      <c r="X1237" s="142"/>
    </row>
    <row r="1238" spans="1:24" ht="22.5" x14ac:dyDescent="0.2">
      <c r="A1238" s="7"/>
      <c r="B1238" s="7"/>
      <c r="C1238" s="3"/>
      <c r="D1238" s="3" t="s">
        <v>326</v>
      </c>
      <c r="E1238" s="4" t="s">
        <v>32</v>
      </c>
      <c r="F1238" s="3"/>
      <c r="G1238" s="9"/>
      <c r="H1238" s="9">
        <v>18</v>
      </c>
      <c r="I1238" s="12"/>
      <c r="J1238" s="5" t="e">
        <f>+SUMIFS(#REF!,#REF!,Planning[[#This Row],[Tarifa]],#REF!,Planning[[#This Row],[Proyectos]])</f>
        <v>#REF!</v>
      </c>
      <c r="K1238" s="5" t="e">
        <f>Planning[[#This Row],[Horas Planificadas]]+Planning[[#This Row],[Horas ajustadas adicionales]]-Planning[[#This Row],[Horas utilizadas]]</f>
        <v>#REF!</v>
      </c>
      <c r="L1238" s="7"/>
      <c r="M1238" s="19" t="e">
        <f>Planning[[#This Row],[Saldo]]-Planning[[#This Row],[Saldo estimado]]</f>
        <v>#REF!</v>
      </c>
      <c r="N1238" s="60" t="e">
        <f>+SUMIFS(#REF!,#REF!,Planning[[#This Row],[Proyectos]],#REF!,Planning[[#This Row],[Tipo de Tarea y especialidad]])</f>
        <v>#REF!</v>
      </c>
      <c r="O1238" s="19">
        <f t="shared" si="38"/>
        <v>10</v>
      </c>
      <c r="P1238" s="19">
        <f t="shared" si="39"/>
        <v>2024</v>
      </c>
      <c r="Q1238" s="19" t="e">
        <f>+SUMIFS(#REF!,#REF!,Planning[[#This Row],[Tarifa]],#REF!,Planning[[#This Row],[Proyectos]],#REF!,Planning[[#This Row],[Mes]],#REF!,Planning[[#This Row],[Año]])</f>
        <v>#REF!</v>
      </c>
      <c r="R1238" s="19" t="str">
        <f>TEXT(Planning[[#This Row],[Mes]]*29,"mmmm")</f>
        <v>October</v>
      </c>
      <c r="S12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38" s="228"/>
      <c r="U1238" s="43" t="e">
        <f>IF(Planning[[#This Row],[Horas Planificadas]]&lt;&gt;0,+K1238/Planning[[#This Row],[Horas Planificadas]],0)</f>
        <v>#REF!</v>
      </c>
      <c r="V1238" s="43" t="e">
        <f>IF(Planning[[#This Row],[Horas Planificadas]]&lt;&gt;0,Planning[[#This Row],[Horas utilizadas]]/Planning[[#This Row],[Horas Planificadas]],0)</f>
        <v>#REF!</v>
      </c>
      <c r="W1238" s="44">
        <f>Planning[[#This Row],[Horas Planificadas]]+Planning[[#This Row],[Horas ajustadas adicionales]]</f>
        <v>18</v>
      </c>
      <c r="X1238" s="142"/>
    </row>
    <row r="1239" spans="1:24" ht="22.5" x14ac:dyDescent="0.2">
      <c r="A1239" s="7"/>
      <c r="B1239" s="7"/>
      <c r="C1239" s="3"/>
      <c r="D1239" s="3" t="s">
        <v>327</v>
      </c>
      <c r="E1239" s="4" t="s">
        <v>28</v>
      </c>
      <c r="F1239" s="3"/>
      <c r="G1239" s="9"/>
      <c r="H1239" s="12">
        <v>125</v>
      </c>
      <c r="I1239" s="12"/>
      <c r="J1239" s="5" t="e">
        <f>+SUMIFS(#REF!,#REF!,Planning[[#This Row],[Tarifa]],#REF!,Planning[[#This Row],[Proyectos]])</f>
        <v>#REF!</v>
      </c>
      <c r="K1239" s="27" t="e">
        <f>Planning[[#This Row],[Horas Planificadas]]+Planning[[#This Row],[Horas ajustadas adicionales]]-Planning[[#This Row],[Horas utilizadas]]</f>
        <v>#REF!</v>
      </c>
      <c r="L1239" s="7"/>
      <c r="M1239" s="19" t="e">
        <f>Planning[[#This Row],[Saldo]]-Planning[[#This Row],[Saldo estimado]]</f>
        <v>#REF!</v>
      </c>
      <c r="N1239" s="60" t="e">
        <f>+SUMIFS(#REF!,#REF!,Planning[[#This Row],[Proyectos]],#REF!,Planning[[#This Row],[Tipo de Tarea y especialidad]])</f>
        <v>#REF!</v>
      </c>
      <c r="O1239" s="19">
        <f t="shared" si="38"/>
        <v>10</v>
      </c>
      <c r="P1239" s="19">
        <f t="shared" si="39"/>
        <v>2024</v>
      </c>
      <c r="Q1239" s="19" t="e">
        <f>+SUMIFS(#REF!,#REF!,Planning[[#This Row],[Tarifa]],#REF!,Planning[[#This Row],[Proyectos]],#REF!,Planning[[#This Row],[Mes]],#REF!,Planning[[#This Row],[Año]])</f>
        <v>#REF!</v>
      </c>
      <c r="R1239" s="19" t="str">
        <f>TEXT(Planning[[#This Row],[Mes]]*29,"mmmm")</f>
        <v>October</v>
      </c>
      <c r="S12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39" s="228"/>
      <c r="U1239" s="43" t="e">
        <f>IF(Planning[[#This Row],[Horas Planificadas]]&lt;&gt;0,+K1239/Planning[[#This Row],[Horas Planificadas]],0)</f>
        <v>#REF!</v>
      </c>
      <c r="V1239" s="43" t="e">
        <f>IF(Planning[[#This Row],[Horas Planificadas]]&lt;&gt;0,Planning[[#This Row],[Horas utilizadas]]/Planning[[#This Row],[Horas Planificadas]],0)</f>
        <v>#REF!</v>
      </c>
      <c r="W1239" s="44">
        <f>Planning[[#This Row],[Horas Planificadas]]+Planning[[#This Row],[Horas ajustadas adicionales]]</f>
        <v>125</v>
      </c>
      <c r="X1239" s="142"/>
    </row>
    <row r="1240" spans="1:24" x14ac:dyDescent="0.2">
      <c r="A1240" s="7"/>
      <c r="B1240" s="7"/>
      <c r="C1240" s="3"/>
      <c r="D1240" s="3" t="s">
        <v>327</v>
      </c>
      <c r="E1240" s="4" t="s">
        <v>30</v>
      </c>
      <c r="F1240" s="3"/>
      <c r="G1240" s="9"/>
      <c r="H1240" s="9">
        <v>180</v>
      </c>
      <c r="I1240" s="12"/>
      <c r="J1240" s="5" t="e">
        <f>+SUMIFS(#REF!,#REF!,Planning[[#This Row],[Tarifa]],#REF!,Planning[[#This Row],[Proyectos]])</f>
        <v>#REF!</v>
      </c>
      <c r="K1240" s="5" t="e">
        <f>Planning[[#This Row],[Horas Planificadas]]+Planning[[#This Row],[Horas ajustadas adicionales]]-Planning[[#This Row],[Horas utilizadas]]</f>
        <v>#REF!</v>
      </c>
      <c r="L1240" s="7"/>
      <c r="M1240" s="19" t="e">
        <f>Planning[[#This Row],[Saldo]]-Planning[[#This Row],[Saldo estimado]]</f>
        <v>#REF!</v>
      </c>
      <c r="N1240" s="60" t="e">
        <f>+SUMIFS(#REF!,#REF!,Planning[[#This Row],[Proyectos]],#REF!,Planning[[#This Row],[Tipo de Tarea y especialidad]])</f>
        <v>#REF!</v>
      </c>
      <c r="O1240" s="19">
        <f t="shared" si="38"/>
        <v>10</v>
      </c>
      <c r="P1240" s="19">
        <f t="shared" si="39"/>
        <v>2024</v>
      </c>
      <c r="Q1240" s="19" t="e">
        <f>+SUMIFS(#REF!,#REF!,Planning[[#This Row],[Tarifa]],#REF!,Planning[[#This Row],[Proyectos]],#REF!,Planning[[#This Row],[Mes]],#REF!,Planning[[#This Row],[Año]])</f>
        <v>#REF!</v>
      </c>
      <c r="R1240" s="19" t="str">
        <f>TEXT(Planning[[#This Row],[Mes]]*29,"mmmm")</f>
        <v>October</v>
      </c>
      <c r="S12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40" s="228"/>
      <c r="U1240" s="43" t="e">
        <f>IF(Planning[[#This Row],[Horas Planificadas]]&lt;&gt;0,+K1240/Planning[[#This Row],[Horas Planificadas]],0)</f>
        <v>#REF!</v>
      </c>
      <c r="V1240" s="43" t="e">
        <f>IF(Planning[[#This Row],[Horas Planificadas]]&lt;&gt;0,Planning[[#This Row],[Horas utilizadas]]/Planning[[#This Row],[Horas Planificadas]],0)</f>
        <v>#REF!</v>
      </c>
      <c r="W1240" s="44">
        <f>Planning[[#This Row],[Horas Planificadas]]+Planning[[#This Row],[Horas ajustadas adicionales]]</f>
        <v>180</v>
      </c>
      <c r="X1240" s="142"/>
    </row>
    <row r="1241" spans="1:24" x14ac:dyDescent="0.2">
      <c r="A1241" s="7"/>
      <c r="B1241" s="7"/>
      <c r="C1241" s="3"/>
      <c r="D1241" s="3" t="s">
        <v>327</v>
      </c>
      <c r="E1241" s="4" t="s">
        <v>31</v>
      </c>
      <c r="F1241" s="3"/>
      <c r="G1241" s="9"/>
      <c r="H1241" s="9">
        <v>200</v>
      </c>
      <c r="I1241" s="12"/>
      <c r="J1241" s="5" t="e">
        <f>+SUMIFS(#REF!,#REF!,Planning[[#This Row],[Tarifa]],#REF!,Planning[[#This Row],[Proyectos]])</f>
        <v>#REF!</v>
      </c>
      <c r="K1241" s="5" t="e">
        <f>Planning[[#This Row],[Horas Planificadas]]+Planning[[#This Row],[Horas ajustadas adicionales]]-Planning[[#This Row],[Horas utilizadas]]</f>
        <v>#REF!</v>
      </c>
      <c r="L1241" s="7"/>
      <c r="M1241" s="19" t="e">
        <f>Planning[[#This Row],[Saldo]]-Planning[[#This Row],[Saldo estimado]]</f>
        <v>#REF!</v>
      </c>
      <c r="N1241" s="60" t="e">
        <f>+SUMIFS(#REF!,#REF!,Planning[[#This Row],[Proyectos]],#REF!,Planning[[#This Row],[Tipo de Tarea y especialidad]])</f>
        <v>#REF!</v>
      </c>
      <c r="O1241" s="19">
        <f t="shared" si="38"/>
        <v>10</v>
      </c>
      <c r="P1241" s="19">
        <f t="shared" si="39"/>
        <v>2024</v>
      </c>
      <c r="Q1241" s="19" t="e">
        <f>+SUMIFS(#REF!,#REF!,Planning[[#This Row],[Tarifa]],#REF!,Planning[[#This Row],[Proyectos]],#REF!,Planning[[#This Row],[Mes]],#REF!,Planning[[#This Row],[Año]])</f>
        <v>#REF!</v>
      </c>
      <c r="R1241" s="19" t="str">
        <f>TEXT(Planning[[#This Row],[Mes]]*29,"mmmm")</f>
        <v>October</v>
      </c>
      <c r="S12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41" s="228"/>
      <c r="U1241" s="43" t="e">
        <f>IF(Planning[[#This Row],[Horas Planificadas]]&lt;&gt;0,+K1241/Planning[[#This Row],[Horas Planificadas]],0)</f>
        <v>#REF!</v>
      </c>
      <c r="V1241" s="43" t="e">
        <f>IF(Planning[[#This Row],[Horas Planificadas]]&lt;&gt;0,Planning[[#This Row],[Horas utilizadas]]/Planning[[#This Row],[Horas Planificadas]],0)</f>
        <v>#REF!</v>
      </c>
      <c r="W1241" s="44">
        <f>Planning[[#This Row],[Horas Planificadas]]+Planning[[#This Row],[Horas ajustadas adicionales]]</f>
        <v>200</v>
      </c>
      <c r="X1241" s="142"/>
    </row>
    <row r="1242" spans="1:24" ht="22.5" x14ac:dyDescent="0.2">
      <c r="A1242" s="7"/>
      <c r="B1242" s="7"/>
      <c r="C1242" s="3"/>
      <c r="D1242" s="3" t="s">
        <v>327</v>
      </c>
      <c r="E1242" s="4" t="s">
        <v>32</v>
      </c>
      <c r="F1242" s="3"/>
      <c r="G1242" s="9"/>
      <c r="H1242" s="9">
        <v>214</v>
      </c>
      <c r="I1242" s="12"/>
      <c r="J1242" s="5" t="e">
        <f>+SUMIFS(#REF!,#REF!,Planning[[#This Row],[Tarifa]],#REF!,Planning[[#This Row],[Proyectos]])</f>
        <v>#REF!</v>
      </c>
      <c r="K1242" s="5" t="e">
        <f>Planning[[#This Row],[Horas Planificadas]]+Planning[[#This Row],[Horas ajustadas adicionales]]-Planning[[#This Row],[Horas utilizadas]]</f>
        <v>#REF!</v>
      </c>
      <c r="L1242" s="7"/>
      <c r="M1242" s="19" t="e">
        <f>Planning[[#This Row],[Saldo]]-Planning[[#This Row],[Saldo estimado]]</f>
        <v>#REF!</v>
      </c>
      <c r="N1242" s="60" t="e">
        <f>+SUMIFS(#REF!,#REF!,Planning[[#This Row],[Proyectos]],#REF!,Planning[[#This Row],[Tipo de Tarea y especialidad]])</f>
        <v>#REF!</v>
      </c>
      <c r="O1242" s="19">
        <f t="shared" si="38"/>
        <v>10</v>
      </c>
      <c r="P1242" s="19">
        <f t="shared" si="39"/>
        <v>2024</v>
      </c>
      <c r="Q1242" s="19" t="e">
        <f>+SUMIFS(#REF!,#REF!,Planning[[#This Row],[Tarifa]],#REF!,Planning[[#This Row],[Proyectos]],#REF!,Planning[[#This Row],[Mes]],#REF!,Planning[[#This Row],[Año]])</f>
        <v>#REF!</v>
      </c>
      <c r="R1242" s="19" t="str">
        <f>TEXT(Planning[[#This Row],[Mes]]*29,"mmmm")</f>
        <v>October</v>
      </c>
      <c r="S12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42" s="228"/>
      <c r="U1242" s="43" t="e">
        <f>IF(Planning[[#This Row],[Horas Planificadas]]&lt;&gt;0,+K1242/Planning[[#This Row],[Horas Planificadas]],0)</f>
        <v>#REF!</v>
      </c>
      <c r="V1242" s="43" t="e">
        <f>IF(Planning[[#This Row],[Horas Planificadas]]&lt;&gt;0,Planning[[#This Row],[Horas utilizadas]]/Planning[[#This Row],[Horas Planificadas]],0)</f>
        <v>#REF!</v>
      </c>
      <c r="W1242" s="44">
        <f>Planning[[#This Row],[Horas Planificadas]]+Planning[[#This Row],[Horas ajustadas adicionales]]</f>
        <v>214</v>
      </c>
      <c r="X1242" s="142"/>
    </row>
    <row r="1243" spans="1:24" ht="12.75" customHeight="1" x14ac:dyDescent="0.2">
      <c r="A1243" s="7" t="s">
        <v>168</v>
      </c>
      <c r="B1243" s="7" t="s">
        <v>118</v>
      </c>
      <c r="C1243" s="3"/>
      <c r="D1243" s="3" t="s">
        <v>328</v>
      </c>
      <c r="E1243" s="33" t="s">
        <v>28</v>
      </c>
      <c r="F1243" s="33"/>
      <c r="G1243" s="7">
        <v>4033</v>
      </c>
      <c r="H1243" s="24">
        <f>SUM(H1244:H1245)</f>
        <v>4042</v>
      </c>
      <c r="I1243" s="14"/>
      <c r="J1243" s="14" t="e">
        <f>SUM(J1244:J1245)</f>
        <v>#REF!</v>
      </c>
      <c r="K1243" s="18" t="e">
        <f>SUM(K1244:K1245)</f>
        <v>#REF!</v>
      </c>
      <c r="L1243" s="15">
        <f>SUM(L1244:L1245)</f>
        <v>0</v>
      </c>
      <c r="M1243" s="28" t="e">
        <f>SUM(M1244:M1245)</f>
        <v>#REF!</v>
      </c>
      <c r="N1243" s="61" t="e">
        <f>+SUMIFS(#REF!,#REF!,Planning[[#This Row],[Proyectos]],#REF!,Planning[[#This Row],[Tipo de Tarea y especialidad]])</f>
        <v>#REF!</v>
      </c>
      <c r="O1243" s="28">
        <f t="shared" si="38"/>
        <v>10</v>
      </c>
      <c r="P1243" s="28">
        <f t="shared" si="39"/>
        <v>2024</v>
      </c>
      <c r="Q1243" s="28" t="e">
        <f>SUM(Q1244:Q1245)</f>
        <v>#REF!</v>
      </c>
      <c r="R1243" s="28" t="str">
        <f>TEXT(Planning[[#This Row],[Mes]]*29,"mmmm")</f>
        <v>October</v>
      </c>
      <c r="S12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43" s="243" t="s">
        <v>329</v>
      </c>
      <c r="U1243" s="43" t="e">
        <f>IF(Planning[[#This Row],[Horas Planificadas]]&lt;&gt;0,+K1243/Planning[[#This Row],[Horas Planificadas]],0)</f>
        <v>#REF!</v>
      </c>
      <c r="V1243" s="43" t="e">
        <f>IF(Planning[[#This Row],[Horas Planificadas]]&lt;&gt;0,Planning[[#This Row],[Horas utilizadas]]/Planning[[#This Row],[Horas Planificadas]],0)</f>
        <v>#REF!</v>
      </c>
      <c r="W1243" s="44">
        <f>Planning[[#This Row],[Horas Planificadas]]+Planning[[#This Row],[Horas ajustadas adicionales]]</f>
        <v>4042</v>
      </c>
      <c r="X1243" s="142"/>
    </row>
    <row r="1244" spans="1:24" ht="12.75" customHeight="1" x14ac:dyDescent="0.2">
      <c r="A1244" s="7" t="s">
        <v>168</v>
      </c>
      <c r="B1244" s="7" t="s">
        <v>118</v>
      </c>
      <c r="C1244" s="3"/>
      <c r="D1244" s="3" t="s">
        <v>328</v>
      </c>
      <c r="E1244" s="33"/>
      <c r="F1244" s="33" t="s">
        <v>120</v>
      </c>
      <c r="G1244" s="7"/>
      <c r="H1244" s="7">
        <v>2970</v>
      </c>
      <c r="I1244" s="12"/>
      <c r="J1244" s="5" t="e">
        <f>SUM(SUMIFS(#REF!,#REF!,Planning[[#This Row],[Tipo de Tarea y especialidad]],#REF!,Planning[[#This Row],[Proyectos Reiwa]]),SUMIFS(#REF!,#REF!,Planning[[#This Row],[Tipo de Tarea y especialidad]],#REF!,Planning[[#This Row],[Proyectos]]))</f>
        <v>#REF!</v>
      </c>
      <c r="K1244" s="5" t="e">
        <f>Planning[[#This Row],[Horas Planificadas]]+Planning[[#This Row],[Horas ajustadas adicionales]]-Planning[[#This Row],[Horas utilizadas]]</f>
        <v>#REF!</v>
      </c>
      <c r="L1244" s="7"/>
      <c r="M1244" s="19" t="e">
        <f>Planning[[#This Row],[Saldo]]-Planning[[#This Row],[Saldo estimado]]</f>
        <v>#REF!</v>
      </c>
      <c r="N1244" s="60" t="e">
        <f>+SUMIFS(#REF!,#REF!,Planning[[#This Row],[Proyectos]],#REF!,Planning[[#This Row],[Tipo de Tarea y especialidad]])</f>
        <v>#REF!</v>
      </c>
      <c r="O1244" s="19">
        <f t="shared" si="38"/>
        <v>10</v>
      </c>
      <c r="P1244" s="19">
        <f t="shared" si="39"/>
        <v>2024</v>
      </c>
      <c r="Q12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44" s="19" t="str">
        <f>TEXT(Planning[[#This Row],[Mes]]*29,"mmmm")</f>
        <v>October</v>
      </c>
      <c r="S12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44" s="244"/>
      <c r="U1244" s="43" t="e">
        <f>IF(Planning[[#This Row],[Horas Planificadas]]&lt;&gt;0,+K1244/Planning[[#This Row],[Horas Planificadas]],0)</f>
        <v>#REF!</v>
      </c>
      <c r="V1244" s="43" t="e">
        <f>IF(Planning[[#This Row],[Horas Planificadas]]&lt;&gt;0,Planning[[#This Row],[Horas utilizadas]]/Planning[[#This Row],[Horas Planificadas]],0)</f>
        <v>#REF!</v>
      </c>
      <c r="W1244" s="44">
        <f>Planning[[#This Row],[Horas Planificadas]]+Planning[[#This Row],[Horas ajustadas adicionales]]</f>
        <v>2970</v>
      </c>
      <c r="X1244" s="142"/>
    </row>
    <row r="1245" spans="1:24" ht="12.75" customHeight="1" x14ac:dyDescent="0.2">
      <c r="A1245" s="7" t="s">
        <v>168</v>
      </c>
      <c r="B1245" s="7" t="s">
        <v>118</v>
      </c>
      <c r="C1245" s="3"/>
      <c r="D1245" s="3" t="s">
        <v>328</v>
      </c>
      <c r="E1245" s="33"/>
      <c r="F1245" s="33" t="s">
        <v>121</v>
      </c>
      <c r="G1245" s="7"/>
      <c r="H1245" s="7">
        <v>1072</v>
      </c>
      <c r="I1245" s="12"/>
      <c r="J1245" s="5" t="e">
        <f>SUM(SUMIFS(#REF!,#REF!,Planning[[#This Row],[Tipo de Tarea y especialidad]],#REF!,Planning[[#This Row],[Proyectos Reiwa]]),SUMIFS(#REF!,#REF!,Planning[[#This Row],[Tipo de Tarea y especialidad]],#REF!,Planning[[#This Row],[Proyectos]]))</f>
        <v>#REF!</v>
      </c>
      <c r="K1245" s="5" t="e">
        <f>Planning[[#This Row],[Horas Planificadas]]+Planning[[#This Row],[Horas ajustadas adicionales]]-Planning[[#This Row],[Horas utilizadas]]</f>
        <v>#REF!</v>
      </c>
      <c r="L1245" s="7"/>
      <c r="M1245" s="19" t="e">
        <f>Planning[[#This Row],[Saldo]]-Planning[[#This Row],[Saldo estimado]]</f>
        <v>#REF!</v>
      </c>
      <c r="N1245" s="60" t="e">
        <f>+SUMIFS(#REF!,#REF!,Planning[[#This Row],[Proyectos]],#REF!,Planning[[#This Row],[Tipo de Tarea y especialidad]])</f>
        <v>#REF!</v>
      </c>
      <c r="O1245" s="19">
        <f t="shared" si="38"/>
        <v>10</v>
      </c>
      <c r="P1245" s="19">
        <f t="shared" si="39"/>
        <v>2024</v>
      </c>
      <c r="Q12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45" s="19" t="str">
        <f>TEXT(Planning[[#This Row],[Mes]]*29,"mmmm")</f>
        <v>October</v>
      </c>
      <c r="S12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45" s="244"/>
      <c r="U1245" s="43" t="e">
        <f>IF(Planning[[#This Row],[Horas Planificadas]]&lt;&gt;0,+K1245/Planning[[#This Row],[Horas Planificadas]],0)</f>
        <v>#REF!</v>
      </c>
      <c r="V1245" s="43" t="e">
        <f>IF(Planning[[#This Row],[Horas Planificadas]]&lt;&gt;0,Planning[[#This Row],[Horas utilizadas]]/Planning[[#This Row],[Horas Planificadas]],0)</f>
        <v>#REF!</v>
      </c>
      <c r="W1245" s="44">
        <f>Planning[[#This Row],[Horas Planificadas]]+Planning[[#This Row],[Horas ajustadas adicionales]]</f>
        <v>1072</v>
      </c>
      <c r="X1245" s="142"/>
    </row>
    <row r="1246" spans="1:24" ht="12.75" customHeight="1" x14ac:dyDescent="0.2">
      <c r="A1246" s="7" t="s">
        <v>168</v>
      </c>
      <c r="B1246" s="7" t="s">
        <v>118</v>
      </c>
      <c r="C1246" s="3"/>
      <c r="D1246" s="3" t="s">
        <v>328</v>
      </c>
      <c r="E1246" s="33" t="s">
        <v>30</v>
      </c>
      <c r="F1246" s="33"/>
      <c r="G1246" s="7">
        <v>2545</v>
      </c>
      <c r="H1246" s="24">
        <f>SUM(H1247:H1253)</f>
        <v>2548</v>
      </c>
      <c r="I1246" s="14"/>
      <c r="J1246" s="14" t="e">
        <f>SUM(J1247:J1253)</f>
        <v>#REF!</v>
      </c>
      <c r="K1246" s="18" t="e">
        <f>SUM(K1247:K1253)</f>
        <v>#REF!</v>
      </c>
      <c r="L1246" s="15">
        <f>SUM(L1247:L1253)</f>
        <v>0</v>
      </c>
      <c r="M1246" s="16" t="e">
        <f>SUM(M1247:M1253)</f>
        <v>#REF!</v>
      </c>
      <c r="N1246" s="60" t="e">
        <f>+SUMIFS(#REF!,#REF!,Planning[[#This Row],[Proyectos]],#REF!,Planning[[#This Row],[Tipo de Tarea y especialidad]])</f>
        <v>#REF!</v>
      </c>
      <c r="O1246" s="16">
        <f t="shared" si="38"/>
        <v>10</v>
      </c>
      <c r="P1246" s="16">
        <f t="shared" si="39"/>
        <v>2024</v>
      </c>
      <c r="Q1246" s="16" t="e">
        <f>SUM(Q1247:Q1253)</f>
        <v>#REF!</v>
      </c>
      <c r="R1246" s="16" t="str">
        <f>TEXT(Planning[[#This Row],[Mes]]*29,"mmmm")</f>
        <v>October</v>
      </c>
      <c r="S12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46" s="244"/>
      <c r="U1246" s="43" t="e">
        <f>IF(Planning[[#This Row],[Horas Planificadas]]&lt;&gt;0,+K1246/Planning[[#This Row],[Horas Planificadas]],0)</f>
        <v>#REF!</v>
      </c>
      <c r="V1246" s="43" t="e">
        <f>IF(Planning[[#This Row],[Horas Planificadas]]&lt;&gt;0,Planning[[#This Row],[Horas utilizadas]]/Planning[[#This Row],[Horas Planificadas]],0)</f>
        <v>#REF!</v>
      </c>
      <c r="W1246" s="44">
        <f>Planning[[#This Row],[Horas Planificadas]]+Planning[[#This Row],[Horas ajustadas adicionales]]</f>
        <v>2548</v>
      </c>
      <c r="X1246" s="142"/>
    </row>
    <row r="1247" spans="1:24" x14ac:dyDescent="0.2">
      <c r="A1247" s="7" t="s">
        <v>168</v>
      </c>
      <c r="B1247" s="7" t="s">
        <v>118</v>
      </c>
      <c r="C1247" s="3"/>
      <c r="D1247" s="3" t="s">
        <v>328</v>
      </c>
      <c r="E1247" s="4"/>
      <c r="F1247" s="3" t="s">
        <v>122</v>
      </c>
      <c r="G1247" s="9"/>
      <c r="H1247" s="12">
        <v>2005</v>
      </c>
      <c r="I1247" s="12"/>
      <c r="J1247" s="5" t="e">
        <f>SUM(SUMIFS(#REF!,#REF!,Planning[[#This Row],[Tipo de Tarea y especialidad]],#REF!,Planning[[#This Row],[Proyectos Reiwa]]),SUMIFS(#REF!,#REF!,Planning[[#This Row],[Tipo de Tarea y especialidad]],#REF!,Planning[[#This Row],[Proyectos]]))</f>
        <v>#REF!</v>
      </c>
      <c r="K1247" s="27" t="e">
        <f>Planning[[#This Row],[Horas Planificadas]]+Planning[[#This Row],[Horas ajustadas adicionales]]-Planning[[#This Row],[Horas utilizadas]]</f>
        <v>#REF!</v>
      </c>
      <c r="L1247" s="7"/>
      <c r="M1247" s="34" t="e">
        <f>Planning[[#This Row],[Saldo]]-Planning[[#This Row],[Saldo estimado]]</f>
        <v>#REF!</v>
      </c>
      <c r="N1247" s="62" t="e">
        <f>+SUMIFS(#REF!,#REF!,Planning[[#This Row],[Proyectos]],#REF!,Planning[[#This Row],[Tipo de Tarea y especialidad]])</f>
        <v>#REF!</v>
      </c>
      <c r="O1247" s="34">
        <f t="shared" si="38"/>
        <v>10</v>
      </c>
      <c r="P1247" s="34">
        <f t="shared" si="39"/>
        <v>2024</v>
      </c>
      <c r="Q12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47" s="19" t="str">
        <f>TEXT(Planning[[#This Row],[Mes]]*29,"mmmm")</f>
        <v>October</v>
      </c>
      <c r="S12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47" s="244"/>
      <c r="U1247" s="43" t="e">
        <f>IF(Planning[[#This Row],[Horas Planificadas]]&lt;&gt;0,+K1247/Planning[[#This Row],[Horas Planificadas]],0)</f>
        <v>#REF!</v>
      </c>
      <c r="V1247" s="43" t="e">
        <f>IF(Planning[[#This Row],[Horas Planificadas]]&lt;&gt;0,Planning[[#This Row],[Horas utilizadas]]/Planning[[#This Row],[Horas Planificadas]],0)</f>
        <v>#REF!</v>
      </c>
      <c r="W1247" s="44">
        <f>Planning[[#This Row],[Horas Planificadas]]+Planning[[#This Row],[Horas ajustadas adicionales]]</f>
        <v>2005</v>
      </c>
      <c r="X1247" s="142"/>
    </row>
    <row r="1248" spans="1:24" x14ac:dyDescent="0.2">
      <c r="A1248" s="7" t="s">
        <v>168</v>
      </c>
      <c r="B1248" s="7" t="s">
        <v>118</v>
      </c>
      <c r="C1248" s="3"/>
      <c r="D1248" s="3" t="s">
        <v>328</v>
      </c>
      <c r="E1248" s="4"/>
      <c r="F1248" s="3" t="s">
        <v>123</v>
      </c>
      <c r="G1248" s="9"/>
      <c r="H1248" s="9">
        <v>63</v>
      </c>
      <c r="I1248" s="12"/>
      <c r="J1248" s="5" t="e">
        <f>SUM(SUMIFS(#REF!,#REF!,Planning[[#This Row],[Tipo de Tarea y especialidad]],#REF!,Planning[[#This Row],[Proyectos Reiwa]]),SUMIFS(#REF!,#REF!,Planning[[#This Row],[Tipo de Tarea y especialidad]],#REF!,Planning[[#This Row],[Proyectos]]))</f>
        <v>#REF!</v>
      </c>
      <c r="K1248" s="5" t="e">
        <f>Planning[[#This Row],[Horas Planificadas]]+Planning[[#This Row],[Horas ajustadas adicionales]]-Planning[[#This Row],[Horas utilizadas]]</f>
        <v>#REF!</v>
      </c>
      <c r="L1248" s="7"/>
      <c r="M1248" s="19" t="e">
        <f>Planning[[#This Row],[Saldo]]-Planning[[#This Row],[Saldo estimado]]</f>
        <v>#REF!</v>
      </c>
      <c r="N1248" s="60" t="e">
        <f>+SUMIFS(#REF!,#REF!,Planning[[#This Row],[Proyectos]],#REF!,Planning[[#This Row],[Tipo de Tarea y especialidad]])</f>
        <v>#REF!</v>
      </c>
      <c r="O1248" s="19">
        <f t="shared" si="38"/>
        <v>10</v>
      </c>
      <c r="P1248" s="19">
        <f t="shared" si="39"/>
        <v>2024</v>
      </c>
      <c r="Q12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48" s="19" t="str">
        <f>TEXT(Planning[[#This Row],[Mes]]*29,"mmmm")</f>
        <v>October</v>
      </c>
      <c r="S12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48" s="244"/>
      <c r="U1248" s="43" t="e">
        <f>IF(Planning[[#This Row],[Horas Planificadas]]&lt;&gt;0,+K1248/Planning[[#This Row],[Horas Planificadas]],0)</f>
        <v>#REF!</v>
      </c>
      <c r="V1248" s="43" t="e">
        <f>IF(Planning[[#This Row],[Horas Planificadas]]&lt;&gt;0,Planning[[#This Row],[Horas utilizadas]]/Planning[[#This Row],[Horas Planificadas]],0)</f>
        <v>#REF!</v>
      </c>
      <c r="W1248" s="44">
        <f>Planning[[#This Row],[Horas Planificadas]]+Planning[[#This Row],[Horas ajustadas adicionales]]</f>
        <v>63</v>
      </c>
      <c r="X1248" s="142"/>
    </row>
    <row r="1249" spans="1:24" x14ac:dyDescent="0.2">
      <c r="A1249" s="7" t="s">
        <v>168</v>
      </c>
      <c r="B1249" s="7" t="s">
        <v>118</v>
      </c>
      <c r="C1249" s="3"/>
      <c r="D1249" s="3" t="s">
        <v>328</v>
      </c>
      <c r="E1249" s="4"/>
      <c r="F1249" s="3" t="s">
        <v>124</v>
      </c>
      <c r="G1249" s="9"/>
      <c r="H1249" s="9"/>
      <c r="I1249" s="12"/>
      <c r="J1249" s="5" t="e">
        <f>SUM(SUMIFS(#REF!,#REF!,Planning[[#This Row],[Tipo de Tarea y especialidad]],#REF!,Planning[[#This Row],[Proyectos Reiwa]]),SUMIFS(#REF!,#REF!,Planning[[#This Row],[Tipo de Tarea y especialidad]],#REF!,Planning[[#This Row],[Proyectos]]))</f>
        <v>#REF!</v>
      </c>
      <c r="K1249" s="5" t="e">
        <f>Planning[[#This Row],[Horas Planificadas]]+Planning[[#This Row],[Horas ajustadas adicionales]]-Planning[[#This Row],[Horas utilizadas]]</f>
        <v>#REF!</v>
      </c>
      <c r="L1249" s="7"/>
      <c r="M1249" s="19" t="e">
        <f>Planning[[#This Row],[Saldo]]-Planning[[#This Row],[Saldo estimado]]</f>
        <v>#REF!</v>
      </c>
      <c r="N1249" s="60" t="e">
        <f>+SUMIFS(#REF!,#REF!,Planning[[#This Row],[Proyectos]],#REF!,Planning[[#This Row],[Tipo de Tarea y especialidad]])</f>
        <v>#REF!</v>
      </c>
      <c r="O1249" s="19">
        <f t="shared" si="38"/>
        <v>10</v>
      </c>
      <c r="P1249" s="19">
        <f t="shared" si="39"/>
        <v>2024</v>
      </c>
      <c r="Q12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49" s="19" t="str">
        <f>TEXT(Planning[[#This Row],[Mes]]*29,"mmmm")</f>
        <v>October</v>
      </c>
      <c r="S12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49" s="244"/>
      <c r="U1249" s="43">
        <f>IF(Planning[[#This Row],[Horas Planificadas]]&lt;&gt;0,+K1249/Planning[[#This Row],[Horas Planificadas]],0)</f>
        <v>0</v>
      </c>
      <c r="V1249" s="43">
        <f>IF(Planning[[#This Row],[Horas Planificadas]]&lt;&gt;0,Planning[[#This Row],[Horas utilizadas]]/Planning[[#This Row],[Horas Planificadas]],0)</f>
        <v>0</v>
      </c>
      <c r="W1249" s="44">
        <f>Planning[[#This Row],[Horas Planificadas]]+Planning[[#This Row],[Horas ajustadas adicionales]]</f>
        <v>0</v>
      </c>
      <c r="X1249" s="142"/>
    </row>
    <row r="1250" spans="1:24" x14ac:dyDescent="0.2">
      <c r="A1250" s="7" t="s">
        <v>168</v>
      </c>
      <c r="B1250" s="7" t="s">
        <v>118</v>
      </c>
      <c r="C1250" s="3"/>
      <c r="D1250" s="3" t="s">
        <v>328</v>
      </c>
      <c r="E1250" s="4"/>
      <c r="F1250" s="3" t="s">
        <v>125</v>
      </c>
      <c r="G1250" s="9"/>
      <c r="H1250" s="12">
        <v>480</v>
      </c>
      <c r="I1250" s="12"/>
      <c r="J1250" s="5" t="e">
        <f>SUM(SUMIFS(#REF!,#REF!,Planning[[#This Row],[Tipo de Tarea y especialidad]],#REF!,Planning[[#This Row],[Proyectos Reiwa]]),SUMIFS(#REF!,#REF!,Planning[[#This Row],[Tipo de Tarea y especialidad]],#REF!,Planning[[#This Row],[Proyectos]]))</f>
        <v>#REF!</v>
      </c>
      <c r="K1250" s="27" t="e">
        <f>Planning[[#This Row],[Horas Planificadas]]+Planning[[#This Row],[Horas ajustadas adicionales]]-Planning[[#This Row],[Horas utilizadas]]</f>
        <v>#REF!</v>
      </c>
      <c r="L1250" s="7"/>
      <c r="M1250" s="19" t="e">
        <f>Planning[[#This Row],[Saldo]]-Planning[[#This Row],[Saldo estimado]]</f>
        <v>#REF!</v>
      </c>
      <c r="N1250" s="60" t="e">
        <f>+SUMIFS(#REF!,#REF!,Planning[[#This Row],[Proyectos]],#REF!,Planning[[#This Row],[Tipo de Tarea y especialidad]])</f>
        <v>#REF!</v>
      </c>
      <c r="O1250" s="19">
        <f t="shared" si="38"/>
        <v>10</v>
      </c>
      <c r="P1250" s="19">
        <f t="shared" si="39"/>
        <v>2024</v>
      </c>
      <c r="Q12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50" s="19" t="str">
        <f>TEXT(Planning[[#This Row],[Mes]]*29,"mmmm")</f>
        <v>October</v>
      </c>
      <c r="S12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50" s="244"/>
      <c r="U1250" s="43" t="e">
        <f>IF(Planning[[#This Row],[Horas Planificadas]]&lt;&gt;0,+K1250/Planning[[#This Row],[Horas Planificadas]],0)</f>
        <v>#REF!</v>
      </c>
      <c r="V1250" s="43" t="e">
        <f>IF(Planning[[#This Row],[Horas Planificadas]]&lt;&gt;0,Planning[[#This Row],[Horas utilizadas]]/Planning[[#This Row],[Horas Planificadas]],0)</f>
        <v>#REF!</v>
      </c>
      <c r="W1250" s="44">
        <f>Planning[[#This Row],[Horas Planificadas]]+Planning[[#This Row],[Horas ajustadas adicionales]]</f>
        <v>480</v>
      </c>
      <c r="X1250" s="142"/>
    </row>
    <row r="1251" spans="1:24" x14ac:dyDescent="0.2">
      <c r="A1251" s="7" t="s">
        <v>168</v>
      </c>
      <c r="B1251" s="7" t="s">
        <v>118</v>
      </c>
      <c r="C1251" s="3"/>
      <c r="D1251" s="3" t="s">
        <v>328</v>
      </c>
      <c r="E1251" s="4"/>
      <c r="F1251" s="3" t="s">
        <v>126</v>
      </c>
      <c r="G1251" s="9"/>
      <c r="H1251" s="9"/>
      <c r="I1251" s="12"/>
      <c r="J1251" s="5" t="e">
        <f>SUM(SUMIFS(#REF!,#REF!,Planning[[#This Row],[Tipo de Tarea y especialidad]],#REF!,Planning[[#This Row],[Proyectos Reiwa]]),SUMIFS(#REF!,#REF!,Planning[[#This Row],[Tipo de Tarea y especialidad]],#REF!,Planning[[#This Row],[Proyectos]]))</f>
        <v>#REF!</v>
      </c>
      <c r="K1251" s="5" t="e">
        <f>Planning[[#This Row],[Horas Planificadas]]+Planning[[#This Row],[Horas ajustadas adicionales]]-Planning[[#This Row],[Horas utilizadas]]</f>
        <v>#REF!</v>
      </c>
      <c r="L1251" s="7"/>
      <c r="M1251" s="19" t="e">
        <f>Planning[[#This Row],[Saldo]]-Planning[[#This Row],[Saldo estimado]]</f>
        <v>#REF!</v>
      </c>
      <c r="N1251" s="60" t="e">
        <f>+SUMIFS(#REF!,#REF!,Planning[[#This Row],[Proyectos]],#REF!,Planning[[#This Row],[Tipo de Tarea y especialidad]])</f>
        <v>#REF!</v>
      </c>
      <c r="O1251" s="19">
        <f t="shared" si="38"/>
        <v>10</v>
      </c>
      <c r="P1251" s="19">
        <f t="shared" si="39"/>
        <v>2024</v>
      </c>
      <c r="Q12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51" s="19" t="str">
        <f>TEXT(Planning[[#This Row],[Mes]]*29,"mmmm")</f>
        <v>October</v>
      </c>
      <c r="S12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51" s="244"/>
      <c r="U1251" s="43">
        <f>IF(Planning[[#This Row],[Horas Planificadas]]&lt;&gt;0,+K1251/Planning[[#This Row],[Horas Planificadas]],0)</f>
        <v>0</v>
      </c>
      <c r="V1251" s="43">
        <f>IF(Planning[[#This Row],[Horas Planificadas]]&lt;&gt;0,Planning[[#This Row],[Horas utilizadas]]/Planning[[#This Row],[Horas Planificadas]],0)</f>
        <v>0</v>
      </c>
      <c r="W1251" s="44">
        <f>Planning[[#This Row],[Horas Planificadas]]+Planning[[#This Row],[Horas ajustadas adicionales]]</f>
        <v>0</v>
      </c>
      <c r="X1251" s="142"/>
    </row>
    <row r="1252" spans="1:24" x14ac:dyDescent="0.2">
      <c r="A1252" s="7" t="s">
        <v>168</v>
      </c>
      <c r="B1252" s="7" t="s">
        <v>118</v>
      </c>
      <c r="C1252" s="3"/>
      <c r="D1252" s="3" t="s">
        <v>328</v>
      </c>
      <c r="E1252" s="4"/>
      <c r="F1252" s="3" t="s">
        <v>127</v>
      </c>
      <c r="G1252" s="9"/>
      <c r="H1252" s="9"/>
      <c r="I1252" s="12"/>
      <c r="J1252" s="5" t="e">
        <f>SUM(SUMIFS(#REF!,#REF!,Planning[[#This Row],[Tipo de Tarea y especialidad]],#REF!,Planning[[#This Row],[Proyectos Reiwa]]),SUMIFS(#REF!,#REF!,Planning[[#This Row],[Tipo de Tarea y especialidad]],#REF!,Planning[[#This Row],[Proyectos]]))</f>
        <v>#REF!</v>
      </c>
      <c r="K1252" s="5" t="e">
        <f>Planning[[#This Row],[Horas Planificadas]]+Planning[[#This Row],[Horas ajustadas adicionales]]-Planning[[#This Row],[Horas utilizadas]]</f>
        <v>#REF!</v>
      </c>
      <c r="L1252" s="7"/>
      <c r="M1252" s="19" t="e">
        <f>Planning[[#This Row],[Saldo]]-Planning[[#This Row],[Saldo estimado]]</f>
        <v>#REF!</v>
      </c>
      <c r="N1252" s="60" t="e">
        <f>+SUMIFS(#REF!,#REF!,Planning[[#This Row],[Proyectos]],#REF!,Planning[[#This Row],[Tipo de Tarea y especialidad]])</f>
        <v>#REF!</v>
      </c>
      <c r="O1252" s="19">
        <f t="shared" si="38"/>
        <v>10</v>
      </c>
      <c r="P1252" s="19">
        <f t="shared" si="39"/>
        <v>2024</v>
      </c>
      <c r="Q12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52" s="19" t="str">
        <f>TEXT(Planning[[#This Row],[Mes]]*29,"mmmm")</f>
        <v>October</v>
      </c>
      <c r="S12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52" s="244"/>
      <c r="U1252" s="43">
        <f>IF(Planning[[#This Row],[Horas Planificadas]]&lt;&gt;0,+K1252/Planning[[#This Row],[Horas Planificadas]],0)</f>
        <v>0</v>
      </c>
      <c r="V1252" s="43">
        <f>IF(Planning[[#This Row],[Horas Planificadas]]&lt;&gt;0,Planning[[#This Row],[Horas utilizadas]]/Planning[[#This Row],[Horas Planificadas]],0)</f>
        <v>0</v>
      </c>
      <c r="W1252" s="44">
        <f>Planning[[#This Row],[Horas Planificadas]]+Planning[[#This Row],[Horas ajustadas adicionales]]</f>
        <v>0</v>
      </c>
      <c r="X1252" s="142"/>
    </row>
    <row r="1253" spans="1:24" x14ac:dyDescent="0.2">
      <c r="A1253" s="7" t="s">
        <v>168</v>
      </c>
      <c r="B1253" s="7" t="s">
        <v>118</v>
      </c>
      <c r="C1253" s="3"/>
      <c r="D1253" s="3" t="s">
        <v>328</v>
      </c>
      <c r="E1253" s="4"/>
      <c r="F1253" s="3" t="s">
        <v>128</v>
      </c>
      <c r="G1253" s="9"/>
      <c r="H1253" s="9"/>
      <c r="I1253" s="12"/>
      <c r="J1253" s="5" t="e">
        <f>SUM(SUMIFS(#REF!,#REF!,Planning[[#This Row],[Tipo de Tarea y especialidad]],#REF!,Planning[[#This Row],[Proyectos Reiwa]]),SUMIFS(#REF!,#REF!,Planning[[#This Row],[Tipo de Tarea y especialidad]],#REF!,Planning[[#This Row],[Proyectos]]))</f>
        <v>#REF!</v>
      </c>
      <c r="K1253" s="5" t="e">
        <f>Planning[[#This Row],[Horas Planificadas]]+Planning[[#This Row],[Horas ajustadas adicionales]]-Planning[[#This Row],[Horas utilizadas]]</f>
        <v>#REF!</v>
      </c>
      <c r="L1253" s="7"/>
      <c r="M1253" s="19" t="e">
        <f>Planning[[#This Row],[Saldo]]-Planning[[#This Row],[Saldo estimado]]</f>
        <v>#REF!</v>
      </c>
      <c r="N1253" s="60" t="e">
        <f>+SUMIFS(#REF!,#REF!,Planning[[#This Row],[Proyectos]],#REF!,Planning[[#This Row],[Tipo de Tarea y especialidad]])</f>
        <v>#REF!</v>
      </c>
      <c r="O1253" s="19">
        <f t="shared" si="38"/>
        <v>10</v>
      </c>
      <c r="P1253" s="19">
        <f t="shared" si="39"/>
        <v>2024</v>
      </c>
      <c r="Q12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53" s="19" t="str">
        <f>TEXT(Planning[[#This Row],[Mes]]*29,"mmmm")</f>
        <v>October</v>
      </c>
      <c r="S12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53" s="244"/>
      <c r="U1253" s="43">
        <f>IF(Planning[[#This Row],[Horas Planificadas]]&lt;&gt;0,+K1253/Planning[[#This Row],[Horas Planificadas]],0)</f>
        <v>0</v>
      </c>
      <c r="V1253" s="43">
        <f>IF(Planning[[#This Row],[Horas Planificadas]]&lt;&gt;0,Planning[[#This Row],[Horas utilizadas]]/Planning[[#This Row],[Horas Planificadas]],0)</f>
        <v>0</v>
      </c>
      <c r="W1253" s="44">
        <f>Planning[[#This Row],[Horas Planificadas]]+Planning[[#This Row],[Horas ajustadas adicionales]]</f>
        <v>0</v>
      </c>
      <c r="X1253" s="142"/>
    </row>
    <row r="1254" spans="1:24" x14ac:dyDescent="0.2">
      <c r="A1254" s="7" t="s">
        <v>168</v>
      </c>
      <c r="B1254" s="7" t="s">
        <v>118</v>
      </c>
      <c r="C1254" s="3"/>
      <c r="D1254" s="3" t="s">
        <v>328</v>
      </c>
      <c r="E1254" s="4" t="s">
        <v>31</v>
      </c>
      <c r="F1254" s="3" t="s">
        <v>31</v>
      </c>
      <c r="G1254" s="9">
        <v>427</v>
      </c>
      <c r="H1254" s="17">
        <v>427</v>
      </c>
      <c r="I1254" s="18"/>
      <c r="J1254" s="14" t="e">
        <f>+SUMIFS(#REF!,#REF!,Planning[[#This Row],[Tarifa]],#REF!,Planning[[#This Row],[Proyectos]])</f>
        <v>#REF!</v>
      </c>
      <c r="K1254" s="14" t="e">
        <f>Planning[[#This Row],[Horas Planificadas]]+Planning[[#This Row],[Horas ajustadas adicionales]]-Planning[[#This Row],[Horas utilizadas]]</f>
        <v>#REF!</v>
      </c>
      <c r="L1254" s="15"/>
      <c r="M1254" s="16" t="e">
        <f>Planning[[#This Row],[Saldo]]-Planning[[#This Row],[Saldo estimado]]</f>
        <v>#REF!</v>
      </c>
      <c r="N1254" s="60" t="e">
        <f>+SUMIFS(#REF!,#REF!,Planning[[#This Row],[Proyectos]],#REF!,Planning[[#This Row],[Tipo de Tarea y especialidad]])</f>
        <v>#REF!</v>
      </c>
      <c r="O1254" s="16">
        <f t="shared" si="38"/>
        <v>10</v>
      </c>
      <c r="P1254" s="16">
        <f t="shared" si="39"/>
        <v>2024</v>
      </c>
      <c r="Q1254" s="16" t="e">
        <f>+SUMIFS(#REF!,#REF!,Planning[[#This Row],[Tarifa]],#REF!,Planning[[#This Row],[Proyectos]],#REF!,Planning[[#This Row],[Mes]],#REF!,Planning[[#This Row],[Año]])</f>
        <v>#REF!</v>
      </c>
      <c r="R1254" s="16" t="str">
        <f>TEXT(Planning[[#This Row],[Mes]]*29,"mmmm")</f>
        <v>October</v>
      </c>
      <c r="S12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54" s="244"/>
      <c r="U1254" s="43" t="e">
        <f>IF(Planning[[#This Row],[Horas Planificadas]]&lt;&gt;0,+K1254/Planning[[#This Row],[Horas Planificadas]],0)</f>
        <v>#REF!</v>
      </c>
      <c r="V1254" s="43" t="e">
        <f>IF(Planning[[#This Row],[Horas Planificadas]]&lt;&gt;0,Planning[[#This Row],[Horas utilizadas]]/Planning[[#This Row],[Horas Planificadas]],0)</f>
        <v>#REF!</v>
      </c>
      <c r="W1254" s="44">
        <f>Planning[[#This Row],[Horas Planificadas]]+Planning[[#This Row],[Horas ajustadas adicionales]]</f>
        <v>427</v>
      </c>
      <c r="X1254" s="142"/>
    </row>
    <row r="1255" spans="1:24" ht="22.5" x14ac:dyDescent="0.2">
      <c r="A1255" s="7" t="s">
        <v>168</v>
      </c>
      <c r="B1255" s="7" t="s">
        <v>118</v>
      </c>
      <c r="C1255" s="3"/>
      <c r="D1255" s="3" t="s">
        <v>328</v>
      </c>
      <c r="E1255" s="4" t="s">
        <v>32</v>
      </c>
      <c r="F1255" s="3"/>
      <c r="G1255" s="9">
        <v>842</v>
      </c>
      <c r="H1255" s="25">
        <f>SUM(H1256:H1258)</f>
        <v>842</v>
      </c>
      <c r="I1255" s="14"/>
      <c r="J1255" s="14" t="e">
        <f>SUM(J1256:J1258)</f>
        <v>#REF!</v>
      </c>
      <c r="K1255" s="18" t="e">
        <f>SUM(K1256:K1258)</f>
        <v>#REF!</v>
      </c>
      <c r="L1255" s="15">
        <f>SUM(L1256:L1258)</f>
        <v>0</v>
      </c>
      <c r="M1255" s="16" t="e">
        <f>SUM(M1256:M1258)</f>
        <v>#REF!</v>
      </c>
      <c r="N1255" s="60" t="e">
        <f>+SUMIFS(#REF!,#REF!,Planning[[#This Row],[Proyectos]],#REF!,Planning[[#This Row],[Tipo de Tarea y especialidad]])</f>
        <v>#REF!</v>
      </c>
      <c r="O1255" s="16">
        <f t="shared" si="38"/>
        <v>10</v>
      </c>
      <c r="P1255" s="16">
        <f t="shared" si="39"/>
        <v>2024</v>
      </c>
      <c r="Q1255" s="16" t="e">
        <f>SUM(Q1256:Q1258)</f>
        <v>#REF!</v>
      </c>
      <c r="R1255" s="16" t="str">
        <f>TEXT(Planning[[#This Row],[Mes]]*29,"mmmm")</f>
        <v>October</v>
      </c>
      <c r="S12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55" s="244"/>
      <c r="U1255" s="43" t="e">
        <f>IF(Planning[[#This Row],[Horas Planificadas]]&lt;&gt;0,+K1255/Planning[[#This Row],[Horas Planificadas]],0)</f>
        <v>#REF!</v>
      </c>
      <c r="V1255" s="43" t="e">
        <f>IF(Planning[[#This Row],[Horas Planificadas]]&lt;&gt;0,Planning[[#This Row],[Horas utilizadas]]/Planning[[#This Row],[Horas Planificadas]],0)</f>
        <v>#REF!</v>
      </c>
      <c r="W1255" s="44">
        <f>Planning[[#This Row],[Horas Planificadas]]+Planning[[#This Row],[Horas ajustadas adicionales]]</f>
        <v>842</v>
      </c>
      <c r="X1255" s="142"/>
    </row>
    <row r="1256" spans="1:24" x14ac:dyDescent="0.2">
      <c r="A1256" s="7" t="s">
        <v>168</v>
      </c>
      <c r="B1256" s="7" t="s">
        <v>118</v>
      </c>
      <c r="C1256" s="3"/>
      <c r="D1256" s="3" t="s">
        <v>328</v>
      </c>
      <c r="E1256" s="4"/>
      <c r="F1256" s="3" t="s">
        <v>129</v>
      </c>
      <c r="G1256" s="9"/>
      <c r="H1256" s="9">
        <v>842</v>
      </c>
      <c r="I1256" s="12"/>
      <c r="J1256" s="5" t="e">
        <f>SUM(SUMIFS(#REF!,#REF!,Planning[[#This Row],[Tipo de Tarea y especialidad]],#REF!,Planning[[#This Row],[Proyectos Reiwa]]),SUMIFS(#REF!,#REF!,Planning[[#This Row],[Tipo de Tarea y especialidad]],#REF!,Planning[[#This Row],[Proyectos]]))</f>
        <v>#REF!</v>
      </c>
      <c r="K1256" s="5" t="e">
        <f>Planning[[#This Row],[Horas Planificadas]]+Planning[[#This Row],[Horas ajustadas adicionales]]-Planning[[#This Row],[Horas utilizadas]]</f>
        <v>#REF!</v>
      </c>
      <c r="L1256" s="7"/>
      <c r="M1256" s="19" t="e">
        <f>Planning[[#This Row],[Saldo]]-Planning[[#This Row],[Saldo estimado]]</f>
        <v>#REF!</v>
      </c>
      <c r="N1256" s="60" t="e">
        <f>+SUMIFS(#REF!,#REF!,Planning[[#This Row],[Proyectos]],#REF!,Planning[[#This Row],[Tipo de Tarea y especialidad]])</f>
        <v>#REF!</v>
      </c>
      <c r="O1256" s="19">
        <f t="shared" si="38"/>
        <v>10</v>
      </c>
      <c r="P1256" s="19">
        <f t="shared" si="39"/>
        <v>2024</v>
      </c>
      <c r="Q12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56" s="19" t="str">
        <f>TEXT(Planning[[#This Row],[Mes]]*29,"mmmm")</f>
        <v>October</v>
      </c>
      <c r="S12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56" s="244"/>
      <c r="U1256" s="43" t="e">
        <f>IF(Planning[[#This Row],[Horas Planificadas]]&lt;&gt;0,+K1256/Planning[[#This Row],[Horas Planificadas]],0)</f>
        <v>#REF!</v>
      </c>
      <c r="V1256" s="43" t="e">
        <f>IF(Planning[[#This Row],[Horas Planificadas]]&lt;&gt;0,Planning[[#This Row],[Horas utilizadas]]/Planning[[#This Row],[Horas Planificadas]],0)</f>
        <v>#REF!</v>
      </c>
      <c r="W1256" s="44">
        <f>Planning[[#This Row],[Horas Planificadas]]+Planning[[#This Row],[Horas ajustadas adicionales]]</f>
        <v>842</v>
      </c>
      <c r="X1256" s="142"/>
    </row>
    <row r="1257" spans="1:24" x14ac:dyDescent="0.2">
      <c r="A1257" s="7" t="s">
        <v>168</v>
      </c>
      <c r="B1257" s="7" t="s">
        <v>118</v>
      </c>
      <c r="C1257" s="3"/>
      <c r="D1257" s="3" t="s">
        <v>328</v>
      </c>
      <c r="E1257" s="4"/>
      <c r="F1257" s="3" t="s">
        <v>130</v>
      </c>
      <c r="G1257" s="9"/>
      <c r="H1257" s="9"/>
      <c r="I1257" s="12"/>
      <c r="J1257" s="5" t="e">
        <f>SUM(SUMIFS(#REF!,#REF!,Planning[[#This Row],[Tipo de Tarea y especialidad]],#REF!,Planning[[#This Row],[Proyectos Reiwa]]),SUMIFS(#REF!,#REF!,Planning[[#This Row],[Tipo de Tarea y especialidad]],#REF!,Planning[[#This Row],[Proyectos]]))</f>
        <v>#REF!</v>
      </c>
      <c r="K1257" s="5" t="e">
        <f>Planning[[#This Row],[Horas Planificadas]]+Planning[[#This Row],[Horas ajustadas adicionales]]-Planning[[#This Row],[Horas utilizadas]]</f>
        <v>#REF!</v>
      </c>
      <c r="L1257" s="7"/>
      <c r="M1257" s="19" t="e">
        <f>Planning[[#This Row],[Saldo]]-Planning[[#This Row],[Saldo estimado]]</f>
        <v>#REF!</v>
      </c>
      <c r="N1257" s="60" t="e">
        <f>+SUMIFS(#REF!,#REF!,Planning[[#This Row],[Proyectos]],#REF!,Planning[[#This Row],[Tipo de Tarea y especialidad]])</f>
        <v>#REF!</v>
      </c>
      <c r="O1257" s="19">
        <f t="shared" si="38"/>
        <v>10</v>
      </c>
      <c r="P1257" s="19">
        <f t="shared" si="39"/>
        <v>2024</v>
      </c>
      <c r="Q12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57" s="19" t="str">
        <f>TEXT(Planning[[#This Row],[Mes]]*29,"mmmm")</f>
        <v>October</v>
      </c>
      <c r="S12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57" s="244"/>
      <c r="U1257" s="43">
        <f>IF(Planning[[#This Row],[Horas Planificadas]]&lt;&gt;0,+K1257/Planning[[#This Row],[Horas Planificadas]],0)</f>
        <v>0</v>
      </c>
      <c r="V1257" s="43">
        <f>IF(Planning[[#This Row],[Horas Planificadas]]&lt;&gt;0,Planning[[#This Row],[Horas utilizadas]]/Planning[[#This Row],[Horas Planificadas]],0)</f>
        <v>0</v>
      </c>
      <c r="W1257" s="44">
        <f>Planning[[#This Row],[Horas Planificadas]]+Planning[[#This Row],[Horas ajustadas adicionales]]</f>
        <v>0</v>
      </c>
      <c r="X1257" s="142"/>
    </row>
    <row r="1258" spans="1:24" x14ac:dyDescent="0.2">
      <c r="A1258" s="7" t="s">
        <v>168</v>
      </c>
      <c r="B1258" s="7" t="s">
        <v>118</v>
      </c>
      <c r="C1258" s="3"/>
      <c r="D1258" s="3" t="s">
        <v>328</v>
      </c>
      <c r="E1258" s="4"/>
      <c r="F1258" s="3" t="s">
        <v>131</v>
      </c>
      <c r="G1258" s="9"/>
      <c r="H1258" s="9"/>
      <c r="I1258" s="12"/>
      <c r="J1258" s="5" t="e">
        <f>SUM(SUMIFS(#REF!,#REF!,Planning[[#This Row],[Tipo de Tarea y especialidad]],#REF!,Planning[[#This Row],[Proyectos Reiwa]]),SUMIFS(#REF!,#REF!,Planning[[#This Row],[Tipo de Tarea y especialidad]],#REF!,Planning[[#This Row],[Proyectos]]))</f>
        <v>#REF!</v>
      </c>
      <c r="K1258" s="5" t="e">
        <f>Planning[[#This Row],[Horas Planificadas]]+Planning[[#This Row],[Horas ajustadas adicionales]]-Planning[[#This Row],[Horas utilizadas]]</f>
        <v>#REF!</v>
      </c>
      <c r="L1258" s="7"/>
      <c r="M1258" s="19" t="e">
        <f>Planning[[#This Row],[Saldo]]-Planning[[#This Row],[Saldo estimado]]</f>
        <v>#REF!</v>
      </c>
      <c r="N1258" s="60" t="e">
        <f>+SUMIFS(#REF!,#REF!,Planning[[#This Row],[Proyectos]],#REF!,Planning[[#This Row],[Tipo de Tarea y especialidad]])</f>
        <v>#REF!</v>
      </c>
      <c r="O1258" s="19">
        <f t="shared" si="38"/>
        <v>10</v>
      </c>
      <c r="P1258" s="19">
        <f t="shared" si="39"/>
        <v>2024</v>
      </c>
      <c r="Q12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58" s="19" t="str">
        <f>TEXT(Planning[[#This Row],[Mes]]*29,"mmmm")</f>
        <v>October</v>
      </c>
      <c r="S12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58" s="244"/>
      <c r="U1258" s="43">
        <f>IF(Planning[[#This Row],[Horas Planificadas]]&lt;&gt;0,+K1258/Planning[[#This Row],[Horas Planificadas]],0)</f>
        <v>0</v>
      </c>
      <c r="V1258" s="43">
        <f>IF(Planning[[#This Row],[Horas Planificadas]]&lt;&gt;0,Planning[[#This Row],[Horas utilizadas]]/Planning[[#This Row],[Horas Planificadas]],0)</f>
        <v>0</v>
      </c>
      <c r="W1258" s="44">
        <f>Planning[[#This Row],[Horas Planificadas]]+Planning[[#This Row],[Horas ajustadas adicionales]]</f>
        <v>0</v>
      </c>
      <c r="X1258" s="142"/>
    </row>
    <row r="1259" spans="1:24" ht="22.5" x14ac:dyDescent="0.2">
      <c r="A1259" s="7"/>
      <c r="B1259" s="7"/>
      <c r="C1259" s="3"/>
      <c r="D1259" s="3" t="s">
        <v>330</v>
      </c>
      <c r="E1259" s="4" t="s">
        <v>28</v>
      </c>
      <c r="F1259" s="3"/>
      <c r="G1259" s="9"/>
      <c r="H1259" s="12">
        <v>330</v>
      </c>
      <c r="I1259" s="12"/>
      <c r="J1259" s="5" t="e">
        <f>+SUMIFS(#REF!,#REF!,Planning[[#This Row],[Tarifa]],#REF!,Planning[[#This Row],[Proyectos]])</f>
        <v>#REF!</v>
      </c>
      <c r="K1259" s="27" t="e">
        <f>Planning[[#This Row],[Horas Planificadas]]+Planning[[#This Row],[Horas ajustadas adicionales]]-Planning[[#This Row],[Horas utilizadas]]</f>
        <v>#REF!</v>
      </c>
      <c r="L1259" s="7"/>
      <c r="M1259" s="19" t="e">
        <f>Planning[[#This Row],[Saldo]]-Planning[[#This Row],[Saldo estimado]]</f>
        <v>#REF!</v>
      </c>
      <c r="N1259" s="60" t="e">
        <f>+SUMIFS(#REF!,#REF!,Planning[[#This Row],[Proyectos]],#REF!,Planning[[#This Row],[Tipo de Tarea y especialidad]])</f>
        <v>#REF!</v>
      </c>
      <c r="O1259" s="19">
        <f t="shared" si="38"/>
        <v>10</v>
      </c>
      <c r="P1259" s="19">
        <f t="shared" si="39"/>
        <v>2024</v>
      </c>
      <c r="Q1259" s="19" t="e">
        <f>+SUMIFS(#REF!,#REF!,Planning[[#This Row],[Tarifa]],#REF!,Planning[[#This Row],[Proyectos]],#REF!,Planning[[#This Row],[Mes]],#REF!,Planning[[#This Row],[Año]])</f>
        <v>#REF!</v>
      </c>
      <c r="R1259" s="19" t="str">
        <f>TEXT(Planning[[#This Row],[Mes]]*29,"mmmm")</f>
        <v>October</v>
      </c>
      <c r="S12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59" s="228"/>
      <c r="U1259" s="43" t="e">
        <f>IF(Planning[[#This Row],[Horas Planificadas]]&lt;&gt;0,+K1259/Planning[[#This Row],[Horas Planificadas]],0)</f>
        <v>#REF!</v>
      </c>
      <c r="V1259" s="43" t="e">
        <f>IF(Planning[[#This Row],[Horas Planificadas]]&lt;&gt;0,Planning[[#This Row],[Horas utilizadas]]/Planning[[#This Row],[Horas Planificadas]],0)</f>
        <v>#REF!</v>
      </c>
      <c r="W1259" s="44">
        <f>Planning[[#This Row],[Horas Planificadas]]+Planning[[#This Row],[Horas ajustadas adicionales]]</f>
        <v>330</v>
      </c>
      <c r="X1259" s="142"/>
    </row>
    <row r="1260" spans="1:24" x14ac:dyDescent="0.2">
      <c r="A1260" s="7"/>
      <c r="B1260" s="7"/>
      <c r="C1260" s="3"/>
      <c r="D1260" s="3" t="s">
        <v>330</v>
      </c>
      <c r="E1260" s="4" t="s">
        <v>30</v>
      </c>
      <c r="F1260" s="3"/>
      <c r="G1260" s="9"/>
      <c r="H1260" s="9">
        <v>252</v>
      </c>
      <c r="I1260" s="12"/>
      <c r="J1260" s="5" t="e">
        <f>+SUMIFS(#REF!,#REF!,Planning[[#This Row],[Tarifa]],#REF!,Planning[[#This Row],[Proyectos]])</f>
        <v>#REF!</v>
      </c>
      <c r="K1260" s="5" t="e">
        <f>Planning[[#This Row],[Horas Planificadas]]+Planning[[#This Row],[Horas ajustadas adicionales]]-Planning[[#This Row],[Horas utilizadas]]</f>
        <v>#REF!</v>
      </c>
      <c r="L1260" s="7"/>
      <c r="M1260" s="19" t="e">
        <f>Planning[[#This Row],[Saldo]]-Planning[[#This Row],[Saldo estimado]]</f>
        <v>#REF!</v>
      </c>
      <c r="N1260" s="60" t="e">
        <f>+SUMIFS(#REF!,#REF!,Planning[[#This Row],[Proyectos]],#REF!,Planning[[#This Row],[Tipo de Tarea y especialidad]])</f>
        <v>#REF!</v>
      </c>
      <c r="O1260" s="19">
        <f t="shared" si="38"/>
        <v>10</v>
      </c>
      <c r="P1260" s="19">
        <f t="shared" si="39"/>
        <v>2024</v>
      </c>
      <c r="Q1260" s="19" t="e">
        <f>+SUMIFS(#REF!,#REF!,Planning[[#This Row],[Tarifa]],#REF!,Planning[[#This Row],[Proyectos]],#REF!,Planning[[#This Row],[Mes]],#REF!,Planning[[#This Row],[Año]])</f>
        <v>#REF!</v>
      </c>
      <c r="R1260" s="19" t="str">
        <f>TEXT(Planning[[#This Row],[Mes]]*29,"mmmm")</f>
        <v>October</v>
      </c>
      <c r="S12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60" s="228"/>
      <c r="U1260" s="43" t="e">
        <f>IF(Planning[[#This Row],[Horas Planificadas]]&lt;&gt;0,+K1260/Planning[[#This Row],[Horas Planificadas]],0)</f>
        <v>#REF!</v>
      </c>
      <c r="V1260" s="43" t="e">
        <f>IF(Planning[[#This Row],[Horas Planificadas]]&lt;&gt;0,Planning[[#This Row],[Horas utilizadas]]/Planning[[#This Row],[Horas Planificadas]],0)</f>
        <v>#REF!</v>
      </c>
      <c r="W1260" s="44">
        <f>Planning[[#This Row],[Horas Planificadas]]+Planning[[#This Row],[Horas ajustadas adicionales]]</f>
        <v>252</v>
      </c>
      <c r="X1260" s="142"/>
    </row>
    <row r="1261" spans="1:24" x14ac:dyDescent="0.2">
      <c r="A1261" s="7"/>
      <c r="B1261" s="7"/>
      <c r="C1261" s="3"/>
      <c r="D1261" s="3" t="s">
        <v>330</v>
      </c>
      <c r="E1261" s="4" t="s">
        <v>31</v>
      </c>
      <c r="F1261" s="3"/>
      <c r="G1261" s="9"/>
      <c r="H1261" s="9">
        <v>126</v>
      </c>
      <c r="I1261" s="12"/>
      <c r="J1261" s="5" t="e">
        <f>+SUMIFS(#REF!,#REF!,Planning[[#This Row],[Tarifa]],#REF!,Planning[[#This Row],[Proyectos]])</f>
        <v>#REF!</v>
      </c>
      <c r="K1261" s="5" t="e">
        <f>Planning[[#This Row],[Horas Planificadas]]+Planning[[#This Row],[Horas ajustadas adicionales]]-Planning[[#This Row],[Horas utilizadas]]</f>
        <v>#REF!</v>
      </c>
      <c r="L1261" s="7"/>
      <c r="M1261" s="19" t="e">
        <f>Planning[[#This Row],[Saldo]]-Planning[[#This Row],[Saldo estimado]]</f>
        <v>#REF!</v>
      </c>
      <c r="N1261" s="60" t="e">
        <f>+SUMIFS(#REF!,#REF!,Planning[[#This Row],[Proyectos]],#REF!,Planning[[#This Row],[Tipo de Tarea y especialidad]])</f>
        <v>#REF!</v>
      </c>
      <c r="O1261" s="19">
        <f t="shared" si="38"/>
        <v>10</v>
      </c>
      <c r="P1261" s="19">
        <f t="shared" si="39"/>
        <v>2024</v>
      </c>
      <c r="Q1261" s="19" t="e">
        <f>+SUMIFS(#REF!,#REF!,Planning[[#This Row],[Tarifa]],#REF!,Planning[[#This Row],[Proyectos]],#REF!,Planning[[#This Row],[Mes]],#REF!,Planning[[#This Row],[Año]])</f>
        <v>#REF!</v>
      </c>
      <c r="R1261" s="19" t="str">
        <f>TEXT(Planning[[#This Row],[Mes]]*29,"mmmm")</f>
        <v>October</v>
      </c>
      <c r="S12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61" s="228"/>
      <c r="U1261" s="43" t="e">
        <f>IF(Planning[[#This Row],[Horas Planificadas]]&lt;&gt;0,+K1261/Planning[[#This Row],[Horas Planificadas]],0)</f>
        <v>#REF!</v>
      </c>
      <c r="V1261" s="43" t="e">
        <f>IF(Planning[[#This Row],[Horas Planificadas]]&lt;&gt;0,Planning[[#This Row],[Horas utilizadas]]/Planning[[#This Row],[Horas Planificadas]],0)</f>
        <v>#REF!</v>
      </c>
      <c r="W1261" s="44">
        <f>Planning[[#This Row],[Horas Planificadas]]+Planning[[#This Row],[Horas ajustadas adicionales]]</f>
        <v>126</v>
      </c>
      <c r="X1261" s="142"/>
    </row>
    <row r="1262" spans="1:24" ht="22.5" x14ac:dyDescent="0.2">
      <c r="A1262" s="7"/>
      <c r="B1262" s="7"/>
      <c r="C1262" s="3"/>
      <c r="D1262" s="3" t="s">
        <v>330</v>
      </c>
      <c r="E1262" s="4" t="s">
        <v>32</v>
      </c>
      <c r="F1262" s="3"/>
      <c r="G1262" s="9"/>
      <c r="H1262" s="9">
        <v>83</v>
      </c>
      <c r="I1262" s="12"/>
      <c r="J1262" s="5" t="e">
        <f>+SUMIFS(#REF!,#REF!,Planning[[#This Row],[Tarifa]],#REF!,Planning[[#This Row],[Proyectos]])</f>
        <v>#REF!</v>
      </c>
      <c r="K1262" s="5" t="e">
        <f>Planning[[#This Row],[Horas Planificadas]]+Planning[[#This Row],[Horas ajustadas adicionales]]-Planning[[#This Row],[Horas utilizadas]]</f>
        <v>#REF!</v>
      </c>
      <c r="L1262" s="7"/>
      <c r="M1262" s="19" t="e">
        <f>Planning[[#This Row],[Saldo]]-Planning[[#This Row],[Saldo estimado]]</f>
        <v>#REF!</v>
      </c>
      <c r="N1262" s="60" t="e">
        <f>+SUMIFS(#REF!,#REF!,Planning[[#This Row],[Proyectos]],#REF!,Planning[[#This Row],[Tipo de Tarea y especialidad]])</f>
        <v>#REF!</v>
      </c>
      <c r="O1262" s="19">
        <f t="shared" si="38"/>
        <v>10</v>
      </c>
      <c r="P1262" s="19">
        <f t="shared" si="39"/>
        <v>2024</v>
      </c>
      <c r="Q1262" s="19" t="e">
        <f>+SUMIFS(#REF!,#REF!,Planning[[#This Row],[Tarifa]],#REF!,Planning[[#This Row],[Proyectos]],#REF!,Planning[[#This Row],[Mes]],#REF!,Planning[[#This Row],[Año]])</f>
        <v>#REF!</v>
      </c>
      <c r="R1262" s="19" t="str">
        <f>TEXT(Planning[[#This Row],[Mes]]*29,"mmmm")</f>
        <v>October</v>
      </c>
      <c r="S12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62" s="228"/>
      <c r="U1262" s="43" t="e">
        <f>IF(Planning[[#This Row],[Horas Planificadas]]&lt;&gt;0,+K1262/Planning[[#This Row],[Horas Planificadas]],0)</f>
        <v>#REF!</v>
      </c>
      <c r="V1262" s="43" t="e">
        <f>IF(Planning[[#This Row],[Horas Planificadas]]&lt;&gt;0,Planning[[#This Row],[Horas utilizadas]]/Planning[[#This Row],[Horas Planificadas]],0)</f>
        <v>#REF!</v>
      </c>
      <c r="W1262" s="44">
        <f>Planning[[#This Row],[Horas Planificadas]]+Planning[[#This Row],[Horas ajustadas adicionales]]</f>
        <v>83</v>
      </c>
      <c r="X1262" s="142"/>
    </row>
    <row r="1263" spans="1:24" ht="12.75" customHeight="1" x14ac:dyDescent="0.2">
      <c r="A1263" s="7" t="s">
        <v>204</v>
      </c>
      <c r="B1263" s="7" t="s">
        <v>205</v>
      </c>
      <c r="C1263" s="3"/>
      <c r="D1263" s="3" t="s">
        <v>331</v>
      </c>
      <c r="E1263" s="4" t="s">
        <v>28</v>
      </c>
      <c r="F1263" s="3"/>
      <c r="G1263" s="9">
        <v>781</v>
      </c>
      <c r="H1263" s="14">
        <f>SUM(H1264:H1265)</f>
        <v>1560</v>
      </c>
      <c r="I1263" s="14"/>
      <c r="J1263" s="14" t="e">
        <f>SUM(J1264:J1265)</f>
        <v>#REF!</v>
      </c>
      <c r="K1263" s="15" t="e">
        <f>SUM(K1264:K1265)</f>
        <v>#REF!</v>
      </c>
      <c r="L1263" s="15">
        <f>SUM(L1264:L1265)</f>
        <v>0</v>
      </c>
      <c r="M1263" s="14" t="e">
        <f>SUM(M1264:M1265)</f>
        <v>#REF!</v>
      </c>
      <c r="N1263" s="66" t="e">
        <f>+SUMIFS(#REF!,#REF!,Planning[[#This Row],[Proyectos]],#REF!,Planning[[#This Row],[Tipo de Tarea y especialidad]])</f>
        <v>#REF!</v>
      </c>
      <c r="O1263" s="14">
        <f t="shared" si="38"/>
        <v>10</v>
      </c>
      <c r="P1263" s="14">
        <f t="shared" si="39"/>
        <v>2024</v>
      </c>
      <c r="Q1263" s="28" t="e">
        <f>SUM(Q1264:Q1265)</f>
        <v>#REF!</v>
      </c>
      <c r="R1263" s="28" t="str">
        <f>TEXT(Planning[[#This Row],[Mes]]*29,"mmmm")</f>
        <v>October</v>
      </c>
      <c r="S12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63" s="192" t="s">
        <v>332</v>
      </c>
      <c r="U1263" s="43" t="e">
        <f>IF(Planning[[#This Row],[Horas Planificadas]]&lt;&gt;0,+K1263/Planning[[#This Row],[Horas Planificadas]],0)</f>
        <v>#REF!</v>
      </c>
      <c r="V1263" s="43" t="e">
        <f>IF(Planning[[#This Row],[Horas Planificadas]]&lt;&gt;0,Planning[[#This Row],[Horas utilizadas]]/Planning[[#This Row],[Horas Planificadas]],0)</f>
        <v>#REF!</v>
      </c>
      <c r="W1263" s="44">
        <f>Planning[[#This Row],[Horas Planificadas]]+Planning[[#This Row],[Horas ajustadas adicionales]]</f>
        <v>1560</v>
      </c>
      <c r="X1263" s="142"/>
    </row>
    <row r="1264" spans="1:24" ht="12.75" customHeight="1" x14ac:dyDescent="0.2">
      <c r="A1264" s="7" t="s">
        <v>204</v>
      </c>
      <c r="B1264" s="7" t="s">
        <v>205</v>
      </c>
      <c r="C1264" s="3"/>
      <c r="D1264" s="3" t="s">
        <v>331</v>
      </c>
      <c r="E1264" s="4"/>
      <c r="F1264" s="3" t="s">
        <v>120</v>
      </c>
      <c r="G1264" s="9"/>
      <c r="H1264" s="9">
        <v>480</v>
      </c>
      <c r="I1264" s="12"/>
      <c r="J1264" s="5" t="e">
        <f>SUM(SUMIFS(#REF!,#REF!,Planning[[#This Row],[Tipo de Tarea y especialidad]],#REF!,Planning[[#This Row],[Proyectos Reiwa]]),SUMIFS(#REF!,#REF!,Planning[[#This Row],[Tipo de Tarea y especialidad]],#REF!,Planning[[#This Row],[Proyectos]]))</f>
        <v>#REF!</v>
      </c>
      <c r="K1264" s="5" t="e">
        <f>Planning[[#This Row],[Horas Planificadas]]+Planning[[#This Row],[Horas ajustadas adicionales]]-Planning[[#This Row],[Horas utilizadas]]</f>
        <v>#REF!</v>
      </c>
      <c r="L1264" s="7">
        <v>0</v>
      </c>
      <c r="M1264" s="19" t="e">
        <f>Planning[[#This Row],[Saldo]]-Planning[[#This Row],[Saldo estimado]]</f>
        <v>#REF!</v>
      </c>
      <c r="N1264" s="60" t="e">
        <f>+SUMIFS(#REF!,#REF!,Planning[[#This Row],[Proyectos]],#REF!,Planning[[#This Row],[Tipo de Tarea y especialidad]])</f>
        <v>#REF!</v>
      </c>
      <c r="O1264" s="19">
        <f t="shared" si="38"/>
        <v>10</v>
      </c>
      <c r="P1264" s="19">
        <f t="shared" si="39"/>
        <v>2024</v>
      </c>
      <c r="Q12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64" s="19" t="str">
        <f>TEXT(Planning[[#This Row],[Mes]]*29,"mmmm")</f>
        <v>October</v>
      </c>
      <c r="S12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64" s="193"/>
      <c r="U1264" s="43" t="e">
        <f>IF(Planning[[#This Row],[Horas Planificadas]]&lt;&gt;0,+K1264/Planning[[#This Row],[Horas Planificadas]],0)</f>
        <v>#REF!</v>
      </c>
      <c r="V1264" s="43" t="e">
        <f>IF(Planning[[#This Row],[Horas Planificadas]]&lt;&gt;0,Planning[[#This Row],[Horas utilizadas]]/Planning[[#This Row],[Horas Planificadas]],0)</f>
        <v>#REF!</v>
      </c>
      <c r="W1264" s="44">
        <f>Planning[[#This Row],[Horas Planificadas]]+Planning[[#This Row],[Horas ajustadas adicionales]]</f>
        <v>480</v>
      </c>
      <c r="X1264" s="142"/>
    </row>
    <row r="1265" spans="1:24" ht="12.75" customHeight="1" x14ac:dyDescent="0.2">
      <c r="A1265" s="7" t="s">
        <v>204</v>
      </c>
      <c r="B1265" s="7" t="s">
        <v>205</v>
      </c>
      <c r="C1265" s="3"/>
      <c r="D1265" s="3" t="s">
        <v>331</v>
      </c>
      <c r="E1265" s="4"/>
      <c r="F1265" s="3" t="s">
        <v>121</v>
      </c>
      <c r="G1265" s="9"/>
      <c r="H1265" s="9">
        <v>1080</v>
      </c>
      <c r="I1265" s="12"/>
      <c r="J1265" s="5" t="e">
        <f>SUM(SUMIFS(#REF!,#REF!,Planning[[#This Row],[Tipo de Tarea y especialidad]],#REF!,Planning[[#This Row],[Proyectos Reiwa]]),SUMIFS(#REF!,#REF!,Planning[[#This Row],[Tipo de Tarea y especialidad]],#REF!,Planning[[#This Row],[Proyectos]]))</f>
        <v>#REF!</v>
      </c>
      <c r="K1265" s="5" t="e">
        <f>Planning[[#This Row],[Horas Planificadas]]+Planning[[#This Row],[Horas ajustadas adicionales]]-Planning[[#This Row],[Horas utilizadas]]</f>
        <v>#REF!</v>
      </c>
      <c r="L1265" s="7">
        <v>0</v>
      </c>
      <c r="M1265" s="19" t="e">
        <f>Planning[[#This Row],[Saldo]]-Planning[[#This Row],[Saldo estimado]]</f>
        <v>#REF!</v>
      </c>
      <c r="N1265" s="60" t="e">
        <f>+SUMIFS(#REF!,#REF!,Planning[[#This Row],[Proyectos]],#REF!,Planning[[#This Row],[Tipo de Tarea y especialidad]])</f>
        <v>#REF!</v>
      </c>
      <c r="O1265" s="19">
        <f t="shared" si="38"/>
        <v>10</v>
      </c>
      <c r="P1265" s="19">
        <f t="shared" si="39"/>
        <v>2024</v>
      </c>
      <c r="Q12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65" s="19" t="str">
        <f>TEXT(Planning[[#This Row],[Mes]]*29,"mmmm")</f>
        <v>October</v>
      </c>
      <c r="S12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65" s="193"/>
      <c r="U1265" s="43" t="e">
        <f>IF(Planning[[#This Row],[Horas Planificadas]]&lt;&gt;0,+K1265/Planning[[#This Row],[Horas Planificadas]],0)</f>
        <v>#REF!</v>
      </c>
      <c r="V1265" s="43" t="e">
        <f>IF(Planning[[#This Row],[Horas Planificadas]]&lt;&gt;0,Planning[[#This Row],[Horas utilizadas]]/Planning[[#This Row],[Horas Planificadas]],0)</f>
        <v>#REF!</v>
      </c>
      <c r="W1265" s="44">
        <f>Planning[[#This Row],[Horas Planificadas]]+Planning[[#This Row],[Horas ajustadas adicionales]]</f>
        <v>1080</v>
      </c>
      <c r="X1265" s="142"/>
    </row>
    <row r="1266" spans="1:24" ht="12.75" customHeight="1" x14ac:dyDescent="0.2">
      <c r="A1266" s="7" t="s">
        <v>204</v>
      </c>
      <c r="B1266" s="7" t="s">
        <v>205</v>
      </c>
      <c r="C1266" s="3"/>
      <c r="D1266" s="3" t="s">
        <v>331</v>
      </c>
      <c r="E1266" s="4" t="s">
        <v>30</v>
      </c>
      <c r="F1266" s="3"/>
      <c r="G1266" s="9">
        <v>936</v>
      </c>
      <c r="H1266" s="14">
        <f>SUM(H1267:H1273)</f>
        <v>2236</v>
      </c>
      <c r="I1266" s="14"/>
      <c r="J1266" s="14" t="e">
        <f>SUM(J1267:J1273)</f>
        <v>#REF!</v>
      </c>
      <c r="K1266" s="15" t="e">
        <f>SUM(K1267:K1273)</f>
        <v>#REF!</v>
      </c>
      <c r="L1266" s="15">
        <f>SUM(L1267:L1273)</f>
        <v>0</v>
      </c>
      <c r="M1266" s="16" t="e">
        <f>SUM(M1267:M1273)</f>
        <v>#REF!</v>
      </c>
      <c r="N1266" s="60" t="e">
        <f>+SUMIFS(#REF!,#REF!,Planning[[#This Row],[Proyectos]],#REF!,Planning[[#This Row],[Tipo de Tarea y especialidad]])</f>
        <v>#REF!</v>
      </c>
      <c r="O1266" s="16">
        <f t="shared" si="38"/>
        <v>10</v>
      </c>
      <c r="P1266" s="16">
        <f t="shared" si="39"/>
        <v>2024</v>
      </c>
      <c r="Q1266" s="16" t="e">
        <f>SUM(Q1267:Q1273)</f>
        <v>#REF!</v>
      </c>
      <c r="R1266" s="16" t="str">
        <f>TEXT(Planning[[#This Row],[Mes]]*29,"mmmm")</f>
        <v>October</v>
      </c>
      <c r="S12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66" s="193"/>
      <c r="U1266" s="43" t="e">
        <f>IF(Planning[[#This Row],[Horas Planificadas]]&lt;&gt;0,+K1266/Planning[[#This Row],[Horas Planificadas]],0)</f>
        <v>#REF!</v>
      </c>
      <c r="V1266" s="43" t="e">
        <f>IF(Planning[[#This Row],[Horas Planificadas]]&lt;&gt;0,Planning[[#This Row],[Horas utilizadas]]/Planning[[#This Row],[Horas Planificadas]],0)</f>
        <v>#REF!</v>
      </c>
      <c r="W1266" s="44">
        <f>Planning[[#This Row],[Horas Planificadas]]+Planning[[#This Row],[Horas ajustadas adicionales]]</f>
        <v>2236</v>
      </c>
      <c r="X1266" s="142"/>
    </row>
    <row r="1267" spans="1:24" ht="12.75" customHeight="1" x14ac:dyDescent="0.2">
      <c r="A1267" s="7" t="s">
        <v>204</v>
      </c>
      <c r="B1267" s="7" t="s">
        <v>205</v>
      </c>
      <c r="C1267" s="3"/>
      <c r="D1267" s="3" t="s">
        <v>331</v>
      </c>
      <c r="E1267" s="4"/>
      <c r="F1267" s="3" t="s">
        <v>122</v>
      </c>
      <c r="G1267" s="9"/>
      <c r="H1267" s="9"/>
      <c r="I1267" s="12"/>
      <c r="J1267" s="5" t="e">
        <f>SUM(SUMIFS(#REF!,#REF!,Planning[[#This Row],[Tipo de Tarea y especialidad]],#REF!,Planning[[#This Row],[Proyectos Reiwa]]),SUMIFS(#REF!,#REF!,Planning[[#This Row],[Tipo de Tarea y especialidad]],#REF!,Planning[[#This Row],[Proyectos]]))</f>
        <v>#REF!</v>
      </c>
      <c r="K1267" s="5" t="e">
        <f>Planning[[#This Row],[Horas Planificadas]]+Planning[[#This Row],[Horas ajustadas adicionales]]-Planning[[#This Row],[Horas utilizadas]]</f>
        <v>#REF!</v>
      </c>
      <c r="L1267" s="7">
        <v>0</v>
      </c>
      <c r="M1267" s="19" t="e">
        <f>Planning[[#This Row],[Saldo]]-Planning[[#This Row],[Saldo estimado]]</f>
        <v>#REF!</v>
      </c>
      <c r="N1267" s="60" t="e">
        <f>+SUMIFS(#REF!,#REF!,Planning[[#This Row],[Proyectos]],#REF!,Planning[[#This Row],[Tipo de Tarea y especialidad]])</f>
        <v>#REF!</v>
      </c>
      <c r="O1267" s="19">
        <f t="shared" si="38"/>
        <v>10</v>
      </c>
      <c r="P1267" s="19">
        <f t="shared" si="39"/>
        <v>2024</v>
      </c>
      <c r="Q12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67" s="19" t="str">
        <f>TEXT(Planning[[#This Row],[Mes]]*29,"mmmm")</f>
        <v>October</v>
      </c>
      <c r="S12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67" s="193"/>
      <c r="U1267" s="43">
        <f>IF(Planning[[#This Row],[Horas Planificadas]]&lt;&gt;0,+K1267/Planning[[#This Row],[Horas Planificadas]],0)</f>
        <v>0</v>
      </c>
      <c r="V1267" s="43">
        <f>IF(Planning[[#This Row],[Horas Planificadas]]&lt;&gt;0,Planning[[#This Row],[Horas utilizadas]]/Planning[[#This Row],[Horas Planificadas]],0)</f>
        <v>0</v>
      </c>
      <c r="W1267" s="44">
        <f>Planning[[#This Row],[Horas Planificadas]]+Planning[[#This Row],[Horas ajustadas adicionales]]</f>
        <v>0</v>
      </c>
      <c r="X1267" s="142"/>
    </row>
    <row r="1268" spans="1:24" ht="12.75" customHeight="1" x14ac:dyDescent="0.2">
      <c r="A1268" s="7" t="s">
        <v>204</v>
      </c>
      <c r="B1268" s="7" t="s">
        <v>205</v>
      </c>
      <c r="C1268" s="3"/>
      <c r="D1268" s="3" t="s">
        <v>331</v>
      </c>
      <c r="E1268" s="4"/>
      <c r="F1268" s="3" t="s">
        <v>123</v>
      </c>
      <c r="G1268" s="9"/>
      <c r="H1268" s="9">
        <v>756</v>
      </c>
      <c r="I1268" s="12"/>
      <c r="J1268" s="5" t="e">
        <f>SUM(SUMIFS(#REF!,#REF!,Planning[[#This Row],[Tipo de Tarea y especialidad]],#REF!,Planning[[#This Row],[Proyectos Reiwa]]),SUMIFS(#REF!,#REF!,Planning[[#This Row],[Tipo de Tarea y especialidad]],#REF!,Planning[[#This Row],[Proyectos]]))</f>
        <v>#REF!</v>
      </c>
      <c r="K1268" s="5" t="e">
        <f>Planning[[#This Row],[Horas Planificadas]]+Planning[[#This Row],[Horas ajustadas adicionales]]-Planning[[#This Row],[Horas utilizadas]]</f>
        <v>#REF!</v>
      </c>
      <c r="L1268" s="7">
        <v>0</v>
      </c>
      <c r="M1268" s="19" t="e">
        <f>Planning[[#This Row],[Saldo]]-Planning[[#This Row],[Saldo estimado]]</f>
        <v>#REF!</v>
      </c>
      <c r="N1268" s="60" t="e">
        <f>+SUMIFS(#REF!,#REF!,Planning[[#This Row],[Proyectos]],#REF!,Planning[[#This Row],[Tipo de Tarea y especialidad]])</f>
        <v>#REF!</v>
      </c>
      <c r="O1268" s="19">
        <f t="shared" si="38"/>
        <v>10</v>
      </c>
      <c r="P1268" s="19">
        <f t="shared" si="39"/>
        <v>2024</v>
      </c>
      <c r="Q12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68" s="19" t="str">
        <f>TEXT(Planning[[#This Row],[Mes]]*29,"mmmm")</f>
        <v>October</v>
      </c>
      <c r="S12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68" s="193"/>
      <c r="U1268" s="43" t="e">
        <f>IF(Planning[[#This Row],[Horas Planificadas]]&lt;&gt;0,+K1268/Planning[[#This Row],[Horas Planificadas]],0)</f>
        <v>#REF!</v>
      </c>
      <c r="V1268" s="43" t="e">
        <f>IF(Planning[[#This Row],[Horas Planificadas]]&lt;&gt;0,Planning[[#This Row],[Horas utilizadas]]/Planning[[#This Row],[Horas Planificadas]],0)</f>
        <v>#REF!</v>
      </c>
      <c r="W1268" s="44">
        <f>Planning[[#This Row],[Horas Planificadas]]+Planning[[#This Row],[Horas ajustadas adicionales]]</f>
        <v>756</v>
      </c>
      <c r="X1268" s="142"/>
    </row>
    <row r="1269" spans="1:24" ht="12.75" customHeight="1" x14ac:dyDescent="0.2">
      <c r="A1269" s="7" t="s">
        <v>204</v>
      </c>
      <c r="B1269" s="7" t="s">
        <v>205</v>
      </c>
      <c r="C1269" s="3"/>
      <c r="D1269" s="3" t="s">
        <v>331</v>
      </c>
      <c r="E1269" s="4"/>
      <c r="F1269" s="3" t="s">
        <v>124</v>
      </c>
      <c r="G1269" s="9"/>
      <c r="H1269" s="9">
        <v>549</v>
      </c>
      <c r="I1269" s="12"/>
      <c r="J1269" s="5" t="e">
        <f>SUM(SUMIFS(#REF!,#REF!,Planning[[#This Row],[Tipo de Tarea y especialidad]],#REF!,Planning[[#This Row],[Proyectos Reiwa]]),SUMIFS(#REF!,#REF!,Planning[[#This Row],[Tipo de Tarea y especialidad]],#REF!,Planning[[#This Row],[Proyectos]]))</f>
        <v>#REF!</v>
      </c>
      <c r="K1269" s="5" t="e">
        <f>Planning[[#This Row],[Horas Planificadas]]+Planning[[#This Row],[Horas ajustadas adicionales]]-Planning[[#This Row],[Horas utilizadas]]</f>
        <v>#REF!</v>
      </c>
      <c r="L1269" s="7">
        <v>0</v>
      </c>
      <c r="M1269" s="19" t="e">
        <f>Planning[[#This Row],[Saldo]]-Planning[[#This Row],[Saldo estimado]]</f>
        <v>#REF!</v>
      </c>
      <c r="N1269" s="60" t="e">
        <f>+SUMIFS(#REF!,#REF!,Planning[[#This Row],[Proyectos]],#REF!,Planning[[#This Row],[Tipo de Tarea y especialidad]])</f>
        <v>#REF!</v>
      </c>
      <c r="O1269" s="19">
        <f t="shared" si="38"/>
        <v>10</v>
      </c>
      <c r="P1269" s="19">
        <f t="shared" si="39"/>
        <v>2024</v>
      </c>
      <c r="Q12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69" s="19" t="str">
        <f>TEXT(Planning[[#This Row],[Mes]]*29,"mmmm")</f>
        <v>October</v>
      </c>
      <c r="S12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69" s="193"/>
      <c r="U1269" s="43" t="e">
        <f>IF(Planning[[#This Row],[Horas Planificadas]]&lt;&gt;0,+K1269/Planning[[#This Row],[Horas Planificadas]],0)</f>
        <v>#REF!</v>
      </c>
      <c r="V1269" s="43" t="e">
        <f>IF(Planning[[#This Row],[Horas Planificadas]]&lt;&gt;0,Planning[[#This Row],[Horas utilizadas]]/Planning[[#This Row],[Horas Planificadas]],0)</f>
        <v>#REF!</v>
      </c>
      <c r="W1269" s="44">
        <f>Planning[[#This Row],[Horas Planificadas]]+Planning[[#This Row],[Horas ajustadas adicionales]]</f>
        <v>549</v>
      </c>
      <c r="X1269" s="142"/>
    </row>
    <row r="1270" spans="1:24" ht="12.75" customHeight="1" x14ac:dyDescent="0.2">
      <c r="A1270" s="7" t="s">
        <v>204</v>
      </c>
      <c r="B1270" s="7" t="s">
        <v>205</v>
      </c>
      <c r="C1270" s="3"/>
      <c r="D1270" s="3" t="s">
        <v>331</v>
      </c>
      <c r="E1270" s="4"/>
      <c r="F1270" s="3" t="s">
        <v>125</v>
      </c>
      <c r="G1270" s="9"/>
      <c r="H1270" s="9">
        <v>931</v>
      </c>
      <c r="I1270" s="12"/>
      <c r="J1270" s="5" t="e">
        <f>SUM(SUMIFS(#REF!,#REF!,Planning[[#This Row],[Tipo de Tarea y especialidad]],#REF!,Planning[[#This Row],[Proyectos Reiwa]]),SUMIFS(#REF!,#REF!,Planning[[#This Row],[Tipo de Tarea y especialidad]],#REF!,Planning[[#This Row],[Proyectos]]))</f>
        <v>#REF!</v>
      </c>
      <c r="K1270" s="5" t="e">
        <f>Planning[[#This Row],[Horas Planificadas]]+Planning[[#This Row],[Horas ajustadas adicionales]]-Planning[[#This Row],[Horas utilizadas]]</f>
        <v>#REF!</v>
      </c>
      <c r="L1270" s="7">
        <v>0</v>
      </c>
      <c r="M1270" s="19" t="e">
        <f>Planning[[#This Row],[Saldo]]-Planning[[#This Row],[Saldo estimado]]</f>
        <v>#REF!</v>
      </c>
      <c r="N1270" s="60" t="e">
        <f>+SUMIFS(#REF!,#REF!,Planning[[#This Row],[Proyectos]],#REF!,Planning[[#This Row],[Tipo de Tarea y especialidad]])</f>
        <v>#REF!</v>
      </c>
      <c r="O1270" s="19">
        <f t="shared" si="38"/>
        <v>10</v>
      </c>
      <c r="P1270" s="19">
        <f t="shared" si="39"/>
        <v>2024</v>
      </c>
      <c r="Q12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70" s="19" t="str">
        <f>TEXT(Planning[[#This Row],[Mes]]*29,"mmmm")</f>
        <v>October</v>
      </c>
      <c r="S12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70" s="193"/>
      <c r="U1270" s="43" t="e">
        <f>IF(Planning[[#This Row],[Horas Planificadas]]&lt;&gt;0,+K1270/Planning[[#This Row],[Horas Planificadas]],0)</f>
        <v>#REF!</v>
      </c>
      <c r="V1270" s="43" t="e">
        <f>IF(Planning[[#This Row],[Horas Planificadas]]&lt;&gt;0,Planning[[#This Row],[Horas utilizadas]]/Planning[[#This Row],[Horas Planificadas]],0)</f>
        <v>#REF!</v>
      </c>
      <c r="W1270" s="44">
        <f>Planning[[#This Row],[Horas Planificadas]]+Planning[[#This Row],[Horas ajustadas adicionales]]</f>
        <v>931</v>
      </c>
      <c r="X1270" s="142"/>
    </row>
    <row r="1271" spans="1:24" ht="12.75" customHeight="1" x14ac:dyDescent="0.2">
      <c r="A1271" s="7" t="s">
        <v>204</v>
      </c>
      <c r="B1271" s="7" t="s">
        <v>205</v>
      </c>
      <c r="C1271" s="3"/>
      <c r="D1271" s="3" t="s">
        <v>331</v>
      </c>
      <c r="E1271" s="4"/>
      <c r="F1271" s="3" t="s">
        <v>126</v>
      </c>
      <c r="G1271" s="9"/>
      <c r="H1271" s="9"/>
      <c r="I1271" s="12"/>
      <c r="J1271" s="5" t="e">
        <f>SUM(SUMIFS(#REF!,#REF!,Planning[[#This Row],[Tipo de Tarea y especialidad]],#REF!,Planning[[#This Row],[Proyectos Reiwa]]),SUMIFS(#REF!,#REF!,Planning[[#This Row],[Tipo de Tarea y especialidad]],#REF!,Planning[[#This Row],[Proyectos]]))</f>
        <v>#REF!</v>
      </c>
      <c r="K1271" s="5" t="e">
        <f>Planning[[#This Row],[Horas Planificadas]]+Planning[[#This Row],[Horas ajustadas adicionales]]-Planning[[#This Row],[Horas utilizadas]]</f>
        <v>#REF!</v>
      </c>
      <c r="L1271" s="7"/>
      <c r="M1271" s="19" t="e">
        <f>Planning[[#This Row],[Saldo]]-Planning[[#This Row],[Saldo estimado]]</f>
        <v>#REF!</v>
      </c>
      <c r="N1271" s="60" t="e">
        <f>+SUMIFS(#REF!,#REF!,Planning[[#This Row],[Proyectos]],#REF!,Planning[[#This Row],[Tipo de Tarea y especialidad]])</f>
        <v>#REF!</v>
      </c>
      <c r="O1271" s="19">
        <f t="shared" si="38"/>
        <v>10</v>
      </c>
      <c r="P1271" s="19">
        <f t="shared" si="39"/>
        <v>2024</v>
      </c>
      <c r="Q12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71" s="19" t="str">
        <f>TEXT(Planning[[#This Row],[Mes]]*29,"mmmm")</f>
        <v>October</v>
      </c>
      <c r="S12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71" s="193"/>
      <c r="U1271" s="43">
        <f>IF(Planning[[#This Row],[Horas Planificadas]]&lt;&gt;0,+K1271/Planning[[#This Row],[Horas Planificadas]],0)</f>
        <v>0</v>
      </c>
      <c r="V1271" s="43">
        <f>IF(Planning[[#This Row],[Horas Planificadas]]&lt;&gt;0,Planning[[#This Row],[Horas utilizadas]]/Planning[[#This Row],[Horas Planificadas]],0)</f>
        <v>0</v>
      </c>
      <c r="W1271" s="44">
        <f>Planning[[#This Row],[Horas Planificadas]]+Planning[[#This Row],[Horas ajustadas adicionales]]</f>
        <v>0</v>
      </c>
      <c r="X1271" s="142"/>
    </row>
    <row r="1272" spans="1:24" ht="12.75" customHeight="1" x14ac:dyDescent="0.2">
      <c r="A1272" s="7" t="s">
        <v>204</v>
      </c>
      <c r="B1272" s="7" t="s">
        <v>205</v>
      </c>
      <c r="C1272" s="3"/>
      <c r="D1272" s="3" t="s">
        <v>331</v>
      </c>
      <c r="E1272" s="4"/>
      <c r="F1272" s="3" t="s">
        <v>127</v>
      </c>
      <c r="G1272" s="9"/>
      <c r="H1272" s="9"/>
      <c r="I1272" s="12"/>
      <c r="J1272" s="5" t="e">
        <f>SUM(SUMIFS(#REF!,#REF!,Planning[[#This Row],[Tipo de Tarea y especialidad]],#REF!,Planning[[#This Row],[Proyectos Reiwa]]),SUMIFS(#REF!,#REF!,Planning[[#This Row],[Tipo de Tarea y especialidad]],#REF!,Planning[[#This Row],[Proyectos]]))</f>
        <v>#REF!</v>
      </c>
      <c r="K1272" s="5" t="e">
        <f>Planning[[#This Row],[Horas Planificadas]]+Planning[[#This Row],[Horas ajustadas adicionales]]-Planning[[#This Row],[Horas utilizadas]]</f>
        <v>#REF!</v>
      </c>
      <c r="L1272" s="7">
        <v>0</v>
      </c>
      <c r="M1272" s="19" t="e">
        <f>Planning[[#This Row],[Saldo]]-Planning[[#This Row],[Saldo estimado]]</f>
        <v>#REF!</v>
      </c>
      <c r="N1272" s="60" t="e">
        <f>+SUMIFS(#REF!,#REF!,Planning[[#This Row],[Proyectos]],#REF!,Planning[[#This Row],[Tipo de Tarea y especialidad]])</f>
        <v>#REF!</v>
      </c>
      <c r="O1272" s="19">
        <f t="shared" si="38"/>
        <v>10</v>
      </c>
      <c r="P1272" s="19">
        <f t="shared" si="39"/>
        <v>2024</v>
      </c>
      <c r="Q12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72" s="19" t="str">
        <f>TEXT(Planning[[#This Row],[Mes]]*29,"mmmm")</f>
        <v>October</v>
      </c>
      <c r="S12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72" s="193"/>
      <c r="U1272" s="43">
        <f>IF(Planning[[#This Row],[Horas Planificadas]]&lt;&gt;0,+K1272/Planning[[#This Row],[Horas Planificadas]],0)</f>
        <v>0</v>
      </c>
      <c r="V1272" s="43">
        <f>IF(Planning[[#This Row],[Horas Planificadas]]&lt;&gt;0,Planning[[#This Row],[Horas utilizadas]]/Planning[[#This Row],[Horas Planificadas]],0)</f>
        <v>0</v>
      </c>
      <c r="W1272" s="44">
        <f>Planning[[#This Row],[Horas Planificadas]]+Planning[[#This Row],[Horas ajustadas adicionales]]</f>
        <v>0</v>
      </c>
      <c r="X1272" s="142"/>
    </row>
    <row r="1273" spans="1:24" ht="12.75" customHeight="1" x14ac:dyDescent="0.2">
      <c r="A1273" s="7" t="s">
        <v>204</v>
      </c>
      <c r="B1273" s="7" t="s">
        <v>205</v>
      </c>
      <c r="C1273" s="3"/>
      <c r="D1273" s="3" t="s">
        <v>331</v>
      </c>
      <c r="E1273" s="4"/>
      <c r="F1273" s="3" t="s">
        <v>128</v>
      </c>
      <c r="G1273" s="9"/>
      <c r="H1273" s="9"/>
      <c r="I1273" s="12"/>
      <c r="J1273" s="5" t="e">
        <f>SUM(SUMIFS(#REF!,#REF!,Planning[[#This Row],[Tipo de Tarea y especialidad]],#REF!,Planning[[#This Row],[Proyectos Reiwa]]),SUMIFS(#REF!,#REF!,Planning[[#This Row],[Tipo de Tarea y especialidad]],#REF!,Planning[[#This Row],[Proyectos]]))</f>
        <v>#REF!</v>
      </c>
      <c r="K1273" s="5" t="e">
        <f>Planning[[#This Row],[Horas Planificadas]]+Planning[[#This Row],[Horas ajustadas adicionales]]-Planning[[#This Row],[Horas utilizadas]]</f>
        <v>#REF!</v>
      </c>
      <c r="L1273" s="7">
        <v>0</v>
      </c>
      <c r="M1273" s="19" t="e">
        <f>Planning[[#This Row],[Saldo]]-Planning[[#This Row],[Saldo estimado]]</f>
        <v>#REF!</v>
      </c>
      <c r="N1273" s="60" t="e">
        <f>+SUMIFS(#REF!,#REF!,Planning[[#This Row],[Proyectos]],#REF!,Planning[[#This Row],[Tipo de Tarea y especialidad]])</f>
        <v>#REF!</v>
      </c>
      <c r="O1273" s="19">
        <f t="shared" si="38"/>
        <v>10</v>
      </c>
      <c r="P1273" s="19">
        <f t="shared" si="39"/>
        <v>2024</v>
      </c>
      <c r="Q12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73" s="19" t="str">
        <f>TEXT(Planning[[#This Row],[Mes]]*29,"mmmm")</f>
        <v>October</v>
      </c>
      <c r="S12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73" s="193"/>
      <c r="U1273" s="43">
        <f>IF(Planning[[#This Row],[Horas Planificadas]]&lt;&gt;0,+K1273/Planning[[#This Row],[Horas Planificadas]],0)</f>
        <v>0</v>
      </c>
      <c r="V1273" s="43">
        <f>IF(Planning[[#This Row],[Horas Planificadas]]&lt;&gt;0,Planning[[#This Row],[Horas utilizadas]]/Planning[[#This Row],[Horas Planificadas]],0)</f>
        <v>0</v>
      </c>
      <c r="W1273" s="44">
        <f>Planning[[#This Row],[Horas Planificadas]]+Planning[[#This Row],[Horas ajustadas adicionales]]</f>
        <v>0</v>
      </c>
      <c r="X1273" s="142"/>
    </row>
    <row r="1274" spans="1:24" ht="12.75" customHeight="1" x14ac:dyDescent="0.2">
      <c r="A1274" s="7" t="s">
        <v>204</v>
      </c>
      <c r="B1274" s="7" t="s">
        <v>205</v>
      </c>
      <c r="C1274" s="3"/>
      <c r="D1274" s="3" t="s">
        <v>331</v>
      </c>
      <c r="E1274" s="4" t="s">
        <v>31</v>
      </c>
      <c r="F1274" s="3" t="s">
        <v>31</v>
      </c>
      <c r="G1274" s="9">
        <v>445</v>
      </c>
      <c r="H1274" s="17">
        <v>445</v>
      </c>
      <c r="I1274" s="18"/>
      <c r="J1274" s="14" t="e">
        <f>+SUMIFS(#REF!,#REF!,Planning[[#This Row],[Tarifa]],#REF!,Planning[[#This Row],[Proyectos]])</f>
        <v>#REF!</v>
      </c>
      <c r="K1274" s="14" t="e">
        <f>Planning[[#This Row],[Horas Planificadas]]+Planning[[#This Row],[Horas ajustadas adicionales]]-Planning[[#This Row],[Horas utilizadas]]</f>
        <v>#REF!</v>
      </c>
      <c r="L1274" s="15">
        <v>0</v>
      </c>
      <c r="M1274" s="16" t="e">
        <f>Planning[[#This Row],[Saldo]]-Planning[[#This Row],[Saldo estimado]]</f>
        <v>#REF!</v>
      </c>
      <c r="N1274" s="60" t="e">
        <f>+SUMIFS(#REF!,#REF!,Planning[[#This Row],[Proyectos]],#REF!,Planning[[#This Row],[Tipo de Tarea y especialidad]])</f>
        <v>#REF!</v>
      </c>
      <c r="O1274" s="16">
        <f t="shared" si="38"/>
        <v>10</v>
      </c>
      <c r="P1274" s="16">
        <f t="shared" si="39"/>
        <v>2024</v>
      </c>
      <c r="Q1274" s="16" t="e">
        <f>+SUMIFS(#REF!,#REF!,Planning[[#This Row],[Tarifa]],#REF!,Planning[[#This Row],[Proyectos]],#REF!,Planning[[#This Row],[Mes]],#REF!,Planning[[#This Row],[Año]])</f>
        <v>#REF!</v>
      </c>
      <c r="R1274" s="16" t="str">
        <f>TEXT(Planning[[#This Row],[Mes]]*29,"mmmm")</f>
        <v>October</v>
      </c>
      <c r="S12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74" s="193"/>
      <c r="U1274" s="43" t="e">
        <f>IF(Planning[[#This Row],[Horas Planificadas]]&lt;&gt;0,+K1274/Planning[[#This Row],[Horas Planificadas]],0)</f>
        <v>#REF!</v>
      </c>
      <c r="V1274" s="43" t="e">
        <f>IF(Planning[[#This Row],[Horas Planificadas]]&lt;&gt;0,Planning[[#This Row],[Horas utilizadas]]/Planning[[#This Row],[Horas Planificadas]],0)</f>
        <v>#REF!</v>
      </c>
      <c r="W1274" s="44">
        <f>Planning[[#This Row],[Horas Planificadas]]+Planning[[#This Row],[Horas ajustadas adicionales]]</f>
        <v>445</v>
      </c>
      <c r="X1274" s="142"/>
    </row>
    <row r="1275" spans="1:24" ht="12.75" customHeight="1" x14ac:dyDescent="0.2">
      <c r="A1275" s="7" t="s">
        <v>204</v>
      </c>
      <c r="B1275" s="7" t="s">
        <v>205</v>
      </c>
      <c r="C1275" s="3"/>
      <c r="D1275" s="3" t="s">
        <v>331</v>
      </c>
      <c r="E1275" s="4" t="s">
        <v>32</v>
      </c>
      <c r="F1275" s="3"/>
      <c r="G1275" s="9">
        <v>936</v>
      </c>
      <c r="H1275" s="14">
        <f>SUM(H1276:H1278)</f>
        <v>936</v>
      </c>
      <c r="I1275" s="14"/>
      <c r="J1275" s="14" t="e">
        <f>SUM(J1276:J1278)</f>
        <v>#REF!</v>
      </c>
      <c r="K1275" s="15" t="e">
        <f>SUM(K1276:K1278)</f>
        <v>#REF!</v>
      </c>
      <c r="L1275" s="15">
        <f>SUM(L1276:L1278)</f>
        <v>0</v>
      </c>
      <c r="M1275" s="16" t="e">
        <f>SUM(M1276:M1278)</f>
        <v>#REF!</v>
      </c>
      <c r="N1275" s="60" t="e">
        <f>+SUMIFS(#REF!,#REF!,Planning[[#This Row],[Proyectos]],#REF!,Planning[[#This Row],[Tipo de Tarea y especialidad]])</f>
        <v>#REF!</v>
      </c>
      <c r="O1275" s="16">
        <f t="shared" si="38"/>
        <v>10</v>
      </c>
      <c r="P1275" s="16">
        <f t="shared" si="39"/>
        <v>2024</v>
      </c>
      <c r="Q1275" s="16" t="e">
        <f>SUM(Q1276:Q1278)</f>
        <v>#REF!</v>
      </c>
      <c r="R1275" s="16" t="str">
        <f>TEXT(Planning[[#This Row],[Mes]]*29,"mmmm")</f>
        <v>October</v>
      </c>
      <c r="S12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75" s="193"/>
      <c r="U1275" s="43" t="e">
        <f>IF(Planning[[#This Row],[Horas Planificadas]]&lt;&gt;0,+K1275/Planning[[#This Row],[Horas Planificadas]],0)</f>
        <v>#REF!</v>
      </c>
      <c r="V1275" s="43" t="e">
        <f>IF(Planning[[#This Row],[Horas Planificadas]]&lt;&gt;0,Planning[[#This Row],[Horas utilizadas]]/Planning[[#This Row],[Horas Planificadas]],0)</f>
        <v>#REF!</v>
      </c>
      <c r="W1275" s="44">
        <f>Planning[[#This Row],[Horas Planificadas]]+Planning[[#This Row],[Horas ajustadas adicionales]]</f>
        <v>936</v>
      </c>
      <c r="X1275" s="142"/>
    </row>
    <row r="1276" spans="1:24" ht="12.75" customHeight="1" x14ac:dyDescent="0.2">
      <c r="A1276" s="7" t="s">
        <v>204</v>
      </c>
      <c r="B1276" s="7" t="s">
        <v>205</v>
      </c>
      <c r="C1276" s="3"/>
      <c r="D1276" s="3" t="s">
        <v>331</v>
      </c>
      <c r="E1276" s="4"/>
      <c r="F1276" s="3" t="s">
        <v>129</v>
      </c>
      <c r="G1276" s="9"/>
      <c r="H1276" s="9"/>
      <c r="I1276" s="12"/>
      <c r="J1276" s="5" t="e">
        <f>SUM(SUMIFS(#REF!,#REF!,Planning[[#This Row],[Tipo de Tarea y especialidad]],#REF!,Planning[[#This Row],[Proyectos Reiwa]]),SUMIFS(#REF!,#REF!,Planning[[#This Row],[Tipo de Tarea y especialidad]],#REF!,Planning[[#This Row],[Proyectos]]))</f>
        <v>#REF!</v>
      </c>
      <c r="K1276" s="5" t="e">
        <f>Planning[[#This Row],[Horas Planificadas]]+Planning[[#This Row],[Horas ajustadas adicionales]]-Planning[[#This Row],[Horas utilizadas]]</f>
        <v>#REF!</v>
      </c>
      <c r="L1276" s="7"/>
      <c r="M1276" s="19" t="e">
        <f>Planning[[#This Row],[Saldo]]-Planning[[#This Row],[Saldo estimado]]</f>
        <v>#REF!</v>
      </c>
      <c r="N1276" s="60" t="e">
        <f>+SUMIFS(#REF!,#REF!,Planning[[#This Row],[Proyectos]],#REF!,Planning[[#This Row],[Tipo de Tarea y especialidad]])</f>
        <v>#REF!</v>
      </c>
      <c r="O1276" s="19">
        <f t="shared" si="38"/>
        <v>10</v>
      </c>
      <c r="P1276" s="19">
        <f t="shared" si="39"/>
        <v>2024</v>
      </c>
      <c r="Q12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76" s="19" t="str">
        <f>TEXT(Planning[[#This Row],[Mes]]*29,"mmmm")</f>
        <v>October</v>
      </c>
      <c r="S12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76" s="193"/>
      <c r="U1276" s="43">
        <f>IF(Planning[[#This Row],[Horas Planificadas]]&lt;&gt;0,+K1276/Planning[[#This Row],[Horas Planificadas]],0)</f>
        <v>0</v>
      </c>
      <c r="V1276" s="43">
        <f>IF(Planning[[#This Row],[Horas Planificadas]]&lt;&gt;0,Planning[[#This Row],[Horas utilizadas]]/Planning[[#This Row],[Horas Planificadas]],0)</f>
        <v>0</v>
      </c>
      <c r="W1276" s="44">
        <f>Planning[[#This Row],[Horas Planificadas]]+Planning[[#This Row],[Horas ajustadas adicionales]]</f>
        <v>0</v>
      </c>
      <c r="X1276" s="142"/>
    </row>
    <row r="1277" spans="1:24" ht="12.75" customHeight="1" x14ac:dyDescent="0.2">
      <c r="A1277" s="7" t="s">
        <v>204</v>
      </c>
      <c r="B1277" s="7" t="s">
        <v>205</v>
      </c>
      <c r="C1277" s="3"/>
      <c r="D1277" s="3" t="s">
        <v>331</v>
      </c>
      <c r="E1277" s="4"/>
      <c r="F1277" s="3" t="s">
        <v>130</v>
      </c>
      <c r="G1277" s="9"/>
      <c r="H1277" s="9">
        <v>666</v>
      </c>
      <c r="I1277" s="12"/>
      <c r="J1277" s="5" t="e">
        <f>SUM(SUMIFS(#REF!,#REF!,Planning[[#This Row],[Tipo de Tarea y especialidad]],#REF!,Planning[[#This Row],[Proyectos Reiwa]]),SUMIFS(#REF!,#REF!,Planning[[#This Row],[Tipo de Tarea y especialidad]],#REF!,Planning[[#This Row],[Proyectos]]))</f>
        <v>#REF!</v>
      </c>
      <c r="K1277" s="5" t="e">
        <f>Planning[[#This Row],[Horas Planificadas]]+Planning[[#This Row],[Horas ajustadas adicionales]]-Planning[[#This Row],[Horas utilizadas]]</f>
        <v>#REF!</v>
      </c>
      <c r="L1277" s="7">
        <v>0</v>
      </c>
      <c r="M1277" s="19" t="e">
        <f>Planning[[#This Row],[Saldo]]-Planning[[#This Row],[Saldo estimado]]</f>
        <v>#REF!</v>
      </c>
      <c r="N1277" s="60" t="e">
        <f>+SUMIFS(#REF!,#REF!,Planning[[#This Row],[Proyectos]],#REF!,Planning[[#This Row],[Tipo de Tarea y especialidad]])</f>
        <v>#REF!</v>
      </c>
      <c r="O1277" s="19">
        <f t="shared" si="38"/>
        <v>10</v>
      </c>
      <c r="P1277" s="19">
        <f t="shared" si="39"/>
        <v>2024</v>
      </c>
      <c r="Q12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77" s="19" t="str">
        <f>TEXT(Planning[[#This Row],[Mes]]*29,"mmmm")</f>
        <v>October</v>
      </c>
      <c r="S12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77" s="193"/>
      <c r="U1277" s="43" t="e">
        <f>IF(Planning[[#This Row],[Horas Planificadas]]&lt;&gt;0,+K1277/Planning[[#This Row],[Horas Planificadas]],0)</f>
        <v>#REF!</v>
      </c>
      <c r="V1277" s="43" t="e">
        <f>IF(Planning[[#This Row],[Horas Planificadas]]&lt;&gt;0,Planning[[#This Row],[Horas utilizadas]]/Planning[[#This Row],[Horas Planificadas]],0)</f>
        <v>#REF!</v>
      </c>
      <c r="W1277" s="44">
        <f>Planning[[#This Row],[Horas Planificadas]]+Planning[[#This Row],[Horas ajustadas adicionales]]</f>
        <v>666</v>
      </c>
      <c r="X1277" s="142"/>
    </row>
    <row r="1278" spans="1:24" ht="12.75" customHeight="1" x14ac:dyDescent="0.2">
      <c r="A1278" s="7" t="s">
        <v>204</v>
      </c>
      <c r="B1278" s="7" t="s">
        <v>205</v>
      </c>
      <c r="C1278" s="3"/>
      <c r="D1278" s="3" t="s">
        <v>331</v>
      </c>
      <c r="E1278" s="4"/>
      <c r="F1278" s="3" t="s">
        <v>131</v>
      </c>
      <c r="G1278" s="9"/>
      <c r="H1278" s="9">
        <v>270</v>
      </c>
      <c r="I1278" s="12"/>
      <c r="J1278" s="5" t="e">
        <f>SUM(SUMIFS(#REF!,#REF!,Planning[[#This Row],[Tipo de Tarea y especialidad]],#REF!,Planning[[#This Row],[Proyectos Reiwa]]),SUMIFS(#REF!,#REF!,Planning[[#This Row],[Tipo de Tarea y especialidad]],#REF!,Planning[[#This Row],[Proyectos]]))</f>
        <v>#REF!</v>
      </c>
      <c r="K1278" s="5" t="e">
        <f>Planning[[#This Row],[Horas Planificadas]]+Planning[[#This Row],[Horas ajustadas adicionales]]-Planning[[#This Row],[Horas utilizadas]]</f>
        <v>#REF!</v>
      </c>
      <c r="L1278" s="7">
        <v>0</v>
      </c>
      <c r="M1278" s="19" t="e">
        <f>Planning[[#This Row],[Saldo]]-Planning[[#This Row],[Saldo estimado]]</f>
        <v>#REF!</v>
      </c>
      <c r="N1278" s="60" t="e">
        <f>+SUMIFS(#REF!,#REF!,Planning[[#This Row],[Proyectos]],#REF!,Planning[[#This Row],[Tipo de Tarea y especialidad]])</f>
        <v>#REF!</v>
      </c>
      <c r="O1278" s="19">
        <f t="shared" si="38"/>
        <v>10</v>
      </c>
      <c r="P1278" s="19">
        <f t="shared" si="39"/>
        <v>2024</v>
      </c>
      <c r="Q12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78" s="19" t="str">
        <f>TEXT(Planning[[#This Row],[Mes]]*29,"mmmm")</f>
        <v>October</v>
      </c>
      <c r="S12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78" s="193"/>
      <c r="U1278" s="43" t="e">
        <f>IF(Planning[[#This Row],[Horas Planificadas]]&lt;&gt;0,+K1278/Planning[[#This Row],[Horas Planificadas]],0)</f>
        <v>#REF!</v>
      </c>
      <c r="V1278" s="43" t="e">
        <f>IF(Planning[[#This Row],[Horas Planificadas]]&lt;&gt;0,Planning[[#This Row],[Horas utilizadas]]/Planning[[#This Row],[Horas Planificadas]],0)</f>
        <v>#REF!</v>
      </c>
      <c r="W1278" s="44">
        <f>Planning[[#This Row],[Horas Planificadas]]+Planning[[#This Row],[Horas ajustadas adicionales]]</f>
        <v>270</v>
      </c>
      <c r="X1278" s="142"/>
    </row>
    <row r="1279" spans="1:24" ht="12.75" customHeight="1" x14ac:dyDescent="0.2">
      <c r="A1279" s="7" t="s">
        <v>117</v>
      </c>
      <c r="B1279" s="7" t="s">
        <v>169</v>
      </c>
      <c r="C1279" s="3"/>
      <c r="D1279" s="3" t="s">
        <v>333</v>
      </c>
      <c r="E1279" s="33" t="s">
        <v>28</v>
      </c>
      <c r="F1279" s="33"/>
      <c r="G1279" s="7">
        <v>808</v>
      </c>
      <c r="H1279" s="24">
        <f>SUM(H1280:H1281)</f>
        <v>830</v>
      </c>
      <c r="I1279" s="14"/>
      <c r="J1279" s="14" t="e">
        <f>SUM(J1280:J1281)</f>
        <v>#REF!</v>
      </c>
      <c r="K1279" s="18" t="e">
        <f>SUM(K1280:K1281)</f>
        <v>#REF!</v>
      </c>
      <c r="L1279" s="15">
        <f>SUM(L1280:L1281)</f>
        <v>0</v>
      </c>
      <c r="M1279" s="28" t="e">
        <f>SUM(M1280:M1281)</f>
        <v>#REF!</v>
      </c>
      <c r="N1279" s="61" t="e">
        <f>+SUMIFS(#REF!,#REF!,Planning[[#This Row],[Proyectos]],#REF!,Planning[[#This Row],[Tipo de Tarea y especialidad]])</f>
        <v>#REF!</v>
      </c>
      <c r="O1279" s="28">
        <f t="shared" si="38"/>
        <v>10</v>
      </c>
      <c r="P1279" s="28">
        <f t="shared" si="39"/>
        <v>2024</v>
      </c>
      <c r="Q1279" s="28" t="e">
        <f>SUM(Q1280:Q1281)</f>
        <v>#REF!</v>
      </c>
      <c r="R1279" s="28" t="str">
        <f>TEXT(Planning[[#This Row],[Mes]]*29,"mmmm")</f>
        <v>October</v>
      </c>
      <c r="S12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79" s="192" t="s">
        <v>334</v>
      </c>
      <c r="U1279" s="43" t="e">
        <f>IF(Planning[[#This Row],[Horas Planificadas]]&lt;&gt;0,+K1279/Planning[[#This Row],[Horas Planificadas]],0)</f>
        <v>#REF!</v>
      </c>
      <c r="V1279" s="43" t="e">
        <f>IF(Planning[[#This Row],[Horas Planificadas]]&lt;&gt;0,Planning[[#This Row],[Horas utilizadas]]/Planning[[#This Row],[Horas Planificadas]],0)</f>
        <v>#REF!</v>
      </c>
      <c r="W1279" s="44">
        <f>Planning[[#This Row],[Horas Planificadas]]+Planning[[#This Row],[Horas ajustadas adicionales]]</f>
        <v>830</v>
      </c>
      <c r="X1279" s="142"/>
    </row>
    <row r="1280" spans="1:24" ht="12.75" customHeight="1" x14ac:dyDescent="0.2">
      <c r="A1280" s="7" t="s">
        <v>117</v>
      </c>
      <c r="B1280" s="7" t="s">
        <v>169</v>
      </c>
      <c r="C1280" s="3"/>
      <c r="D1280" s="3" t="s">
        <v>333</v>
      </c>
      <c r="E1280" s="33"/>
      <c r="F1280" s="33" t="s">
        <v>120</v>
      </c>
      <c r="G1280" s="7"/>
      <c r="H1280" s="7">
        <v>568</v>
      </c>
      <c r="I1280" s="12"/>
      <c r="J1280" s="5" t="e">
        <f>SUM(SUMIFS(#REF!,#REF!,Planning[[#This Row],[Tipo de Tarea y especialidad]],#REF!,Planning[[#This Row],[Proyectos Reiwa]]),SUMIFS(#REF!,#REF!,Planning[[#This Row],[Tipo de Tarea y especialidad]],#REF!,Planning[[#This Row],[Proyectos]]))</f>
        <v>#REF!</v>
      </c>
      <c r="K1280" s="5" t="e">
        <f>Planning[[#This Row],[Horas Planificadas]]+Planning[[#This Row],[Horas ajustadas adicionales]]-Planning[[#This Row],[Horas utilizadas]]</f>
        <v>#REF!</v>
      </c>
      <c r="L1280" s="7">
        <v>0</v>
      </c>
      <c r="M1280" s="19" t="e">
        <f>Planning[[#This Row],[Saldo]]-Planning[[#This Row],[Saldo estimado]]</f>
        <v>#REF!</v>
      </c>
      <c r="N1280" s="60" t="e">
        <f>+SUMIFS(#REF!,#REF!,Planning[[#This Row],[Proyectos]],#REF!,Planning[[#This Row],[Tipo de Tarea y especialidad]])</f>
        <v>#REF!</v>
      </c>
      <c r="O1280" s="19">
        <f t="shared" si="38"/>
        <v>10</v>
      </c>
      <c r="P1280" s="19">
        <f t="shared" si="39"/>
        <v>2024</v>
      </c>
      <c r="Q12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80" s="19" t="str">
        <f>TEXT(Planning[[#This Row],[Mes]]*29,"mmmm")</f>
        <v>October</v>
      </c>
      <c r="S12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80" s="193"/>
      <c r="U1280" s="43" t="e">
        <f>IF(Planning[[#This Row],[Horas Planificadas]]&lt;&gt;0,+K1280/Planning[[#This Row],[Horas Planificadas]],0)</f>
        <v>#REF!</v>
      </c>
      <c r="V1280" s="43" t="e">
        <f>IF(Planning[[#This Row],[Horas Planificadas]]&lt;&gt;0,Planning[[#This Row],[Horas utilizadas]]/Planning[[#This Row],[Horas Planificadas]],0)</f>
        <v>#REF!</v>
      </c>
      <c r="W1280" s="44">
        <f>Planning[[#This Row],[Horas Planificadas]]+Planning[[#This Row],[Horas ajustadas adicionales]]</f>
        <v>568</v>
      </c>
      <c r="X1280" s="142"/>
    </row>
    <row r="1281" spans="1:24" ht="12.75" customHeight="1" x14ac:dyDescent="0.2">
      <c r="A1281" s="7" t="s">
        <v>117</v>
      </c>
      <c r="B1281" s="7" t="s">
        <v>169</v>
      </c>
      <c r="C1281" s="3"/>
      <c r="D1281" s="3" t="s">
        <v>333</v>
      </c>
      <c r="E1281" s="33"/>
      <c r="F1281" s="33" t="s">
        <v>121</v>
      </c>
      <c r="G1281" s="7"/>
      <c r="H1281" s="7">
        <v>262</v>
      </c>
      <c r="I1281" s="12"/>
      <c r="J1281" s="5" t="e">
        <f>SUM(SUMIFS(#REF!,#REF!,Planning[[#This Row],[Tipo de Tarea y especialidad]],#REF!,Planning[[#This Row],[Proyectos Reiwa]]),SUMIFS(#REF!,#REF!,Planning[[#This Row],[Tipo de Tarea y especialidad]],#REF!,Planning[[#This Row],[Proyectos]]))</f>
        <v>#REF!</v>
      </c>
      <c r="K1281" s="5" t="e">
        <f>Planning[[#This Row],[Horas Planificadas]]+Planning[[#This Row],[Horas ajustadas adicionales]]-Planning[[#This Row],[Horas utilizadas]]</f>
        <v>#REF!</v>
      </c>
      <c r="L1281" s="7">
        <v>0</v>
      </c>
      <c r="M1281" s="19" t="e">
        <f>Planning[[#This Row],[Saldo]]-Planning[[#This Row],[Saldo estimado]]</f>
        <v>#REF!</v>
      </c>
      <c r="N1281" s="60" t="e">
        <f>+SUMIFS(#REF!,#REF!,Planning[[#This Row],[Proyectos]],#REF!,Planning[[#This Row],[Tipo de Tarea y especialidad]])</f>
        <v>#REF!</v>
      </c>
      <c r="O1281" s="19">
        <f t="shared" si="38"/>
        <v>10</v>
      </c>
      <c r="P1281" s="19">
        <f t="shared" si="39"/>
        <v>2024</v>
      </c>
      <c r="Q12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81" s="19" t="str">
        <f>TEXT(Planning[[#This Row],[Mes]]*29,"mmmm")</f>
        <v>October</v>
      </c>
      <c r="S12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81" s="193"/>
      <c r="U1281" s="43" t="e">
        <f>IF(Planning[[#This Row],[Horas Planificadas]]&lt;&gt;0,+K1281/Planning[[#This Row],[Horas Planificadas]],0)</f>
        <v>#REF!</v>
      </c>
      <c r="V1281" s="43" t="e">
        <f>IF(Planning[[#This Row],[Horas Planificadas]]&lt;&gt;0,Planning[[#This Row],[Horas utilizadas]]/Planning[[#This Row],[Horas Planificadas]],0)</f>
        <v>#REF!</v>
      </c>
      <c r="W1281" s="44">
        <f>Planning[[#This Row],[Horas Planificadas]]+Planning[[#This Row],[Horas ajustadas adicionales]]</f>
        <v>262</v>
      </c>
      <c r="X1281" s="142"/>
    </row>
    <row r="1282" spans="1:24" ht="12.75" customHeight="1" x14ac:dyDescent="0.2">
      <c r="A1282" s="7" t="s">
        <v>117</v>
      </c>
      <c r="B1282" s="7" t="s">
        <v>169</v>
      </c>
      <c r="C1282" s="3"/>
      <c r="D1282" s="3" t="s">
        <v>333</v>
      </c>
      <c r="E1282" s="33" t="s">
        <v>30</v>
      </c>
      <c r="F1282" s="33"/>
      <c r="G1282" s="7">
        <v>419</v>
      </c>
      <c r="H1282" s="24">
        <f>SUM(H1283:H1289)</f>
        <v>545</v>
      </c>
      <c r="I1282" s="14"/>
      <c r="J1282" s="14" t="e">
        <f>SUM(J1283:J1289)</f>
        <v>#REF!</v>
      </c>
      <c r="K1282" s="18" t="e">
        <f>SUM(K1283:K1289)</f>
        <v>#REF!</v>
      </c>
      <c r="L1282" s="15">
        <f>SUM(L1283:L1289)</f>
        <v>0</v>
      </c>
      <c r="M1282" s="16" t="e">
        <f>SUM(M1283:M1289)</f>
        <v>#REF!</v>
      </c>
      <c r="N1282" s="60" t="e">
        <f>+SUMIFS(#REF!,#REF!,Planning[[#This Row],[Proyectos]],#REF!,Planning[[#This Row],[Tipo de Tarea y especialidad]])</f>
        <v>#REF!</v>
      </c>
      <c r="O1282" s="16">
        <f t="shared" si="38"/>
        <v>10</v>
      </c>
      <c r="P1282" s="16">
        <f t="shared" si="39"/>
        <v>2024</v>
      </c>
      <c r="Q1282" s="16" t="e">
        <f>SUM(Q1283:Q1289)</f>
        <v>#REF!</v>
      </c>
      <c r="R1282" s="16" t="str">
        <f>TEXT(Planning[[#This Row],[Mes]]*29,"mmmm")</f>
        <v>October</v>
      </c>
      <c r="S12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82" s="193"/>
      <c r="U1282" s="43" t="e">
        <f>IF(Planning[[#This Row],[Horas Planificadas]]&lt;&gt;0,+K1282/Planning[[#This Row],[Horas Planificadas]],0)</f>
        <v>#REF!</v>
      </c>
      <c r="V1282" s="43" t="e">
        <f>IF(Planning[[#This Row],[Horas Planificadas]]&lt;&gt;0,Planning[[#This Row],[Horas utilizadas]]/Planning[[#This Row],[Horas Planificadas]],0)</f>
        <v>#REF!</v>
      </c>
      <c r="W1282" s="44">
        <f>Planning[[#This Row],[Horas Planificadas]]+Planning[[#This Row],[Horas ajustadas adicionales]]</f>
        <v>545</v>
      </c>
      <c r="X1282" s="142"/>
    </row>
    <row r="1283" spans="1:24" ht="12.75" customHeight="1" x14ac:dyDescent="0.2">
      <c r="A1283" s="7" t="s">
        <v>117</v>
      </c>
      <c r="B1283" s="7" t="s">
        <v>169</v>
      </c>
      <c r="C1283" s="3"/>
      <c r="D1283" s="3" t="s">
        <v>333</v>
      </c>
      <c r="E1283" s="33"/>
      <c r="F1283" s="33" t="s">
        <v>122</v>
      </c>
      <c r="G1283" s="7"/>
      <c r="H1283" s="7">
        <v>413</v>
      </c>
      <c r="I1283" s="12"/>
      <c r="J1283" s="5" t="e">
        <f>SUM(SUMIFS(#REF!,#REF!,Planning[[#This Row],[Tipo de Tarea y especialidad]],#REF!,Planning[[#This Row],[Proyectos Reiwa]]),SUMIFS(#REF!,#REF!,Planning[[#This Row],[Tipo de Tarea y especialidad]],#REF!,Planning[[#This Row],[Proyectos]]))</f>
        <v>#REF!</v>
      </c>
      <c r="K1283" s="5" t="e">
        <f>Planning[[#This Row],[Horas Planificadas]]+Planning[[#This Row],[Horas ajustadas adicionales]]-Planning[[#This Row],[Horas utilizadas]]</f>
        <v>#REF!</v>
      </c>
      <c r="L1283" s="7">
        <v>0</v>
      </c>
      <c r="M1283" s="19" t="e">
        <f>Planning[[#This Row],[Saldo]]-Planning[[#This Row],[Saldo estimado]]</f>
        <v>#REF!</v>
      </c>
      <c r="N1283" s="60" t="e">
        <f>+SUMIFS(#REF!,#REF!,Planning[[#This Row],[Proyectos]],#REF!,Planning[[#This Row],[Tipo de Tarea y especialidad]])</f>
        <v>#REF!</v>
      </c>
      <c r="O1283" s="19">
        <f t="shared" si="38"/>
        <v>10</v>
      </c>
      <c r="P1283" s="19">
        <f t="shared" si="39"/>
        <v>2024</v>
      </c>
      <c r="Q12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83" s="19" t="str">
        <f>TEXT(Planning[[#This Row],[Mes]]*29,"mmmm")</f>
        <v>October</v>
      </c>
      <c r="S12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83" s="193"/>
      <c r="U1283" s="43" t="e">
        <f>IF(Planning[[#This Row],[Horas Planificadas]]&lt;&gt;0,+K1283/Planning[[#This Row],[Horas Planificadas]],0)</f>
        <v>#REF!</v>
      </c>
      <c r="V1283" s="43" t="e">
        <f>IF(Planning[[#This Row],[Horas Planificadas]]&lt;&gt;0,Planning[[#This Row],[Horas utilizadas]]/Planning[[#This Row],[Horas Planificadas]],0)</f>
        <v>#REF!</v>
      </c>
      <c r="W1283" s="44">
        <f>Planning[[#This Row],[Horas Planificadas]]+Planning[[#This Row],[Horas ajustadas adicionales]]</f>
        <v>413</v>
      </c>
      <c r="X1283" s="142"/>
    </row>
    <row r="1284" spans="1:24" ht="12.75" customHeight="1" x14ac:dyDescent="0.2">
      <c r="A1284" s="7" t="s">
        <v>117</v>
      </c>
      <c r="B1284" s="7" t="s">
        <v>169</v>
      </c>
      <c r="C1284" s="3"/>
      <c r="D1284" s="3" t="s">
        <v>333</v>
      </c>
      <c r="E1284" s="33"/>
      <c r="F1284" s="33" t="s">
        <v>123</v>
      </c>
      <c r="G1284" s="7"/>
      <c r="H1284" s="7"/>
      <c r="I1284" s="12"/>
      <c r="J1284" s="5" t="e">
        <f>SUM(SUMIFS(#REF!,#REF!,Planning[[#This Row],[Tipo de Tarea y especialidad]],#REF!,Planning[[#This Row],[Proyectos Reiwa]]),SUMIFS(#REF!,#REF!,Planning[[#This Row],[Tipo de Tarea y especialidad]],#REF!,Planning[[#This Row],[Proyectos]]))</f>
        <v>#REF!</v>
      </c>
      <c r="K1284" s="5" t="e">
        <f>Planning[[#This Row],[Horas Planificadas]]+Planning[[#This Row],[Horas ajustadas adicionales]]-Planning[[#This Row],[Horas utilizadas]]</f>
        <v>#REF!</v>
      </c>
      <c r="L1284" s="7">
        <v>0</v>
      </c>
      <c r="M1284" s="19" t="e">
        <f>Planning[[#This Row],[Saldo]]-Planning[[#This Row],[Saldo estimado]]</f>
        <v>#REF!</v>
      </c>
      <c r="N1284" s="60" t="e">
        <f>+SUMIFS(#REF!,#REF!,Planning[[#This Row],[Proyectos]],#REF!,Planning[[#This Row],[Tipo de Tarea y especialidad]])</f>
        <v>#REF!</v>
      </c>
      <c r="O1284" s="19">
        <f t="shared" si="38"/>
        <v>10</v>
      </c>
      <c r="P1284" s="19">
        <f t="shared" si="39"/>
        <v>2024</v>
      </c>
      <c r="Q12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84" s="19" t="str">
        <f>TEXT(Planning[[#This Row],[Mes]]*29,"mmmm")</f>
        <v>October</v>
      </c>
      <c r="S12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84" s="193"/>
      <c r="U1284" s="43">
        <f>IF(Planning[[#This Row],[Horas Planificadas]]&lt;&gt;0,+K1284/Planning[[#This Row],[Horas Planificadas]],0)</f>
        <v>0</v>
      </c>
      <c r="V1284" s="43">
        <f>IF(Planning[[#This Row],[Horas Planificadas]]&lt;&gt;0,Planning[[#This Row],[Horas utilizadas]]/Planning[[#This Row],[Horas Planificadas]],0)</f>
        <v>0</v>
      </c>
      <c r="W1284" s="44">
        <f>Planning[[#This Row],[Horas Planificadas]]+Planning[[#This Row],[Horas ajustadas adicionales]]</f>
        <v>0</v>
      </c>
      <c r="X1284" s="142"/>
    </row>
    <row r="1285" spans="1:24" ht="12.75" customHeight="1" x14ac:dyDescent="0.2">
      <c r="A1285" s="7" t="s">
        <v>117</v>
      </c>
      <c r="B1285" s="7" t="s">
        <v>169</v>
      </c>
      <c r="C1285" s="3"/>
      <c r="D1285" s="3" t="s">
        <v>333</v>
      </c>
      <c r="E1285" s="33"/>
      <c r="F1285" s="33" t="s">
        <v>124</v>
      </c>
      <c r="G1285" s="7"/>
      <c r="H1285" s="7"/>
      <c r="I1285" s="12"/>
      <c r="J1285" s="5" t="e">
        <f>SUM(SUMIFS(#REF!,#REF!,Planning[[#This Row],[Tipo de Tarea y especialidad]],#REF!,Planning[[#This Row],[Proyectos Reiwa]]),SUMIFS(#REF!,#REF!,Planning[[#This Row],[Tipo de Tarea y especialidad]],#REF!,Planning[[#This Row],[Proyectos]]))</f>
        <v>#REF!</v>
      </c>
      <c r="K1285" s="5" t="e">
        <f>Planning[[#This Row],[Horas Planificadas]]+Planning[[#This Row],[Horas ajustadas adicionales]]-Planning[[#This Row],[Horas utilizadas]]</f>
        <v>#REF!</v>
      </c>
      <c r="L1285" s="7">
        <v>0</v>
      </c>
      <c r="M1285" s="19" t="e">
        <f>Planning[[#This Row],[Saldo]]-Planning[[#This Row],[Saldo estimado]]</f>
        <v>#REF!</v>
      </c>
      <c r="N1285" s="60" t="e">
        <f>+SUMIFS(#REF!,#REF!,Planning[[#This Row],[Proyectos]],#REF!,Planning[[#This Row],[Tipo de Tarea y especialidad]])</f>
        <v>#REF!</v>
      </c>
      <c r="O1285" s="19">
        <f t="shared" si="38"/>
        <v>10</v>
      </c>
      <c r="P1285" s="19">
        <f t="shared" si="39"/>
        <v>2024</v>
      </c>
      <c r="Q12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85" s="19" t="str">
        <f>TEXT(Planning[[#This Row],[Mes]]*29,"mmmm")</f>
        <v>October</v>
      </c>
      <c r="S12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85" s="193"/>
      <c r="U1285" s="43">
        <f>IF(Planning[[#This Row],[Horas Planificadas]]&lt;&gt;0,+K1285/Planning[[#This Row],[Horas Planificadas]],0)</f>
        <v>0</v>
      </c>
      <c r="V1285" s="43">
        <f>IF(Planning[[#This Row],[Horas Planificadas]]&lt;&gt;0,Planning[[#This Row],[Horas utilizadas]]/Planning[[#This Row],[Horas Planificadas]],0)</f>
        <v>0</v>
      </c>
      <c r="W1285" s="44">
        <f>Planning[[#This Row],[Horas Planificadas]]+Planning[[#This Row],[Horas ajustadas adicionales]]</f>
        <v>0</v>
      </c>
      <c r="X1285" s="142"/>
    </row>
    <row r="1286" spans="1:24" ht="12.75" customHeight="1" x14ac:dyDescent="0.2">
      <c r="A1286" s="7" t="s">
        <v>117</v>
      </c>
      <c r="B1286" s="7" t="s">
        <v>169</v>
      </c>
      <c r="C1286" s="3"/>
      <c r="D1286" s="3" t="s">
        <v>333</v>
      </c>
      <c r="E1286" s="33"/>
      <c r="F1286" s="33" t="s">
        <v>125</v>
      </c>
      <c r="G1286" s="7"/>
      <c r="H1286" s="7"/>
      <c r="I1286" s="12"/>
      <c r="J1286" s="5" t="e">
        <f>SUM(SUMIFS(#REF!,#REF!,Planning[[#This Row],[Tipo de Tarea y especialidad]],#REF!,Planning[[#This Row],[Proyectos Reiwa]]),SUMIFS(#REF!,#REF!,Planning[[#This Row],[Tipo de Tarea y especialidad]],#REF!,Planning[[#This Row],[Proyectos]]))</f>
        <v>#REF!</v>
      </c>
      <c r="K1286" s="5" t="e">
        <f>Planning[[#This Row],[Horas Planificadas]]+Planning[[#This Row],[Horas ajustadas adicionales]]-Planning[[#This Row],[Horas utilizadas]]</f>
        <v>#REF!</v>
      </c>
      <c r="L1286" s="7">
        <v>0</v>
      </c>
      <c r="M1286" s="19" t="e">
        <f>Planning[[#This Row],[Saldo]]-Planning[[#This Row],[Saldo estimado]]</f>
        <v>#REF!</v>
      </c>
      <c r="N1286" s="60" t="e">
        <f>+SUMIFS(#REF!,#REF!,Planning[[#This Row],[Proyectos]],#REF!,Planning[[#This Row],[Tipo de Tarea y especialidad]])</f>
        <v>#REF!</v>
      </c>
      <c r="O1286" s="19">
        <f t="shared" si="38"/>
        <v>10</v>
      </c>
      <c r="P1286" s="19">
        <f t="shared" si="39"/>
        <v>2024</v>
      </c>
      <c r="Q12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86" s="19" t="str">
        <f>TEXT(Planning[[#This Row],[Mes]]*29,"mmmm")</f>
        <v>October</v>
      </c>
      <c r="S12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86" s="193"/>
      <c r="U1286" s="43">
        <f>IF(Planning[[#This Row],[Horas Planificadas]]&lt;&gt;0,+K1286/Planning[[#This Row],[Horas Planificadas]],0)</f>
        <v>0</v>
      </c>
      <c r="V1286" s="43">
        <f>IF(Planning[[#This Row],[Horas Planificadas]]&lt;&gt;0,Planning[[#This Row],[Horas utilizadas]]/Planning[[#This Row],[Horas Planificadas]],0)</f>
        <v>0</v>
      </c>
      <c r="W1286" s="44">
        <f>Planning[[#This Row],[Horas Planificadas]]+Planning[[#This Row],[Horas ajustadas adicionales]]</f>
        <v>0</v>
      </c>
      <c r="X1286" s="142"/>
    </row>
    <row r="1287" spans="1:24" ht="12.75" customHeight="1" x14ac:dyDescent="0.2">
      <c r="A1287" s="7" t="s">
        <v>117</v>
      </c>
      <c r="B1287" s="7" t="s">
        <v>169</v>
      </c>
      <c r="C1287" s="3"/>
      <c r="D1287" s="3" t="s">
        <v>333</v>
      </c>
      <c r="E1287" s="33"/>
      <c r="F1287" s="33" t="s">
        <v>126</v>
      </c>
      <c r="G1287" s="7"/>
      <c r="H1287" s="7">
        <v>132</v>
      </c>
      <c r="I1287" s="12"/>
      <c r="J1287" s="5" t="e">
        <f>SUM(SUMIFS(#REF!,#REF!,Planning[[#This Row],[Tipo de Tarea y especialidad]],#REF!,Planning[[#This Row],[Proyectos Reiwa]]),SUMIFS(#REF!,#REF!,Planning[[#This Row],[Tipo de Tarea y especialidad]],#REF!,Planning[[#This Row],[Proyectos]]))</f>
        <v>#REF!</v>
      </c>
      <c r="K1287" s="5" t="e">
        <f>Planning[[#This Row],[Horas Planificadas]]+Planning[[#This Row],[Horas ajustadas adicionales]]-Planning[[#This Row],[Horas utilizadas]]</f>
        <v>#REF!</v>
      </c>
      <c r="L1287" s="7">
        <v>0</v>
      </c>
      <c r="M1287" s="19" t="e">
        <f>Planning[[#This Row],[Saldo]]-Planning[[#This Row],[Saldo estimado]]</f>
        <v>#REF!</v>
      </c>
      <c r="N1287" s="60" t="e">
        <f>+SUMIFS(#REF!,#REF!,Planning[[#This Row],[Proyectos]],#REF!,Planning[[#This Row],[Tipo de Tarea y especialidad]])</f>
        <v>#REF!</v>
      </c>
      <c r="O1287" s="19">
        <f t="shared" ref="O1287:O1350" si="40">$L$4</f>
        <v>10</v>
      </c>
      <c r="P1287" s="19">
        <f t="shared" ref="P1287:P1350" si="41">$M$4</f>
        <v>2024</v>
      </c>
      <c r="Q12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87" s="19" t="str">
        <f>TEXT(Planning[[#This Row],[Mes]]*29,"mmmm")</f>
        <v>October</v>
      </c>
      <c r="S12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87" s="193"/>
      <c r="U1287" s="43" t="e">
        <f>IF(Planning[[#This Row],[Horas Planificadas]]&lt;&gt;0,+K1287/Planning[[#This Row],[Horas Planificadas]],0)</f>
        <v>#REF!</v>
      </c>
      <c r="V1287" s="43" t="e">
        <f>IF(Planning[[#This Row],[Horas Planificadas]]&lt;&gt;0,Planning[[#This Row],[Horas utilizadas]]/Planning[[#This Row],[Horas Planificadas]],0)</f>
        <v>#REF!</v>
      </c>
      <c r="W1287" s="44">
        <f>Planning[[#This Row],[Horas Planificadas]]+Planning[[#This Row],[Horas ajustadas adicionales]]</f>
        <v>132</v>
      </c>
      <c r="X1287" s="142"/>
    </row>
    <row r="1288" spans="1:24" ht="12.75" customHeight="1" x14ac:dyDescent="0.2">
      <c r="A1288" s="7" t="s">
        <v>117</v>
      </c>
      <c r="B1288" s="7" t="s">
        <v>169</v>
      </c>
      <c r="C1288" s="3"/>
      <c r="D1288" s="3" t="s">
        <v>333</v>
      </c>
      <c r="E1288" s="33"/>
      <c r="F1288" s="33" t="s">
        <v>127</v>
      </c>
      <c r="G1288" s="7"/>
      <c r="H1288" s="7"/>
      <c r="I1288" s="12"/>
      <c r="J1288" s="5" t="e">
        <f>SUM(SUMIFS(#REF!,#REF!,Planning[[#This Row],[Tipo de Tarea y especialidad]],#REF!,Planning[[#This Row],[Proyectos Reiwa]]),SUMIFS(#REF!,#REF!,Planning[[#This Row],[Tipo de Tarea y especialidad]],#REF!,Planning[[#This Row],[Proyectos]]))</f>
        <v>#REF!</v>
      </c>
      <c r="K1288" s="5" t="e">
        <f>Planning[[#This Row],[Horas Planificadas]]+Planning[[#This Row],[Horas ajustadas adicionales]]-Planning[[#This Row],[Horas utilizadas]]</f>
        <v>#REF!</v>
      </c>
      <c r="L1288" s="7">
        <v>0</v>
      </c>
      <c r="M1288" s="19" t="e">
        <f>Planning[[#This Row],[Saldo]]-Planning[[#This Row],[Saldo estimado]]</f>
        <v>#REF!</v>
      </c>
      <c r="N1288" s="60" t="e">
        <f>+SUMIFS(#REF!,#REF!,Planning[[#This Row],[Proyectos]],#REF!,Planning[[#This Row],[Tipo de Tarea y especialidad]])</f>
        <v>#REF!</v>
      </c>
      <c r="O1288" s="19">
        <f t="shared" si="40"/>
        <v>10</v>
      </c>
      <c r="P1288" s="19">
        <f t="shared" si="41"/>
        <v>2024</v>
      </c>
      <c r="Q12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88" s="19" t="str">
        <f>TEXT(Planning[[#This Row],[Mes]]*29,"mmmm")</f>
        <v>October</v>
      </c>
      <c r="S12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88" s="193"/>
      <c r="U1288" s="43">
        <f>IF(Planning[[#This Row],[Horas Planificadas]]&lt;&gt;0,+K1288/Planning[[#This Row],[Horas Planificadas]],0)</f>
        <v>0</v>
      </c>
      <c r="V1288" s="43">
        <f>IF(Planning[[#This Row],[Horas Planificadas]]&lt;&gt;0,Planning[[#This Row],[Horas utilizadas]]/Planning[[#This Row],[Horas Planificadas]],0)</f>
        <v>0</v>
      </c>
      <c r="W1288" s="44">
        <f>Planning[[#This Row],[Horas Planificadas]]+Planning[[#This Row],[Horas ajustadas adicionales]]</f>
        <v>0</v>
      </c>
      <c r="X1288" s="142"/>
    </row>
    <row r="1289" spans="1:24" ht="12.75" customHeight="1" x14ac:dyDescent="0.2">
      <c r="A1289" s="7" t="s">
        <v>117</v>
      </c>
      <c r="B1289" s="7" t="s">
        <v>169</v>
      </c>
      <c r="C1289" s="3"/>
      <c r="D1289" s="3" t="s">
        <v>333</v>
      </c>
      <c r="E1289" s="33"/>
      <c r="F1289" s="33" t="s">
        <v>128</v>
      </c>
      <c r="G1289" s="7"/>
      <c r="H1289" s="7"/>
      <c r="I1289" s="12"/>
      <c r="J1289" s="5" t="e">
        <f>SUM(SUMIFS(#REF!,#REF!,Planning[[#This Row],[Tipo de Tarea y especialidad]],#REF!,Planning[[#This Row],[Proyectos Reiwa]]),SUMIFS(#REF!,#REF!,Planning[[#This Row],[Tipo de Tarea y especialidad]],#REF!,Planning[[#This Row],[Proyectos]]))</f>
        <v>#REF!</v>
      </c>
      <c r="K1289" s="5" t="e">
        <f>Planning[[#This Row],[Horas Planificadas]]+Planning[[#This Row],[Horas ajustadas adicionales]]-Planning[[#This Row],[Horas utilizadas]]</f>
        <v>#REF!</v>
      </c>
      <c r="L1289" s="7">
        <v>0</v>
      </c>
      <c r="M1289" s="19" t="e">
        <f>Planning[[#This Row],[Saldo]]-Planning[[#This Row],[Saldo estimado]]</f>
        <v>#REF!</v>
      </c>
      <c r="N1289" s="60" t="e">
        <f>+SUMIFS(#REF!,#REF!,Planning[[#This Row],[Proyectos]],#REF!,Planning[[#This Row],[Tipo de Tarea y especialidad]])</f>
        <v>#REF!</v>
      </c>
      <c r="O1289" s="19">
        <f t="shared" si="40"/>
        <v>10</v>
      </c>
      <c r="P1289" s="19">
        <f t="shared" si="41"/>
        <v>2024</v>
      </c>
      <c r="Q12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89" s="19" t="str">
        <f>TEXT(Planning[[#This Row],[Mes]]*29,"mmmm")</f>
        <v>October</v>
      </c>
      <c r="S12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89" s="193"/>
      <c r="U1289" s="43">
        <f>IF(Planning[[#This Row],[Horas Planificadas]]&lt;&gt;0,+K1289/Planning[[#This Row],[Horas Planificadas]],0)</f>
        <v>0</v>
      </c>
      <c r="V1289" s="43">
        <f>IF(Planning[[#This Row],[Horas Planificadas]]&lt;&gt;0,Planning[[#This Row],[Horas utilizadas]]/Planning[[#This Row],[Horas Planificadas]],0)</f>
        <v>0</v>
      </c>
      <c r="W1289" s="44">
        <f>Planning[[#This Row],[Horas Planificadas]]+Planning[[#This Row],[Horas ajustadas adicionales]]</f>
        <v>0</v>
      </c>
      <c r="X1289" s="142"/>
    </row>
    <row r="1290" spans="1:24" ht="12.75" customHeight="1" x14ac:dyDescent="0.2">
      <c r="A1290" s="7" t="s">
        <v>117</v>
      </c>
      <c r="B1290" s="7" t="s">
        <v>169</v>
      </c>
      <c r="C1290" s="3"/>
      <c r="D1290" s="3" t="s">
        <v>333</v>
      </c>
      <c r="E1290" s="33" t="s">
        <v>31</v>
      </c>
      <c r="F1290" s="33" t="s">
        <v>31</v>
      </c>
      <c r="G1290" s="7">
        <v>133</v>
      </c>
      <c r="H1290" s="15">
        <v>133</v>
      </c>
      <c r="I1290" s="18"/>
      <c r="J1290" s="14" t="e">
        <f>+SUMIFS(#REF!,#REF!,Planning[[#This Row],[Tarifa]],#REF!,Planning[[#This Row],[Proyectos]])</f>
        <v>#REF!</v>
      </c>
      <c r="K1290" s="14" t="e">
        <f>Planning[[#This Row],[Horas Planificadas]]+Planning[[#This Row],[Horas ajustadas adicionales]]-Planning[[#This Row],[Horas utilizadas]]</f>
        <v>#REF!</v>
      </c>
      <c r="L1290" s="15">
        <v>0</v>
      </c>
      <c r="M1290" s="16" t="e">
        <f>Planning[[#This Row],[Saldo]]-Planning[[#This Row],[Saldo estimado]]</f>
        <v>#REF!</v>
      </c>
      <c r="N1290" s="60" t="e">
        <f>+SUMIFS(#REF!,#REF!,Planning[[#This Row],[Proyectos]],#REF!,Planning[[#This Row],[Tipo de Tarea y especialidad]])</f>
        <v>#REF!</v>
      </c>
      <c r="O1290" s="16">
        <f t="shared" si="40"/>
        <v>10</v>
      </c>
      <c r="P1290" s="16">
        <f t="shared" si="41"/>
        <v>2024</v>
      </c>
      <c r="Q1290" s="16" t="e">
        <f>+SUMIFS(#REF!,#REF!,Planning[[#This Row],[Tarifa]],#REF!,Planning[[#This Row],[Proyectos]],#REF!,Planning[[#This Row],[Mes]],#REF!,Planning[[#This Row],[Año]])</f>
        <v>#REF!</v>
      </c>
      <c r="R1290" s="16" t="str">
        <f>TEXT(Planning[[#This Row],[Mes]]*29,"mmmm")</f>
        <v>October</v>
      </c>
      <c r="S12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90" s="193"/>
      <c r="U1290" s="43" t="e">
        <f>IF(Planning[[#This Row],[Horas Planificadas]]&lt;&gt;0,+K1290/Planning[[#This Row],[Horas Planificadas]],0)</f>
        <v>#REF!</v>
      </c>
      <c r="V1290" s="43" t="e">
        <f>IF(Planning[[#This Row],[Horas Planificadas]]&lt;&gt;0,Planning[[#This Row],[Horas utilizadas]]/Planning[[#This Row],[Horas Planificadas]],0)</f>
        <v>#REF!</v>
      </c>
      <c r="W1290" s="44">
        <f>Planning[[#This Row],[Horas Planificadas]]+Planning[[#This Row],[Horas ajustadas adicionales]]</f>
        <v>133</v>
      </c>
      <c r="X1290" s="142"/>
    </row>
    <row r="1291" spans="1:24" ht="12.75" customHeight="1" x14ac:dyDescent="0.2">
      <c r="A1291" s="7" t="s">
        <v>117</v>
      </c>
      <c r="B1291" s="7" t="s">
        <v>169</v>
      </c>
      <c r="C1291" s="3"/>
      <c r="D1291" s="3" t="s">
        <v>333</v>
      </c>
      <c r="E1291" s="33" t="s">
        <v>32</v>
      </c>
      <c r="F1291" s="33"/>
      <c r="G1291" s="7">
        <v>180</v>
      </c>
      <c r="H1291" s="24">
        <f>SUM(H1292:H1294)</f>
        <v>180</v>
      </c>
      <c r="I1291" s="14"/>
      <c r="J1291" s="14" t="e">
        <f>SUM(J1292:J1294)</f>
        <v>#REF!</v>
      </c>
      <c r="K1291" s="18" t="e">
        <f>SUM(K1292:K1294)</f>
        <v>#REF!</v>
      </c>
      <c r="L1291" s="15">
        <f>SUM(L1292:L1294)</f>
        <v>0</v>
      </c>
      <c r="M1291" s="16" t="e">
        <f>SUM(M1292:M1294)</f>
        <v>#REF!</v>
      </c>
      <c r="N1291" s="60" t="e">
        <f>+SUMIFS(#REF!,#REF!,Planning[[#This Row],[Proyectos]],#REF!,Planning[[#This Row],[Tipo de Tarea y especialidad]])</f>
        <v>#REF!</v>
      </c>
      <c r="O1291" s="16">
        <f t="shared" si="40"/>
        <v>10</v>
      </c>
      <c r="P1291" s="16">
        <f t="shared" si="41"/>
        <v>2024</v>
      </c>
      <c r="Q1291" s="16" t="e">
        <f>SUM(Q1292:Q1294)</f>
        <v>#REF!</v>
      </c>
      <c r="R1291" s="16" t="str">
        <f>TEXT(Planning[[#This Row],[Mes]]*29,"mmmm")</f>
        <v>October</v>
      </c>
      <c r="S12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91" s="193"/>
      <c r="U1291" s="43" t="e">
        <f>IF(Planning[[#This Row],[Horas Planificadas]]&lt;&gt;0,+K1291/Planning[[#This Row],[Horas Planificadas]],0)</f>
        <v>#REF!</v>
      </c>
      <c r="V1291" s="43" t="e">
        <f>IF(Planning[[#This Row],[Horas Planificadas]]&lt;&gt;0,Planning[[#This Row],[Horas utilizadas]]/Planning[[#This Row],[Horas Planificadas]],0)</f>
        <v>#REF!</v>
      </c>
      <c r="W1291" s="44">
        <f>Planning[[#This Row],[Horas Planificadas]]+Planning[[#This Row],[Horas ajustadas adicionales]]</f>
        <v>180</v>
      </c>
      <c r="X1291" s="142"/>
    </row>
    <row r="1292" spans="1:24" ht="12.75" customHeight="1" x14ac:dyDescent="0.2">
      <c r="A1292" s="7" t="s">
        <v>117</v>
      </c>
      <c r="B1292" s="7" t="s">
        <v>169</v>
      </c>
      <c r="C1292" s="3"/>
      <c r="D1292" s="3" t="s">
        <v>333</v>
      </c>
      <c r="E1292" s="33"/>
      <c r="F1292" s="33" t="s">
        <v>129</v>
      </c>
      <c r="G1292" s="7"/>
      <c r="H1292" s="7">
        <v>180</v>
      </c>
      <c r="I1292" s="12">
        <v>40</v>
      </c>
      <c r="J1292" s="5" t="e">
        <f>SUM(SUMIFS(#REF!,#REF!,Planning[[#This Row],[Tipo de Tarea y especialidad]],#REF!,Planning[[#This Row],[Proyectos Reiwa]]),SUMIFS(#REF!,#REF!,Planning[[#This Row],[Tipo de Tarea y especialidad]],#REF!,Planning[[#This Row],[Proyectos]]))</f>
        <v>#REF!</v>
      </c>
      <c r="K1292" s="5" t="e">
        <f>Planning[[#This Row],[Horas Planificadas]]+Planning[[#This Row],[Horas ajustadas adicionales]]-Planning[[#This Row],[Horas utilizadas]]</f>
        <v>#REF!</v>
      </c>
      <c r="L1292" s="7">
        <v>0</v>
      </c>
      <c r="M1292" s="19" t="e">
        <f>Planning[[#This Row],[Saldo]]-Planning[[#This Row],[Saldo estimado]]</f>
        <v>#REF!</v>
      </c>
      <c r="N1292" s="60" t="e">
        <f>+SUMIFS(#REF!,#REF!,Planning[[#This Row],[Proyectos]],#REF!,Planning[[#This Row],[Tipo de Tarea y especialidad]])</f>
        <v>#REF!</v>
      </c>
      <c r="O1292" s="19">
        <f t="shared" si="40"/>
        <v>10</v>
      </c>
      <c r="P1292" s="19">
        <f t="shared" si="41"/>
        <v>2024</v>
      </c>
      <c r="Q12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92" s="19" t="str">
        <f>TEXT(Planning[[#This Row],[Mes]]*29,"mmmm")</f>
        <v>October</v>
      </c>
      <c r="S12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92" s="193"/>
      <c r="U1292" s="43" t="e">
        <f>IF(Planning[[#This Row],[Horas Planificadas]]&lt;&gt;0,+K1292/Planning[[#This Row],[Horas Planificadas]],0)</f>
        <v>#REF!</v>
      </c>
      <c r="V1292" s="43" t="e">
        <f>IF(Planning[[#This Row],[Horas Planificadas]]&lt;&gt;0,Planning[[#This Row],[Horas utilizadas]]/Planning[[#This Row],[Horas Planificadas]],0)</f>
        <v>#REF!</v>
      </c>
      <c r="W1292" s="44">
        <f>Planning[[#This Row],[Horas Planificadas]]+Planning[[#This Row],[Horas ajustadas adicionales]]</f>
        <v>220</v>
      </c>
      <c r="X1292" s="142"/>
    </row>
    <row r="1293" spans="1:24" ht="12.75" customHeight="1" x14ac:dyDescent="0.2">
      <c r="A1293" s="7" t="s">
        <v>117</v>
      </c>
      <c r="B1293" s="7" t="s">
        <v>169</v>
      </c>
      <c r="C1293" s="3"/>
      <c r="D1293" s="3" t="s">
        <v>333</v>
      </c>
      <c r="E1293" s="33"/>
      <c r="F1293" s="33" t="s">
        <v>130</v>
      </c>
      <c r="G1293" s="7"/>
      <c r="H1293" s="7"/>
      <c r="I1293" s="12"/>
      <c r="J1293" s="5" t="e">
        <f>SUM(SUMIFS(#REF!,#REF!,Planning[[#This Row],[Tipo de Tarea y especialidad]],#REF!,Planning[[#This Row],[Proyectos Reiwa]]),SUMIFS(#REF!,#REF!,Planning[[#This Row],[Tipo de Tarea y especialidad]],#REF!,Planning[[#This Row],[Proyectos]]))</f>
        <v>#REF!</v>
      </c>
      <c r="K1293" s="5" t="e">
        <f>Planning[[#This Row],[Horas Planificadas]]+Planning[[#This Row],[Horas ajustadas adicionales]]-Planning[[#This Row],[Horas utilizadas]]</f>
        <v>#REF!</v>
      </c>
      <c r="L1293" s="7">
        <v>0</v>
      </c>
      <c r="M1293" s="19" t="e">
        <f>Planning[[#This Row],[Saldo]]-Planning[[#This Row],[Saldo estimado]]</f>
        <v>#REF!</v>
      </c>
      <c r="N1293" s="60" t="e">
        <f>+SUMIFS(#REF!,#REF!,Planning[[#This Row],[Proyectos]],#REF!,Planning[[#This Row],[Tipo de Tarea y especialidad]])</f>
        <v>#REF!</v>
      </c>
      <c r="O1293" s="19">
        <f t="shared" si="40"/>
        <v>10</v>
      </c>
      <c r="P1293" s="19">
        <f t="shared" si="41"/>
        <v>2024</v>
      </c>
      <c r="Q12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93" s="19" t="str">
        <f>TEXT(Planning[[#This Row],[Mes]]*29,"mmmm")</f>
        <v>October</v>
      </c>
      <c r="S12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93" s="193"/>
      <c r="U1293" s="43">
        <f>IF(Planning[[#This Row],[Horas Planificadas]]&lt;&gt;0,+K1293/Planning[[#This Row],[Horas Planificadas]],0)</f>
        <v>0</v>
      </c>
      <c r="V1293" s="43">
        <f>IF(Planning[[#This Row],[Horas Planificadas]]&lt;&gt;0,Planning[[#This Row],[Horas utilizadas]]/Planning[[#This Row],[Horas Planificadas]],0)</f>
        <v>0</v>
      </c>
      <c r="W1293" s="44">
        <f>Planning[[#This Row],[Horas Planificadas]]+Planning[[#This Row],[Horas ajustadas adicionales]]</f>
        <v>0</v>
      </c>
      <c r="X1293" s="142"/>
    </row>
    <row r="1294" spans="1:24" ht="12.75" customHeight="1" x14ac:dyDescent="0.2">
      <c r="A1294" s="7" t="s">
        <v>117</v>
      </c>
      <c r="B1294" s="7" t="s">
        <v>169</v>
      </c>
      <c r="C1294" s="3"/>
      <c r="D1294" s="3" t="s">
        <v>333</v>
      </c>
      <c r="E1294" s="33"/>
      <c r="F1294" s="33" t="s">
        <v>131</v>
      </c>
      <c r="G1294" s="7"/>
      <c r="H1294" s="7"/>
      <c r="I1294" s="12"/>
      <c r="J1294" s="5" t="e">
        <f>SUM(SUMIFS(#REF!,#REF!,Planning[[#This Row],[Tipo de Tarea y especialidad]],#REF!,Planning[[#This Row],[Proyectos Reiwa]]),SUMIFS(#REF!,#REF!,Planning[[#This Row],[Tipo de Tarea y especialidad]],#REF!,Planning[[#This Row],[Proyectos]]))</f>
        <v>#REF!</v>
      </c>
      <c r="K1294" s="5" t="e">
        <f>Planning[[#This Row],[Horas Planificadas]]+Planning[[#This Row],[Horas ajustadas adicionales]]-Planning[[#This Row],[Horas utilizadas]]</f>
        <v>#REF!</v>
      </c>
      <c r="L1294" s="7">
        <v>0</v>
      </c>
      <c r="M1294" s="19" t="e">
        <f>Planning[[#This Row],[Saldo]]-Planning[[#This Row],[Saldo estimado]]</f>
        <v>#REF!</v>
      </c>
      <c r="N1294" s="60" t="e">
        <f>+SUMIFS(#REF!,#REF!,Planning[[#This Row],[Proyectos]],#REF!,Planning[[#This Row],[Tipo de Tarea y especialidad]])</f>
        <v>#REF!</v>
      </c>
      <c r="O1294" s="19">
        <f t="shared" si="40"/>
        <v>10</v>
      </c>
      <c r="P1294" s="19">
        <f t="shared" si="41"/>
        <v>2024</v>
      </c>
      <c r="Q12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294" s="19" t="str">
        <f>TEXT(Planning[[#This Row],[Mes]]*29,"mmmm")</f>
        <v>October</v>
      </c>
      <c r="S12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94" s="193"/>
      <c r="U1294" s="43">
        <f>IF(Planning[[#This Row],[Horas Planificadas]]&lt;&gt;0,+K1294/Planning[[#This Row],[Horas Planificadas]],0)</f>
        <v>0</v>
      </c>
      <c r="V1294" s="43">
        <f>IF(Planning[[#This Row],[Horas Planificadas]]&lt;&gt;0,Planning[[#This Row],[Horas utilizadas]]/Planning[[#This Row],[Horas Planificadas]],0)</f>
        <v>0</v>
      </c>
      <c r="W1294" s="44">
        <f>Planning[[#This Row],[Horas Planificadas]]+Planning[[#This Row],[Horas ajustadas adicionales]]</f>
        <v>0</v>
      </c>
      <c r="X1294" s="142"/>
    </row>
    <row r="1295" spans="1:24" ht="12.75" customHeight="1" x14ac:dyDescent="0.2">
      <c r="A1295" s="7"/>
      <c r="B1295" s="7"/>
      <c r="C1295" s="3"/>
      <c r="D1295" s="3" t="s">
        <v>335</v>
      </c>
      <c r="E1295" s="33" t="s">
        <v>28</v>
      </c>
      <c r="F1295" s="33"/>
      <c r="G1295" s="7"/>
      <c r="H1295" s="7">
        <v>0</v>
      </c>
      <c r="I1295" s="12"/>
      <c r="J1295" s="5" t="e">
        <f>+SUMIFS(#REF!,#REF!,Planning[[#This Row],[Tarifa]],#REF!,Planning[[#This Row],[Proyectos]])</f>
        <v>#REF!</v>
      </c>
      <c r="K1295" s="5" t="e">
        <f>Planning[[#This Row],[Horas Planificadas]]+Planning[[#This Row],[Horas ajustadas adicionales]]-Planning[[#This Row],[Horas utilizadas]]</f>
        <v>#REF!</v>
      </c>
      <c r="L1295" s="7"/>
      <c r="M1295" s="19" t="e">
        <f>Planning[[#This Row],[Saldo]]-Planning[[#This Row],[Saldo estimado]]</f>
        <v>#REF!</v>
      </c>
      <c r="N1295" s="60" t="e">
        <f>+SUMIFS(#REF!,#REF!,Planning[[#This Row],[Proyectos]],#REF!,Planning[[#This Row],[Tipo de Tarea y especialidad]])</f>
        <v>#REF!</v>
      </c>
      <c r="O1295" s="19">
        <f t="shared" si="40"/>
        <v>10</v>
      </c>
      <c r="P1295" s="19">
        <f t="shared" si="41"/>
        <v>2024</v>
      </c>
      <c r="Q1295" s="19" t="e">
        <f>+SUMIFS(#REF!,#REF!,Planning[[#This Row],[Tarifa]],#REF!,Planning[[#This Row],[Proyectos]],#REF!,Planning[[#This Row],[Mes]],#REF!,Planning[[#This Row],[Año]])</f>
        <v>#REF!</v>
      </c>
      <c r="R1295" s="19" t="str">
        <f>TEXT(Planning[[#This Row],[Mes]]*29,"mmmm")</f>
        <v>October</v>
      </c>
      <c r="S12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95" s="228"/>
      <c r="U1295" s="43">
        <f>IF(Planning[[#This Row],[Horas Planificadas]]&lt;&gt;0,+K1295/Planning[[#This Row],[Horas Planificadas]],0)</f>
        <v>0</v>
      </c>
      <c r="V1295" s="43">
        <f>IF(Planning[[#This Row],[Horas Planificadas]]&lt;&gt;0,Planning[[#This Row],[Horas utilizadas]]/Planning[[#This Row],[Horas Planificadas]],0)</f>
        <v>0</v>
      </c>
      <c r="W1295" s="44">
        <f>Planning[[#This Row],[Horas Planificadas]]+Planning[[#This Row],[Horas ajustadas adicionales]]</f>
        <v>0</v>
      </c>
      <c r="X1295" s="142"/>
    </row>
    <row r="1296" spans="1:24" ht="12.75" customHeight="1" x14ac:dyDescent="0.2">
      <c r="A1296" s="7"/>
      <c r="B1296" s="7"/>
      <c r="C1296" s="3"/>
      <c r="D1296" s="3" t="s">
        <v>335</v>
      </c>
      <c r="E1296" s="33" t="s">
        <v>30</v>
      </c>
      <c r="F1296" s="33"/>
      <c r="G1296" s="7"/>
      <c r="H1296" s="7">
        <v>0</v>
      </c>
      <c r="I1296" s="12"/>
      <c r="J1296" s="5" t="e">
        <f>+SUMIFS(#REF!,#REF!,Planning[[#This Row],[Tarifa]],#REF!,Planning[[#This Row],[Proyectos]])</f>
        <v>#REF!</v>
      </c>
      <c r="K1296" s="5" t="e">
        <f>Planning[[#This Row],[Horas Planificadas]]+Planning[[#This Row],[Horas ajustadas adicionales]]-Planning[[#This Row],[Horas utilizadas]]</f>
        <v>#REF!</v>
      </c>
      <c r="L1296" s="7"/>
      <c r="M1296" s="19" t="e">
        <f>Planning[[#This Row],[Saldo]]-Planning[[#This Row],[Saldo estimado]]</f>
        <v>#REF!</v>
      </c>
      <c r="N1296" s="60" t="e">
        <f>+SUMIFS(#REF!,#REF!,Planning[[#This Row],[Proyectos]],#REF!,Planning[[#This Row],[Tipo de Tarea y especialidad]])</f>
        <v>#REF!</v>
      </c>
      <c r="O1296" s="19">
        <f t="shared" si="40"/>
        <v>10</v>
      </c>
      <c r="P1296" s="19">
        <f t="shared" si="41"/>
        <v>2024</v>
      </c>
      <c r="Q1296" s="19" t="e">
        <f>+SUMIFS(#REF!,#REF!,Planning[[#This Row],[Tarifa]],#REF!,Planning[[#This Row],[Proyectos]],#REF!,Planning[[#This Row],[Mes]],#REF!,Planning[[#This Row],[Año]])</f>
        <v>#REF!</v>
      </c>
      <c r="R1296" s="19" t="str">
        <f>TEXT(Planning[[#This Row],[Mes]]*29,"mmmm")</f>
        <v>October</v>
      </c>
      <c r="S12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96" s="228"/>
      <c r="U1296" s="43">
        <f>IF(Planning[[#This Row],[Horas Planificadas]]&lt;&gt;0,+K1296/Planning[[#This Row],[Horas Planificadas]],0)</f>
        <v>0</v>
      </c>
      <c r="V1296" s="43">
        <f>IF(Planning[[#This Row],[Horas Planificadas]]&lt;&gt;0,Planning[[#This Row],[Horas utilizadas]]/Planning[[#This Row],[Horas Planificadas]],0)</f>
        <v>0</v>
      </c>
      <c r="W1296" s="44">
        <f>Planning[[#This Row],[Horas Planificadas]]+Planning[[#This Row],[Horas ajustadas adicionales]]</f>
        <v>0</v>
      </c>
      <c r="X1296" s="142"/>
    </row>
    <row r="1297" spans="1:24" ht="12.75" customHeight="1" x14ac:dyDescent="0.2">
      <c r="A1297" s="7"/>
      <c r="B1297" s="7"/>
      <c r="C1297" s="3"/>
      <c r="D1297" s="3" t="s">
        <v>335</v>
      </c>
      <c r="E1297" s="33" t="s">
        <v>31</v>
      </c>
      <c r="F1297" s="33"/>
      <c r="G1297" s="7"/>
      <c r="H1297" s="7">
        <v>2</v>
      </c>
      <c r="I1297" s="12"/>
      <c r="J1297" s="5" t="e">
        <f>+SUMIFS(#REF!,#REF!,Planning[[#This Row],[Tarifa]],#REF!,Planning[[#This Row],[Proyectos]])</f>
        <v>#REF!</v>
      </c>
      <c r="K1297" s="5" t="e">
        <f>Planning[[#This Row],[Horas Planificadas]]+Planning[[#This Row],[Horas ajustadas adicionales]]-Planning[[#This Row],[Horas utilizadas]]</f>
        <v>#REF!</v>
      </c>
      <c r="L1297" s="7"/>
      <c r="M1297" s="19" t="e">
        <f>Planning[[#This Row],[Saldo]]-Planning[[#This Row],[Saldo estimado]]</f>
        <v>#REF!</v>
      </c>
      <c r="N1297" s="60" t="e">
        <f>+SUMIFS(#REF!,#REF!,Planning[[#This Row],[Proyectos]],#REF!,Planning[[#This Row],[Tipo de Tarea y especialidad]])</f>
        <v>#REF!</v>
      </c>
      <c r="O1297" s="19">
        <f t="shared" si="40"/>
        <v>10</v>
      </c>
      <c r="P1297" s="19">
        <f t="shared" si="41"/>
        <v>2024</v>
      </c>
      <c r="Q1297" s="19" t="e">
        <f>+SUMIFS(#REF!,#REF!,Planning[[#This Row],[Tarifa]],#REF!,Planning[[#This Row],[Proyectos]],#REF!,Planning[[#This Row],[Mes]],#REF!,Planning[[#This Row],[Año]])</f>
        <v>#REF!</v>
      </c>
      <c r="R1297" s="19" t="str">
        <f>TEXT(Planning[[#This Row],[Mes]]*29,"mmmm")</f>
        <v>October</v>
      </c>
      <c r="S12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97" s="228"/>
      <c r="U1297" s="43" t="e">
        <f>IF(Planning[[#This Row],[Horas Planificadas]]&lt;&gt;0,+K1297/Planning[[#This Row],[Horas Planificadas]],0)</f>
        <v>#REF!</v>
      </c>
      <c r="V1297" s="43" t="e">
        <f>IF(Planning[[#This Row],[Horas Planificadas]]&lt;&gt;0,Planning[[#This Row],[Horas utilizadas]]/Planning[[#This Row],[Horas Planificadas]],0)</f>
        <v>#REF!</v>
      </c>
      <c r="W1297" s="44">
        <f>Planning[[#This Row],[Horas Planificadas]]+Planning[[#This Row],[Horas ajustadas adicionales]]</f>
        <v>2</v>
      </c>
      <c r="X1297" s="142"/>
    </row>
    <row r="1298" spans="1:24" ht="12.75" customHeight="1" x14ac:dyDescent="0.2">
      <c r="A1298" s="7"/>
      <c r="B1298" s="7"/>
      <c r="C1298" s="3"/>
      <c r="D1298" s="3" t="s">
        <v>335</v>
      </c>
      <c r="E1298" s="33" t="s">
        <v>32</v>
      </c>
      <c r="F1298" s="33"/>
      <c r="G1298" s="7"/>
      <c r="H1298" s="7">
        <v>27</v>
      </c>
      <c r="I1298" s="12"/>
      <c r="J1298" s="5" t="e">
        <f>+SUMIFS(#REF!,#REF!,Planning[[#This Row],[Tarifa]],#REF!,Planning[[#This Row],[Proyectos]])</f>
        <v>#REF!</v>
      </c>
      <c r="K1298" s="5" t="e">
        <f>Planning[[#This Row],[Horas Planificadas]]+Planning[[#This Row],[Horas ajustadas adicionales]]-Planning[[#This Row],[Horas utilizadas]]</f>
        <v>#REF!</v>
      </c>
      <c r="L1298" s="7"/>
      <c r="M1298" s="19" t="e">
        <f>Planning[[#This Row],[Saldo]]-Planning[[#This Row],[Saldo estimado]]</f>
        <v>#REF!</v>
      </c>
      <c r="N1298" s="60" t="e">
        <f>+SUMIFS(#REF!,#REF!,Planning[[#This Row],[Proyectos]],#REF!,Planning[[#This Row],[Tipo de Tarea y especialidad]])</f>
        <v>#REF!</v>
      </c>
      <c r="O1298" s="19">
        <f t="shared" si="40"/>
        <v>10</v>
      </c>
      <c r="P1298" s="19">
        <f t="shared" si="41"/>
        <v>2024</v>
      </c>
      <c r="Q1298" s="19" t="e">
        <f>+SUMIFS(#REF!,#REF!,Planning[[#This Row],[Tarifa]],#REF!,Planning[[#This Row],[Proyectos]],#REF!,Planning[[#This Row],[Mes]],#REF!,Planning[[#This Row],[Año]])</f>
        <v>#REF!</v>
      </c>
      <c r="R1298" s="19" t="str">
        <f>TEXT(Planning[[#This Row],[Mes]]*29,"mmmm")</f>
        <v>October</v>
      </c>
      <c r="S12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98" s="228"/>
      <c r="U1298" s="43" t="e">
        <f>IF(Planning[[#This Row],[Horas Planificadas]]&lt;&gt;0,+K1298/Planning[[#This Row],[Horas Planificadas]],0)</f>
        <v>#REF!</v>
      </c>
      <c r="V1298" s="43" t="e">
        <f>IF(Planning[[#This Row],[Horas Planificadas]]&lt;&gt;0,Planning[[#This Row],[Horas utilizadas]]/Planning[[#This Row],[Horas Planificadas]],0)</f>
        <v>#REF!</v>
      </c>
      <c r="W1298" s="44">
        <f>Planning[[#This Row],[Horas Planificadas]]+Planning[[#This Row],[Horas ajustadas adicionales]]</f>
        <v>27</v>
      </c>
      <c r="X1298" s="142"/>
    </row>
    <row r="1299" spans="1:24" ht="12.75" customHeight="1" x14ac:dyDescent="0.2">
      <c r="A1299" s="7"/>
      <c r="B1299" s="7"/>
      <c r="C1299" s="3"/>
      <c r="D1299" s="3" t="s">
        <v>336</v>
      </c>
      <c r="E1299" s="33" t="s">
        <v>28</v>
      </c>
      <c r="F1299" s="33"/>
      <c r="G1299" s="7"/>
      <c r="H1299" s="7">
        <v>0</v>
      </c>
      <c r="I1299" s="12"/>
      <c r="J1299" s="5" t="e">
        <f>+SUMIFS(#REF!,#REF!,Planning[[#This Row],[Tarifa]],#REF!,Planning[[#This Row],[Proyectos]])</f>
        <v>#REF!</v>
      </c>
      <c r="K1299" s="5" t="e">
        <f>Planning[[#This Row],[Horas Planificadas]]+Planning[[#This Row],[Horas ajustadas adicionales]]-Planning[[#This Row],[Horas utilizadas]]</f>
        <v>#REF!</v>
      </c>
      <c r="L1299" s="7"/>
      <c r="M1299" s="19" t="e">
        <f>Planning[[#This Row],[Saldo]]-Planning[[#This Row],[Saldo estimado]]</f>
        <v>#REF!</v>
      </c>
      <c r="N1299" s="60" t="e">
        <f>+SUMIFS(#REF!,#REF!,Planning[[#This Row],[Proyectos]],#REF!,Planning[[#This Row],[Tipo de Tarea y especialidad]])</f>
        <v>#REF!</v>
      </c>
      <c r="O1299" s="19">
        <f t="shared" si="40"/>
        <v>10</v>
      </c>
      <c r="P1299" s="19">
        <f t="shared" si="41"/>
        <v>2024</v>
      </c>
      <c r="Q1299" s="19" t="e">
        <f>+SUMIFS(#REF!,#REF!,Planning[[#This Row],[Tarifa]],#REF!,Planning[[#This Row],[Proyectos]],#REF!,Planning[[#This Row],[Mes]],#REF!,Planning[[#This Row],[Año]])</f>
        <v>#REF!</v>
      </c>
      <c r="R1299" s="19" t="str">
        <f>TEXT(Planning[[#This Row],[Mes]]*29,"mmmm")</f>
        <v>October</v>
      </c>
      <c r="S12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299" s="228"/>
      <c r="U1299" s="43">
        <f>IF(Planning[[#This Row],[Horas Planificadas]]&lt;&gt;0,+K1299/Planning[[#This Row],[Horas Planificadas]],0)</f>
        <v>0</v>
      </c>
      <c r="V1299" s="43">
        <f>IF(Planning[[#This Row],[Horas Planificadas]]&lt;&gt;0,Planning[[#This Row],[Horas utilizadas]]/Planning[[#This Row],[Horas Planificadas]],0)</f>
        <v>0</v>
      </c>
      <c r="W1299" s="44">
        <f>Planning[[#This Row],[Horas Planificadas]]+Planning[[#This Row],[Horas ajustadas adicionales]]</f>
        <v>0</v>
      </c>
      <c r="X1299" s="142"/>
    </row>
    <row r="1300" spans="1:24" ht="12.75" customHeight="1" x14ac:dyDescent="0.2">
      <c r="A1300" s="7"/>
      <c r="B1300" s="7"/>
      <c r="C1300" s="3"/>
      <c r="D1300" s="3" t="s">
        <v>336</v>
      </c>
      <c r="E1300" s="33" t="s">
        <v>30</v>
      </c>
      <c r="F1300" s="33"/>
      <c r="G1300" s="7"/>
      <c r="H1300" s="7">
        <v>108</v>
      </c>
      <c r="I1300" s="12"/>
      <c r="J1300" s="5" t="e">
        <f>+SUMIFS(#REF!,#REF!,Planning[[#This Row],[Tarifa]],#REF!,Planning[[#This Row],[Proyectos]])</f>
        <v>#REF!</v>
      </c>
      <c r="K1300" s="5" t="e">
        <f>Planning[[#This Row],[Horas Planificadas]]+Planning[[#This Row],[Horas ajustadas adicionales]]-Planning[[#This Row],[Horas utilizadas]]</f>
        <v>#REF!</v>
      </c>
      <c r="L1300" s="7"/>
      <c r="M1300" s="19" t="e">
        <f>Planning[[#This Row],[Saldo]]-Planning[[#This Row],[Saldo estimado]]</f>
        <v>#REF!</v>
      </c>
      <c r="N1300" s="60" t="e">
        <f>+SUMIFS(#REF!,#REF!,Planning[[#This Row],[Proyectos]],#REF!,Planning[[#This Row],[Tipo de Tarea y especialidad]])</f>
        <v>#REF!</v>
      </c>
      <c r="O1300" s="19">
        <f t="shared" si="40"/>
        <v>10</v>
      </c>
      <c r="P1300" s="19">
        <f t="shared" si="41"/>
        <v>2024</v>
      </c>
      <c r="Q1300" s="19" t="e">
        <f>+SUMIFS(#REF!,#REF!,Planning[[#This Row],[Tarifa]],#REF!,Planning[[#This Row],[Proyectos]],#REF!,Planning[[#This Row],[Mes]],#REF!,Planning[[#This Row],[Año]])</f>
        <v>#REF!</v>
      </c>
      <c r="R1300" s="19" t="str">
        <f>TEXT(Planning[[#This Row],[Mes]]*29,"mmmm")</f>
        <v>October</v>
      </c>
      <c r="S13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00" s="228"/>
      <c r="U1300" s="43" t="e">
        <f>IF(Planning[[#This Row],[Horas Planificadas]]&lt;&gt;0,+K1300/Planning[[#This Row],[Horas Planificadas]],0)</f>
        <v>#REF!</v>
      </c>
      <c r="V1300" s="43" t="e">
        <f>IF(Planning[[#This Row],[Horas Planificadas]]&lt;&gt;0,Planning[[#This Row],[Horas utilizadas]]/Planning[[#This Row],[Horas Planificadas]],0)</f>
        <v>#REF!</v>
      </c>
      <c r="W1300" s="44">
        <f>Planning[[#This Row],[Horas Planificadas]]+Planning[[#This Row],[Horas ajustadas adicionales]]</f>
        <v>108</v>
      </c>
      <c r="X1300" s="142"/>
    </row>
    <row r="1301" spans="1:24" ht="12.75" customHeight="1" x14ac:dyDescent="0.2">
      <c r="A1301" s="7"/>
      <c r="B1301" s="7"/>
      <c r="C1301" s="3"/>
      <c r="D1301" s="3" t="s">
        <v>336</v>
      </c>
      <c r="E1301" s="33" t="s">
        <v>31</v>
      </c>
      <c r="F1301" s="33"/>
      <c r="G1301" s="7"/>
      <c r="H1301" s="7">
        <v>37</v>
      </c>
      <c r="I1301" s="12"/>
      <c r="J1301" s="5" t="e">
        <f>+SUMIFS(#REF!,#REF!,Planning[[#This Row],[Tarifa]],#REF!,Planning[[#This Row],[Proyectos]])</f>
        <v>#REF!</v>
      </c>
      <c r="K1301" s="5" t="e">
        <f>Planning[[#This Row],[Horas Planificadas]]+Planning[[#This Row],[Horas ajustadas adicionales]]-Planning[[#This Row],[Horas utilizadas]]</f>
        <v>#REF!</v>
      </c>
      <c r="L1301" s="7"/>
      <c r="M1301" s="19" t="e">
        <f>Planning[[#This Row],[Saldo]]-Planning[[#This Row],[Saldo estimado]]</f>
        <v>#REF!</v>
      </c>
      <c r="N1301" s="60" t="e">
        <f>+SUMIFS(#REF!,#REF!,Planning[[#This Row],[Proyectos]],#REF!,Planning[[#This Row],[Tipo de Tarea y especialidad]])</f>
        <v>#REF!</v>
      </c>
      <c r="O1301" s="19">
        <f t="shared" si="40"/>
        <v>10</v>
      </c>
      <c r="P1301" s="19">
        <f t="shared" si="41"/>
        <v>2024</v>
      </c>
      <c r="Q1301" s="19" t="e">
        <f>+SUMIFS(#REF!,#REF!,Planning[[#This Row],[Tarifa]],#REF!,Planning[[#This Row],[Proyectos]],#REF!,Planning[[#This Row],[Mes]],#REF!,Planning[[#This Row],[Año]])</f>
        <v>#REF!</v>
      </c>
      <c r="R1301" s="19" t="str">
        <f>TEXT(Planning[[#This Row],[Mes]]*29,"mmmm")</f>
        <v>October</v>
      </c>
      <c r="S13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01" s="228"/>
      <c r="U1301" s="43" t="e">
        <f>IF(Planning[[#This Row],[Horas Planificadas]]&lt;&gt;0,+K1301/Planning[[#This Row],[Horas Planificadas]],0)</f>
        <v>#REF!</v>
      </c>
      <c r="V1301" s="43" t="e">
        <f>IF(Planning[[#This Row],[Horas Planificadas]]&lt;&gt;0,Planning[[#This Row],[Horas utilizadas]]/Planning[[#This Row],[Horas Planificadas]],0)</f>
        <v>#REF!</v>
      </c>
      <c r="W1301" s="44">
        <f>Planning[[#This Row],[Horas Planificadas]]+Planning[[#This Row],[Horas ajustadas adicionales]]</f>
        <v>37</v>
      </c>
      <c r="X1301" s="142"/>
    </row>
    <row r="1302" spans="1:24" ht="12.75" customHeight="1" x14ac:dyDescent="0.2">
      <c r="A1302" s="7"/>
      <c r="B1302" s="7"/>
      <c r="C1302" s="3"/>
      <c r="D1302" s="3" t="s">
        <v>336</v>
      </c>
      <c r="E1302" s="33" t="s">
        <v>32</v>
      </c>
      <c r="F1302" s="33"/>
      <c r="G1302" s="7"/>
      <c r="H1302" s="7">
        <v>81</v>
      </c>
      <c r="I1302" s="12"/>
      <c r="J1302" s="5" t="e">
        <f>+SUMIFS(#REF!,#REF!,Planning[[#This Row],[Tarifa]],#REF!,Planning[[#This Row],[Proyectos]])</f>
        <v>#REF!</v>
      </c>
      <c r="K1302" s="5" t="e">
        <f>Planning[[#This Row],[Horas Planificadas]]+Planning[[#This Row],[Horas ajustadas adicionales]]-Planning[[#This Row],[Horas utilizadas]]</f>
        <v>#REF!</v>
      </c>
      <c r="L1302" s="7"/>
      <c r="M1302" s="19" t="e">
        <f>Planning[[#This Row],[Saldo]]-Planning[[#This Row],[Saldo estimado]]</f>
        <v>#REF!</v>
      </c>
      <c r="N1302" s="60" t="e">
        <f>+SUMIFS(#REF!,#REF!,Planning[[#This Row],[Proyectos]],#REF!,Planning[[#This Row],[Tipo de Tarea y especialidad]])</f>
        <v>#REF!</v>
      </c>
      <c r="O1302" s="19">
        <f t="shared" si="40"/>
        <v>10</v>
      </c>
      <c r="P1302" s="19">
        <f t="shared" si="41"/>
        <v>2024</v>
      </c>
      <c r="Q1302" s="19" t="e">
        <f>+SUMIFS(#REF!,#REF!,Planning[[#This Row],[Tarifa]],#REF!,Planning[[#This Row],[Proyectos]],#REF!,Planning[[#This Row],[Mes]],#REF!,Planning[[#This Row],[Año]])</f>
        <v>#REF!</v>
      </c>
      <c r="R1302" s="19" t="str">
        <f>TEXT(Planning[[#This Row],[Mes]]*29,"mmmm")</f>
        <v>October</v>
      </c>
      <c r="S13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02" s="228"/>
      <c r="U1302" s="43" t="e">
        <f>IF(Planning[[#This Row],[Horas Planificadas]]&lt;&gt;0,+K1302/Planning[[#This Row],[Horas Planificadas]],0)</f>
        <v>#REF!</v>
      </c>
      <c r="V1302" s="43" t="e">
        <f>IF(Planning[[#This Row],[Horas Planificadas]]&lt;&gt;0,Planning[[#This Row],[Horas utilizadas]]/Planning[[#This Row],[Horas Planificadas]],0)</f>
        <v>#REF!</v>
      </c>
      <c r="W1302" s="44">
        <f>Planning[[#This Row],[Horas Planificadas]]+Planning[[#This Row],[Horas ajustadas adicionales]]</f>
        <v>81</v>
      </c>
      <c r="X1302" s="142"/>
    </row>
    <row r="1303" spans="1:24" ht="12.75" customHeight="1" x14ac:dyDescent="0.2">
      <c r="A1303" s="7"/>
      <c r="B1303" s="7"/>
      <c r="C1303" s="3"/>
      <c r="D1303" s="3" t="s">
        <v>337</v>
      </c>
      <c r="E1303" s="33" t="s">
        <v>28</v>
      </c>
      <c r="F1303" s="33"/>
      <c r="G1303" s="7"/>
      <c r="H1303" s="7">
        <v>0</v>
      </c>
      <c r="I1303" s="12"/>
      <c r="J1303" s="5" t="e">
        <f>+SUMIFS(#REF!,#REF!,Planning[[#This Row],[Tarifa]],#REF!,Planning[[#This Row],[Proyectos]])</f>
        <v>#REF!</v>
      </c>
      <c r="K1303" s="5" t="e">
        <f>Planning[[#This Row],[Horas Planificadas]]+Planning[[#This Row],[Horas ajustadas adicionales]]-Planning[[#This Row],[Horas utilizadas]]</f>
        <v>#REF!</v>
      </c>
      <c r="L1303" s="7"/>
      <c r="M1303" s="19" t="e">
        <f>Planning[[#This Row],[Saldo]]-Planning[[#This Row],[Saldo estimado]]</f>
        <v>#REF!</v>
      </c>
      <c r="N1303" s="60" t="e">
        <f>+SUMIFS(#REF!,#REF!,Planning[[#This Row],[Proyectos]],#REF!,Planning[[#This Row],[Tipo de Tarea y especialidad]])</f>
        <v>#REF!</v>
      </c>
      <c r="O1303" s="19">
        <f t="shared" si="40"/>
        <v>10</v>
      </c>
      <c r="P1303" s="19">
        <f t="shared" si="41"/>
        <v>2024</v>
      </c>
      <c r="Q1303" s="19" t="e">
        <f>+SUMIFS(#REF!,#REF!,Planning[[#This Row],[Tarifa]],#REF!,Planning[[#This Row],[Proyectos]],#REF!,Planning[[#This Row],[Mes]],#REF!,Planning[[#This Row],[Año]])</f>
        <v>#REF!</v>
      </c>
      <c r="R1303" s="19" t="str">
        <f>TEXT(Planning[[#This Row],[Mes]]*29,"mmmm")</f>
        <v>October</v>
      </c>
      <c r="S13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03" s="228"/>
      <c r="U1303" s="43">
        <f>IF(Planning[[#This Row],[Horas Planificadas]]&lt;&gt;0,+K1303/Planning[[#This Row],[Horas Planificadas]],0)</f>
        <v>0</v>
      </c>
      <c r="V1303" s="43">
        <f>IF(Planning[[#This Row],[Horas Planificadas]]&lt;&gt;0,Planning[[#This Row],[Horas utilizadas]]/Planning[[#This Row],[Horas Planificadas]],0)</f>
        <v>0</v>
      </c>
      <c r="W1303" s="44">
        <f>Planning[[#This Row],[Horas Planificadas]]+Planning[[#This Row],[Horas ajustadas adicionales]]</f>
        <v>0</v>
      </c>
      <c r="X1303" s="142"/>
    </row>
    <row r="1304" spans="1:24" ht="12.75" customHeight="1" x14ac:dyDescent="0.2">
      <c r="A1304" s="7"/>
      <c r="B1304" s="7"/>
      <c r="C1304" s="3"/>
      <c r="D1304" s="3" t="s">
        <v>337</v>
      </c>
      <c r="E1304" s="33" t="s">
        <v>30</v>
      </c>
      <c r="F1304" s="33"/>
      <c r="G1304" s="7"/>
      <c r="H1304" s="7">
        <v>90</v>
      </c>
      <c r="I1304" s="12"/>
      <c r="J1304" s="5" t="e">
        <f>+SUMIFS(#REF!,#REF!,Planning[[#This Row],[Tarifa]],#REF!,Planning[[#This Row],[Proyectos]])</f>
        <v>#REF!</v>
      </c>
      <c r="K1304" s="5" t="e">
        <f>Planning[[#This Row],[Horas Planificadas]]+Planning[[#This Row],[Horas ajustadas adicionales]]-Planning[[#This Row],[Horas utilizadas]]</f>
        <v>#REF!</v>
      </c>
      <c r="L1304" s="7"/>
      <c r="M1304" s="19" t="e">
        <f>Planning[[#This Row],[Saldo]]-Planning[[#This Row],[Saldo estimado]]</f>
        <v>#REF!</v>
      </c>
      <c r="N1304" s="60" t="e">
        <f>+SUMIFS(#REF!,#REF!,Planning[[#This Row],[Proyectos]],#REF!,Planning[[#This Row],[Tipo de Tarea y especialidad]])</f>
        <v>#REF!</v>
      </c>
      <c r="O1304" s="19">
        <f t="shared" si="40"/>
        <v>10</v>
      </c>
      <c r="P1304" s="19">
        <f t="shared" si="41"/>
        <v>2024</v>
      </c>
      <c r="Q1304" s="19" t="e">
        <f>+SUMIFS(#REF!,#REF!,Planning[[#This Row],[Tarifa]],#REF!,Planning[[#This Row],[Proyectos]],#REF!,Planning[[#This Row],[Mes]],#REF!,Planning[[#This Row],[Año]])</f>
        <v>#REF!</v>
      </c>
      <c r="R1304" s="19" t="str">
        <f>TEXT(Planning[[#This Row],[Mes]]*29,"mmmm")</f>
        <v>October</v>
      </c>
      <c r="S13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04" s="228"/>
      <c r="U1304" s="43" t="e">
        <f>IF(Planning[[#This Row],[Horas Planificadas]]&lt;&gt;0,+K1304/Planning[[#This Row],[Horas Planificadas]],0)</f>
        <v>#REF!</v>
      </c>
      <c r="V1304" s="43" t="e">
        <f>IF(Planning[[#This Row],[Horas Planificadas]]&lt;&gt;0,Planning[[#This Row],[Horas utilizadas]]/Planning[[#This Row],[Horas Planificadas]],0)</f>
        <v>#REF!</v>
      </c>
      <c r="W1304" s="44">
        <f>Planning[[#This Row],[Horas Planificadas]]+Planning[[#This Row],[Horas ajustadas adicionales]]</f>
        <v>90</v>
      </c>
      <c r="X1304" s="142"/>
    </row>
    <row r="1305" spans="1:24" ht="12.75" customHeight="1" x14ac:dyDescent="0.2">
      <c r="A1305" s="7"/>
      <c r="B1305" s="7"/>
      <c r="C1305" s="3"/>
      <c r="D1305" s="3" t="s">
        <v>337</v>
      </c>
      <c r="E1305" s="33" t="s">
        <v>31</v>
      </c>
      <c r="F1305" s="33"/>
      <c r="G1305" s="7"/>
      <c r="H1305" s="7">
        <v>9</v>
      </c>
      <c r="I1305" s="12"/>
      <c r="J1305" s="5" t="e">
        <f>+SUMIFS(#REF!,#REF!,Planning[[#This Row],[Tarifa]],#REF!,Planning[[#This Row],[Proyectos]])</f>
        <v>#REF!</v>
      </c>
      <c r="K1305" s="5" t="e">
        <f>Planning[[#This Row],[Horas Planificadas]]+Planning[[#This Row],[Horas ajustadas adicionales]]-Planning[[#This Row],[Horas utilizadas]]</f>
        <v>#REF!</v>
      </c>
      <c r="L1305" s="7"/>
      <c r="M1305" s="19" t="e">
        <f>Planning[[#This Row],[Saldo]]-Planning[[#This Row],[Saldo estimado]]</f>
        <v>#REF!</v>
      </c>
      <c r="N1305" s="60" t="e">
        <f>+SUMIFS(#REF!,#REF!,Planning[[#This Row],[Proyectos]],#REF!,Planning[[#This Row],[Tipo de Tarea y especialidad]])</f>
        <v>#REF!</v>
      </c>
      <c r="O1305" s="19">
        <f t="shared" si="40"/>
        <v>10</v>
      </c>
      <c r="P1305" s="19">
        <f t="shared" si="41"/>
        <v>2024</v>
      </c>
      <c r="Q1305" s="19" t="e">
        <f>+SUMIFS(#REF!,#REF!,Planning[[#This Row],[Tarifa]],#REF!,Planning[[#This Row],[Proyectos]],#REF!,Planning[[#This Row],[Mes]],#REF!,Planning[[#This Row],[Año]])</f>
        <v>#REF!</v>
      </c>
      <c r="R1305" s="19" t="str">
        <f>TEXT(Planning[[#This Row],[Mes]]*29,"mmmm")</f>
        <v>October</v>
      </c>
      <c r="S13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05" s="228"/>
      <c r="U1305" s="43" t="e">
        <f>IF(Planning[[#This Row],[Horas Planificadas]]&lt;&gt;0,+K1305/Planning[[#This Row],[Horas Planificadas]],0)</f>
        <v>#REF!</v>
      </c>
      <c r="V1305" s="43" t="e">
        <f>IF(Planning[[#This Row],[Horas Planificadas]]&lt;&gt;0,Planning[[#This Row],[Horas utilizadas]]/Planning[[#This Row],[Horas Planificadas]],0)</f>
        <v>#REF!</v>
      </c>
      <c r="W1305" s="44">
        <f>Planning[[#This Row],[Horas Planificadas]]+Planning[[#This Row],[Horas ajustadas adicionales]]</f>
        <v>9</v>
      </c>
      <c r="X1305" s="142"/>
    </row>
    <row r="1306" spans="1:24" ht="12.75" customHeight="1" x14ac:dyDescent="0.2">
      <c r="A1306" s="7"/>
      <c r="B1306" s="7"/>
      <c r="C1306" s="3"/>
      <c r="D1306" s="3" t="s">
        <v>337</v>
      </c>
      <c r="E1306" s="33" t="s">
        <v>32</v>
      </c>
      <c r="F1306" s="33"/>
      <c r="G1306" s="7"/>
      <c r="H1306" s="7">
        <v>0</v>
      </c>
      <c r="I1306" s="12"/>
      <c r="J1306" s="5" t="e">
        <f>+SUMIFS(#REF!,#REF!,Planning[[#This Row],[Tarifa]],#REF!,Planning[[#This Row],[Proyectos]])</f>
        <v>#REF!</v>
      </c>
      <c r="K1306" s="5" t="e">
        <f>Planning[[#This Row],[Horas Planificadas]]+Planning[[#This Row],[Horas ajustadas adicionales]]-Planning[[#This Row],[Horas utilizadas]]</f>
        <v>#REF!</v>
      </c>
      <c r="L1306" s="7"/>
      <c r="M1306" s="19" t="e">
        <f>Planning[[#This Row],[Saldo]]-Planning[[#This Row],[Saldo estimado]]</f>
        <v>#REF!</v>
      </c>
      <c r="N1306" s="60" t="e">
        <f>+SUMIFS(#REF!,#REF!,Planning[[#This Row],[Proyectos]],#REF!,Planning[[#This Row],[Tipo de Tarea y especialidad]])</f>
        <v>#REF!</v>
      </c>
      <c r="O1306" s="19">
        <f t="shared" si="40"/>
        <v>10</v>
      </c>
      <c r="P1306" s="19">
        <f t="shared" si="41"/>
        <v>2024</v>
      </c>
      <c r="Q1306" s="19" t="e">
        <f>+SUMIFS(#REF!,#REF!,Planning[[#This Row],[Tarifa]],#REF!,Planning[[#This Row],[Proyectos]],#REF!,Planning[[#This Row],[Mes]],#REF!,Planning[[#This Row],[Año]])</f>
        <v>#REF!</v>
      </c>
      <c r="R1306" s="19" t="str">
        <f>TEXT(Planning[[#This Row],[Mes]]*29,"mmmm")</f>
        <v>October</v>
      </c>
      <c r="S13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06" s="228"/>
      <c r="U1306" s="43">
        <f>IF(Planning[[#This Row],[Horas Planificadas]]&lt;&gt;0,+K1306/Planning[[#This Row],[Horas Planificadas]],0)</f>
        <v>0</v>
      </c>
      <c r="V1306" s="43">
        <f>IF(Planning[[#This Row],[Horas Planificadas]]&lt;&gt;0,Planning[[#This Row],[Horas utilizadas]]/Planning[[#This Row],[Horas Planificadas]],0)</f>
        <v>0</v>
      </c>
      <c r="W1306" s="44">
        <f>Planning[[#This Row],[Horas Planificadas]]+Planning[[#This Row],[Horas ajustadas adicionales]]</f>
        <v>0</v>
      </c>
      <c r="X1306" s="142"/>
    </row>
    <row r="1307" spans="1:24" ht="12.75" customHeight="1" x14ac:dyDescent="0.2">
      <c r="A1307" s="7"/>
      <c r="B1307" s="7"/>
      <c r="C1307" s="3"/>
      <c r="D1307" s="3" t="s">
        <v>338</v>
      </c>
      <c r="E1307" s="33" t="s">
        <v>28</v>
      </c>
      <c r="F1307" s="33"/>
      <c r="G1307" s="7"/>
      <c r="H1307" s="7">
        <v>0</v>
      </c>
      <c r="I1307" s="12"/>
      <c r="J1307" s="5" t="e">
        <f>+SUMIFS(#REF!,#REF!,Planning[[#This Row],[Tarifa]],#REF!,Planning[[#This Row],[Proyectos]])</f>
        <v>#REF!</v>
      </c>
      <c r="K1307" s="5" t="e">
        <f>Planning[[#This Row],[Horas Planificadas]]+Planning[[#This Row],[Horas ajustadas adicionales]]-Planning[[#This Row],[Horas utilizadas]]</f>
        <v>#REF!</v>
      </c>
      <c r="L1307" s="7"/>
      <c r="M1307" s="19" t="e">
        <f>Planning[[#This Row],[Saldo]]-Planning[[#This Row],[Saldo estimado]]</f>
        <v>#REF!</v>
      </c>
      <c r="N1307" s="60" t="e">
        <f>+SUMIFS(#REF!,#REF!,Planning[[#This Row],[Proyectos]],#REF!,Planning[[#This Row],[Tipo de Tarea y especialidad]])</f>
        <v>#REF!</v>
      </c>
      <c r="O1307" s="19">
        <f t="shared" si="40"/>
        <v>10</v>
      </c>
      <c r="P1307" s="19">
        <f t="shared" si="41"/>
        <v>2024</v>
      </c>
      <c r="Q1307" s="19" t="e">
        <f>+SUMIFS(#REF!,#REF!,Planning[[#This Row],[Tarifa]],#REF!,Planning[[#This Row],[Proyectos]],#REF!,Planning[[#This Row],[Mes]],#REF!,Planning[[#This Row],[Año]])</f>
        <v>#REF!</v>
      </c>
      <c r="R1307" s="19" t="str">
        <f>TEXT(Planning[[#This Row],[Mes]]*29,"mmmm")</f>
        <v>October</v>
      </c>
      <c r="S13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07" s="228"/>
      <c r="U1307" s="43">
        <f>IF(Planning[[#This Row],[Horas Planificadas]]&lt;&gt;0,+K1307/Planning[[#This Row],[Horas Planificadas]],0)</f>
        <v>0</v>
      </c>
      <c r="V1307" s="43">
        <f>IF(Planning[[#This Row],[Horas Planificadas]]&lt;&gt;0,Planning[[#This Row],[Horas utilizadas]]/Planning[[#This Row],[Horas Planificadas]],0)</f>
        <v>0</v>
      </c>
      <c r="W1307" s="44">
        <f>Planning[[#This Row],[Horas Planificadas]]+Planning[[#This Row],[Horas ajustadas adicionales]]</f>
        <v>0</v>
      </c>
      <c r="X1307" s="142"/>
    </row>
    <row r="1308" spans="1:24" ht="12.75" customHeight="1" x14ac:dyDescent="0.2">
      <c r="A1308" s="7"/>
      <c r="B1308" s="7"/>
      <c r="C1308" s="3"/>
      <c r="D1308" s="3" t="s">
        <v>338</v>
      </c>
      <c r="E1308" s="33" t="s">
        <v>30</v>
      </c>
      <c r="F1308" s="33"/>
      <c r="G1308" s="7"/>
      <c r="H1308" s="7">
        <v>45</v>
      </c>
      <c r="I1308" s="12"/>
      <c r="J1308" s="5" t="e">
        <f>+SUMIFS(#REF!,#REF!,Planning[[#This Row],[Tarifa]],#REF!,Planning[[#This Row],[Proyectos]])</f>
        <v>#REF!</v>
      </c>
      <c r="K1308" s="5" t="e">
        <f>Planning[[#This Row],[Horas Planificadas]]+Planning[[#This Row],[Horas ajustadas adicionales]]-Planning[[#This Row],[Horas utilizadas]]</f>
        <v>#REF!</v>
      </c>
      <c r="L1308" s="7"/>
      <c r="M1308" s="19" t="e">
        <f>Planning[[#This Row],[Saldo]]-Planning[[#This Row],[Saldo estimado]]</f>
        <v>#REF!</v>
      </c>
      <c r="N1308" s="60" t="e">
        <f>+SUMIFS(#REF!,#REF!,Planning[[#This Row],[Proyectos]],#REF!,Planning[[#This Row],[Tipo de Tarea y especialidad]])</f>
        <v>#REF!</v>
      </c>
      <c r="O1308" s="19">
        <f t="shared" si="40"/>
        <v>10</v>
      </c>
      <c r="P1308" s="19">
        <f t="shared" si="41"/>
        <v>2024</v>
      </c>
      <c r="Q1308" s="19" t="e">
        <f>+SUMIFS(#REF!,#REF!,Planning[[#This Row],[Tarifa]],#REF!,Planning[[#This Row],[Proyectos]],#REF!,Planning[[#This Row],[Mes]],#REF!,Planning[[#This Row],[Año]])</f>
        <v>#REF!</v>
      </c>
      <c r="R1308" s="19" t="str">
        <f>TEXT(Planning[[#This Row],[Mes]]*29,"mmmm")</f>
        <v>October</v>
      </c>
      <c r="S13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08" s="228"/>
      <c r="U1308" s="43" t="e">
        <f>IF(Planning[[#This Row],[Horas Planificadas]]&lt;&gt;0,+K1308/Planning[[#This Row],[Horas Planificadas]],0)</f>
        <v>#REF!</v>
      </c>
      <c r="V1308" s="43" t="e">
        <f>IF(Planning[[#This Row],[Horas Planificadas]]&lt;&gt;0,Planning[[#This Row],[Horas utilizadas]]/Planning[[#This Row],[Horas Planificadas]],0)</f>
        <v>#REF!</v>
      </c>
      <c r="W1308" s="44">
        <f>Planning[[#This Row],[Horas Planificadas]]+Planning[[#This Row],[Horas ajustadas adicionales]]</f>
        <v>45</v>
      </c>
      <c r="X1308" s="142"/>
    </row>
    <row r="1309" spans="1:24" ht="12.75" customHeight="1" x14ac:dyDescent="0.2">
      <c r="A1309" s="7"/>
      <c r="B1309" s="7"/>
      <c r="C1309" s="3"/>
      <c r="D1309" s="3" t="s">
        <v>338</v>
      </c>
      <c r="E1309" s="33" t="s">
        <v>31</v>
      </c>
      <c r="F1309" s="33"/>
      <c r="G1309" s="7"/>
      <c r="H1309" s="7">
        <v>0</v>
      </c>
      <c r="I1309" s="12"/>
      <c r="J1309" s="5" t="e">
        <f>+SUMIFS(#REF!,#REF!,Planning[[#This Row],[Tarifa]],#REF!,Planning[[#This Row],[Proyectos]])</f>
        <v>#REF!</v>
      </c>
      <c r="K1309" s="5" t="e">
        <f>Planning[[#This Row],[Horas Planificadas]]+Planning[[#This Row],[Horas ajustadas adicionales]]-Planning[[#This Row],[Horas utilizadas]]</f>
        <v>#REF!</v>
      </c>
      <c r="L1309" s="7"/>
      <c r="M1309" s="19" t="e">
        <f>Planning[[#This Row],[Saldo]]-Planning[[#This Row],[Saldo estimado]]</f>
        <v>#REF!</v>
      </c>
      <c r="N1309" s="60" t="e">
        <f>+SUMIFS(#REF!,#REF!,Planning[[#This Row],[Proyectos]],#REF!,Planning[[#This Row],[Tipo de Tarea y especialidad]])</f>
        <v>#REF!</v>
      </c>
      <c r="O1309" s="19">
        <f t="shared" si="40"/>
        <v>10</v>
      </c>
      <c r="P1309" s="19">
        <f t="shared" si="41"/>
        <v>2024</v>
      </c>
      <c r="Q1309" s="19" t="e">
        <f>+SUMIFS(#REF!,#REF!,Planning[[#This Row],[Tarifa]],#REF!,Planning[[#This Row],[Proyectos]],#REF!,Planning[[#This Row],[Mes]],#REF!,Planning[[#This Row],[Año]])</f>
        <v>#REF!</v>
      </c>
      <c r="R1309" s="19" t="str">
        <f>TEXT(Planning[[#This Row],[Mes]]*29,"mmmm")</f>
        <v>October</v>
      </c>
      <c r="S13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09" s="228"/>
      <c r="U1309" s="43">
        <f>IF(Planning[[#This Row],[Horas Planificadas]]&lt;&gt;0,+K1309/Planning[[#This Row],[Horas Planificadas]],0)</f>
        <v>0</v>
      </c>
      <c r="V1309" s="43">
        <f>IF(Planning[[#This Row],[Horas Planificadas]]&lt;&gt;0,Planning[[#This Row],[Horas utilizadas]]/Planning[[#This Row],[Horas Planificadas]],0)</f>
        <v>0</v>
      </c>
      <c r="W1309" s="44">
        <f>Planning[[#This Row],[Horas Planificadas]]+Planning[[#This Row],[Horas ajustadas adicionales]]</f>
        <v>0</v>
      </c>
      <c r="X1309" s="142"/>
    </row>
    <row r="1310" spans="1:24" ht="12.75" customHeight="1" x14ac:dyDescent="0.2">
      <c r="A1310" s="7"/>
      <c r="B1310" s="7"/>
      <c r="C1310" s="3"/>
      <c r="D1310" s="3" t="s">
        <v>338</v>
      </c>
      <c r="E1310" s="33" t="s">
        <v>32</v>
      </c>
      <c r="F1310" s="33"/>
      <c r="G1310" s="7"/>
      <c r="H1310" s="7">
        <v>27</v>
      </c>
      <c r="I1310" s="12"/>
      <c r="J1310" s="5" t="e">
        <f>+SUMIFS(#REF!,#REF!,Planning[[#This Row],[Tarifa]],#REF!,Planning[[#This Row],[Proyectos]])</f>
        <v>#REF!</v>
      </c>
      <c r="K1310" s="5" t="e">
        <f>Planning[[#This Row],[Horas Planificadas]]+Planning[[#This Row],[Horas ajustadas adicionales]]-Planning[[#This Row],[Horas utilizadas]]</f>
        <v>#REF!</v>
      </c>
      <c r="L1310" s="7"/>
      <c r="M1310" s="19" t="e">
        <f>Planning[[#This Row],[Saldo]]-Planning[[#This Row],[Saldo estimado]]</f>
        <v>#REF!</v>
      </c>
      <c r="N1310" s="60" t="e">
        <f>+SUMIFS(#REF!,#REF!,Planning[[#This Row],[Proyectos]],#REF!,Planning[[#This Row],[Tipo de Tarea y especialidad]])</f>
        <v>#REF!</v>
      </c>
      <c r="O1310" s="19">
        <f t="shared" si="40"/>
        <v>10</v>
      </c>
      <c r="P1310" s="19">
        <f t="shared" si="41"/>
        <v>2024</v>
      </c>
      <c r="Q1310" s="19" t="e">
        <f>+SUMIFS(#REF!,#REF!,Planning[[#This Row],[Tarifa]],#REF!,Planning[[#This Row],[Proyectos]],#REF!,Planning[[#This Row],[Mes]],#REF!,Planning[[#This Row],[Año]])</f>
        <v>#REF!</v>
      </c>
      <c r="R1310" s="19" t="str">
        <f>TEXT(Planning[[#This Row],[Mes]]*29,"mmmm")</f>
        <v>October</v>
      </c>
      <c r="S13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10" s="228"/>
      <c r="U1310" s="43" t="e">
        <f>IF(Planning[[#This Row],[Horas Planificadas]]&lt;&gt;0,+K1310/Planning[[#This Row],[Horas Planificadas]],0)</f>
        <v>#REF!</v>
      </c>
      <c r="V1310" s="43" t="e">
        <f>IF(Planning[[#This Row],[Horas Planificadas]]&lt;&gt;0,Planning[[#This Row],[Horas utilizadas]]/Planning[[#This Row],[Horas Planificadas]],0)</f>
        <v>#REF!</v>
      </c>
      <c r="W1310" s="44">
        <f>Planning[[#This Row],[Horas Planificadas]]+Planning[[#This Row],[Horas ajustadas adicionales]]</f>
        <v>27</v>
      </c>
      <c r="X1310" s="142"/>
    </row>
    <row r="1311" spans="1:24" ht="12.75" customHeight="1" x14ac:dyDescent="0.2">
      <c r="A1311" s="7"/>
      <c r="B1311" s="7"/>
      <c r="C1311" s="3"/>
      <c r="D1311" s="3" t="s">
        <v>339</v>
      </c>
      <c r="E1311" s="33" t="s">
        <v>28</v>
      </c>
      <c r="F1311" s="33"/>
      <c r="G1311" s="7"/>
      <c r="H1311" s="7">
        <v>0</v>
      </c>
      <c r="I1311" s="12"/>
      <c r="J1311" s="5" t="e">
        <f>+SUMIFS(#REF!,#REF!,Planning[[#This Row],[Tarifa]],#REF!,Planning[[#This Row],[Proyectos]])</f>
        <v>#REF!</v>
      </c>
      <c r="K1311" s="5" t="e">
        <f>Planning[[#This Row],[Horas Planificadas]]+Planning[[#This Row],[Horas ajustadas adicionales]]-Planning[[#This Row],[Horas utilizadas]]</f>
        <v>#REF!</v>
      </c>
      <c r="L1311" s="7"/>
      <c r="M1311" s="19" t="e">
        <f>Planning[[#This Row],[Saldo]]-Planning[[#This Row],[Saldo estimado]]</f>
        <v>#REF!</v>
      </c>
      <c r="N1311" s="60" t="e">
        <f>+SUMIFS(#REF!,#REF!,Planning[[#This Row],[Proyectos]],#REF!,Planning[[#This Row],[Tipo de Tarea y especialidad]])</f>
        <v>#REF!</v>
      </c>
      <c r="O1311" s="19">
        <f t="shared" si="40"/>
        <v>10</v>
      </c>
      <c r="P1311" s="19">
        <f t="shared" si="41"/>
        <v>2024</v>
      </c>
      <c r="Q1311" s="19" t="e">
        <f>+SUMIFS(#REF!,#REF!,Planning[[#This Row],[Tarifa]],#REF!,Planning[[#This Row],[Proyectos]],#REF!,Planning[[#This Row],[Mes]],#REF!,Planning[[#This Row],[Año]])</f>
        <v>#REF!</v>
      </c>
      <c r="R1311" s="19" t="str">
        <f>TEXT(Planning[[#This Row],[Mes]]*29,"mmmm")</f>
        <v>October</v>
      </c>
      <c r="S13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11" s="228"/>
      <c r="U1311" s="43">
        <f>IF(Planning[[#This Row],[Horas Planificadas]]&lt;&gt;0,+K1311/Planning[[#This Row],[Horas Planificadas]],0)</f>
        <v>0</v>
      </c>
      <c r="V1311" s="43">
        <f>IF(Planning[[#This Row],[Horas Planificadas]]&lt;&gt;0,Planning[[#This Row],[Horas utilizadas]]/Planning[[#This Row],[Horas Planificadas]],0)</f>
        <v>0</v>
      </c>
      <c r="W1311" s="44">
        <f>Planning[[#This Row],[Horas Planificadas]]+Planning[[#This Row],[Horas ajustadas adicionales]]</f>
        <v>0</v>
      </c>
      <c r="X1311" s="142"/>
    </row>
    <row r="1312" spans="1:24" ht="12.75" customHeight="1" x14ac:dyDescent="0.2">
      <c r="A1312" s="7"/>
      <c r="B1312" s="7"/>
      <c r="C1312" s="3"/>
      <c r="D1312" s="3" t="s">
        <v>339</v>
      </c>
      <c r="E1312" s="33" t="s">
        <v>30</v>
      </c>
      <c r="F1312" s="33"/>
      <c r="G1312" s="7"/>
      <c r="H1312" s="7">
        <v>27</v>
      </c>
      <c r="I1312" s="12"/>
      <c r="J1312" s="5" t="e">
        <f>+SUMIFS(#REF!,#REF!,Planning[[#This Row],[Tarifa]],#REF!,Planning[[#This Row],[Proyectos]])</f>
        <v>#REF!</v>
      </c>
      <c r="K1312" s="5" t="e">
        <f>Planning[[#This Row],[Horas Planificadas]]+Planning[[#This Row],[Horas ajustadas adicionales]]-Planning[[#This Row],[Horas utilizadas]]</f>
        <v>#REF!</v>
      </c>
      <c r="L1312" s="7"/>
      <c r="M1312" s="19" t="e">
        <f>Planning[[#This Row],[Saldo]]-Planning[[#This Row],[Saldo estimado]]</f>
        <v>#REF!</v>
      </c>
      <c r="N1312" s="60" t="e">
        <f>+SUMIFS(#REF!,#REF!,Planning[[#This Row],[Proyectos]],#REF!,Planning[[#This Row],[Tipo de Tarea y especialidad]])</f>
        <v>#REF!</v>
      </c>
      <c r="O1312" s="19">
        <f t="shared" si="40"/>
        <v>10</v>
      </c>
      <c r="P1312" s="19">
        <f t="shared" si="41"/>
        <v>2024</v>
      </c>
      <c r="Q1312" s="19" t="e">
        <f>+SUMIFS(#REF!,#REF!,Planning[[#This Row],[Tarifa]],#REF!,Planning[[#This Row],[Proyectos]],#REF!,Planning[[#This Row],[Mes]],#REF!,Planning[[#This Row],[Año]])</f>
        <v>#REF!</v>
      </c>
      <c r="R1312" s="19" t="str">
        <f>TEXT(Planning[[#This Row],[Mes]]*29,"mmmm")</f>
        <v>October</v>
      </c>
      <c r="S13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12" s="228"/>
      <c r="U1312" s="43" t="e">
        <f>IF(Planning[[#This Row],[Horas Planificadas]]&lt;&gt;0,+K1312/Planning[[#This Row],[Horas Planificadas]],0)</f>
        <v>#REF!</v>
      </c>
      <c r="V1312" s="43" t="e">
        <f>IF(Planning[[#This Row],[Horas Planificadas]]&lt;&gt;0,Planning[[#This Row],[Horas utilizadas]]/Planning[[#This Row],[Horas Planificadas]],0)</f>
        <v>#REF!</v>
      </c>
      <c r="W1312" s="44">
        <f>Planning[[#This Row],[Horas Planificadas]]+Planning[[#This Row],[Horas ajustadas adicionales]]</f>
        <v>27</v>
      </c>
      <c r="X1312" s="142"/>
    </row>
    <row r="1313" spans="1:24" ht="12.75" customHeight="1" x14ac:dyDescent="0.2">
      <c r="A1313" s="7"/>
      <c r="B1313" s="7"/>
      <c r="C1313" s="3"/>
      <c r="D1313" s="3" t="s">
        <v>339</v>
      </c>
      <c r="E1313" s="33" t="s">
        <v>31</v>
      </c>
      <c r="F1313" s="33"/>
      <c r="G1313" s="7"/>
      <c r="H1313" s="7">
        <v>0</v>
      </c>
      <c r="I1313" s="12"/>
      <c r="J1313" s="5" t="e">
        <f>+SUMIFS(#REF!,#REF!,Planning[[#This Row],[Tarifa]],#REF!,Planning[[#This Row],[Proyectos]])</f>
        <v>#REF!</v>
      </c>
      <c r="K1313" s="5" t="e">
        <f>Planning[[#This Row],[Horas Planificadas]]+Planning[[#This Row],[Horas ajustadas adicionales]]-Planning[[#This Row],[Horas utilizadas]]</f>
        <v>#REF!</v>
      </c>
      <c r="L1313" s="7"/>
      <c r="M1313" s="19" t="e">
        <f>Planning[[#This Row],[Saldo]]-Planning[[#This Row],[Saldo estimado]]</f>
        <v>#REF!</v>
      </c>
      <c r="N1313" s="60" t="e">
        <f>+SUMIFS(#REF!,#REF!,Planning[[#This Row],[Proyectos]],#REF!,Planning[[#This Row],[Tipo de Tarea y especialidad]])</f>
        <v>#REF!</v>
      </c>
      <c r="O1313" s="19">
        <f t="shared" si="40"/>
        <v>10</v>
      </c>
      <c r="P1313" s="19">
        <f t="shared" si="41"/>
        <v>2024</v>
      </c>
      <c r="Q1313" s="19" t="e">
        <f>+SUMIFS(#REF!,#REF!,Planning[[#This Row],[Tarifa]],#REF!,Planning[[#This Row],[Proyectos]],#REF!,Planning[[#This Row],[Mes]],#REF!,Planning[[#This Row],[Año]])</f>
        <v>#REF!</v>
      </c>
      <c r="R1313" s="19" t="str">
        <f>TEXT(Planning[[#This Row],[Mes]]*29,"mmmm")</f>
        <v>October</v>
      </c>
      <c r="S13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13" s="228"/>
      <c r="U1313" s="43">
        <f>IF(Planning[[#This Row],[Horas Planificadas]]&lt;&gt;0,+K1313/Planning[[#This Row],[Horas Planificadas]],0)</f>
        <v>0</v>
      </c>
      <c r="V1313" s="43">
        <f>IF(Planning[[#This Row],[Horas Planificadas]]&lt;&gt;0,Planning[[#This Row],[Horas utilizadas]]/Planning[[#This Row],[Horas Planificadas]],0)</f>
        <v>0</v>
      </c>
      <c r="W1313" s="44">
        <f>Planning[[#This Row],[Horas Planificadas]]+Planning[[#This Row],[Horas ajustadas adicionales]]</f>
        <v>0</v>
      </c>
      <c r="X1313" s="142"/>
    </row>
    <row r="1314" spans="1:24" ht="12.75" customHeight="1" x14ac:dyDescent="0.2">
      <c r="A1314" s="7"/>
      <c r="B1314" s="7"/>
      <c r="C1314" s="3"/>
      <c r="D1314" s="3" t="s">
        <v>339</v>
      </c>
      <c r="E1314" s="33" t="s">
        <v>32</v>
      </c>
      <c r="F1314" s="33"/>
      <c r="G1314" s="7"/>
      <c r="H1314" s="7">
        <v>36</v>
      </c>
      <c r="I1314" s="12"/>
      <c r="J1314" s="5" t="e">
        <f>+SUMIFS(#REF!,#REF!,Planning[[#This Row],[Tarifa]],#REF!,Planning[[#This Row],[Proyectos]])</f>
        <v>#REF!</v>
      </c>
      <c r="K1314" s="5" t="e">
        <f>Planning[[#This Row],[Horas Planificadas]]+Planning[[#This Row],[Horas ajustadas adicionales]]-Planning[[#This Row],[Horas utilizadas]]</f>
        <v>#REF!</v>
      </c>
      <c r="L1314" s="7"/>
      <c r="M1314" s="19" t="e">
        <f>Planning[[#This Row],[Saldo]]-Planning[[#This Row],[Saldo estimado]]</f>
        <v>#REF!</v>
      </c>
      <c r="N1314" s="60" t="e">
        <f>+SUMIFS(#REF!,#REF!,Planning[[#This Row],[Proyectos]],#REF!,Planning[[#This Row],[Tipo de Tarea y especialidad]])</f>
        <v>#REF!</v>
      </c>
      <c r="O1314" s="19">
        <f t="shared" si="40"/>
        <v>10</v>
      </c>
      <c r="P1314" s="19">
        <f t="shared" si="41"/>
        <v>2024</v>
      </c>
      <c r="Q1314" s="19" t="e">
        <f>+SUMIFS(#REF!,#REF!,Planning[[#This Row],[Tarifa]],#REF!,Planning[[#This Row],[Proyectos]],#REF!,Planning[[#This Row],[Mes]],#REF!,Planning[[#This Row],[Año]])</f>
        <v>#REF!</v>
      </c>
      <c r="R1314" s="19" t="str">
        <f>TEXT(Planning[[#This Row],[Mes]]*29,"mmmm")</f>
        <v>October</v>
      </c>
      <c r="S13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14" s="228"/>
      <c r="U1314" s="43" t="e">
        <f>IF(Planning[[#This Row],[Horas Planificadas]]&lt;&gt;0,+K1314/Planning[[#This Row],[Horas Planificadas]],0)</f>
        <v>#REF!</v>
      </c>
      <c r="V1314" s="43" t="e">
        <f>IF(Planning[[#This Row],[Horas Planificadas]]&lt;&gt;0,Planning[[#This Row],[Horas utilizadas]]/Planning[[#This Row],[Horas Planificadas]],0)</f>
        <v>#REF!</v>
      </c>
      <c r="W1314" s="44">
        <f>Planning[[#This Row],[Horas Planificadas]]+Planning[[#This Row],[Horas ajustadas adicionales]]</f>
        <v>36</v>
      </c>
      <c r="X1314" s="142"/>
    </row>
    <row r="1315" spans="1:24" ht="12.75" customHeight="1" x14ac:dyDescent="0.2">
      <c r="A1315" s="7"/>
      <c r="B1315" s="7"/>
      <c r="C1315" s="3"/>
      <c r="D1315" s="3" t="s">
        <v>340</v>
      </c>
      <c r="E1315" s="33" t="s">
        <v>28</v>
      </c>
      <c r="F1315" s="33"/>
      <c r="G1315" s="7"/>
      <c r="H1315" s="7">
        <v>45</v>
      </c>
      <c r="I1315" s="12"/>
      <c r="J1315" s="5" t="e">
        <f>+SUMIFS(#REF!,#REF!,Planning[[#This Row],[Tarifa]],#REF!,Planning[[#This Row],[Proyectos]])</f>
        <v>#REF!</v>
      </c>
      <c r="K1315" s="5" t="e">
        <f>Planning[[#This Row],[Horas Planificadas]]+Planning[[#This Row],[Horas ajustadas adicionales]]-Planning[[#This Row],[Horas utilizadas]]</f>
        <v>#REF!</v>
      </c>
      <c r="L1315" s="7"/>
      <c r="M1315" s="19" t="e">
        <f>Planning[[#This Row],[Saldo]]-Planning[[#This Row],[Saldo estimado]]</f>
        <v>#REF!</v>
      </c>
      <c r="N1315" s="60" t="e">
        <f>+SUMIFS(#REF!,#REF!,Planning[[#This Row],[Proyectos]],#REF!,Planning[[#This Row],[Tipo de Tarea y especialidad]])</f>
        <v>#REF!</v>
      </c>
      <c r="O1315" s="19">
        <f t="shared" si="40"/>
        <v>10</v>
      </c>
      <c r="P1315" s="19">
        <f t="shared" si="41"/>
        <v>2024</v>
      </c>
      <c r="Q1315" s="19" t="e">
        <f>+SUMIFS(#REF!,#REF!,Planning[[#This Row],[Tarifa]],#REF!,Planning[[#This Row],[Proyectos]],#REF!,Planning[[#This Row],[Mes]],#REF!,Planning[[#This Row],[Año]])</f>
        <v>#REF!</v>
      </c>
      <c r="R1315" s="19" t="str">
        <f>TEXT(Planning[[#This Row],[Mes]]*29,"mmmm")</f>
        <v>October</v>
      </c>
      <c r="S13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15" s="228"/>
      <c r="U1315" s="43" t="e">
        <f>IF(Planning[[#This Row],[Horas Planificadas]]&lt;&gt;0,+K1315/Planning[[#This Row],[Horas Planificadas]],0)</f>
        <v>#REF!</v>
      </c>
      <c r="V1315" s="43" t="e">
        <f>IF(Planning[[#This Row],[Horas Planificadas]]&lt;&gt;0,Planning[[#This Row],[Horas utilizadas]]/Planning[[#This Row],[Horas Planificadas]],0)</f>
        <v>#REF!</v>
      </c>
      <c r="W1315" s="44">
        <f>Planning[[#This Row],[Horas Planificadas]]+Planning[[#This Row],[Horas ajustadas adicionales]]</f>
        <v>45</v>
      </c>
      <c r="X1315" s="142"/>
    </row>
    <row r="1316" spans="1:24" ht="12.75" customHeight="1" x14ac:dyDescent="0.2">
      <c r="A1316" s="7"/>
      <c r="B1316" s="7"/>
      <c r="C1316" s="3"/>
      <c r="D1316" s="3" t="s">
        <v>340</v>
      </c>
      <c r="E1316" s="33" t="s">
        <v>30</v>
      </c>
      <c r="F1316" s="33"/>
      <c r="G1316" s="7"/>
      <c r="H1316" s="7">
        <v>60</v>
      </c>
      <c r="I1316" s="12"/>
      <c r="J1316" s="5" t="e">
        <f>+SUMIFS(#REF!,#REF!,Planning[[#This Row],[Tarifa]],#REF!,Planning[[#This Row],[Proyectos]])</f>
        <v>#REF!</v>
      </c>
      <c r="K1316" s="5" t="e">
        <f>Planning[[#This Row],[Horas Planificadas]]+Planning[[#This Row],[Horas ajustadas adicionales]]-Planning[[#This Row],[Horas utilizadas]]</f>
        <v>#REF!</v>
      </c>
      <c r="L1316" s="7"/>
      <c r="M1316" s="19" t="e">
        <f>Planning[[#This Row],[Saldo]]-Planning[[#This Row],[Saldo estimado]]</f>
        <v>#REF!</v>
      </c>
      <c r="N1316" s="60" t="e">
        <f>+SUMIFS(#REF!,#REF!,Planning[[#This Row],[Proyectos]],#REF!,Planning[[#This Row],[Tipo de Tarea y especialidad]])</f>
        <v>#REF!</v>
      </c>
      <c r="O1316" s="19">
        <f t="shared" si="40"/>
        <v>10</v>
      </c>
      <c r="P1316" s="19">
        <f t="shared" si="41"/>
        <v>2024</v>
      </c>
      <c r="Q1316" s="19" t="e">
        <f>+SUMIFS(#REF!,#REF!,Planning[[#This Row],[Tarifa]],#REF!,Planning[[#This Row],[Proyectos]],#REF!,Planning[[#This Row],[Mes]],#REF!,Planning[[#This Row],[Año]])</f>
        <v>#REF!</v>
      </c>
      <c r="R1316" s="19" t="str">
        <f>TEXT(Planning[[#This Row],[Mes]]*29,"mmmm")</f>
        <v>October</v>
      </c>
      <c r="S13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16" s="228"/>
      <c r="U1316" s="43" t="e">
        <f>IF(Planning[[#This Row],[Horas Planificadas]]&lt;&gt;0,+K1316/Planning[[#This Row],[Horas Planificadas]],0)</f>
        <v>#REF!</v>
      </c>
      <c r="V1316" s="43" t="e">
        <f>IF(Planning[[#This Row],[Horas Planificadas]]&lt;&gt;0,Planning[[#This Row],[Horas utilizadas]]/Planning[[#This Row],[Horas Planificadas]],0)</f>
        <v>#REF!</v>
      </c>
      <c r="W1316" s="44">
        <f>Planning[[#This Row],[Horas Planificadas]]+Planning[[#This Row],[Horas ajustadas adicionales]]</f>
        <v>60</v>
      </c>
      <c r="X1316" s="142"/>
    </row>
    <row r="1317" spans="1:24" ht="12.75" customHeight="1" x14ac:dyDescent="0.2">
      <c r="A1317" s="7"/>
      <c r="B1317" s="7"/>
      <c r="C1317" s="3"/>
      <c r="D1317" s="3" t="s">
        <v>340</v>
      </c>
      <c r="E1317" s="33" t="s">
        <v>31</v>
      </c>
      <c r="F1317" s="33"/>
      <c r="G1317" s="7"/>
      <c r="H1317" s="7">
        <v>60</v>
      </c>
      <c r="I1317" s="12"/>
      <c r="J1317" s="5" t="e">
        <f>+SUMIFS(#REF!,#REF!,Planning[[#This Row],[Tarifa]],#REF!,Planning[[#This Row],[Proyectos]])</f>
        <v>#REF!</v>
      </c>
      <c r="K1317" s="5" t="e">
        <f>Planning[[#This Row],[Horas Planificadas]]+Planning[[#This Row],[Horas ajustadas adicionales]]-Planning[[#This Row],[Horas utilizadas]]</f>
        <v>#REF!</v>
      </c>
      <c r="L1317" s="7"/>
      <c r="M1317" s="19" t="e">
        <f>Planning[[#This Row],[Saldo]]-Planning[[#This Row],[Saldo estimado]]</f>
        <v>#REF!</v>
      </c>
      <c r="N1317" s="60" t="e">
        <f>+SUMIFS(#REF!,#REF!,Planning[[#This Row],[Proyectos]],#REF!,Planning[[#This Row],[Tipo de Tarea y especialidad]])</f>
        <v>#REF!</v>
      </c>
      <c r="O1317" s="19">
        <f t="shared" si="40"/>
        <v>10</v>
      </c>
      <c r="P1317" s="19">
        <f t="shared" si="41"/>
        <v>2024</v>
      </c>
      <c r="Q1317" s="19" t="e">
        <f>+SUMIFS(#REF!,#REF!,Planning[[#This Row],[Tarifa]],#REF!,Planning[[#This Row],[Proyectos]],#REF!,Planning[[#This Row],[Mes]],#REF!,Planning[[#This Row],[Año]])</f>
        <v>#REF!</v>
      </c>
      <c r="R1317" s="19" t="str">
        <f>TEXT(Planning[[#This Row],[Mes]]*29,"mmmm")</f>
        <v>October</v>
      </c>
      <c r="S13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17" s="228"/>
      <c r="U1317" s="43" t="e">
        <f>IF(Planning[[#This Row],[Horas Planificadas]]&lt;&gt;0,+K1317/Planning[[#This Row],[Horas Planificadas]],0)</f>
        <v>#REF!</v>
      </c>
      <c r="V1317" s="43" t="e">
        <f>IF(Planning[[#This Row],[Horas Planificadas]]&lt;&gt;0,Planning[[#This Row],[Horas utilizadas]]/Planning[[#This Row],[Horas Planificadas]],0)</f>
        <v>#REF!</v>
      </c>
      <c r="W1317" s="44">
        <f>Planning[[#This Row],[Horas Planificadas]]+Planning[[#This Row],[Horas ajustadas adicionales]]</f>
        <v>60</v>
      </c>
      <c r="X1317" s="142"/>
    </row>
    <row r="1318" spans="1:24" ht="12.75" customHeight="1" x14ac:dyDescent="0.2">
      <c r="A1318" s="7"/>
      <c r="B1318" s="7"/>
      <c r="C1318" s="3"/>
      <c r="D1318" s="3" t="s">
        <v>340</v>
      </c>
      <c r="E1318" s="33" t="s">
        <v>32</v>
      </c>
      <c r="F1318" s="33"/>
      <c r="G1318" s="7"/>
      <c r="H1318" s="7">
        <v>72</v>
      </c>
      <c r="I1318" s="12"/>
      <c r="J1318" s="5" t="e">
        <f>+SUMIFS(#REF!,#REF!,Planning[[#This Row],[Tarifa]],#REF!,Planning[[#This Row],[Proyectos]])</f>
        <v>#REF!</v>
      </c>
      <c r="K1318" s="5" t="e">
        <f>Planning[[#This Row],[Horas Planificadas]]+Planning[[#This Row],[Horas ajustadas adicionales]]-Planning[[#This Row],[Horas utilizadas]]</f>
        <v>#REF!</v>
      </c>
      <c r="L1318" s="7"/>
      <c r="M1318" s="19" t="e">
        <f>Planning[[#This Row],[Saldo]]-Planning[[#This Row],[Saldo estimado]]</f>
        <v>#REF!</v>
      </c>
      <c r="N1318" s="60" t="e">
        <f>+SUMIFS(#REF!,#REF!,Planning[[#This Row],[Proyectos]],#REF!,Planning[[#This Row],[Tipo de Tarea y especialidad]])</f>
        <v>#REF!</v>
      </c>
      <c r="O1318" s="19">
        <f t="shared" si="40"/>
        <v>10</v>
      </c>
      <c r="P1318" s="19">
        <f t="shared" si="41"/>
        <v>2024</v>
      </c>
      <c r="Q1318" s="19" t="e">
        <f>+SUMIFS(#REF!,#REF!,Planning[[#This Row],[Tarifa]],#REF!,Planning[[#This Row],[Proyectos]],#REF!,Planning[[#This Row],[Mes]],#REF!,Planning[[#This Row],[Año]])</f>
        <v>#REF!</v>
      </c>
      <c r="R1318" s="19" t="str">
        <f>TEXT(Planning[[#This Row],[Mes]]*29,"mmmm")</f>
        <v>October</v>
      </c>
      <c r="S13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18" s="228"/>
      <c r="U1318" s="43" t="e">
        <f>IF(Planning[[#This Row],[Horas Planificadas]]&lt;&gt;0,+K1318/Planning[[#This Row],[Horas Planificadas]],0)</f>
        <v>#REF!</v>
      </c>
      <c r="V1318" s="43" t="e">
        <f>IF(Planning[[#This Row],[Horas Planificadas]]&lt;&gt;0,Planning[[#This Row],[Horas utilizadas]]/Planning[[#This Row],[Horas Planificadas]],0)</f>
        <v>#REF!</v>
      </c>
      <c r="W1318" s="44">
        <f>Planning[[#This Row],[Horas Planificadas]]+Planning[[#This Row],[Horas ajustadas adicionales]]</f>
        <v>72</v>
      </c>
      <c r="X1318" s="142"/>
    </row>
    <row r="1319" spans="1:24" ht="12.75" customHeight="1" x14ac:dyDescent="0.2">
      <c r="A1319" s="7"/>
      <c r="B1319" s="7"/>
      <c r="C1319" s="3"/>
      <c r="D1319" s="3" t="s">
        <v>341</v>
      </c>
      <c r="E1319" s="33" t="s">
        <v>28</v>
      </c>
      <c r="F1319" s="33"/>
      <c r="G1319" s="7"/>
      <c r="H1319" s="7">
        <v>0</v>
      </c>
      <c r="I1319" s="12"/>
      <c r="J1319" s="5" t="e">
        <f>+SUMIFS(#REF!,#REF!,Planning[[#This Row],[Tarifa]],#REF!,Planning[[#This Row],[Proyectos]])</f>
        <v>#REF!</v>
      </c>
      <c r="K1319" s="5" t="e">
        <f>Planning[[#This Row],[Horas Planificadas]]+Planning[[#This Row],[Horas ajustadas adicionales]]-Planning[[#This Row],[Horas utilizadas]]</f>
        <v>#REF!</v>
      </c>
      <c r="L1319" s="7"/>
      <c r="M1319" s="19" t="e">
        <f>Planning[[#This Row],[Saldo]]-Planning[[#This Row],[Saldo estimado]]</f>
        <v>#REF!</v>
      </c>
      <c r="N1319" s="60" t="e">
        <f>+SUMIFS(#REF!,#REF!,Planning[[#This Row],[Proyectos]],#REF!,Planning[[#This Row],[Tipo de Tarea y especialidad]])</f>
        <v>#REF!</v>
      </c>
      <c r="O1319" s="19">
        <f t="shared" si="40"/>
        <v>10</v>
      </c>
      <c r="P1319" s="19">
        <f t="shared" si="41"/>
        <v>2024</v>
      </c>
      <c r="Q1319" s="19" t="e">
        <f>+SUMIFS(#REF!,#REF!,Planning[[#This Row],[Tarifa]],#REF!,Planning[[#This Row],[Proyectos]],#REF!,Planning[[#This Row],[Mes]],#REF!,Planning[[#This Row],[Año]])</f>
        <v>#REF!</v>
      </c>
      <c r="R1319" s="19" t="str">
        <f>TEXT(Planning[[#This Row],[Mes]]*29,"mmmm")</f>
        <v>October</v>
      </c>
      <c r="S13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19" s="228"/>
      <c r="U1319" s="43">
        <f>IF(Planning[[#This Row],[Horas Planificadas]]&lt;&gt;0,+K1319/Planning[[#This Row],[Horas Planificadas]],0)</f>
        <v>0</v>
      </c>
      <c r="V1319" s="43">
        <f>IF(Planning[[#This Row],[Horas Planificadas]]&lt;&gt;0,Planning[[#This Row],[Horas utilizadas]]/Planning[[#This Row],[Horas Planificadas]],0)</f>
        <v>0</v>
      </c>
      <c r="W1319" s="44">
        <f>Planning[[#This Row],[Horas Planificadas]]+Planning[[#This Row],[Horas ajustadas adicionales]]</f>
        <v>0</v>
      </c>
      <c r="X1319" s="142"/>
    </row>
    <row r="1320" spans="1:24" ht="12.75" customHeight="1" x14ac:dyDescent="0.2">
      <c r="A1320" s="7"/>
      <c r="B1320" s="7"/>
      <c r="C1320" s="3"/>
      <c r="D1320" s="3" t="s">
        <v>341</v>
      </c>
      <c r="E1320" s="33" t="s">
        <v>30</v>
      </c>
      <c r="F1320" s="33"/>
      <c r="G1320" s="7"/>
      <c r="H1320" s="7">
        <v>240</v>
      </c>
      <c r="I1320" s="12"/>
      <c r="J1320" s="5" t="e">
        <f>+SUMIFS(#REF!,#REF!,Planning[[#This Row],[Tarifa]],#REF!,Planning[[#This Row],[Proyectos]])</f>
        <v>#REF!</v>
      </c>
      <c r="K1320" s="5" t="e">
        <f>Planning[[#This Row],[Horas Planificadas]]+Planning[[#This Row],[Horas ajustadas adicionales]]-Planning[[#This Row],[Horas utilizadas]]</f>
        <v>#REF!</v>
      </c>
      <c r="L1320" s="7"/>
      <c r="M1320" s="19" t="e">
        <f>Planning[[#This Row],[Saldo]]-Planning[[#This Row],[Saldo estimado]]</f>
        <v>#REF!</v>
      </c>
      <c r="N1320" s="60" t="e">
        <f>+SUMIFS(#REF!,#REF!,Planning[[#This Row],[Proyectos]],#REF!,Planning[[#This Row],[Tipo de Tarea y especialidad]])</f>
        <v>#REF!</v>
      </c>
      <c r="O1320" s="19">
        <f t="shared" si="40"/>
        <v>10</v>
      </c>
      <c r="P1320" s="19">
        <f t="shared" si="41"/>
        <v>2024</v>
      </c>
      <c r="Q1320" s="19" t="e">
        <f>+SUMIFS(#REF!,#REF!,Planning[[#This Row],[Tarifa]],#REF!,Planning[[#This Row],[Proyectos]],#REF!,Planning[[#This Row],[Mes]],#REF!,Planning[[#This Row],[Año]])</f>
        <v>#REF!</v>
      </c>
      <c r="R1320" s="19" t="str">
        <f>TEXT(Planning[[#This Row],[Mes]]*29,"mmmm")</f>
        <v>October</v>
      </c>
      <c r="S13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20" s="228"/>
      <c r="U1320" s="43" t="e">
        <f>IF(Planning[[#This Row],[Horas Planificadas]]&lt;&gt;0,+K1320/Planning[[#This Row],[Horas Planificadas]],0)</f>
        <v>#REF!</v>
      </c>
      <c r="V1320" s="43" t="e">
        <f>IF(Planning[[#This Row],[Horas Planificadas]]&lt;&gt;0,Planning[[#This Row],[Horas utilizadas]]/Planning[[#This Row],[Horas Planificadas]],0)</f>
        <v>#REF!</v>
      </c>
      <c r="W1320" s="44">
        <f>Planning[[#This Row],[Horas Planificadas]]+Planning[[#This Row],[Horas ajustadas adicionales]]</f>
        <v>240</v>
      </c>
      <c r="X1320" s="142"/>
    </row>
    <row r="1321" spans="1:24" ht="12.75" customHeight="1" x14ac:dyDescent="0.2">
      <c r="A1321" s="7"/>
      <c r="B1321" s="7"/>
      <c r="C1321" s="3"/>
      <c r="D1321" s="3" t="s">
        <v>341</v>
      </c>
      <c r="E1321" s="33" t="s">
        <v>31</v>
      </c>
      <c r="F1321" s="33"/>
      <c r="G1321" s="7"/>
      <c r="H1321" s="7">
        <v>340</v>
      </c>
      <c r="I1321" s="12"/>
      <c r="J1321" s="5" t="e">
        <f>+SUMIFS(#REF!,#REF!,Planning[[#This Row],[Tarifa]],#REF!,Planning[[#This Row],[Proyectos]])</f>
        <v>#REF!</v>
      </c>
      <c r="K1321" s="5" t="e">
        <f>Planning[[#This Row],[Horas Planificadas]]+Planning[[#This Row],[Horas ajustadas adicionales]]-Planning[[#This Row],[Horas utilizadas]]</f>
        <v>#REF!</v>
      </c>
      <c r="L1321" s="7"/>
      <c r="M1321" s="19" t="e">
        <f>Planning[[#This Row],[Saldo]]-Planning[[#This Row],[Saldo estimado]]</f>
        <v>#REF!</v>
      </c>
      <c r="N1321" s="60" t="e">
        <f>+SUMIFS(#REF!,#REF!,Planning[[#This Row],[Proyectos]],#REF!,Planning[[#This Row],[Tipo de Tarea y especialidad]])</f>
        <v>#REF!</v>
      </c>
      <c r="O1321" s="19">
        <f t="shared" si="40"/>
        <v>10</v>
      </c>
      <c r="P1321" s="19">
        <f t="shared" si="41"/>
        <v>2024</v>
      </c>
      <c r="Q1321" s="19" t="e">
        <f>+SUMIFS(#REF!,#REF!,Planning[[#This Row],[Tarifa]],#REF!,Planning[[#This Row],[Proyectos]],#REF!,Planning[[#This Row],[Mes]],#REF!,Planning[[#This Row],[Año]])</f>
        <v>#REF!</v>
      </c>
      <c r="R1321" s="19" t="str">
        <f>TEXT(Planning[[#This Row],[Mes]]*29,"mmmm")</f>
        <v>October</v>
      </c>
      <c r="S13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21" s="228"/>
      <c r="U1321" s="43" t="e">
        <f>IF(Planning[[#This Row],[Horas Planificadas]]&lt;&gt;0,+K1321/Planning[[#This Row],[Horas Planificadas]],0)</f>
        <v>#REF!</v>
      </c>
      <c r="V1321" s="43" t="e">
        <f>IF(Planning[[#This Row],[Horas Planificadas]]&lt;&gt;0,Planning[[#This Row],[Horas utilizadas]]/Planning[[#This Row],[Horas Planificadas]],0)</f>
        <v>#REF!</v>
      </c>
      <c r="W1321" s="44">
        <f>Planning[[#This Row],[Horas Planificadas]]+Planning[[#This Row],[Horas ajustadas adicionales]]</f>
        <v>340</v>
      </c>
      <c r="X1321" s="142"/>
    </row>
    <row r="1322" spans="1:24" ht="12.75" customHeight="1" x14ac:dyDescent="0.2">
      <c r="A1322" s="7"/>
      <c r="B1322" s="7"/>
      <c r="C1322" s="3"/>
      <c r="D1322" s="3" t="s">
        <v>341</v>
      </c>
      <c r="E1322" s="33" t="s">
        <v>32</v>
      </c>
      <c r="F1322" s="33"/>
      <c r="G1322" s="7"/>
      <c r="H1322" s="7">
        <v>0</v>
      </c>
      <c r="I1322" s="12"/>
      <c r="J1322" s="5" t="e">
        <f>+SUMIFS(#REF!,#REF!,Planning[[#This Row],[Tarifa]],#REF!,Planning[[#This Row],[Proyectos]])</f>
        <v>#REF!</v>
      </c>
      <c r="K1322" s="5" t="e">
        <f>Planning[[#This Row],[Horas Planificadas]]+Planning[[#This Row],[Horas ajustadas adicionales]]-Planning[[#This Row],[Horas utilizadas]]</f>
        <v>#REF!</v>
      </c>
      <c r="L1322" s="7"/>
      <c r="M1322" s="19" t="e">
        <f>Planning[[#This Row],[Saldo]]-Planning[[#This Row],[Saldo estimado]]</f>
        <v>#REF!</v>
      </c>
      <c r="N1322" s="60" t="e">
        <f>+SUMIFS(#REF!,#REF!,Planning[[#This Row],[Proyectos]],#REF!,Planning[[#This Row],[Tipo de Tarea y especialidad]])</f>
        <v>#REF!</v>
      </c>
      <c r="O1322" s="19">
        <f t="shared" si="40"/>
        <v>10</v>
      </c>
      <c r="P1322" s="19">
        <f t="shared" si="41"/>
        <v>2024</v>
      </c>
      <c r="Q1322" s="19" t="e">
        <f>+SUMIFS(#REF!,#REF!,Planning[[#This Row],[Tarifa]],#REF!,Planning[[#This Row],[Proyectos]],#REF!,Planning[[#This Row],[Mes]],#REF!,Planning[[#This Row],[Año]])</f>
        <v>#REF!</v>
      </c>
      <c r="R1322" s="19" t="str">
        <f>TEXT(Planning[[#This Row],[Mes]]*29,"mmmm")</f>
        <v>October</v>
      </c>
      <c r="S13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22" s="228"/>
      <c r="U1322" s="43">
        <f>IF(Planning[[#This Row],[Horas Planificadas]]&lt;&gt;0,+K1322/Planning[[#This Row],[Horas Planificadas]],0)</f>
        <v>0</v>
      </c>
      <c r="V1322" s="43">
        <f>IF(Planning[[#This Row],[Horas Planificadas]]&lt;&gt;0,Planning[[#This Row],[Horas utilizadas]]/Planning[[#This Row],[Horas Planificadas]],0)</f>
        <v>0</v>
      </c>
      <c r="W1322" s="44">
        <f>Planning[[#This Row],[Horas Planificadas]]+Planning[[#This Row],[Horas ajustadas adicionales]]</f>
        <v>0</v>
      </c>
      <c r="X1322" s="142"/>
    </row>
    <row r="1323" spans="1:24" ht="12.75" customHeight="1" x14ac:dyDescent="0.2">
      <c r="A1323" s="7"/>
      <c r="B1323" s="7"/>
      <c r="C1323" s="3"/>
      <c r="D1323" s="3" t="s">
        <v>342</v>
      </c>
      <c r="E1323" s="4" t="s">
        <v>28</v>
      </c>
      <c r="F1323" s="3"/>
      <c r="G1323" s="9"/>
      <c r="H1323" s="12">
        <v>838</v>
      </c>
      <c r="I1323" s="12"/>
      <c r="J1323" s="5" t="e">
        <f>+SUMIFS(#REF!,#REF!,Planning[[#This Row],[Tarifa]],#REF!,Planning[[#This Row],[Proyectos]])</f>
        <v>#REF!</v>
      </c>
      <c r="K1323" s="27" t="e">
        <f>Planning[[#This Row],[Horas Planificadas]]+Planning[[#This Row],[Horas ajustadas adicionales]]-Planning[[#This Row],[Horas utilizadas]]</f>
        <v>#REF!</v>
      </c>
      <c r="L1323" s="7"/>
      <c r="M1323" s="34" t="e">
        <f>Planning[[#This Row],[Saldo]]-Planning[[#This Row],[Saldo estimado]]</f>
        <v>#REF!</v>
      </c>
      <c r="N1323" s="62" t="e">
        <f>+SUMIFS(#REF!,#REF!,Planning[[#This Row],[Proyectos]],#REF!,Planning[[#This Row],[Tipo de Tarea y especialidad]])</f>
        <v>#REF!</v>
      </c>
      <c r="O1323" s="34">
        <f t="shared" si="40"/>
        <v>10</v>
      </c>
      <c r="P1323" s="34">
        <f t="shared" si="41"/>
        <v>2024</v>
      </c>
      <c r="Q1323" s="34" t="e">
        <f>+SUMIFS(#REF!,#REF!,Planning[[#This Row],[Tarifa]],#REF!,Planning[[#This Row],[Proyectos]],#REF!,Planning[[#This Row],[Mes]],#REF!,Planning[[#This Row],[Año]])</f>
        <v>#REF!</v>
      </c>
      <c r="R1323" s="34" t="str">
        <f>TEXT(Planning[[#This Row],[Mes]]*29,"mmmm")</f>
        <v>October</v>
      </c>
      <c r="S132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23" s="228"/>
      <c r="U1323" s="43" t="e">
        <f>IF(Planning[[#This Row],[Horas Planificadas]]&lt;&gt;0,+K1323/Planning[[#This Row],[Horas Planificadas]],0)</f>
        <v>#REF!</v>
      </c>
      <c r="V1323" s="43" t="e">
        <f>IF(Planning[[#This Row],[Horas Planificadas]]&lt;&gt;0,Planning[[#This Row],[Horas utilizadas]]/Planning[[#This Row],[Horas Planificadas]],0)</f>
        <v>#REF!</v>
      </c>
      <c r="W1323" s="44">
        <f>Planning[[#This Row],[Horas Planificadas]]+Planning[[#This Row],[Horas ajustadas adicionales]]</f>
        <v>838</v>
      </c>
      <c r="X1323" s="142"/>
    </row>
    <row r="1324" spans="1:24" ht="12.75" customHeight="1" x14ac:dyDescent="0.2">
      <c r="A1324" s="7"/>
      <c r="B1324" s="7"/>
      <c r="C1324" s="3"/>
      <c r="D1324" s="3" t="s">
        <v>342</v>
      </c>
      <c r="E1324" s="4" t="s">
        <v>30</v>
      </c>
      <c r="F1324" s="3"/>
      <c r="G1324" s="9"/>
      <c r="H1324" s="9">
        <v>593</v>
      </c>
      <c r="I1324" s="12"/>
      <c r="J1324" s="5" t="e">
        <f>+SUMIFS(#REF!,#REF!,Planning[[#This Row],[Tarifa]],#REF!,Planning[[#This Row],[Proyectos]])</f>
        <v>#REF!</v>
      </c>
      <c r="K1324" s="5" t="e">
        <f>Planning[[#This Row],[Horas Planificadas]]+Planning[[#This Row],[Horas ajustadas adicionales]]-Planning[[#This Row],[Horas utilizadas]]</f>
        <v>#REF!</v>
      </c>
      <c r="L1324" s="7"/>
      <c r="M1324" s="19" t="e">
        <f>Planning[[#This Row],[Saldo]]-Planning[[#This Row],[Saldo estimado]]</f>
        <v>#REF!</v>
      </c>
      <c r="N1324" s="60" t="e">
        <f>+SUMIFS(#REF!,#REF!,Planning[[#This Row],[Proyectos]],#REF!,Planning[[#This Row],[Tipo de Tarea y especialidad]])</f>
        <v>#REF!</v>
      </c>
      <c r="O1324" s="19">
        <f t="shared" si="40"/>
        <v>10</v>
      </c>
      <c r="P1324" s="19">
        <f t="shared" si="41"/>
        <v>2024</v>
      </c>
      <c r="Q1324" s="19" t="e">
        <f>+SUMIFS(#REF!,#REF!,Planning[[#This Row],[Tarifa]],#REF!,Planning[[#This Row],[Proyectos]],#REF!,Planning[[#This Row],[Mes]],#REF!,Planning[[#This Row],[Año]])</f>
        <v>#REF!</v>
      </c>
      <c r="R1324" s="19" t="str">
        <f>TEXT(Planning[[#This Row],[Mes]]*29,"mmmm")</f>
        <v>October</v>
      </c>
      <c r="S13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24" s="228"/>
      <c r="U1324" s="43" t="e">
        <f>IF(Planning[[#This Row],[Horas Planificadas]]&lt;&gt;0,+K1324/Planning[[#This Row],[Horas Planificadas]],0)</f>
        <v>#REF!</v>
      </c>
      <c r="V1324" s="43" t="e">
        <f>IF(Planning[[#This Row],[Horas Planificadas]]&lt;&gt;0,Planning[[#This Row],[Horas utilizadas]]/Planning[[#This Row],[Horas Planificadas]],0)</f>
        <v>#REF!</v>
      </c>
      <c r="W1324" s="44">
        <f>Planning[[#This Row],[Horas Planificadas]]+Planning[[#This Row],[Horas ajustadas adicionales]]</f>
        <v>593</v>
      </c>
      <c r="X1324" s="142"/>
    </row>
    <row r="1325" spans="1:24" ht="12.75" customHeight="1" x14ac:dyDescent="0.2">
      <c r="A1325" s="7"/>
      <c r="B1325" s="7"/>
      <c r="C1325" s="3"/>
      <c r="D1325" s="3" t="s">
        <v>342</v>
      </c>
      <c r="E1325" s="4" t="s">
        <v>31</v>
      </c>
      <c r="F1325" s="3"/>
      <c r="G1325" s="9"/>
      <c r="H1325" s="9">
        <v>152</v>
      </c>
      <c r="I1325" s="12"/>
      <c r="J1325" s="5" t="e">
        <f>+SUMIFS(#REF!,#REF!,Planning[[#This Row],[Tarifa]],#REF!,Planning[[#This Row],[Proyectos]])</f>
        <v>#REF!</v>
      </c>
      <c r="K1325" s="5" t="e">
        <f>Planning[[#This Row],[Horas Planificadas]]+Planning[[#This Row],[Horas ajustadas adicionales]]-Planning[[#This Row],[Horas utilizadas]]</f>
        <v>#REF!</v>
      </c>
      <c r="L1325" s="7"/>
      <c r="M1325" s="19" t="e">
        <f>Planning[[#This Row],[Saldo]]-Planning[[#This Row],[Saldo estimado]]</f>
        <v>#REF!</v>
      </c>
      <c r="N1325" s="60" t="e">
        <f>+SUMIFS(#REF!,#REF!,Planning[[#This Row],[Proyectos]],#REF!,Planning[[#This Row],[Tipo de Tarea y especialidad]])</f>
        <v>#REF!</v>
      </c>
      <c r="O1325" s="19">
        <f t="shared" si="40"/>
        <v>10</v>
      </c>
      <c r="P1325" s="19">
        <f t="shared" si="41"/>
        <v>2024</v>
      </c>
      <c r="Q1325" s="19" t="e">
        <f>+SUMIFS(#REF!,#REF!,Planning[[#This Row],[Tarifa]],#REF!,Planning[[#This Row],[Proyectos]],#REF!,Planning[[#This Row],[Mes]],#REF!,Planning[[#This Row],[Año]])</f>
        <v>#REF!</v>
      </c>
      <c r="R1325" s="19" t="str">
        <f>TEXT(Planning[[#This Row],[Mes]]*29,"mmmm")</f>
        <v>October</v>
      </c>
      <c r="S13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25" s="228"/>
      <c r="U1325" s="43" t="e">
        <f>IF(Planning[[#This Row],[Horas Planificadas]]&lt;&gt;0,+K1325/Planning[[#This Row],[Horas Planificadas]],0)</f>
        <v>#REF!</v>
      </c>
      <c r="V1325" s="43" t="e">
        <f>IF(Planning[[#This Row],[Horas Planificadas]]&lt;&gt;0,Planning[[#This Row],[Horas utilizadas]]/Planning[[#This Row],[Horas Planificadas]],0)</f>
        <v>#REF!</v>
      </c>
      <c r="W1325" s="44">
        <f>Planning[[#This Row],[Horas Planificadas]]+Planning[[#This Row],[Horas ajustadas adicionales]]</f>
        <v>152</v>
      </c>
      <c r="X1325" s="142"/>
    </row>
    <row r="1326" spans="1:24" ht="12.75" customHeight="1" x14ac:dyDescent="0.2">
      <c r="A1326" s="7"/>
      <c r="B1326" s="7"/>
      <c r="C1326" s="3"/>
      <c r="D1326" s="3" t="s">
        <v>342</v>
      </c>
      <c r="E1326" s="4" t="s">
        <v>32</v>
      </c>
      <c r="F1326" s="3"/>
      <c r="G1326" s="9"/>
      <c r="H1326" s="12">
        <v>273</v>
      </c>
      <c r="I1326" s="12"/>
      <c r="J1326" s="5" t="e">
        <f>+SUMIFS(#REF!,#REF!,Planning[[#This Row],[Tarifa]],#REF!,Planning[[#This Row],[Proyectos]])</f>
        <v>#REF!</v>
      </c>
      <c r="K1326" s="27" t="e">
        <f>Planning[[#This Row],[Horas Planificadas]]+Planning[[#This Row],[Horas ajustadas adicionales]]-Planning[[#This Row],[Horas utilizadas]]</f>
        <v>#REF!</v>
      </c>
      <c r="L1326" s="7"/>
      <c r="M1326" s="19" t="e">
        <f>Planning[[#This Row],[Saldo]]-Planning[[#This Row],[Saldo estimado]]</f>
        <v>#REF!</v>
      </c>
      <c r="N1326" s="60" t="e">
        <f>+SUMIFS(#REF!,#REF!,Planning[[#This Row],[Proyectos]],#REF!,Planning[[#This Row],[Tipo de Tarea y especialidad]])</f>
        <v>#REF!</v>
      </c>
      <c r="O1326" s="19">
        <f t="shared" si="40"/>
        <v>10</v>
      </c>
      <c r="P1326" s="19">
        <f t="shared" si="41"/>
        <v>2024</v>
      </c>
      <c r="Q1326" s="19" t="e">
        <f>+SUMIFS(#REF!,#REF!,Planning[[#This Row],[Tarifa]],#REF!,Planning[[#This Row],[Proyectos]],#REF!,Planning[[#This Row],[Mes]],#REF!,Planning[[#This Row],[Año]])</f>
        <v>#REF!</v>
      </c>
      <c r="R1326" s="19" t="str">
        <f>TEXT(Planning[[#This Row],[Mes]]*29,"mmmm")</f>
        <v>October</v>
      </c>
      <c r="S13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26" s="228"/>
      <c r="U1326" s="43" t="e">
        <f>IF(Planning[[#This Row],[Horas Planificadas]]&lt;&gt;0,+K1326/Planning[[#This Row],[Horas Planificadas]],0)</f>
        <v>#REF!</v>
      </c>
      <c r="V1326" s="43" t="e">
        <f>IF(Planning[[#This Row],[Horas Planificadas]]&lt;&gt;0,Planning[[#This Row],[Horas utilizadas]]/Planning[[#This Row],[Horas Planificadas]],0)</f>
        <v>#REF!</v>
      </c>
      <c r="W1326" s="44">
        <f>Planning[[#This Row],[Horas Planificadas]]+Planning[[#This Row],[Horas ajustadas adicionales]]</f>
        <v>273</v>
      </c>
      <c r="X1326" s="142"/>
    </row>
    <row r="1327" spans="1:24" ht="12.75" customHeight="1" x14ac:dyDescent="0.2">
      <c r="A1327" s="7"/>
      <c r="B1327" s="7"/>
      <c r="C1327" s="3"/>
      <c r="D1327" s="3" t="s">
        <v>343</v>
      </c>
      <c r="E1327" s="4" t="s">
        <v>28</v>
      </c>
      <c r="F1327" s="3"/>
      <c r="G1327" s="9"/>
      <c r="H1327" s="9">
        <v>861</v>
      </c>
      <c r="I1327" s="12"/>
      <c r="J1327" s="5" t="e">
        <f>+SUMIFS(#REF!,#REF!,Planning[[#This Row],[Tarifa]],#REF!,Planning[[#This Row],[Proyectos]])</f>
        <v>#REF!</v>
      </c>
      <c r="K1327" s="5" t="e">
        <f>Planning[[#This Row],[Horas Planificadas]]+Planning[[#This Row],[Horas ajustadas adicionales]]-Planning[[#This Row],[Horas utilizadas]]</f>
        <v>#REF!</v>
      </c>
      <c r="L1327" s="7"/>
      <c r="M1327" s="19" t="e">
        <f>Planning[[#This Row],[Saldo]]-Planning[[#This Row],[Saldo estimado]]</f>
        <v>#REF!</v>
      </c>
      <c r="N1327" s="60" t="e">
        <f>+SUMIFS(#REF!,#REF!,Planning[[#This Row],[Proyectos]],#REF!,Planning[[#This Row],[Tipo de Tarea y especialidad]])</f>
        <v>#REF!</v>
      </c>
      <c r="O1327" s="19">
        <f t="shared" si="40"/>
        <v>10</v>
      </c>
      <c r="P1327" s="19">
        <f t="shared" si="41"/>
        <v>2024</v>
      </c>
      <c r="Q1327" s="19" t="e">
        <f>+SUMIFS(#REF!,#REF!,Planning[[#This Row],[Tarifa]],#REF!,Planning[[#This Row],[Proyectos]],#REF!,Planning[[#This Row],[Mes]],#REF!,Planning[[#This Row],[Año]])</f>
        <v>#REF!</v>
      </c>
      <c r="R1327" s="19" t="str">
        <f>TEXT(Planning[[#This Row],[Mes]]*29,"mmmm")</f>
        <v>October</v>
      </c>
      <c r="S13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27" s="228"/>
      <c r="U1327" s="43" t="e">
        <f>IF(Planning[[#This Row],[Horas Planificadas]]&lt;&gt;0,+K1327/Planning[[#This Row],[Horas Planificadas]],0)</f>
        <v>#REF!</v>
      </c>
      <c r="V1327" s="43" t="e">
        <f>IF(Planning[[#This Row],[Horas Planificadas]]&lt;&gt;0,Planning[[#This Row],[Horas utilizadas]]/Planning[[#This Row],[Horas Planificadas]],0)</f>
        <v>#REF!</v>
      </c>
      <c r="W1327" s="44">
        <f>Planning[[#This Row],[Horas Planificadas]]+Planning[[#This Row],[Horas ajustadas adicionales]]</f>
        <v>861</v>
      </c>
      <c r="X1327" s="142"/>
    </row>
    <row r="1328" spans="1:24" ht="12.75" customHeight="1" x14ac:dyDescent="0.2">
      <c r="A1328" s="7"/>
      <c r="B1328" s="7"/>
      <c r="C1328" s="3"/>
      <c r="D1328" s="3" t="s">
        <v>343</v>
      </c>
      <c r="E1328" s="4" t="s">
        <v>30</v>
      </c>
      <c r="F1328" s="3"/>
      <c r="G1328" s="9"/>
      <c r="H1328" s="9">
        <v>509</v>
      </c>
      <c r="I1328" s="12"/>
      <c r="J1328" s="5" t="e">
        <f>+SUMIFS(#REF!,#REF!,Planning[[#This Row],[Tarifa]],#REF!,Planning[[#This Row],[Proyectos]])</f>
        <v>#REF!</v>
      </c>
      <c r="K1328" s="5" t="e">
        <f>Planning[[#This Row],[Horas Planificadas]]+Planning[[#This Row],[Horas ajustadas adicionales]]-Planning[[#This Row],[Horas utilizadas]]</f>
        <v>#REF!</v>
      </c>
      <c r="L1328" s="7"/>
      <c r="M1328" s="19" t="e">
        <f>Planning[[#This Row],[Saldo]]-Planning[[#This Row],[Saldo estimado]]</f>
        <v>#REF!</v>
      </c>
      <c r="N1328" s="60" t="e">
        <f>+SUMIFS(#REF!,#REF!,Planning[[#This Row],[Proyectos]],#REF!,Planning[[#This Row],[Tipo de Tarea y especialidad]])</f>
        <v>#REF!</v>
      </c>
      <c r="O1328" s="19">
        <f t="shared" si="40"/>
        <v>10</v>
      </c>
      <c r="P1328" s="19">
        <f t="shared" si="41"/>
        <v>2024</v>
      </c>
      <c r="Q1328" s="19" t="e">
        <f>+SUMIFS(#REF!,#REF!,Planning[[#This Row],[Tarifa]],#REF!,Planning[[#This Row],[Proyectos]],#REF!,Planning[[#This Row],[Mes]],#REF!,Planning[[#This Row],[Año]])</f>
        <v>#REF!</v>
      </c>
      <c r="R1328" s="19" t="str">
        <f>TEXT(Planning[[#This Row],[Mes]]*29,"mmmm")</f>
        <v>October</v>
      </c>
      <c r="S13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28" s="228"/>
      <c r="U1328" s="43" t="e">
        <f>IF(Planning[[#This Row],[Horas Planificadas]]&lt;&gt;0,+K1328/Planning[[#This Row],[Horas Planificadas]],0)</f>
        <v>#REF!</v>
      </c>
      <c r="V1328" s="43" t="e">
        <f>IF(Planning[[#This Row],[Horas Planificadas]]&lt;&gt;0,Planning[[#This Row],[Horas utilizadas]]/Planning[[#This Row],[Horas Planificadas]],0)</f>
        <v>#REF!</v>
      </c>
      <c r="W1328" s="44">
        <f>Planning[[#This Row],[Horas Planificadas]]+Planning[[#This Row],[Horas ajustadas adicionales]]</f>
        <v>509</v>
      </c>
      <c r="X1328" s="142"/>
    </row>
    <row r="1329" spans="1:24" ht="12.75" customHeight="1" x14ac:dyDescent="0.2">
      <c r="A1329" s="7"/>
      <c r="B1329" s="7"/>
      <c r="C1329" s="3"/>
      <c r="D1329" s="3" t="s">
        <v>343</v>
      </c>
      <c r="E1329" s="4" t="s">
        <v>31</v>
      </c>
      <c r="F1329" s="3"/>
      <c r="G1329" s="9"/>
      <c r="H1329" s="9">
        <v>140</v>
      </c>
      <c r="I1329" s="12"/>
      <c r="J1329" s="5" t="e">
        <f>+SUMIFS(#REF!,#REF!,Planning[[#This Row],[Tarifa]],#REF!,Planning[[#This Row],[Proyectos]])</f>
        <v>#REF!</v>
      </c>
      <c r="K1329" s="5" t="e">
        <f>Planning[[#This Row],[Horas Planificadas]]+Planning[[#This Row],[Horas ajustadas adicionales]]-Planning[[#This Row],[Horas utilizadas]]</f>
        <v>#REF!</v>
      </c>
      <c r="L1329" s="7"/>
      <c r="M1329" s="19" t="e">
        <f>Planning[[#This Row],[Saldo]]-Planning[[#This Row],[Saldo estimado]]</f>
        <v>#REF!</v>
      </c>
      <c r="N1329" s="60" t="e">
        <f>+SUMIFS(#REF!,#REF!,Planning[[#This Row],[Proyectos]],#REF!,Planning[[#This Row],[Tipo de Tarea y especialidad]])</f>
        <v>#REF!</v>
      </c>
      <c r="O1329" s="19">
        <f t="shared" si="40"/>
        <v>10</v>
      </c>
      <c r="P1329" s="19">
        <f t="shared" si="41"/>
        <v>2024</v>
      </c>
      <c r="Q1329" s="19" t="e">
        <f>+SUMIFS(#REF!,#REF!,Planning[[#This Row],[Tarifa]],#REF!,Planning[[#This Row],[Proyectos]],#REF!,Planning[[#This Row],[Mes]],#REF!,Planning[[#This Row],[Año]])</f>
        <v>#REF!</v>
      </c>
      <c r="R1329" s="19" t="str">
        <f>TEXT(Planning[[#This Row],[Mes]]*29,"mmmm")</f>
        <v>October</v>
      </c>
      <c r="S13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29" s="228"/>
      <c r="U1329" s="43" t="e">
        <f>IF(Planning[[#This Row],[Horas Planificadas]]&lt;&gt;0,+K1329/Planning[[#This Row],[Horas Planificadas]],0)</f>
        <v>#REF!</v>
      </c>
      <c r="V1329" s="43" t="e">
        <f>IF(Planning[[#This Row],[Horas Planificadas]]&lt;&gt;0,Planning[[#This Row],[Horas utilizadas]]/Planning[[#This Row],[Horas Planificadas]],0)</f>
        <v>#REF!</v>
      </c>
      <c r="W1329" s="44">
        <f>Planning[[#This Row],[Horas Planificadas]]+Planning[[#This Row],[Horas ajustadas adicionales]]</f>
        <v>140</v>
      </c>
      <c r="X1329" s="142"/>
    </row>
    <row r="1330" spans="1:24" ht="12.75" customHeight="1" x14ac:dyDescent="0.2">
      <c r="A1330" s="7"/>
      <c r="B1330" s="7"/>
      <c r="C1330" s="3"/>
      <c r="D1330" s="3" t="s">
        <v>343</v>
      </c>
      <c r="E1330" s="4" t="s">
        <v>32</v>
      </c>
      <c r="F1330" s="3"/>
      <c r="G1330" s="9"/>
      <c r="H1330" s="9">
        <v>271</v>
      </c>
      <c r="I1330" s="12"/>
      <c r="J1330" s="5" t="e">
        <f>+SUMIFS(#REF!,#REF!,Planning[[#This Row],[Tarifa]],#REF!,Planning[[#This Row],[Proyectos]])</f>
        <v>#REF!</v>
      </c>
      <c r="K1330" s="5" t="e">
        <f>Planning[[#This Row],[Horas Planificadas]]+Planning[[#This Row],[Horas ajustadas adicionales]]-Planning[[#This Row],[Horas utilizadas]]</f>
        <v>#REF!</v>
      </c>
      <c r="L1330" s="7"/>
      <c r="M1330" s="19" t="e">
        <f>Planning[[#This Row],[Saldo]]-Planning[[#This Row],[Saldo estimado]]</f>
        <v>#REF!</v>
      </c>
      <c r="N1330" s="60" t="e">
        <f>+SUMIFS(#REF!,#REF!,Planning[[#This Row],[Proyectos]],#REF!,Planning[[#This Row],[Tipo de Tarea y especialidad]])</f>
        <v>#REF!</v>
      </c>
      <c r="O1330" s="19">
        <f t="shared" si="40"/>
        <v>10</v>
      </c>
      <c r="P1330" s="19">
        <f t="shared" si="41"/>
        <v>2024</v>
      </c>
      <c r="Q1330" s="19" t="e">
        <f>+SUMIFS(#REF!,#REF!,Planning[[#This Row],[Tarifa]],#REF!,Planning[[#This Row],[Proyectos]],#REF!,Planning[[#This Row],[Mes]],#REF!,Planning[[#This Row],[Año]])</f>
        <v>#REF!</v>
      </c>
      <c r="R1330" s="19" t="str">
        <f>TEXT(Planning[[#This Row],[Mes]]*29,"mmmm")</f>
        <v>October</v>
      </c>
      <c r="S13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30" s="228"/>
      <c r="U1330" s="43" t="e">
        <f>IF(Planning[[#This Row],[Horas Planificadas]]&lt;&gt;0,+K1330/Planning[[#This Row],[Horas Planificadas]],0)</f>
        <v>#REF!</v>
      </c>
      <c r="V1330" s="43" t="e">
        <f>IF(Planning[[#This Row],[Horas Planificadas]]&lt;&gt;0,Planning[[#This Row],[Horas utilizadas]]/Planning[[#This Row],[Horas Planificadas]],0)</f>
        <v>#REF!</v>
      </c>
      <c r="W1330" s="44">
        <f>Planning[[#This Row],[Horas Planificadas]]+Planning[[#This Row],[Horas ajustadas adicionales]]</f>
        <v>271</v>
      </c>
      <c r="X1330" s="142"/>
    </row>
    <row r="1331" spans="1:24" ht="12.75" customHeight="1" x14ac:dyDescent="0.2">
      <c r="A1331" s="7"/>
      <c r="B1331" s="7"/>
      <c r="C1331" s="3"/>
      <c r="D1331" s="3" t="s">
        <v>344</v>
      </c>
      <c r="E1331" s="4" t="s">
        <v>28</v>
      </c>
      <c r="F1331" s="3"/>
      <c r="G1331" s="9"/>
      <c r="H1331" s="9">
        <v>732</v>
      </c>
      <c r="I1331" s="12"/>
      <c r="J1331" s="5" t="e">
        <f>+SUMIFS(#REF!,#REF!,Planning[[#This Row],[Tarifa]],#REF!,Planning[[#This Row],[Proyectos]])</f>
        <v>#REF!</v>
      </c>
      <c r="K1331" s="5" t="e">
        <f>Planning[[#This Row],[Horas Planificadas]]+Planning[[#This Row],[Horas ajustadas adicionales]]-Planning[[#This Row],[Horas utilizadas]]</f>
        <v>#REF!</v>
      </c>
      <c r="L1331" s="7"/>
      <c r="M1331" s="19" t="e">
        <f>Planning[[#This Row],[Saldo]]-Planning[[#This Row],[Saldo estimado]]</f>
        <v>#REF!</v>
      </c>
      <c r="N1331" s="60" t="e">
        <f>+SUMIFS(#REF!,#REF!,Planning[[#This Row],[Proyectos]],#REF!,Planning[[#This Row],[Tipo de Tarea y especialidad]])</f>
        <v>#REF!</v>
      </c>
      <c r="O1331" s="19">
        <f t="shared" si="40"/>
        <v>10</v>
      </c>
      <c r="P1331" s="19">
        <f t="shared" si="41"/>
        <v>2024</v>
      </c>
      <c r="Q1331" s="19" t="e">
        <f>+SUMIFS(#REF!,#REF!,Planning[[#This Row],[Tarifa]],#REF!,Planning[[#This Row],[Proyectos]],#REF!,Planning[[#This Row],[Mes]],#REF!,Planning[[#This Row],[Año]])</f>
        <v>#REF!</v>
      </c>
      <c r="R1331" s="19" t="str">
        <f>TEXT(Planning[[#This Row],[Mes]]*29,"mmmm")</f>
        <v>October</v>
      </c>
      <c r="S13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31" s="228"/>
      <c r="U1331" s="43" t="e">
        <f>IF(Planning[[#This Row],[Horas Planificadas]]&lt;&gt;0,+K1331/Planning[[#This Row],[Horas Planificadas]],0)</f>
        <v>#REF!</v>
      </c>
      <c r="V1331" s="43" t="e">
        <f>IF(Planning[[#This Row],[Horas Planificadas]]&lt;&gt;0,Planning[[#This Row],[Horas utilizadas]]/Planning[[#This Row],[Horas Planificadas]],0)</f>
        <v>#REF!</v>
      </c>
      <c r="W1331" s="44">
        <f>Planning[[#This Row],[Horas Planificadas]]+Planning[[#This Row],[Horas ajustadas adicionales]]</f>
        <v>732</v>
      </c>
      <c r="X1331" s="142"/>
    </row>
    <row r="1332" spans="1:24" ht="12.75" customHeight="1" x14ac:dyDescent="0.2">
      <c r="A1332" s="7"/>
      <c r="B1332" s="7"/>
      <c r="C1332" s="3"/>
      <c r="D1332" s="3" t="s">
        <v>344</v>
      </c>
      <c r="E1332" s="4" t="s">
        <v>30</v>
      </c>
      <c r="F1332" s="3"/>
      <c r="G1332" s="9"/>
      <c r="H1332" s="9">
        <v>676</v>
      </c>
      <c r="I1332" s="12"/>
      <c r="J1332" s="5" t="e">
        <f>+SUMIFS(#REF!,#REF!,Planning[[#This Row],[Tarifa]],#REF!,Planning[[#This Row],[Proyectos]])</f>
        <v>#REF!</v>
      </c>
      <c r="K1332" s="5" t="e">
        <f>Planning[[#This Row],[Horas Planificadas]]+Planning[[#This Row],[Horas ajustadas adicionales]]-Planning[[#This Row],[Horas utilizadas]]</f>
        <v>#REF!</v>
      </c>
      <c r="L1332" s="7"/>
      <c r="M1332" s="19" t="e">
        <f>Planning[[#This Row],[Saldo]]-Planning[[#This Row],[Saldo estimado]]</f>
        <v>#REF!</v>
      </c>
      <c r="N1332" s="60" t="e">
        <f>+SUMIFS(#REF!,#REF!,Planning[[#This Row],[Proyectos]],#REF!,Planning[[#This Row],[Tipo de Tarea y especialidad]])</f>
        <v>#REF!</v>
      </c>
      <c r="O1332" s="19">
        <f t="shared" si="40"/>
        <v>10</v>
      </c>
      <c r="P1332" s="19">
        <f t="shared" si="41"/>
        <v>2024</v>
      </c>
      <c r="Q1332" s="19" t="e">
        <f>+SUMIFS(#REF!,#REF!,Planning[[#This Row],[Tarifa]],#REF!,Planning[[#This Row],[Proyectos]],#REF!,Planning[[#This Row],[Mes]],#REF!,Planning[[#This Row],[Año]])</f>
        <v>#REF!</v>
      </c>
      <c r="R1332" s="19" t="str">
        <f>TEXT(Planning[[#This Row],[Mes]]*29,"mmmm")</f>
        <v>October</v>
      </c>
      <c r="S13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32" s="228"/>
      <c r="U1332" s="43" t="e">
        <f>IF(Planning[[#This Row],[Horas Planificadas]]&lt;&gt;0,+K1332/Planning[[#This Row],[Horas Planificadas]],0)</f>
        <v>#REF!</v>
      </c>
      <c r="V1332" s="43" t="e">
        <f>IF(Planning[[#This Row],[Horas Planificadas]]&lt;&gt;0,Planning[[#This Row],[Horas utilizadas]]/Planning[[#This Row],[Horas Planificadas]],0)</f>
        <v>#REF!</v>
      </c>
      <c r="W1332" s="44">
        <f>Planning[[#This Row],[Horas Planificadas]]+Planning[[#This Row],[Horas ajustadas adicionales]]</f>
        <v>676</v>
      </c>
      <c r="X1332" s="142"/>
    </row>
    <row r="1333" spans="1:24" ht="12.75" customHeight="1" x14ac:dyDescent="0.2">
      <c r="A1333" s="7"/>
      <c r="B1333" s="7"/>
      <c r="C1333" s="3"/>
      <c r="D1333" s="3" t="s">
        <v>344</v>
      </c>
      <c r="E1333" s="4" t="s">
        <v>31</v>
      </c>
      <c r="F1333" s="3"/>
      <c r="G1333" s="9"/>
      <c r="H1333" s="9">
        <v>149</v>
      </c>
      <c r="I1333" s="12"/>
      <c r="J1333" s="5" t="e">
        <f>+SUMIFS(#REF!,#REF!,Planning[[#This Row],[Tarifa]],#REF!,Planning[[#This Row],[Proyectos]])</f>
        <v>#REF!</v>
      </c>
      <c r="K1333" s="5" t="e">
        <f>Planning[[#This Row],[Horas Planificadas]]+Planning[[#This Row],[Horas ajustadas adicionales]]-Planning[[#This Row],[Horas utilizadas]]</f>
        <v>#REF!</v>
      </c>
      <c r="L1333" s="7"/>
      <c r="M1333" s="19" t="e">
        <f>Planning[[#This Row],[Saldo]]-Planning[[#This Row],[Saldo estimado]]</f>
        <v>#REF!</v>
      </c>
      <c r="N1333" s="60" t="e">
        <f>+SUMIFS(#REF!,#REF!,Planning[[#This Row],[Proyectos]],#REF!,Planning[[#This Row],[Tipo de Tarea y especialidad]])</f>
        <v>#REF!</v>
      </c>
      <c r="O1333" s="19">
        <f t="shared" si="40"/>
        <v>10</v>
      </c>
      <c r="P1333" s="19">
        <f t="shared" si="41"/>
        <v>2024</v>
      </c>
      <c r="Q1333" s="19" t="e">
        <f>+SUMIFS(#REF!,#REF!,Planning[[#This Row],[Tarifa]],#REF!,Planning[[#This Row],[Proyectos]],#REF!,Planning[[#This Row],[Mes]],#REF!,Planning[[#This Row],[Año]])</f>
        <v>#REF!</v>
      </c>
      <c r="R1333" s="19" t="str">
        <f>TEXT(Planning[[#This Row],[Mes]]*29,"mmmm")</f>
        <v>October</v>
      </c>
      <c r="S13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33" s="228"/>
      <c r="U1333" s="43" t="e">
        <f>IF(Planning[[#This Row],[Horas Planificadas]]&lt;&gt;0,+K1333/Planning[[#This Row],[Horas Planificadas]],0)</f>
        <v>#REF!</v>
      </c>
      <c r="V1333" s="43" t="e">
        <f>IF(Planning[[#This Row],[Horas Planificadas]]&lt;&gt;0,Planning[[#This Row],[Horas utilizadas]]/Planning[[#This Row],[Horas Planificadas]],0)</f>
        <v>#REF!</v>
      </c>
      <c r="W1333" s="44">
        <f>Planning[[#This Row],[Horas Planificadas]]+Planning[[#This Row],[Horas ajustadas adicionales]]</f>
        <v>149</v>
      </c>
      <c r="X1333" s="142"/>
    </row>
    <row r="1334" spans="1:24" ht="12.75" customHeight="1" x14ac:dyDescent="0.2">
      <c r="A1334" s="7"/>
      <c r="B1334" s="7"/>
      <c r="C1334" s="3"/>
      <c r="D1334" s="3" t="s">
        <v>344</v>
      </c>
      <c r="E1334" s="4" t="s">
        <v>32</v>
      </c>
      <c r="F1334" s="3"/>
      <c r="G1334" s="9"/>
      <c r="H1334" s="9">
        <v>235</v>
      </c>
      <c r="I1334" s="12"/>
      <c r="J1334" s="5" t="e">
        <f>+SUMIFS(#REF!,#REF!,Planning[[#This Row],[Tarifa]],#REF!,Planning[[#This Row],[Proyectos]])</f>
        <v>#REF!</v>
      </c>
      <c r="K1334" s="5" t="e">
        <f>Planning[[#This Row],[Horas Planificadas]]+Planning[[#This Row],[Horas ajustadas adicionales]]-Planning[[#This Row],[Horas utilizadas]]</f>
        <v>#REF!</v>
      </c>
      <c r="L1334" s="7"/>
      <c r="M1334" s="19" t="e">
        <f>Planning[[#This Row],[Saldo]]-Planning[[#This Row],[Saldo estimado]]</f>
        <v>#REF!</v>
      </c>
      <c r="N1334" s="60" t="e">
        <f>+SUMIFS(#REF!,#REF!,Planning[[#This Row],[Proyectos]],#REF!,Planning[[#This Row],[Tipo de Tarea y especialidad]])</f>
        <v>#REF!</v>
      </c>
      <c r="O1334" s="19">
        <f t="shared" si="40"/>
        <v>10</v>
      </c>
      <c r="P1334" s="19">
        <f t="shared" si="41"/>
        <v>2024</v>
      </c>
      <c r="Q1334" s="19" t="e">
        <f>+SUMIFS(#REF!,#REF!,Planning[[#This Row],[Tarifa]],#REF!,Planning[[#This Row],[Proyectos]],#REF!,Planning[[#This Row],[Mes]],#REF!,Planning[[#This Row],[Año]])</f>
        <v>#REF!</v>
      </c>
      <c r="R1334" s="19" t="str">
        <f>TEXT(Planning[[#This Row],[Mes]]*29,"mmmm")</f>
        <v>October</v>
      </c>
      <c r="S13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34" s="228"/>
      <c r="U1334" s="43" t="e">
        <f>IF(Planning[[#This Row],[Horas Planificadas]]&lt;&gt;0,+K1334/Planning[[#This Row],[Horas Planificadas]],0)</f>
        <v>#REF!</v>
      </c>
      <c r="V1334" s="43" t="e">
        <f>IF(Planning[[#This Row],[Horas Planificadas]]&lt;&gt;0,Planning[[#This Row],[Horas utilizadas]]/Planning[[#This Row],[Horas Planificadas]],0)</f>
        <v>#REF!</v>
      </c>
      <c r="W1334" s="44">
        <f>Planning[[#This Row],[Horas Planificadas]]+Planning[[#This Row],[Horas ajustadas adicionales]]</f>
        <v>235</v>
      </c>
      <c r="X1334" s="142"/>
    </row>
    <row r="1335" spans="1:24" ht="12.75" customHeight="1" x14ac:dyDescent="0.2">
      <c r="A1335" s="7"/>
      <c r="B1335" s="7"/>
      <c r="C1335" s="3"/>
      <c r="D1335" s="3" t="s">
        <v>345</v>
      </c>
      <c r="E1335" s="4" t="s">
        <v>28</v>
      </c>
      <c r="F1335" s="3"/>
      <c r="G1335" s="9"/>
      <c r="H1335" s="12">
        <v>0</v>
      </c>
      <c r="I1335" s="12"/>
      <c r="J1335" s="5" t="e">
        <f>+SUMIFS(#REF!,#REF!,Planning[[#This Row],[Tarifa]],#REF!,Planning[[#This Row],[Proyectos]])</f>
        <v>#REF!</v>
      </c>
      <c r="K1335" s="27" t="e">
        <f>Planning[[#This Row],[Horas Planificadas]]+Planning[[#This Row],[Horas ajustadas adicionales]]-Planning[[#This Row],[Horas utilizadas]]</f>
        <v>#REF!</v>
      </c>
      <c r="L1335" s="7"/>
      <c r="M1335" s="19" t="e">
        <f>Planning[[#This Row],[Saldo]]-Planning[[#This Row],[Saldo estimado]]</f>
        <v>#REF!</v>
      </c>
      <c r="N1335" s="60" t="e">
        <f>+SUMIFS(#REF!,#REF!,Planning[[#This Row],[Proyectos]],#REF!,Planning[[#This Row],[Tipo de Tarea y especialidad]])</f>
        <v>#REF!</v>
      </c>
      <c r="O1335" s="19">
        <f t="shared" si="40"/>
        <v>10</v>
      </c>
      <c r="P1335" s="19">
        <f t="shared" si="41"/>
        <v>2024</v>
      </c>
      <c r="Q1335" s="19" t="e">
        <f>+SUMIFS(#REF!,#REF!,Planning[[#This Row],[Tarifa]],#REF!,Planning[[#This Row],[Proyectos]],#REF!,Planning[[#This Row],[Mes]],#REF!,Planning[[#This Row],[Año]])</f>
        <v>#REF!</v>
      </c>
      <c r="R1335" s="19" t="str">
        <f>TEXT(Planning[[#This Row],[Mes]]*29,"mmmm")</f>
        <v>October</v>
      </c>
      <c r="S13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35" s="228"/>
      <c r="U1335" s="43">
        <f>IF(Planning[[#This Row],[Horas Planificadas]]&lt;&gt;0,+K1335/Planning[[#This Row],[Horas Planificadas]],0)</f>
        <v>0</v>
      </c>
      <c r="V1335" s="43">
        <f>IF(Planning[[#This Row],[Horas Planificadas]]&lt;&gt;0,Planning[[#This Row],[Horas utilizadas]]/Planning[[#This Row],[Horas Planificadas]],0)</f>
        <v>0</v>
      </c>
      <c r="W1335" s="44">
        <f>Planning[[#This Row],[Horas Planificadas]]+Planning[[#This Row],[Horas ajustadas adicionales]]</f>
        <v>0</v>
      </c>
      <c r="X1335" s="142"/>
    </row>
    <row r="1336" spans="1:24" ht="12.75" customHeight="1" x14ac:dyDescent="0.2">
      <c r="A1336" s="7"/>
      <c r="B1336" s="7"/>
      <c r="C1336" s="3"/>
      <c r="D1336" s="3" t="s">
        <v>345</v>
      </c>
      <c r="E1336" s="4" t="s">
        <v>30</v>
      </c>
      <c r="F1336" s="3"/>
      <c r="G1336" s="9"/>
      <c r="H1336" s="9">
        <v>0</v>
      </c>
      <c r="I1336" s="12"/>
      <c r="J1336" s="5" t="e">
        <f>+SUMIFS(#REF!,#REF!,Planning[[#This Row],[Tarifa]],#REF!,Planning[[#This Row],[Proyectos]])</f>
        <v>#REF!</v>
      </c>
      <c r="K1336" s="5" t="e">
        <f>Planning[[#This Row],[Horas Planificadas]]+Planning[[#This Row],[Horas ajustadas adicionales]]-Planning[[#This Row],[Horas utilizadas]]</f>
        <v>#REF!</v>
      </c>
      <c r="L1336" s="7"/>
      <c r="M1336" s="19" t="e">
        <f>Planning[[#This Row],[Saldo]]-Planning[[#This Row],[Saldo estimado]]</f>
        <v>#REF!</v>
      </c>
      <c r="N1336" s="60" t="e">
        <f>+SUMIFS(#REF!,#REF!,Planning[[#This Row],[Proyectos]],#REF!,Planning[[#This Row],[Tipo de Tarea y especialidad]])</f>
        <v>#REF!</v>
      </c>
      <c r="O1336" s="19">
        <f t="shared" si="40"/>
        <v>10</v>
      </c>
      <c r="P1336" s="19">
        <f t="shared" si="41"/>
        <v>2024</v>
      </c>
      <c r="Q1336" s="19" t="e">
        <f>+SUMIFS(#REF!,#REF!,Planning[[#This Row],[Tarifa]],#REF!,Planning[[#This Row],[Proyectos]],#REF!,Planning[[#This Row],[Mes]],#REF!,Planning[[#This Row],[Año]])</f>
        <v>#REF!</v>
      </c>
      <c r="R1336" s="19" t="str">
        <f>TEXT(Planning[[#This Row],[Mes]]*29,"mmmm")</f>
        <v>October</v>
      </c>
      <c r="S13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36" s="228"/>
      <c r="U1336" s="43">
        <f>IF(Planning[[#This Row],[Horas Planificadas]]&lt;&gt;0,+K1336/Planning[[#This Row],[Horas Planificadas]],0)</f>
        <v>0</v>
      </c>
      <c r="V1336" s="43">
        <f>IF(Planning[[#This Row],[Horas Planificadas]]&lt;&gt;0,Planning[[#This Row],[Horas utilizadas]]/Planning[[#This Row],[Horas Planificadas]],0)</f>
        <v>0</v>
      </c>
      <c r="W1336" s="44">
        <f>Planning[[#This Row],[Horas Planificadas]]+Planning[[#This Row],[Horas ajustadas adicionales]]</f>
        <v>0</v>
      </c>
      <c r="X1336" s="142"/>
    </row>
    <row r="1337" spans="1:24" ht="12.75" customHeight="1" x14ac:dyDescent="0.2">
      <c r="A1337" s="7"/>
      <c r="B1337" s="7"/>
      <c r="C1337" s="3"/>
      <c r="D1337" s="3" t="s">
        <v>345</v>
      </c>
      <c r="E1337" s="4" t="s">
        <v>31</v>
      </c>
      <c r="F1337" s="3"/>
      <c r="G1337" s="9"/>
      <c r="H1337" s="9">
        <v>207</v>
      </c>
      <c r="I1337" s="12"/>
      <c r="J1337" s="5" t="e">
        <f>+SUMIFS(#REF!,#REF!,Planning[[#This Row],[Tarifa]],#REF!,Planning[[#This Row],[Proyectos]])</f>
        <v>#REF!</v>
      </c>
      <c r="K1337" s="5" t="e">
        <f>Planning[[#This Row],[Horas Planificadas]]+Planning[[#This Row],[Horas ajustadas adicionales]]-Planning[[#This Row],[Horas utilizadas]]</f>
        <v>#REF!</v>
      </c>
      <c r="L1337" s="7"/>
      <c r="M1337" s="19" t="e">
        <f>Planning[[#This Row],[Saldo]]-Planning[[#This Row],[Saldo estimado]]</f>
        <v>#REF!</v>
      </c>
      <c r="N1337" s="60" t="e">
        <f>+SUMIFS(#REF!,#REF!,Planning[[#This Row],[Proyectos]],#REF!,Planning[[#This Row],[Tipo de Tarea y especialidad]])</f>
        <v>#REF!</v>
      </c>
      <c r="O1337" s="19">
        <f t="shared" si="40"/>
        <v>10</v>
      </c>
      <c r="P1337" s="19">
        <f t="shared" si="41"/>
        <v>2024</v>
      </c>
      <c r="Q1337" s="19" t="e">
        <f>+SUMIFS(#REF!,#REF!,Planning[[#This Row],[Tarifa]],#REF!,Planning[[#This Row],[Proyectos]],#REF!,Planning[[#This Row],[Mes]],#REF!,Planning[[#This Row],[Año]])</f>
        <v>#REF!</v>
      </c>
      <c r="R1337" s="19" t="str">
        <f>TEXT(Planning[[#This Row],[Mes]]*29,"mmmm")</f>
        <v>October</v>
      </c>
      <c r="S13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37" s="228"/>
      <c r="U1337" s="43" t="e">
        <f>IF(Planning[[#This Row],[Horas Planificadas]]&lt;&gt;0,+K1337/Planning[[#This Row],[Horas Planificadas]],0)</f>
        <v>#REF!</v>
      </c>
      <c r="V1337" s="43" t="e">
        <f>IF(Planning[[#This Row],[Horas Planificadas]]&lt;&gt;0,Planning[[#This Row],[Horas utilizadas]]/Planning[[#This Row],[Horas Planificadas]],0)</f>
        <v>#REF!</v>
      </c>
      <c r="W1337" s="44">
        <f>Planning[[#This Row],[Horas Planificadas]]+Planning[[#This Row],[Horas ajustadas adicionales]]</f>
        <v>207</v>
      </c>
      <c r="X1337" s="142"/>
    </row>
    <row r="1338" spans="1:24" ht="12.75" customHeight="1" x14ac:dyDescent="0.2">
      <c r="A1338" s="7"/>
      <c r="B1338" s="7"/>
      <c r="C1338" s="3"/>
      <c r="D1338" s="3" t="s">
        <v>345</v>
      </c>
      <c r="E1338" s="4" t="s">
        <v>32</v>
      </c>
      <c r="F1338" s="3"/>
      <c r="G1338" s="9"/>
      <c r="H1338" s="9">
        <v>0</v>
      </c>
      <c r="I1338" s="12"/>
      <c r="J1338" s="5" t="e">
        <f>+SUMIFS(#REF!,#REF!,Planning[[#This Row],[Tarifa]],#REF!,Planning[[#This Row],[Proyectos]])</f>
        <v>#REF!</v>
      </c>
      <c r="K1338" s="5" t="e">
        <f>Planning[[#This Row],[Horas Planificadas]]+Planning[[#This Row],[Horas ajustadas adicionales]]-Planning[[#This Row],[Horas utilizadas]]</f>
        <v>#REF!</v>
      </c>
      <c r="L1338" s="7"/>
      <c r="M1338" s="19" t="e">
        <f>Planning[[#This Row],[Saldo]]-Planning[[#This Row],[Saldo estimado]]</f>
        <v>#REF!</v>
      </c>
      <c r="N1338" s="60" t="e">
        <f>+SUMIFS(#REF!,#REF!,Planning[[#This Row],[Proyectos]],#REF!,Planning[[#This Row],[Tipo de Tarea y especialidad]])</f>
        <v>#REF!</v>
      </c>
      <c r="O1338" s="19">
        <f t="shared" si="40"/>
        <v>10</v>
      </c>
      <c r="P1338" s="19">
        <f t="shared" si="41"/>
        <v>2024</v>
      </c>
      <c r="Q1338" s="19" t="e">
        <f>+SUMIFS(#REF!,#REF!,Planning[[#This Row],[Tarifa]],#REF!,Planning[[#This Row],[Proyectos]],#REF!,Planning[[#This Row],[Mes]],#REF!,Planning[[#This Row],[Año]])</f>
        <v>#REF!</v>
      </c>
      <c r="R1338" s="19" t="str">
        <f>TEXT(Planning[[#This Row],[Mes]]*29,"mmmm")</f>
        <v>October</v>
      </c>
      <c r="S13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38" s="228"/>
      <c r="U1338" s="43">
        <f>IF(Planning[[#This Row],[Horas Planificadas]]&lt;&gt;0,+K1338/Planning[[#This Row],[Horas Planificadas]],0)</f>
        <v>0</v>
      </c>
      <c r="V1338" s="43">
        <f>IF(Planning[[#This Row],[Horas Planificadas]]&lt;&gt;0,Planning[[#This Row],[Horas utilizadas]]/Planning[[#This Row],[Horas Planificadas]],0)</f>
        <v>0</v>
      </c>
      <c r="W1338" s="44">
        <f>Planning[[#This Row],[Horas Planificadas]]+Planning[[#This Row],[Horas ajustadas adicionales]]</f>
        <v>0</v>
      </c>
      <c r="X1338" s="142"/>
    </row>
    <row r="1339" spans="1:24" ht="12.75" customHeight="1" x14ac:dyDescent="0.2">
      <c r="A1339" s="7" t="s">
        <v>117</v>
      </c>
      <c r="B1339" s="7" t="s">
        <v>205</v>
      </c>
      <c r="C1339" s="3"/>
      <c r="D1339" s="3" t="s">
        <v>346</v>
      </c>
      <c r="E1339" s="33" t="s">
        <v>28</v>
      </c>
      <c r="F1339" s="33"/>
      <c r="G1339" s="7">
        <v>140</v>
      </c>
      <c r="H1339" s="24">
        <f>SUM(H1340:H1341)</f>
        <v>194</v>
      </c>
      <c r="I1339" s="14"/>
      <c r="J1339" s="14" t="e">
        <f>SUM(J1340:J1341)</f>
        <v>#REF!</v>
      </c>
      <c r="K1339" s="18" t="e">
        <f>SUM(K1340:K1341)</f>
        <v>#REF!</v>
      </c>
      <c r="L1339" s="15">
        <f>SUM(L1340:L1341)</f>
        <v>0</v>
      </c>
      <c r="M1339" s="28" t="e">
        <f>SUM(M1340:M1341)</f>
        <v>#REF!</v>
      </c>
      <c r="N1339" s="61" t="e">
        <f>+SUMIFS(#REF!,#REF!,Planning[[#This Row],[Proyectos]],#REF!,Planning[[#This Row],[Tipo de Tarea y especialidad]])</f>
        <v>#REF!</v>
      </c>
      <c r="O1339" s="28">
        <f t="shared" si="40"/>
        <v>10</v>
      </c>
      <c r="P1339" s="28">
        <f t="shared" si="41"/>
        <v>2024</v>
      </c>
      <c r="Q1339" s="28" t="e">
        <f>SUM(Q1340:Q1341)</f>
        <v>#REF!</v>
      </c>
      <c r="R1339" s="28" t="str">
        <f>TEXT(Planning[[#This Row],[Mes]]*29,"mmmm")</f>
        <v>October</v>
      </c>
      <c r="S13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39" s="192" t="s">
        <v>347</v>
      </c>
      <c r="U1339" s="43" t="e">
        <f>IF(Planning[[#This Row],[Horas Planificadas]]&lt;&gt;0,+K1339/Planning[[#This Row],[Horas Planificadas]],0)</f>
        <v>#REF!</v>
      </c>
      <c r="V1339" s="43" t="e">
        <f>IF(Planning[[#This Row],[Horas Planificadas]]&lt;&gt;0,Planning[[#This Row],[Horas utilizadas]]/Planning[[#This Row],[Horas Planificadas]],0)</f>
        <v>#REF!</v>
      </c>
      <c r="W1339" s="44">
        <f>Planning[[#This Row],[Horas Planificadas]]+Planning[[#This Row],[Horas ajustadas adicionales]]</f>
        <v>194</v>
      </c>
      <c r="X1339" s="142"/>
    </row>
    <row r="1340" spans="1:24" ht="12.75" customHeight="1" x14ac:dyDescent="0.2">
      <c r="A1340" s="7" t="s">
        <v>117</v>
      </c>
      <c r="B1340" s="7" t="s">
        <v>205</v>
      </c>
      <c r="C1340" s="3"/>
      <c r="D1340" s="3" t="s">
        <v>346</v>
      </c>
      <c r="E1340" s="33"/>
      <c r="F1340" s="33" t="s">
        <v>120</v>
      </c>
      <c r="G1340" s="7"/>
      <c r="H1340" s="7">
        <v>140</v>
      </c>
      <c r="I1340" s="12"/>
      <c r="J1340" s="5" t="e">
        <f>SUM(SUMIFS(#REF!,#REF!,Planning[[#This Row],[Tipo de Tarea y especialidad]],#REF!,Planning[[#This Row],[Proyectos Reiwa]]),SUMIFS(#REF!,#REF!,Planning[[#This Row],[Tipo de Tarea y especialidad]],#REF!,Planning[[#This Row],[Proyectos]]))</f>
        <v>#REF!</v>
      </c>
      <c r="K1340" s="5" t="e">
        <f>Planning[[#This Row],[Horas Planificadas]]+Planning[[#This Row],[Horas ajustadas adicionales]]-Planning[[#This Row],[Horas utilizadas]]</f>
        <v>#REF!</v>
      </c>
      <c r="L1340" s="7">
        <v>0</v>
      </c>
      <c r="M1340" s="19" t="e">
        <f>Planning[[#This Row],[Saldo]]-Planning[[#This Row],[Saldo estimado]]</f>
        <v>#REF!</v>
      </c>
      <c r="N1340" s="60" t="e">
        <f>+SUMIFS(#REF!,#REF!,Planning[[#This Row],[Proyectos]],#REF!,Planning[[#This Row],[Tipo de Tarea y especialidad]])</f>
        <v>#REF!</v>
      </c>
      <c r="O1340" s="19">
        <f t="shared" si="40"/>
        <v>10</v>
      </c>
      <c r="P1340" s="19">
        <f t="shared" si="41"/>
        <v>2024</v>
      </c>
      <c r="Q13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340" s="19" t="str">
        <f>TEXT(Planning[[#This Row],[Mes]]*29,"mmmm")</f>
        <v>October</v>
      </c>
      <c r="S13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40" s="193"/>
      <c r="U1340" s="43" t="e">
        <f>IF(Planning[[#This Row],[Horas Planificadas]]&lt;&gt;0,+K1340/Planning[[#This Row],[Horas Planificadas]],0)</f>
        <v>#REF!</v>
      </c>
      <c r="V1340" s="43" t="e">
        <f>IF(Planning[[#This Row],[Horas Planificadas]]&lt;&gt;0,Planning[[#This Row],[Horas utilizadas]]/Planning[[#This Row],[Horas Planificadas]],0)</f>
        <v>#REF!</v>
      </c>
      <c r="W1340" s="44">
        <f>Planning[[#This Row],[Horas Planificadas]]+Planning[[#This Row],[Horas ajustadas adicionales]]</f>
        <v>140</v>
      </c>
      <c r="X1340" s="142"/>
    </row>
    <row r="1341" spans="1:24" ht="12.75" customHeight="1" x14ac:dyDescent="0.2">
      <c r="A1341" s="7" t="s">
        <v>117</v>
      </c>
      <c r="B1341" s="7" t="s">
        <v>205</v>
      </c>
      <c r="C1341" s="3"/>
      <c r="D1341" s="3" t="s">
        <v>346</v>
      </c>
      <c r="E1341" s="33"/>
      <c r="F1341" s="33" t="s">
        <v>121</v>
      </c>
      <c r="G1341" s="7"/>
      <c r="H1341" s="7">
        <v>54</v>
      </c>
      <c r="I1341" s="12"/>
      <c r="J1341" s="5" t="e">
        <f>SUM(SUMIFS(#REF!,#REF!,Planning[[#This Row],[Tipo de Tarea y especialidad]],#REF!,Planning[[#This Row],[Proyectos Reiwa]]),SUMIFS(#REF!,#REF!,Planning[[#This Row],[Tipo de Tarea y especialidad]],#REF!,Planning[[#This Row],[Proyectos]]))</f>
        <v>#REF!</v>
      </c>
      <c r="K1341" s="5" t="e">
        <f>Planning[[#This Row],[Horas Planificadas]]+Planning[[#This Row],[Horas ajustadas adicionales]]-Planning[[#This Row],[Horas utilizadas]]</f>
        <v>#REF!</v>
      </c>
      <c r="L1341" s="7">
        <v>0</v>
      </c>
      <c r="M1341" s="19" t="e">
        <f>Planning[[#This Row],[Saldo]]-Planning[[#This Row],[Saldo estimado]]</f>
        <v>#REF!</v>
      </c>
      <c r="N1341" s="60" t="e">
        <f>+SUMIFS(#REF!,#REF!,Planning[[#This Row],[Proyectos]],#REF!,Planning[[#This Row],[Tipo de Tarea y especialidad]])</f>
        <v>#REF!</v>
      </c>
      <c r="O1341" s="19">
        <f t="shared" si="40"/>
        <v>10</v>
      </c>
      <c r="P1341" s="19">
        <f t="shared" si="41"/>
        <v>2024</v>
      </c>
      <c r="Q13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341" s="19" t="str">
        <f>TEXT(Planning[[#This Row],[Mes]]*29,"mmmm")</f>
        <v>October</v>
      </c>
      <c r="S13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41" s="193"/>
      <c r="U1341" s="43" t="e">
        <f>IF(Planning[[#This Row],[Horas Planificadas]]&lt;&gt;0,+K1341/Planning[[#This Row],[Horas Planificadas]],0)</f>
        <v>#REF!</v>
      </c>
      <c r="V1341" s="43" t="e">
        <f>IF(Planning[[#This Row],[Horas Planificadas]]&lt;&gt;0,Planning[[#This Row],[Horas utilizadas]]/Planning[[#This Row],[Horas Planificadas]],0)</f>
        <v>#REF!</v>
      </c>
      <c r="W1341" s="44">
        <f>Planning[[#This Row],[Horas Planificadas]]+Planning[[#This Row],[Horas ajustadas adicionales]]</f>
        <v>54</v>
      </c>
      <c r="X1341" s="142"/>
    </row>
    <row r="1342" spans="1:24" ht="12.75" customHeight="1" x14ac:dyDescent="0.2">
      <c r="A1342" s="7" t="s">
        <v>117</v>
      </c>
      <c r="B1342" s="7" t="s">
        <v>205</v>
      </c>
      <c r="C1342" s="3"/>
      <c r="D1342" s="3" t="s">
        <v>346</v>
      </c>
      <c r="E1342" s="33" t="s">
        <v>30</v>
      </c>
      <c r="F1342" s="33"/>
      <c r="G1342" s="7">
        <v>243</v>
      </c>
      <c r="H1342" s="24">
        <f>SUM(H1343:H1349)</f>
        <v>198</v>
      </c>
      <c r="I1342" s="14"/>
      <c r="J1342" s="14" t="e">
        <f>SUM(J1343:J1349)</f>
        <v>#REF!</v>
      </c>
      <c r="K1342" s="18" t="e">
        <f>SUM(K1343:K1349)</f>
        <v>#REF!</v>
      </c>
      <c r="L1342" s="15">
        <f>SUM(L1343:L1349)</f>
        <v>0</v>
      </c>
      <c r="M1342" s="16" t="e">
        <f>SUM(M1343:M1349)</f>
        <v>#REF!</v>
      </c>
      <c r="N1342" s="60" t="e">
        <f>+SUMIFS(#REF!,#REF!,Planning[[#This Row],[Proyectos]],#REF!,Planning[[#This Row],[Tipo de Tarea y especialidad]])</f>
        <v>#REF!</v>
      </c>
      <c r="O1342" s="16">
        <f t="shared" si="40"/>
        <v>10</v>
      </c>
      <c r="P1342" s="16">
        <f t="shared" si="41"/>
        <v>2024</v>
      </c>
      <c r="Q1342" s="16" t="e">
        <f>SUM(Q1343:Q1349)</f>
        <v>#REF!</v>
      </c>
      <c r="R1342" s="16" t="str">
        <f>TEXT(Planning[[#This Row],[Mes]]*29,"mmmm")</f>
        <v>October</v>
      </c>
      <c r="S13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42" s="193"/>
      <c r="U1342" s="43" t="e">
        <f>IF(Planning[[#This Row],[Horas Planificadas]]&lt;&gt;0,+K1342/Planning[[#This Row],[Horas Planificadas]],0)</f>
        <v>#REF!</v>
      </c>
      <c r="V1342" s="43" t="e">
        <f>IF(Planning[[#This Row],[Horas Planificadas]]&lt;&gt;0,Planning[[#This Row],[Horas utilizadas]]/Planning[[#This Row],[Horas Planificadas]],0)</f>
        <v>#REF!</v>
      </c>
      <c r="W1342" s="44">
        <f>Planning[[#This Row],[Horas Planificadas]]+Planning[[#This Row],[Horas ajustadas adicionales]]</f>
        <v>198</v>
      </c>
      <c r="X1342" s="142"/>
    </row>
    <row r="1343" spans="1:24" x14ac:dyDescent="0.2">
      <c r="A1343" s="7" t="s">
        <v>117</v>
      </c>
      <c r="B1343" s="7" t="s">
        <v>205</v>
      </c>
      <c r="C1343" s="3"/>
      <c r="D1343" s="3" t="s">
        <v>346</v>
      </c>
      <c r="E1343" s="33"/>
      <c r="F1343" s="33" t="s">
        <v>122</v>
      </c>
      <c r="G1343" s="7"/>
      <c r="H1343" s="7"/>
      <c r="I1343" s="12"/>
      <c r="J1343" s="5" t="e">
        <f>SUM(SUMIFS(#REF!,#REF!,Planning[[#This Row],[Tipo de Tarea y especialidad]],#REF!,Planning[[#This Row],[Proyectos Reiwa]]),SUMIFS(#REF!,#REF!,Planning[[#This Row],[Tipo de Tarea y especialidad]],#REF!,Planning[[#This Row],[Proyectos]]))</f>
        <v>#REF!</v>
      </c>
      <c r="K1343" s="5" t="e">
        <f>Planning[[#This Row],[Horas Planificadas]]+Planning[[#This Row],[Horas ajustadas adicionales]]-Planning[[#This Row],[Horas utilizadas]]</f>
        <v>#REF!</v>
      </c>
      <c r="L1343" s="7"/>
      <c r="M1343" s="19" t="e">
        <f>Planning[[#This Row],[Saldo]]-Planning[[#This Row],[Saldo estimado]]</f>
        <v>#REF!</v>
      </c>
      <c r="N1343" s="60" t="e">
        <f>+SUMIFS(#REF!,#REF!,Planning[[#This Row],[Proyectos]],#REF!,Planning[[#This Row],[Tipo de Tarea y especialidad]])</f>
        <v>#REF!</v>
      </c>
      <c r="O1343" s="19">
        <f t="shared" si="40"/>
        <v>10</v>
      </c>
      <c r="P1343" s="19">
        <f t="shared" si="41"/>
        <v>2024</v>
      </c>
      <c r="Q13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343" s="19" t="str">
        <f>TEXT(Planning[[#This Row],[Mes]]*29,"mmmm")</f>
        <v>October</v>
      </c>
      <c r="S13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43" s="193"/>
      <c r="U1343" s="43">
        <f>IF(Planning[[#This Row],[Horas Planificadas]]&lt;&gt;0,+K1343/Planning[[#This Row],[Horas Planificadas]],0)</f>
        <v>0</v>
      </c>
      <c r="V1343" s="43">
        <f>IF(Planning[[#This Row],[Horas Planificadas]]&lt;&gt;0,Planning[[#This Row],[Horas utilizadas]]/Planning[[#This Row],[Horas Planificadas]],0)</f>
        <v>0</v>
      </c>
      <c r="W1343" s="44">
        <f>Planning[[#This Row],[Horas Planificadas]]+Planning[[#This Row],[Horas ajustadas adicionales]]</f>
        <v>0</v>
      </c>
      <c r="X1343" s="142"/>
    </row>
    <row r="1344" spans="1:24" x14ac:dyDescent="0.2">
      <c r="A1344" s="7" t="s">
        <v>117</v>
      </c>
      <c r="B1344" s="7" t="s">
        <v>205</v>
      </c>
      <c r="C1344" s="3"/>
      <c r="D1344" s="3" t="s">
        <v>346</v>
      </c>
      <c r="E1344" s="33"/>
      <c r="F1344" s="33" t="s">
        <v>123</v>
      </c>
      <c r="G1344" s="7"/>
      <c r="H1344" s="7">
        <v>117</v>
      </c>
      <c r="I1344" s="12"/>
      <c r="J1344" s="5" t="e">
        <f>SUM(SUMIFS(#REF!,#REF!,Planning[[#This Row],[Tipo de Tarea y especialidad]],#REF!,Planning[[#This Row],[Proyectos Reiwa]]),SUMIFS(#REF!,#REF!,Planning[[#This Row],[Tipo de Tarea y especialidad]],#REF!,Planning[[#This Row],[Proyectos]]))</f>
        <v>#REF!</v>
      </c>
      <c r="K1344" s="5" t="e">
        <f>Planning[[#This Row],[Horas Planificadas]]+Planning[[#This Row],[Horas ajustadas adicionales]]-Planning[[#This Row],[Horas utilizadas]]</f>
        <v>#REF!</v>
      </c>
      <c r="L1344" s="7">
        <v>0</v>
      </c>
      <c r="M1344" s="19" t="e">
        <f>Planning[[#This Row],[Saldo]]-Planning[[#This Row],[Saldo estimado]]</f>
        <v>#REF!</v>
      </c>
      <c r="N1344" s="60" t="e">
        <f>+SUMIFS(#REF!,#REF!,Planning[[#This Row],[Proyectos]],#REF!,Planning[[#This Row],[Tipo de Tarea y especialidad]])</f>
        <v>#REF!</v>
      </c>
      <c r="O1344" s="19">
        <f t="shared" si="40"/>
        <v>10</v>
      </c>
      <c r="P1344" s="19">
        <f t="shared" si="41"/>
        <v>2024</v>
      </c>
      <c r="Q13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344" s="19" t="str">
        <f>TEXT(Planning[[#This Row],[Mes]]*29,"mmmm")</f>
        <v>October</v>
      </c>
      <c r="S13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44" s="193"/>
      <c r="U1344" s="43" t="e">
        <f>IF(Planning[[#This Row],[Horas Planificadas]]&lt;&gt;0,+K1344/Planning[[#This Row],[Horas Planificadas]],0)</f>
        <v>#REF!</v>
      </c>
      <c r="V1344" s="43" t="e">
        <f>IF(Planning[[#This Row],[Horas Planificadas]]&lt;&gt;0,Planning[[#This Row],[Horas utilizadas]]/Planning[[#This Row],[Horas Planificadas]],0)</f>
        <v>#REF!</v>
      </c>
      <c r="W1344" s="44">
        <f>Planning[[#This Row],[Horas Planificadas]]+Planning[[#This Row],[Horas ajustadas adicionales]]</f>
        <v>117</v>
      </c>
      <c r="X1344" s="142"/>
    </row>
    <row r="1345" spans="1:24" x14ac:dyDescent="0.2">
      <c r="A1345" s="7" t="s">
        <v>117</v>
      </c>
      <c r="B1345" s="7" t="s">
        <v>205</v>
      </c>
      <c r="C1345" s="3"/>
      <c r="D1345" s="3" t="s">
        <v>346</v>
      </c>
      <c r="E1345" s="33"/>
      <c r="F1345" s="33" t="s">
        <v>124</v>
      </c>
      <c r="G1345" s="7"/>
      <c r="H1345" s="7"/>
      <c r="I1345" s="12"/>
      <c r="J1345" s="5" t="e">
        <f>SUM(SUMIFS(#REF!,#REF!,Planning[[#This Row],[Tipo de Tarea y especialidad]],#REF!,Planning[[#This Row],[Proyectos Reiwa]]),SUMIFS(#REF!,#REF!,Planning[[#This Row],[Tipo de Tarea y especialidad]],#REF!,Planning[[#This Row],[Proyectos]]))</f>
        <v>#REF!</v>
      </c>
      <c r="K1345" s="5" t="e">
        <f>Planning[[#This Row],[Horas Planificadas]]+Planning[[#This Row],[Horas ajustadas adicionales]]-Planning[[#This Row],[Horas utilizadas]]</f>
        <v>#REF!</v>
      </c>
      <c r="L1345" s="7"/>
      <c r="M1345" s="19" t="e">
        <f>Planning[[#This Row],[Saldo]]-Planning[[#This Row],[Saldo estimado]]</f>
        <v>#REF!</v>
      </c>
      <c r="N1345" s="60" t="e">
        <f>+SUMIFS(#REF!,#REF!,Planning[[#This Row],[Proyectos]],#REF!,Planning[[#This Row],[Tipo de Tarea y especialidad]])</f>
        <v>#REF!</v>
      </c>
      <c r="O1345" s="19">
        <f t="shared" si="40"/>
        <v>10</v>
      </c>
      <c r="P1345" s="19">
        <f t="shared" si="41"/>
        <v>2024</v>
      </c>
      <c r="Q13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345" s="19" t="str">
        <f>TEXT(Planning[[#This Row],[Mes]]*29,"mmmm")</f>
        <v>October</v>
      </c>
      <c r="S13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45" s="193"/>
      <c r="U1345" s="43">
        <f>IF(Planning[[#This Row],[Horas Planificadas]]&lt;&gt;0,+K1345/Planning[[#This Row],[Horas Planificadas]],0)</f>
        <v>0</v>
      </c>
      <c r="V1345" s="43">
        <f>IF(Planning[[#This Row],[Horas Planificadas]]&lt;&gt;0,Planning[[#This Row],[Horas utilizadas]]/Planning[[#This Row],[Horas Planificadas]],0)</f>
        <v>0</v>
      </c>
      <c r="W1345" s="44">
        <f>Planning[[#This Row],[Horas Planificadas]]+Planning[[#This Row],[Horas ajustadas adicionales]]</f>
        <v>0</v>
      </c>
      <c r="X1345" s="142"/>
    </row>
    <row r="1346" spans="1:24" x14ac:dyDescent="0.2">
      <c r="A1346" s="7" t="s">
        <v>117</v>
      </c>
      <c r="B1346" s="7" t="s">
        <v>205</v>
      </c>
      <c r="C1346" s="3"/>
      <c r="D1346" s="3" t="s">
        <v>346</v>
      </c>
      <c r="E1346" s="33"/>
      <c r="F1346" s="33" t="s">
        <v>125</v>
      </c>
      <c r="G1346" s="7"/>
      <c r="H1346" s="7">
        <v>27</v>
      </c>
      <c r="I1346" s="12"/>
      <c r="J1346" s="5" t="e">
        <f>SUM(SUMIFS(#REF!,#REF!,Planning[[#This Row],[Tipo de Tarea y especialidad]],#REF!,Planning[[#This Row],[Proyectos Reiwa]]),SUMIFS(#REF!,#REF!,Planning[[#This Row],[Tipo de Tarea y especialidad]],#REF!,Planning[[#This Row],[Proyectos]]))</f>
        <v>#REF!</v>
      </c>
      <c r="K1346" s="5" t="e">
        <f>Planning[[#This Row],[Horas Planificadas]]+Planning[[#This Row],[Horas ajustadas adicionales]]-Planning[[#This Row],[Horas utilizadas]]</f>
        <v>#REF!</v>
      </c>
      <c r="L1346" s="7">
        <v>0</v>
      </c>
      <c r="M1346" s="19" t="e">
        <f>Planning[[#This Row],[Saldo]]-Planning[[#This Row],[Saldo estimado]]</f>
        <v>#REF!</v>
      </c>
      <c r="N1346" s="60" t="e">
        <f>+SUMIFS(#REF!,#REF!,Planning[[#This Row],[Proyectos]],#REF!,Planning[[#This Row],[Tipo de Tarea y especialidad]])</f>
        <v>#REF!</v>
      </c>
      <c r="O1346" s="19">
        <f t="shared" si="40"/>
        <v>10</v>
      </c>
      <c r="P1346" s="19">
        <f t="shared" si="41"/>
        <v>2024</v>
      </c>
      <c r="Q13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346" s="19" t="str">
        <f>TEXT(Planning[[#This Row],[Mes]]*29,"mmmm")</f>
        <v>October</v>
      </c>
      <c r="S13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46" s="193"/>
      <c r="U1346" s="43" t="e">
        <f>IF(Planning[[#This Row],[Horas Planificadas]]&lt;&gt;0,+K1346/Planning[[#This Row],[Horas Planificadas]],0)</f>
        <v>#REF!</v>
      </c>
      <c r="V1346" s="43" t="e">
        <f>IF(Planning[[#This Row],[Horas Planificadas]]&lt;&gt;0,Planning[[#This Row],[Horas utilizadas]]/Planning[[#This Row],[Horas Planificadas]],0)</f>
        <v>#REF!</v>
      </c>
      <c r="W1346" s="44">
        <f>Planning[[#This Row],[Horas Planificadas]]+Planning[[#This Row],[Horas ajustadas adicionales]]</f>
        <v>27</v>
      </c>
      <c r="X1346" s="142"/>
    </row>
    <row r="1347" spans="1:24" ht="12.75" customHeight="1" x14ac:dyDescent="0.2">
      <c r="A1347" s="7" t="s">
        <v>117</v>
      </c>
      <c r="B1347" s="7" t="s">
        <v>205</v>
      </c>
      <c r="C1347" s="3"/>
      <c r="D1347" s="3" t="s">
        <v>346</v>
      </c>
      <c r="E1347" s="33"/>
      <c r="F1347" s="33" t="s">
        <v>126</v>
      </c>
      <c r="G1347" s="7"/>
      <c r="H1347" s="7"/>
      <c r="I1347" s="12"/>
      <c r="J1347" s="5" t="e">
        <f>SUM(SUMIFS(#REF!,#REF!,Planning[[#This Row],[Tipo de Tarea y especialidad]],#REF!,Planning[[#This Row],[Proyectos Reiwa]]),SUMIFS(#REF!,#REF!,Planning[[#This Row],[Tipo de Tarea y especialidad]],#REF!,Planning[[#This Row],[Proyectos]]))</f>
        <v>#REF!</v>
      </c>
      <c r="K1347" s="5" t="e">
        <f>Planning[[#This Row],[Horas Planificadas]]+Planning[[#This Row],[Horas ajustadas adicionales]]-Planning[[#This Row],[Horas utilizadas]]</f>
        <v>#REF!</v>
      </c>
      <c r="L1347" s="7"/>
      <c r="M1347" s="19" t="e">
        <f>Planning[[#This Row],[Saldo]]-Planning[[#This Row],[Saldo estimado]]</f>
        <v>#REF!</v>
      </c>
      <c r="N1347" s="60" t="e">
        <f>+SUMIFS(#REF!,#REF!,Planning[[#This Row],[Proyectos]],#REF!,Planning[[#This Row],[Tipo de Tarea y especialidad]])</f>
        <v>#REF!</v>
      </c>
      <c r="O1347" s="19">
        <f t="shared" si="40"/>
        <v>10</v>
      </c>
      <c r="P1347" s="19">
        <f t="shared" si="41"/>
        <v>2024</v>
      </c>
      <c r="Q13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347" s="19" t="str">
        <f>TEXT(Planning[[#This Row],[Mes]]*29,"mmmm")</f>
        <v>October</v>
      </c>
      <c r="S13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47" s="193"/>
      <c r="U1347" s="43">
        <f>IF(Planning[[#This Row],[Horas Planificadas]]&lt;&gt;0,+K1347/Planning[[#This Row],[Horas Planificadas]],0)</f>
        <v>0</v>
      </c>
      <c r="V1347" s="43">
        <f>IF(Planning[[#This Row],[Horas Planificadas]]&lt;&gt;0,Planning[[#This Row],[Horas utilizadas]]/Planning[[#This Row],[Horas Planificadas]],0)</f>
        <v>0</v>
      </c>
      <c r="W1347" s="44">
        <f>Planning[[#This Row],[Horas Planificadas]]+Planning[[#This Row],[Horas ajustadas adicionales]]</f>
        <v>0</v>
      </c>
      <c r="X1347" s="142"/>
    </row>
    <row r="1348" spans="1:24" ht="12.75" customHeight="1" x14ac:dyDescent="0.2">
      <c r="A1348" s="7" t="s">
        <v>117</v>
      </c>
      <c r="B1348" s="7" t="s">
        <v>205</v>
      </c>
      <c r="C1348" s="3"/>
      <c r="D1348" s="3" t="s">
        <v>346</v>
      </c>
      <c r="E1348" s="33"/>
      <c r="F1348" s="33" t="s">
        <v>127</v>
      </c>
      <c r="G1348" s="7"/>
      <c r="H1348" s="7">
        <v>54</v>
      </c>
      <c r="I1348" s="12"/>
      <c r="J1348" s="5" t="e">
        <f>SUM(SUMIFS(#REF!,#REF!,Planning[[#This Row],[Tipo de Tarea y especialidad]],#REF!,Planning[[#This Row],[Proyectos Reiwa]]),SUMIFS(#REF!,#REF!,Planning[[#This Row],[Tipo de Tarea y especialidad]],#REF!,Planning[[#This Row],[Proyectos]]))</f>
        <v>#REF!</v>
      </c>
      <c r="K1348" s="5" t="e">
        <f>Planning[[#This Row],[Horas Planificadas]]+Planning[[#This Row],[Horas ajustadas adicionales]]-Planning[[#This Row],[Horas utilizadas]]</f>
        <v>#REF!</v>
      </c>
      <c r="L1348" s="7">
        <v>0</v>
      </c>
      <c r="M1348" s="19" t="e">
        <f>Planning[[#This Row],[Saldo]]-Planning[[#This Row],[Saldo estimado]]</f>
        <v>#REF!</v>
      </c>
      <c r="N1348" s="60" t="e">
        <f>+SUMIFS(#REF!,#REF!,Planning[[#This Row],[Proyectos]],#REF!,Planning[[#This Row],[Tipo de Tarea y especialidad]])</f>
        <v>#REF!</v>
      </c>
      <c r="O1348" s="19">
        <f t="shared" si="40"/>
        <v>10</v>
      </c>
      <c r="P1348" s="19">
        <f t="shared" si="41"/>
        <v>2024</v>
      </c>
      <c r="Q13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348" s="19" t="str">
        <f>TEXT(Planning[[#This Row],[Mes]]*29,"mmmm")</f>
        <v>October</v>
      </c>
      <c r="S13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48" s="193"/>
      <c r="U1348" s="43" t="e">
        <f>IF(Planning[[#This Row],[Horas Planificadas]]&lt;&gt;0,+K1348/Planning[[#This Row],[Horas Planificadas]],0)</f>
        <v>#REF!</v>
      </c>
      <c r="V1348" s="43" t="e">
        <f>IF(Planning[[#This Row],[Horas Planificadas]]&lt;&gt;0,Planning[[#This Row],[Horas utilizadas]]/Planning[[#This Row],[Horas Planificadas]],0)</f>
        <v>#REF!</v>
      </c>
      <c r="W1348" s="44">
        <f>Planning[[#This Row],[Horas Planificadas]]+Planning[[#This Row],[Horas ajustadas adicionales]]</f>
        <v>54</v>
      </c>
      <c r="X1348" s="142"/>
    </row>
    <row r="1349" spans="1:24" ht="12.75" customHeight="1" x14ac:dyDescent="0.2">
      <c r="A1349" s="7" t="s">
        <v>117</v>
      </c>
      <c r="B1349" s="7" t="s">
        <v>205</v>
      </c>
      <c r="C1349" s="3"/>
      <c r="D1349" s="3" t="s">
        <v>346</v>
      </c>
      <c r="E1349" s="33"/>
      <c r="F1349" s="33" t="s">
        <v>128</v>
      </c>
      <c r="G1349" s="7"/>
      <c r="H1349" s="7"/>
      <c r="I1349" s="12"/>
      <c r="J1349" s="5" t="e">
        <f>SUM(SUMIFS(#REF!,#REF!,Planning[[#This Row],[Tipo de Tarea y especialidad]],#REF!,Planning[[#This Row],[Proyectos Reiwa]]),SUMIFS(#REF!,#REF!,Planning[[#This Row],[Tipo de Tarea y especialidad]],#REF!,Planning[[#This Row],[Proyectos]]))</f>
        <v>#REF!</v>
      </c>
      <c r="K1349" s="5" t="e">
        <f>Planning[[#This Row],[Horas Planificadas]]+Planning[[#This Row],[Horas ajustadas adicionales]]-Planning[[#This Row],[Horas utilizadas]]</f>
        <v>#REF!</v>
      </c>
      <c r="L1349" s="7"/>
      <c r="M1349" s="19" t="e">
        <f>Planning[[#This Row],[Saldo]]-Planning[[#This Row],[Saldo estimado]]</f>
        <v>#REF!</v>
      </c>
      <c r="N1349" s="60" t="e">
        <f>+SUMIFS(#REF!,#REF!,Planning[[#This Row],[Proyectos]],#REF!,Planning[[#This Row],[Tipo de Tarea y especialidad]])</f>
        <v>#REF!</v>
      </c>
      <c r="O1349" s="19">
        <f t="shared" si="40"/>
        <v>10</v>
      </c>
      <c r="P1349" s="19">
        <f t="shared" si="41"/>
        <v>2024</v>
      </c>
      <c r="Q13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349" s="19" t="str">
        <f>TEXT(Planning[[#This Row],[Mes]]*29,"mmmm")</f>
        <v>October</v>
      </c>
      <c r="S13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49" s="193"/>
      <c r="U1349" s="43">
        <f>IF(Planning[[#This Row],[Horas Planificadas]]&lt;&gt;0,+K1349/Planning[[#This Row],[Horas Planificadas]],0)</f>
        <v>0</v>
      </c>
      <c r="V1349" s="43">
        <f>IF(Planning[[#This Row],[Horas Planificadas]]&lt;&gt;0,Planning[[#This Row],[Horas utilizadas]]/Planning[[#This Row],[Horas Planificadas]],0)</f>
        <v>0</v>
      </c>
      <c r="W1349" s="44">
        <f>Planning[[#This Row],[Horas Planificadas]]+Planning[[#This Row],[Horas ajustadas adicionales]]</f>
        <v>0</v>
      </c>
      <c r="X1349" s="142"/>
    </row>
    <row r="1350" spans="1:24" ht="12.75" customHeight="1" x14ac:dyDescent="0.2">
      <c r="A1350" s="7" t="s">
        <v>117</v>
      </c>
      <c r="B1350" s="7" t="s">
        <v>205</v>
      </c>
      <c r="C1350" s="3"/>
      <c r="D1350" s="3" t="s">
        <v>346</v>
      </c>
      <c r="E1350" s="33" t="s">
        <v>31</v>
      </c>
      <c r="F1350" s="33" t="s">
        <v>31</v>
      </c>
      <c r="G1350" s="7">
        <v>153</v>
      </c>
      <c r="H1350" s="15">
        <v>153</v>
      </c>
      <c r="I1350" s="18"/>
      <c r="J1350" s="14" t="e">
        <f>+SUMIFS(#REF!,#REF!,Planning[[#This Row],[Tarifa]],#REF!,Planning[[#This Row],[Proyectos]])</f>
        <v>#REF!</v>
      </c>
      <c r="K1350" s="14" t="e">
        <f>Planning[[#This Row],[Horas Planificadas]]+Planning[[#This Row],[Horas ajustadas adicionales]]-Planning[[#This Row],[Horas utilizadas]]</f>
        <v>#REF!</v>
      </c>
      <c r="L1350" s="15">
        <v>0</v>
      </c>
      <c r="M1350" s="16" t="e">
        <f>Planning[[#This Row],[Saldo]]-Planning[[#This Row],[Saldo estimado]]</f>
        <v>#REF!</v>
      </c>
      <c r="N1350" s="60" t="e">
        <f>+SUMIFS(#REF!,#REF!,Planning[[#This Row],[Proyectos]],#REF!,Planning[[#This Row],[Tipo de Tarea y especialidad]])</f>
        <v>#REF!</v>
      </c>
      <c r="O1350" s="16">
        <f t="shared" si="40"/>
        <v>10</v>
      </c>
      <c r="P1350" s="16">
        <f t="shared" si="41"/>
        <v>2024</v>
      </c>
      <c r="Q1350" s="16" t="e">
        <f>+SUMIFS(#REF!,#REF!,Planning[[#This Row],[Tarifa]],#REF!,Planning[[#This Row],[Proyectos]],#REF!,Planning[[#This Row],[Mes]],#REF!,Planning[[#This Row],[Año]])</f>
        <v>#REF!</v>
      </c>
      <c r="R1350" s="16" t="str">
        <f>TEXT(Planning[[#This Row],[Mes]]*29,"mmmm")</f>
        <v>October</v>
      </c>
      <c r="S13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50" s="193"/>
      <c r="U1350" s="43" t="e">
        <f>IF(Planning[[#This Row],[Horas Planificadas]]&lt;&gt;0,+K1350/Planning[[#This Row],[Horas Planificadas]],0)</f>
        <v>#REF!</v>
      </c>
      <c r="V1350" s="43" t="e">
        <f>IF(Planning[[#This Row],[Horas Planificadas]]&lt;&gt;0,Planning[[#This Row],[Horas utilizadas]]/Planning[[#This Row],[Horas Planificadas]],0)</f>
        <v>#REF!</v>
      </c>
      <c r="W1350" s="44">
        <f>Planning[[#This Row],[Horas Planificadas]]+Planning[[#This Row],[Horas ajustadas adicionales]]</f>
        <v>153</v>
      </c>
      <c r="X1350" s="142"/>
    </row>
    <row r="1351" spans="1:24" ht="12.75" customHeight="1" x14ac:dyDescent="0.2">
      <c r="A1351" s="7" t="s">
        <v>117</v>
      </c>
      <c r="B1351" s="7" t="s">
        <v>205</v>
      </c>
      <c r="C1351" s="3"/>
      <c r="D1351" s="3" t="s">
        <v>346</v>
      </c>
      <c r="E1351" s="33" t="s">
        <v>32</v>
      </c>
      <c r="F1351" s="33"/>
      <c r="G1351" s="7">
        <v>81</v>
      </c>
      <c r="H1351" s="24">
        <f>SUM(H1352:H1354)</f>
        <v>72</v>
      </c>
      <c r="I1351" s="14"/>
      <c r="J1351" s="14" t="e">
        <f>SUM(J1352:J1354)</f>
        <v>#REF!</v>
      </c>
      <c r="K1351" s="18" t="e">
        <f>SUM(K1352:K1354)</f>
        <v>#REF!</v>
      </c>
      <c r="L1351" s="15">
        <f>SUM(L1352:L1354)</f>
        <v>0</v>
      </c>
      <c r="M1351" s="16" t="e">
        <f>SUM(M1352:M1354)</f>
        <v>#REF!</v>
      </c>
      <c r="N1351" s="60" t="e">
        <f>+SUMIFS(#REF!,#REF!,Planning[[#This Row],[Proyectos]],#REF!,Planning[[#This Row],[Tipo de Tarea y especialidad]])</f>
        <v>#REF!</v>
      </c>
      <c r="O1351" s="16">
        <f t="shared" ref="O1351:O1414" si="42">$L$4</f>
        <v>10</v>
      </c>
      <c r="P1351" s="16">
        <f t="shared" ref="P1351:P1414" si="43">$M$4</f>
        <v>2024</v>
      </c>
      <c r="Q1351" s="16" t="e">
        <f>SUM(Q1352:Q1354)</f>
        <v>#REF!</v>
      </c>
      <c r="R1351" s="16" t="str">
        <f>TEXT(Planning[[#This Row],[Mes]]*29,"mmmm")</f>
        <v>October</v>
      </c>
      <c r="S13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51" s="193"/>
      <c r="U1351" s="43" t="e">
        <f>IF(Planning[[#This Row],[Horas Planificadas]]&lt;&gt;0,+K1351/Planning[[#This Row],[Horas Planificadas]],0)</f>
        <v>#REF!</v>
      </c>
      <c r="V1351" s="43" t="e">
        <f>IF(Planning[[#This Row],[Horas Planificadas]]&lt;&gt;0,Planning[[#This Row],[Horas utilizadas]]/Planning[[#This Row],[Horas Planificadas]],0)</f>
        <v>#REF!</v>
      </c>
      <c r="W1351" s="44">
        <f>Planning[[#This Row],[Horas Planificadas]]+Planning[[#This Row],[Horas ajustadas adicionales]]</f>
        <v>72</v>
      </c>
      <c r="X1351" s="142"/>
    </row>
    <row r="1352" spans="1:24" ht="12.75" customHeight="1" x14ac:dyDescent="0.2">
      <c r="A1352" s="7" t="s">
        <v>117</v>
      </c>
      <c r="B1352" s="7" t="s">
        <v>205</v>
      </c>
      <c r="C1352" s="3"/>
      <c r="D1352" s="3" t="s">
        <v>346</v>
      </c>
      <c r="E1352" s="33"/>
      <c r="F1352" s="33" t="s">
        <v>129</v>
      </c>
      <c r="G1352" s="7"/>
      <c r="H1352" s="7"/>
      <c r="I1352" s="12"/>
      <c r="J1352" s="5" t="e">
        <f>SUM(SUMIFS(#REF!,#REF!,Planning[[#This Row],[Tipo de Tarea y especialidad]],#REF!,Planning[[#This Row],[Proyectos Reiwa]]),SUMIFS(#REF!,#REF!,Planning[[#This Row],[Tipo de Tarea y especialidad]],#REF!,Planning[[#This Row],[Proyectos]]))</f>
        <v>#REF!</v>
      </c>
      <c r="K1352" s="5" t="e">
        <f>Planning[[#This Row],[Horas Planificadas]]+Planning[[#This Row],[Horas ajustadas adicionales]]-Planning[[#This Row],[Horas utilizadas]]</f>
        <v>#REF!</v>
      </c>
      <c r="L1352" s="7"/>
      <c r="M1352" s="19" t="e">
        <f>Planning[[#This Row],[Saldo]]-Planning[[#This Row],[Saldo estimado]]</f>
        <v>#REF!</v>
      </c>
      <c r="N1352" s="60" t="e">
        <f>+SUMIFS(#REF!,#REF!,Planning[[#This Row],[Proyectos]],#REF!,Planning[[#This Row],[Tipo de Tarea y especialidad]])</f>
        <v>#REF!</v>
      </c>
      <c r="O1352" s="19">
        <f t="shared" si="42"/>
        <v>10</v>
      </c>
      <c r="P1352" s="19">
        <f t="shared" si="43"/>
        <v>2024</v>
      </c>
      <c r="Q13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352" s="19" t="str">
        <f>TEXT(Planning[[#This Row],[Mes]]*29,"mmmm")</f>
        <v>October</v>
      </c>
      <c r="S13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52" s="193"/>
      <c r="U1352" s="43">
        <f>IF(Planning[[#This Row],[Horas Planificadas]]&lt;&gt;0,+K1352/Planning[[#This Row],[Horas Planificadas]],0)</f>
        <v>0</v>
      </c>
      <c r="V1352" s="43">
        <f>IF(Planning[[#This Row],[Horas Planificadas]]&lt;&gt;0,Planning[[#This Row],[Horas utilizadas]]/Planning[[#This Row],[Horas Planificadas]],0)</f>
        <v>0</v>
      </c>
      <c r="W1352" s="44">
        <f>Planning[[#This Row],[Horas Planificadas]]+Planning[[#This Row],[Horas ajustadas adicionales]]</f>
        <v>0</v>
      </c>
      <c r="X1352" s="142"/>
    </row>
    <row r="1353" spans="1:24" ht="12.75" customHeight="1" x14ac:dyDescent="0.2">
      <c r="A1353" s="7" t="s">
        <v>117</v>
      </c>
      <c r="B1353" s="7" t="s">
        <v>205</v>
      </c>
      <c r="C1353" s="3"/>
      <c r="D1353" s="3" t="s">
        <v>346</v>
      </c>
      <c r="E1353" s="33"/>
      <c r="F1353" s="33" t="s">
        <v>130</v>
      </c>
      <c r="G1353" s="7"/>
      <c r="H1353" s="7">
        <v>72</v>
      </c>
      <c r="I1353" s="12"/>
      <c r="J1353" s="5" t="e">
        <f>SUM(SUMIFS(#REF!,#REF!,Planning[[#This Row],[Tipo de Tarea y especialidad]],#REF!,Planning[[#This Row],[Proyectos Reiwa]]),SUMIFS(#REF!,#REF!,Planning[[#This Row],[Tipo de Tarea y especialidad]],#REF!,Planning[[#This Row],[Proyectos]]))</f>
        <v>#REF!</v>
      </c>
      <c r="K1353" s="5" t="e">
        <f>Planning[[#This Row],[Horas Planificadas]]+Planning[[#This Row],[Horas ajustadas adicionales]]-Planning[[#This Row],[Horas utilizadas]]</f>
        <v>#REF!</v>
      </c>
      <c r="L1353" s="7">
        <v>0</v>
      </c>
      <c r="M1353" s="19" t="e">
        <f>Planning[[#This Row],[Saldo]]-Planning[[#This Row],[Saldo estimado]]</f>
        <v>#REF!</v>
      </c>
      <c r="N1353" s="60" t="e">
        <f>+SUMIFS(#REF!,#REF!,Planning[[#This Row],[Proyectos]],#REF!,Planning[[#This Row],[Tipo de Tarea y especialidad]])</f>
        <v>#REF!</v>
      </c>
      <c r="O1353" s="19">
        <f t="shared" si="42"/>
        <v>10</v>
      </c>
      <c r="P1353" s="19">
        <f t="shared" si="43"/>
        <v>2024</v>
      </c>
      <c r="Q13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353" s="19" t="str">
        <f>TEXT(Planning[[#This Row],[Mes]]*29,"mmmm")</f>
        <v>October</v>
      </c>
      <c r="S13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53" s="193"/>
      <c r="U1353" s="43" t="e">
        <f>IF(Planning[[#This Row],[Horas Planificadas]]&lt;&gt;0,+K1353/Planning[[#This Row],[Horas Planificadas]],0)</f>
        <v>#REF!</v>
      </c>
      <c r="V1353" s="43" t="e">
        <f>IF(Planning[[#This Row],[Horas Planificadas]]&lt;&gt;0,Planning[[#This Row],[Horas utilizadas]]/Planning[[#This Row],[Horas Planificadas]],0)</f>
        <v>#REF!</v>
      </c>
      <c r="W1353" s="44">
        <f>Planning[[#This Row],[Horas Planificadas]]+Planning[[#This Row],[Horas ajustadas adicionales]]</f>
        <v>72</v>
      </c>
      <c r="X1353" s="142"/>
    </row>
    <row r="1354" spans="1:24" ht="12.75" customHeight="1" x14ac:dyDescent="0.2">
      <c r="A1354" s="7" t="s">
        <v>117</v>
      </c>
      <c r="B1354" s="7" t="s">
        <v>205</v>
      </c>
      <c r="C1354" s="3"/>
      <c r="D1354" s="3" t="s">
        <v>346</v>
      </c>
      <c r="E1354" s="33"/>
      <c r="F1354" s="33" t="s">
        <v>131</v>
      </c>
      <c r="G1354" s="7"/>
      <c r="H1354" s="7"/>
      <c r="I1354" s="12"/>
      <c r="J1354" s="5" t="e">
        <f>SUM(SUMIFS(#REF!,#REF!,Planning[[#This Row],[Tipo de Tarea y especialidad]],#REF!,Planning[[#This Row],[Proyectos Reiwa]]),SUMIFS(#REF!,#REF!,Planning[[#This Row],[Tipo de Tarea y especialidad]],#REF!,Planning[[#This Row],[Proyectos]]))</f>
        <v>#REF!</v>
      </c>
      <c r="K1354" s="5" t="e">
        <f>Planning[[#This Row],[Horas Planificadas]]+Planning[[#This Row],[Horas ajustadas adicionales]]-Planning[[#This Row],[Horas utilizadas]]</f>
        <v>#REF!</v>
      </c>
      <c r="L1354" s="7"/>
      <c r="M1354" s="19" t="e">
        <f>Planning[[#This Row],[Saldo]]-Planning[[#This Row],[Saldo estimado]]</f>
        <v>#REF!</v>
      </c>
      <c r="N1354" s="60" t="e">
        <f>+SUMIFS(#REF!,#REF!,Planning[[#This Row],[Proyectos]],#REF!,Planning[[#This Row],[Tipo de Tarea y especialidad]])</f>
        <v>#REF!</v>
      </c>
      <c r="O1354" s="19">
        <f t="shared" si="42"/>
        <v>10</v>
      </c>
      <c r="P1354" s="19">
        <f t="shared" si="43"/>
        <v>2024</v>
      </c>
      <c r="Q13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354" s="19" t="str">
        <f>TEXT(Planning[[#This Row],[Mes]]*29,"mmmm")</f>
        <v>October</v>
      </c>
      <c r="S13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54" s="193"/>
      <c r="U1354" s="43">
        <f>IF(Planning[[#This Row],[Horas Planificadas]]&lt;&gt;0,+K1354/Planning[[#This Row],[Horas Planificadas]],0)</f>
        <v>0</v>
      </c>
      <c r="V1354" s="43">
        <f>IF(Planning[[#This Row],[Horas Planificadas]]&lt;&gt;0,Planning[[#This Row],[Horas utilizadas]]/Planning[[#This Row],[Horas Planificadas]],0)</f>
        <v>0</v>
      </c>
      <c r="W1354" s="44">
        <f>Planning[[#This Row],[Horas Planificadas]]+Planning[[#This Row],[Horas ajustadas adicionales]]</f>
        <v>0</v>
      </c>
      <c r="X1354" s="142"/>
    </row>
    <row r="1355" spans="1:24" ht="12.75" customHeight="1" x14ac:dyDescent="0.2">
      <c r="A1355" s="7"/>
      <c r="B1355" s="7"/>
      <c r="C1355" s="3"/>
      <c r="D1355" s="3" t="s">
        <v>348</v>
      </c>
      <c r="E1355" s="33" t="s">
        <v>28</v>
      </c>
      <c r="F1355" s="33"/>
      <c r="G1355" s="7"/>
      <c r="H1355" s="7">
        <v>45</v>
      </c>
      <c r="I1355" s="12"/>
      <c r="J1355" s="5" t="e">
        <f>+SUMIFS(#REF!,#REF!,Planning[[#This Row],[Tarifa]],#REF!,Planning[[#This Row],[Proyectos]])</f>
        <v>#REF!</v>
      </c>
      <c r="K1355" s="5" t="e">
        <f>Planning[[#This Row],[Horas Planificadas]]+Planning[[#This Row],[Horas ajustadas adicionales]]-Planning[[#This Row],[Horas utilizadas]]</f>
        <v>#REF!</v>
      </c>
      <c r="L1355" s="7"/>
      <c r="M1355" s="19" t="e">
        <f>Planning[[#This Row],[Saldo]]-Planning[[#This Row],[Saldo estimado]]</f>
        <v>#REF!</v>
      </c>
      <c r="N1355" s="60" t="e">
        <f>+SUMIFS(#REF!,#REF!,Planning[[#This Row],[Proyectos]],#REF!,Planning[[#This Row],[Tipo de Tarea y especialidad]])</f>
        <v>#REF!</v>
      </c>
      <c r="O1355" s="19">
        <f t="shared" si="42"/>
        <v>10</v>
      </c>
      <c r="P1355" s="19">
        <f t="shared" si="43"/>
        <v>2024</v>
      </c>
      <c r="Q1355" s="19" t="e">
        <f>+SUMIFS(#REF!,#REF!,Planning[[#This Row],[Tarifa]],#REF!,Planning[[#This Row],[Proyectos]],#REF!,Planning[[#This Row],[Mes]],#REF!,Planning[[#This Row],[Año]])</f>
        <v>#REF!</v>
      </c>
      <c r="R1355" s="19" t="str">
        <f>TEXT(Planning[[#This Row],[Mes]]*29,"mmmm")</f>
        <v>October</v>
      </c>
      <c r="S13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55" s="228"/>
      <c r="U1355" s="43" t="e">
        <f>IF(Planning[[#This Row],[Horas Planificadas]]&lt;&gt;0,+K1355/Planning[[#This Row],[Horas Planificadas]],0)</f>
        <v>#REF!</v>
      </c>
      <c r="V1355" s="43" t="e">
        <f>IF(Planning[[#This Row],[Horas Planificadas]]&lt;&gt;0,Planning[[#This Row],[Horas utilizadas]]/Planning[[#This Row],[Horas Planificadas]],0)</f>
        <v>#REF!</v>
      </c>
      <c r="W1355" s="44">
        <f>Planning[[#This Row],[Horas Planificadas]]+Planning[[#This Row],[Horas ajustadas adicionales]]</f>
        <v>45</v>
      </c>
      <c r="X1355" s="142"/>
    </row>
    <row r="1356" spans="1:24" ht="12.75" customHeight="1" x14ac:dyDescent="0.2">
      <c r="A1356" s="7"/>
      <c r="B1356" s="7"/>
      <c r="C1356" s="3"/>
      <c r="D1356" s="3" t="s">
        <v>348</v>
      </c>
      <c r="E1356" s="33" t="s">
        <v>30</v>
      </c>
      <c r="F1356" s="33"/>
      <c r="G1356" s="7"/>
      <c r="H1356" s="7">
        <v>97</v>
      </c>
      <c r="I1356" s="12"/>
      <c r="J1356" s="5" t="e">
        <f>+SUMIFS(#REF!,#REF!,Planning[[#This Row],[Tarifa]],#REF!,Planning[[#This Row],[Proyectos]])</f>
        <v>#REF!</v>
      </c>
      <c r="K1356" s="5" t="e">
        <f>Planning[[#This Row],[Horas Planificadas]]+Planning[[#This Row],[Horas ajustadas adicionales]]-Planning[[#This Row],[Horas utilizadas]]</f>
        <v>#REF!</v>
      </c>
      <c r="L1356" s="7"/>
      <c r="M1356" s="19" t="e">
        <f>Planning[[#This Row],[Saldo]]-Planning[[#This Row],[Saldo estimado]]</f>
        <v>#REF!</v>
      </c>
      <c r="N1356" s="60" t="e">
        <f>+SUMIFS(#REF!,#REF!,Planning[[#This Row],[Proyectos]],#REF!,Planning[[#This Row],[Tipo de Tarea y especialidad]])</f>
        <v>#REF!</v>
      </c>
      <c r="O1356" s="19">
        <f t="shared" si="42"/>
        <v>10</v>
      </c>
      <c r="P1356" s="19">
        <f t="shared" si="43"/>
        <v>2024</v>
      </c>
      <c r="Q1356" s="19" t="e">
        <f>+SUMIFS(#REF!,#REF!,Planning[[#This Row],[Tarifa]],#REF!,Planning[[#This Row],[Proyectos]],#REF!,Planning[[#This Row],[Mes]],#REF!,Planning[[#This Row],[Año]])</f>
        <v>#REF!</v>
      </c>
      <c r="R1356" s="19" t="str">
        <f>TEXT(Planning[[#This Row],[Mes]]*29,"mmmm")</f>
        <v>October</v>
      </c>
      <c r="S13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56" s="228"/>
      <c r="U1356" s="43" t="e">
        <f>IF(Planning[[#This Row],[Horas Planificadas]]&lt;&gt;0,+K1356/Planning[[#This Row],[Horas Planificadas]],0)</f>
        <v>#REF!</v>
      </c>
      <c r="V1356" s="43" t="e">
        <f>IF(Planning[[#This Row],[Horas Planificadas]]&lt;&gt;0,Planning[[#This Row],[Horas utilizadas]]/Planning[[#This Row],[Horas Planificadas]],0)</f>
        <v>#REF!</v>
      </c>
      <c r="W1356" s="44">
        <f>Planning[[#This Row],[Horas Planificadas]]+Planning[[#This Row],[Horas ajustadas adicionales]]</f>
        <v>97</v>
      </c>
      <c r="X1356" s="142"/>
    </row>
    <row r="1357" spans="1:24" ht="12.75" customHeight="1" x14ac:dyDescent="0.2">
      <c r="A1357" s="7"/>
      <c r="B1357" s="7"/>
      <c r="C1357" s="3"/>
      <c r="D1357" s="3" t="s">
        <v>348</v>
      </c>
      <c r="E1357" s="33" t="s">
        <v>31</v>
      </c>
      <c r="F1357" s="33"/>
      <c r="G1357" s="7"/>
      <c r="H1357" s="7">
        <v>90</v>
      </c>
      <c r="I1357" s="12"/>
      <c r="J1357" s="5" t="e">
        <f>+SUMIFS(#REF!,#REF!,Planning[[#This Row],[Tarifa]],#REF!,Planning[[#This Row],[Proyectos]])</f>
        <v>#REF!</v>
      </c>
      <c r="K1357" s="5" t="e">
        <f>Planning[[#This Row],[Horas Planificadas]]+Planning[[#This Row],[Horas ajustadas adicionales]]-Planning[[#This Row],[Horas utilizadas]]</f>
        <v>#REF!</v>
      </c>
      <c r="L1357" s="7"/>
      <c r="M1357" s="19" t="e">
        <f>Planning[[#This Row],[Saldo]]-Planning[[#This Row],[Saldo estimado]]</f>
        <v>#REF!</v>
      </c>
      <c r="N1357" s="60" t="e">
        <f>+SUMIFS(#REF!,#REF!,Planning[[#This Row],[Proyectos]],#REF!,Planning[[#This Row],[Tipo de Tarea y especialidad]])</f>
        <v>#REF!</v>
      </c>
      <c r="O1357" s="19">
        <f t="shared" si="42"/>
        <v>10</v>
      </c>
      <c r="P1357" s="19">
        <f t="shared" si="43"/>
        <v>2024</v>
      </c>
      <c r="Q1357" s="19" t="e">
        <f>+SUMIFS(#REF!,#REF!,Planning[[#This Row],[Tarifa]],#REF!,Planning[[#This Row],[Proyectos]],#REF!,Planning[[#This Row],[Mes]],#REF!,Planning[[#This Row],[Año]])</f>
        <v>#REF!</v>
      </c>
      <c r="R1357" s="19" t="str">
        <f>TEXT(Planning[[#This Row],[Mes]]*29,"mmmm")</f>
        <v>October</v>
      </c>
      <c r="S13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57" s="228"/>
      <c r="U1357" s="43" t="e">
        <f>IF(Planning[[#This Row],[Horas Planificadas]]&lt;&gt;0,+K1357/Planning[[#This Row],[Horas Planificadas]],0)</f>
        <v>#REF!</v>
      </c>
      <c r="V1357" s="43" t="e">
        <f>IF(Planning[[#This Row],[Horas Planificadas]]&lt;&gt;0,Planning[[#This Row],[Horas utilizadas]]/Planning[[#This Row],[Horas Planificadas]],0)</f>
        <v>#REF!</v>
      </c>
      <c r="W1357" s="44">
        <f>Planning[[#This Row],[Horas Planificadas]]+Planning[[#This Row],[Horas ajustadas adicionales]]</f>
        <v>90</v>
      </c>
      <c r="X1357" s="142"/>
    </row>
    <row r="1358" spans="1:24" ht="12.75" customHeight="1" x14ac:dyDescent="0.2">
      <c r="A1358" s="7"/>
      <c r="B1358" s="7"/>
      <c r="C1358" s="3"/>
      <c r="D1358" s="3" t="s">
        <v>348</v>
      </c>
      <c r="E1358" s="33" t="s">
        <v>32</v>
      </c>
      <c r="F1358" s="33"/>
      <c r="G1358" s="7"/>
      <c r="H1358" s="7">
        <v>54</v>
      </c>
      <c r="I1358" s="12"/>
      <c r="J1358" s="5" t="e">
        <f>+SUMIFS(#REF!,#REF!,Planning[[#This Row],[Tarifa]],#REF!,Planning[[#This Row],[Proyectos]])</f>
        <v>#REF!</v>
      </c>
      <c r="K1358" s="5" t="e">
        <f>Planning[[#This Row],[Horas Planificadas]]+Planning[[#This Row],[Horas ajustadas adicionales]]-Planning[[#This Row],[Horas utilizadas]]</f>
        <v>#REF!</v>
      </c>
      <c r="L1358" s="7"/>
      <c r="M1358" s="19" t="e">
        <f>Planning[[#This Row],[Saldo]]-Planning[[#This Row],[Saldo estimado]]</f>
        <v>#REF!</v>
      </c>
      <c r="N1358" s="60" t="e">
        <f>+SUMIFS(#REF!,#REF!,Planning[[#This Row],[Proyectos]],#REF!,Planning[[#This Row],[Tipo de Tarea y especialidad]])</f>
        <v>#REF!</v>
      </c>
      <c r="O1358" s="19">
        <f t="shared" si="42"/>
        <v>10</v>
      </c>
      <c r="P1358" s="19">
        <f t="shared" si="43"/>
        <v>2024</v>
      </c>
      <c r="Q1358" s="19" t="e">
        <f>+SUMIFS(#REF!,#REF!,Planning[[#This Row],[Tarifa]],#REF!,Planning[[#This Row],[Proyectos]],#REF!,Planning[[#This Row],[Mes]],#REF!,Planning[[#This Row],[Año]])</f>
        <v>#REF!</v>
      </c>
      <c r="R1358" s="19" t="str">
        <f>TEXT(Planning[[#This Row],[Mes]]*29,"mmmm")</f>
        <v>October</v>
      </c>
      <c r="S13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58" s="228"/>
      <c r="U1358" s="43" t="e">
        <f>IF(Planning[[#This Row],[Horas Planificadas]]&lt;&gt;0,+K1358/Planning[[#This Row],[Horas Planificadas]],0)</f>
        <v>#REF!</v>
      </c>
      <c r="V1358" s="43" t="e">
        <f>IF(Planning[[#This Row],[Horas Planificadas]]&lt;&gt;0,Planning[[#This Row],[Horas utilizadas]]/Planning[[#This Row],[Horas Planificadas]],0)</f>
        <v>#REF!</v>
      </c>
      <c r="W1358" s="44">
        <f>Planning[[#This Row],[Horas Planificadas]]+Planning[[#This Row],[Horas ajustadas adicionales]]</f>
        <v>54</v>
      </c>
      <c r="X1358" s="142"/>
    </row>
    <row r="1359" spans="1:24" ht="12.75" customHeight="1" x14ac:dyDescent="0.2">
      <c r="A1359" s="7"/>
      <c r="B1359" s="7"/>
      <c r="C1359" s="3"/>
      <c r="D1359" s="3" t="s">
        <v>349</v>
      </c>
      <c r="E1359" s="33" t="s">
        <v>28</v>
      </c>
      <c r="F1359" s="33"/>
      <c r="G1359" s="7"/>
      <c r="H1359" s="7">
        <v>324</v>
      </c>
      <c r="I1359" s="12"/>
      <c r="J1359" s="5" t="e">
        <f>+SUMIFS(#REF!,#REF!,Planning[[#This Row],[Tarifa]],#REF!,Planning[[#This Row],[Proyectos]])</f>
        <v>#REF!</v>
      </c>
      <c r="K1359" s="5" t="e">
        <f>Planning[[#This Row],[Horas Planificadas]]+Planning[[#This Row],[Horas ajustadas adicionales]]-Planning[[#This Row],[Horas utilizadas]]</f>
        <v>#REF!</v>
      </c>
      <c r="L1359" s="7"/>
      <c r="M1359" s="19" t="e">
        <f>Planning[[#This Row],[Saldo]]-Planning[[#This Row],[Saldo estimado]]</f>
        <v>#REF!</v>
      </c>
      <c r="N1359" s="60" t="e">
        <f>+SUMIFS(#REF!,#REF!,Planning[[#This Row],[Proyectos]],#REF!,Planning[[#This Row],[Tipo de Tarea y especialidad]])</f>
        <v>#REF!</v>
      </c>
      <c r="O1359" s="19">
        <f t="shared" si="42"/>
        <v>10</v>
      </c>
      <c r="P1359" s="19">
        <f t="shared" si="43"/>
        <v>2024</v>
      </c>
      <c r="Q1359" s="19" t="e">
        <f>+SUMIFS(#REF!,#REF!,Planning[[#This Row],[Tarifa]],#REF!,Planning[[#This Row],[Proyectos]],#REF!,Planning[[#This Row],[Mes]],#REF!,Planning[[#This Row],[Año]])</f>
        <v>#REF!</v>
      </c>
      <c r="R1359" s="19" t="str">
        <f>TEXT(Planning[[#This Row],[Mes]]*29,"mmmm")</f>
        <v>October</v>
      </c>
      <c r="S13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59" s="228"/>
      <c r="U1359" s="43" t="e">
        <f>IF(Planning[[#This Row],[Horas Planificadas]]&lt;&gt;0,+K1359/Planning[[#This Row],[Horas Planificadas]],0)</f>
        <v>#REF!</v>
      </c>
      <c r="V1359" s="43" t="e">
        <f>IF(Planning[[#This Row],[Horas Planificadas]]&lt;&gt;0,Planning[[#This Row],[Horas utilizadas]]/Planning[[#This Row],[Horas Planificadas]],0)</f>
        <v>#REF!</v>
      </c>
      <c r="W1359" s="44">
        <f>Planning[[#This Row],[Horas Planificadas]]+Planning[[#This Row],[Horas ajustadas adicionales]]</f>
        <v>324</v>
      </c>
      <c r="X1359" s="142"/>
    </row>
    <row r="1360" spans="1:24" ht="12.75" customHeight="1" x14ac:dyDescent="0.2">
      <c r="A1360" s="7"/>
      <c r="B1360" s="7"/>
      <c r="C1360" s="3"/>
      <c r="D1360" s="3" t="s">
        <v>349</v>
      </c>
      <c r="E1360" s="33" t="s">
        <v>30</v>
      </c>
      <c r="F1360" s="33"/>
      <c r="G1360" s="7"/>
      <c r="H1360" s="7">
        <v>414</v>
      </c>
      <c r="I1360" s="12"/>
      <c r="J1360" s="5" t="e">
        <f>+SUMIFS(#REF!,#REF!,Planning[[#This Row],[Tarifa]],#REF!,Planning[[#This Row],[Proyectos]])</f>
        <v>#REF!</v>
      </c>
      <c r="K1360" s="5" t="e">
        <f>Planning[[#This Row],[Horas Planificadas]]+Planning[[#This Row],[Horas ajustadas adicionales]]-Planning[[#This Row],[Horas utilizadas]]</f>
        <v>#REF!</v>
      </c>
      <c r="L1360" s="7"/>
      <c r="M1360" s="19" t="e">
        <f>Planning[[#This Row],[Saldo]]-Planning[[#This Row],[Saldo estimado]]</f>
        <v>#REF!</v>
      </c>
      <c r="N1360" s="60" t="e">
        <f>+SUMIFS(#REF!,#REF!,Planning[[#This Row],[Proyectos]],#REF!,Planning[[#This Row],[Tipo de Tarea y especialidad]])</f>
        <v>#REF!</v>
      </c>
      <c r="O1360" s="19">
        <f t="shared" si="42"/>
        <v>10</v>
      </c>
      <c r="P1360" s="19">
        <f t="shared" si="43"/>
        <v>2024</v>
      </c>
      <c r="Q1360" s="19" t="e">
        <f>+SUMIFS(#REF!,#REF!,Planning[[#This Row],[Tarifa]],#REF!,Planning[[#This Row],[Proyectos]],#REF!,Planning[[#This Row],[Mes]],#REF!,Planning[[#This Row],[Año]])</f>
        <v>#REF!</v>
      </c>
      <c r="R1360" s="19" t="str">
        <f>TEXT(Planning[[#This Row],[Mes]]*29,"mmmm")</f>
        <v>October</v>
      </c>
      <c r="S13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60" s="228"/>
      <c r="U1360" s="43" t="e">
        <f>IF(Planning[[#This Row],[Horas Planificadas]]&lt;&gt;0,+K1360/Planning[[#This Row],[Horas Planificadas]],0)</f>
        <v>#REF!</v>
      </c>
      <c r="V1360" s="43" t="e">
        <f>IF(Planning[[#This Row],[Horas Planificadas]]&lt;&gt;0,Planning[[#This Row],[Horas utilizadas]]/Planning[[#This Row],[Horas Planificadas]],0)</f>
        <v>#REF!</v>
      </c>
      <c r="W1360" s="44">
        <f>Planning[[#This Row],[Horas Planificadas]]+Planning[[#This Row],[Horas ajustadas adicionales]]</f>
        <v>414</v>
      </c>
      <c r="X1360" s="142"/>
    </row>
    <row r="1361" spans="1:24" ht="12.75" customHeight="1" x14ac:dyDescent="0.2">
      <c r="A1361" s="7"/>
      <c r="B1361" s="7"/>
      <c r="C1361" s="3"/>
      <c r="D1361" s="3" t="s">
        <v>349</v>
      </c>
      <c r="E1361" s="33" t="s">
        <v>31</v>
      </c>
      <c r="F1361" s="33"/>
      <c r="G1361" s="7"/>
      <c r="H1361" s="7">
        <v>497</v>
      </c>
      <c r="I1361" s="12"/>
      <c r="J1361" s="5" t="e">
        <f>+SUMIFS(#REF!,#REF!,Planning[[#This Row],[Tarifa]],#REF!,Planning[[#This Row],[Proyectos]])</f>
        <v>#REF!</v>
      </c>
      <c r="K1361" s="5" t="e">
        <f>Planning[[#This Row],[Horas Planificadas]]+Planning[[#This Row],[Horas ajustadas adicionales]]-Planning[[#This Row],[Horas utilizadas]]</f>
        <v>#REF!</v>
      </c>
      <c r="L1361" s="7"/>
      <c r="M1361" s="19" t="e">
        <f>Planning[[#This Row],[Saldo]]-Planning[[#This Row],[Saldo estimado]]</f>
        <v>#REF!</v>
      </c>
      <c r="N1361" s="60" t="e">
        <f>+SUMIFS(#REF!,#REF!,Planning[[#This Row],[Proyectos]],#REF!,Planning[[#This Row],[Tipo de Tarea y especialidad]])</f>
        <v>#REF!</v>
      </c>
      <c r="O1361" s="19">
        <f t="shared" si="42"/>
        <v>10</v>
      </c>
      <c r="P1361" s="19">
        <f t="shared" si="43"/>
        <v>2024</v>
      </c>
      <c r="Q1361" s="19" t="e">
        <f>+SUMIFS(#REF!,#REF!,Planning[[#This Row],[Tarifa]],#REF!,Planning[[#This Row],[Proyectos]],#REF!,Planning[[#This Row],[Mes]],#REF!,Planning[[#This Row],[Año]])</f>
        <v>#REF!</v>
      </c>
      <c r="R1361" s="19" t="str">
        <f>TEXT(Planning[[#This Row],[Mes]]*29,"mmmm")</f>
        <v>October</v>
      </c>
      <c r="S13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61" s="228"/>
      <c r="U1361" s="43" t="e">
        <f>IF(Planning[[#This Row],[Horas Planificadas]]&lt;&gt;0,+K1361/Planning[[#This Row],[Horas Planificadas]],0)</f>
        <v>#REF!</v>
      </c>
      <c r="V1361" s="43" t="e">
        <f>IF(Planning[[#This Row],[Horas Planificadas]]&lt;&gt;0,Planning[[#This Row],[Horas utilizadas]]/Planning[[#This Row],[Horas Planificadas]],0)</f>
        <v>#REF!</v>
      </c>
      <c r="W1361" s="44">
        <f>Planning[[#This Row],[Horas Planificadas]]+Planning[[#This Row],[Horas ajustadas adicionales]]</f>
        <v>497</v>
      </c>
      <c r="X1361" s="142"/>
    </row>
    <row r="1362" spans="1:24" ht="12.75" customHeight="1" x14ac:dyDescent="0.2">
      <c r="A1362" s="7"/>
      <c r="B1362" s="7"/>
      <c r="C1362" s="3"/>
      <c r="D1362" s="3" t="s">
        <v>349</v>
      </c>
      <c r="E1362" s="33" t="s">
        <v>32</v>
      </c>
      <c r="F1362" s="33"/>
      <c r="G1362" s="7"/>
      <c r="H1362" s="7">
        <v>561</v>
      </c>
      <c r="I1362" s="12"/>
      <c r="J1362" s="5" t="e">
        <f>+SUMIFS(#REF!,#REF!,Planning[[#This Row],[Tarifa]],#REF!,Planning[[#This Row],[Proyectos]])</f>
        <v>#REF!</v>
      </c>
      <c r="K1362" s="5" t="e">
        <f>Planning[[#This Row],[Horas Planificadas]]+Planning[[#This Row],[Horas ajustadas adicionales]]-Planning[[#This Row],[Horas utilizadas]]</f>
        <v>#REF!</v>
      </c>
      <c r="L1362" s="7"/>
      <c r="M1362" s="19" t="e">
        <f>Planning[[#This Row],[Saldo]]-Planning[[#This Row],[Saldo estimado]]</f>
        <v>#REF!</v>
      </c>
      <c r="N1362" s="60" t="e">
        <f>+SUMIFS(#REF!,#REF!,Planning[[#This Row],[Proyectos]],#REF!,Planning[[#This Row],[Tipo de Tarea y especialidad]])</f>
        <v>#REF!</v>
      </c>
      <c r="O1362" s="19">
        <f t="shared" si="42"/>
        <v>10</v>
      </c>
      <c r="P1362" s="19">
        <f t="shared" si="43"/>
        <v>2024</v>
      </c>
      <c r="Q1362" s="19" t="e">
        <f>+SUMIFS(#REF!,#REF!,Planning[[#This Row],[Tarifa]],#REF!,Planning[[#This Row],[Proyectos]],#REF!,Planning[[#This Row],[Mes]],#REF!,Planning[[#This Row],[Año]])</f>
        <v>#REF!</v>
      </c>
      <c r="R1362" s="19" t="str">
        <f>TEXT(Planning[[#This Row],[Mes]]*29,"mmmm")</f>
        <v>October</v>
      </c>
      <c r="S13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62" s="228"/>
      <c r="U1362" s="43" t="e">
        <f>IF(Planning[[#This Row],[Horas Planificadas]]&lt;&gt;0,+K1362/Planning[[#This Row],[Horas Planificadas]],0)</f>
        <v>#REF!</v>
      </c>
      <c r="V1362" s="43" t="e">
        <f>IF(Planning[[#This Row],[Horas Planificadas]]&lt;&gt;0,Planning[[#This Row],[Horas utilizadas]]/Planning[[#This Row],[Horas Planificadas]],0)</f>
        <v>#REF!</v>
      </c>
      <c r="W1362" s="44">
        <f>Planning[[#This Row],[Horas Planificadas]]+Planning[[#This Row],[Horas ajustadas adicionales]]</f>
        <v>561</v>
      </c>
      <c r="X1362" s="142"/>
    </row>
    <row r="1363" spans="1:24" ht="12.75" customHeight="1" x14ac:dyDescent="0.2">
      <c r="A1363" s="7"/>
      <c r="B1363" s="7"/>
      <c r="C1363" s="3"/>
      <c r="D1363" s="3" t="s">
        <v>350</v>
      </c>
      <c r="E1363" s="33" t="s">
        <v>28</v>
      </c>
      <c r="F1363" s="33"/>
      <c r="G1363" s="7"/>
      <c r="H1363" s="7">
        <v>0</v>
      </c>
      <c r="I1363" s="12"/>
      <c r="J1363" s="5" t="e">
        <f>+SUMIFS(#REF!,#REF!,Planning[[#This Row],[Tarifa]],#REF!,Planning[[#This Row],[Proyectos]])</f>
        <v>#REF!</v>
      </c>
      <c r="K1363" s="5" t="e">
        <f>Planning[[#This Row],[Horas Planificadas]]+Planning[[#This Row],[Horas ajustadas adicionales]]-Planning[[#This Row],[Horas utilizadas]]</f>
        <v>#REF!</v>
      </c>
      <c r="L1363" s="7"/>
      <c r="M1363" s="19" t="e">
        <f>Planning[[#This Row],[Saldo]]-Planning[[#This Row],[Saldo estimado]]</f>
        <v>#REF!</v>
      </c>
      <c r="N1363" s="60" t="e">
        <f>+SUMIFS(#REF!,#REF!,Planning[[#This Row],[Proyectos]],#REF!,Planning[[#This Row],[Tipo de Tarea y especialidad]])</f>
        <v>#REF!</v>
      </c>
      <c r="O1363" s="19">
        <f t="shared" si="42"/>
        <v>10</v>
      </c>
      <c r="P1363" s="19">
        <f t="shared" si="43"/>
        <v>2024</v>
      </c>
      <c r="Q1363" s="19" t="e">
        <f>+SUMIFS(#REF!,#REF!,Planning[[#This Row],[Tarifa]],#REF!,Planning[[#This Row],[Proyectos]],#REF!,Planning[[#This Row],[Mes]],#REF!,Planning[[#This Row],[Año]])</f>
        <v>#REF!</v>
      </c>
      <c r="R1363" s="19" t="str">
        <f>TEXT(Planning[[#This Row],[Mes]]*29,"mmmm")</f>
        <v>October</v>
      </c>
      <c r="S13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63" s="228"/>
      <c r="U1363" s="43">
        <f>IF(Planning[[#This Row],[Horas Planificadas]]&lt;&gt;0,+K1363/Planning[[#This Row],[Horas Planificadas]],0)</f>
        <v>0</v>
      </c>
      <c r="V1363" s="43">
        <f>IF(Planning[[#This Row],[Horas Planificadas]]&lt;&gt;0,Planning[[#This Row],[Horas utilizadas]]/Planning[[#This Row],[Horas Planificadas]],0)</f>
        <v>0</v>
      </c>
      <c r="W1363" s="44">
        <f>Planning[[#This Row],[Horas Planificadas]]+Planning[[#This Row],[Horas ajustadas adicionales]]</f>
        <v>0</v>
      </c>
      <c r="X1363" s="142"/>
    </row>
    <row r="1364" spans="1:24" ht="12.75" customHeight="1" x14ac:dyDescent="0.2">
      <c r="A1364" s="7"/>
      <c r="B1364" s="7"/>
      <c r="C1364" s="3"/>
      <c r="D1364" s="3" t="s">
        <v>350</v>
      </c>
      <c r="E1364" s="33" t="s">
        <v>30</v>
      </c>
      <c r="F1364" s="33"/>
      <c r="G1364" s="7"/>
      <c r="H1364" s="7">
        <v>9</v>
      </c>
      <c r="I1364" s="12"/>
      <c r="J1364" s="5" t="e">
        <f>+SUMIFS(#REF!,#REF!,Planning[[#This Row],[Tarifa]],#REF!,Planning[[#This Row],[Proyectos]])</f>
        <v>#REF!</v>
      </c>
      <c r="K1364" s="5" t="e">
        <f>Planning[[#This Row],[Horas Planificadas]]+Planning[[#This Row],[Horas ajustadas adicionales]]-Planning[[#This Row],[Horas utilizadas]]</f>
        <v>#REF!</v>
      </c>
      <c r="L1364" s="7"/>
      <c r="M1364" s="19" t="e">
        <f>Planning[[#This Row],[Saldo]]-Planning[[#This Row],[Saldo estimado]]</f>
        <v>#REF!</v>
      </c>
      <c r="N1364" s="60" t="e">
        <f>+SUMIFS(#REF!,#REF!,Planning[[#This Row],[Proyectos]],#REF!,Planning[[#This Row],[Tipo de Tarea y especialidad]])</f>
        <v>#REF!</v>
      </c>
      <c r="O1364" s="19">
        <f t="shared" si="42"/>
        <v>10</v>
      </c>
      <c r="P1364" s="19">
        <f t="shared" si="43"/>
        <v>2024</v>
      </c>
      <c r="Q1364" s="19" t="e">
        <f>+SUMIFS(#REF!,#REF!,Planning[[#This Row],[Tarifa]],#REF!,Planning[[#This Row],[Proyectos]],#REF!,Planning[[#This Row],[Mes]],#REF!,Planning[[#This Row],[Año]])</f>
        <v>#REF!</v>
      </c>
      <c r="R1364" s="19" t="str">
        <f>TEXT(Planning[[#This Row],[Mes]]*29,"mmmm")</f>
        <v>October</v>
      </c>
      <c r="S13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64" s="228"/>
      <c r="U1364" s="43" t="e">
        <f>IF(Planning[[#This Row],[Horas Planificadas]]&lt;&gt;0,+K1364/Planning[[#This Row],[Horas Planificadas]],0)</f>
        <v>#REF!</v>
      </c>
      <c r="V1364" s="43" t="e">
        <f>IF(Planning[[#This Row],[Horas Planificadas]]&lt;&gt;0,Planning[[#This Row],[Horas utilizadas]]/Planning[[#This Row],[Horas Planificadas]],0)</f>
        <v>#REF!</v>
      </c>
      <c r="W1364" s="44">
        <f>Planning[[#This Row],[Horas Planificadas]]+Planning[[#This Row],[Horas ajustadas adicionales]]</f>
        <v>9</v>
      </c>
      <c r="X1364" s="142"/>
    </row>
    <row r="1365" spans="1:24" ht="12.75" customHeight="1" x14ac:dyDescent="0.2">
      <c r="A1365" s="7"/>
      <c r="B1365" s="7"/>
      <c r="C1365" s="3"/>
      <c r="D1365" s="3" t="s">
        <v>350</v>
      </c>
      <c r="E1365" s="33" t="s">
        <v>31</v>
      </c>
      <c r="F1365" s="33"/>
      <c r="G1365" s="7"/>
      <c r="H1365" s="7">
        <v>4</v>
      </c>
      <c r="I1365" s="12"/>
      <c r="J1365" s="5" t="e">
        <f>+SUMIFS(#REF!,#REF!,Planning[[#This Row],[Tarifa]],#REF!,Planning[[#This Row],[Proyectos]])</f>
        <v>#REF!</v>
      </c>
      <c r="K1365" s="5" t="e">
        <f>Planning[[#This Row],[Horas Planificadas]]+Planning[[#This Row],[Horas ajustadas adicionales]]-Planning[[#This Row],[Horas utilizadas]]</f>
        <v>#REF!</v>
      </c>
      <c r="L1365" s="7"/>
      <c r="M1365" s="19" t="e">
        <f>Planning[[#This Row],[Saldo]]-Planning[[#This Row],[Saldo estimado]]</f>
        <v>#REF!</v>
      </c>
      <c r="N1365" s="60" t="e">
        <f>+SUMIFS(#REF!,#REF!,Planning[[#This Row],[Proyectos]],#REF!,Planning[[#This Row],[Tipo de Tarea y especialidad]])</f>
        <v>#REF!</v>
      </c>
      <c r="O1365" s="19">
        <f t="shared" si="42"/>
        <v>10</v>
      </c>
      <c r="P1365" s="19">
        <f t="shared" si="43"/>
        <v>2024</v>
      </c>
      <c r="Q1365" s="19" t="e">
        <f>+SUMIFS(#REF!,#REF!,Planning[[#This Row],[Tarifa]],#REF!,Planning[[#This Row],[Proyectos]],#REF!,Planning[[#This Row],[Mes]],#REF!,Planning[[#This Row],[Año]])</f>
        <v>#REF!</v>
      </c>
      <c r="R1365" s="19" t="str">
        <f>TEXT(Planning[[#This Row],[Mes]]*29,"mmmm")</f>
        <v>October</v>
      </c>
      <c r="S13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65" s="228"/>
      <c r="U1365" s="43" t="e">
        <f>IF(Planning[[#This Row],[Horas Planificadas]]&lt;&gt;0,+K1365/Planning[[#This Row],[Horas Planificadas]],0)</f>
        <v>#REF!</v>
      </c>
      <c r="V1365" s="43" t="e">
        <f>IF(Planning[[#This Row],[Horas Planificadas]]&lt;&gt;0,Planning[[#This Row],[Horas utilizadas]]/Planning[[#This Row],[Horas Planificadas]],0)</f>
        <v>#REF!</v>
      </c>
      <c r="W1365" s="44">
        <f>Planning[[#This Row],[Horas Planificadas]]+Planning[[#This Row],[Horas ajustadas adicionales]]</f>
        <v>4</v>
      </c>
      <c r="X1365" s="142"/>
    </row>
    <row r="1366" spans="1:24" ht="12.75" customHeight="1" x14ac:dyDescent="0.2">
      <c r="A1366" s="7"/>
      <c r="B1366" s="7"/>
      <c r="C1366" s="3"/>
      <c r="D1366" s="3" t="s">
        <v>350</v>
      </c>
      <c r="E1366" s="33" t="s">
        <v>32</v>
      </c>
      <c r="F1366" s="33"/>
      <c r="G1366" s="7"/>
      <c r="H1366" s="7">
        <v>27</v>
      </c>
      <c r="I1366" s="12"/>
      <c r="J1366" s="5" t="e">
        <f>+SUMIFS(#REF!,#REF!,Planning[[#This Row],[Tarifa]],#REF!,Planning[[#This Row],[Proyectos]])</f>
        <v>#REF!</v>
      </c>
      <c r="K1366" s="5" t="e">
        <f>Planning[[#This Row],[Horas Planificadas]]+Planning[[#This Row],[Horas ajustadas adicionales]]-Planning[[#This Row],[Horas utilizadas]]</f>
        <v>#REF!</v>
      </c>
      <c r="L1366" s="7"/>
      <c r="M1366" s="19" t="e">
        <f>Planning[[#This Row],[Saldo]]-Planning[[#This Row],[Saldo estimado]]</f>
        <v>#REF!</v>
      </c>
      <c r="N1366" s="60" t="e">
        <f>+SUMIFS(#REF!,#REF!,Planning[[#This Row],[Proyectos]],#REF!,Planning[[#This Row],[Tipo de Tarea y especialidad]])</f>
        <v>#REF!</v>
      </c>
      <c r="O1366" s="19">
        <f t="shared" si="42"/>
        <v>10</v>
      </c>
      <c r="P1366" s="19">
        <f t="shared" si="43"/>
        <v>2024</v>
      </c>
      <c r="Q1366" s="19" t="e">
        <f>+SUMIFS(#REF!,#REF!,Planning[[#This Row],[Tarifa]],#REF!,Planning[[#This Row],[Proyectos]],#REF!,Planning[[#This Row],[Mes]],#REF!,Planning[[#This Row],[Año]])</f>
        <v>#REF!</v>
      </c>
      <c r="R1366" s="19" t="str">
        <f>TEXT(Planning[[#This Row],[Mes]]*29,"mmmm")</f>
        <v>October</v>
      </c>
      <c r="S13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66" s="228"/>
      <c r="U1366" s="43" t="e">
        <f>IF(Planning[[#This Row],[Horas Planificadas]]&lt;&gt;0,+K1366/Planning[[#This Row],[Horas Planificadas]],0)</f>
        <v>#REF!</v>
      </c>
      <c r="V1366" s="43" t="e">
        <f>IF(Planning[[#This Row],[Horas Planificadas]]&lt;&gt;0,Planning[[#This Row],[Horas utilizadas]]/Planning[[#This Row],[Horas Planificadas]],0)</f>
        <v>#REF!</v>
      </c>
      <c r="W1366" s="44">
        <f>Planning[[#This Row],[Horas Planificadas]]+Planning[[#This Row],[Horas ajustadas adicionales]]</f>
        <v>27</v>
      </c>
      <c r="X1366" s="142"/>
    </row>
    <row r="1367" spans="1:24" ht="12.75" customHeight="1" x14ac:dyDescent="0.2">
      <c r="A1367" s="7"/>
      <c r="B1367" s="7"/>
      <c r="C1367" s="3"/>
      <c r="D1367" s="3" t="s">
        <v>351</v>
      </c>
      <c r="E1367" s="33" t="s">
        <v>28</v>
      </c>
      <c r="F1367" s="33"/>
      <c r="G1367" s="7"/>
      <c r="H1367" s="7">
        <v>0</v>
      </c>
      <c r="I1367" s="12"/>
      <c r="J1367" s="5" t="e">
        <f>+SUMIFS(#REF!,#REF!,Planning[[#This Row],[Tarifa]],#REF!,Planning[[#This Row],[Proyectos]])</f>
        <v>#REF!</v>
      </c>
      <c r="K1367" s="5" t="e">
        <f>Planning[[#This Row],[Horas Planificadas]]+Planning[[#This Row],[Horas ajustadas adicionales]]-Planning[[#This Row],[Horas utilizadas]]</f>
        <v>#REF!</v>
      </c>
      <c r="L1367" s="7"/>
      <c r="M1367" s="19" t="e">
        <f>Planning[[#This Row],[Saldo]]-Planning[[#This Row],[Saldo estimado]]</f>
        <v>#REF!</v>
      </c>
      <c r="N1367" s="60" t="e">
        <f>+SUMIFS(#REF!,#REF!,Planning[[#This Row],[Proyectos]],#REF!,Planning[[#This Row],[Tipo de Tarea y especialidad]])</f>
        <v>#REF!</v>
      </c>
      <c r="O1367" s="19">
        <f t="shared" si="42"/>
        <v>10</v>
      </c>
      <c r="P1367" s="19">
        <f t="shared" si="43"/>
        <v>2024</v>
      </c>
      <c r="Q1367" s="19" t="e">
        <f>+SUMIFS(#REF!,#REF!,Planning[[#This Row],[Tarifa]],#REF!,Planning[[#This Row],[Proyectos]],#REF!,Planning[[#This Row],[Mes]],#REF!,Planning[[#This Row],[Año]])</f>
        <v>#REF!</v>
      </c>
      <c r="R1367" s="19" t="str">
        <f>TEXT(Planning[[#This Row],[Mes]]*29,"mmmm")</f>
        <v>October</v>
      </c>
      <c r="S13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67" s="228"/>
      <c r="U1367" s="43">
        <f>IF(Planning[[#This Row],[Horas Planificadas]]&lt;&gt;0,+K1367/Planning[[#This Row],[Horas Planificadas]],0)</f>
        <v>0</v>
      </c>
      <c r="V1367" s="43">
        <f>IF(Planning[[#This Row],[Horas Planificadas]]&lt;&gt;0,Planning[[#This Row],[Horas utilizadas]]/Planning[[#This Row],[Horas Planificadas]],0)</f>
        <v>0</v>
      </c>
      <c r="W1367" s="44">
        <f>Planning[[#This Row],[Horas Planificadas]]+Planning[[#This Row],[Horas ajustadas adicionales]]</f>
        <v>0</v>
      </c>
      <c r="X1367" s="142"/>
    </row>
    <row r="1368" spans="1:24" ht="12.75" customHeight="1" x14ac:dyDescent="0.2">
      <c r="A1368" s="7"/>
      <c r="B1368" s="7"/>
      <c r="C1368" s="3"/>
      <c r="D1368" s="3" t="s">
        <v>351</v>
      </c>
      <c r="E1368" s="33" t="s">
        <v>30</v>
      </c>
      <c r="F1368" s="33"/>
      <c r="G1368" s="7"/>
      <c r="H1368" s="7">
        <v>84</v>
      </c>
      <c r="I1368" s="12"/>
      <c r="J1368" s="5" t="e">
        <f>+SUMIFS(#REF!,#REF!,Planning[[#This Row],[Tarifa]],#REF!,Planning[[#This Row],[Proyectos]])</f>
        <v>#REF!</v>
      </c>
      <c r="K1368" s="5" t="e">
        <f>Planning[[#This Row],[Horas Planificadas]]+Planning[[#This Row],[Horas ajustadas adicionales]]-Planning[[#This Row],[Horas utilizadas]]</f>
        <v>#REF!</v>
      </c>
      <c r="L1368" s="7"/>
      <c r="M1368" s="19" t="e">
        <f>Planning[[#This Row],[Saldo]]-Planning[[#This Row],[Saldo estimado]]</f>
        <v>#REF!</v>
      </c>
      <c r="N1368" s="60" t="e">
        <f>+SUMIFS(#REF!,#REF!,Planning[[#This Row],[Proyectos]],#REF!,Planning[[#This Row],[Tipo de Tarea y especialidad]])</f>
        <v>#REF!</v>
      </c>
      <c r="O1368" s="19">
        <f t="shared" si="42"/>
        <v>10</v>
      </c>
      <c r="P1368" s="19">
        <f t="shared" si="43"/>
        <v>2024</v>
      </c>
      <c r="Q1368" s="19" t="e">
        <f>+SUMIFS(#REF!,#REF!,Planning[[#This Row],[Tarifa]],#REF!,Planning[[#This Row],[Proyectos]],#REF!,Planning[[#This Row],[Mes]],#REF!,Planning[[#This Row],[Año]])</f>
        <v>#REF!</v>
      </c>
      <c r="R1368" s="19" t="str">
        <f>TEXT(Planning[[#This Row],[Mes]]*29,"mmmm")</f>
        <v>October</v>
      </c>
      <c r="S13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68" s="228"/>
      <c r="U1368" s="43" t="e">
        <f>IF(Planning[[#This Row],[Horas Planificadas]]&lt;&gt;0,+K1368/Planning[[#This Row],[Horas Planificadas]],0)</f>
        <v>#REF!</v>
      </c>
      <c r="V1368" s="43" t="e">
        <f>IF(Planning[[#This Row],[Horas Planificadas]]&lt;&gt;0,Planning[[#This Row],[Horas utilizadas]]/Planning[[#This Row],[Horas Planificadas]],0)</f>
        <v>#REF!</v>
      </c>
      <c r="W1368" s="44">
        <f>Planning[[#This Row],[Horas Planificadas]]+Planning[[#This Row],[Horas ajustadas adicionales]]</f>
        <v>84</v>
      </c>
      <c r="X1368" s="142"/>
    </row>
    <row r="1369" spans="1:24" ht="12.75" customHeight="1" x14ac:dyDescent="0.2">
      <c r="A1369" s="7"/>
      <c r="B1369" s="7"/>
      <c r="C1369" s="3"/>
      <c r="D1369" s="3" t="s">
        <v>351</v>
      </c>
      <c r="E1369" s="33" t="s">
        <v>31</v>
      </c>
      <c r="F1369" s="33"/>
      <c r="G1369" s="7"/>
      <c r="H1369" s="7">
        <v>9</v>
      </c>
      <c r="I1369" s="12"/>
      <c r="J1369" s="5" t="e">
        <f>+SUMIFS(#REF!,#REF!,Planning[[#This Row],[Tarifa]],#REF!,Planning[[#This Row],[Proyectos]])</f>
        <v>#REF!</v>
      </c>
      <c r="K1369" s="5" t="e">
        <f>Planning[[#This Row],[Horas Planificadas]]+Planning[[#This Row],[Horas ajustadas adicionales]]-Planning[[#This Row],[Horas utilizadas]]</f>
        <v>#REF!</v>
      </c>
      <c r="L1369" s="7"/>
      <c r="M1369" s="19" t="e">
        <f>Planning[[#This Row],[Saldo]]-Planning[[#This Row],[Saldo estimado]]</f>
        <v>#REF!</v>
      </c>
      <c r="N1369" s="60" t="e">
        <f>+SUMIFS(#REF!,#REF!,Planning[[#This Row],[Proyectos]],#REF!,Planning[[#This Row],[Tipo de Tarea y especialidad]])</f>
        <v>#REF!</v>
      </c>
      <c r="O1369" s="19">
        <f t="shared" si="42"/>
        <v>10</v>
      </c>
      <c r="P1369" s="19">
        <f t="shared" si="43"/>
        <v>2024</v>
      </c>
      <c r="Q1369" s="19" t="e">
        <f>+SUMIFS(#REF!,#REF!,Planning[[#This Row],[Tarifa]],#REF!,Planning[[#This Row],[Proyectos]],#REF!,Planning[[#This Row],[Mes]],#REF!,Planning[[#This Row],[Año]])</f>
        <v>#REF!</v>
      </c>
      <c r="R1369" s="19" t="str">
        <f>TEXT(Planning[[#This Row],[Mes]]*29,"mmmm")</f>
        <v>October</v>
      </c>
      <c r="S13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69" s="228"/>
      <c r="U1369" s="43" t="e">
        <f>IF(Planning[[#This Row],[Horas Planificadas]]&lt;&gt;0,+K1369/Planning[[#This Row],[Horas Planificadas]],0)</f>
        <v>#REF!</v>
      </c>
      <c r="V1369" s="43" t="e">
        <f>IF(Planning[[#This Row],[Horas Planificadas]]&lt;&gt;0,Planning[[#This Row],[Horas utilizadas]]/Planning[[#This Row],[Horas Planificadas]],0)</f>
        <v>#REF!</v>
      </c>
      <c r="W1369" s="44">
        <f>Planning[[#This Row],[Horas Planificadas]]+Planning[[#This Row],[Horas ajustadas adicionales]]</f>
        <v>9</v>
      </c>
      <c r="X1369" s="142"/>
    </row>
    <row r="1370" spans="1:24" ht="12.75" customHeight="1" x14ac:dyDescent="0.2">
      <c r="A1370" s="7"/>
      <c r="B1370" s="7"/>
      <c r="C1370" s="3"/>
      <c r="D1370" s="3" t="s">
        <v>351</v>
      </c>
      <c r="E1370" s="33" t="s">
        <v>32</v>
      </c>
      <c r="F1370" s="33"/>
      <c r="G1370" s="7"/>
      <c r="H1370" s="7">
        <v>0</v>
      </c>
      <c r="I1370" s="12"/>
      <c r="J1370" s="5" t="e">
        <f>+SUMIFS(#REF!,#REF!,Planning[[#This Row],[Tarifa]],#REF!,Planning[[#This Row],[Proyectos]])</f>
        <v>#REF!</v>
      </c>
      <c r="K1370" s="5" t="e">
        <f>Planning[[#This Row],[Horas Planificadas]]+Planning[[#This Row],[Horas ajustadas adicionales]]-Planning[[#This Row],[Horas utilizadas]]</f>
        <v>#REF!</v>
      </c>
      <c r="L1370" s="7"/>
      <c r="M1370" s="19" t="e">
        <f>Planning[[#This Row],[Saldo]]-Planning[[#This Row],[Saldo estimado]]</f>
        <v>#REF!</v>
      </c>
      <c r="N1370" s="60" t="e">
        <f>+SUMIFS(#REF!,#REF!,Planning[[#This Row],[Proyectos]],#REF!,Planning[[#This Row],[Tipo de Tarea y especialidad]])</f>
        <v>#REF!</v>
      </c>
      <c r="O1370" s="19">
        <f t="shared" si="42"/>
        <v>10</v>
      </c>
      <c r="P1370" s="19">
        <f t="shared" si="43"/>
        <v>2024</v>
      </c>
      <c r="Q1370" s="19" t="e">
        <f>+SUMIFS(#REF!,#REF!,Planning[[#This Row],[Tarifa]],#REF!,Planning[[#This Row],[Proyectos]],#REF!,Planning[[#This Row],[Mes]],#REF!,Planning[[#This Row],[Año]])</f>
        <v>#REF!</v>
      </c>
      <c r="R1370" s="19" t="str">
        <f>TEXT(Planning[[#This Row],[Mes]]*29,"mmmm")</f>
        <v>October</v>
      </c>
      <c r="S13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70" s="228"/>
      <c r="U1370" s="43">
        <f>IF(Planning[[#This Row],[Horas Planificadas]]&lt;&gt;0,+K1370/Planning[[#This Row],[Horas Planificadas]],0)</f>
        <v>0</v>
      </c>
      <c r="V1370" s="43">
        <f>IF(Planning[[#This Row],[Horas Planificadas]]&lt;&gt;0,Planning[[#This Row],[Horas utilizadas]]/Planning[[#This Row],[Horas Planificadas]],0)</f>
        <v>0</v>
      </c>
      <c r="W1370" s="44">
        <f>Planning[[#This Row],[Horas Planificadas]]+Planning[[#This Row],[Horas ajustadas adicionales]]</f>
        <v>0</v>
      </c>
      <c r="X1370" s="142"/>
    </row>
    <row r="1371" spans="1:24" ht="12.75" customHeight="1" x14ac:dyDescent="0.2">
      <c r="A1371" s="7"/>
      <c r="B1371" s="7"/>
      <c r="C1371" s="3"/>
      <c r="D1371" s="3" t="s">
        <v>352</v>
      </c>
      <c r="E1371" s="33" t="s">
        <v>28</v>
      </c>
      <c r="F1371" s="33"/>
      <c r="G1371" s="7"/>
      <c r="H1371" s="7">
        <v>854</v>
      </c>
      <c r="I1371" s="12"/>
      <c r="J1371" s="5" t="e">
        <f>+SUMIFS(#REF!,#REF!,Planning[[#This Row],[Tarifa]],#REF!,Planning[[#This Row],[Proyectos]])</f>
        <v>#REF!</v>
      </c>
      <c r="K1371" s="5" t="e">
        <f>Planning[[#This Row],[Horas Planificadas]]+Planning[[#This Row],[Horas ajustadas adicionales]]-Planning[[#This Row],[Horas utilizadas]]</f>
        <v>#REF!</v>
      </c>
      <c r="L1371" s="7"/>
      <c r="M1371" s="19" t="e">
        <f>Planning[[#This Row],[Saldo]]-Planning[[#This Row],[Saldo estimado]]</f>
        <v>#REF!</v>
      </c>
      <c r="N1371" s="60" t="e">
        <f>+SUMIFS(#REF!,#REF!,Planning[[#This Row],[Proyectos]],#REF!,Planning[[#This Row],[Tipo de Tarea y especialidad]])</f>
        <v>#REF!</v>
      </c>
      <c r="O1371" s="19">
        <f t="shared" si="42"/>
        <v>10</v>
      </c>
      <c r="P1371" s="19">
        <f t="shared" si="43"/>
        <v>2024</v>
      </c>
      <c r="Q1371" s="19" t="e">
        <f>+SUMIFS(#REF!,#REF!,Planning[[#This Row],[Tarifa]],#REF!,Planning[[#This Row],[Proyectos]],#REF!,Planning[[#This Row],[Mes]],#REF!,Planning[[#This Row],[Año]])</f>
        <v>#REF!</v>
      </c>
      <c r="R1371" s="19" t="str">
        <f>TEXT(Planning[[#This Row],[Mes]]*29,"mmmm")</f>
        <v>October</v>
      </c>
      <c r="S13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71" s="228"/>
      <c r="U1371" s="43" t="e">
        <f>IF(Planning[[#This Row],[Horas Planificadas]]&lt;&gt;0,+K1371/Planning[[#This Row],[Horas Planificadas]],0)</f>
        <v>#REF!</v>
      </c>
      <c r="V1371" s="43" t="e">
        <f>IF(Planning[[#This Row],[Horas Planificadas]]&lt;&gt;0,Planning[[#This Row],[Horas utilizadas]]/Planning[[#This Row],[Horas Planificadas]],0)</f>
        <v>#REF!</v>
      </c>
      <c r="W1371" s="44">
        <f>Planning[[#This Row],[Horas Planificadas]]+Planning[[#This Row],[Horas ajustadas adicionales]]</f>
        <v>854</v>
      </c>
      <c r="X1371" s="142"/>
    </row>
    <row r="1372" spans="1:24" ht="12.75" customHeight="1" x14ac:dyDescent="0.2">
      <c r="A1372" s="7"/>
      <c r="B1372" s="7"/>
      <c r="C1372" s="3"/>
      <c r="D1372" s="3" t="s">
        <v>352</v>
      </c>
      <c r="E1372" s="33" t="s">
        <v>30</v>
      </c>
      <c r="F1372" s="33"/>
      <c r="G1372" s="7"/>
      <c r="H1372" s="7">
        <v>584</v>
      </c>
      <c r="I1372" s="12"/>
      <c r="J1372" s="5" t="e">
        <f>+SUMIFS(#REF!,#REF!,Planning[[#This Row],[Tarifa]],#REF!,Planning[[#This Row],[Proyectos]])</f>
        <v>#REF!</v>
      </c>
      <c r="K1372" s="5" t="e">
        <f>Planning[[#This Row],[Horas Planificadas]]+Planning[[#This Row],[Horas ajustadas adicionales]]-Planning[[#This Row],[Horas utilizadas]]</f>
        <v>#REF!</v>
      </c>
      <c r="L1372" s="7"/>
      <c r="M1372" s="19" t="e">
        <f>Planning[[#This Row],[Saldo]]-Planning[[#This Row],[Saldo estimado]]</f>
        <v>#REF!</v>
      </c>
      <c r="N1372" s="60" t="e">
        <f>+SUMIFS(#REF!,#REF!,Planning[[#This Row],[Proyectos]],#REF!,Planning[[#This Row],[Tipo de Tarea y especialidad]])</f>
        <v>#REF!</v>
      </c>
      <c r="O1372" s="19">
        <f t="shared" si="42"/>
        <v>10</v>
      </c>
      <c r="P1372" s="19">
        <f t="shared" si="43"/>
        <v>2024</v>
      </c>
      <c r="Q1372" s="19" t="e">
        <f>+SUMIFS(#REF!,#REF!,Planning[[#This Row],[Tarifa]],#REF!,Planning[[#This Row],[Proyectos]],#REF!,Planning[[#This Row],[Mes]],#REF!,Planning[[#This Row],[Año]])</f>
        <v>#REF!</v>
      </c>
      <c r="R1372" s="19" t="str">
        <f>TEXT(Planning[[#This Row],[Mes]]*29,"mmmm")</f>
        <v>October</v>
      </c>
      <c r="S13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72" s="228"/>
      <c r="U1372" s="43" t="e">
        <f>IF(Planning[[#This Row],[Horas Planificadas]]&lt;&gt;0,+K1372/Planning[[#This Row],[Horas Planificadas]],0)</f>
        <v>#REF!</v>
      </c>
      <c r="V1372" s="43" t="e">
        <f>IF(Planning[[#This Row],[Horas Planificadas]]&lt;&gt;0,Planning[[#This Row],[Horas utilizadas]]/Planning[[#This Row],[Horas Planificadas]],0)</f>
        <v>#REF!</v>
      </c>
      <c r="W1372" s="44">
        <f>Planning[[#This Row],[Horas Planificadas]]+Planning[[#This Row],[Horas ajustadas adicionales]]</f>
        <v>584</v>
      </c>
      <c r="X1372" s="142"/>
    </row>
    <row r="1373" spans="1:24" ht="12.75" customHeight="1" x14ac:dyDescent="0.2">
      <c r="A1373" s="7"/>
      <c r="B1373" s="7"/>
      <c r="C1373" s="3"/>
      <c r="D1373" s="3" t="s">
        <v>352</v>
      </c>
      <c r="E1373" s="33" t="s">
        <v>31</v>
      </c>
      <c r="F1373" s="33"/>
      <c r="G1373" s="7"/>
      <c r="H1373" s="7">
        <v>151</v>
      </c>
      <c r="I1373" s="12"/>
      <c r="J1373" s="5" t="e">
        <f>+SUMIFS(#REF!,#REF!,Planning[[#This Row],[Tarifa]],#REF!,Planning[[#This Row],[Proyectos]])</f>
        <v>#REF!</v>
      </c>
      <c r="K1373" s="5" t="e">
        <f>Planning[[#This Row],[Horas Planificadas]]+Planning[[#This Row],[Horas ajustadas adicionales]]-Planning[[#This Row],[Horas utilizadas]]</f>
        <v>#REF!</v>
      </c>
      <c r="L1373" s="7"/>
      <c r="M1373" s="19" t="e">
        <f>Planning[[#This Row],[Saldo]]-Planning[[#This Row],[Saldo estimado]]</f>
        <v>#REF!</v>
      </c>
      <c r="N1373" s="60" t="e">
        <f>+SUMIFS(#REF!,#REF!,Planning[[#This Row],[Proyectos]],#REF!,Planning[[#This Row],[Tipo de Tarea y especialidad]])</f>
        <v>#REF!</v>
      </c>
      <c r="O1373" s="19">
        <f t="shared" si="42"/>
        <v>10</v>
      </c>
      <c r="P1373" s="19">
        <f t="shared" si="43"/>
        <v>2024</v>
      </c>
      <c r="Q1373" s="19" t="e">
        <f>+SUMIFS(#REF!,#REF!,Planning[[#This Row],[Tarifa]],#REF!,Planning[[#This Row],[Proyectos]],#REF!,Planning[[#This Row],[Mes]],#REF!,Planning[[#This Row],[Año]])</f>
        <v>#REF!</v>
      </c>
      <c r="R1373" s="19" t="str">
        <f>TEXT(Planning[[#This Row],[Mes]]*29,"mmmm")</f>
        <v>October</v>
      </c>
      <c r="S13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73" s="228"/>
      <c r="U1373" s="43" t="e">
        <f>IF(Planning[[#This Row],[Horas Planificadas]]&lt;&gt;0,+K1373/Planning[[#This Row],[Horas Planificadas]],0)</f>
        <v>#REF!</v>
      </c>
      <c r="V1373" s="43" t="e">
        <f>IF(Planning[[#This Row],[Horas Planificadas]]&lt;&gt;0,Planning[[#This Row],[Horas utilizadas]]/Planning[[#This Row],[Horas Planificadas]],0)</f>
        <v>#REF!</v>
      </c>
      <c r="W1373" s="44">
        <f>Planning[[#This Row],[Horas Planificadas]]+Planning[[#This Row],[Horas ajustadas adicionales]]</f>
        <v>151</v>
      </c>
      <c r="X1373" s="142"/>
    </row>
    <row r="1374" spans="1:24" ht="12.75" customHeight="1" x14ac:dyDescent="0.2">
      <c r="A1374" s="7"/>
      <c r="B1374" s="7"/>
      <c r="C1374" s="3"/>
      <c r="D1374" s="3" t="s">
        <v>352</v>
      </c>
      <c r="E1374" s="33" t="s">
        <v>32</v>
      </c>
      <c r="F1374" s="33"/>
      <c r="G1374" s="7"/>
      <c r="H1374" s="7">
        <v>288</v>
      </c>
      <c r="I1374" s="12"/>
      <c r="J1374" s="5" t="e">
        <f>+SUMIFS(#REF!,#REF!,Planning[[#This Row],[Tarifa]],#REF!,Planning[[#This Row],[Proyectos]])</f>
        <v>#REF!</v>
      </c>
      <c r="K1374" s="5" t="e">
        <f>Planning[[#This Row],[Horas Planificadas]]+Planning[[#This Row],[Horas ajustadas adicionales]]-Planning[[#This Row],[Horas utilizadas]]</f>
        <v>#REF!</v>
      </c>
      <c r="L1374" s="7"/>
      <c r="M1374" s="19" t="e">
        <f>Planning[[#This Row],[Saldo]]-Planning[[#This Row],[Saldo estimado]]</f>
        <v>#REF!</v>
      </c>
      <c r="N1374" s="60" t="e">
        <f>+SUMIFS(#REF!,#REF!,Planning[[#This Row],[Proyectos]],#REF!,Planning[[#This Row],[Tipo de Tarea y especialidad]])</f>
        <v>#REF!</v>
      </c>
      <c r="O1374" s="19">
        <f t="shared" si="42"/>
        <v>10</v>
      </c>
      <c r="P1374" s="19">
        <f t="shared" si="43"/>
        <v>2024</v>
      </c>
      <c r="Q1374" s="19" t="e">
        <f>+SUMIFS(#REF!,#REF!,Planning[[#This Row],[Tarifa]],#REF!,Planning[[#This Row],[Proyectos]],#REF!,Planning[[#This Row],[Mes]],#REF!,Planning[[#This Row],[Año]])</f>
        <v>#REF!</v>
      </c>
      <c r="R1374" s="19" t="str">
        <f>TEXT(Planning[[#This Row],[Mes]]*29,"mmmm")</f>
        <v>October</v>
      </c>
      <c r="S13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74" s="228"/>
      <c r="U1374" s="43" t="e">
        <f>IF(Planning[[#This Row],[Horas Planificadas]]&lt;&gt;0,+K1374/Planning[[#This Row],[Horas Planificadas]],0)</f>
        <v>#REF!</v>
      </c>
      <c r="V1374" s="43" t="e">
        <f>IF(Planning[[#This Row],[Horas Planificadas]]&lt;&gt;0,Planning[[#This Row],[Horas utilizadas]]/Planning[[#This Row],[Horas Planificadas]],0)</f>
        <v>#REF!</v>
      </c>
      <c r="W1374" s="44">
        <f>Planning[[#This Row],[Horas Planificadas]]+Planning[[#This Row],[Horas ajustadas adicionales]]</f>
        <v>288</v>
      </c>
      <c r="X1374" s="142"/>
    </row>
    <row r="1375" spans="1:24" ht="12.75" customHeight="1" x14ac:dyDescent="0.2">
      <c r="A1375" s="7"/>
      <c r="B1375" s="7"/>
      <c r="C1375" s="3"/>
      <c r="D1375" s="3" t="s">
        <v>353</v>
      </c>
      <c r="E1375" s="33" t="s">
        <v>28</v>
      </c>
      <c r="F1375" s="33"/>
      <c r="G1375" s="7"/>
      <c r="H1375" s="7">
        <v>0</v>
      </c>
      <c r="I1375" s="12"/>
      <c r="J1375" s="5" t="e">
        <f>+SUMIFS(#REF!,#REF!,Planning[[#This Row],[Tarifa]],#REF!,Planning[[#This Row],[Proyectos]])</f>
        <v>#REF!</v>
      </c>
      <c r="K1375" s="5" t="e">
        <f>Planning[[#This Row],[Horas Planificadas]]+Planning[[#This Row],[Horas ajustadas adicionales]]-Planning[[#This Row],[Horas utilizadas]]</f>
        <v>#REF!</v>
      </c>
      <c r="L1375" s="7"/>
      <c r="M1375" s="19" t="e">
        <f>Planning[[#This Row],[Saldo]]-Planning[[#This Row],[Saldo estimado]]</f>
        <v>#REF!</v>
      </c>
      <c r="N1375" s="60" t="e">
        <f>+SUMIFS(#REF!,#REF!,Planning[[#This Row],[Proyectos]],#REF!,Planning[[#This Row],[Tipo de Tarea y especialidad]])</f>
        <v>#REF!</v>
      </c>
      <c r="O1375" s="19">
        <f t="shared" si="42"/>
        <v>10</v>
      </c>
      <c r="P1375" s="19">
        <f t="shared" si="43"/>
        <v>2024</v>
      </c>
      <c r="Q1375" s="19" t="e">
        <f>+SUMIFS(#REF!,#REF!,Planning[[#This Row],[Tarifa]],#REF!,Planning[[#This Row],[Proyectos]],#REF!,Planning[[#This Row],[Mes]],#REF!,Planning[[#This Row],[Año]])</f>
        <v>#REF!</v>
      </c>
      <c r="R1375" s="19" t="str">
        <f>TEXT(Planning[[#This Row],[Mes]]*29,"mmmm")</f>
        <v>October</v>
      </c>
      <c r="S13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75" s="228"/>
      <c r="U1375" s="43">
        <f>IF(Planning[[#This Row],[Horas Planificadas]]&lt;&gt;0,+K1375/Planning[[#This Row],[Horas Planificadas]],0)</f>
        <v>0</v>
      </c>
      <c r="V1375" s="43">
        <f>IF(Planning[[#This Row],[Horas Planificadas]]&lt;&gt;0,Planning[[#This Row],[Horas utilizadas]]/Planning[[#This Row],[Horas Planificadas]],0)</f>
        <v>0</v>
      </c>
      <c r="W1375" s="44">
        <f>Planning[[#This Row],[Horas Planificadas]]+Planning[[#This Row],[Horas ajustadas adicionales]]</f>
        <v>0</v>
      </c>
      <c r="X1375" s="142"/>
    </row>
    <row r="1376" spans="1:24" ht="12.75" customHeight="1" x14ac:dyDescent="0.2">
      <c r="A1376" s="7"/>
      <c r="B1376" s="7"/>
      <c r="C1376" s="3"/>
      <c r="D1376" s="3" t="s">
        <v>353</v>
      </c>
      <c r="E1376" s="33" t="s">
        <v>30</v>
      </c>
      <c r="F1376" s="33"/>
      <c r="G1376" s="7"/>
      <c r="H1376" s="7">
        <v>81</v>
      </c>
      <c r="I1376" s="12"/>
      <c r="J1376" s="5" t="e">
        <f>+SUMIFS(#REF!,#REF!,Planning[[#This Row],[Tarifa]],#REF!,Planning[[#This Row],[Proyectos]])</f>
        <v>#REF!</v>
      </c>
      <c r="K1376" s="5" t="e">
        <f>Planning[[#This Row],[Horas Planificadas]]+Planning[[#This Row],[Horas ajustadas adicionales]]-Planning[[#This Row],[Horas utilizadas]]</f>
        <v>#REF!</v>
      </c>
      <c r="L1376" s="7"/>
      <c r="M1376" s="19" t="e">
        <f>Planning[[#This Row],[Saldo]]-Planning[[#This Row],[Saldo estimado]]</f>
        <v>#REF!</v>
      </c>
      <c r="N1376" s="60" t="e">
        <f>+SUMIFS(#REF!,#REF!,Planning[[#This Row],[Proyectos]],#REF!,Planning[[#This Row],[Tipo de Tarea y especialidad]])</f>
        <v>#REF!</v>
      </c>
      <c r="O1376" s="19">
        <f t="shared" si="42"/>
        <v>10</v>
      </c>
      <c r="P1376" s="19">
        <f t="shared" si="43"/>
        <v>2024</v>
      </c>
      <c r="Q1376" s="19" t="e">
        <f>+SUMIFS(#REF!,#REF!,Planning[[#This Row],[Tarifa]],#REF!,Planning[[#This Row],[Proyectos]],#REF!,Planning[[#This Row],[Mes]],#REF!,Planning[[#This Row],[Año]])</f>
        <v>#REF!</v>
      </c>
      <c r="R1376" s="19" t="str">
        <f>TEXT(Planning[[#This Row],[Mes]]*29,"mmmm")</f>
        <v>October</v>
      </c>
      <c r="S13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76" s="228"/>
      <c r="U1376" s="43" t="e">
        <f>IF(Planning[[#This Row],[Horas Planificadas]]&lt;&gt;0,+K1376/Planning[[#This Row],[Horas Planificadas]],0)</f>
        <v>#REF!</v>
      </c>
      <c r="V1376" s="43" t="e">
        <f>IF(Planning[[#This Row],[Horas Planificadas]]&lt;&gt;0,Planning[[#This Row],[Horas utilizadas]]/Planning[[#This Row],[Horas Planificadas]],0)</f>
        <v>#REF!</v>
      </c>
      <c r="W1376" s="44">
        <f>Planning[[#This Row],[Horas Planificadas]]+Planning[[#This Row],[Horas ajustadas adicionales]]</f>
        <v>81</v>
      </c>
      <c r="X1376" s="142"/>
    </row>
    <row r="1377" spans="1:24" ht="12.75" customHeight="1" x14ac:dyDescent="0.2">
      <c r="A1377" s="7"/>
      <c r="B1377" s="7"/>
      <c r="C1377" s="3"/>
      <c r="D1377" s="3" t="s">
        <v>353</v>
      </c>
      <c r="E1377" s="33" t="s">
        <v>31</v>
      </c>
      <c r="F1377" s="33"/>
      <c r="G1377" s="7"/>
      <c r="H1377" s="7">
        <v>64</v>
      </c>
      <c r="I1377" s="12"/>
      <c r="J1377" s="5" t="e">
        <f>+SUMIFS(#REF!,#REF!,Planning[[#This Row],[Tarifa]],#REF!,Planning[[#This Row],[Proyectos]])</f>
        <v>#REF!</v>
      </c>
      <c r="K1377" s="5" t="e">
        <f>Planning[[#This Row],[Horas Planificadas]]+Planning[[#This Row],[Horas ajustadas adicionales]]-Planning[[#This Row],[Horas utilizadas]]</f>
        <v>#REF!</v>
      </c>
      <c r="L1377" s="7"/>
      <c r="M1377" s="19" t="e">
        <f>Planning[[#This Row],[Saldo]]-Planning[[#This Row],[Saldo estimado]]</f>
        <v>#REF!</v>
      </c>
      <c r="N1377" s="60" t="e">
        <f>+SUMIFS(#REF!,#REF!,Planning[[#This Row],[Proyectos]],#REF!,Planning[[#This Row],[Tipo de Tarea y especialidad]])</f>
        <v>#REF!</v>
      </c>
      <c r="O1377" s="19">
        <f t="shared" si="42"/>
        <v>10</v>
      </c>
      <c r="P1377" s="19">
        <f t="shared" si="43"/>
        <v>2024</v>
      </c>
      <c r="Q1377" s="19" t="e">
        <f>+SUMIFS(#REF!,#REF!,Planning[[#This Row],[Tarifa]],#REF!,Planning[[#This Row],[Proyectos]],#REF!,Planning[[#This Row],[Mes]],#REF!,Planning[[#This Row],[Año]])</f>
        <v>#REF!</v>
      </c>
      <c r="R1377" s="19" t="str">
        <f>TEXT(Planning[[#This Row],[Mes]]*29,"mmmm")</f>
        <v>October</v>
      </c>
      <c r="S13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77" s="228"/>
      <c r="U1377" s="43" t="e">
        <f>IF(Planning[[#This Row],[Horas Planificadas]]&lt;&gt;0,+K1377/Planning[[#This Row],[Horas Planificadas]],0)</f>
        <v>#REF!</v>
      </c>
      <c r="V1377" s="43" t="e">
        <f>IF(Planning[[#This Row],[Horas Planificadas]]&lt;&gt;0,Planning[[#This Row],[Horas utilizadas]]/Planning[[#This Row],[Horas Planificadas]],0)</f>
        <v>#REF!</v>
      </c>
      <c r="W1377" s="44">
        <f>Planning[[#This Row],[Horas Planificadas]]+Planning[[#This Row],[Horas ajustadas adicionales]]</f>
        <v>64</v>
      </c>
      <c r="X1377" s="142"/>
    </row>
    <row r="1378" spans="1:24" ht="12.75" customHeight="1" x14ac:dyDescent="0.2">
      <c r="A1378" s="7"/>
      <c r="B1378" s="7"/>
      <c r="C1378" s="3"/>
      <c r="D1378" s="3" t="s">
        <v>353</v>
      </c>
      <c r="E1378" s="33" t="s">
        <v>32</v>
      </c>
      <c r="F1378" s="33"/>
      <c r="G1378" s="7"/>
      <c r="H1378" s="7">
        <v>108</v>
      </c>
      <c r="I1378" s="12"/>
      <c r="J1378" s="5" t="e">
        <f>+SUMIFS(#REF!,#REF!,Planning[[#This Row],[Tarifa]],#REF!,Planning[[#This Row],[Proyectos]])</f>
        <v>#REF!</v>
      </c>
      <c r="K1378" s="5" t="e">
        <f>Planning[[#This Row],[Horas Planificadas]]+Planning[[#This Row],[Horas ajustadas adicionales]]-Planning[[#This Row],[Horas utilizadas]]</f>
        <v>#REF!</v>
      </c>
      <c r="L1378" s="7"/>
      <c r="M1378" s="19" t="e">
        <f>Planning[[#This Row],[Saldo]]-Planning[[#This Row],[Saldo estimado]]</f>
        <v>#REF!</v>
      </c>
      <c r="N1378" s="60" t="e">
        <f>+SUMIFS(#REF!,#REF!,Planning[[#This Row],[Proyectos]],#REF!,Planning[[#This Row],[Tipo de Tarea y especialidad]])</f>
        <v>#REF!</v>
      </c>
      <c r="O1378" s="19">
        <f t="shared" si="42"/>
        <v>10</v>
      </c>
      <c r="P1378" s="19">
        <f t="shared" si="43"/>
        <v>2024</v>
      </c>
      <c r="Q1378" s="19" t="e">
        <f>+SUMIFS(#REF!,#REF!,Planning[[#This Row],[Tarifa]],#REF!,Planning[[#This Row],[Proyectos]],#REF!,Planning[[#This Row],[Mes]],#REF!,Planning[[#This Row],[Año]])</f>
        <v>#REF!</v>
      </c>
      <c r="R1378" s="19" t="str">
        <f>TEXT(Planning[[#This Row],[Mes]]*29,"mmmm")</f>
        <v>October</v>
      </c>
      <c r="S13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78" s="228"/>
      <c r="U1378" s="43" t="e">
        <f>IF(Planning[[#This Row],[Horas Planificadas]]&lt;&gt;0,+K1378/Planning[[#This Row],[Horas Planificadas]],0)</f>
        <v>#REF!</v>
      </c>
      <c r="V1378" s="43" t="e">
        <f>IF(Planning[[#This Row],[Horas Planificadas]]&lt;&gt;0,Planning[[#This Row],[Horas utilizadas]]/Planning[[#This Row],[Horas Planificadas]],0)</f>
        <v>#REF!</v>
      </c>
      <c r="W1378" s="44">
        <f>Planning[[#This Row],[Horas Planificadas]]+Planning[[#This Row],[Horas ajustadas adicionales]]</f>
        <v>108</v>
      </c>
      <c r="X1378" s="142"/>
    </row>
    <row r="1379" spans="1:24" ht="12.75" customHeight="1" x14ac:dyDescent="0.2">
      <c r="A1379" s="7"/>
      <c r="B1379" s="7"/>
      <c r="C1379" s="3"/>
      <c r="D1379" s="3" t="s">
        <v>354</v>
      </c>
      <c r="E1379" s="33" t="s">
        <v>28</v>
      </c>
      <c r="F1379" s="33"/>
      <c r="G1379" s="7"/>
      <c r="H1379" s="7">
        <v>0</v>
      </c>
      <c r="I1379" s="12"/>
      <c r="J1379" s="5" t="e">
        <f>+SUMIFS(#REF!,#REF!,Planning[[#This Row],[Tarifa]],#REF!,Planning[[#This Row],[Proyectos]])</f>
        <v>#REF!</v>
      </c>
      <c r="K1379" s="5" t="e">
        <f>Planning[[#This Row],[Horas Planificadas]]+Planning[[#This Row],[Horas ajustadas adicionales]]-Planning[[#This Row],[Horas utilizadas]]</f>
        <v>#REF!</v>
      </c>
      <c r="L1379" s="7"/>
      <c r="M1379" s="19" t="e">
        <f>Planning[[#This Row],[Saldo]]-Planning[[#This Row],[Saldo estimado]]</f>
        <v>#REF!</v>
      </c>
      <c r="N1379" s="60" t="e">
        <f>+SUMIFS(#REF!,#REF!,Planning[[#This Row],[Proyectos]],#REF!,Planning[[#This Row],[Tipo de Tarea y especialidad]])</f>
        <v>#REF!</v>
      </c>
      <c r="O1379" s="19">
        <f t="shared" si="42"/>
        <v>10</v>
      </c>
      <c r="P1379" s="19">
        <f t="shared" si="43"/>
        <v>2024</v>
      </c>
      <c r="Q1379" s="19" t="e">
        <f>+SUMIFS(#REF!,#REF!,Planning[[#This Row],[Tarifa]],#REF!,Planning[[#This Row],[Proyectos]],#REF!,Planning[[#This Row],[Mes]],#REF!,Planning[[#This Row],[Año]])</f>
        <v>#REF!</v>
      </c>
      <c r="R1379" s="19" t="str">
        <f>TEXT(Planning[[#This Row],[Mes]]*29,"mmmm")</f>
        <v>October</v>
      </c>
      <c r="S13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79" s="228"/>
      <c r="U1379" s="43">
        <f>IF(Planning[[#This Row],[Horas Planificadas]]&lt;&gt;0,+K1379/Planning[[#This Row],[Horas Planificadas]],0)</f>
        <v>0</v>
      </c>
      <c r="V1379" s="43">
        <f>IF(Planning[[#This Row],[Horas Planificadas]]&lt;&gt;0,Planning[[#This Row],[Horas utilizadas]]/Planning[[#This Row],[Horas Planificadas]],0)</f>
        <v>0</v>
      </c>
      <c r="W1379" s="44">
        <f>Planning[[#This Row],[Horas Planificadas]]+Planning[[#This Row],[Horas ajustadas adicionales]]</f>
        <v>0</v>
      </c>
      <c r="X1379" s="142"/>
    </row>
    <row r="1380" spans="1:24" ht="12.75" customHeight="1" x14ac:dyDescent="0.2">
      <c r="A1380" s="7"/>
      <c r="B1380" s="7"/>
      <c r="C1380" s="3"/>
      <c r="D1380" s="3" t="s">
        <v>354</v>
      </c>
      <c r="E1380" s="33" t="s">
        <v>30</v>
      </c>
      <c r="F1380" s="33"/>
      <c r="G1380" s="7"/>
      <c r="H1380" s="7">
        <v>108</v>
      </c>
      <c r="I1380" s="12"/>
      <c r="J1380" s="5" t="e">
        <f>+SUMIFS(#REF!,#REF!,Planning[[#This Row],[Tarifa]],#REF!,Planning[[#This Row],[Proyectos]])</f>
        <v>#REF!</v>
      </c>
      <c r="K1380" s="5" t="e">
        <f>Planning[[#This Row],[Horas Planificadas]]+Planning[[#This Row],[Horas ajustadas adicionales]]-Planning[[#This Row],[Horas utilizadas]]</f>
        <v>#REF!</v>
      </c>
      <c r="L1380" s="7"/>
      <c r="M1380" s="19" t="e">
        <f>Planning[[#This Row],[Saldo]]-Planning[[#This Row],[Saldo estimado]]</f>
        <v>#REF!</v>
      </c>
      <c r="N1380" s="60" t="e">
        <f>+SUMIFS(#REF!,#REF!,Planning[[#This Row],[Proyectos]],#REF!,Planning[[#This Row],[Tipo de Tarea y especialidad]])</f>
        <v>#REF!</v>
      </c>
      <c r="O1380" s="19">
        <f t="shared" si="42"/>
        <v>10</v>
      </c>
      <c r="P1380" s="19">
        <f t="shared" si="43"/>
        <v>2024</v>
      </c>
      <c r="Q1380" s="19" t="e">
        <f>+SUMIFS(#REF!,#REF!,Planning[[#This Row],[Tarifa]],#REF!,Planning[[#This Row],[Proyectos]],#REF!,Planning[[#This Row],[Mes]],#REF!,Planning[[#This Row],[Año]])</f>
        <v>#REF!</v>
      </c>
      <c r="R1380" s="19" t="str">
        <f>TEXT(Planning[[#This Row],[Mes]]*29,"mmmm")</f>
        <v>October</v>
      </c>
      <c r="S13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80" s="228"/>
      <c r="U1380" s="43" t="e">
        <f>IF(Planning[[#This Row],[Horas Planificadas]]&lt;&gt;0,+K1380/Planning[[#This Row],[Horas Planificadas]],0)</f>
        <v>#REF!</v>
      </c>
      <c r="V1380" s="43" t="e">
        <f>IF(Planning[[#This Row],[Horas Planificadas]]&lt;&gt;0,Planning[[#This Row],[Horas utilizadas]]/Planning[[#This Row],[Horas Planificadas]],0)</f>
        <v>#REF!</v>
      </c>
      <c r="W1380" s="44">
        <f>Planning[[#This Row],[Horas Planificadas]]+Planning[[#This Row],[Horas ajustadas adicionales]]</f>
        <v>108</v>
      </c>
      <c r="X1380" s="142"/>
    </row>
    <row r="1381" spans="1:24" ht="12.75" customHeight="1" x14ac:dyDescent="0.2">
      <c r="A1381" s="7"/>
      <c r="B1381" s="7"/>
      <c r="C1381" s="3"/>
      <c r="D1381" s="3" t="s">
        <v>354</v>
      </c>
      <c r="E1381" s="33" t="s">
        <v>31</v>
      </c>
      <c r="F1381" s="33"/>
      <c r="G1381" s="7"/>
      <c r="H1381" s="7">
        <v>36</v>
      </c>
      <c r="I1381" s="12"/>
      <c r="J1381" s="5" t="e">
        <f>+SUMIFS(#REF!,#REF!,Planning[[#This Row],[Tarifa]],#REF!,Planning[[#This Row],[Proyectos]])</f>
        <v>#REF!</v>
      </c>
      <c r="K1381" s="5" t="e">
        <f>Planning[[#This Row],[Horas Planificadas]]+Planning[[#This Row],[Horas ajustadas adicionales]]-Planning[[#This Row],[Horas utilizadas]]</f>
        <v>#REF!</v>
      </c>
      <c r="L1381" s="7"/>
      <c r="M1381" s="19" t="e">
        <f>Planning[[#This Row],[Saldo]]-Planning[[#This Row],[Saldo estimado]]</f>
        <v>#REF!</v>
      </c>
      <c r="N1381" s="60" t="e">
        <f>+SUMIFS(#REF!,#REF!,Planning[[#This Row],[Proyectos]],#REF!,Planning[[#This Row],[Tipo de Tarea y especialidad]])</f>
        <v>#REF!</v>
      </c>
      <c r="O1381" s="19">
        <f t="shared" si="42"/>
        <v>10</v>
      </c>
      <c r="P1381" s="19">
        <f t="shared" si="43"/>
        <v>2024</v>
      </c>
      <c r="Q1381" s="19" t="e">
        <f>+SUMIFS(#REF!,#REF!,Planning[[#This Row],[Tarifa]],#REF!,Planning[[#This Row],[Proyectos]],#REF!,Planning[[#This Row],[Mes]],#REF!,Planning[[#This Row],[Año]])</f>
        <v>#REF!</v>
      </c>
      <c r="R1381" s="19" t="str">
        <f>TEXT(Planning[[#This Row],[Mes]]*29,"mmmm")</f>
        <v>October</v>
      </c>
      <c r="S13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81" s="228"/>
      <c r="U1381" s="43" t="e">
        <f>IF(Planning[[#This Row],[Horas Planificadas]]&lt;&gt;0,+K1381/Planning[[#This Row],[Horas Planificadas]],0)</f>
        <v>#REF!</v>
      </c>
      <c r="V1381" s="43" t="e">
        <f>IF(Planning[[#This Row],[Horas Planificadas]]&lt;&gt;0,Planning[[#This Row],[Horas utilizadas]]/Planning[[#This Row],[Horas Planificadas]],0)</f>
        <v>#REF!</v>
      </c>
      <c r="W1381" s="44">
        <f>Planning[[#This Row],[Horas Planificadas]]+Planning[[#This Row],[Horas ajustadas adicionales]]</f>
        <v>36</v>
      </c>
      <c r="X1381" s="142"/>
    </row>
    <row r="1382" spans="1:24" ht="12.75" customHeight="1" x14ac:dyDescent="0.2">
      <c r="A1382" s="7"/>
      <c r="B1382" s="7"/>
      <c r="C1382" s="3"/>
      <c r="D1382" s="3" t="s">
        <v>354</v>
      </c>
      <c r="E1382" s="33" t="s">
        <v>32</v>
      </c>
      <c r="F1382" s="33"/>
      <c r="G1382" s="7"/>
      <c r="H1382" s="7">
        <v>45</v>
      </c>
      <c r="I1382" s="12"/>
      <c r="J1382" s="5" t="e">
        <f>+SUMIFS(#REF!,#REF!,Planning[[#This Row],[Tarifa]],#REF!,Planning[[#This Row],[Proyectos]])</f>
        <v>#REF!</v>
      </c>
      <c r="K1382" s="5" t="e">
        <f>Planning[[#This Row],[Horas Planificadas]]+Planning[[#This Row],[Horas ajustadas adicionales]]-Planning[[#This Row],[Horas utilizadas]]</f>
        <v>#REF!</v>
      </c>
      <c r="L1382" s="7"/>
      <c r="M1382" s="19" t="e">
        <f>Planning[[#This Row],[Saldo]]-Planning[[#This Row],[Saldo estimado]]</f>
        <v>#REF!</v>
      </c>
      <c r="N1382" s="60" t="e">
        <f>+SUMIFS(#REF!,#REF!,Planning[[#This Row],[Proyectos]],#REF!,Planning[[#This Row],[Tipo de Tarea y especialidad]])</f>
        <v>#REF!</v>
      </c>
      <c r="O1382" s="19">
        <f t="shared" si="42"/>
        <v>10</v>
      </c>
      <c r="P1382" s="19">
        <f t="shared" si="43"/>
        <v>2024</v>
      </c>
      <c r="Q1382" s="19" t="e">
        <f>+SUMIFS(#REF!,#REF!,Planning[[#This Row],[Tarifa]],#REF!,Planning[[#This Row],[Proyectos]],#REF!,Planning[[#This Row],[Mes]],#REF!,Planning[[#This Row],[Año]])</f>
        <v>#REF!</v>
      </c>
      <c r="R1382" s="19" t="str">
        <f>TEXT(Planning[[#This Row],[Mes]]*29,"mmmm")</f>
        <v>October</v>
      </c>
      <c r="S13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82" s="228"/>
      <c r="U1382" s="43" t="e">
        <f>IF(Planning[[#This Row],[Horas Planificadas]]&lt;&gt;0,+K1382/Planning[[#This Row],[Horas Planificadas]],0)</f>
        <v>#REF!</v>
      </c>
      <c r="V1382" s="43" t="e">
        <f>IF(Planning[[#This Row],[Horas Planificadas]]&lt;&gt;0,Planning[[#This Row],[Horas utilizadas]]/Planning[[#This Row],[Horas Planificadas]],0)</f>
        <v>#REF!</v>
      </c>
      <c r="W1382" s="44">
        <f>Planning[[#This Row],[Horas Planificadas]]+Planning[[#This Row],[Horas ajustadas adicionales]]</f>
        <v>45</v>
      </c>
      <c r="X1382" s="142"/>
    </row>
    <row r="1383" spans="1:24" ht="22.5" x14ac:dyDescent="0.2">
      <c r="A1383" s="7"/>
      <c r="B1383" s="7"/>
      <c r="C1383" s="3"/>
      <c r="D1383" s="3" t="s">
        <v>355</v>
      </c>
      <c r="E1383" s="33" t="s">
        <v>28</v>
      </c>
      <c r="F1383" s="33"/>
      <c r="G1383" s="7"/>
      <c r="H1383" s="7">
        <v>162</v>
      </c>
      <c r="I1383" s="12"/>
      <c r="J1383" s="5" t="e">
        <f>+SUMIFS(#REF!,#REF!,Planning[[#This Row],[Tarifa]],#REF!,Planning[[#This Row],[Proyectos]])</f>
        <v>#REF!</v>
      </c>
      <c r="K1383" s="5" t="e">
        <f>Planning[[#This Row],[Horas Planificadas]]+Planning[[#This Row],[Horas ajustadas adicionales]]-Planning[[#This Row],[Horas utilizadas]]</f>
        <v>#REF!</v>
      </c>
      <c r="L1383" s="7"/>
      <c r="M1383" s="19" t="e">
        <f>Planning[[#This Row],[Saldo]]-Planning[[#This Row],[Saldo estimado]]</f>
        <v>#REF!</v>
      </c>
      <c r="N1383" s="60" t="e">
        <f>+SUMIFS(#REF!,#REF!,Planning[[#This Row],[Proyectos]],#REF!,Planning[[#This Row],[Tipo de Tarea y especialidad]])</f>
        <v>#REF!</v>
      </c>
      <c r="O1383" s="19">
        <f t="shared" si="42"/>
        <v>10</v>
      </c>
      <c r="P1383" s="19">
        <f t="shared" si="43"/>
        <v>2024</v>
      </c>
      <c r="Q1383" s="19" t="e">
        <f>+SUMIFS(#REF!,#REF!,Planning[[#This Row],[Tarifa]],#REF!,Planning[[#This Row],[Proyectos]],#REF!,Planning[[#This Row],[Mes]],#REF!,Planning[[#This Row],[Año]])</f>
        <v>#REF!</v>
      </c>
      <c r="R1383" s="19" t="str">
        <f>TEXT(Planning[[#This Row],[Mes]]*29,"mmmm")</f>
        <v>October</v>
      </c>
      <c r="S13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83" s="228"/>
      <c r="U1383" s="43" t="e">
        <f>IF(Planning[[#This Row],[Horas Planificadas]]&lt;&gt;0,+K1383/Planning[[#This Row],[Horas Planificadas]],0)</f>
        <v>#REF!</v>
      </c>
      <c r="V1383" s="43" t="e">
        <f>IF(Planning[[#This Row],[Horas Planificadas]]&lt;&gt;0,Planning[[#This Row],[Horas utilizadas]]/Planning[[#This Row],[Horas Planificadas]],0)</f>
        <v>#REF!</v>
      </c>
      <c r="W1383" s="44">
        <f>Planning[[#This Row],[Horas Planificadas]]+Planning[[#This Row],[Horas ajustadas adicionales]]</f>
        <v>162</v>
      </c>
      <c r="X1383" s="142"/>
    </row>
    <row r="1384" spans="1:24" x14ac:dyDescent="0.2">
      <c r="A1384" s="7"/>
      <c r="B1384" s="7"/>
      <c r="C1384" s="3"/>
      <c r="D1384" s="3" t="s">
        <v>355</v>
      </c>
      <c r="E1384" s="33" t="s">
        <v>30</v>
      </c>
      <c r="F1384" s="33"/>
      <c r="G1384" s="7"/>
      <c r="H1384" s="7">
        <v>331</v>
      </c>
      <c r="I1384" s="12"/>
      <c r="J1384" s="5" t="e">
        <f>+SUMIFS(#REF!,#REF!,Planning[[#This Row],[Tarifa]],#REF!,Planning[[#This Row],[Proyectos]])</f>
        <v>#REF!</v>
      </c>
      <c r="K1384" s="5" t="e">
        <f>Planning[[#This Row],[Horas Planificadas]]+Planning[[#This Row],[Horas ajustadas adicionales]]-Planning[[#This Row],[Horas utilizadas]]</f>
        <v>#REF!</v>
      </c>
      <c r="L1384" s="7"/>
      <c r="M1384" s="19" t="e">
        <f>Planning[[#This Row],[Saldo]]-Planning[[#This Row],[Saldo estimado]]</f>
        <v>#REF!</v>
      </c>
      <c r="N1384" s="60" t="e">
        <f>+SUMIFS(#REF!,#REF!,Planning[[#This Row],[Proyectos]],#REF!,Planning[[#This Row],[Tipo de Tarea y especialidad]])</f>
        <v>#REF!</v>
      </c>
      <c r="O1384" s="19">
        <f t="shared" si="42"/>
        <v>10</v>
      </c>
      <c r="P1384" s="19">
        <f t="shared" si="43"/>
        <v>2024</v>
      </c>
      <c r="Q1384" s="19" t="e">
        <f>+SUMIFS(#REF!,#REF!,Planning[[#This Row],[Tarifa]],#REF!,Planning[[#This Row],[Proyectos]],#REF!,Planning[[#This Row],[Mes]],#REF!,Planning[[#This Row],[Año]])</f>
        <v>#REF!</v>
      </c>
      <c r="R1384" s="19" t="str">
        <f>TEXT(Planning[[#This Row],[Mes]]*29,"mmmm")</f>
        <v>October</v>
      </c>
      <c r="S13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84" s="228"/>
      <c r="U1384" s="43" t="e">
        <f>IF(Planning[[#This Row],[Horas Planificadas]]&lt;&gt;0,+K1384/Planning[[#This Row],[Horas Planificadas]],0)</f>
        <v>#REF!</v>
      </c>
      <c r="V1384" s="43" t="e">
        <f>IF(Planning[[#This Row],[Horas Planificadas]]&lt;&gt;0,Planning[[#This Row],[Horas utilizadas]]/Planning[[#This Row],[Horas Planificadas]],0)</f>
        <v>#REF!</v>
      </c>
      <c r="W1384" s="44">
        <f>Planning[[#This Row],[Horas Planificadas]]+Planning[[#This Row],[Horas ajustadas adicionales]]</f>
        <v>331</v>
      </c>
      <c r="X1384" s="142"/>
    </row>
    <row r="1385" spans="1:24" x14ac:dyDescent="0.2">
      <c r="A1385" s="7"/>
      <c r="B1385" s="7"/>
      <c r="C1385" s="3"/>
      <c r="D1385" s="3" t="s">
        <v>355</v>
      </c>
      <c r="E1385" s="33" t="s">
        <v>31</v>
      </c>
      <c r="F1385" s="33"/>
      <c r="G1385" s="7"/>
      <c r="H1385" s="7">
        <v>144</v>
      </c>
      <c r="I1385" s="12"/>
      <c r="J1385" s="5" t="e">
        <f>+SUMIFS(#REF!,#REF!,Planning[[#This Row],[Tarifa]],#REF!,Planning[[#This Row],[Proyectos]])</f>
        <v>#REF!</v>
      </c>
      <c r="K1385" s="5" t="e">
        <f>Planning[[#This Row],[Horas Planificadas]]+Planning[[#This Row],[Horas ajustadas adicionales]]-Planning[[#This Row],[Horas utilizadas]]</f>
        <v>#REF!</v>
      </c>
      <c r="L1385" s="7"/>
      <c r="M1385" s="19" t="e">
        <f>Planning[[#This Row],[Saldo]]-Planning[[#This Row],[Saldo estimado]]</f>
        <v>#REF!</v>
      </c>
      <c r="N1385" s="60" t="e">
        <f>+SUMIFS(#REF!,#REF!,Planning[[#This Row],[Proyectos]],#REF!,Planning[[#This Row],[Tipo de Tarea y especialidad]])</f>
        <v>#REF!</v>
      </c>
      <c r="O1385" s="19">
        <f t="shared" si="42"/>
        <v>10</v>
      </c>
      <c r="P1385" s="19">
        <f t="shared" si="43"/>
        <v>2024</v>
      </c>
      <c r="Q1385" s="19" t="e">
        <f>+SUMIFS(#REF!,#REF!,Planning[[#This Row],[Tarifa]],#REF!,Planning[[#This Row],[Proyectos]],#REF!,Planning[[#This Row],[Mes]],#REF!,Planning[[#This Row],[Año]])</f>
        <v>#REF!</v>
      </c>
      <c r="R1385" s="19" t="str">
        <f>TEXT(Planning[[#This Row],[Mes]]*29,"mmmm")</f>
        <v>October</v>
      </c>
      <c r="S13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85" s="228"/>
      <c r="U1385" s="43" t="e">
        <f>IF(Planning[[#This Row],[Horas Planificadas]]&lt;&gt;0,+K1385/Planning[[#This Row],[Horas Planificadas]],0)</f>
        <v>#REF!</v>
      </c>
      <c r="V1385" s="43" t="e">
        <f>IF(Planning[[#This Row],[Horas Planificadas]]&lt;&gt;0,Planning[[#This Row],[Horas utilizadas]]/Planning[[#This Row],[Horas Planificadas]],0)</f>
        <v>#REF!</v>
      </c>
      <c r="W1385" s="44">
        <f>Planning[[#This Row],[Horas Planificadas]]+Planning[[#This Row],[Horas ajustadas adicionales]]</f>
        <v>144</v>
      </c>
      <c r="X1385" s="142"/>
    </row>
    <row r="1386" spans="1:24" ht="22.5" x14ac:dyDescent="0.2">
      <c r="A1386" s="7"/>
      <c r="B1386" s="7"/>
      <c r="C1386" s="3"/>
      <c r="D1386" s="3" t="s">
        <v>355</v>
      </c>
      <c r="E1386" s="33" t="s">
        <v>32</v>
      </c>
      <c r="F1386" s="33"/>
      <c r="G1386" s="7"/>
      <c r="H1386" s="7">
        <v>198</v>
      </c>
      <c r="I1386" s="12"/>
      <c r="J1386" s="5" t="e">
        <f>+SUMIFS(#REF!,#REF!,Planning[[#This Row],[Tarifa]],#REF!,Planning[[#This Row],[Proyectos]])</f>
        <v>#REF!</v>
      </c>
      <c r="K1386" s="5" t="e">
        <f>Planning[[#This Row],[Horas Planificadas]]+Planning[[#This Row],[Horas ajustadas adicionales]]-Planning[[#This Row],[Horas utilizadas]]</f>
        <v>#REF!</v>
      </c>
      <c r="L1386" s="7"/>
      <c r="M1386" s="19" t="e">
        <f>Planning[[#This Row],[Saldo]]-Planning[[#This Row],[Saldo estimado]]</f>
        <v>#REF!</v>
      </c>
      <c r="N1386" s="60" t="e">
        <f>+SUMIFS(#REF!,#REF!,Planning[[#This Row],[Proyectos]],#REF!,Planning[[#This Row],[Tipo de Tarea y especialidad]])</f>
        <v>#REF!</v>
      </c>
      <c r="O1386" s="19">
        <f t="shared" si="42"/>
        <v>10</v>
      </c>
      <c r="P1386" s="19">
        <f t="shared" si="43"/>
        <v>2024</v>
      </c>
      <c r="Q1386" s="19" t="e">
        <f>+SUMIFS(#REF!,#REF!,Planning[[#This Row],[Tarifa]],#REF!,Planning[[#This Row],[Proyectos]],#REF!,Planning[[#This Row],[Mes]],#REF!,Planning[[#This Row],[Año]])</f>
        <v>#REF!</v>
      </c>
      <c r="R1386" s="19" t="str">
        <f>TEXT(Planning[[#This Row],[Mes]]*29,"mmmm")</f>
        <v>October</v>
      </c>
      <c r="S13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86" s="228"/>
      <c r="U1386" s="43" t="e">
        <f>IF(Planning[[#This Row],[Horas Planificadas]]&lt;&gt;0,+K1386/Planning[[#This Row],[Horas Planificadas]],0)</f>
        <v>#REF!</v>
      </c>
      <c r="V1386" s="43" t="e">
        <f>IF(Planning[[#This Row],[Horas Planificadas]]&lt;&gt;0,Planning[[#This Row],[Horas utilizadas]]/Planning[[#This Row],[Horas Planificadas]],0)</f>
        <v>#REF!</v>
      </c>
      <c r="W1386" s="44">
        <f>Planning[[#This Row],[Horas Planificadas]]+Planning[[#This Row],[Horas ajustadas adicionales]]</f>
        <v>198</v>
      </c>
      <c r="X1386" s="142"/>
    </row>
    <row r="1387" spans="1:24" ht="12.75" customHeight="1" x14ac:dyDescent="0.2">
      <c r="A1387" s="7"/>
      <c r="B1387" s="7"/>
      <c r="C1387" s="3"/>
      <c r="D1387" s="3" t="s">
        <v>356</v>
      </c>
      <c r="E1387" s="4" t="s">
        <v>28</v>
      </c>
      <c r="F1387" s="3"/>
      <c r="G1387" s="9"/>
      <c r="H1387" s="12">
        <v>0</v>
      </c>
      <c r="I1387" s="12"/>
      <c r="J1387" s="5" t="e">
        <f>+SUMIFS(#REF!,#REF!,Planning[[#This Row],[Tarifa]],#REF!,Planning[[#This Row],[Proyectos]])</f>
        <v>#REF!</v>
      </c>
      <c r="K1387" s="27" t="e">
        <f>Planning[[#This Row],[Horas Planificadas]]+Planning[[#This Row],[Horas ajustadas adicionales]]-Planning[[#This Row],[Horas utilizadas]]</f>
        <v>#REF!</v>
      </c>
      <c r="L1387" s="7"/>
      <c r="M1387" s="34" t="e">
        <f>Planning[[#This Row],[Saldo]]-Planning[[#This Row],[Saldo estimado]]</f>
        <v>#REF!</v>
      </c>
      <c r="N1387" s="62" t="e">
        <f>+SUMIFS(#REF!,#REF!,Planning[[#This Row],[Proyectos]],#REF!,Planning[[#This Row],[Tipo de Tarea y especialidad]])</f>
        <v>#REF!</v>
      </c>
      <c r="O1387" s="34">
        <f t="shared" si="42"/>
        <v>10</v>
      </c>
      <c r="P1387" s="34">
        <f t="shared" si="43"/>
        <v>2024</v>
      </c>
      <c r="Q1387" s="34" t="e">
        <f>+SUMIFS(#REF!,#REF!,Planning[[#This Row],[Tarifa]],#REF!,Planning[[#This Row],[Proyectos]],#REF!,Planning[[#This Row],[Mes]],#REF!,Planning[[#This Row],[Año]])</f>
        <v>#REF!</v>
      </c>
      <c r="R1387" s="34" t="str">
        <f>TEXT(Planning[[#This Row],[Mes]]*29,"mmmm")</f>
        <v>October</v>
      </c>
      <c r="S138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87" s="228"/>
      <c r="U1387" s="43">
        <f>IF(Planning[[#This Row],[Horas Planificadas]]&lt;&gt;0,+K1387/Planning[[#This Row],[Horas Planificadas]],0)</f>
        <v>0</v>
      </c>
      <c r="V1387" s="43">
        <f>IF(Planning[[#This Row],[Horas Planificadas]]&lt;&gt;0,Planning[[#This Row],[Horas utilizadas]]/Planning[[#This Row],[Horas Planificadas]],0)</f>
        <v>0</v>
      </c>
      <c r="W1387" s="44">
        <f>Planning[[#This Row],[Horas Planificadas]]+Planning[[#This Row],[Horas ajustadas adicionales]]</f>
        <v>0</v>
      </c>
      <c r="X1387" s="142"/>
    </row>
    <row r="1388" spans="1:24" ht="12.75" customHeight="1" x14ac:dyDescent="0.2">
      <c r="A1388" s="7"/>
      <c r="B1388" s="7"/>
      <c r="C1388" s="3"/>
      <c r="D1388" s="3" t="s">
        <v>356</v>
      </c>
      <c r="E1388" s="4" t="s">
        <v>30</v>
      </c>
      <c r="F1388" s="3"/>
      <c r="G1388" s="9"/>
      <c r="H1388" s="9">
        <v>729</v>
      </c>
      <c r="I1388" s="12"/>
      <c r="J1388" s="5" t="e">
        <f>+SUMIFS(#REF!,#REF!,Planning[[#This Row],[Tarifa]],#REF!,Planning[[#This Row],[Proyectos]])</f>
        <v>#REF!</v>
      </c>
      <c r="K1388" s="5" t="e">
        <f>Planning[[#This Row],[Horas Planificadas]]+Planning[[#This Row],[Horas ajustadas adicionales]]-Planning[[#This Row],[Horas utilizadas]]</f>
        <v>#REF!</v>
      </c>
      <c r="L1388" s="7"/>
      <c r="M1388" s="19" t="e">
        <f>Planning[[#This Row],[Saldo]]-Planning[[#This Row],[Saldo estimado]]</f>
        <v>#REF!</v>
      </c>
      <c r="N1388" s="60" t="e">
        <f>+SUMIFS(#REF!,#REF!,Planning[[#This Row],[Proyectos]],#REF!,Planning[[#This Row],[Tipo de Tarea y especialidad]])</f>
        <v>#REF!</v>
      </c>
      <c r="O1388" s="19">
        <f t="shared" si="42"/>
        <v>10</v>
      </c>
      <c r="P1388" s="19">
        <f t="shared" si="43"/>
        <v>2024</v>
      </c>
      <c r="Q1388" s="19" t="e">
        <f>+SUMIFS(#REF!,#REF!,Planning[[#This Row],[Tarifa]],#REF!,Planning[[#This Row],[Proyectos]],#REF!,Planning[[#This Row],[Mes]],#REF!,Planning[[#This Row],[Año]])</f>
        <v>#REF!</v>
      </c>
      <c r="R1388" s="19" t="str">
        <f>TEXT(Planning[[#This Row],[Mes]]*29,"mmmm")</f>
        <v>October</v>
      </c>
      <c r="S13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88" s="228"/>
      <c r="U1388" s="43" t="e">
        <f>IF(Planning[[#This Row],[Horas Planificadas]]&lt;&gt;0,+K1388/Planning[[#This Row],[Horas Planificadas]],0)</f>
        <v>#REF!</v>
      </c>
      <c r="V1388" s="43" t="e">
        <f>IF(Planning[[#This Row],[Horas Planificadas]]&lt;&gt;0,Planning[[#This Row],[Horas utilizadas]]/Planning[[#This Row],[Horas Planificadas]],0)</f>
        <v>#REF!</v>
      </c>
      <c r="W1388" s="44">
        <f>Planning[[#This Row],[Horas Planificadas]]+Planning[[#This Row],[Horas ajustadas adicionales]]</f>
        <v>729</v>
      </c>
      <c r="X1388" s="142"/>
    </row>
    <row r="1389" spans="1:24" ht="12.75" customHeight="1" x14ac:dyDescent="0.2">
      <c r="A1389" s="7"/>
      <c r="B1389" s="7"/>
      <c r="C1389" s="3"/>
      <c r="D1389" s="3" t="s">
        <v>356</v>
      </c>
      <c r="E1389" s="4" t="s">
        <v>31</v>
      </c>
      <c r="F1389" s="3"/>
      <c r="G1389" s="9"/>
      <c r="H1389" s="9">
        <v>193</v>
      </c>
      <c r="I1389" s="12"/>
      <c r="J1389" s="5" t="e">
        <f>+SUMIFS(#REF!,#REF!,Planning[[#This Row],[Tarifa]],#REF!,Planning[[#This Row],[Proyectos]])</f>
        <v>#REF!</v>
      </c>
      <c r="K1389" s="5" t="e">
        <f>Planning[[#This Row],[Horas Planificadas]]+Planning[[#This Row],[Horas ajustadas adicionales]]-Planning[[#This Row],[Horas utilizadas]]</f>
        <v>#REF!</v>
      </c>
      <c r="L1389" s="7"/>
      <c r="M1389" s="19" t="e">
        <f>Planning[[#This Row],[Saldo]]-Planning[[#This Row],[Saldo estimado]]</f>
        <v>#REF!</v>
      </c>
      <c r="N1389" s="60" t="e">
        <f>+SUMIFS(#REF!,#REF!,Planning[[#This Row],[Proyectos]],#REF!,Planning[[#This Row],[Tipo de Tarea y especialidad]])</f>
        <v>#REF!</v>
      </c>
      <c r="O1389" s="19">
        <f t="shared" si="42"/>
        <v>10</v>
      </c>
      <c r="P1389" s="19">
        <f t="shared" si="43"/>
        <v>2024</v>
      </c>
      <c r="Q1389" s="19" t="e">
        <f>+SUMIFS(#REF!,#REF!,Planning[[#This Row],[Tarifa]],#REF!,Planning[[#This Row],[Proyectos]],#REF!,Planning[[#This Row],[Mes]],#REF!,Planning[[#This Row],[Año]])</f>
        <v>#REF!</v>
      </c>
      <c r="R1389" s="19" t="str">
        <f>TEXT(Planning[[#This Row],[Mes]]*29,"mmmm")</f>
        <v>October</v>
      </c>
      <c r="S13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89" s="228"/>
      <c r="U1389" s="43" t="e">
        <f>IF(Planning[[#This Row],[Horas Planificadas]]&lt;&gt;0,+K1389/Planning[[#This Row],[Horas Planificadas]],0)</f>
        <v>#REF!</v>
      </c>
      <c r="V1389" s="43" t="e">
        <f>IF(Planning[[#This Row],[Horas Planificadas]]&lt;&gt;0,Planning[[#This Row],[Horas utilizadas]]/Planning[[#This Row],[Horas Planificadas]],0)</f>
        <v>#REF!</v>
      </c>
      <c r="W1389" s="44">
        <f>Planning[[#This Row],[Horas Planificadas]]+Planning[[#This Row],[Horas ajustadas adicionales]]</f>
        <v>193</v>
      </c>
      <c r="X1389" s="142"/>
    </row>
    <row r="1390" spans="1:24" ht="12.75" customHeight="1" x14ac:dyDescent="0.2">
      <c r="A1390" s="7"/>
      <c r="B1390" s="7"/>
      <c r="C1390" s="3"/>
      <c r="D1390" s="3" t="s">
        <v>356</v>
      </c>
      <c r="E1390" s="4" t="s">
        <v>32</v>
      </c>
      <c r="F1390" s="3"/>
      <c r="G1390" s="9"/>
      <c r="H1390" s="12">
        <v>367</v>
      </c>
      <c r="I1390" s="12"/>
      <c r="J1390" s="5" t="e">
        <f>+SUMIFS(#REF!,#REF!,Planning[[#This Row],[Tarifa]],#REF!,Planning[[#This Row],[Proyectos]])</f>
        <v>#REF!</v>
      </c>
      <c r="K1390" s="27" t="e">
        <f>Planning[[#This Row],[Horas Planificadas]]+Planning[[#This Row],[Horas ajustadas adicionales]]-Planning[[#This Row],[Horas utilizadas]]</f>
        <v>#REF!</v>
      </c>
      <c r="L1390" s="7"/>
      <c r="M1390" s="19" t="e">
        <f>Planning[[#This Row],[Saldo]]-Planning[[#This Row],[Saldo estimado]]</f>
        <v>#REF!</v>
      </c>
      <c r="N1390" s="60" t="e">
        <f>+SUMIFS(#REF!,#REF!,Planning[[#This Row],[Proyectos]],#REF!,Planning[[#This Row],[Tipo de Tarea y especialidad]])</f>
        <v>#REF!</v>
      </c>
      <c r="O1390" s="19">
        <f t="shared" si="42"/>
        <v>10</v>
      </c>
      <c r="P1390" s="19">
        <f t="shared" si="43"/>
        <v>2024</v>
      </c>
      <c r="Q1390" s="19" t="e">
        <f>+SUMIFS(#REF!,#REF!,Planning[[#This Row],[Tarifa]],#REF!,Planning[[#This Row],[Proyectos]],#REF!,Planning[[#This Row],[Mes]],#REF!,Planning[[#This Row],[Año]])</f>
        <v>#REF!</v>
      </c>
      <c r="R1390" s="19" t="str">
        <f>TEXT(Planning[[#This Row],[Mes]]*29,"mmmm")</f>
        <v>October</v>
      </c>
      <c r="S13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90" s="228"/>
      <c r="U1390" s="43" t="e">
        <f>IF(Planning[[#This Row],[Horas Planificadas]]&lt;&gt;0,+K1390/Planning[[#This Row],[Horas Planificadas]],0)</f>
        <v>#REF!</v>
      </c>
      <c r="V1390" s="43" t="e">
        <f>IF(Planning[[#This Row],[Horas Planificadas]]&lt;&gt;0,Planning[[#This Row],[Horas utilizadas]]/Planning[[#This Row],[Horas Planificadas]],0)</f>
        <v>#REF!</v>
      </c>
      <c r="W1390" s="44">
        <f>Planning[[#This Row],[Horas Planificadas]]+Planning[[#This Row],[Horas ajustadas adicionales]]</f>
        <v>367</v>
      </c>
      <c r="X1390" s="142"/>
    </row>
    <row r="1391" spans="1:24" ht="12.75" customHeight="1" x14ac:dyDescent="0.2">
      <c r="A1391" s="7"/>
      <c r="B1391" s="7"/>
      <c r="C1391" s="3"/>
      <c r="D1391" s="3" t="s">
        <v>357</v>
      </c>
      <c r="E1391" s="4" t="s">
        <v>28</v>
      </c>
      <c r="F1391" s="3"/>
      <c r="G1391" s="9"/>
      <c r="H1391" s="9">
        <v>600</v>
      </c>
      <c r="I1391" s="12"/>
      <c r="J1391" s="5" t="e">
        <f>+SUMIFS(#REF!,#REF!,Planning[[#This Row],[Tarifa]],#REF!,Planning[[#This Row],[Proyectos]])</f>
        <v>#REF!</v>
      </c>
      <c r="K1391" s="5" t="e">
        <f>Planning[[#This Row],[Horas Planificadas]]+Planning[[#This Row],[Horas ajustadas adicionales]]-Planning[[#This Row],[Horas utilizadas]]</f>
        <v>#REF!</v>
      </c>
      <c r="L1391" s="7"/>
      <c r="M1391" s="19" t="e">
        <f>Planning[[#This Row],[Saldo]]-Planning[[#This Row],[Saldo estimado]]</f>
        <v>#REF!</v>
      </c>
      <c r="N1391" s="60" t="e">
        <f>+SUMIFS(#REF!,#REF!,Planning[[#This Row],[Proyectos]],#REF!,Planning[[#This Row],[Tipo de Tarea y especialidad]])</f>
        <v>#REF!</v>
      </c>
      <c r="O1391" s="19">
        <f t="shared" si="42"/>
        <v>10</v>
      </c>
      <c r="P1391" s="19">
        <f t="shared" si="43"/>
        <v>2024</v>
      </c>
      <c r="Q1391" s="19" t="e">
        <f>+SUMIFS(#REF!,#REF!,Planning[[#This Row],[Tarifa]],#REF!,Planning[[#This Row],[Proyectos]],#REF!,Planning[[#This Row],[Mes]],#REF!,Planning[[#This Row],[Año]])</f>
        <v>#REF!</v>
      </c>
      <c r="R1391" s="19" t="str">
        <f>TEXT(Planning[[#This Row],[Mes]]*29,"mmmm")</f>
        <v>October</v>
      </c>
      <c r="S13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91" s="228"/>
      <c r="U1391" s="43" t="e">
        <f>IF(Planning[[#This Row],[Horas Planificadas]]&lt;&gt;0,+K1391/Planning[[#This Row],[Horas Planificadas]],0)</f>
        <v>#REF!</v>
      </c>
      <c r="V1391" s="43" t="e">
        <f>IF(Planning[[#This Row],[Horas Planificadas]]&lt;&gt;0,Planning[[#This Row],[Horas utilizadas]]/Planning[[#This Row],[Horas Planificadas]],0)</f>
        <v>#REF!</v>
      </c>
      <c r="W1391" s="44">
        <f>Planning[[#This Row],[Horas Planificadas]]+Planning[[#This Row],[Horas ajustadas adicionales]]</f>
        <v>600</v>
      </c>
      <c r="X1391" s="142"/>
    </row>
    <row r="1392" spans="1:24" ht="12.75" customHeight="1" x14ac:dyDescent="0.2">
      <c r="A1392" s="7"/>
      <c r="B1392" s="7"/>
      <c r="C1392" s="3"/>
      <c r="D1392" s="3" t="s">
        <v>357</v>
      </c>
      <c r="E1392" s="4" t="s">
        <v>30</v>
      </c>
      <c r="F1392" s="3"/>
      <c r="G1392" s="9"/>
      <c r="H1392" s="9">
        <v>330</v>
      </c>
      <c r="I1392" s="12"/>
      <c r="J1392" s="5" t="e">
        <f>+SUMIFS(#REF!,#REF!,Planning[[#This Row],[Tarifa]],#REF!,Planning[[#This Row],[Proyectos]])</f>
        <v>#REF!</v>
      </c>
      <c r="K1392" s="5" t="e">
        <f>Planning[[#This Row],[Horas Planificadas]]+Planning[[#This Row],[Horas ajustadas adicionales]]-Planning[[#This Row],[Horas utilizadas]]</f>
        <v>#REF!</v>
      </c>
      <c r="L1392" s="7"/>
      <c r="M1392" s="19" t="e">
        <f>Planning[[#This Row],[Saldo]]-Planning[[#This Row],[Saldo estimado]]</f>
        <v>#REF!</v>
      </c>
      <c r="N1392" s="60" t="e">
        <f>+SUMIFS(#REF!,#REF!,Planning[[#This Row],[Proyectos]],#REF!,Planning[[#This Row],[Tipo de Tarea y especialidad]])</f>
        <v>#REF!</v>
      </c>
      <c r="O1392" s="19">
        <f t="shared" si="42"/>
        <v>10</v>
      </c>
      <c r="P1392" s="19">
        <f t="shared" si="43"/>
        <v>2024</v>
      </c>
      <c r="Q1392" s="19" t="e">
        <f>+SUMIFS(#REF!,#REF!,Planning[[#This Row],[Tarifa]],#REF!,Planning[[#This Row],[Proyectos]],#REF!,Planning[[#This Row],[Mes]],#REF!,Planning[[#This Row],[Año]])</f>
        <v>#REF!</v>
      </c>
      <c r="R1392" s="19" t="str">
        <f>TEXT(Planning[[#This Row],[Mes]]*29,"mmmm")</f>
        <v>October</v>
      </c>
      <c r="S13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92" s="228"/>
      <c r="U1392" s="43" t="e">
        <f>IF(Planning[[#This Row],[Horas Planificadas]]&lt;&gt;0,+K1392/Planning[[#This Row],[Horas Planificadas]],0)</f>
        <v>#REF!</v>
      </c>
      <c r="V1392" s="43" t="e">
        <f>IF(Planning[[#This Row],[Horas Planificadas]]&lt;&gt;0,Planning[[#This Row],[Horas utilizadas]]/Planning[[#This Row],[Horas Planificadas]],0)</f>
        <v>#REF!</v>
      </c>
      <c r="W1392" s="44">
        <f>Planning[[#This Row],[Horas Planificadas]]+Planning[[#This Row],[Horas ajustadas adicionales]]</f>
        <v>330</v>
      </c>
      <c r="X1392" s="142"/>
    </row>
    <row r="1393" spans="1:24" ht="12.75" customHeight="1" x14ac:dyDescent="0.2">
      <c r="A1393" s="7"/>
      <c r="B1393" s="7"/>
      <c r="C1393" s="3"/>
      <c r="D1393" s="3" t="s">
        <v>357</v>
      </c>
      <c r="E1393" s="4" t="s">
        <v>31</v>
      </c>
      <c r="F1393" s="3"/>
      <c r="G1393" s="9"/>
      <c r="H1393" s="9">
        <v>167</v>
      </c>
      <c r="I1393" s="12"/>
      <c r="J1393" s="5" t="e">
        <f>+SUMIFS(#REF!,#REF!,Planning[[#This Row],[Tarifa]],#REF!,Planning[[#This Row],[Proyectos]])</f>
        <v>#REF!</v>
      </c>
      <c r="K1393" s="5" t="e">
        <f>Planning[[#This Row],[Horas Planificadas]]+Planning[[#This Row],[Horas ajustadas adicionales]]-Planning[[#This Row],[Horas utilizadas]]</f>
        <v>#REF!</v>
      </c>
      <c r="L1393" s="7"/>
      <c r="M1393" s="19" t="e">
        <f>Planning[[#This Row],[Saldo]]-Planning[[#This Row],[Saldo estimado]]</f>
        <v>#REF!</v>
      </c>
      <c r="N1393" s="60" t="e">
        <f>+SUMIFS(#REF!,#REF!,Planning[[#This Row],[Proyectos]],#REF!,Planning[[#This Row],[Tipo de Tarea y especialidad]])</f>
        <v>#REF!</v>
      </c>
      <c r="O1393" s="19">
        <f t="shared" si="42"/>
        <v>10</v>
      </c>
      <c r="P1393" s="19">
        <f t="shared" si="43"/>
        <v>2024</v>
      </c>
      <c r="Q1393" s="19" t="e">
        <f>+SUMIFS(#REF!,#REF!,Planning[[#This Row],[Tarifa]],#REF!,Planning[[#This Row],[Proyectos]],#REF!,Planning[[#This Row],[Mes]],#REF!,Planning[[#This Row],[Año]])</f>
        <v>#REF!</v>
      </c>
      <c r="R1393" s="19" t="str">
        <f>TEXT(Planning[[#This Row],[Mes]]*29,"mmmm")</f>
        <v>October</v>
      </c>
      <c r="S13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93" s="228"/>
      <c r="U1393" s="43" t="e">
        <f>IF(Planning[[#This Row],[Horas Planificadas]]&lt;&gt;0,+K1393/Planning[[#This Row],[Horas Planificadas]],0)</f>
        <v>#REF!</v>
      </c>
      <c r="V1393" s="43" t="e">
        <f>IF(Planning[[#This Row],[Horas Planificadas]]&lt;&gt;0,Planning[[#This Row],[Horas utilizadas]]/Planning[[#This Row],[Horas Planificadas]],0)</f>
        <v>#REF!</v>
      </c>
      <c r="W1393" s="44">
        <f>Planning[[#This Row],[Horas Planificadas]]+Planning[[#This Row],[Horas ajustadas adicionales]]</f>
        <v>167</v>
      </c>
      <c r="X1393" s="142"/>
    </row>
    <row r="1394" spans="1:24" ht="12.75" customHeight="1" x14ac:dyDescent="0.2">
      <c r="A1394" s="7"/>
      <c r="B1394" s="7"/>
      <c r="C1394" s="3"/>
      <c r="D1394" s="3" t="s">
        <v>357</v>
      </c>
      <c r="E1394" s="4" t="s">
        <v>32</v>
      </c>
      <c r="F1394" s="3"/>
      <c r="G1394" s="9"/>
      <c r="H1394" s="9">
        <v>220</v>
      </c>
      <c r="I1394" s="12"/>
      <c r="J1394" s="5" t="e">
        <f>+SUMIFS(#REF!,#REF!,Planning[[#This Row],[Tarifa]],#REF!,Planning[[#This Row],[Proyectos]])</f>
        <v>#REF!</v>
      </c>
      <c r="K1394" s="5" t="e">
        <f>Planning[[#This Row],[Horas Planificadas]]+Planning[[#This Row],[Horas ajustadas adicionales]]-Planning[[#This Row],[Horas utilizadas]]</f>
        <v>#REF!</v>
      </c>
      <c r="L1394" s="7"/>
      <c r="M1394" s="19" t="e">
        <f>Planning[[#This Row],[Saldo]]-Planning[[#This Row],[Saldo estimado]]</f>
        <v>#REF!</v>
      </c>
      <c r="N1394" s="60" t="e">
        <f>+SUMIFS(#REF!,#REF!,Planning[[#This Row],[Proyectos]],#REF!,Planning[[#This Row],[Tipo de Tarea y especialidad]])</f>
        <v>#REF!</v>
      </c>
      <c r="O1394" s="19">
        <f t="shared" si="42"/>
        <v>10</v>
      </c>
      <c r="P1394" s="19">
        <f t="shared" si="43"/>
        <v>2024</v>
      </c>
      <c r="Q1394" s="19" t="e">
        <f>+SUMIFS(#REF!,#REF!,Planning[[#This Row],[Tarifa]],#REF!,Planning[[#This Row],[Proyectos]],#REF!,Planning[[#This Row],[Mes]],#REF!,Planning[[#This Row],[Año]])</f>
        <v>#REF!</v>
      </c>
      <c r="R1394" s="19" t="str">
        <f>TEXT(Planning[[#This Row],[Mes]]*29,"mmmm")</f>
        <v>October</v>
      </c>
      <c r="S13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94" s="228"/>
      <c r="U1394" s="43" t="e">
        <f>IF(Planning[[#This Row],[Horas Planificadas]]&lt;&gt;0,+K1394/Planning[[#This Row],[Horas Planificadas]],0)</f>
        <v>#REF!</v>
      </c>
      <c r="V1394" s="43" t="e">
        <f>IF(Planning[[#This Row],[Horas Planificadas]]&lt;&gt;0,Planning[[#This Row],[Horas utilizadas]]/Planning[[#This Row],[Horas Planificadas]],0)</f>
        <v>#REF!</v>
      </c>
      <c r="W1394" s="44">
        <f>Planning[[#This Row],[Horas Planificadas]]+Planning[[#This Row],[Horas ajustadas adicionales]]</f>
        <v>220</v>
      </c>
      <c r="X1394" s="142"/>
    </row>
    <row r="1395" spans="1:24" ht="12.75" customHeight="1" x14ac:dyDescent="0.2">
      <c r="A1395" s="7"/>
      <c r="B1395" s="7"/>
      <c r="C1395" s="3"/>
      <c r="D1395" s="3" t="s">
        <v>358</v>
      </c>
      <c r="E1395" s="4" t="s">
        <v>28</v>
      </c>
      <c r="F1395" s="3"/>
      <c r="G1395" s="9"/>
      <c r="H1395" s="9">
        <v>135</v>
      </c>
      <c r="I1395" s="12"/>
      <c r="J1395" s="5" t="e">
        <f>+SUMIFS(#REF!,#REF!,Planning[[#This Row],[Tarifa]],#REF!,Planning[[#This Row],[Proyectos]])</f>
        <v>#REF!</v>
      </c>
      <c r="K1395" s="5" t="e">
        <f>Planning[[#This Row],[Horas Planificadas]]+Planning[[#This Row],[Horas ajustadas adicionales]]-Planning[[#This Row],[Horas utilizadas]]</f>
        <v>#REF!</v>
      </c>
      <c r="L1395" s="7"/>
      <c r="M1395" s="19" t="e">
        <f>Planning[[#This Row],[Saldo]]-Planning[[#This Row],[Saldo estimado]]</f>
        <v>#REF!</v>
      </c>
      <c r="N1395" s="60" t="e">
        <f>+SUMIFS(#REF!,#REF!,Planning[[#This Row],[Proyectos]],#REF!,Planning[[#This Row],[Tipo de Tarea y especialidad]])</f>
        <v>#REF!</v>
      </c>
      <c r="O1395" s="19">
        <f t="shared" si="42"/>
        <v>10</v>
      </c>
      <c r="P1395" s="19">
        <f t="shared" si="43"/>
        <v>2024</v>
      </c>
      <c r="Q1395" s="19" t="e">
        <f>+SUMIFS(#REF!,#REF!,Planning[[#This Row],[Tarifa]],#REF!,Planning[[#This Row],[Proyectos]],#REF!,Planning[[#This Row],[Mes]],#REF!,Planning[[#This Row],[Año]])</f>
        <v>#REF!</v>
      </c>
      <c r="R1395" s="19" t="str">
        <f>TEXT(Planning[[#This Row],[Mes]]*29,"mmmm")</f>
        <v>October</v>
      </c>
      <c r="S13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95" s="228"/>
      <c r="U1395" s="43" t="e">
        <f>IF(Planning[[#This Row],[Horas Planificadas]]&lt;&gt;0,+K1395/Planning[[#This Row],[Horas Planificadas]],0)</f>
        <v>#REF!</v>
      </c>
      <c r="V1395" s="43" t="e">
        <f>IF(Planning[[#This Row],[Horas Planificadas]]&lt;&gt;0,Planning[[#This Row],[Horas utilizadas]]/Planning[[#This Row],[Horas Planificadas]],0)</f>
        <v>#REF!</v>
      </c>
      <c r="W1395" s="44">
        <f>Planning[[#This Row],[Horas Planificadas]]+Planning[[#This Row],[Horas ajustadas adicionales]]</f>
        <v>135</v>
      </c>
      <c r="X1395" s="142"/>
    </row>
    <row r="1396" spans="1:24" ht="12.75" customHeight="1" x14ac:dyDescent="0.2">
      <c r="A1396" s="7"/>
      <c r="B1396" s="7"/>
      <c r="C1396" s="3"/>
      <c r="D1396" s="3" t="s">
        <v>358</v>
      </c>
      <c r="E1396" s="4" t="s">
        <v>30</v>
      </c>
      <c r="F1396" s="3"/>
      <c r="G1396" s="9"/>
      <c r="H1396" s="9">
        <v>236</v>
      </c>
      <c r="I1396" s="12"/>
      <c r="J1396" s="5" t="e">
        <f>+SUMIFS(#REF!,#REF!,Planning[[#This Row],[Tarifa]],#REF!,Planning[[#This Row],[Proyectos]])</f>
        <v>#REF!</v>
      </c>
      <c r="K1396" s="5" t="e">
        <f>Planning[[#This Row],[Horas Planificadas]]+Planning[[#This Row],[Horas ajustadas adicionales]]-Planning[[#This Row],[Horas utilizadas]]</f>
        <v>#REF!</v>
      </c>
      <c r="L1396" s="7"/>
      <c r="M1396" s="19" t="e">
        <f>Planning[[#This Row],[Saldo]]-Planning[[#This Row],[Saldo estimado]]</f>
        <v>#REF!</v>
      </c>
      <c r="N1396" s="60" t="e">
        <f>+SUMIFS(#REF!,#REF!,Planning[[#This Row],[Proyectos]],#REF!,Planning[[#This Row],[Tipo de Tarea y especialidad]])</f>
        <v>#REF!</v>
      </c>
      <c r="O1396" s="19">
        <f t="shared" si="42"/>
        <v>10</v>
      </c>
      <c r="P1396" s="19">
        <f t="shared" si="43"/>
        <v>2024</v>
      </c>
      <c r="Q1396" s="19" t="e">
        <f>+SUMIFS(#REF!,#REF!,Planning[[#This Row],[Tarifa]],#REF!,Planning[[#This Row],[Proyectos]],#REF!,Planning[[#This Row],[Mes]],#REF!,Planning[[#This Row],[Año]])</f>
        <v>#REF!</v>
      </c>
      <c r="R1396" s="19" t="str">
        <f>TEXT(Planning[[#This Row],[Mes]]*29,"mmmm")</f>
        <v>October</v>
      </c>
      <c r="S13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96" s="228"/>
      <c r="U1396" s="43" t="e">
        <f>IF(Planning[[#This Row],[Horas Planificadas]]&lt;&gt;0,+K1396/Planning[[#This Row],[Horas Planificadas]],0)</f>
        <v>#REF!</v>
      </c>
      <c r="V1396" s="43" t="e">
        <f>IF(Planning[[#This Row],[Horas Planificadas]]&lt;&gt;0,Planning[[#This Row],[Horas utilizadas]]/Planning[[#This Row],[Horas Planificadas]],0)</f>
        <v>#REF!</v>
      </c>
      <c r="W1396" s="44">
        <f>Planning[[#This Row],[Horas Planificadas]]+Planning[[#This Row],[Horas ajustadas adicionales]]</f>
        <v>236</v>
      </c>
      <c r="X1396" s="142"/>
    </row>
    <row r="1397" spans="1:24" ht="12.75" customHeight="1" x14ac:dyDescent="0.2">
      <c r="A1397" s="7"/>
      <c r="B1397" s="7"/>
      <c r="C1397" s="3"/>
      <c r="D1397" s="3" t="s">
        <v>358</v>
      </c>
      <c r="E1397" s="4" t="s">
        <v>31</v>
      </c>
      <c r="F1397" s="3"/>
      <c r="G1397" s="9"/>
      <c r="H1397" s="9">
        <v>120</v>
      </c>
      <c r="I1397" s="12"/>
      <c r="J1397" s="5" t="e">
        <f>+SUMIFS(#REF!,#REF!,Planning[[#This Row],[Tarifa]],#REF!,Planning[[#This Row],[Proyectos]])</f>
        <v>#REF!</v>
      </c>
      <c r="K1397" s="5" t="e">
        <f>Planning[[#This Row],[Horas Planificadas]]+Planning[[#This Row],[Horas ajustadas adicionales]]-Planning[[#This Row],[Horas utilizadas]]</f>
        <v>#REF!</v>
      </c>
      <c r="L1397" s="7"/>
      <c r="M1397" s="19" t="e">
        <f>Planning[[#This Row],[Saldo]]-Planning[[#This Row],[Saldo estimado]]</f>
        <v>#REF!</v>
      </c>
      <c r="N1397" s="60" t="e">
        <f>+SUMIFS(#REF!,#REF!,Planning[[#This Row],[Proyectos]],#REF!,Planning[[#This Row],[Tipo de Tarea y especialidad]])</f>
        <v>#REF!</v>
      </c>
      <c r="O1397" s="19">
        <f t="shared" si="42"/>
        <v>10</v>
      </c>
      <c r="P1397" s="19">
        <f t="shared" si="43"/>
        <v>2024</v>
      </c>
      <c r="Q1397" s="19" t="e">
        <f>+SUMIFS(#REF!,#REF!,Planning[[#This Row],[Tarifa]],#REF!,Planning[[#This Row],[Proyectos]],#REF!,Planning[[#This Row],[Mes]],#REF!,Planning[[#This Row],[Año]])</f>
        <v>#REF!</v>
      </c>
      <c r="R1397" s="19" t="str">
        <f>TEXT(Planning[[#This Row],[Mes]]*29,"mmmm")</f>
        <v>October</v>
      </c>
      <c r="S13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97" s="228"/>
      <c r="U1397" s="43" t="e">
        <f>IF(Planning[[#This Row],[Horas Planificadas]]&lt;&gt;0,+K1397/Planning[[#This Row],[Horas Planificadas]],0)</f>
        <v>#REF!</v>
      </c>
      <c r="V1397" s="43" t="e">
        <f>IF(Planning[[#This Row],[Horas Planificadas]]&lt;&gt;0,Planning[[#This Row],[Horas utilizadas]]/Planning[[#This Row],[Horas Planificadas]],0)</f>
        <v>#REF!</v>
      </c>
      <c r="W1397" s="44">
        <f>Planning[[#This Row],[Horas Planificadas]]+Planning[[#This Row],[Horas ajustadas adicionales]]</f>
        <v>120</v>
      </c>
      <c r="X1397" s="142"/>
    </row>
    <row r="1398" spans="1:24" ht="12.75" customHeight="1" x14ac:dyDescent="0.2">
      <c r="A1398" s="7"/>
      <c r="B1398" s="7"/>
      <c r="C1398" s="3"/>
      <c r="D1398" s="3" t="s">
        <v>358</v>
      </c>
      <c r="E1398" s="4" t="s">
        <v>32</v>
      </c>
      <c r="F1398" s="3"/>
      <c r="G1398" s="9"/>
      <c r="H1398" s="9">
        <v>126</v>
      </c>
      <c r="I1398" s="12"/>
      <c r="J1398" s="5" t="e">
        <f>+SUMIFS(#REF!,#REF!,Planning[[#This Row],[Tarifa]],#REF!,Planning[[#This Row],[Proyectos]])</f>
        <v>#REF!</v>
      </c>
      <c r="K1398" s="5" t="e">
        <f>Planning[[#This Row],[Horas Planificadas]]+Planning[[#This Row],[Horas ajustadas adicionales]]-Planning[[#This Row],[Horas utilizadas]]</f>
        <v>#REF!</v>
      </c>
      <c r="L1398" s="7"/>
      <c r="M1398" s="19" t="e">
        <f>Planning[[#This Row],[Saldo]]-Planning[[#This Row],[Saldo estimado]]</f>
        <v>#REF!</v>
      </c>
      <c r="N1398" s="60" t="e">
        <f>+SUMIFS(#REF!,#REF!,Planning[[#This Row],[Proyectos]],#REF!,Planning[[#This Row],[Tipo de Tarea y especialidad]])</f>
        <v>#REF!</v>
      </c>
      <c r="O1398" s="19">
        <f t="shared" si="42"/>
        <v>10</v>
      </c>
      <c r="P1398" s="19">
        <f t="shared" si="43"/>
        <v>2024</v>
      </c>
      <c r="Q1398" s="19" t="e">
        <f>+SUMIFS(#REF!,#REF!,Planning[[#This Row],[Tarifa]],#REF!,Planning[[#This Row],[Proyectos]],#REF!,Planning[[#This Row],[Mes]],#REF!,Planning[[#This Row],[Año]])</f>
        <v>#REF!</v>
      </c>
      <c r="R1398" s="19" t="str">
        <f>TEXT(Planning[[#This Row],[Mes]]*29,"mmmm")</f>
        <v>October</v>
      </c>
      <c r="S13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98" s="228"/>
      <c r="U1398" s="43" t="e">
        <f>IF(Planning[[#This Row],[Horas Planificadas]]&lt;&gt;0,+K1398/Planning[[#This Row],[Horas Planificadas]],0)</f>
        <v>#REF!</v>
      </c>
      <c r="V1398" s="43" t="e">
        <f>IF(Planning[[#This Row],[Horas Planificadas]]&lt;&gt;0,Planning[[#This Row],[Horas utilizadas]]/Planning[[#This Row],[Horas Planificadas]],0)</f>
        <v>#REF!</v>
      </c>
      <c r="W1398" s="44">
        <f>Planning[[#This Row],[Horas Planificadas]]+Planning[[#This Row],[Horas ajustadas adicionales]]</f>
        <v>126</v>
      </c>
      <c r="X1398" s="142"/>
    </row>
    <row r="1399" spans="1:24" ht="12.75" customHeight="1" x14ac:dyDescent="0.2">
      <c r="A1399" s="7"/>
      <c r="B1399" s="7"/>
      <c r="C1399" s="3"/>
      <c r="D1399" s="3" t="s">
        <v>359</v>
      </c>
      <c r="E1399" s="4" t="s">
        <v>28</v>
      </c>
      <c r="F1399" s="3"/>
      <c r="G1399" s="9"/>
      <c r="H1399" s="12">
        <v>562</v>
      </c>
      <c r="I1399" s="12"/>
      <c r="J1399" s="5" t="e">
        <f>+SUMIFS(#REF!,#REF!,Planning[[#This Row],[Tarifa]],#REF!,Planning[[#This Row],[Proyectos]])</f>
        <v>#REF!</v>
      </c>
      <c r="K1399" s="27" t="e">
        <f>Planning[[#This Row],[Horas Planificadas]]+Planning[[#This Row],[Horas ajustadas adicionales]]-Planning[[#This Row],[Horas utilizadas]]</f>
        <v>#REF!</v>
      </c>
      <c r="L1399" s="7"/>
      <c r="M1399" s="19" t="e">
        <f>Planning[[#This Row],[Saldo]]-Planning[[#This Row],[Saldo estimado]]</f>
        <v>#REF!</v>
      </c>
      <c r="N1399" s="60" t="e">
        <f>+SUMIFS(#REF!,#REF!,Planning[[#This Row],[Proyectos]],#REF!,Planning[[#This Row],[Tipo de Tarea y especialidad]])</f>
        <v>#REF!</v>
      </c>
      <c r="O1399" s="19">
        <f t="shared" si="42"/>
        <v>10</v>
      </c>
      <c r="P1399" s="19">
        <f t="shared" si="43"/>
        <v>2024</v>
      </c>
      <c r="Q1399" s="19" t="e">
        <f>+SUMIFS(#REF!,#REF!,Planning[[#This Row],[Tarifa]],#REF!,Planning[[#This Row],[Proyectos]],#REF!,Planning[[#This Row],[Mes]],#REF!,Planning[[#This Row],[Año]])</f>
        <v>#REF!</v>
      </c>
      <c r="R1399" s="19" t="str">
        <f>TEXT(Planning[[#This Row],[Mes]]*29,"mmmm")</f>
        <v>October</v>
      </c>
      <c r="S13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399" s="228"/>
      <c r="U1399" s="43" t="e">
        <f>IF(Planning[[#This Row],[Horas Planificadas]]&lt;&gt;0,+K1399/Planning[[#This Row],[Horas Planificadas]],0)</f>
        <v>#REF!</v>
      </c>
      <c r="V1399" s="43" t="e">
        <f>IF(Planning[[#This Row],[Horas Planificadas]]&lt;&gt;0,Planning[[#This Row],[Horas utilizadas]]/Planning[[#This Row],[Horas Planificadas]],0)</f>
        <v>#REF!</v>
      </c>
      <c r="W1399" s="44">
        <f>Planning[[#This Row],[Horas Planificadas]]+Planning[[#This Row],[Horas ajustadas adicionales]]</f>
        <v>562</v>
      </c>
      <c r="X1399" s="142"/>
    </row>
    <row r="1400" spans="1:24" ht="12.75" customHeight="1" x14ac:dyDescent="0.2">
      <c r="A1400" s="7"/>
      <c r="B1400" s="7"/>
      <c r="C1400" s="3"/>
      <c r="D1400" s="3" t="s">
        <v>359</v>
      </c>
      <c r="E1400" s="4" t="s">
        <v>30</v>
      </c>
      <c r="F1400" s="3"/>
      <c r="G1400" s="9"/>
      <c r="H1400" s="9">
        <v>831</v>
      </c>
      <c r="I1400" s="12"/>
      <c r="J1400" s="5" t="e">
        <f>+SUMIFS(#REF!,#REF!,Planning[[#This Row],[Tarifa]],#REF!,Planning[[#This Row],[Proyectos]])</f>
        <v>#REF!</v>
      </c>
      <c r="K1400" s="5" t="e">
        <f>Planning[[#This Row],[Horas Planificadas]]+Planning[[#This Row],[Horas ajustadas adicionales]]-Planning[[#This Row],[Horas utilizadas]]</f>
        <v>#REF!</v>
      </c>
      <c r="L1400" s="7"/>
      <c r="M1400" s="19" t="e">
        <f>Planning[[#This Row],[Saldo]]-Planning[[#This Row],[Saldo estimado]]</f>
        <v>#REF!</v>
      </c>
      <c r="N1400" s="60" t="e">
        <f>+SUMIFS(#REF!,#REF!,Planning[[#This Row],[Proyectos]],#REF!,Planning[[#This Row],[Tipo de Tarea y especialidad]])</f>
        <v>#REF!</v>
      </c>
      <c r="O1400" s="19">
        <f t="shared" si="42"/>
        <v>10</v>
      </c>
      <c r="P1400" s="19">
        <f t="shared" si="43"/>
        <v>2024</v>
      </c>
      <c r="Q1400" s="19" t="e">
        <f>+SUMIFS(#REF!,#REF!,Planning[[#This Row],[Tarifa]],#REF!,Planning[[#This Row],[Proyectos]],#REF!,Planning[[#This Row],[Mes]],#REF!,Planning[[#This Row],[Año]])</f>
        <v>#REF!</v>
      </c>
      <c r="R1400" s="19" t="str">
        <f>TEXT(Planning[[#This Row],[Mes]]*29,"mmmm")</f>
        <v>October</v>
      </c>
      <c r="S14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00" s="228"/>
      <c r="U1400" s="43" t="e">
        <f>IF(Planning[[#This Row],[Horas Planificadas]]&lt;&gt;0,+K1400/Planning[[#This Row],[Horas Planificadas]],0)</f>
        <v>#REF!</v>
      </c>
      <c r="V1400" s="43" t="e">
        <f>IF(Planning[[#This Row],[Horas Planificadas]]&lt;&gt;0,Planning[[#This Row],[Horas utilizadas]]/Planning[[#This Row],[Horas Planificadas]],0)</f>
        <v>#REF!</v>
      </c>
      <c r="W1400" s="44">
        <f>Planning[[#This Row],[Horas Planificadas]]+Planning[[#This Row],[Horas ajustadas adicionales]]</f>
        <v>831</v>
      </c>
      <c r="X1400" s="142"/>
    </row>
    <row r="1401" spans="1:24" ht="12.75" customHeight="1" x14ac:dyDescent="0.2">
      <c r="A1401" s="7"/>
      <c r="B1401" s="7"/>
      <c r="C1401" s="3"/>
      <c r="D1401" s="3" t="s">
        <v>359</v>
      </c>
      <c r="E1401" s="4" t="s">
        <v>31</v>
      </c>
      <c r="F1401" s="3"/>
      <c r="G1401" s="9"/>
      <c r="H1401" s="9">
        <v>156</v>
      </c>
      <c r="I1401" s="12"/>
      <c r="J1401" s="5" t="e">
        <f>+SUMIFS(#REF!,#REF!,Planning[[#This Row],[Tarifa]],#REF!,Planning[[#This Row],[Proyectos]])</f>
        <v>#REF!</v>
      </c>
      <c r="K1401" s="5" t="e">
        <f>Planning[[#This Row],[Horas Planificadas]]+Planning[[#This Row],[Horas ajustadas adicionales]]-Planning[[#This Row],[Horas utilizadas]]</f>
        <v>#REF!</v>
      </c>
      <c r="L1401" s="7"/>
      <c r="M1401" s="19" t="e">
        <f>Planning[[#This Row],[Saldo]]-Planning[[#This Row],[Saldo estimado]]</f>
        <v>#REF!</v>
      </c>
      <c r="N1401" s="60" t="e">
        <f>+SUMIFS(#REF!,#REF!,Planning[[#This Row],[Proyectos]],#REF!,Planning[[#This Row],[Tipo de Tarea y especialidad]])</f>
        <v>#REF!</v>
      </c>
      <c r="O1401" s="19">
        <f t="shared" si="42"/>
        <v>10</v>
      </c>
      <c r="P1401" s="19">
        <f t="shared" si="43"/>
        <v>2024</v>
      </c>
      <c r="Q1401" s="19" t="e">
        <f>+SUMIFS(#REF!,#REF!,Planning[[#This Row],[Tarifa]],#REF!,Planning[[#This Row],[Proyectos]],#REF!,Planning[[#This Row],[Mes]],#REF!,Planning[[#This Row],[Año]])</f>
        <v>#REF!</v>
      </c>
      <c r="R1401" s="19" t="str">
        <f>TEXT(Planning[[#This Row],[Mes]]*29,"mmmm")</f>
        <v>October</v>
      </c>
      <c r="S14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01" s="228"/>
      <c r="U1401" s="43" t="e">
        <f>IF(Planning[[#This Row],[Horas Planificadas]]&lt;&gt;0,+K1401/Planning[[#This Row],[Horas Planificadas]],0)</f>
        <v>#REF!</v>
      </c>
      <c r="V1401" s="43" t="e">
        <f>IF(Planning[[#This Row],[Horas Planificadas]]&lt;&gt;0,Planning[[#This Row],[Horas utilizadas]]/Planning[[#This Row],[Horas Planificadas]],0)</f>
        <v>#REF!</v>
      </c>
      <c r="W1401" s="44">
        <f>Planning[[#This Row],[Horas Planificadas]]+Planning[[#This Row],[Horas ajustadas adicionales]]</f>
        <v>156</v>
      </c>
      <c r="X1401" s="142"/>
    </row>
    <row r="1402" spans="1:24" ht="12.75" customHeight="1" x14ac:dyDescent="0.2">
      <c r="A1402" s="7"/>
      <c r="B1402" s="7"/>
      <c r="C1402" s="3"/>
      <c r="D1402" s="3" t="s">
        <v>359</v>
      </c>
      <c r="E1402" s="4" t="s">
        <v>32</v>
      </c>
      <c r="F1402" s="3"/>
      <c r="G1402" s="9"/>
      <c r="H1402" s="9">
        <v>567</v>
      </c>
      <c r="I1402" s="12"/>
      <c r="J1402" s="5" t="e">
        <f>+SUMIFS(#REF!,#REF!,Planning[[#This Row],[Tarifa]],#REF!,Planning[[#This Row],[Proyectos]])</f>
        <v>#REF!</v>
      </c>
      <c r="K1402" s="5" t="e">
        <f>Planning[[#This Row],[Horas Planificadas]]+Planning[[#This Row],[Horas ajustadas adicionales]]-Planning[[#This Row],[Horas utilizadas]]</f>
        <v>#REF!</v>
      </c>
      <c r="L1402" s="7"/>
      <c r="M1402" s="19" t="e">
        <f>Planning[[#This Row],[Saldo]]-Planning[[#This Row],[Saldo estimado]]</f>
        <v>#REF!</v>
      </c>
      <c r="N1402" s="60" t="e">
        <f>+SUMIFS(#REF!,#REF!,Planning[[#This Row],[Proyectos]],#REF!,Planning[[#This Row],[Tipo de Tarea y especialidad]])</f>
        <v>#REF!</v>
      </c>
      <c r="O1402" s="19">
        <f t="shared" si="42"/>
        <v>10</v>
      </c>
      <c r="P1402" s="19">
        <f t="shared" si="43"/>
        <v>2024</v>
      </c>
      <c r="Q1402" s="19" t="e">
        <f>+SUMIFS(#REF!,#REF!,Planning[[#This Row],[Tarifa]],#REF!,Planning[[#This Row],[Proyectos]],#REF!,Planning[[#This Row],[Mes]],#REF!,Planning[[#This Row],[Año]])</f>
        <v>#REF!</v>
      </c>
      <c r="R1402" s="19" t="str">
        <f>TEXT(Planning[[#This Row],[Mes]]*29,"mmmm")</f>
        <v>October</v>
      </c>
      <c r="S14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02" s="228"/>
      <c r="U1402" s="43" t="e">
        <f>IF(Planning[[#This Row],[Horas Planificadas]]&lt;&gt;0,+K1402/Planning[[#This Row],[Horas Planificadas]],0)</f>
        <v>#REF!</v>
      </c>
      <c r="V1402" s="43" t="e">
        <f>IF(Planning[[#This Row],[Horas Planificadas]]&lt;&gt;0,Planning[[#This Row],[Horas utilizadas]]/Planning[[#This Row],[Horas Planificadas]],0)</f>
        <v>#REF!</v>
      </c>
      <c r="W1402" s="44">
        <f>Planning[[#This Row],[Horas Planificadas]]+Planning[[#This Row],[Horas ajustadas adicionales]]</f>
        <v>567</v>
      </c>
      <c r="X1402" s="142"/>
    </row>
    <row r="1403" spans="1:24" ht="12.75" customHeight="1" x14ac:dyDescent="0.2">
      <c r="A1403" s="7" t="s">
        <v>294</v>
      </c>
      <c r="B1403" s="7" t="s">
        <v>288</v>
      </c>
      <c r="C1403" s="3"/>
      <c r="D1403" s="3" t="s">
        <v>360</v>
      </c>
      <c r="E1403" s="33" t="s">
        <v>28</v>
      </c>
      <c r="F1403" s="33"/>
      <c r="G1403" s="7">
        <v>90</v>
      </c>
      <c r="H1403" s="24">
        <f>SUM(H1404:H1405)</f>
        <v>117</v>
      </c>
      <c r="I1403" s="14"/>
      <c r="J1403" s="14" t="e">
        <f>SUM(J1404:J1405)</f>
        <v>#REF!</v>
      </c>
      <c r="K1403" s="18" t="e">
        <f>SUM(K1404:K1405)</f>
        <v>#REF!</v>
      </c>
      <c r="L1403" s="15">
        <f>SUM(L1404:L1405)</f>
        <v>0</v>
      </c>
      <c r="M1403" s="28" t="e">
        <f>SUM(M1404:M1405)</f>
        <v>#REF!</v>
      </c>
      <c r="N1403" s="61" t="e">
        <f>+SUMIFS(#REF!,#REF!,Planning[[#This Row],[Proyectos]],#REF!,Planning[[#This Row],[Tipo de Tarea y especialidad]])</f>
        <v>#REF!</v>
      </c>
      <c r="O1403" s="28">
        <f t="shared" si="42"/>
        <v>10</v>
      </c>
      <c r="P1403" s="28">
        <f t="shared" si="43"/>
        <v>2024</v>
      </c>
      <c r="Q1403" s="28" t="e">
        <f>SUM(Q1404:Q1405)</f>
        <v>#REF!</v>
      </c>
      <c r="R1403" s="28" t="str">
        <f>TEXT(Planning[[#This Row],[Mes]]*29,"mmmm")</f>
        <v>October</v>
      </c>
      <c r="S14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03" s="207" t="s">
        <v>361</v>
      </c>
      <c r="U1403" s="43" t="e">
        <f>IF(Planning[[#This Row],[Horas Planificadas]]&lt;&gt;0,+K1403/Planning[[#This Row],[Horas Planificadas]],0)</f>
        <v>#REF!</v>
      </c>
      <c r="V1403" s="43" t="e">
        <f>IF(Planning[[#This Row],[Horas Planificadas]]&lt;&gt;0,Planning[[#This Row],[Horas utilizadas]]/Planning[[#This Row],[Horas Planificadas]],0)</f>
        <v>#REF!</v>
      </c>
      <c r="W1403" s="44">
        <f>Planning[[#This Row],[Horas Planificadas]]+Planning[[#This Row],[Horas ajustadas adicionales]]</f>
        <v>117</v>
      </c>
      <c r="X1403" s="142"/>
    </row>
    <row r="1404" spans="1:24" ht="12.75" customHeight="1" x14ac:dyDescent="0.2">
      <c r="A1404" s="7" t="s">
        <v>294</v>
      </c>
      <c r="B1404" s="7" t="s">
        <v>288</v>
      </c>
      <c r="C1404" s="3"/>
      <c r="D1404" s="3" t="s">
        <v>360</v>
      </c>
      <c r="E1404" s="33"/>
      <c r="F1404" s="33" t="s">
        <v>120</v>
      </c>
      <c r="G1404" s="7"/>
      <c r="H1404" s="7">
        <v>90</v>
      </c>
      <c r="I1404" s="12"/>
      <c r="J1404" s="5" t="e">
        <f>SUM(SUMIFS(#REF!,#REF!,Planning[[#This Row],[Tipo de Tarea y especialidad]],#REF!,Planning[[#This Row],[Proyectos Reiwa]]),SUMIFS(#REF!,#REF!,Planning[[#This Row],[Tipo de Tarea y especialidad]],#REF!,Planning[[#This Row],[Proyectos]]))</f>
        <v>#REF!</v>
      </c>
      <c r="K1404" s="5" t="e">
        <f>Planning[[#This Row],[Horas Planificadas]]+Planning[[#This Row],[Horas ajustadas adicionales]]-Planning[[#This Row],[Horas utilizadas]]</f>
        <v>#REF!</v>
      </c>
      <c r="L1404" s="7">
        <v>0</v>
      </c>
      <c r="M1404" s="19" t="e">
        <f>Planning[[#This Row],[Saldo]]-Planning[[#This Row],[Saldo estimado]]</f>
        <v>#REF!</v>
      </c>
      <c r="N1404" s="60" t="e">
        <f>+SUMIFS(#REF!,#REF!,Planning[[#This Row],[Proyectos]],#REF!,Planning[[#This Row],[Tipo de Tarea y especialidad]])</f>
        <v>#REF!</v>
      </c>
      <c r="O1404" s="19">
        <f t="shared" si="42"/>
        <v>10</v>
      </c>
      <c r="P1404" s="19">
        <f t="shared" si="43"/>
        <v>2024</v>
      </c>
      <c r="Q14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04" s="19" t="str">
        <f>TEXT(Planning[[#This Row],[Mes]]*29,"mmmm")</f>
        <v>October</v>
      </c>
      <c r="S14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04" s="208"/>
      <c r="U1404" s="43" t="e">
        <f>IF(Planning[[#This Row],[Horas Planificadas]]&lt;&gt;0,+K1404/Planning[[#This Row],[Horas Planificadas]],0)</f>
        <v>#REF!</v>
      </c>
      <c r="V1404" s="43" t="e">
        <f>IF(Planning[[#This Row],[Horas Planificadas]]&lt;&gt;0,Planning[[#This Row],[Horas utilizadas]]/Planning[[#This Row],[Horas Planificadas]],0)</f>
        <v>#REF!</v>
      </c>
      <c r="W1404" s="44">
        <f>Planning[[#This Row],[Horas Planificadas]]+Planning[[#This Row],[Horas ajustadas adicionales]]</f>
        <v>90</v>
      </c>
      <c r="X1404" s="142"/>
    </row>
    <row r="1405" spans="1:24" ht="12.75" customHeight="1" x14ac:dyDescent="0.2">
      <c r="A1405" s="7" t="s">
        <v>294</v>
      </c>
      <c r="B1405" s="7" t="s">
        <v>288</v>
      </c>
      <c r="C1405" s="3"/>
      <c r="D1405" s="3" t="s">
        <v>360</v>
      </c>
      <c r="E1405" s="33"/>
      <c r="F1405" s="36" t="s">
        <v>121</v>
      </c>
      <c r="G1405" s="7"/>
      <c r="H1405" s="7">
        <v>27</v>
      </c>
      <c r="I1405" s="12"/>
      <c r="J1405" s="5" t="e">
        <f>SUM(SUMIFS(#REF!,#REF!,Planning[[#This Row],[Tipo de Tarea y especialidad]],#REF!,Planning[[#This Row],[Proyectos Reiwa]]),SUMIFS(#REF!,#REF!,Planning[[#This Row],[Tipo de Tarea y especialidad]],#REF!,Planning[[#This Row],[Proyectos]]))</f>
        <v>#REF!</v>
      </c>
      <c r="K1405" s="5" t="e">
        <f>Planning[[#This Row],[Horas Planificadas]]+Planning[[#This Row],[Horas ajustadas adicionales]]-Planning[[#This Row],[Horas utilizadas]]</f>
        <v>#REF!</v>
      </c>
      <c r="L1405" s="7">
        <v>0</v>
      </c>
      <c r="M1405" s="19" t="e">
        <f>Planning[[#This Row],[Saldo]]-Planning[[#This Row],[Saldo estimado]]</f>
        <v>#REF!</v>
      </c>
      <c r="N1405" s="60" t="e">
        <f>+SUMIFS(#REF!,#REF!,Planning[[#This Row],[Proyectos]],#REF!,Planning[[#This Row],[Tipo de Tarea y especialidad]])</f>
        <v>#REF!</v>
      </c>
      <c r="O1405" s="19">
        <f t="shared" si="42"/>
        <v>10</v>
      </c>
      <c r="P1405" s="19">
        <f t="shared" si="43"/>
        <v>2024</v>
      </c>
      <c r="Q14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05" s="19" t="str">
        <f>TEXT(Planning[[#This Row],[Mes]]*29,"mmmm")</f>
        <v>October</v>
      </c>
      <c r="S14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05" s="208"/>
      <c r="U1405" s="43" t="e">
        <f>IF(Planning[[#This Row],[Horas Planificadas]]&lt;&gt;0,+K1405/Planning[[#This Row],[Horas Planificadas]],0)</f>
        <v>#REF!</v>
      </c>
      <c r="V1405" s="43" t="e">
        <f>IF(Planning[[#This Row],[Horas Planificadas]]&lt;&gt;0,Planning[[#This Row],[Horas utilizadas]]/Planning[[#This Row],[Horas Planificadas]],0)</f>
        <v>#REF!</v>
      </c>
      <c r="W1405" s="44">
        <f>Planning[[#This Row],[Horas Planificadas]]+Planning[[#This Row],[Horas ajustadas adicionales]]</f>
        <v>27</v>
      </c>
      <c r="X1405" s="142"/>
    </row>
    <row r="1406" spans="1:24" ht="12.75" customHeight="1" x14ac:dyDescent="0.2">
      <c r="A1406" s="7" t="s">
        <v>294</v>
      </c>
      <c r="B1406" s="7" t="s">
        <v>288</v>
      </c>
      <c r="C1406" s="3"/>
      <c r="D1406" s="3" t="s">
        <v>360</v>
      </c>
      <c r="E1406" s="33" t="s">
        <v>30</v>
      </c>
      <c r="F1406" s="36"/>
      <c r="G1406" s="7">
        <v>168</v>
      </c>
      <c r="H1406" s="24">
        <f>SUM(H1407:H1413)</f>
        <v>141</v>
      </c>
      <c r="I1406" s="14"/>
      <c r="J1406" s="14" t="e">
        <f>SUM(J1407:J1413)</f>
        <v>#REF!</v>
      </c>
      <c r="K1406" s="18" t="e">
        <f>SUM(K1407:K1413)</f>
        <v>#REF!</v>
      </c>
      <c r="L1406" s="15">
        <f>SUM(L1407:L1413)</f>
        <v>0</v>
      </c>
      <c r="M1406" s="16" t="e">
        <f>SUM(M1407:M1413)</f>
        <v>#REF!</v>
      </c>
      <c r="N1406" s="60" t="e">
        <f>+SUMIFS(#REF!,#REF!,Planning[[#This Row],[Proyectos]],#REF!,Planning[[#This Row],[Tipo de Tarea y especialidad]])</f>
        <v>#REF!</v>
      </c>
      <c r="O1406" s="16">
        <f t="shared" si="42"/>
        <v>10</v>
      </c>
      <c r="P1406" s="16">
        <f t="shared" si="43"/>
        <v>2024</v>
      </c>
      <c r="Q1406" s="16" t="e">
        <f>SUM(Q1407:Q1413)</f>
        <v>#REF!</v>
      </c>
      <c r="R1406" s="16" t="str">
        <f>TEXT(Planning[[#This Row],[Mes]]*29,"mmmm")</f>
        <v>October</v>
      </c>
      <c r="S14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06" s="208"/>
      <c r="U1406" s="43" t="e">
        <f>IF(Planning[[#This Row],[Horas Planificadas]]&lt;&gt;0,+K1406/Planning[[#This Row],[Horas Planificadas]],0)</f>
        <v>#REF!</v>
      </c>
      <c r="V1406" s="43" t="e">
        <f>IF(Planning[[#This Row],[Horas Planificadas]]&lt;&gt;0,Planning[[#This Row],[Horas utilizadas]]/Planning[[#This Row],[Horas Planificadas]],0)</f>
        <v>#REF!</v>
      </c>
      <c r="W1406" s="44">
        <f>Planning[[#This Row],[Horas Planificadas]]+Planning[[#This Row],[Horas ajustadas adicionales]]</f>
        <v>141</v>
      </c>
      <c r="X1406" s="142"/>
    </row>
    <row r="1407" spans="1:24" ht="12.75" customHeight="1" x14ac:dyDescent="0.2">
      <c r="A1407" s="7" t="s">
        <v>294</v>
      </c>
      <c r="B1407" s="7" t="s">
        <v>288</v>
      </c>
      <c r="C1407" s="3"/>
      <c r="D1407" s="3" t="s">
        <v>360</v>
      </c>
      <c r="E1407" s="33"/>
      <c r="F1407" s="36" t="s">
        <v>122</v>
      </c>
      <c r="G1407" s="7"/>
      <c r="H1407" s="7"/>
      <c r="I1407" s="12"/>
      <c r="J1407" s="5" t="e">
        <f>SUM(SUMIFS(#REF!,#REF!,Planning[[#This Row],[Tipo de Tarea y especialidad]],#REF!,Planning[[#This Row],[Proyectos Reiwa]]),SUMIFS(#REF!,#REF!,Planning[[#This Row],[Tipo de Tarea y especialidad]],#REF!,Planning[[#This Row],[Proyectos]]))</f>
        <v>#REF!</v>
      </c>
      <c r="K1407" s="5" t="e">
        <f>Planning[[#This Row],[Horas Planificadas]]+Planning[[#This Row],[Horas ajustadas adicionales]]-Planning[[#This Row],[Horas utilizadas]]</f>
        <v>#REF!</v>
      </c>
      <c r="L1407" s="7"/>
      <c r="M1407" s="19" t="e">
        <f>Planning[[#This Row],[Saldo]]-Planning[[#This Row],[Saldo estimado]]</f>
        <v>#REF!</v>
      </c>
      <c r="N1407" s="60" t="e">
        <f>+SUMIFS(#REF!,#REF!,Planning[[#This Row],[Proyectos]],#REF!,Planning[[#This Row],[Tipo de Tarea y especialidad]])</f>
        <v>#REF!</v>
      </c>
      <c r="O1407" s="19">
        <f t="shared" si="42"/>
        <v>10</v>
      </c>
      <c r="P1407" s="19">
        <f t="shared" si="43"/>
        <v>2024</v>
      </c>
      <c r="Q14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07" s="19" t="str">
        <f>TEXT(Planning[[#This Row],[Mes]]*29,"mmmm")</f>
        <v>October</v>
      </c>
      <c r="S14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07" s="208"/>
      <c r="U1407" s="43">
        <f>IF(Planning[[#This Row],[Horas Planificadas]]&lt;&gt;0,+K1407/Planning[[#This Row],[Horas Planificadas]],0)</f>
        <v>0</v>
      </c>
      <c r="V1407" s="43">
        <f>IF(Planning[[#This Row],[Horas Planificadas]]&lt;&gt;0,Planning[[#This Row],[Horas utilizadas]]/Planning[[#This Row],[Horas Planificadas]],0)</f>
        <v>0</v>
      </c>
      <c r="W1407" s="44">
        <f>Planning[[#This Row],[Horas Planificadas]]+Planning[[#This Row],[Horas ajustadas adicionales]]</f>
        <v>0</v>
      </c>
      <c r="X1407" s="142"/>
    </row>
    <row r="1408" spans="1:24" ht="12.75" customHeight="1" x14ac:dyDescent="0.2">
      <c r="A1408" s="7" t="s">
        <v>294</v>
      </c>
      <c r="B1408" s="7" t="s">
        <v>288</v>
      </c>
      <c r="C1408" s="3"/>
      <c r="D1408" s="3" t="s">
        <v>360</v>
      </c>
      <c r="E1408" s="33"/>
      <c r="F1408" s="36" t="s">
        <v>123</v>
      </c>
      <c r="G1408" s="7"/>
      <c r="H1408" s="7"/>
      <c r="I1408" s="12"/>
      <c r="J1408" s="5" t="e">
        <f>SUM(SUMIFS(#REF!,#REF!,Planning[[#This Row],[Tipo de Tarea y especialidad]],#REF!,Planning[[#This Row],[Proyectos Reiwa]]),SUMIFS(#REF!,#REF!,Planning[[#This Row],[Tipo de Tarea y especialidad]],#REF!,Planning[[#This Row],[Proyectos]]))</f>
        <v>#REF!</v>
      </c>
      <c r="K1408" s="5" t="e">
        <f>Planning[[#This Row],[Horas Planificadas]]+Planning[[#This Row],[Horas ajustadas adicionales]]-Planning[[#This Row],[Horas utilizadas]]</f>
        <v>#REF!</v>
      </c>
      <c r="L1408" s="7"/>
      <c r="M1408" s="19" t="e">
        <f>Planning[[#This Row],[Saldo]]-Planning[[#This Row],[Saldo estimado]]</f>
        <v>#REF!</v>
      </c>
      <c r="N1408" s="60" t="e">
        <f>+SUMIFS(#REF!,#REF!,Planning[[#This Row],[Proyectos]],#REF!,Planning[[#This Row],[Tipo de Tarea y especialidad]])</f>
        <v>#REF!</v>
      </c>
      <c r="O1408" s="19">
        <f t="shared" si="42"/>
        <v>10</v>
      </c>
      <c r="P1408" s="19">
        <f t="shared" si="43"/>
        <v>2024</v>
      </c>
      <c r="Q14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08" s="19" t="str">
        <f>TEXT(Planning[[#This Row],[Mes]]*29,"mmmm")</f>
        <v>October</v>
      </c>
      <c r="S14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08" s="208"/>
      <c r="U1408" s="43">
        <f>IF(Planning[[#This Row],[Horas Planificadas]]&lt;&gt;0,+K1408/Planning[[#This Row],[Horas Planificadas]],0)</f>
        <v>0</v>
      </c>
      <c r="V1408" s="43">
        <f>IF(Planning[[#This Row],[Horas Planificadas]]&lt;&gt;0,Planning[[#This Row],[Horas utilizadas]]/Planning[[#This Row],[Horas Planificadas]],0)</f>
        <v>0</v>
      </c>
      <c r="W1408" s="44">
        <f>Planning[[#This Row],[Horas Planificadas]]+Planning[[#This Row],[Horas ajustadas adicionales]]</f>
        <v>0</v>
      </c>
      <c r="X1408" s="142"/>
    </row>
    <row r="1409" spans="1:24" ht="12.75" customHeight="1" x14ac:dyDescent="0.2">
      <c r="A1409" s="7" t="s">
        <v>294</v>
      </c>
      <c r="B1409" s="7" t="s">
        <v>288</v>
      </c>
      <c r="C1409" s="3"/>
      <c r="D1409" s="3" t="s">
        <v>360</v>
      </c>
      <c r="E1409" s="33"/>
      <c r="F1409" s="36" t="s">
        <v>124</v>
      </c>
      <c r="G1409" s="7"/>
      <c r="H1409" s="7">
        <v>141</v>
      </c>
      <c r="I1409" s="12"/>
      <c r="J1409" s="5" t="e">
        <f>SUM(SUMIFS(#REF!,#REF!,Planning[[#This Row],[Tipo de Tarea y especialidad]],#REF!,Planning[[#This Row],[Proyectos Reiwa]]),SUMIFS(#REF!,#REF!,Planning[[#This Row],[Tipo de Tarea y especialidad]],#REF!,Planning[[#This Row],[Proyectos]]))</f>
        <v>#REF!</v>
      </c>
      <c r="K1409" s="5" t="e">
        <f>Planning[[#This Row],[Horas Planificadas]]+Planning[[#This Row],[Horas ajustadas adicionales]]-Planning[[#This Row],[Horas utilizadas]]</f>
        <v>#REF!</v>
      </c>
      <c r="L1409" s="7">
        <v>0</v>
      </c>
      <c r="M1409" s="19" t="e">
        <f>Planning[[#This Row],[Saldo]]-Planning[[#This Row],[Saldo estimado]]</f>
        <v>#REF!</v>
      </c>
      <c r="N1409" s="60" t="e">
        <f>+SUMIFS(#REF!,#REF!,Planning[[#This Row],[Proyectos]],#REF!,Planning[[#This Row],[Tipo de Tarea y especialidad]])</f>
        <v>#REF!</v>
      </c>
      <c r="O1409" s="19">
        <f t="shared" si="42"/>
        <v>10</v>
      </c>
      <c r="P1409" s="19">
        <f t="shared" si="43"/>
        <v>2024</v>
      </c>
      <c r="Q14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09" s="19" t="str">
        <f>TEXT(Planning[[#This Row],[Mes]]*29,"mmmm")</f>
        <v>October</v>
      </c>
      <c r="S14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09" s="208"/>
      <c r="U1409" s="43" t="e">
        <f>IF(Planning[[#This Row],[Horas Planificadas]]&lt;&gt;0,+K1409/Planning[[#This Row],[Horas Planificadas]],0)</f>
        <v>#REF!</v>
      </c>
      <c r="V1409" s="43" t="e">
        <f>IF(Planning[[#This Row],[Horas Planificadas]]&lt;&gt;0,Planning[[#This Row],[Horas utilizadas]]/Planning[[#This Row],[Horas Planificadas]],0)</f>
        <v>#REF!</v>
      </c>
      <c r="W1409" s="44">
        <f>Planning[[#This Row],[Horas Planificadas]]+Planning[[#This Row],[Horas ajustadas adicionales]]</f>
        <v>141</v>
      </c>
      <c r="X1409" s="142"/>
    </row>
    <row r="1410" spans="1:24" ht="12.75" customHeight="1" x14ac:dyDescent="0.2">
      <c r="A1410" s="7" t="s">
        <v>294</v>
      </c>
      <c r="B1410" s="7" t="s">
        <v>288</v>
      </c>
      <c r="C1410" s="3"/>
      <c r="D1410" s="3" t="s">
        <v>360</v>
      </c>
      <c r="E1410" s="33"/>
      <c r="F1410" s="36" t="s">
        <v>125</v>
      </c>
      <c r="G1410" s="7"/>
      <c r="H1410" s="7"/>
      <c r="I1410" s="12"/>
      <c r="J1410" s="5" t="e">
        <f>SUM(SUMIFS(#REF!,#REF!,Planning[[#This Row],[Tipo de Tarea y especialidad]],#REF!,Planning[[#This Row],[Proyectos Reiwa]]),SUMIFS(#REF!,#REF!,Planning[[#This Row],[Tipo de Tarea y especialidad]],#REF!,Planning[[#This Row],[Proyectos]]))</f>
        <v>#REF!</v>
      </c>
      <c r="K1410" s="5" t="e">
        <f>Planning[[#This Row],[Horas Planificadas]]+Planning[[#This Row],[Horas ajustadas adicionales]]-Planning[[#This Row],[Horas utilizadas]]</f>
        <v>#REF!</v>
      </c>
      <c r="L1410" s="7">
        <v>0</v>
      </c>
      <c r="M1410" s="19" t="e">
        <f>Planning[[#This Row],[Saldo]]-Planning[[#This Row],[Saldo estimado]]</f>
        <v>#REF!</v>
      </c>
      <c r="N1410" s="60" t="e">
        <f>+SUMIFS(#REF!,#REF!,Planning[[#This Row],[Proyectos]],#REF!,Planning[[#This Row],[Tipo de Tarea y especialidad]])</f>
        <v>#REF!</v>
      </c>
      <c r="O1410" s="19">
        <f t="shared" si="42"/>
        <v>10</v>
      </c>
      <c r="P1410" s="19">
        <f t="shared" si="43"/>
        <v>2024</v>
      </c>
      <c r="Q14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10" s="19" t="str">
        <f>TEXT(Planning[[#This Row],[Mes]]*29,"mmmm")</f>
        <v>October</v>
      </c>
      <c r="S14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10" s="208"/>
      <c r="U1410" s="43">
        <f>IF(Planning[[#This Row],[Horas Planificadas]]&lt;&gt;0,+K1410/Planning[[#This Row],[Horas Planificadas]],0)</f>
        <v>0</v>
      </c>
      <c r="V1410" s="43">
        <f>IF(Planning[[#This Row],[Horas Planificadas]]&lt;&gt;0,Planning[[#This Row],[Horas utilizadas]]/Planning[[#This Row],[Horas Planificadas]],0)</f>
        <v>0</v>
      </c>
      <c r="W1410" s="44">
        <f>Planning[[#This Row],[Horas Planificadas]]+Planning[[#This Row],[Horas ajustadas adicionales]]</f>
        <v>0</v>
      </c>
      <c r="X1410" s="142"/>
    </row>
    <row r="1411" spans="1:24" ht="12.75" customHeight="1" x14ac:dyDescent="0.2">
      <c r="A1411" s="7" t="s">
        <v>294</v>
      </c>
      <c r="B1411" s="7" t="s">
        <v>288</v>
      </c>
      <c r="C1411" s="3"/>
      <c r="D1411" s="3" t="s">
        <v>360</v>
      </c>
      <c r="E1411" s="33"/>
      <c r="F1411" s="36" t="s">
        <v>126</v>
      </c>
      <c r="G1411" s="7"/>
      <c r="H1411" s="7"/>
      <c r="I1411" s="12"/>
      <c r="J1411" s="5" t="e">
        <f>SUM(SUMIFS(#REF!,#REF!,Planning[[#This Row],[Tipo de Tarea y especialidad]],#REF!,Planning[[#This Row],[Proyectos Reiwa]]),SUMIFS(#REF!,#REF!,Planning[[#This Row],[Tipo de Tarea y especialidad]],#REF!,Planning[[#This Row],[Proyectos]]))</f>
        <v>#REF!</v>
      </c>
      <c r="K1411" s="5" t="e">
        <f>Planning[[#This Row],[Horas Planificadas]]+Planning[[#This Row],[Horas ajustadas adicionales]]-Planning[[#This Row],[Horas utilizadas]]</f>
        <v>#REF!</v>
      </c>
      <c r="L1411" s="7"/>
      <c r="M1411" s="19" t="e">
        <f>Planning[[#This Row],[Saldo]]-Planning[[#This Row],[Saldo estimado]]</f>
        <v>#REF!</v>
      </c>
      <c r="N1411" s="60" t="e">
        <f>+SUMIFS(#REF!,#REF!,Planning[[#This Row],[Proyectos]],#REF!,Planning[[#This Row],[Tipo de Tarea y especialidad]])</f>
        <v>#REF!</v>
      </c>
      <c r="O1411" s="19">
        <f t="shared" si="42"/>
        <v>10</v>
      </c>
      <c r="P1411" s="19">
        <f t="shared" si="43"/>
        <v>2024</v>
      </c>
      <c r="Q14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11" s="19" t="str">
        <f>TEXT(Planning[[#This Row],[Mes]]*29,"mmmm")</f>
        <v>October</v>
      </c>
      <c r="S14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11" s="208"/>
      <c r="U1411" s="43">
        <f>IF(Planning[[#This Row],[Horas Planificadas]]&lt;&gt;0,+K1411/Planning[[#This Row],[Horas Planificadas]],0)</f>
        <v>0</v>
      </c>
      <c r="V1411" s="43">
        <f>IF(Planning[[#This Row],[Horas Planificadas]]&lt;&gt;0,Planning[[#This Row],[Horas utilizadas]]/Planning[[#This Row],[Horas Planificadas]],0)</f>
        <v>0</v>
      </c>
      <c r="W1411" s="44">
        <f>Planning[[#This Row],[Horas Planificadas]]+Planning[[#This Row],[Horas ajustadas adicionales]]</f>
        <v>0</v>
      </c>
      <c r="X1411" s="142"/>
    </row>
    <row r="1412" spans="1:24" ht="12.75" customHeight="1" x14ac:dyDescent="0.2">
      <c r="A1412" s="7" t="s">
        <v>294</v>
      </c>
      <c r="B1412" s="7" t="s">
        <v>288</v>
      </c>
      <c r="C1412" s="3"/>
      <c r="D1412" s="3" t="s">
        <v>360</v>
      </c>
      <c r="E1412" s="33"/>
      <c r="F1412" s="36" t="s">
        <v>127</v>
      </c>
      <c r="G1412" s="7"/>
      <c r="H1412" s="7"/>
      <c r="I1412" s="12"/>
      <c r="J1412" s="5" t="e">
        <f>SUM(SUMIFS(#REF!,#REF!,Planning[[#This Row],[Tipo de Tarea y especialidad]],#REF!,Planning[[#This Row],[Proyectos Reiwa]]),SUMIFS(#REF!,#REF!,Planning[[#This Row],[Tipo de Tarea y especialidad]],#REF!,Planning[[#This Row],[Proyectos]]))</f>
        <v>#REF!</v>
      </c>
      <c r="K1412" s="5" t="e">
        <f>Planning[[#This Row],[Horas Planificadas]]+Planning[[#This Row],[Horas ajustadas adicionales]]-Planning[[#This Row],[Horas utilizadas]]</f>
        <v>#REF!</v>
      </c>
      <c r="L1412" s="7"/>
      <c r="M1412" s="19" t="e">
        <f>Planning[[#This Row],[Saldo]]-Planning[[#This Row],[Saldo estimado]]</f>
        <v>#REF!</v>
      </c>
      <c r="N1412" s="60" t="e">
        <f>+SUMIFS(#REF!,#REF!,Planning[[#This Row],[Proyectos]],#REF!,Planning[[#This Row],[Tipo de Tarea y especialidad]])</f>
        <v>#REF!</v>
      </c>
      <c r="O1412" s="19">
        <f t="shared" si="42"/>
        <v>10</v>
      </c>
      <c r="P1412" s="19">
        <f t="shared" si="43"/>
        <v>2024</v>
      </c>
      <c r="Q14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12" s="19" t="str">
        <f>TEXT(Planning[[#This Row],[Mes]]*29,"mmmm")</f>
        <v>October</v>
      </c>
      <c r="S14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12" s="208"/>
      <c r="U1412" s="43">
        <f>IF(Planning[[#This Row],[Horas Planificadas]]&lt;&gt;0,+K1412/Planning[[#This Row],[Horas Planificadas]],0)</f>
        <v>0</v>
      </c>
      <c r="V1412" s="43">
        <f>IF(Planning[[#This Row],[Horas Planificadas]]&lt;&gt;0,Planning[[#This Row],[Horas utilizadas]]/Planning[[#This Row],[Horas Planificadas]],0)</f>
        <v>0</v>
      </c>
      <c r="W1412" s="44">
        <f>Planning[[#This Row],[Horas Planificadas]]+Planning[[#This Row],[Horas ajustadas adicionales]]</f>
        <v>0</v>
      </c>
      <c r="X1412" s="142"/>
    </row>
    <row r="1413" spans="1:24" ht="12.75" customHeight="1" x14ac:dyDescent="0.2">
      <c r="A1413" s="7" t="s">
        <v>294</v>
      </c>
      <c r="B1413" s="7" t="s">
        <v>288</v>
      </c>
      <c r="C1413" s="3"/>
      <c r="D1413" s="3" t="s">
        <v>360</v>
      </c>
      <c r="E1413" s="33"/>
      <c r="F1413" s="36" t="s">
        <v>128</v>
      </c>
      <c r="G1413" s="7"/>
      <c r="H1413" s="7"/>
      <c r="I1413" s="12"/>
      <c r="J1413" s="5" t="e">
        <f>SUM(SUMIFS(#REF!,#REF!,Planning[[#This Row],[Tipo de Tarea y especialidad]],#REF!,Planning[[#This Row],[Proyectos Reiwa]]),SUMIFS(#REF!,#REF!,Planning[[#This Row],[Tipo de Tarea y especialidad]],#REF!,Planning[[#This Row],[Proyectos]]))</f>
        <v>#REF!</v>
      </c>
      <c r="K1413" s="5" t="e">
        <f>Planning[[#This Row],[Horas Planificadas]]+Planning[[#This Row],[Horas ajustadas adicionales]]-Planning[[#This Row],[Horas utilizadas]]</f>
        <v>#REF!</v>
      </c>
      <c r="L1413" s="7">
        <v>0</v>
      </c>
      <c r="M1413" s="19" t="e">
        <f>Planning[[#This Row],[Saldo]]-Planning[[#This Row],[Saldo estimado]]</f>
        <v>#REF!</v>
      </c>
      <c r="N1413" s="60" t="e">
        <f>+SUMIFS(#REF!,#REF!,Planning[[#This Row],[Proyectos]],#REF!,Planning[[#This Row],[Tipo de Tarea y especialidad]])</f>
        <v>#REF!</v>
      </c>
      <c r="O1413" s="19">
        <f t="shared" si="42"/>
        <v>10</v>
      </c>
      <c r="P1413" s="19">
        <f t="shared" si="43"/>
        <v>2024</v>
      </c>
      <c r="Q14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13" s="19" t="str">
        <f>TEXT(Planning[[#This Row],[Mes]]*29,"mmmm")</f>
        <v>October</v>
      </c>
      <c r="S14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13" s="208"/>
      <c r="U1413" s="43">
        <f>IF(Planning[[#This Row],[Horas Planificadas]]&lt;&gt;0,+K1413/Planning[[#This Row],[Horas Planificadas]],0)</f>
        <v>0</v>
      </c>
      <c r="V1413" s="43">
        <f>IF(Planning[[#This Row],[Horas Planificadas]]&lt;&gt;0,Planning[[#This Row],[Horas utilizadas]]/Planning[[#This Row],[Horas Planificadas]],0)</f>
        <v>0</v>
      </c>
      <c r="W1413" s="44">
        <f>Planning[[#This Row],[Horas Planificadas]]+Planning[[#This Row],[Horas ajustadas adicionales]]</f>
        <v>0</v>
      </c>
      <c r="X1413" s="142"/>
    </row>
    <row r="1414" spans="1:24" ht="12.75" customHeight="1" x14ac:dyDescent="0.2">
      <c r="A1414" s="7" t="s">
        <v>294</v>
      </c>
      <c r="B1414" s="7" t="s">
        <v>288</v>
      </c>
      <c r="C1414" s="3"/>
      <c r="D1414" s="3" t="s">
        <v>360</v>
      </c>
      <c r="E1414" s="33" t="s">
        <v>31</v>
      </c>
      <c r="F1414" s="36" t="s">
        <v>31</v>
      </c>
      <c r="G1414" s="7">
        <v>60</v>
      </c>
      <c r="H1414" s="15">
        <v>12</v>
      </c>
      <c r="I1414" s="18"/>
      <c r="J1414" s="14" t="e">
        <f>+SUMIFS(#REF!,#REF!,Planning[[#This Row],[Tarifa]],#REF!,Planning[[#This Row],[Proyectos]])</f>
        <v>#REF!</v>
      </c>
      <c r="K1414" s="14" t="e">
        <f>Planning[[#This Row],[Horas Planificadas]]+Planning[[#This Row],[Horas ajustadas adicionales]]-Planning[[#This Row],[Horas utilizadas]]</f>
        <v>#REF!</v>
      </c>
      <c r="L1414" s="15">
        <v>0</v>
      </c>
      <c r="M1414" s="16" t="e">
        <f>Planning[[#This Row],[Saldo]]-Planning[[#This Row],[Saldo estimado]]</f>
        <v>#REF!</v>
      </c>
      <c r="N1414" s="60" t="e">
        <f>+SUMIFS(#REF!,#REF!,Planning[[#This Row],[Proyectos]],#REF!,Planning[[#This Row],[Tipo de Tarea y especialidad]])</f>
        <v>#REF!</v>
      </c>
      <c r="O1414" s="16">
        <f t="shared" si="42"/>
        <v>10</v>
      </c>
      <c r="P1414" s="16">
        <f t="shared" si="43"/>
        <v>2024</v>
      </c>
      <c r="Q1414" s="16" t="e">
        <f>+SUMIFS(#REF!,#REF!,Planning[[#This Row],[Tarifa]],#REF!,Planning[[#This Row],[Proyectos]],#REF!,Planning[[#This Row],[Mes]],#REF!,Planning[[#This Row],[Año]])</f>
        <v>#REF!</v>
      </c>
      <c r="R1414" s="16" t="str">
        <f>TEXT(Planning[[#This Row],[Mes]]*29,"mmmm")</f>
        <v>October</v>
      </c>
      <c r="S14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14" s="208"/>
      <c r="U1414" s="43" t="e">
        <f>IF(Planning[[#This Row],[Horas Planificadas]]&lt;&gt;0,+K1414/Planning[[#This Row],[Horas Planificadas]],0)</f>
        <v>#REF!</v>
      </c>
      <c r="V1414" s="43" t="e">
        <f>IF(Planning[[#This Row],[Horas Planificadas]]&lt;&gt;0,Planning[[#This Row],[Horas utilizadas]]/Planning[[#This Row],[Horas Planificadas]],0)</f>
        <v>#REF!</v>
      </c>
      <c r="W1414" s="44">
        <f>Planning[[#This Row],[Horas Planificadas]]+Planning[[#This Row],[Horas ajustadas adicionales]]</f>
        <v>12</v>
      </c>
      <c r="X1414" s="142"/>
    </row>
    <row r="1415" spans="1:24" ht="12.75" customHeight="1" x14ac:dyDescent="0.2">
      <c r="A1415" s="7" t="s">
        <v>294</v>
      </c>
      <c r="B1415" s="7" t="s">
        <v>288</v>
      </c>
      <c r="C1415" s="3"/>
      <c r="D1415" s="3" t="s">
        <v>360</v>
      </c>
      <c r="E1415" s="4" t="s">
        <v>32</v>
      </c>
      <c r="F1415" s="3"/>
      <c r="G1415" s="9">
        <v>80</v>
      </c>
      <c r="H1415" s="14">
        <f>SUM(H1416:H1418)</f>
        <v>80</v>
      </c>
      <c r="I1415" s="14"/>
      <c r="J1415" s="14" t="e">
        <f>SUM(J1416:J1418)</f>
        <v>#REF!</v>
      </c>
      <c r="K1415" s="15" t="e">
        <f>SUM(K1416:K1418)</f>
        <v>#REF!</v>
      </c>
      <c r="L1415" s="15">
        <f>SUM(L1416:L1418)</f>
        <v>0</v>
      </c>
      <c r="M1415" s="35" t="e">
        <f>SUM(M1416:M1418)</f>
        <v>#REF!</v>
      </c>
      <c r="N1415" s="62" t="e">
        <f>+SUMIFS(#REF!,#REF!,Planning[[#This Row],[Proyectos]],#REF!,Planning[[#This Row],[Tipo de Tarea y especialidad]])</f>
        <v>#REF!</v>
      </c>
      <c r="O1415" s="35">
        <f t="shared" ref="O1415:O1478" si="44">$L$4</f>
        <v>10</v>
      </c>
      <c r="P1415" s="35">
        <f t="shared" ref="P1415:P1478" si="45">$M$4</f>
        <v>2024</v>
      </c>
      <c r="Q1415" s="16" t="e">
        <f>SUM(Q1416:Q1418)</f>
        <v>#REF!</v>
      </c>
      <c r="R1415" s="16" t="str">
        <f>TEXT(Planning[[#This Row],[Mes]]*29,"mmmm")</f>
        <v>October</v>
      </c>
      <c r="S14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15" s="208"/>
      <c r="U1415" s="43" t="e">
        <f>IF(Planning[[#This Row],[Horas Planificadas]]&lt;&gt;0,+K1415/Planning[[#This Row],[Horas Planificadas]],0)</f>
        <v>#REF!</v>
      </c>
      <c r="V1415" s="43" t="e">
        <f>IF(Planning[[#This Row],[Horas Planificadas]]&lt;&gt;0,Planning[[#This Row],[Horas utilizadas]]/Planning[[#This Row],[Horas Planificadas]],0)</f>
        <v>#REF!</v>
      </c>
      <c r="W1415" s="44">
        <f>Planning[[#This Row],[Horas Planificadas]]+Planning[[#This Row],[Horas ajustadas adicionales]]</f>
        <v>80</v>
      </c>
      <c r="X1415" s="142"/>
    </row>
    <row r="1416" spans="1:24" ht="12.75" customHeight="1" x14ac:dyDescent="0.2">
      <c r="A1416" s="7" t="s">
        <v>294</v>
      </c>
      <c r="B1416" s="7" t="s">
        <v>288</v>
      </c>
      <c r="C1416" s="3"/>
      <c r="D1416" s="3" t="s">
        <v>360</v>
      </c>
      <c r="E1416" s="4"/>
      <c r="F1416" s="3" t="s">
        <v>129</v>
      </c>
      <c r="G1416" s="9"/>
      <c r="H1416" s="9"/>
      <c r="I1416" s="12"/>
      <c r="J1416" s="5" t="e">
        <f>SUM(SUMIFS(#REF!,#REF!,Planning[[#This Row],[Tipo de Tarea y especialidad]],#REF!,Planning[[#This Row],[Proyectos Reiwa]]),SUMIFS(#REF!,#REF!,Planning[[#This Row],[Tipo de Tarea y especialidad]],#REF!,Planning[[#This Row],[Proyectos]]))</f>
        <v>#REF!</v>
      </c>
      <c r="K1416" s="5" t="e">
        <f>Planning[[#This Row],[Horas Planificadas]]+Planning[[#This Row],[Horas ajustadas adicionales]]-Planning[[#This Row],[Horas utilizadas]]</f>
        <v>#REF!</v>
      </c>
      <c r="L1416" s="7"/>
      <c r="M1416" s="19" t="e">
        <f>Planning[[#This Row],[Saldo]]-Planning[[#This Row],[Saldo estimado]]</f>
        <v>#REF!</v>
      </c>
      <c r="N1416" s="60" t="e">
        <f>+SUMIFS(#REF!,#REF!,Planning[[#This Row],[Proyectos]],#REF!,Planning[[#This Row],[Tipo de Tarea y especialidad]])</f>
        <v>#REF!</v>
      </c>
      <c r="O1416" s="19">
        <f t="shared" si="44"/>
        <v>10</v>
      </c>
      <c r="P1416" s="19">
        <f t="shared" si="45"/>
        <v>2024</v>
      </c>
      <c r="Q14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16" s="19" t="str">
        <f>TEXT(Planning[[#This Row],[Mes]]*29,"mmmm")</f>
        <v>October</v>
      </c>
      <c r="S14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16" s="208"/>
      <c r="U1416" s="43">
        <f>IF(Planning[[#This Row],[Horas Planificadas]]&lt;&gt;0,+K1416/Planning[[#This Row],[Horas Planificadas]],0)</f>
        <v>0</v>
      </c>
      <c r="V1416" s="43">
        <f>IF(Planning[[#This Row],[Horas Planificadas]]&lt;&gt;0,Planning[[#This Row],[Horas utilizadas]]/Planning[[#This Row],[Horas Planificadas]],0)</f>
        <v>0</v>
      </c>
      <c r="W1416" s="44">
        <f>Planning[[#This Row],[Horas Planificadas]]+Planning[[#This Row],[Horas ajustadas adicionales]]</f>
        <v>0</v>
      </c>
      <c r="X1416" s="142"/>
    </row>
    <row r="1417" spans="1:24" ht="12.75" customHeight="1" x14ac:dyDescent="0.2">
      <c r="A1417" s="7" t="s">
        <v>294</v>
      </c>
      <c r="B1417" s="7" t="s">
        <v>288</v>
      </c>
      <c r="C1417" s="3"/>
      <c r="D1417" s="3" t="s">
        <v>360</v>
      </c>
      <c r="E1417" s="4"/>
      <c r="F1417" s="3" t="s">
        <v>130</v>
      </c>
      <c r="G1417" s="9"/>
      <c r="H1417" s="9"/>
      <c r="I1417" s="12"/>
      <c r="J1417" s="5" t="e">
        <f>SUM(SUMIFS(#REF!,#REF!,Planning[[#This Row],[Tipo de Tarea y especialidad]],#REF!,Planning[[#This Row],[Proyectos Reiwa]]),SUMIFS(#REF!,#REF!,Planning[[#This Row],[Tipo de Tarea y especialidad]],#REF!,Planning[[#This Row],[Proyectos]]))</f>
        <v>#REF!</v>
      </c>
      <c r="K1417" s="5" t="e">
        <f>Planning[[#This Row],[Horas Planificadas]]+Planning[[#This Row],[Horas ajustadas adicionales]]-Planning[[#This Row],[Horas utilizadas]]</f>
        <v>#REF!</v>
      </c>
      <c r="L1417" s="7"/>
      <c r="M1417" s="19" t="e">
        <f>Planning[[#This Row],[Saldo]]-Planning[[#This Row],[Saldo estimado]]</f>
        <v>#REF!</v>
      </c>
      <c r="N1417" s="60" t="e">
        <f>+SUMIFS(#REF!,#REF!,Planning[[#This Row],[Proyectos]],#REF!,Planning[[#This Row],[Tipo de Tarea y especialidad]])</f>
        <v>#REF!</v>
      </c>
      <c r="O1417" s="19">
        <f t="shared" si="44"/>
        <v>10</v>
      </c>
      <c r="P1417" s="19">
        <f t="shared" si="45"/>
        <v>2024</v>
      </c>
      <c r="Q14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17" s="19" t="str">
        <f>TEXT(Planning[[#This Row],[Mes]]*29,"mmmm")</f>
        <v>October</v>
      </c>
      <c r="S14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17" s="208"/>
      <c r="U1417" s="43">
        <f>IF(Planning[[#This Row],[Horas Planificadas]]&lt;&gt;0,+K1417/Planning[[#This Row],[Horas Planificadas]],0)</f>
        <v>0</v>
      </c>
      <c r="V1417" s="43">
        <f>IF(Planning[[#This Row],[Horas Planificadas]]&lt;&gt;0,Planning[[#This Row],[Horas utilizadas]]/Planning[[#This Row],[Horas Planificadas]],0)</f>
        <v>0</v>
      </c>
      <c r="W1417" s="44">
        <f>Planning[[#This Row],[Horas Planificadas]]+Planning[[#This Row],[Horas ajustadas adicionales]]</f>
        <v>0</v>
      </c>
      <c r="X1417" s="142"/>
    </row>
    <row r="1418" spans="1:24" ht="12.75" customHeight="1" x14ac:dyDescent="0.2">
      <c r="A1418" s="7" t="s">
        <v>294</v>
      </c>
      <c r="B1418" s="7" t="s">
        <v>288</v>
      </c>
      <c r="C1418" s="3"/>
      <c r="D1418" s="3" t="s">
        <v>360</v>
      </c>
      <c r="E1418" s="4"/>
      <c r="F1418" s="3" t="s">
        <v>131</v>
      </c>
      <c r="G1418" s="9"/>
      <c r="H1418" s="12">
        <v>80</v>
      </c>
      <c r="I1418" s="12"/>
      <c r="J1418" s="5" t="e">
        <f>SUM(SUMIFS(#REF!,#REF!,Planning[[#This Row],[Tipo de Tarea y especialidad]],#REF!,Planning[[#This Row],[Proyectos Reiwa]]),SUMIFS(#REF!,#REF!,Planning[[#This Row],[Tipo de Tarea y especialidad]],#REF!,Planning[[#This Row],[Proyectos]]))</f>
        <v>#REF!</v>
      </c>
      <c r="K1418" s="27" t="e">
        <f>Planning[[#This Row],[Horas Planificadas]]+Planning[[#This Row],[Horas ajustadas adicionales]]-Planning[[#This Row],[Horas utilizadas]]</f>
        <v>#REF!</v>
      </c>
      <c r="L1418" s="7">
        <v>0</v>
      </c>
      <c r="M1418" s="19" t="e">
        <f>Planning[[#This Row],[Saldo]]-Planning[[#This Row],[Saldo estimado]]</f>
        <v>#REF!</v>
      </c>
      <c r="N1418" s="60" t="e">
        <f>+SUMIFS(#REF!,#REF!,Planning[[#This Row],[Proyectos]],#REF!,Planning[[#This Row],[Tipo de Tarea y especialidad]])</f>
        <v>#REF!</v>
      </c>
      <c r="O1418" s="19">
        <f t="shared" si="44"/>
        <v>10</v>
      </c>
      <c r="P1418" s="19">
        <f t="shared" si="45"/>
        <v>2024</v>
      </c>
      <c r="Q14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18" s="19" t="str">
        <f>TEXT(Planning[[#This Row],[Mes]]*29,"mmmm")</f>
        <v>October</v>
      </c>
      <c r="S14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18" s="208"/>
      <c r="U1418" s="43" t="e">
        <f>IF(Planning[[#This Row],[Horas Planificadas]]&lt;&gt;0,+K1418/Planning[[#This Row],[Horas Planificadas]],0)</f>
        <v>#REF!</v>
      </c>
      <c r="V1418" s="43" t="e">
        <f>IF(Planning[[#This Row],[Horas Planificadas]]&lt;&gt;0,Planning[[#This Row],[Horas utilizadas]]/Planning[[#This Row],[Horas Planificadas]],0)</f>
        <v>#REF!</v>
      </c>
      <c r="W1418" s="44">
        <f>Planning[[#This Row],[Horas Planificadas]]+Planning[[#This Row],[Horas ajustadas adicionales]]</f>
        <v>80</v>
      </c>
      <c r="X1418" s="142"/>
    </row>
    <row r="1419" spans="1:24" ht="12.75" customHeight="1" x14ac:dyDescent="0.2">
      <c r="A1419" s="7"/>
      <c r="B1419" s="7"/>
      <c r="C1419" s="3"/>
      <c r="D1419" s="3" t="s">
        <v>362</v>
      </c>
      <c r="E1419" s="4" t="s">
        <v>28</v>
      </c>
      <c r="F1419" s="3"/>
      <c r="G1419" s="9"/>
      <c r="H1419" s="9">
        <v>0</v>
      </c>
      <c r="I1419" s="12"/>
      <c r="J1419" s="5" t="e">
        <f>+SUMIFS(#REF!,#REF!,Planning[[#This Row],[Tarifa]],#REF!,Planning[[#This Row],[Proyectos]])</f>
        <v>#REF!</v>
      </c>
      <c r="K1419" s="5" t="e">
        <f>Planning[[#This Row],[Horas Planificadas]]+Planning[[#This Row],[Horas ajustadas adicionales]]-Planning[[#This Row],[Horas utilizadas]]</f>
        <v>#REF!</v>
      </c>
      <c r="L1419" s="7"/>
      <c r="M1419" s="19" t="e">
        <f>Planning[[#This Row],[Saldo]]-Planning[[#This Row],[Saldo estimado]]</f>
        <v>#REF!</v>
      </c>
      <c r="N1419" s="60" t="e">
        <f>+SUMIFS(#REF!,#REF!,Planning[[#This Row],[Proyectos]],#REF!,Planning[[#This Row],[Tipo de Tarea y especialidad]])</f>
        <v>#REF!</v>
      </c>
      <c r="O1419" s="19">
        <f t="shared" si="44"/>
        <v>10</v>
      </c>
      <c r="P1419" s="19">
        <f t="shared" si="45"/>
        <v>2024</v>
      </c>
      <c r="Q1419" s="19" t="e">
        <f>+SUMIFS(#REF!,#REF!,Planning[[#This Row],[Tarifa]],#REF!,Planning[[#This Row],[Proyectos]],#REF!,Planning[[#This Row],[Mes]],#REF!,Planning[[#This Row],[Año]])</f>
        <v>#REF!</v>
      </c>
      <c r="R1419" s="19" t="str">
        <f>TEXT(Planning[[#This Row],[Mes]]*29,"mmmm")</f>
        <v>October</v>
      </c>
      <c r="S14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19" s="228"/>
      <c r="U1419" s="43">
        <f>IF(Planning[[#This Row],[Horas Planificadas]]&lt;&gt;0,+K1419/Planning[[#This Row],[Horas Planificadas]],0)</f>
        <v>0</v>
      </c>
      <c r="V1419" s="43">
        <f>IF(Planning[[#This Row],[Horas Planificadas]]&lt;&gt;0,Planning[[#This Row],[Horas utilizadas]]/Planning[[#This Row],[Horas Planificadas]],0)</f>
        <v>0</v>
      </c>
      <c r="W1419" s="44">
        <f>Planning[[#This Row],[Horas Planificadas]]+Planning[[#This Row],[Horas ajustadas adicionales]]</f>
        <v>0</v>
      </c>
      <c r="X1419" s="142"/>
    </row>
    <row r="1420" spans="1:24" ht="12.75" customHeight="1" x14ac:dyDescent="0.2">
      <c r="A1420" s="7"/>
      <c r="B1420" s="7"/>
      <c r="C1420" s="3"/>
      <c r="D1420" s="3" t="s">
        <v>362</v>
      </c>
      <c r="E1420" s="4" t="s">
        <v>30</v>
      </c>
      <c r="F1420" s="3"/>
      <c r="G1420" s="9"/>
      <c r="H1420" s="9">
        <v>8</v>
      </c>
      <c r="I1420" s="12"/>
      <c r="J1420" s="5" t="e">
        <f>+SUMIFS(#REF!,#REF!,Planning[[#This Row],[Tarifa]],#REF!,Planning[[#This Row],[Proyectos]])</f>
        <v>#REF!</v>
      </c>
      <c r="K1420" s="5" t="e">
        <f>Planning[[#This Row],[Horas Planificadas]]+Planning[[#This Row],[Horas ajustadas adicionales]]-Planning[[#This Row],[Horas utilizadas]]</f>
        <v>#REF!</v>
      </c>
      <c r="L1420" s="7"/>
      <c r="M1420" s="19" t="e">
        <f>Planning[[#This Row],[Saldo]]-Planning[[#This Row],[Saldo estimado]]</f>
        <v>#REF!</v>
      </c>
      <c r="N1420" s="60" t="e">
        <f>+SUMIFS(#REF!,#REF!,Planning[[#This Row],[Proyectos]],#REF!,Planning[[#This Row],[Tipo de Tarea y especialidad]])</f>
        <v>#REF!</v>
      </c>
      <c r="O1420" s="19">
        <f t="shared" si="44"/>
        <v>10</v>
      </c>
      <c r="P1420" s="19">
        <f t="shared" si="45"/>
        <v>2024</v>
      </c>
      <c r="Q1420" s="19" t="e">
        <f>+SUMIFS(#REF!,#REF!,Planning[[#This Row],[Tarifa]],#REF!,Planning[[#This Row],[Proyectos]],#REF!,Planning[[#This Row],[Mes]],#REF!,Planning[[#This Row],[Año]])</f>
        <v>#REF!</v>
      </c>
      <c r="R1420" s="19" t="str">
        <f>TEXT(Planning[[#This Row],[Mes]]*29,"mmmm")</f>
        <v>October</v>
      </c>
      <c r="S14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20" s="228"/>
      <c r="U1420" s="43" t="e">
        <f>IF(Planning[[#This Row],[Horas Planificadas]]&lt;&gt;0,+K1420/Planning[[#This Row],[Horas Planificadas]],0)</f>
        <v>#REF!</v>
      </c>
      <c r="V1420" s="43" t="e">
        <f>IF(Planning[[#This Row],[Horas Planificadas]]&lt;&gt;0,Planning[[#This Row],[Horas utilizadas]]/Planning[[#This Row],[Horas Planificadas]],0)</f>
        <v>#REF!</v>
      </c>
      <c r="W1420" s="44">
        <f>Planning[[#This Row],[Horas Planificadas]]+Planning[[#This Row],[Horas ajustadas adicionales]]</f>
        <v>8</v>
      </c>
      <c r="X1420" s="142"/>
    </row>
    <row r="1421" spans="1:24" ht="12.75" customHeight="1" x14ac:dyDescent="0.2">
      <c r="A1421" s="7"/>
      <c r="B1421" s="7"/>
      <c r="C1421" s="3"/>
      <c r="D1421" s="3" t="s">
        <v>362</v>
      </c>
      <c r="E1421" s="4" t="s">
        <v>31</v>
      </c>
      <c r="F1421" s="3"/>
      <c r="G1421" s="9"/>
      <c r="H1421" s="9">
        <v>9</v>
      </c>
      <c r="I1421" s="12"/>
      <c r="J1421" s="5" t="e">
        <f>+SUMIFS(#REF!,#REF!,Planning[[#This Row],[Tarifa]],#REF!,Planning[[#This Row],[Proyectos]])</f>
        <v>#REF!</v>
      </c>
      <c r="K1421" s="5" t="e">
        <f>Planning[[#This Row],[Horas Planificadas]]+Planning[[#This Row],[Horas ajustadas adicionales]]-Planning[[#This Row],[Horas utilizadas]]</f>
        <v>#REF!</v>
      </c>
      <c r="L1421" s="7"/>
      <c r="M1421" s="19" t="e">
        <f>Planning[[#This Row],[Saldo]]-Planning[[#This Row],[Saldo estimado]]</f>
        <v>#REF!</v>
      </c>
      <c r="N1421" s="60" t="e">
        <f>+SUMIFS(#REF!,#REF!,Planning[[#This Row],[Proyectos]],#REF!,Planning[[#This Row],[Tipo de Tarea y especialidad]])</f>
        <v>#REF!</v>
      </c>
      <c r="O1421" s="19">
        <f t="shared" si="44"/>
        <v>10</v>
      </c>
      <c r="P1421" s="19">
        <f t="shared" si="45"/>
        <v>2024</v>
      </c>
      <c r="Q1421" s="19" t="e">
        <f>+SUMIFS(#REF!,#REF!,Planning[[#This Row],[Tarifa]],#REF!,Planning[[#This Row],[Proyectos]],#REF!,Planning[[#This Row],[Mes]],#REF!,Planning[[#This Row],[Año]])</f>
        <v>#REF!</v>
      </c>
      <c r="R1421" s="19" t="str">
        <f>TEXT(Planning[[#This Row],[Mes]]*29,"mmmm")</f>
        <v>October</v>
      </c>
      <c r="S14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21" s="228"/>
      <c r="U1421" s="43" t="e">
        <f>IF(Planning[[#This Row],[Horas Planificadas]]&lt;&gt;0,+K1421/Planning[[#This Row],[Horas Planificadas]],0)</f>
        <v>#REF!</v>
      </c>
      <c r="V1421" s="43" t="e">
        <f>IF(Planning[[#This Row],[Horas Planificadas]]&lt;&gt;0,Planning[[#This Row],[Horas utilizadas]]/Planning[[#This Row],[Horas Planificadas]],0)</f>
        <v>#REF!</v>
      </c>
      <c r="W1421" s="44">
        <f>Planning[[#This Row],[Horas Planificadas]]+Planning[[#This Row],[Horas ajustadas adicionales]]</f>
        <v>9</v>
      </c>
      <c r="X1421" s="142"/>
    </row>
    <row r="1422" spans="1:24" ht="12.75" customHeight="1" x14ac:dyDescent="0.2">
      <c r="A1422" s="7"/>
      <c r="B1422" s="7"/>
      <c r="C1422" s="3"/>
      <c r="D1422" s="3" t="s">
        <v>362</v>
      </c>
      <c r="E1422" s="4" t="s">
        <v>32</v>
      </c>
      <c r="F1422" s="3"/>
      <c r="G1422" s="9"/>
      <c r="H1422" s="9">
        <v>45</v>
      </c>
      <c r="I1422" s="12"/>
      <c r="J1422" s="5" t="e">
        <f>+SUMIFS(#REF!,#REF!,Planning[[#This Row],[Tarifa]],#REF!,Planning[[#This Row],[Proyectos]])</f>
        <v>#REF!</v>
      </c>
      <c r="K1422" s="5" t="e">
        <f>Planning[[#This Row],[Horas Planificadas]]+Planning[[#This Row],[Horas ajustadas adicionales]]-Planning[[#This Row],[Horas utilizadas]]</f>
        <v>#REF!</v>
      </c>
      <c r="L1422" s="7"/>
      <c r="M1422" s="19" t="e">
        <f>Planning[[#This Row],[Saldo]]-Planning[[#This Row],[Saldo estimado]]</f>
        <v>#REF!</v>
      </c>
      <c r="N1422" s="60" t="e">
        <f>+SUMIFS(#REF!,#REF!,Planning[[#This Row],[Proyectos]],#REF!,Planning[[#This Row],[Tipo de Tarea y especialidad]])</f>
        <v>#REF!</v>
      </c>
      <c r="O1422" s="19">
        <f t="shared" si="44"/>
        <v>10</v>
      </c>
      <c r="P1422" s="19">
        <f t="shared" si="45"/>
        <v>2024</v>
      </c>
      <c r="Q1422" s="19" t="e">
        <f>+SUMIFS(#REF!,#REF!,Planning[[#This Row],[Tarifa]],#REF!,Planning[[#This Row],[Proyectos]],#REF!,Planning[[#This Row],[Mes]],#REF!,Planning[[#This Row],[Año]])</f>
        <v>#REF!</v>
      </c>
      <c r="R1422" s="19" t="str">
        <f>TEXT(Planning[[#This Row],[Mes]]*29,"mmmm")</f>
        <v>October</v>
      </c>
      <c r="S14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22" s="228"/>
      <c r="U1422" s="43" t="e">
        <f>IF(Planning[[#This Row],[Horas Planificadas]]&lt;&gt;0,+K1422/Planning[[#This Row],[Horas Planificadas]],0)</f>
        <v>#REF!</v>
      </c>
      <c r="V1422" s="43" t="e">
        <f>IF(Planning[[#This Row],[Horas Planificadas]]&lt;&gt;0,Planning[[#This Row],[Horas utilizadas]]/Planning[[#This Row],[Horas Planificadas]],0)</f>
        <v>#REF!</v>
      </c>
      <c r="W1422" s="44">
        <f>Planning[[#This Row],[Horas Planificadas]]+Planning[[#This Row],[Horas ajustadas adicionales]]</f>
        <v>45</v>
      </c>
      <c r="X1422" s="142"/>
    </row>
    <row r="1423" spans="1:24" ht="12.75" customHeight="1" x14ac:dyDescent="0.2">
      <c r="A1423" s="7"/>
      <c r="B1423" s="7"/>
      <c r="C1423" s="3"/>
      <c r="D1423" s="3" t="s">
        <v>363</v>
      </c>
      <c r="E1423" s="4" t="s">
        <v>28</v>
      </c>
      <c r="F1423" s="3"/>
      <c r="G1423" s="9"/>
      <c r="H1423" s="9">
        <v>0</v>
      </c>
      <c r="I1423" s="12"/>
      <c r="J1423" s="5" t="e">
        <f>+SUMIFS(#REF!,#REF!,Planning[[#This Row],[Tarifa]],#REF!,Planning[[#This Row],[Proyectos]])</f>
        <v>#REF!</v>
      </c>
      <c r="K1423" s="5" t="e">
        <f>Planning[[#This Row],[Horas Planificadas]]+Planning[[#This Row],[Horas ajustadas adicionales]]-Planning[[#This Row],[Horas utilizadas]]</f>
        <v>#REF!</v>
      </c>
      <c r="L1423" s="7"/>
      <c r="M1423" s="19" t="e">
        <f>Planning[[#This Row],[Saldo]]-Planning[[#This Row],[Saldo estimado]]</f>
        <v>#REF!</v>
      </c>
      <c r="N1423" s="60" t="e">
        <f>+SUMIFS(#REF!,#REF!,Planning[[#This Row],[Proyectos]],#REF!,Planning[[#This Row],[Tipo de Tarea y especialidad]])</f>
        <v>#REF!</v>
      </c>
      <c r="O1423" s="19">
        <f t="shared" si="44"/>
        <v>10</v>
      </c>
      <c r="P1423" s="19">
        <f t="shared" si="45"/>
        <v>2024</v>
      </c>
      <c r="Q1423" s="19" t="e">
        <f>+SUMIFS(#REF!,#REF!,Planning[[#This Row],[Tarifa]],#REF!,Planning[[#This Row],[Proyectos]],#REF!,Planning[[#This Row],[Mes]],#REF!,Planning[[#This Row],[Año]])</f>
        <v>#REF!</v>
      </c>
      <c r="R1423" s="19" t="str">
        <f>TEXT(Planning[[#This Row],[Mes]]*29,"mmmm")</f>
        <v>October</v>
      </c>
      <c r="S14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23" s="228"/>
      <c r="U1423" s="43">
        <f>IF(Planning[[#This Row],[Horas Planificadas]]&lt;&gt;0,+K1423/Planning[[#This Row],[Horas Planificadas]],0)</f>
        <v>0</v>
      </c>
      <c r="V1423" s="43">
        <f>IF(Planning[[#This Row],[Horas Planificadas]]&lt;&gt;0,Planning[[#This Row],[Horas utilizadas]]/Planning[[#This Row],[Horas Planificadas]],0)</f>
        <v>0</v>
      </c>
      <c r="W1423" s="44">
        <f>Planning[[#This Row],[Horas Planificadas]]+Planning[[#This Row],[Horas ajustadas adicionales]]</f>
        <v>0</v>
      </c>
      <c r="X1423" s="142"/>
    </row>
    <row r="1424" spans="1:24" ht="12.75" customHeight="1" x14ac:dyDescent="0.2">
      <c r="A1424" s="7"/>
      <c r="B1424" s="7"/>
      <c r="C1424" s="3"/>
      <c r="D1424" s="3" t="s">
        <v>363</v>
      </c>
      <c r="E1424" s="4" t="s">
        <v>30</v>
      </c>
      <c r="F1424" s="3"/>
      <c r="G1424" s="9"/>
      <c r="H1424" s="9">
        <v>518</v>
      </c>
      <c r="I1424" s="12"/>
      <c r="J1424" s="5" t="e">
        <f>+SUMIFS(#REF!,#REF!,Planning[[#This Row],[Tarifa]],#REF!,Planning[[#This Row],[Proyectos]])</f>
        <v>#REF!</v>
      </c>
      <c r="K1424" s="5" t="e">
        <f>Planning[[#This Row],[Horas Planificadas]]+Planning[[#This Row],[Horas ajustadas adicionales]]-Planning[[#This Row],[Horas utilizadas]]</f>
        <v>#REF!</v>
      </c>
      <c r="L1424" s="7"/>
      <c r="M1424" s="19" t="e">
        <f>Planning[[#This Row],[Saldo]]-Planning[[#This Row],[Saldo estimado]]</f>
        <v>#REF!</v>
      </c>
      <c r="N1424" s="60" t="e">
        <f>+SUMIFS(#REF!,#REF!,Planning[[#This Row],[Proyectos]],#REF!,Planning[[#This Row],[Tipo de Tarea y especialidad]])</f>
        <v>#REF!</v>
      </c>
      <c r="O1424" s="19">
        <f t="shared" si="44"/>
        <v>10</v>
      </c>
      <c r="P1424" s="19">
        <f t="shared" si="45"/>
        <v>2024</v>
      </c>
      <c r="Q1424" s="19" t="e">
        <f>+SUMIFS(#REF!,#REF!,Planning[[#This Row],[Tarifa]],#REF!,Planning[[#This Row],[Proyectos]],#REF!,Planning[[#This Row],[Mes]],#REF!,Planning[[#This Row],[Año]])</f>
        <v>#REF!</v>
      </c>
      <c r="R1424" s="19" t="str">
        <f>TEXT(Planning[[#This Row],[Mes]]*29,"mmmm")</f>
        <v>October</v>
      </c>
      <c r="S14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24" s="228"/>
      <c r="U1424" s="43" t="e">
        <f>IF(Planning[[#This Row],[Horas Planificadas]]&lt;&gt;0,+K1424/Planning[[#This Row],[Horas Planificadas]],0)</f>
        <v>#REF!</v>
      </c>
      <c r="V1424" s="43" t="e">
        <f>IF(Planning[[#This Row],[Horas Planificadas]]&lt;&gt;0,Planning[[#This Row],[Horas utilizadas]]/Planning[[#This Row],[Horas Planificadas]],0)</f>
        <v>#REF!</v>
      </c>
      <c r="W1424" s="44">
        <f>Planning[[#This Row],[Horas Planificadas]]+Planning[[#This Row],[Horas ajustadas adicionales]]</f>
        <v>518</v>
      </c>
      <c r="X1424" s="142"/>
    </row>
    <row r="1425" spans="1:24" ht="12.75" customHeight="1" x14ac:dyDescent="0.2">
      <c r="A1425" s="7"/>
      <c r="B1425" s="7"/>
      <c r="C1425" s="3"/>
      <c r="D1425" s="3" t="s">
        <v>363</v>
      </c>
      <c r="E1425" s="4" t="s">
        <v>31</v>
      </c>
      <c r="F1425" s="3"/>
      <c r="G1425" s="9"/>
      <c r="H1425" s="9">
        <v>99</v>
      </c>
      <c r="I1425" s="12"/>
      <c r="J1425" s="5" t="e">
        <f>+SUMIFS(#REF!,#REF!,Planning[[#This Row],[Tarifa]],#REF!,Planning[[#This Row],[Proyectos]])</f>
        <v>#REF!</v>
      </c>
      <c r="K1425" s="5" t="e">
        <f>Planning[[#This Row],[Horas Planificadas]]+Planning[[#This Row],[Horas ajustadas adicionales]]-Planning[[#This Row],[Horas utilizadas]]</f>
        <v>#REF!</v>
      </c>
      <c r="L1425" s="7"/>
      <c r="M1425" s="19" t="e">
        <f>Planning[[#This Row],[Saldo]]-Planning[[#This Row],[Saldo estimado]]</f>
        <v>#REF!</v>
      </c>
      <c r="N1425" s="60" t="e">
        <f>+SUMIFS(#REF!,#REF!,Planning[[#This Row],[Proyectos]],#REF!,Planning[[#This Row],[Tipo de Tarea y especialidad]])</f>
        <v>#REF!</v>
      </c>
      <c r="O1425" s="19">
        <f t="shared" si="44"/>
        <v>10</v>
      </c>
      <c r="P1425" s="19">
        <f t="shared" si="45"/>
        <v>2024</v>
      </c>
      <c r="Q1425" s="19" t="e">
        <f>+SUMIFS(#REF!,#REF!,Planning[[#This Row],[Tarifa]],#REF!,Planning[[#This Row],[Proyectos]],#REF!,Planning[[#This Row],[Mes]],#REF!,Planning[[#This Row],[Año]])</f>
        <v>#REF!</v>
      </c>
      <c r="R1425" s="19" t="str">
        <f>TEXT(Planning[[#This Row],[Mes]]*29,"mmmm")</f>
        <v>October</v>
      </c>
      <c r="S14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25" s="228"/>
      <c r="U1425" s="43" t="e">
        <f>IF(Planning[[#This Row],[Horas Planificadas]]&lt;&gt;0,+K1425/Planning[[#This Row],[Horas Planificadas]],0)</f>
        <v>#REF!</v>
      </c>
      <c r="V1425" s="43" t="e">
        <f>IF(Planning[[#This Row],[Horas Planificadas]]&lt;&gt;0,Planning[[#This Row],[Horas utilizadas]]/Planning[[#This Row],[Horas Planificadas]],0)</f>
        <v>#REF!</v>
      </c>
      <c r="W1425" s="44">
        <f>Planning[[#This Row],[Horas Planificadas]]+Planning[[#This Row],[Horas ajustadas adicionales]]</f>
        <v>99</v>
      </c>
      <c r="X1425" s="142"/>
    </row>
    <row r="1426" spans="1:24" ht="12.75" customHeight="1" x14ac:dyDescent="0.2">
      <c r="A1426" s="7"/>
      <c r="B1426" s="7"/>
      <c r="C1426" s="3"/>
      <c r="D1426" s="3" t="s">
        <v>363</v>
      </c>
      <c r="E1426" s="4" t="s">
        <v>32</v>
      </c>
      <c r="F1426" s="3"/>
      <c r="G1426" s="9"/>
      <c r="H1426" s="9">
        <v>180</v>
      </c>
      <c r="I1426" s="12"/>
      <c r="J1426" s="5" t="e">
        <f>+SUMIFS(#REF!,#REF!,Planning[[#This Row],[Tarifa]],#REF!,Planning[[#This Row],[Proyectos]])</f>
        <v>#REF!</v>
      </c>
      <c r="K1426" s="5" t="e">
        <f>Planning[[#This Row],[Horas Planificadas]]+Planning[[#This Row],[Horas ajustadas adicionales]]-Planning[[#This Row],[Horas utilizadas]]</f>
        <v>#REF!</v>
      </c>
      <c r="L1426" s="7"/>
      <c r="M1426" s="19" t="e">
        <f>Planning[[#This Row],[Saldo]]-Planning[[#This Row],[Saldo estimado]]</f>
        <v>#REF!</v>
      </c>
      <c r="N1426" s="60" t="e">
        <f>+SUMIFS(#REF!,#REF!,Planning[[#This Row],[Proyectos]],#REF!,Planning[[#This Row],[Tipo de Tarea y especialidad]])</f>
        <v>#REF!</v>
      </c>
      <c r="O1426" s="19">
        <f t="shared" si="44"/>
        <v>10</v>
      </c>
      <c r="P1426" s="19">
        <f t="shared" si="45"/>
        <v>2024</v>
      </c>
      <c r="Q1426" s="19" t="e">
        <f>+SUMIFS(#REF!,#REF!,Planning[[#This Row],[Tarifa]],#REF!,Planning[[#This Row],[Proyectos]],#REF!,Planning[[#This Row],[Mes]],#REF!,Planning[[#This Row],[Año]])</f>
        <v>#REF!</v>
      </c>
      <c r="R1426" s="19" t="str">
        <f>TEXT(Planning[[#This Row],[Mes]]*29,"mmmm")</f>
        <v>October</v>
      </c>
      <c r="S14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26" s="228"/>
      <c r="U1426" s="43" t="e">
        <f>IF(Planning[[#This Row],[Horas Planificadas]]&lt;&gt;0,+K1426/Planning[[#This Row],[Horas Planificadas]],0)</f>
        <v>#REF!</v>
      </c>
      <c r="V1426" s="43" t="e">
        <f>IF(Planning[[#This Row],[Horas Planificadas]]&lt;&gt;0,Planning[[#This Row],[Horas utilizadas]]/Planning[[#This Row],[Horas Planificadas]],0)</f>
        <v>#REF!</v>
      </c>
      <c r="W1426" s="44">
        <f>Planning[[#This Row],[Horas Planificadas]]+Planning[[#This Row],[Horas ajustadas adicionales]]</f>
        <v>180</v>
      </c>
      <c r="X1426" s="142"/>
    </row>
    <row r="1427" spans="1:24" ht="12.75" customHeight="1" x14ac:dyDescent="0.2">
      <c r="A1427" s="7"/>
      <c r="B1427" s="7"/>
      <c r="C1427" s="3"/>
      <c r="D1427" s="3" t="s">
        <v>364</v>
      </c>
      <c r="E1427" s="4" t="s">
        <v>28</v>
      </c>
      <c r="F1427" s="3"/>
      <c r="G1427" s="9"/>
      <c r="H1427" s="12">
        <v>0</v>
      </c>
      <c r="I1427" s="12"/>
      <c r="J1427" s="5" t="e">
        <f>+SUMIFS(#REF!,#REF!,Planning[[#This Row],[Tarifa]],#REF!,Planning[[#This Row],[Proyectos]])</f>
        <v>#REF!</v>
      </c>
      <c r="K1427" s="27" t="e">
        <f>Planning[[#This Row],[Horas Planificadas]]+Planning[[#This Row],[Horas ajustadas adicionales]]-Planning[[#This Row],[Horas utilizadas]]</f>
        <v>#REF!</v>
      </c>
      <c r="L1427" s="7"/>
      <c r="M1427" s="19" t="e">
        <f>Planning[[#This Row],[Saldo]]-Planning[[#This Row],[Saldo estimado]]</f>
        <v>#REF!</v>
      </c>
      <c r="N1427" s="60" t="e">
        <f>+SUMIFS(#REF!,#REF!,Planning[[#This Row],[Proyectos]],#REF!,Planning[[#This Row],[Tipo de Tarea y especialidad]])</f>
        <v>#REF!</v>
      </c>
      <c r="O1427" s="19">
        <f t="shared" si="44"/>
        <v>10</v>
      </c>
      <c r="P1427" s="19">
        <f t="shared" si="45"/>
        <v>2024</v>
      </c>
      <c r="Q1427" s="19" t="e">
        <f>+SUMIFS(#REF!,#REF!,Planning[[#This Row],[Tarifa]],#REF!,Planning[[#This Row],[Proyectos]],#REF!,Planning[[#This Row],[Mes]],#REF!,Planning[[#This Row],[Año]])</f>
        <v>#REF!</v>
      </c>
      <c r="R1427" s="19" t="str">
        <f>TEXT(Planning[[#This Row],[Mes]]*29,"mmmm")</f>
        <v>October</v>
      </c>
      <c r="S14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27" s="228"/>
      <c r="U1427" s="43">
        <f>IF(Planning[[#This Row],[Horas Planificadas]]&lt;&gt;0,+K1427/Planning[[#This Row],[Horas Planificadas]],0)</f>
        <v>0</v>
      </c>
      <c r="V1427" s="43">
        <f>IF(Planning[[#This Row],[Horas Planificadas]]&lt;&gt;0,Planning[[#This Row],[Horas utilizadas]]/Planning[[#This Row],[Horas Planificadas]],0)</f>
        <v>0</v>
      </c>
      <c r="W1427" s="44">
        <f>Planning[[#This Row],[Horas Planificadas]]+Planning[[#This Row],[Horas ajustadas adicionales]]</f>
        <v>0</v>
      </c>
      <c r="X1427" s="142"/>
    </row>
    <row r="1428" spans="1:24" ht="12.75" customHeight="1" x14ac:dyDescent="0.2">
      <c r="A1428" s="7"/>
      <c r="B1428" s="7"/>
      <c r="C1428" s="3"/>
      <c r="D1428" s="3" t="s">
        <v>364</v>
      </c>
      <c r="E1428" s="4" t="s">
        <v>30</v>
      </c>
      <c r="F1428" s="3"/>
      <c r="G1428" s="9"/>
      <c r="H1428" s="9">
        <v>0</v>
      </c>
      <c r="I1428" s="12"/>
      <c r="J1428" s="5" t="e">
        <f>+SUMIFS(#REF!,#REF!,Planning[[#This Row],[Tarifa]],#REF!,Planning[[#This Row],[Proyectos]])</f>
        <v>#REF!</v>
      </c>
      <c r="K1428" s="5" t="e">
        <f>Planning[[#This Row],[Horas Planificadas]]+Planning[[#This Row],[Horas ajustadas adicionales]]-Planning[[#This Row],[Horas utilizadas]]</f>
        <v>#REF!</v>
      </c>
      <c r="L1428" s="7"/>
      <c r="M1428" s="19" t="e">
        <f>Planning[[#This Row],[Saldo]]-Planning[[#This Row],[Saldo estimado]]</f>
        <v>#REF!</v>
      </c>
      <c r="N1428" s="60" t="e">
        <f>+SUMIFS(#REF!,#REF!,Planning[[#This Row],[Proyectos]],#REF!,Planning[[#This Row],[Tipo de Tarea y especialidad]])</f>
        <v>#REF!</v>
      </c>
      <c r="O1428" s="19">
        <f t="shared" si="44"/>
        <v>10</v>
      </c>
      <c r="P1428" s="19">
        <f t="shared" si="45"/>
        <v>2024</v>
      </c>
      <c r="Q1428" s="19" t="e">
        <f>+SUMIFS(#REF!,#REF!,Planning[[#This Row],[Tarifa]],#REF!,Planning[[#This Row],[Proyectos]],#REF!,Planning[[#This Row],[Mes]],#REF!,Planning[[#This Row],[Año]])</f>
        <v>#REF!</v>
      </c>
      <c r="R1428" s="19" t="str">
        <f>TEXT(Planning[[#This Row],[Mes]]*29,"mmmm")</f>
        <v>October</v>
      </c>
      <c r="S14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28" s="228"/>
      <c r="U1428" s="43">
        <f>IF(Planning[[#This Row],[Horas Planificadas]]&lt;&gt;0,+K1428/Planning[[#This Row],[Horas Planificadas]],0)</f>
        <v>0</v>
      </c>
      <c r="V1428" s="43">
        <f>IF(Planning[[#This Row],[Horas Planificadas]]&lt;&gt;0,Planning[[#This Row],[Horas utilizadas]]/Planning[[#This Row],[Horas Planificadas]],0)</f>
        <v>0</v>
      </c>
      <c r="W1428" s="44">
        <f>Planning[[#This Row],[Horas Planificadas]]+Planning[[#This Row],[Horas ajustadas adicionales]]</f>
        <v>0</v>
      </c>
      <c r="X1428" s="142"/>
    </row>
    <row r="1429" spans="1:24" ht="12.75" customHeight="1" x14ac:dyDescent="0.2">
      <c r="A1429" s="7"/>
      <c r="B1429" s="7"/>
      <c r="C1429" s="3"/>
      <c r="D1429" s="3" t="s">
        <v>364</v>
      </c>
      <c r="E1429" s="4" t="s">
        <v>31</v>
      </c>
      <c r="F1429" s="3"/>
      <c r="G1429" s="9"/>
      <c r="H1429" s="9">
        <v>9</v>
      </c>
      <c r="I1429" s="12"/>
      <c r="J1429" s="5" t="e">
        <f>+SUMIFS(#REF!,#REF!,Planning[[#This Row],[Tarifa]],#REF!,Planning[[#This Row],[Proyectos]])</f>
        <v>#REF!</v>
      </c>
      <c r="K1429" s="5" t="e">
        <f>Planning[[#This Row],[Horas Planificadas]]+Planning[[#This Row],[Horas ajustadas adicionales]]-Planning[[#This Row],[Horas utilizadas]]</f>
        <v>#REF!</v>
      </c>
      <c r="L1429" s="7"/>
      <c r="M1429" s="19" t="e">
        <f>Planning[[#This Row],[Saldo]]-Planning[[#This Row],[Saldo estimado]]</f>
        <v>#REF!</v>
      </c>
      <c r="N1429" s="60" t="e">
        <f>+SUMIFS(#REF!,#REF!,Planning[[#This Row],[Proyectos]],#REF!,Planning[[#This Row],[Tipo de Tarea y especialidad]])</f>
        <v>#REF!</v>
      </c>
      <c r="O1429" s="19">
        <f t="shared" si="44"/>
        <v>10</v>
      </c>
      <c r="P1429" s="19">
        <f t="shared" si="45"/>
        <v>2024</v>
      </c>
      <c r="Q1429" s="19" t="e">
        <f>+SUMIFS(#REF!,#REF!,Planning[[#This Row],[Tarifa]],#REF!,Planning[[#This Row],[Proyectos]],#REF!,Planning[[#This Row],[Mes]],#REF!,Planning[[#This Row],[Año]])</f>
        <v>#REF!</v>
      </c>
      <c r="R1429" s="19" t="str">
        <f>TEXT(Planning[[#This Row],[Mes]]*29,"mmmm")</f>
        <v>October</v>
      </c>
      <c r="S14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29" s="228"/>
      <c r="U1429" s="43" t="e">
        <f>IF(Planning[[#This Row],[Horas Planificadas]]&lt;&gt;0,+K1429/Planning[[#This Row],[Horas Planificadas]],0)</f>
        <v>#REF!</v>
      </c>
      <c r="V1429" s="43" t="e">
        <f>IF(Planning[[#This Row],[Horas Planificadas]]&lt;&gt;0,Planning[[#This Row],[Horas utilizadas]]/Planning[[#This Row],[Horas Planificadas]],0)</f>
        <v>#REF!</v>
      </c>
      <c r="W1429" s="44">
        <f>Planning[[#This Row],[Horas Planificadas]]+Planning[[#This Row],[Horas ajustadas adicionales]]</f>
        <v>9</v>
      </c>
      <c r="X1429" s="142"/>
    </row>
    <row r="1430" spans="1:24" ht="12.75" customHeight="1" x14ac:dyDescent="0.2">
      <c r="A1430" s="7"/>
      <c r="B1430" s="7"/>
      <c r="C1430" s="3"/>
      <c r="D1430" s="3" t="s">
        <v>364</v>
      </c>
      <c r="E1430" s="4" t="s">
        <v>32</v>
      </c>
      <c r="F1430" s="3"/>
      <c r="G1430" s="9"/>
      <c r="H1430" s="9">
        <v>45</v>
      </c>
      <c r="I1430" s="12"/>
      <c r="J1430" s="5" t="e">
        <f>+SUMIFS(#REF!,#REF!,Planning[[#This Row],[Tarifa]],#REF!,Planning[[#This Row],[Proyectos]])</f>
        <v>#REF!</v>
      </c>
      <c r="K1430" s="5" t="e">
        <f>Planning[[#This Row],[Horas Planificadas]]+Planning[[#This Row],[Horas ajustadas adicionales]]-Planning[[#This Row],[Horas utilizadas]]</f>
        <v>#REF!</v>
      </c>
      <c r="L1430" s="7"/>
      <c r="M1430" s="19" t="e">
        <f>Planning[[#This Row],[Saldo]]-Planning[[#This Row],[Saldo estimado]]</f>
        <v>#REF!</v>
      </c>
      <c r="N1430" s="60" t="e">
        <f>+SUMIFS(#REF!,#REF!,Planning[[#This Row],[Proyectos]],#REF!,Planning[[#This Row],[Tipo de Tarea y especialidad]])</f>
        <v>#REF!</v>
      </c>
      <c r="O1430" s="19">
        <f t="shared" si="44"/>
        <v>10</v>
      </c>
      <c r="P1430" s="19">
        <f t="shared" si="45"/>
        <v>2024</v>
      </c>
      <c r="Q1430" s="19" t="e">
        <f>+SUMIFS(#REF!,#REF!,Planning[[#This Row],[Tarifa]],#REF!,Planning[[#This Row],[Proyectos]],#REF!,Planning[[#This Row],[Mes]],#REF!,Planning[[#This Row],[Año]])</f>
        <v>#REF!</v>
      </c>
      <c r="R1430" s="19" t="str">
        <f>TEXT(Planning[[#This Row],[Mes]]*29,"mmmm")</f>
        <v>October</v>
      </c>
      <c r="S14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30" s="228"/>
      <c r="U1430" s="43" t="e">
        <f>IF(Planning[[#This Row],[Horas Planificadas]]&lt;&gt;0,+K1430/Planning[[#This Row],[Horas Planificadas]],0)</f>
        <v>#REF!</v>
      </c>
      <c r="V1430" s="43" t="e">
        <f>IF(Planning[[#This Row],[Horas Planificadas]]&lt;&gt;0,Planning[[#This Row],[Horas utilizadas]]/Planning[[#This Row],[Horas Planificadas]],0)</f>
        <v>#REF!</v>
      </c>
      <c r="W1430" s="44">
        <f>Planning[[#This Row],[Horas Planificadas]]+Planning[[#This Row],[Horas ajustadas adicionales]]</f>
        <v>45</v>
      </c>
      <c r="X1430" s="142"/>
    </row>
    <row r="1431" spans="1:24" ht="12.75" customHeight="1" x14ac:dyDescent="0.2">
      <c r="A1431" s="7"/>
      <c r="B1431" s="7" t="s">
        <v>205</v>
      </c>
      <c r="C1431" s="3"/>
      <c r="D1431" s="3" t="s">
        <v>365</v>
      </c>
      <c r="E1431" s="4" t="s">
        <v>28</v>
      </c>
      <c r="F1431" s="3"/>
      <c r="G1431" s="9">
        <v>0</v>
      </c>
      <c r="H1431" s="14">
        <f>SUM(H1432:H1433)</f>
        <v>0</v>
      </c>
      <c r="I1431" s="14"/>
      <c r="J1431" s="14" t="e">
        <f>SUM(J1432:J1433)</f>
        <v>#REF!</v>
      </c>
      <c r="K1431" s="15" t="e">
        <f>SUM(K1432:K1433)</f>
        <v>#REF!</v>
      </c>
      <c r="L1431" s="15">
        <f>SUM(L1432:L1433)</f>
        <v>0</v>
      </c>
      <c r="M1431" s="14" t="e">
        <f>SUM(M1432:M1433)</f>
        <v>#REF!</v>
      </c>
      <c r="N1431" s="66" t="e">
        <f>+SUMIFS(#REF!,#REF!,Planning[[#This Row],[Proyectos]],#REF!,Planning[[#This Row],[Tipo de Tarea y especialidad]])</f>
        <v>#REF!</v>
      </c>
      <c r="O1431" s="14">
        <f t="shared" si="44"/>
        <v>10</v>
      </c>
      <c r="P1431" s="14">
        <f t="shared" si="45"/>
        <v>2024</v>
      </c>
      <c r="Q1431" s="28" t="e">
        <f>SUM(Q1432:Q1433)</f>
        <v>#REF!</v>
      </c>
      <c r="R1431" s="28" t="str">
        <f>TEXT(Planning[[#This Row],[Mes]]*29,"mmmm")</f>
        <v>October</v>
      </c>
      <c r="S14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31" s="192" t="s">
        <v>366</v>
      </c>
      <c r="U1431" s="43">
        <f>IF(Planning[[#This Row],[Horas Planificadas]]&lt;&gt;0,+K1431/Planning[[#This Row],[Horas Planificadas]],0)</f>
        <v>0</v>
      </c>
      <c r="V1431" s="43">
        <f>IF(Planning[[#This Row],[Horas Planificadas]]&lt;&gt;0,Planning[[#This Row],[Horas utilizadas]]/Planning[[#This Row],[Horas Planificadas]],0)</f>
        <v>0</v>
      </c>
      <c r="W1431" s="44">
        <f>Planning[[#This Row],[Horas Planificadas]]+Planning[[#This Row],[Horas ajustadas adicionales]]</f>
        <v>0</v>
      </c>
      <c r="X1431" s="142"/>
    </row>
    <row r="1432" spans="1:24" ht="12.75" customHeight="1" x14ac:dyDescent="0.2">
      <c r="A1432" s="7"/>
      <c r="B1432" s="7" t="s">
        <v>205</v>
      </c>
      <c r="C1432" s="3"/>
      <c r="D1432" s="3" t="s">
        <v>365</v>
      </c>
      <c r="E1432" s="4"/>
      <c r="F1432" s="3" t="s">
        <v>120</v>
      </c>
      <c r="G1432" s="9"/>
      <c r="H1432" s="9"/>
      <c r="I1432" s="12"/>
      <c r="J1432" s="5" t="e">
        <f>SUM(SUMIFS(#REF!,#REF!,Planning[[#This Row],[Tipo de Tarea y especialidad]],#REF!,Planning[[#This Row],[Proyectos Reiwa]]),SUMIFS(#REF!,#REF!,Planning[[#This Row],[Tipo de Tarea y especialidad]],#REF!,Planning[[#This Row],[Proyectos]]))</f>
        <v>#REF!</v>
      </c>
      <c r="K1432" s="5" t="e">
        <f>Planning[[#This Row],[Horas Planificadas]]+Planning[[#This Row],[Horas ajustadas adicionales]]-Planning[[#This Row],[Horas utilizadas]]</f>
        <v>#REF!</v>
      </c>
      <c r="L1432" s="7"/>
      <c r="M1432" s="19" t="e">
        <f>Planning[[#This Row],[Saldo]]-Planning[[#This Row],[Saldo estimado]]</f>
        <v>#REF!</v>
      </c>
      <c r="N1432" s="60" t="e">
        <f>+SUMIFS(#REF!,#REF!,Planning[[#This Row],[Proyectos]],#REF!,Planning[[#This Row],[Tipo de Tarea y especialidad]])</f>
        <v>#REF!</v>
      </c>
      <c r="O1432" s="19">
        <f t="shared" si="44"/>
        <v>10</v>
      </c>
      <c r="P1432" s="19">
        <f t="shared" si="45"/>
        <v>2024</v>
      </c>
      <c r="Q14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32" s="19" t="str">
        <f>TEXT(Planning[[#This Row],[Mes]]*29,"mmmm")</f>
        <v>October</v>
      </c>
      <c r="S14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32" s="193"/>
      <c r="U1432" s="43">
        <f>IF(Planning[[#This Row],[Horas Planificadas]]&lt;&gt;0,+K1432/Planning[[#This Row],[Horas Planificadas]],0)</f>
        <v>0</v>
      </c>
      <c r="V1432" s="43">
        <f>IF(Planning[[#This Row],[Horas Planificadas]]&lt;&gt;0,Planning[[#This Row],[Horas utilizadas]]/Planning[[#This Row],[Horas Planificadas]],0)</f>
        <v>0</v>
      </c>
      <c r="W1432" s="44">
        <f>Planning[[#This Row],[Horas Planificadas]]+Planning[[#This Row],[Horas ajustadas adicionales]]</f>
        <v>0</v>
      </c>
      <c r="X1432" s="142"/>
    </row>
    <row r="1433" spans="1:24" ht="12.75" customHeight="1" x14ac:dyDescent="0.2">
      <c r="A1433" s="7"/>
      <c r="B1433" s="7" t="s">
        <v>205</v>
      </c>
      <c r="C1433" s="3"/>
      <c r="D1433" s="3" t="s">
        <v>365</v>
      </c>
      <c r="E1433" s="4"/>
      <c r="F1433" s="3" t="s">
        <v>121</v>
      </c>
      <c r="G1433" s="9"/>
      <c r="H1433" s="9"/>
      <c r="I1433" s="12"/>
      <c r="J1433" s="5" t="e">
        <f>SUM(SUMIFS(#REF!,#REF!,Planning[[#This Row],[Tipo de Tarea y especialidad]],#REF!,Planning[[#This Row],[Proyectos Reiwa]]),SUMIFS(#REF!,#REF!,Planning[[#This Row],[Tipo de Tarea y especialidad]],#REF!,Planning[[#This Row],[Proyectos]]))</f>
        <v>#REF!</v>
      </c>
      <c r="K1433" s="5" t="e">
        <f>Planning[[#This Row],[Horas Planificadas]]+Planning[[#This Row],[Horas ajustadas adicionales]]-Planning[[#This Row],[Horas utilizadas]]</f>
        <v>#REF!</v>
      </c>
      <c r="L1433" s="7"/>
      <c r="M1433" s="19" t="e">
        <f>Planning[[#This Row],[Saldo]]-Planning[[#This Row],[Saldo estimado]]</f>
        <v>#REF!</v>
      </c>
      <c r="N1433" s="60" t="e">
        <f>+SUMIFS(#REF!,#REF!,Planning[[#This Row],[Proyectos]],#REF!,Planning[[#This Row],[Tipo de Tarea y especialidad]])</f>
        <v>#REF!</v>
      </c>
      <c r="O1433" s="19">
        <f t="shared" si="44"/>
        <v>10</v>
      </c>
      <c r="P1433" s="19">
        <f t="shared" si="45"/>
        <v>2024</v>
      </c>
      <c r="Q14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33" s="19" t="str">
        <f>TEXT(Planning[[#This Row],[Mes]]*29,"mmmm")</f>
        <v>October</v>
      </c>
      <c r="S14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33" s="193"/>
      <c r="U1433" s="43">
        <f>IF(Planning[[#This Row],[Horas Planificadas]]&lt;&gt;0,+K1433/Planning[[#This Row],[Horas Planificadas]],0)</f>
        <v>0</v>
      </c>
      <c r="V1433" s="43">
        <f>IF(Planning[[#This Row],[Horas Planificadas]]&lt;&gt;0,Planning[[#This Row],[Horas utilizadas]]/Planning[[#This Row],[Horas Planificadas]],0)</f>
        <v>0</v>
      </c>
      <c r="W1433" s="44">
        <f>Planning[[#This Row],[Horas Planificadas]]+Planning[[#This Row],[Horas ajustadas adicionales]]</f>
        <v>0</v>
      </c>
      <c r="X1433" s="142"/>
    </row>
    <row r="1434" spans="1:24" ht="12.75" customHeight="1" x14ac:dyDescent="0.2">
      <c r="A1434" s="7"/>
      <c r="B1434" s="7" t="s">
        <v>205</v>
      </c>
      <c r="C1434" s="3"/>
      <c r="D1434" s="3" t="s">
        <v>365</v>
      </c>
      <c r="E1434" s="4" t="s">
        <v>30</v>
      </c>
      <c r="F1434" s="3"/>
      <c r="G1434" s="9">
        <v>60</v>
      </c>
      <c r="H1434" s="14">
        <f>SUM(H1435:H1441)</f>
        <v>60</v>
      </c>
      <c r="I1434" s="14"/>
      <c r="J1434" s="14" t="e">
        <f>SUM(J1435:J1441)</f>
        <v>#REF!</v>
      </c>
      <c r="K1434" s="15" t="e">
        <f>SUM(K1435:K1441)</f>
        <v>#REF!</v>
      </c>
      <c r="L1434" s="15">
        <f>SUM(L1435:L1441)</f>
        <v>0</v>
      </c>
      <c r="M1434" s="16" t="e">
        <f>SUM(M1435:M1441)</f>
        <v>#REF!</v>
      </c>
      <c r="N1434" s="60" t="e">
        <f>+SUMIFS(#REF!,#REF!,Planning[[#This Row],[Proyectos]],#REF!,Planning[[#This Row],[Tipo de Tarea y especialidad]])</f>
        <v>#REF!</v>
      </c>
      <c r="O1434" s="16">
        <f t="shared" si="44"/>
        <v>10</v>
      </c>
      <c r="P1434" s="16">
        <f t="shared" si="45"/>
        <v>2024</v>
      </c>
      <c r="Q1434" s="16" t="e">
        <f>SUM(Q1435:Q1441)</f>
        <v>#REF!</v>
      </c>
      <c r="R1434" s="16" t="str">
        <f>TEXT(Planning[[#This Row],[Mes]]*29,"mmmm")</f>
        <v>October</v>
      </c>
      <c r="S14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34" s="193"/>
      <c r="U1434" s="43" t="e">
        <f>IF(Planning[[#This Row],[Horas Planificadas]]&lt;&gt;0,+K1434/Planning[[#This Row],[Horas Planificadas]],0)</f>
        <v>#REF!</v>
      </c>
      <c r="V1434" s="43" t="e">
        <f>IF(Planning[[#This Row],[Horas Planificadas]]&lt;&gt;0,Planning[[#This Row],[Horas utilizadas]]/Planning[[#This Row],[Horas Planificadas]],0)</f>
        <v>#REF!</v>
      </c>
      <c r="W1434" s="44">
        <f>Planning[[#This Row],[Horas Planificadas]]+Planning[[#This Row],[Horas ajustadas adicionales]]</f>
        <v>60</v>
      </c>
      <c r="X1434" s="142"/>
    </row>
    <row r="1435" spans="1:24" ht="12.75" customHeight="1" x14ac:dyDescent="0.2">
      <c r="A1435" s="7"/>
      <c r="B1435" s="7" t="s">
        <v>205</v>
      </c>
      <c r="C1435" s="3"/>
      <c r="D1435" s="3" t="s">
        <v>365</v>
      </c>
      <c r="E1435" s="4"/>
      <c r="F1435" s="3" t="s">
        <v>122</v>
      </c>
      <c r="G1435" s="9"/>
      <c r="H1435" s="9"/>
      <c r="I1435" s="12"/>
      <c r="J1435" s="5" t="e">
        <f>SUM(SUMIFS(#REF!,#REF!,Planning[[#This Row],[Tipo de Tarea y especialidad]],#REF!,Planning[[#This Row],[Proyectos Reiwa]]),SUMIFS(#REF!,#REF!,Planning[[#This Row],[Tipo de Tarea y especialidad]],#REF!,Planning[[#This Row],[Proyectos]]))</f>
        <v>#REF!</v>
      </c>
      <c r="K1435" s="5" t="e">
        <f>Planning[[#This Row],[Horas Planificadas]]+Planning[[#This Row],[Horas ajustadas adicionales]]-Planning[[#This Row],[Horas utilizadas]]</f>
        <v>#REF!</v>
      </c>
      <c r="L1435" s="7"/>
      <c r="M1435" s="19" t="e">
        <f>Planning[[#This Row],[Saldo]]-Planning[[#This Row],[Saldo estimado]]</f>
        <v>#REF!</v>
      </c>
      <c r="N1435" s="60" t="e">
        <f>+SUMIFS(#REF!,#REF!,Planning[[#This Row],[Proyectos]],#REF!,Planning[[#This Row],[Tipo de Tarea y especialidad]])</f>
        <v>#REF!</v>
      </c>
      <c r="O1435" s="19">
        <f t="shared" si="44"/>
        <v>10</v>
      </c>
      <c r="P1435" s="19">
        <f t="shared" si="45"/>
        <v>2024</v>
      </c>
      <c r="Q14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35" s="19" t="str">
        <f>TEXT(Planning[[#This Row],[Mes]]*29,"mmmm")</f>
        <v>October</v>
      </c>
      <c r="S14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35" s="193"/>
      <c r="U1435" s="43">
        <f>IF(Planning[[#This Row],[Horas Planificadas]]&lt;&gt;0,+K1435/Planning[[#This Row],[Horas Planificadas]],0)</f>
        <v>0</v>
      </c>
      <c r="V1435" s="43">
        <f>IF(Planning[[#This Row],[Horas Planificadas]]&lt;&gt;0,Planning[[#This Row],[Horas utilizadas]]/Planning[[#This Row],[Horas Planificadas]],0)</f>
        <v>0</v>
      </c>
      <c r="W1435" s="44">
        <f>Planning[[#This Row],[Horas Planificadas]]+Planning[[#This Row],[Horas ajustadas adicionales]]</f>
        <v>0</v>
      </c>
      <c r="X1435" s="142"/>
    </row>
    <row r="1436" spans="1:24" ht="12.75" customHeight="1" x14ac:dyDescent="0.2">
      <c r="A1436" s="7"/>
      <c r="B1436" s="7" t="s">
        <v>205</v>
      </c>
      <c r="C1436" s="3"/>
      <c r="D1436" s="3" t="s">
        <v>365</v>
      </c>
      <c r="E1436" s="4"/>
      <c r="F1436" s="3" t="s">
        <v>123</v>
      </c>
      <c r="G1436" s="9"/>
      <c r="H1436" s="9">
        <v>48</v>
      </c>
      <c r="I1436" s="12"/>
      <c r="J1436" s="5" t="e">
        <f>SUM(SUMIFS(#REF!,#REF!,Planning[[#This Row],[Tipo de Tarea y especialidad]],#REF!,Planning[[#This Row],[Proyectos Reiwa]]),SUMIFS(#REF!,#REF!,Planning[[#This Row],[Tipo de Tarea y especialidad]],#REF!,Planning[[#This Row],[Proyectos]]))</f>
        <v>#REF!</v>
      </c>
      <c r="K1436" s="5" t="e">
        <f>Planning[[#This Row],[Horas Planificadas]]+Planning[[#This Row],[Horas ajustadas adicionales]]-Planning[[#This Row],[Horas utilizadas]]</f>
        <v>#REF!</v>
      </c>
      <c r="L1436" s="7">
        <v>0</v>
      </c>
      <c r="M1436" s="19" t="e">
        <f>Planning[[#This Row],[Saldo]]-Planning[[#This Row],[Saldo estimado]]</f>
        <v>#REF!</v>
      </c>
      <c r="N1436" s="60" t="e">
        <f>+SUMIFS(#REF!,#REF!,Planning[[#This Row],[Proyectos]],#REF!,Planning[[#This Row],[Tipo de Tarea y especialidad]])</f>
        <v>#REF!</v>
      </c>
      <c r="O1436" s="19">
        <f t="shared" si="44"/>
        <v>10</v>
      </c>
      <c r="P1436" s="19">
        <f t="shared" si="45"/>
        <v>2024</v>
      </c>
      <c r="Q14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36" s="19" t="str">
        <f>TEXT(Planning[[#This Row],[Mes]]*29,"mmmm")</f>
        <v>October</v>
      </c>
      <c r="S14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36" s="193"/>
      <c r="U1436" s="43" t="e">
        <f>IF(Planning[[#This Row],[Horas Planificadas]]&lt;&gt;0,+K1436/Planning[[#This Row],[Horas Planificadas]],0)</f>
        <v>#REF!</v>
      </c>
      <c r="V1436" s="43" t="e">
        <f>IF(Planning[[#This Row],[Horas Planificadas]]&lt;&gt;0,Planning[[#This Row],[Horas utilizadas]]/Planning[[#This Row],[Horas Planificadas]],0)</f>
        <v>#REF!</v>
      </c>
      <c r="W1436" s="44">
        <f>Planning[[#This Row],[Horas Planificadas]]+Planning[[#This Row],[Horas ajustadas adicionales]]</f>
        <v>48</v>
      </c>
      <c r="X1436" s="142"/>
    </row>
    <row r="1437" spans="1:24" ht="12.75" customHeight="1" x14ac:dyDescent="0.2">
      <c r="A1437" s="7"/>
      <c r="B1437" s="7" t="s">
        <v>205</v>
      </c>
      <c r="C1437" s="3"/>
      <c r="D1437" s="3" t="s">
        <v>365</v>
      </c>
      <c r="E1437" s="4"/>
      <c r="F1437" s="3" t="s">
        <v>124</v>
      </c>
      <c r="G1437" s="9"/>
      <c r="H1437" s="9"/>
      <c r="I1437" s="12"/>
      <c r="J1437" s="5" t="e">
        <f>SUM(SUMIFS(#REF!,#REF!,Planning[[#This Row],[Tipo de Tarea y especialidad]],#REF!,Planning[[#This Row],[Proyectos Reiwa]]),SUMIFS(#REF!,#REF!,Planning[[#This Row],[Tipo de Tarea y especialidad]],#REF!,Planning[[#This Row],[Proyectos]]))</f>
        <v>#REF!</v>
      </c>
      <c r="K1437" s="5" t="e">
        <f>Planning[[#This Row],[Horas Planificadas]]+Planning[[#This Row],[Horas ajustadas adicionales]]-Planning[[#This Row],[Horas utilizadas]]</f>
        <v>#REF!</v>
      </c>
      <c r="L1437" s="7"/>
      <c r="M1437" s="19" t="e">
        <f>Planning[[#This Row],[Saldo]]-Planning[[#This Row],[Saldo estimado]]</f>
        <v>#REF!</v>
      </c>
      <c r="N1437" s="60" t="e">
        <f>+SUMIFS(#REF!,#REF!,Planning[[#This Row],[Proyectos]],#REF!,Planning[[#This Row],[Tipo de Tarea y especialidad]])</f>
        <v>#REF!</v>
      </c>
      <c r="O1437" s="19">
        <f t="shared" si="44"/>
        <v>10</v>
      </c>
      <c r="P1437" s="19">
        <f t="shared" si="45"/>
        <v>2024</v>
      </c>
      <c r="Q14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37" s="19" t="str">
        <f>TEXT(Planning[[#This Row],[Mes]]*29,"mmmm")</f>
        <v>October</v>
      </c>
      <c r="S14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37" s="193"/>
      <c r="U1437" s="43">
        <f>IF(Planning[[#This Row],[Horas Planificadas]]&lt;&gt;0,+K1437/Planning[[#This Row],[Horas Planificadas]],0)</f>
        <v>0</v>
      </c>
      <c r="V1437" s="43">
        <f>IF(Planning[[#This Row],[Horas Planificadas]]&lt;&gt;0,Planning[[#This Row],[Horas utilizadas]]/Planning[[#This Row],[Horas Planificadas]],0)</f>
        <v>0</v>
      </c>
      <c r="W1437" s="44">
        <f>Planning[[#This Row],[Horas Planificadas]]+Planning[[#This Row],[Horas ajustadas adicionales]]</f>
        <v>0</v>
      </c>
      <c r="X1437" s="142"/>
    </row>
    <row r="1438" spans="1:24" ht="12.75" customHeight="1" x14ac:dyDescent="0.2">
      <c r="A1438" s="7"/>
      <c r="B1438" s="7" t="s">
        <v>205</v>
      </c>
      <c r="C1438" s="3"/>
      <c r="D1438" s="3" t="s">
        <v>365</v>
      </c>
      <c r="E1438" s="4"/>
      <c r="F1438" s="3" t="s">
        <v>125</v>
      </c>
      <c r="G1438" s="9"/>
      <c r="H1438" s="9">
        <v>12</v>
      </c>
      <c r="I1438" s="12"/>
      <c r="J1438" s="5" t="e">
        <f>SUM(SUMIFS(#REF!,#REF!,Planning[[#This Row],[Tipo de Tarea y especialidad]],#REF!,Planning[[#This Row],[Proyectos Reiwa]]),SUMIFS(#REF!,#REF!,Planning[[#This Row],[Tipo de Tarea y especialidad]],#REF!,Planning[[#This Row],[Proyectos]]))</f>
        <v>#REF!</v>
      </c>
      <c r="K1438" s="5" t="e">
        <f>Planning[[#This Row],[Horas Planificadas]]+Planning[[#This Row],[Horas ajustadas adicionales]]-Planning[[#This Row],[Horas utilizadas]]</f>
        <v>#REF!</v>
      </c>
      <c r="L1438" s="7">
        <v>0</v>
      </c>
      <c r="M1438" s="19" t="e">
        <f>Planning[[#This Row],[Saldo]]-Planning[[#This Row],[Saldo estimado]]</f>
        <v>#REF!</v>
      </c>
      <c r="N1438" s="60" t="e">
        <f>+SUMIFS(#REF!,#REF!,Planning[[#This Row],[Proyectos]],#REF!,Planning[[#This Row],[Tipo de Tarea y especialidad]])</f>
        <v>#REF!</v>
      </c>
      <c r="O1438" s="19">
        <f t="shared" si="44"/>
        <v>10</v>
      </c>
      <c r="P1438" s="19">
        <f t="shared" si="45"/>
        <v>2024</v>
      </c>
      <c r="Q14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38" s="19" t="str">
        <f>TEXT(Planning[[#This Row],[Mes]]*29,"mmmm")</f>
        <v>October</v>
      </c>
      <c r="S14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38" s="193"/>
      <c r="U1438" s="43" t="e">
        <f>IF(Planning[[#This Row],[Horas Planificadas]]&lt;&gt;0,+K1438/Planning[[#This Row],[Horas Planificadas]],0)</f>
        <v>#REF!</v>
      </c>
      <c r="V1438" s="43" t="e">
        <f>IF(Planning[[#This Row],[Horas Planificadas]]&lt;&gt;0,Planning[[#This Row],[Horas utilizadas]]/Planning[[#This Row],[Horas Planificadas]],0)</f>
        <v>#REF!</v>
      </c>
      <c r="W1438" s="44">
        <f>Planning[[#This Row],[Horas Planificadas]]+Planning[[#This Row],[Horas ajustadas adicionales]]</f>
        <v>12</v>
      </c>
      <c r="X1438" s="142"/>
    </row>
    <row r="1439" spans="1:24" ht="12.75" customHeight="1" x14ac:dyDescent="0.2">
      <c r="A1439" s="7"/>
      <c r="B1439" s="7" t="s">
        <v>205</v>
      </c>
      <c r="C1439" s="3"/>
      <c r="D1439" s="3" t="s">
        <v>365</v>
      </c>
      <c r="E1439" s="4"/>
      <c r="F1439" s="3" t="s">
        <v>126</v>
      </c>
      <c r="G1439" s="9"/>
      <c r="H1439" s="9"/>
      <c r="I1439" s="12"/>
      <c r="J1439" s="5" t="e">
        <f>SUM(SUMIFS(#REF!,#REF!,Planning[[#This Row],[Tipo de Tarea y especialidad]],#REF!,Planning[[#This Row],[Proyectos Reiwa]]),SUMIFS(#REF!,#REF!,Planning[[#This Row],[Tipo de Tarea y especialidad]],#REF!,Planning[[#This Row],[Proyectos]]))</f>
        <v>#REF!</v>
      </c>
      <c r="K1439" s="5" t="e">
        <f>Planning[[#This Row],[Horas Planificadas]]+Planning[[#This Row],[Horas ajustadas adicionales]]-Planning[[#This Row],[Horas utilizadas]]</f>
        <v>#REF!</v>
      </c>
      <c r="L1439" s="7"/>
      <c r="M1439" s="19" t="e">
        <f>Planning[[#This Row],[Saldo]]-Planning[[#This Row],[Saldo estimado]]</f>
        <v>#REF!</v>
      </c>
      <c r="N1439" s="60" t="e">
        <f>+SUMIFS(#REF!,#REF!,Planning[[#This Row],[Proyectos]],#REF!,Planning[[#This Row],[Tipo de Tarea y especialidad]])</f>
        <v>#REF!</v>
      </c>
      <c r="O1439" s="19">
        <f t="shared" si="44"/>
        <v>10</v>
      </c>
      <c r="P1439" s="19">
        <f t="shared" si="45"/>
        <v>2024</v>
      </c>
      <c r="Q14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39" s="19" t="str">
        <f>TEXT(Planning[[#This Row],[Mes]]*29,"mmmm")</f>
        <v>October</v>
      </c>
      <c r="S14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39" s="193"/>
      <c r="U1439" s="43">
        <f>IF(Planning[[#This Row],[Horas Planificadas]]&lt;&gt;0,+K1439/Planning[[#This Row],[Horas Planificadas]],0)</f>
        <v>0</v>
      </c>
      <c r="V1439" s="43">
        <f>IF(Planning[[#This Row],[Horas Planificadas]]&lt;&gt;0,Planning[[#This Row],[Horas utilizadas]]/Planning[[#This Row],[Horas Planificadas]],0)</f>
        <v>0</v>
      </c>
      <c r="W1439" s="44">
        <f>Planning[[#This Row],[Horas Planificadas]]+Planning[[#This Row],[Horas ajustadas adicionales]]</f>
        <v>0</v>
      </c>
      <c r="X1439" s="142"/>
    </row>
    <row r="1440" spans="1:24" ht="12.75" customHeight="1" x14ac:dyDescent="0.2">
      <c r="A1440" s="7"/>
      <c r="B1440" s="7" t="s">
        <v>205</v>
      </c>
      <c r="C1440" s="3"/>
      <c r="D1440" s="3" t="s">
        <v>365</v>
      </c>
      <c r="E1440" s="4"/>
      <c r="F1440" s="3" t="s">
        <v>127</v>
      </c>
      <c r="G1440" s="9"/>
      <c r="H1440" s="9"/>
      <c r="I1440" s="12"/>
      <c r="J1440" s="5" t="e">
        <f>SUM(SUMIFS(#REF!,#REF!,Planning[[#This Row],[Tipo de Tarea y especialidad]],#REF!,Planning[[#This Row],[Proyectos Reiwa]]),SUMIFS(#REF!,#REF!,Planning[[#This Row],[Tipo de Tarea y especialidad]],#REF!,Planning[[#This Row],[Proyectos]]))</f>
        <v>#REF!</v>
      </c>
      <c r="K1440" s="5" t="e">
        <f>Planning[[#This Row],[Horas Planificadas]]+Planning[[#This Row],[Horas ajustadas adicionales]]-Planning[[#This Row],[Horas utilizadas]]</f>
        <v>#REF!</v>
      </c>
      <c r="L1440" s="7"/>
      <c r="M1440" s="19" t="e">
        <f>Planning[[#This Row],[Saldo]]-Planning[[#This Row],[Saldo estimado]]</f>
        <v>#REF!</v>
      </c>
      <c r="N1440" s="60" t="e">
        <f>+SUMIFS(#REF!,#REF!,Planning[[#This Row],[Proyectos]],#REF!,Planning[[#This Row],[Tipo de Tarea y especialidad]])</f>
        <v>#REF!</v>
      </c>
      <c r="O1440" s="19">
        <f t="shared" si="44"/>
        <v>10</v>
      </c>
      <c r="P1440" s="19">
        <f t="shared" si="45"/>
        <v>2024</v>
      </c>
      <c r="Q14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40" s="19" t="str">
        <f>TEXT(Planning[[#This Row],[Mes]]*29,"mmmm")</f>
        <v>October</v>
      </c>
      <c r="S14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40" s="193"/>
      <c r="U1440" s="43">
        <f>IF(Planning[[#This Row],[Horas Planificadas]]&lt;&gt;0,+K1440/Planning[[#This Row],[Horas Planificadas]],0)</f>
        <v>0</v>
      </c>
      <c r="V1440" s="43">
        <f>IF(Planning[[#This Row],[Horas Planificadas]]&lt;&gt;0,Planning[[#This Row],[Horas utilizadas]]/Planning[[#This Row],[Horas Planificadas]],0)</f>
        <v>0</v>
      </c>
      <c r="W1440" s="44">
        <f>Planning[[#This Row],[Horas Planificadas]]+Planning[[#This Row],[Horas ajustadas adicionales]]</f>
        <v>0</v>
      </c>
      <c r="X1440" s="142"/>
    </row>
    <row r="1441" spans="1:24" ht="12.75" customHeight="1" x14ac:dyDescent="0.2">
      <c r="A1441" s="7"/>
      <c r="B1441" s="7" t="s">
        <v>205</v>
      </c>
      <c r="C1441" s="3"/>
      <c r="D1441" s="3" t="s">
        <v>365</v>
      </c>
      <c r="E1441" s="4"/>
      <c r="F1441" s="3" t="s">
        <v>128</v>
      </c>
      <c r="G1441" s="9"/>
      <c r="H1441" s="9"/>
      <c r="I1441" s="12"/>
      <c r="J1441" s="5" t="e">
        <f>SUM(SUMIFS(#REF!,#REF!,Planning[[#This Row],[Tipo de Tarea y especialidad]],#REF!,Planning[[#This Row],[Proyectos Reiwa]]),SUMIFS(#REF!,#REF!,Planning[[#This Row],[Tipo de Tarea y especialidad]],#REF!,Planning[[#This Row],[Proyectos]]))</f>
        <v>#REF!</v>
      </c>
      <c r="K1441" s="5" t="e">
        <f>Planning[[#This Row],[Horas Planificadas]]+Planning[[#This Row],[Horas ajustadas adicionales]]-Planning[[#This Row],[Horas utilizadas]]</f>
        <v>#REF!</v>
      </c>
      <c r="L1441" s="7"/>
      <c r="M1441" s="19" t="e">
        <f>Planning[[#This Row],[Saldo]]-Planning[[#This Row],[Saldo estimado]]</f>
        <v>#REF!</v>
      </c>
      <c r="N1441" s="60" t="e">
        <f>+SUMIFS(#REF!,#REF!,Planning[[#This Row],[Proyectos]],#REF!,Planning[[#This Row],[Tipo de Tarea y especialidad]])</f>
        <v>#REF!</v>
      </c>
      <c r="O1441" s="19">
        <f t="shared" si="44"/>
        <v>10</v>
      </c>
      <c r="P1441" s="19">
        <f t="shared" si="45"/>
        <v>2024</v>
      </c>
      <c r="Q14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41" s="19" t="str">
        <f>TEXT(Planning[[#This Row],[Mes]]*29,"mmmm")</f>
        <v>October</v>
      </c>
      <c r="S14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41" s="193"/>
      <c r="U1441" s="43">
        <f>IF(Planning[[#This Row],[Horas Planificadas]]&lt;&gt;0,+K1441/Planning[[#This Row],[Horas Planificadas]],0)</f>
        <v>0</v>
      </c>
      <c r="V1441" s="43">
        <f>IF(Planning[[#This Row],[Horas Planificadas]]&lt;&gt;0,Planning[[#This Row],[Horas utilizadas]]/Planning[[#This Row],[Horas Planificadas]],0)</f>
        <v>0</v>
      </c>
      <c r="W1441" s="44">
        <f>Planning[[#This Row],[Horas Planificadas]]+Planning[[#This Row],[Horas ajustadas adicionales]]</f>
        <v>0</v>
      </c>
      <c r="X1441" s="142"/>
    </row>
    <row r="1442" spans="1:24" ht="12.75" customHeight="1" x14ac:dyDescent="0.2">
      <c r="A1442" s="7"/>
      <c r="B1442" s="7" t="s">
        <v>205</v>
      </c>
      <c r="C1442" s="3"/>
      <c r="D1442" s="3" t="s">
        <v>365</v>
      </c>
      <c r="E1442" s="4" t="s">
        <v>31</v>
      </c>
      <c r="F1442" s="3" t="s">
        <v>31</v>
      </c>
      <c r="G1442" s="9">
        <v>12</v>
      </c>
      <c r="H1442" s="17">
        <v>12</v>
      </c>
      <c r="I1442" s="18"/>
      <c r="J1442" s="14" t="e">
        <f>+SUMIFS(#REF!,#REF!,Planning[[#This Row],[Tarifa]],#REF!,Planning[[#This Row],[Proyectos]])</f>
        <v>#REF!</v>
      </c>
      <c r="K1442" s="14" t="e">
        <f>Planning[[#This Row],[Horas Planificadas]]+Planning[[#This Row],[Horas ajustadas adicionales]]-Planning[[#This Row],[Horas utilizadas]]</f>
        <v>#REF!</v>
      </c>
      <c r="L1442" s="15">
        <v>3</v>
      </c>
      <c r="M1442" s="16" t="e">
        <f>Planning[[#This Row],[Saldo]]-Planning[[#This Row],[Saldo estimado]]</f>
        <v>#REF!</v>
      </c>
      <c r="N1442" s="60" t="e">
        <f>+SUMIFS(#REF!,#REF!,Planning[[#This Row],[Proyectos]],#REF!,Planning[[#This Row],[Tipo de Tarea y especialidad]])</f>
        <v>#REF!</v>
      </c>
      <c r="O1442" s="16">
        <f t="shared" si="44"/>
        <v>10</v>
      </c>
      <c r="P1442" s="16">
        <f t="shared" si="45"/>
        <v>2024</v>
      </c>
      <c r="Q1442" s="16" t="e">
        <f>+SUMIFS(#REF!,#REF!,Planning[[#This Row],[Tarifa]],#REF!,Planning[[#This Row],[Proyectos]],#REF!,Planning[[#This Row],[Mes]],#REF!,Planning[[#This Row],[Año]])</f>
        <v>#REF!</v>
      </c>
      <c r="R1442" s="16" t="str">
        <f>TEXT(Planning[[#This Row],[Mes]]*29,"mmmm")</f>
        <v>October</v>
      </c>
      <c r="S14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42" s="193"/>
      <c r="U1442" s="43" t="e">
        <f>IF(Planning[[#This Row],[Horas Planificadas]]&lt;&gt;0,+K1442/Planning[[#This Row],[Horas Planificadas]],0)</f>
        <v>#REF!</v>
      </c>
      <c r="V1442" s="43" t="e">
        <f>IF(Planning[[#This Row],[Horas Planificadas]]&lt;&gt;0,Planning[[#This Row],[Horas utilizadas]]/Planning[[#This Row],[Horas Planificadas]],0)</f>
        <v>#REF!</v>
      </c>
      <c r="W1442" s="44">
        <f>Planning[[#This Row],[Horas Planificadas]]+Planning[[#This Row],[Horas ajustadas adicionales]]</f>
        <v>12</v>
      </c>
      <c r="X1442" s="142"/>
    </row>
    <row r="1443" spans="1:24" ht="12.75" customHeight="1" x14ac:dyDescent="0.2">
      <c r="A1443" s="7"/>
      <c r="B1443" s="7" t="s">
        <v>205</v>
      </c>
      <c r="C1443" s="3"/>
      <c r="D1443" s="3" t="s">
        <v>365</v>
      </c>
      <c r="E1443" s="4" t="s">
        <v>32</v>
      </c>
      <c r="F1443" s="3"/>
      <c r="G1443" s="9">
        <v>36</v>
      </c>
      <c r="H1443" s="14">
        <f>SUM(H1444:H1446)</f>
        <v>36</v>
      </c>
      <c r="I1443" s="14"/>
      <c r="J1443" s="14" t="e">
        <f>SUM(J1444:J1446)</f>
        <v>#REF!</v>
      </c>
      <c r="K1443" s="15" t="e">
        <f>SUM(K1444:K1446)</f>
        <v>#REF!</v>
      </c>
      <c r="L1443" s="15">
        <f>SUM(L1444:L1446)</f>
        <v>0</v>
      </c>
      <c r="M1443" s="16" t="e">
        <f>SUM(M1444:M1446)</f>
        <v>#REF!</v>
      </c>
      <c r="N1443" s="60" t="e">
        <f>+SUMIFS(#REF!,#REF!,Planning[[#This Row],[Proyectos]],#REF!,Planning[[#This Row],[Tipo de Tarea y especialidad]])</f>
        <v>#REF!</v>
      </c>
      <c r="O1443" s="16">
        <f t="shared" si="44"/>
        <v>10</v>
      </c>
      <c r="P1443" s="16">
        <f t="shared" si="45"/>
        <v>2024</v>
      </c>
      <c r="Q1443" s="16" t="e">
        <f>SUM(Q1444:Q1446)</f>
        <v>#REF!</v>
      </c>
      <c r="R1443" s="16" t="str">
        <f>TEXT(Planning[[#This Row],[Mes]]*29,"mmmm")</f>
        <v>October</v>
      </c>
      <c r="S14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43" s="193"/>
      <c r="U1443" s="43" t="e">
        <f>IF(Planning[[#This Row],[Horas Planificadas]]&lt;&gt;0,+K1443/Planning[[#This Row],[Horas Planificadas]],0)</f>
        <v>#REF!</v>
      </c>
      <c r="V1443" s="43" t="e">
        <f>IF(Planning[[#This Row],[Horas Planificadas]]&lt;&gt;0,Planning[[#This Row],[Horas utilizadas]]/Planning[[#This Row],[Horas Planificadas]],0)</f>
        <v>#REF!</v>
      </c>
      <c r="W1443" s="44">
        <f>Planning[[#This Row],[Horas Planificadas]]+Planning[[#This Row],[Horas ajustadas adicionales]]</f>
        <v>36</v>
      </c>
      <c r="X1443" s="142"/>
    </row>
    <row r="1444" spans="1:24" ht="12.75" customHeight="1" x14ac:dyDescent="0.2">
      <c r="A1444" s="7"/>
      <c r="B1444" s="7" t="s">
        <v>205</v>
      </c>
      <c r="C1444" s="3"/>
      <c r="D1444" s="3" t="s">
        <v>365</v>
      </c>
      <c r="E1444" s="4"/>
      <c r="F1444" s="3" t="s">
        <v>129</v>
      </c>
      <c r="G1444" s="9"/>
      <c r="H1444" s="9"/>
      <c r="I1444" s="12"/>
      <c r="J1444" s="5" t="e">
        <f>SUM(SUMIFS(#REF!,#REF!,Planning[[#This Row],[Tipo de Tarea y especialidad]],#REF!,Planning[[#This Row],[Proyectos Reiwa]]),SUMIFS(#REF!,#REF!,Planning[[#This Row],[Tipo de Tarea y especialidad]],#REF!,Planning[[#This Row],[Proyectos]]))</f>
        <v>#REF!</v>
      </c>
      <c r="K1444" s="5" t="e">
        <f>Planning[[#This Row],[Horas Planificadas]]+Planning[[#This Row],[Horas ajustadas adicionales]]-Planning[[#This Row],[Horas utilizadas]]</f>
        <v>#REF!</v>
      </c>
      <c r="L1444" s="7"/>
      <c r="M1444" s="19" t="e">
        <f>Planning[[#This Row],[Saldo]]-Planning[[#This Row],[Saldo estimado]]</f>
        <v>#REF!</v>
      </c>
      <c r="N1444" s="60" t="e">
        <f>+SUMIFS(#REF!,#REF!,Planning[[#This Row],[Proyectos]],#REF!,Planning[[#This Row],[Tipo de Tarea y especialidad]])</f>
        <v>#REF!</v>
      </c>
      <c r="O1444" s="19">
        <f t="shared" si="44"/>
        <v>10</v>
      </c>
      <c r="P1444" s="19">
        <f t="shared" si="45"/>
        <v>2024</v>
      </c>
      <c r="Q14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44" s="19" t="str">
        <f>TEXT(Planning[[#This Row],[Mes]]*29,"mmmm")</f>
        <v>October</v>
      </c>
      <c r="S14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44" s="193"/>
      <c r="U1444" s="43">
        <f>IF(Planning[[#This Row],[Horas Planificadas]]&lt;&gt;0,+K1444/Planning[[#This Row],[Horas Planificadas]],0)</f>
        <v>0</v>
      </c>
      <c r="V1444" s="43">
        <f>IF(Planning[[#This Row],[Horas Planificadas]]&lt;&gt;0,Planning[[#This Row],[Horas utilizadas]]/Planning[[#This Row],[Horas Planificadas]],0)</f>
        <v>0</v>
      </c>
      <c r="W1444" s="44">
        <f>Planning[[#This Row],[Horas Planificadas]]+Planning[[#This Row],[Horas ajustadas adicionales]]</f>
        <v>0</v>
      </c>
      <c r="X1444" s="142"/>
    </row>
    <row r="1445" spans="1:24" ht="12.75" customHeight="1" x14ac:dyDescent="0.2">
      <c r="A1445" s="7"/>
      <c r="B1445" s="7" t="s">
        <v>205</v>
      </c>
      <c r="C1445" s="3"/>
      <c r="D1445" s="3" t="s">
        <v>365</v>
      </c>
      <c r="E1445" s="4"/>
      <c r="F1445" s="3" t="s">
        <v>130</v>
      </c>
      <c r="G1445" s="9"/>
      <c r="H1445" s="9">
        <v>36</v>
      </c>
      <c r="I1445" s="12"/>
      <c r="J1445" s="5" t="e">
        <f>SUM(SUMIFS(#REF!,#REF!,Planning[[#This Row],[Tipo de Tarea y especialidad]],#REF!,Planning[[#This Row],[Proyectos Reiwa]]),SUMIFS(#REF!,#REF!,Planning[[#This Row],[Tipo de Tarea y especialidad]],#REF!,Planning[[#This Row],[Proyectos]]))</f>
        <v>#REF!</v>
      </c>
      <c r="K1445" s="5" t="e">
        <f>Planning[[#This Row],[Horas Planificadas]]+Planning[[#This Row],[Horas ajustadas adicionales]]-Planning[[#This Row],[Horas utilizadas]]</f>
        <v>#REF!</v>
      </c>
      <c r="L1445" s="7">
        <v>0</v>
      </c>
      <c r="M1445" s="19" t="e">
        <f>Planning[[#This Row],[Saldo]]-Planning[[#This Row],[Saldo estimado]]</f>
        <v>#REF!</v>
      </c>
      <c r="N1445" s="60" t="e">
        <f>+SUMIFS(#REF!,#REF!,Planning[[#This Row],[Proyectos]],#REF!,Planning[[#This Row],[Tipo de Tarea y especialidad]])</f>
        <v>#REF!</v>
      </c>
      <c r="O1445" s="19">
        <f t="shared" si="44"/>
        <v>10</v>
      </c>
      <c r="P1445" s="19">
        <f t="shared" si="45"/>
        <v>2024</v>
      </c>
      <c r="Q14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45" s="19" t="str">
        <f>TEXT(Planning[[#This Row],[Mes]]*29,"mmmm")</f>
        <v>October</v>
      </c>
      <c r="S14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45" s="193"/>
      <c r="U1445" s="43" t="e">
        <f>IF(Planning[[#This Row],[Horas Planificadas]]&lt;&gt;0,+K1445/Planning[[#This Row],[Horas Planificadas]],0)</f>
        <v>#REF!</v>
      </c>
      <c r="V1445" s="43" t="e">
        <f>IF(Planning[[#This Row],[Horas Planificadas]]&lt;&gt;0,Planning[[#This Row],[Horas utilizadas]]/Planning[[#This Row],[Horas Planificadas]],0)</f>
        <v>#REF!</v>
      </c>
      <c r="W1445" s="44">
        <f>Planning[[#This Row],[Horas Planificadas]]+Planning[[#This Row],[Horas ajustadas adicionales]]</f>
        <v>36</v>
      </c>
      <c r="X1445" s="142"/>
    </row>
    <row r="1446" spans="1:24" ht="12.75" customHeight="1" x14ac:dyDescent="0.2">
      <c r="A1446" s="7"/>
      <c r="B1446" s="7" t="s">
        <v>205</v>
      </c>
      <c r="C1446" s="3"/>
      <c r="D1446" s="3" t="s">
        <v>365</v>
      </c>
      <c r="E1446" s="4"/>
      <c r="F1446" s="3" t="s">
        <v>131</v>
      </c>
      <c r="G1446" s="9"/>
      <c r="H1446" s="9"/>
      <c r="I1446" s="12"/>
      <c r="J1446" s="5" t="e">
        <f>SUM(SUMIFS(#REF!,#REF!,Planning[[#This Row],[Tipo de Tarea y especialidad]],#REF!,Planning[[#This Row],[Proyectos Reiwa]]),SUMIFS(#REF!,#REF!,Planning[[#This Row],[Tipo de Tarea y especialidad]],#REF!,Planning[[#This Row],[Proyectos]]))</f>
        <v>#REF!</v>
      </c>
      <c r="K1446" s="5" t="e">
        <f>Planning[[#This Row],[Horas Planificadas]]+Planning[[#This Row],[Horas ajustadas adicionales]]-Planning[[#This Row],[Horas utilizadas]]</f>
        <v>#REF!</v>
      </c>
      <c r="L1446" s="7"/>
      <c r="M1446" s="19" t="e">
        <f>Planning[[#This Row],[Saldo]]-Planning[[#This Row],[Saldo estimado]]</f>
        <v>#REF!</v>
      </c>
      <c r="N1446" s="60" t="e">
        <f>+SUMIFS(#REF!,#REF!,Planning[[#This Row],[Proyectos]],#REF!,Planning[[#This Row],[Tipo de Tarea y especialidad]])</f>
        <v>#REF!</v>
      </c>
      <c r="O1446" s="19">
        <f t="shared" si="44"/>
        <v>10</v>
      </c>
      <c r="P1446" s="19">
        <f t="shared" si="45"/>
        <v>2024</v>
      </c>
      <c r="Q14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46" s="19" t="str">
        <f>TEXT(Planning[[#This Row],[Mes]]*29,"mmmm")</f>
        <v>October</v>
      </c>
      <c r="S14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46" s="193"/>
      <c r="U1446" s="43">
        <f>IF(Planning[[#This Row],[Horas Planificadas]]&lt;&gt;0,+K1446/Planning[[#This Row],[Horas Planificadas]],0)</f>
        <v>0</v>
      </c>
      <c r="V1446" s="43">
        <f>IF(Planning[[#This Row],[Horas Planificadas]]&lt;&gt;0,Planning[[#This Row],[Horas utilizadas]]/Planning[[#This Row],[Horas Planificadas]],0)</f>
        <v>0</v>
      </c>
      <c r="W1446" s="44">
        <f>Planning[[#This Row],[Horas Planificadas]]+Planning[[#This Row],[Horas ajustadas adicionales]]</f>
        <v>0</v>
      </c>
      <c r="X1446" s="142"/>
    </row>
    <row r="1447" spans="1:24" ht="12.75" customHeight="1" x14ac:dyDescent="0.2">
      <c r="A1447" s="7" t="s">
        <v>177</v>
      </c>
      <c r="B1447" s="7" t="s">
        <v>205</v>
      </c>
      <c r="C1447" s="3"/>
      <c r="D1447" s="3" t="s">
        <v>367</v>
      </c>
      <c r="E1447" s="33" t="s">
        <v>28</v>
      </c>
      <c r="F1447" s="36"/>
      <c r="G1447" s="7">
        <v>402</v>
      </c>
      <c r="H1447" s="24">
        <f>SUM(H1448:H1449)</f>
        <v>402</v>
      </c>
      <c r="I1447" s="14"/>
      <c r="J1447" s="14" t="e">
        <f>SUM(J1448:J1449)</f>
        <v>#REF!</v>
      </c>
      <c r="K1447" s="18" t="e">
        <f>SUM(K1448:K1449)</f>
        <v>#REF!</v>
      </c>
      <c r="L1447" s="15">
        <f>SUM(L1448:L1449)</f>
        <v>0</v>
      </c>
      <c r="M1447" s="28" t="e">
        <f>SUM(M1448:M1449)</f>
        <v>#REF!</v>
      </c>
      <c r="N1447" s="61" t="e">
        <f>+SUMIFS(#REF!,#REF!,Planning[[#This Row],[Proyectos]],#REF!,Planning[[#This Row],[Tipo de Tarea y especialidad]])</f>
        <v>#REF!</v>
      </c>
      <c r="O1447" s="28">
        <f t="shared" si="44"/>
        <v>10</v>
      </c>
      <c r="P1447" s="28">
        <f t="shared" si="45"/>
        <v>2024</v>
      </c>
      <c r="Q1447" s="28" t="e">
        <f>SUM(Q1448:Q1449)</f>
        <v>#REF!</v>
      </c>
      <c r="R1447" s="28" t="str">
        <f>TEXT(Planning[[#This Row],[Mes]]*29,"mmmm")</f>
        <v>October</v>
      </c>
      <c r="S14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47" s="192" t="s">
        <v>368</v>
      </c>
      <c r="U1447" s="43" t="e">
        <f>IF(Planning[[#This Row],[Horas Planificadas]]&lt;&gt;0,+K1447/Planning[[#This Row],[Horas Planificadas]],0)</f>
        <v>#REF!</v>
      </c>
      <c r="V1447" s="43" t="e">
        <f>IF(Planning[[#This Row],[Horas Planificadas]]&lt;&gt;0,Planning[[#This Row],[Horas utilizadas]]/Planning[[#This Row],[Horas Planificadas]],0)</f>
        <v>#REF!</v>
      </c>
      <c r="W1447" s="44">
        <f>Planning[[#This Row],[Horas Planificadas]]+Planning[[#This Row],[Horas ajustadas adicionales]]</f>
        <v>402</v>
      </c>
      <c r="X1447" s="142"/>
    </row>
    <row r="1448" spans="1:24" ht="12.75" customHeight="1" x14ac:dyDescent="0.2">
      <c r="A1448" s="7" t="s">
        <v>177</v>
      </c>
      <c r="B1448" s="7" t="s">
        <v>205</v>
      </c>
      <c r="C1448" s="3"/>
      <c r="D1448" s="3" t="s">
        <v>367</v>
      </c>
      <c r="E1448" s="33"/>
      <c r="F1448" s="36" t="s">
        <v>120</v>
      </c>
      <c r="G1448" s="7"/>
      <c r="H1448" s="7">
        <v>240</v>
      </c>
      <c r="I1448" s="12"/>
      <c r="J1448" s="5" t="e">
        <f>SUM(SUMIFS(#REF!,#REF!,Planning[[#This Row],[Tipo de Tarea y especialidad]],#REF!,Planning[[#This Row],[Proyectos Reiwa]]),SUMIFS(#REF!,#REF!,Planning[[#This Row],[Tipo de Tarea y especialidad]],#REF!,Planning[[#This Row],[Proyectos]]))</f>
        <v>#REF!</v>
      </c>
      <c r="K1448" s="5" t="e">
        <f>Planning[[#This Row],[Horas Planificadas]]+Planning[[#This Row],[Horas ajustadas adicionales]]-Planning[[#This Row],[Horas utilizadas]]</f>
        <v>#REF!</v>
      </c>
      <c r="L1448" s="7">
        <v>0</v>
      </c>
      <c r="M1448" s="19" t="e">
        <f>Planning[[#This Row],[Saldo]]-Planning[[#This Row],[Saldo estimado]]</f>
        <v>#REF!</v>
      </c>
      <c r="N1448" s="60" t="e">
        <f>+SUMIFS(#REF!,#REF!,Planning[[#This Row],[Proyectos]],#REF!,Planning[[#This Row],[Tipo de Tarea y especialidad]])</f>
        <v>#REF!</v>
      </c>
      <c r="O1448" s="19">
        <f t="shared" si="44"/>
        <v>10</v>
      </c>
      <c r="P1448" s="19">
        <f t="shared" si="45"/>
        <v>2024</v>
      </c>
      <c r="Q14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48" s="19" t="str">
        <f>TEXT(Planning[[#This Row],[Mes]]*29,"mmmm")</f>
        <v>October</v>
      </c>
      <c r="S14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48" s="193"/>
      <c r="U1448" s="43" t="e">
        <f>IF(Planning[[#This Row],[Horas Planificadas]]&lt;&gt;0,+K1448/Planning[[#This Row],[Horas Planificadas]],0)</f>
        <v>#REF!</v>
      </c>
      <c r="V1448" s="43" t="e">
        <f>IF(Planning[[#This Row],[Horas Planificadas]]&lt;&gt;0,Planning[[#This Row],[Horas utilizadas]]/Planning[[#This Row],[Horas Planificadas]],0)</f>
        <v>#REF!</v>
      </c>
      <c r="W1448" s="44">
        <f>Planning[[#This Row],[Horas Planificadas]]+Planning[[#This Row],[Horas ajustadas adicionales]]</f>
        <v>240</v>
      </c>
      <c r="X1448" s="142"/>
    </row>
    <row r="1449" spans="1:24" ht="12.75" customHeight="1" x14ac:dyDescent="0.2">
      <c r="A1449" s="7" t="s">
        <v>177</v>
      </c>
      <c r="B1449" s="7" t="s">
        <v>205</v>
      </c>
      <c r="C1449" s="3"/>
      <c r="D1449" s="3" t="s">
        <v>367</v>
      </c>
      <c r="E1449" s="33"/>
      <c r="F1449" s="36" t="s">
        <v>121</v>
      </c>
      <c r="G1449" s="7"/>
      <c r="H1449" s="7">
        <v>162</v>
      </c>
      <c r="I1449" s="12"/>
      <c r="J1449" s="5" t="e">
        <f>SUM(SUMIFS(#REF!,#REF!,Planning[[#This Row],[Tipo de Tarea y especialidad]],#REF!,Planning[[#This Row],[Proyectos Reiwa]]),SUMIFS(#REF!,#REF!,Planning[[#This Row],[Tipo de Tarea y especialidad]],#REF!,Planning[[#This Row],[Proyectos]]))</f>
        <v>#REF!</v>
      </c>
      <c r="K1449" s="5" t="e">
        <f>Planning[[#This Row],[Horas Planificadas]]+Planning[[#This Row],[Horas ajustadas adicionales]]-Planning[[#This Row],[Horas utilizadas]]</f>
        <v>#REF!</v>
      </c>
      <c r="L1449" s="7">
        <v>0</v>
      </c>
      <c r="M1449" s="19" t="e">
        <f>Planning[[#This Row],[Saldo]]-Planning[[#This Row],[Saldo estimado]]</f>
        <v>#REF!</v>
      </c>
      <c r="N1449" s="60" t="e">
        <f>+SUMIFS(#REF!,#REF!,Planning[[#This Row],[Proyectos]],#REF!,Planning[[#This Row],[Tipo de Tarea y especialidad]])</f>
        <v>#REF!</v>
      </c>
      <c r="O1449" s="19">
        <f t="shared" si="44"/>
        <v>10</v>
      </c>
      <c r="P1449" s="19">
        <f t="shared" si="45"/>
        <v>2024</v>
      </c>
      <c r="Q14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49" s="19" t="str">
        <f>TEXT(Planning[[#This Row],[Mes]]*29,"mmmm")</f>
        <v>October</v>
      </c>
      <c r="S14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49" s="193"/>
      <c r="U1449" s="43" t="e">
        <f>IF(Planning[[#This Row],[Horas Planificadas]]&lt;&gt;0,+K1449/Planning[[#This Row],[Horas Planificadas]],0)</f>
        <v>#REF!</v>
      </c>
      <c r="V1449" s="43" t="e">
        <f>IF(Planning[[#This Row],[Horas Planificadas]]&lt;&gt;0,Planning[[#This Row],[Horas utilizadas]]/Planning[[#This Row],[Horas Planificadas]],0)</f>
        <v>#REF!</v>
      </c>
      <c r="W1449" s="44">
        <f>Planning[[#This Row],[Horas Planificadas]]+Planning[[#This Row],[Horas ajustadas adicionales]]</f>
        <v>162</v>
      </c>
      <c r="X1449" s="142"/>
    </row>
    <row r="1450" spans="1:24" ht="12.75" customHeight="1" x14ac:dyDescent="0.2">
      <c r="A1450" s="7" t="s">
        <v>177</v>
      </c>
      <c r="B1450" s="7" t="s">
        <v>205</v>
      </c>
      <c r="C1450" s="3"/>
      <c r="D1450" s="3" t="s">
        <v>367</v>
      </c>
      <c r="E1450" s="33" t="s">
        <v>30</v>
      </c>
      <c r="F1450" s="36"/>
      <c r="G1450" s="7">
        <v>704</v>
      </c>
      <c r="H1450" s="24">
        <f>SUM(H1451:H1457)</f>
        <v>704</v>
      </c>
      <c r="I1450" s="14"/>
      <c r="J1450" s="14" t="e">
        <f>SUM(J1451:J1457)</f>
        <v>#REF!</v>
      </c>
      <c r="K1450" s="18" t="e">
        <f>SUM(K1451:K1457)</f>
        <v>#REF!</v>
      </c>
      <c r="L1450" s="15">
        <f>SUM(L1451:L1457)</f>
        <v>0</v>
      </c>
      <c r="M1450" s="16" t="e">
        <f>SUM(M1451:M1457)</f>
        <v>#REF!</v>
      </c>
      <c r="N1450" s="60" t="e">
        <f>+SUMIFS(#REF!,#REF!,Planning[[#This Row],[Proyectos]],#REF!,Planning[[#This Row],[Tipo de Tarea y especialidad]])</f>
        <v>#REF!</v>
      </c>
      <c r="O1450" s="16">
        <f t="shared" si="44"/>
        <v>10</v>
      </c>
      <c r="P1450" s="16">
        <f t="shared" si="45"/>
        <v>2024</v>
      </c>
      <c r="Q1450" s="16" t="e">
        <f>SUM(Q1451:Q1457)</f>
        <v>#REF!</v>
      </c>
      <c r="R1450" s="16" t="str">
        <f>TEXT(Planning[[#This Row],[Mes]]*29,"mmmm")</f>
        <v>October</v>
      </c>
      <c r="S14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50" s="193"/>
      <c r="U1450" s="43" t="e">
        <f>IF(Planning[[#This Row],[Horas Planificadas]]&lt;&gt;0,+K1450/Planning[[#This Row],[Horas Planificadas]],0)</f>
        <v>#REF!</v>
      </c>
      <c r="V1450" s="43" t="e">
        <f>IF(Planning[[#This Row],[Horas Planificadas]]&lt;&gt;0,Planning[[#This Row],[Horas utilizadas]]/Planning[[#This Row],[Horas Planificadas]],0)</f>
        <v>#REF!</v>
      </c>
      <c r="W1450" s="44">
        <f>Planning[[#This Row],[Horas Planificadas]]+Planning[[#This Row],[Horas ajustadas adicionales]]</f>
        <v>704</v>
      </c>
      <c r="X1450" s="142"/>
    </row>
    <row r="1451" spans="1:24" ht="12.75" customHeight="1" x14ac:dyDescent="0.2">
      <c r="A1451" s="7" t="s">
        <v>177</v>
      </c>
      <c r="B1451" s="7" t="s">
        <v>205</v>
      </c>
      <c r="C1451" s="3"/>
      <c r="D1451" s="3" t="s">
        <v>367</v>
      </c>
      <c r="E1451" s="33"/>
      <c r="F1451" s="36" t="s">
        <v>122</v>
      </c>
      <c r="G1451" s="7"/>
      <c r="H1451" s="7"/>
      <c r="I1451" s="12"/>
      <c r="J1451" s="5" t="e">
        <f>SUM(SUMIFS(#REF!,#REF!,Planning[[#This Row],[Tipo de Tarea y especialidad]],#REF!,Planning[[#This Row],[Proyectos Reiwa]]),SUMIFS(#REF!,#REF!,Planning[[#This Row],[Tipo de Tarea y especialidad]],#REF!,Planning[[#This Row],[Proyectos]]))</f>
        <v>#REF!</v>
      </c>
      <c r="K1451" s="5" t="e">
        <f>Planning[[#This Row],[Horas Planificadas]]+Planning[[#This Row],[Horas ajustadas adicionales]]-Planning[[#This Row],[Horas utilizadas]]</f>
        <v>#REF!</v>
      </c>
      <c r="L1451" s="7"/>
      <c r="M1451" s="19" t="e">
        <f>Planning[[#This Row],[Saldo]]-Planning[[#This Row],[Saldo estimado]]</f>
        <v>#REF!</v>
      </c>
      <c r="N1451" s="60" t="e">
        <f>+SUMIFS(#REF!,#REF!,Planning[[#This Row],[Proyectos]],#REF!,Planning[[#This Row],[Tipo de Tarea y especialidad]])</f>
        <v>#REF!</v>
      </c>
      <c r="O1451" s="19">
        <f t="shared" si="44"/>
        <v>10</v>
      </c>
      <c r="P1451" s="19">
        <f t="shared" si="45"/>
        <v>2024</v>
      </c>
      <c r="Q14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51" s="19" t="str">
        <f>TEXT(Planning[[#This Row],[Mes]]*29,"mmmm")</f>
        <v>October</v>
      </c>
      <c r="S14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51" s="193"/>
      <c r="U1451" s="43">
        <f>IF(Planning[[#This Row],[Horas Planificadas]]&lt;&gt;0,+K1451/Planning[[#This Row],[Horas Planificadas]],0)</f>
        <v>0</v>
      </c>
      <c r="V1451" s="43">
        <f>IF(Planning[[#This Row],[Horas Planificadas]]&lt;&gt;0,Planning[[#This Row],[Horas utilizadas]]/Planning[[#This Row],[Horas Planificadas]],0)</f>
        <v>0</v>
      </c>
      <c r="W1451" s="44">
        <f>Planning[[#This Row],[Horas Planificadas]]+Planning[[#This Row],[Horas ajustadas adicionales]]</f>
        <v>0</v>
      </c>
      <c r="X1451" s="142"/>
    </row>
    <row r="1452" spans="1:24" ht="12.75" customHeight="1" x14ac:dyDescent="0.2">
      <c r="A1452" s="7" t="s">
        <v>177</v>
      </c>
      <c r="B1452" s="7" t="s">
        <v>205</v>
      </c>
      <c r="C1452" s="3"/>
      <c r="D1452" s="3" t="s">
        <v>367</v>
      </c>
      <c r="E1452" s="33"/>
      <c r="F1452" s="36" t="s">
        <v>123</v>
      </c>
      <c r="G1452" s="7"/>
      <c r="H1452" s="7">
        <v>307</v>
      </c>
      <c r="I1452" s="12"/>
      <c r="J1452" s="5" t="e">
        <f>SUM(SUMIFS(#REF!,#REF!,Planning[[#This Row],[Tipo de Tarea y especialidad]],#REF!,Planning[[#This Row],[Proyectos Reiwa]]),SUMIFS(#REF!,#REF!,Planning[[#This Row],[Tipo de Tarea y especialidad]],#REF!,Planning[[#This Row],[Proyectos]]))</f>
        <v>#REF!</v>
      </c>
      <c r="K1452" s="5" t="e">
        <f>Planning[[#This Row],[Horas Planificadas]]+Planning[[#This Row],[Horas ajustadas adicionales]]-Planning[[#This Row],[Horas utilizadas]]</f>
        <v>#REF!</v>
      </c>
      <c r="L1452" s="7">
        <v>0</v>
      </c>
      <c r="M1452" s="19" t="e">
        <f>Planning[[#This Row],[Saldo]]-Planning[[#This Row],[Saldo estimado]]</f>
        <v>#REF!</v>
      </c>
      <c r="N1452" s="60" t="e">
        <f>+SUMIFS(#REF!,#REF!,Planning[[#This Row],[Proyectos]],#REF!,Planning[[#This Row],[Tipo de Tarea y especialidad]])</f>
        <v>#REF!</v>
      </c>
      <c r="O1452" s="19">
        <f t="shared" si="44"/>
        <v>10</v>
      </c>
      <c r="P1452" s="19">
        <f t="shared" si="45"/>
        <v>2024</v>
      </c>
      <c r="Q14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52" s="19" t="str">
        <f>TEXT(Planning[[#This Row],[Mes]]*29,"mmmm")</f>
        <v>October</v>
      </c>
      <c r="S14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52" s="193"/>
      <c r="U1452" s="43" t="e">
        <f>IF(Planning[[#This Row],[Horas Planificadas]]&lt;&gt;0,+K1452/Planning[[#This Row],[Horas Planificadas]],0)</f>
        <v>#REF!</v>
      </c>
      <c r="V1452" s="43" t="e">
        <f>IF(Planning[[#This Row],[Horas Planificadas]]&lt;&gt;0,Planning[[#This Row],[Horas utilizadas]]/Planning[[#This Row],[Horas Planificadas]],0)</f>
        <v>#REF!</v>
      </c>
      <c r="W1452" s="44">
        <f>Planning[[#This Row],[Horas Planificadas]]+Planning[[#This Row],[Horas ajustadas adicionales]]</f>
        <v>307</v>
      </c>
      <c r="X1452" s="142"/>
    </row>
    <row r="1453" spans="1:24" ht="12.75" customHeight="1" x14ac:dyDescent="0.2">
      <c r="A1453" s="7" t="s">
        <v>177</v>
      </c>
      <c r="B1453" s="7" t="s">
        <v>205</v>
      </c>
      <c r="C1453" s="3"/>
      <c r="D1453" s="3" t="s">
        <v>367</v>
      </c>
      <c r="E1453" s="33"/>
      <c r="F1453" s="36" t="s">
        <v>124</v>
      </c>
      <c r="G1453" s="7"/>
      <c r="H1453" s="7">
        <v>178</v>
      </c>
      <c r="I1453" s="12"/>
      <c r="J1453" s="5" t="e">
        <f>SUM(SUMIFS(#REF!,#REF!,Planning[[#This Row],[Tipo de Tarea y especialidad]],#REF!,Planning[[#This Row],[Proyectos Reiwa]]),SUMIFS(#REF!,#REF!,Planning[[#This Row],[Tipo de Tarea y especialidad]],#REF!,Planning[[#This Row],[Proyectos]]))</f>
        <v>#REF!</v>
      </c>
      <c r="K1453" s="5" t="e">
        <f>Planning[[#This Row],[Horas Planificadas]]+Planning[[#This Row],[Horas ajustadas adicionales]]-Planning[[#This Row],[Horas utilizadas]]</f>
        <v>#REF!</v>
      </c>
      <c r="L1453" s="7">
        <v>0</v>
      </c>
      <c r="M1453" s="19" t="e">
        <f>Planning[[#This Row],[Saldo]]-Planning[[#This Row],[Saldo estimado]]</f>
        <v>#REF!</v>
      </c>
      <c r="N1453" s="60" t="e">
        <f>+SUMIFS(#REF!,#REF!,Planning[[#This Row],[Proyectos]],#REF!,Planning[[#This Row],[Tipo de Tarea y especialidad]])</f>
        <v>#REF!</v>
      </c>
      <c r="O1453" s="19">
        <f t="shared" si="44"/>
        <v>10</v>
      </c>
      <c r="P1453" s="19">
        <f t="shared" si="45"/>
        <v>2024</v>
      </c>
      <c r="Q14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53" s="19" t="str">
        <f>TEXT(Planning[[#This Row],[Mes]]*29,"mmmm")</f>
        <v>October</v>
      </c>
      <c r="S14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53" s="193"/>
      <c r="U1453" s="43" t="e">
        <f>IF(Planning[[#This Row],[Horas Planificadas]]&lt;&gt;0,+K1453/Planning[[#This Row],[Horas Planificadas]],0)</f>
        <v>#REF!</v>
      </c>
      <c r="V1453" s="43" t="e">
        <f>IF(Planning[[#This Row],[Horas Planificadas]]&lt;&gt;0,Planning[[#This Row],[Horas utilizadas]]/Planning[[#This Row],[Horas Planificadas]],0)</f>
        <v>#REF!</v>
      </c>
      <c r="W1453" s="44">
        <f>Planning[[#This Row],[Horas Planificadas]]+Planning[[#This Row],[Horas ajustadas adicionales]]</f>
        <v>178</v>
      </c>
      <c r="X1453" s="142"/>
    </row>
    <row r="1454" spans="1:24" ht="12.75" customHeight="1" x14ac:dyDescent="0.2">
      <c r="A1454" s="7" t="s">
        <v>177</v>
      </c>
      <c r="B1454" s="7" t="s">
        <v>205</v>
      </c>
      <c r="C1454" s="3"/>
      <c r="D1454" s="3" t="s">
        <v>367</v>
      </c>
      <c r="E1454" s="33"/>
      <c r="F1454" s="36" t="s">
        <v>125</v>
      </c>
      <c r="G1454" s="7"/>
      <c r="H1454" s="7">
        <v>165</v>
      </c>
      <c r="I1454" s="12"/>
      <c r="J1454" s="5" t="e">
        <f>SUM(SUMIFS(#REF!,#REF!,Planning[[#This Row],[Tipo de Tarea y especialidad]],#REF!,Planning[[#This Row],[Proyectos Reiwa]]),SUMIFS(#REF!,#REF!,Planning[[#This Row],[Tipo de Tarea y especialidad]],#REF!,Planning[[#This Row],[Proyectos]]))</f>
        <v>#REF!</v>
      </c>
      <c r="K1454" s="5" t="e">
        <f>Planning[[#This Row],[Horas Planificadas]]+Planning[[#This Row],[Horas ajustadas adicionales]]-Planning[[#This Row],[Horas utilizadas]]</f>
        <v>#REF!</v>
      </c>
      <c r="L1454" s="7">
        <v>0</v>
      </c>
      <c r="M1454" s="19" t="e">
        <f>Planning[[#This Row],[Saldo]]-Planning[[#This Row],[Saldo estimado]]</f>
        <v>#REF!</v>
      </c>
      <c r="N1454" s="60" t="e">
        <f>+SUMIFS(#REF!,#REF!,Planning[[#This Row],[Proyectos]],#REF!,Planning[[#This Row],[Tipo de Tarea y especialidad]])</f>
        <v>#REF!</v>
      </c>
      <c r="O1454" s="19">
        <f t="shared" si="44"/>
        <v>10</v>
      </c>
      <c r="P1454" s="19">
        <f t="shared" si="45"/>
        <v>2024</v>
      </c>
      <c r="Q14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54" s="19" t="str">
        <f>TEXT(Planning[[#This Row],[Mes]]*29,"mmmm")</f>
        <v>October</v>
      </c>
      <c r="S14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54" s="193"/>
      <c r="U1454" s="43" t="e">
        <f>IF(Planning[[#This Row],[Horas Planificadas]]&lt;&gt;0,+K1454/Planning[[#This Row],[Horas Planificadas]],0)</f>
        <v>#REF!</v>
      </c>
      <c r="V1454" s="43" t="e">
        <f>IF(Planning[[#This Row],[Horas Planificadas]]&lt;&gt;0,Planning[[#This Row],[Horas utilizadas]]/Planning[[#This Row],[Horas Planificadas]],0)</f>
        <v>#REF!</v>
      </c>
      <c r="W1454" s="44">
        <f>Planning[[#This Row],[Horas Planificadas]]+Planning[[#This Row],[Horas ajustadas adicionales]]</f>
        <v>165</v>
      </c>
      <c r="X1454" s="142"/>
    </row>
    <row r="1455" spans="1:24" ht="12.75" customHeight="1" x14ac:dyDescent="0.2">
      <c r="A1455" s="7" t="s">
        <v>177</v>
      </c>
      <c r="B1455" s="7" t="s">
        <v>205</v>
      </c>
      <c r="C1455" s="3"/>
      <c r="D1455" s="3" t="s">
        <v>367</v>
      </c>
      <c r="E1455" s="4"/>
      <c r="F1455" s="3" t="s">
        <v>126</v>
      </c>
      <c r="G1455" s="9"/>
      <c r="H1455" s="12"/>
      <c r="I1455" s="12"/>
      <c r="J1455" s="5" t="e">
        <f>SUM(SUMIFS(#REF!,#REF!,Planning[[#This Row],[Tipo de Tarea y especialidad]],#REF!,Planning[[#This Row],[Proyectos Reiwa]]),SUMIFS(#REF!,#REF!,Planning[[#This Row],[Tipo de Tarea y especialidad]],#REF!,Planning[[#This Row],[Proyectos]]))</f>
        <v>#REF!</v>
      </c>
      <c r="K1455" s="27" t="e">
        <f>Planning[[#This Row],[Horas Planificadas]]+Planning[[#This Row],[Horas ajustadas adicionales]]-Planning[[#This Row],[Horas utilizadas]]</f>
        <v>#REF!</v>
      </c>
      <c r="L1455" s="7"/>
      <c r="M1455" s="34" t="e">
        <f>Planning[[#This Row],[Saldo]]-Planning[[#This Row],[Saldo estimado]]</f>
        <v>#REF!</v>
      </c>
      <c r="N1455" s="62" t="e">
        <f>+SUMIFS(#REF!,#REF!,Planning[[#This Row],[Proyectos]],#REF!,Planning[[#This Row],[Tipo de Tarea y especialidad]])</f>
        <v>#REF!</v>
      </c>
      <c r="O1455" s="34">
        <f t="shared" si="44"/>
        <v>10</v>
      </c>
      <c r="P1455" s="34">
        <f t="shared" si="45"/>
        <v>2024</v>
      </c>
      <c r="Q14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55" s="19" t="str">
        <f>TEXT(Planning[[#This Row],[Mes]]*29,"mmmm")</f>
        <v>October</v>
      </c>
      <c r="S14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55" s="193"/>
      <c r="U1455" s="43">
        <f>IF(Planning[[#This Row],[Horas Planificadas]]&lt;&gt;0,+K1455/Planning[[#This Row],[Horas Planificadas]],0)</f>
        <v>0</v>
      </c>
      <c r="V1455" s="43">
        <f>IF(Planning[[#This Row],[Horas Planificadas]]&lt;&gt;0,Planning[[#This Row],[Horas utilizadas]]/Planning[[#This Row],[Horas Planificadas]],0)</f>
        <v>0</v>
      </c>
      <c r="W1455" s="44">
        <f>Planning[[#This Row],[Horas Planificadas]]+Planning[[#This Row],[Horas ajustadas adicionales]]</f>
        <v>0</v>
      </c>
      <c r="X1455" s="142"/>
    </row>
    <row r="1456" spans="1:24" ht="12.75" customHeight="1" x14ac:dyDescent="0.2">
      <c r="A1456" s="7" t="s">
        <v>177</v>
      </c>
      <c r="B1456" s="7" t="s">
        <v>205</v>
      </c>
      <c r="C1456" s="3"/>
      <c r="D1456" s="3" t="s">
        <v>367</v>
      </c>
      <c r="E1456" s="4"/>
      <c r="F1456" s="3" t="s">
        <v>127</v>
      </c>
      <c r="G1456" s="9"/>
      <c r="H1456" s="9">
        <v>54</v>
      </c>
      <c r="I1456" s="12"/>
      <c r="J1456" s="5" t="e">
        <f>SUM(SUMIFS(#REF!,#REF!,Planning[[#This Row],[Tipo de Tarea y especialidad]],#REF!,Planning[[#This Row],[Proyectos Reiwa]]),SUMIFS(#REF!,#REF!,Planning[[#This Row],[Tipo de Tarea y especialidad]],#REF!,Planning[[#This Row],[Proyectos]]))</f>
        <v>#REF!</v>
      </c>
      <c r="K1456" s="5" t="e">
        <f>Planning[[#This Row],[Horas Planificadas]]+Planning[[#This Row],[Horas ajustadas adicionales]]-Planning[[#This Row],[Horas utilizadas]]</f>
        <v>#REF!</v>
      </c>
      <c r="L1456" s="7">
        <v>0</v>
      </c>
      <c r="M1456" s="19" t="e">
        <f>Planning[[#This Row],[Saldo]]-Planning[[#This Row],[Saldo estimado]]</f>
        <v>#REF!</v>
      </c>
      <c r="N1456" s="60" t="e">
        <f>+SUMIFS(#REF!,#REF!,Planning[[#This Row],[Proyectos]],#REF!,Planning[[#This Row],[Tipo de Tarea y especialidad]])</f>
        <v>#REF!</v>
      </c>
      <c r="O1456" s="19">
        <f t="shared" si="44"/>
        <v>10</v>
      </c>
      <c r="P1456" s="19">
        <f t="shared" si="45"/>
        <v>2024</v>
      </c>
      <c r="Q14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56" s="19" t="str">
        <f>TEXT(Planning[[#This Row],[Mes]]*29,"mmmm")</f>
        <v>October</v>
      </c>
      <c r="S14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56" s="193"/>
      <c r="U1456" s="43" t="e">
        <f>IF(Planning[[#This Row],[Horas Planificadas]]&lt;&gt;0,+K1456/Planning[[#This Row],[Horas Planificadas]],0)</f>
        <v>#REF!</v>
      </c>
      <c r="V1456" s="43" t="e">
        <f>IF(Planning[[#This Row],[Horas Planificadas]]&lt;&gt;0,Planning[[#This Row],[Horas utilizadas]]/Planning[[#This Row],[Horas Planificadas]],0)</f>
        <v>#REF!</v>
      </c>
      <c r="W1456" s="44">
        <f>Planning[[#This Row],[Horas Planificadas]]+Planning[[#This Row],[Horas ajustadas adicionales]]</f>
        <v>54</v>
      </c>
      <c r="X1456" s="142"/>
    </row>
    <row r="1457" spans="1:24" ht="12.75" customHeight="1" x14ac:dyDescent="0.2">
      <c r="A1457" s="7" t="s">
        <v>177</v>
      </c>
      <c r="B1457" s="7" t="s">
        <v>205</v>
      </c>
      <c r="C1457" s="3"/>
      <c r="D1457" s="3" t="s">
        <v>367</v>
      </c>
      <c r="E1457" s="4"/>
      <c r="F1457" s="3" t="s">
        <v>128</v>
      </c>
      <c r="G1457" s="9"/>
      <c r="H1457" s="9"/>
      <c r="I1457" s="12"/>
      <c r="J1457" s="5" t="e">
        <f>SUM(SUMIFS(#REF!,#REF!,Planning[[#This Row],[Tipo de Tarea y especialidad]],#REF!,Planning[[#This Row],[Proyectos Reiwa]]),SUMIFS(#REF!,#REF!,Planning[[#This Row],[Tipo de Tarea y especialidad]],#REF!,Planning[[#This Row],[Proyectos]]))</f>
        <v>#REF!</v>
      </c>
      <c r="K1457" s="5" t="e">
        <f>Planning[[#This Row],[Horas Planificadas]]+Planning[[#This Row],[Horas ajustadas adicionales]]-Planning[[#This Row],[Horas utilizadas]]</f>
        <v>#REF!</v>
      </c>
      <c r="L1457" s="7">
        <v>0</v>
      </c>
      <c r="M1457" s="19" t="e">
        <f>Planning[[#This Row],[Saldo]]-Planning[[#This Row],[Saldo estimado]]</f>
        <v>#REF!</v>
      </c>
      <c r="N1457" s="60" t="e">
        <f>+SUMIFS(#REF!,#REF!,Planning[[#This Row],[Proyectos]],#REF!,Planning[[#This Row],[Tipo de Tarea y especialidad]])</f>
        <v>#REF!</v>
      </c>
      <c r="O1457" s="19">
        <f t="shared" si="44"/>
        <v>10</v>
      </c>
      <c r="P1457" s="19">
        <f t="shared" si="45"/>
        <v>2024</v>
      </c>
      <c r="Q14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57" s="19" t="str">
        <f>TEXT(Planning[[#This Row],[Mes]]*29,"mmmm")</f>
        <v>October</v>
      </c>
      <c r="S14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57" s="193"/>
      <c r="U1457" s="43">
        <f>IF(Planning[[#This Row],[Horas Planificadas]]&lt;&gt;0,+K1457/Planning[[#This Row],[Horas Planificadas]],0)</f>
        <v>0</v>
      </c>
      <c r="V1457" s="43">
        <f>IF(Planning[[#This Row],[Horas Planificadas]]&lt;&gt;0,Planning[[#This Row],[Horas utilizadas]]/Planning[[#This Row],[Horas Planificadas]],0)</f>
        <v>0</v>
      </c>
      <c r="W1457" s="44">
        <f>Planning[[#This Row],[Horas Planificadas]]+Planning[[#This Row],[Horas ajustadas adicionales]]</f>
        <v>0</v>
      </c>
      <c r="X1457" s="142"/>
    </row>
    <row r="1458" spans="1:24" ht="12.75" customHeight="1" x14ac:dyDescent="0.2">
      <c r="A1458" s="7" t="s">
        <v>177</v>
      </c>
      <c r="B1458" s="7" t="s">
        <v>205</v>
      </c>
      <c r="C1458" s="3"/>
      <c r="D1458" s="3" t="s">
        <v>367</v>
      </c>
      <c r="E1458" s="4" t="s">
        <v>31</v>
      </c>
      <c r="F1458" s="3" t="s">
        <v>31</v>
      </c>
      <c r="G1458" s="9">
        <v>244</v>
      </c>
      <c r="H1458" s="18">
        <v>244</v>
      </c>
      <c r="I1458" s="18"/>
      <c r="J1458" s="14" t="e">
        <f>+SUMIFS(#REF!,#REF!,Planning[[#This Row],[Tarifa]],#REF!,Planning[[#This Row],[Proyectos]])</f>
        <v>#REF!</v>
      </c>
      <c r="K1458" s="24" t="e">
        <f>Planning[[#This Row],[Horas Planificadas]]+Planning[[#This Row],[Horas ajustadas adicionales]]-Planning[[#This Row],[Horas utilizadas]]</f>
        <v>#REF!</v>
      </c>
      <c r="L1458" s="15">
        <v>0</v>
      </c>
      <c r="M1458" s="16" t="e">
        <f>Planning[[#This Row],[Saldo]]-Planning[[#This Row],[Saldo estimado]]</f>
        <v>#REF!</v>
      </c>
      <c r="N1458" s="60" t="e">
        <f>+SUMIFS(#REF!,#REF!,Planning[[#This Row],[Proyectos]],#REF!,Planning[[#This Row],[Tipo de Tarea y especialidad]])</f>
        <v>#REF!</v>
      </c>
      <c r="O1458" s="16">
        <f t="shared" si="44"/>
        <v>10</v>
      </c>
      <c r="P1458" s="16">
        <f t="shared" si="45"/>
        <v>2024</v>
      </c>
      <c r="Q1458" s="16" t="e">
        <f>+SUMIFS(#REF!,#REF!,Planning[[#This Row],[Tarifa]],#REF!,Planning[[#This Row],[Proyectos]],#REF!,Planning[[#This Row],[Mes]],#REF!,Planning[[#This Row],[Año]])</f>
        <v>#REF!</v>
      </c>
      <c r="R1458" s="16" t="str">
        <f>TEXT(Planning[[#This Row],[Mes]]*29,"mmmm")</f>
        <v>October</v>
      </c>
      <c r="S14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58" s="193"/>
      <c r="U1458" s="43" t="e">
        <f>IF(Planning[[#This Row],[Horas Planificadas]]&lt;&gt;0,+K1458/Planning[[#This Row],[Horas Planificadas]],0)</f>
        <v>#REF!</v>
      </c>
      <c r="V1458" s="43" t="e">
        <f>IF(Planning[[#This Row],[Horas Planificadas]]&lt;&gt;0,Planning[[#This Row],[Horas utilizadas]]/Planning[[#This Row],[Horas Planificadas]],0)</f>
        <v>#REF!</v>
      </c>
      <c r="W1458" s="44">
        <f>Planning[[#This Row],[Horas Planificadas]]+Planning[[#This Row],[Horas ajustadas adicionales]]</f>
        <v>244</v>
      </c>
      <c r="X1458" s="142"/>
    </row>
    <row r="1459" spans="1:24" ht="12.75" customHeight="1" x14ac:dyDescent="0.2">
      <c r="A1459" s="7" t="s">
        <v>177</v>
      </c>
      <c r="B1459" s="7" t="s">
        <v>205</v>
      </c>
      <c r="C1459" s="3"/>
      <c r="D1459" s="3" t="s">
        <v>367</v>
      </c>
      <c r="E1459" s="4" t="s">
        <v>32</v>
      </c>
      <c r="F1459" s="3"/>
      <c r="G1459" s="9">
        <v>288</v>
      </c>
      <c r="H1459" s="25">
        <f>SUM(H1460:H1462)</f>
        <v>288</v>
      </c>
      <c r="I1459" s="14"/>
      <c r="J1459" s="14" t="e">
        <f>SUM(J1460:J1462)</f>
        <v>#REF!</v>
      </c>
      <c r="K1459" s="18" t="e">
        <f>SUM(K1460:K1462)</f>
        <v>#REF!</v>
      </c>
      <c r="L1459" s="15">
        <f>SUM(L1460:L1462)</f>
        <v>0</v>
      </c>
      <c r="M1459" s="16" t="e">
        <f>SUM(M1460:M1462)</f>
        <v>#REF!</v>
      </c>
      <c r="N1459" s="60" t="e">
        <f>+SUMIFS(#REF!,#REF!,Planning[[#This Row],[Proyectos]],#REF!,Planning[[#This Row],[Tipo de Tarea y especialidad]])</f>
        <v>#REF!</v>
      </c>
      <c r="O1459" s="16">
        <f t="shared" si="44"/>
        <v>10</v>
      </c>
      <c r="P1459" s="16">
        <f t="shared" si="45"/>
        <v>2024</v>
      </c>
      <c r="Q1459" s="16" t="e">
        <f>SUM(Q1460:Q1462)</f>
        <v>#REF!</v>
      </c>
      <c r="R1459" s="16" t="str">
        <f>TEXT(Planning[[#This Row],[Mes]]*29,"mmmm")</f>
        <v>October</v>
      </c>
      <c r="S14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59" s="193"/>
      <c r="U1459" s="43" t="e">
        <f>IF(Planning[[#This Row],[Horas Planificadas]]&lt;&gt;0,+K1459/Planning[[#This Row],[Horas Planificadas]],0)</f>
        <v>#REF!</v>
      </c>
      <c r="V1459" s="43" t="e">
        <f>IF(Planning[[#This Row],[Horas Planificadas]]&lt;&gt;0,Planning[[#This Row],[Horas utilizadas]]/Planning[[#This Row],[Horas Planificadas]],0)</f>
        <v>#REF!</v>
      </c>
      <c r="W1459" s="44">
        <f>Planning[[#This Row],[Horas Planificadas]]+Planning[[#This Row],[Horas ajustadas adicionales]]</f>
        <v>288</v>
      </c>
      <c r="X1459" s="142"/>
    </row>
    <row r="1460" spans="1:24" ht="12.75" customHeight="1" x14ac:dyDescent="0.2">
      <c r="A1460" s="7" t="s">
        <v>177</v>
      </c>
      <c r="B1460" s="7" t="s">
        <v>205</v>
      </c>
      <c r="C1460" s="3"/>
      <c r="D1460" s="3" t="s">
        <v>367</v>
      </c>
      <c r="E1460" s="4"/>
      <c r="F1460" s="3" t="s">
        <v>129</v>
      </c>
      <c r="G1460" s="9"/>
      <c r="H1460" s="9"/>
      <c r="I1460" s="12"/>
      <c r="J1460" s="5" t="e">
        <f>SUM(SUMIFS(#REF!,#REF!,Planning[[#This Row],[Tipo de Tarea y especialidad]],#REF!,Planning[[#This Row],[Proyectos Reiwa]]),SUMIFS(#REF!,#REF!,Planning[[#This Row],[Tipo de Tarea y especialidad]],#REF!,Planning[[#This Row],[Proyectos]]))</f>
        <v>#REF!</v>
      </c>
      <c r="K1460" s="5" t="e">
        <f>Planning[[#This Row],[Horas Planificadas]]+Planning[[#This Row],[Horas ajustadas adicionales]]-Planning[[#This Row],[Horas utilizadas]]</f>
        <v>#REF!</v>
      </c>
      <c r="L1460" s="7"/>
      <c r="M1460" s="19" t="e">
        <f>Planning[[#This Row],[Saldo]]-Planning[[#This Row],[Saldo estimado]]</f>
        <v>#REF!</v>
      </c>
      <c r="N1460" s="60" t="e">
        <f>+SUMIFS(#REF!,#REF!,Planning[[#This Row],[Proyectos]],#REF!,Planning[[#This Row],[Tipo de Tarea y especialidad]])</f>
        <v>#REF!</v>
      </c>
      <c r="O1460" s="19">
        <f t="shared" si="44"/>
        <v>10</v>
      </c>
      <c r="P1460" s="19">
        <f t="shared" si="45"/>
        <v>2024</v>
      </c>
      <c r="Q14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60" s="19" t="str">
        <f>TEXT(Planning[[#This Row],[Mes]]*29,"mmmm")</f>
        <v>October</v>
      </c>
      <c r="S14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60" s="193"/>
      <c r="U1460" s="43">
        <f>IF(Planning[[#This Row],[Horas Planificadas]]&lt;&gt;0,+K1460/Planning[[#This Row],[Horas Planificadas]],0)</f>
        <v>0</v>
      </c>
      <c r="V1460" s="43">
        <f>IF(Planning[[#This Row],[Horas Planificadas]]&lt;&gt;0,Planning[[#This Row],[Horas utilizadas]]/Planning[[#This Row],[Horas Planificadas]],0)</f>
        <v>0</v>
      </c>
      <c r="W1460" s="44">
        <f>Planning[[#This Row],[Horas Planificadas]]+Planning[[#This Row],[Horas ajustadas adicionales]]</f>
        <v>0</v>
      </c>
      <c r="X1460" s="142"/>
    </row>
    <row r="1461" spans="1:24" ht="12.75" customHeight="1" x14ac:dyDescent="0.2">
      <c r="A1461" s="7" t="s">
        <v>177</v>
      </c>
      <c r="B1461" s="7" t="s">
        <v>205</v>
      </c>
      <c r="C1461" s="3"/>
      <c r="D1461" s="3" t="s">
        <v>367</v>
      </c>
      <c r="E1461" s="4"/>
      <c r="F1461" s="3" t="s">
        <v>130</v>
      </c>
      <c r="G1461" s="9"/>
      <c r="H1461" s="9">
        <v>180</v>
      </c>
      <c r="I1461" s="12"/>
      <c r="J1461" s="5" t="e">
        <f>SUM(SUMIFS(#REF!,#REF!,Planning[[#This Row],[Tipo de Tarea y especialidad]],#REF!,Planning[[#This Row],[Proyectos Reiwa]]),SUMIFS(#REF!,#REF!,Planning[[#This Row],[Tipo de Tarea y especialidad]],#REF!,Planning[[#This Row],[Proyectos]]))</f>
        <v>#REF!</v>
      </c>
      <c r="K1461" s="5" t="e">
        <f>Planning[[#This Row],[Horas Planificadas]]+Planning[[#This Row],[Horas ajustadas adicionales]]-Planning[[#This Row],[Horas utilizadas]]</f>
        <v>#REF!</v>
      </c>
      <c r="L1461" s="7">
        <v>0</v>
      </c>
      <c r="M1461" s="19" t="e">
        <f>Planning[[#This Row],[Saldo]]-Planning[[#This Row],[Saldo estimado]]</f>
        <v>#REF!</v>
      </c>
      <c r="N1461" s="60" t="e">
        <f>+SUMIFS(#REF!,#REF!,Planning[[#This Row],[Proyectos]],#REF!,Planning[[#This Row],[Tipo de Tarea y especialidad]])</f>
        <v>#REF!</v>
      </c>
      <c r="O1461" s="19">
        <f t="shared" si="44"/>
        <v>10</v>
      </c>
      <c r="P1461" s="19">
        <f t="shared" si="45"/>
        <v>2024</v>
      </c>
      <c r="Q14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61" s="19" t="str">
        <f>TEXT(Planning[[#This Row],[Mes]]*29,"mmmm")</f>
        <v>October</v>
      </c>
      <c r="S14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61" s="193"/>
      <c r="U1461" s="43" t="e">
        <f>IF(Planning[[#This Row],[Horas Planificadas]]&lt;&gt;0,+K1461/Planning[[#This Row],[Horas Planificadas]],0)</f>
        <v>#REF!</v>
      </c>
      <c r="V1461" s="43" t="e">
        <f>IF(Planning[[#This Row],[Horas Planificadas]]&lt;&gt;0,Planning[[#This Row],[Horas utilizadas]]/Planning[[#This Row],[Horas Planificadas]],0)</f>
        <v>#REF!</v>
      </c>
      <c r="W1461" s="44">
        <f>Planning[[#This Row],[Horas Planificadas]]+Planning[[#This Row],[Horas ajustadas adicionales]]</f>
        <v>180</v>
      </c>
      <c r="X1461" s="142"/>
    </row>
    <row r="1462" spans="1:24" ht="12.75" customHeight="1" x14ac:dyDescent="0.2">
      <c r="A1462" s="7" t="s">
        <v>177</v>
      </c>
      <c r="B1462" s="7" t="s">
        <v>205</v>
      </c>
      <c r="C1462" s="3"/>
      <c r="D1462" s="3" t="s">
        <v>367</v>
      </c>
      <c r="E1462" s="4"/>
      <c r="F1462" s="3" t="s">
        <v>131</v>
      </c>
      <c r="G1462" s="9"/>
      <c r="H1462" s="9">
        <v>108</v>
      </c>
      <c r="I1462" s="12"/>
      <c r="J1462" s="5" t="e">
        <f>SUM(SUMIFS(#REF!,#REF!,Planning[[#This Row],[Tipo de Tarea y especialidad]],#REF!,Planning[[#This Row],[Proyectos Reiwa]]),SUMIFS(#REF!,#REF!,Planning[[#This Row],[Tipo de Tarea y especialidad]],#REF!,Planning[[#This Row],[Proyectos]]))</f>
        <v>#REF!</v>
      </c>
      <c r="K1462" s="5" t="e">
        <f>Planning[[#This Row],[Horas Planificadas]]+Planning[[#This Row],[Horas ajustadas adicionales]]-Planning[[#This Row],[Horas utilizadas]]</f>
        <v>#REF!</v>
      </c>
      <c r="L1462" s="7">
        <v>0</v>
      </c>
      <c r="M1462" s="19" t="e">
        <f>Planning[[#This Row],[Saldo]]-Planning[[#This Row],[Saldo estimado]]</f>
        <v>#REF!</v>
      </c>
      <c r="N1462" s="60" t="e">
        <f>+SUMIFS(#REF!,#REF!,Planning[[#This Row],[Proyectos]],#REF!,Planning[[#This Row],[Tipo de Tarea y especialidad]])</f>
        <v>#REF!</v>
      </c>
      <c r="O1462" s="19">
        <f t="shared" si="44"/>
        <v>10</v>
      </c>
      <c r="P1462" s="19">
        <f t="shared" si="45"/>
        <v>2024</v>
      </c>
      <c r="Q14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62" s="19" t="str">
        <f>TEXT(Planning[[#This Row],[Mes]]*29,"mmmm")</f>
        <v>October</v>
      </c>
      <c r="S14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62" s="193"/>
      <c r="U1462" s="43" t="e">
        <f>IF(Planning[[#This Row],[Horas Planificadas]]&lt;&gt;0,+K1462/Planning[[#This Row],[Horas Planificadas]],0)</f>
        <v>#REF!</v>
      </c>
      <c r="V1462" s="43" t="e">
        <f>IF(Planning[[#This Row],[Horas Planificadas]]&lt;&gt;0,Planning[[#This Row],[Horas utilizadas]]/Planning[[#This Row],[Horas Planificadas]],0)</f>
        <v>#REF!</v>
      </c>
      <c r="W1462" s="44">
        <f>Planning[[#This Row],[Horas Planificadas]]+Planning[[#This Row],[Horas ajustadas adicionales]]</f>
        <v>108</v>
      </c>
      <c r="X1462" s="142"/>
    </row>
    <row r="1463" spans="1:24" ht="12.75" customHeight="1" x14ac:dyDescent="0.2">
      <c r="A1463" s="7"/>
      <c r="B1463" s="7"/>
      <c r="C1463" s="3"/>
      <c r="D1463" s="3" t="s">
        <v>369</v>
      </c>
      <c r="E1463" s="4" t="s">
        <v>28</v>
      </c>
      <c r="F1463" s="3"/>
      <c r="G1463" s="9"/>
      <c r="H1463" s="9">
        <v>860</v>
      </c>
      <c r="I1463" s="12"/>
      <c r="J1463" s="5" t="e">
        <f>+SUMIFS(#REF!,#REF!,Planning[[#This Row],[Tarifa]],#REF!,Planning[[#This Row],[Proyectos]])</f>
        <v>#REF!</v>
      </c>
      <c r="K1463" s="5" t="e">
        <f>Planning[[#This Row],[Horas Planificadas]]+Planning[[#This Row],[Horas ajustadas adicionales]]-Planning[[#This Row],[Horas utilizadas]]</f>
        <v>#REF!</v>
      </c>
      <c r="L1463" s="7"/>
      <c r="M1463" s="19" t="e">
        <f>Planning[[#This Row],[Saldo]]-Planning[[#This Row],[Saldo estimado]]</f>
        <v>#REF!</v>
      </c>
      <c r="N1463" s="60" t="e">
        <f>+SUMIFS(#REF!,#REF!,Planning[[#This Row],[Proyectos]],#REF!,Planning[[#This Row],[Tipo de Tarea y especialidad]])</f>
        <v>#REF!</v>
      </c>
      <c r="O1463" s="19">
        <f t="shared" si="44"/>
        <v>10</v>
      </c>
      <c r="P1463" s="19">
        <f t="shared" si="45"/>
        <v>2024</v>
      </c>
      <c r="Q1463" s="19" t="e">
        <f>+SUMIFS(#REF!,#REF!,Planning[[#This Row],[Tarifa]],#REF!,Planning[[#This Row],[Proyectos]],#REF!,Planning[[#This Row],[Mes]],#REF!,Planning[[#This Row],[Año]])</f>
        <v>#REF!</v>
      </c>
      <c r="R1463" s="19" t="str">
        <f>TEXT(Planning[[#This Row],[Mes]]*29,"mmmm")</f>
        <v>October</v>
      </c>
      <c r="S14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63" s="228"/>
      <c r="U1463" s="43" t="e">
        <f>IF(Planning[[#This Row],[Horas Planificadas]]&lt;&gt;0,+K1463/Planning[[#This Row],[Horas Planificadas]],0)</f>
        <v>#REF!</v>
      </c>
      <c r="V1463" s="43" t="e">
        <f>IF(Planning[[#This Row],[Horas Planificadas]]&lt;&gt;0,Planning[[#This Row],[Horas utilizadas]]/Planning[[#This Row],[Horas Planificadas]],0)</f>
        <v>#REF!</v>
      </c>
      <c r="W1463" s="44">
        <f>Planning[[#This Row],[Horas Planificadas]]+Planning[[#This Row],[Horas ajustadas adicionales]]</f>
        <v>860</v>
      </c>
      <c r="X1463" s="142"/>
    </row>
    <row r="1464" spans="1:24" ht="12.75" customHeight="1" x14ac:dyDescent="0.2">
      <c r="A1464" s="7"/>
      <c r="B1464" s="7"/>
      <c r="C1464" s="3"/>
      <c r="D1464" s="3" t="s">
        <v>369</v>
      </c>
      <c r="E1464" s="4" t="s">
        <v>30</v>
      </c>
      <c r="F1464" s="3"/>
      <c r="G1464" s="9"/>
      <c r="H1464" s="9">
        <v>924</v>
      </c>
      <c r="I1464" s="12"/>
      <c r="J1464" s="5" t="e">
        <f>+SUMIFS(#REF!,#REF!,Planning[[#This Row],[Tarifa]],#REF!,Planning[[#This Row],[Proyectos]])</f>
        <v>#REF!</v>
      </c>
      <c r="K1464" s="5" t="e">
        <f>Planning[[#This Row],[Horas Planificadas]]+Planning[[#This Row],[Horas ajustadas adicionales]]-Planning[[#This Row],[Horas utilizadas]]</f>
        <v>#REF!</v>
      </c>
      <c r="L1464" s="7"/>
      <c r="M1464" s="19" t="e">
        <f>Planning[[#This Row],[Saldo]]-Planning[[#This Row],[Saldo estimado]]</f>
        <v>#REF!</v>
      </c>
      <c r="N1464" s="60" t="e">
        <f>+SUMIFS(#REF!,#REF!,Planning[[#This Row],[Proyectos]],#REF!,Planning[[#This Row],[Tipo de Tarea y especialidad]])</f>
        <v>#REF!</v>
      </c>
      <c r="O1464" s="19">
        <f t="shared" si="44"/>
        <v>10</v>
      </c>
      <c r="P1464" s="19">
        <f t="shared" si="45"/>
        <v>2024</v>
      </c>
      <c r="Q1464" s="19" t="e">
        <f>+SUMIFS(#REF!,#REF!,Planning[[#This Row],[Tarifa]],#REF!,Planning[[#This Row],[Proyectos]],#REF!,Planning[[#This Row],[Mes]],#REF!,Planning[[#This Row],[Año]])</f>
        <v>#REF!</v>
      </c>
      <c r="R1464" s="19" t="str">
        <f>TEXT(Planning[[#This Row],[Mes]]*29,"mmmm")</f>
        <v>October</v>
      </c>
      <c r="S14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64" s="228"/>
      <c r="U1464" s="43" t="e">
        <f>IF(Planning[[#This Row],[Horas Planificadas]]&lt;&gt;0,+K1464/Planning[[#This Row],[Horas Planificadas]],0)</f>
        <v>#REF!</v>
      </c>
      <c r="V1464" s="43" t="e">
        <f>IF(Planning[[#This Row],[Horas Planificadas]]&lt;&gt;0,Planning[[#This Row],[Horas utilizadas]]/Planning[[#This Row],[Horas Planificadas]],0)</f>
        <v>#REF!</v>
      </c>
      <c r="W1464" s="44">
        <f>Planning[[#This Row],[Horas Planificadas]]+Planning[[#This Row],[Horas ajustadas adicionales]]</f>
        <v>924</v>
      </c>
      <c r="X1464" s="142"/>
    </row>
    <row r="1465" spans="1:24" ht="12.75" customHeight="1" x14ac:dyDescent="0.2">
      <c r="A1465" s="7"/>
      <c r="B1465" s="7"/>
      <c r="C1465" s="3"/>
      <c r="D1465" s="3" t="s">
        <v>369</v>
      </c>
      <c r="E1465" s="4" t="s">
        <v>31</v>
      </c>
      <c r="F1465" s="3"/>
      <c r="G1465" s="9"/>
      <c r="H1465" s="9">
        <v>234</v>
      </c>
      <c r="I1465" s="12"/>
      <c r="J1465" s="5" t="e">
        <f>+SUMIFS(#REF!,#REF!,Planning[[#This Row],[Tarifa]],#REF!,Planning[[#This Row],[Proyectos]])</f>
        <v>#REF!</v>
      </c>
      <c r="K1465" s="5" t="e">
        <f>Planning[[#This Row],[Horas Planificadas]]+Planning[[#This Row],[Horas ajustadas adicionales]]-Planning[[#This Row],[Horas utilizadas]]</f>
        <v>#REF!</v>
      </c>
      <c r="L1465" s="7"/>
      <c r="M1465" s="19" t="e">
        <f>Planning[[#This Row],[Saldo]]-Planning[[#This Row],[Saldo estimado]]</f>
        <v>#REF!</v>
      </c>
      <c r="N1465" s="60" t="e">
        <f>+SUMIFS(#REF!,#REF!,Planning[[#This Row],[Proyectos]],#REF!,Planning[[#This Row],[Tipo de Tarea y especialidad]])</f>
        <v>#REF!</v>
      </c>
      <c r="O1465" s="19">
        <f t="shared" si="44"/>
        <v>10</v>
      </c>
      <c r="P1465" s="19">
        <f t="shared" si="45"/>
        <v>2024</v>
      </c>
      <c r="Q1465" s="19" t="e">
        <f>+SUMIFS(#REF!,#REF!,Planning[[#This Row],[Tarifa]],#REF!,Planning[[#This Row],[Proyectos]],#REF!,Planning[[#This Row],[Mes]],#REF!,Planning[[#This Row],[Año]])</f>
        <v>#REF!</v>
      </c>
      <c r="R1465" s="19" t="str">
        <f>TEXT(Planning[[#This Row],[Mes]]*29,"mmmm")</f>
        <v>October</v>
      </c>
      <c r="S14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65" s="228"/>
      <c r="U1465" s="43" t="e">
        <f>IF(Planning[[#This Row],[Horas Planificadas]]&lt;&gt;0,+K1465/Planning[[#This Row],[Horas Planificadas]],0)</f>
        <v>#REF!</v>
      </c>
      <c r="V1465" s="43" t="e">
        <f>IF(Planning[[#This Row],[Horas Planificadas]]&lt;&gt;0,Planning[[#This Row],[Horas utilizadas]]/Planning[[#This Row],[Horas Planificadas]],0)</f>
        <v>#REF!</v>
      </c>
      <c r="W1465" s="44">
        <f>Planning[[#This Row],[Horas Planificadas]]+Planning[[#This Row],[Horas ajustadas adicionales]]</f>
        <v>234</v>
      </c>
      <c r="X1465" s="142"/>
    </row>
    <row r="1466" spans="1:24" ht="12.75" customHeight="1" x14ac:dyDescent="0.2">
      <c r="A1466" s="7"/>
      <c r="B1466" s="7"/>
      <c r="C1466" s="3"/>
      <c r="D1466" s="3" t="s">
        <v>369</v>
      </c>
      <c r="E1466" s="4" t="s">
        <v>32</v>
      </c>
      <c r="F1466" s="3"/>
      <c r="G1466" s="9"/>
      <c r="H1466" s="9">
        <v>668</v>
      </c>
      <c r="I1466" s="12"/>
      <c r="J1466" s="5" t="e">
        <f>+SUMIFS(#REF!,#REF!,Planning[[#This Row],[Tarifa]],#REF!,Planning[[#This Row],[Proyectos]])</f>
        <v>#REF!</v>
      </c>
      <c r="K1466" s="5" t="e">
        <f>Planning[[#This Row],[Horas Planificadas]]+Planning[[#This Row],[Horas ajustadas adicionales]]-Planning[[#This Row],[Horas utilizadas]]</f>
        <v>#REF!</v>
      </c>
      <c r="L1466" s="7"/>
      <c r="M1466" s="19" t="e">
        <f>Planning[[#This Row],[Saldo]]-Planning[[#This Row],[Saldo estimado]]</f>
        <v>#REF!</v>
      </c>
      <c r="N1466" s="60" t="e">
        <f>+SUMIFS(#REF!,#REF!,Planning[[#This Row],[Proyectos]],#REF!,Planning[[#This Row],[Tipo de Tarea y especialidad]])</f>
        <v>#REF!</v>
      </c>
      <c r="O1466" s="19">
        <f t="shared" si="44"/>
        <v>10</v>
      </c>
      <c r="P1466" s="19">
        <f t="shared" si="45"/>
        <v>2024</v>
      </c>
      <c r="Q1466" s="19" t="e">
        <f>+SUMIFS(#REF!,#REF!,Planning[[#This Row],[Tarifa]],#REF!,Planning[[#This Row],[Proyectos]],#REF!,Planning[[#This Row],[Mes]],#REF!,Planning[[#This Row],[Año]])</f>
        <v>#REF!</v>
      </c>
      <c r="R1466" s="19" t="str">
        <f>TEXT(Planning[[#This Row],[Mes]]*29,"mmmm")</f>
        <v>October</v>
      </c>
      <c r="S14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66" s="228"/>
      <c r="U1466" s="43" t="e">
        <f>IF(Planning[[#This Row],[Horas Planificadas]]&lt;&gt;0,+K1466/Planning[[#This Row],[Horas Planificadas]],0)</f>
        <v>#REF!</v>
      </c>
      <c r="V1466" s="43" t="e">
        <f>IF(Planning[[#This Row],[Horas Planificadas]]&lt;&gt;0,Planning[[#This Row],[Horas utilizadas]]/Planning[[#This Row],[Horas Planificadas]],0)</f>
        <v>#REF!</v>
      </c>
      <c r="W1466" s="44">
        <f>Planning[[#This Row],[Horas Planificadas]]+Planning[[#This Row],[Horas ajustadas adicionales]]</f>
        <v>668</v>
      </c>
      <c r="X1466" s="142"/>
    </row>
    <row r="1467" spans="1:24" ht="12.75" customHeight="1" x14ac:dyDescent="0.2">
      <c r="A1467" s="7"/>
      <c r="B1467" s="7"/>
      <c r="C1467" s="3"/>
      <c r="D1467" s="3" t="s">
        <v>370</v>
      </c>
      <c r="E1467" s="4" t="s">
        <v>28</v>
      </c>
      <c r="F1467" s="3"/>
      <c r="G1467" s="9"/>
      <c r="H1467" s="12">
        <v>0</v>
      </c>
      <c r="I1467" s="12"/>
      <c r="J1467" s="5" t="e">
        <f>+SUMIFS(#REF!,#REF!,Planning[[#This Row],[Tarifa]],#REF!,Planning[[#This Row],[Proyectos]])</f>
        <v>#REF!</v>
      </c>
      <c r="K1467" s="27" t="e">
        <f>Planning[[#This Row],[Horas Planificadas]]+Planning[[#This Row],[Horas ajustadas adicionales]]-Planning[[#This Row],[Horas utilizadas]]</f>
        <v>#REF!</v>
      </c>
      <c r="L1467" s="7"/>
      <c r="M1467" s="19" t="e">
        <f>Planning[[#This Row],[Saldo]]-Planning[[#This Row],[Saldo estimado]]</f>
        <v>#REF!</v>
      </c>
      <c r="N1467" s="60" t="e">
        <f>+SUMIFS(#REF!,#REF!,Planning[[#This Row],[Proyectos]],#REF!,Planning[[#This Row],[Tipo de Tarea y especialidad]])</f>
        <v>#REF!</v>
      </c>
      <c r="O1467" s="19">
        <f t="shared" si="44"/>
        <v>10</v>
      </c>
      <c r="P1467" s="19">
        <f t="shared" si="45"/>
        <v>2024</v>
      </c>
      <c r="Q1467" s="19" t="e">
        <f>+SUMIFS(#REF!,#REF!,Planning[[#This Row],[Tarifa]],#REF!,Planning[[#This Row],[Proyectos]],#REF!,Planning[[#This Row],[Mes]],#REF!,Planning[[#This Row],[Año]])</f>
        <v>#REF!</v>
      </c>
      <c r="R1467" s="19" t="str">
        <f>TEXT(Planning[[#This Row],[Mes]]*29,"mmmm")</f>
        <v>October</v>
      </c>
      <c r="S14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67" s="228"/>
      <c r="U1467" s="43">
        <f>IF(Planning[[#This Row],[Horas Planificadas]]&lt;&gt;0,+K1467/Planning[[#This Row],[Horas Planificadas]],0)</f>
        <v>0</v>
      </c>
      <c r="V1467" s="43">
        <f>IF(Planning[[#This Row],[Horas Planificadas]]&lt;&gt;0,Planning[[#This Row],[Horas utilizadas]]/Planning[[#This Row],[Horas Planificadas]],0)</f>
        <v>0</v>
      </c>
      <c r="W1467" s="44">
        <f>Planning[[#This Row],[Horas Planificadas]]+Planning[[#This Row],[Horas ajustadas adicionales]]</f>
        <v>0</v>
      </c>
      <c r="X1467" s="142"/>
    </row>
    <row r="1468" spans="1:24" ht="12.75" customHeight="1" x14ac:dyDescent="0.2">
      <c r="A1468" s="7"/>
      <c r="B1468" s="7"/>
      <c r="C1468" s="3"/>
      <c r="D1468" s="3" t="s">
        <v>370</v>
      </c>
      <c r="E1468" s="4" t="s">
        <v>30</v>
      </c>
      <c r="F1468" s="3"/>
      <c r="G1468" s="9"/>
      <c r="H1468" s="9">
        <v>0</v>
      </c>
      <c r="I1468" s="12"/>
      <c r="J1468" s="5" t="e">
        <f>+SUMIFS(#REF!,#REF!,Planning[[#This Row],[Tarifa]],#REF!,Planning[[#This Row],[Proyectos]])</f>
        <v>#REF!</v>
      </c>
      <c r="K1468" s="5" t="e">
        <f>Planning[[#This Row],[Horas Planificadas]]+Planning[[#This Row],[Horas ajustadas adicionales]]-Planning[[#This Row],[Horas utilizadas]]</f>
        <v>#REF!</v>
      </c>
      <c r="L1468" s="7"/>
      <c r="M1468" s="19" t="e">
        <f>Planning[[#This Row],[Saldo]]-Planning[[#This Row],[Saldo estimado]]</f>
        <v>#REF!</v>
      </c>
      <c r="N1468" s="60" t="e">
        <f>+SUMIFS(#REF!,#REF!,Planning[[#This Row],[Proyectos]],#REF!,Planning[[#This Row],[Tipo de Tarea y especialidad]])</f>
        <v>#REF!</v>
      </c>
      <c r="O1468" s="19">
        <f t="shared" si="44"/>
        <v>10</v>
      </c>
      <c r="P1468" s="19">
        <f t="shared" si="45"/>
        <v>2024</v>
      </c>
      <c r="Q1468" s="19" t="e">
        <f>+SUMIFS(#REF!,#REF!,Planning[[#This Row],[Tarifa]],#REF!,Planning[[#This Row],[Proyectos]],#REF!,Planning[[#This Row],[Mes]],#REF!,Planning[[#This Row],[Año]])</f>
        <v>#REF!</v>
      </c>
      <c r="R1468" s="19" t="str">
        <f>TEXT(Planning[[#This Row],[Mes]]*29,"mmmm")</f>
        <v>October</v>
      </c>
      <c r="S14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68" s="228"/>
      <c r="U1468" s="43">
        <f>IF(Planning[[#This Row],[Horas Planificadas]]&lt;&gt;0,+K1468/Planning[[#This Row],[Horas Planificadas]],0)</f>
        <v>0</v>
      </c>
      <c r="V1468" s="43">
        <f>IF(Planning[[#This Row],[Horas Planificadas]]&lt;&gt;0,Planning[[#This Row],[Horas utilizadas]]/Planning[[#This Row],[Horas Planificadas]],0)</f>
        <v>0</v>
      </c>
      <c r="W1468" s="44">
        <f>Planning[[#This Row],[Horas Planificadas]]+Planning[[#This Row],[Horas ajustadas adicionales]]</f>
        <v>0</v>
      </c>
      <c r="X1468" s="142"/>
    </row>
    <row r="1469" spans="1:24" ht="12.75" customHeight="1" x14ac:dyDescent="0.2">
      <c r="A1469" s="7"/>
      <c r="B1469" s="7"/>
      <c r="C1469" s="3"/>
      <c r="D1469" s="3" t="s">
        <v>370</v>
      </c>
      <c r="E1469" s="4" t="s">
        <v>31</v>
      </c>
      <c r="F1469" s="3"/>
      <c r="G1469" s="9"/>
      <c r="H1469" s="9">
        <v>18</v>
      </c>
      <c r="I1469" s="12"/>
      <c r="J1469" s="5" t="e">
        <f>+SUMIFS(#REF!,#REF!,Planning[[#This Row],[Tarifa]],#REF!,Planning[[#This Row],[Proyectos]])</f>
        <v>#REF!</v>
      </c>
      <c r="K1469" s="5" t="e">
        <f>Planning[[#This Row],[Horas Planificadas]]+Planning[[#This Row],[Horas ajustadas adicionales]]-Planning[[#This Row],[Horas utilizadas]]</f>
        <v>#REF!</v>
      </c>
      <c r="L1469" s="7"/>
      <c r="M1469" s="19" t="e">
        <f>Planning[[#This Row],[Saldo]]-Planning[[#This Row],[Saldo estimado]]</f>
        <v>#REF!</v>
      </c>
      <c r="N1469" s="60" t="e">
        <f>+SUMIFS(#REF!,#REF!,Planning[[#This Row],[Proyectos]],#REF!,Planning[[#This Row],[Tipo de Tarea y especialidad]])</f>
        <v>#REF!</v>
      </c>
      <c r="O1469" s="19">
        <f t="shared" si="44"/>
        <v>10</v>
      </c>
      <c r="P1469" s="19">
        <f t="shared" si="45"/>
        <v>2024</v>
      </c>
      <c r="Q1469" s="19" t="e">
        <f>+SUMIFS(#REF!,#REF!,Planning[[#This Row],[Tarifa]],#REF!,Planning[[#This Row],[Proyectos]],#REF!,Planning[[#This Row],[Mes]],#REF!,Planning[[#This Row],[Año]])</f>
        <v>#REF!</v>
      </c>
      <c r="R1469" s="19" t="str">
        <f>TEXT(Planning[[#This Row],[Mes]]*29,"mmmm")</f>
        <v>October</v>
      </c>
      <c r="S14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69" s="228"/>
      <c r="U1469" s="43" t="e">
        <f>IF(Planning[[#This Row],[Horas Planificadas]]&lt;&gt;0,+K1469/Planning[[#This Row],[Horas Planificadas]],0)</f>
        <v>#REF!</v>
      </c>
      <c r="V1469" s="43" t="e">
        <f>IF(Planning[[#This Row],[Horas Planificadas]]&lt;&gt;0,Planning[[#This Row],[Horas utilizadas]]/Planning[[#This Row],[Horas Planificadas]],0)</f>
        <v>#REF!</v>
      </c>
      <c r="W1469" s="44">
        <f>Planning[[#This Row],[Horas Planificadas]]+Planning[[#This Row],[Horas ajustadas adicionales]]</f>
        <v>18</v>
      </c>
      <c r="X1469" s="142"/>
    </row>
    <row r="1470" spans="1:24" ht="12.75" customHeight="1" x14ac:dyDescent="0.2">
      <c r="A1470" s="7"/>
      <c r="B1470" s="7"/>
      <c r="C1470" s="3"/>
      <c r="D1470" s="3" t="s">
        <v>370</v>
      </c>
      <c r="E1470" s="4" t="s">
        <v>32</v>
      </c>
      <c r="F1470" s="3"/>
      <c r="G1470" s="9"/>
      <c r="H1470" s="9">
        <v>216</v>
      </c>
      <c r="I1470" s="12"/>
      <c r="J1470" s="5" t="e">
        <f>+SUMIFS(#REF!,#REF!,Planning[[#This Row],[Tarifa]],#REF!,Planning[[#This Row],[Proyectos]])</f>
        <v>#REF!</v>
      </c>
      <c r="K1470" s="5" t="e">
        <f>Planning[[#This Row],[Horas Planificadas]]+Planning[[#This Row],[Horas ajustadas adicionales]]-Planning[[#This Row],[Horas utilizadas]]</f>
        <v>#REF!</v>
      </c>
      <c r="L1470" s="7"/>
      <c r="M1470" s="19" t="e">
        <f>Planning[[#This Row],[Saldo]]-Planning[[#This Row],[Saldo estimado]]</f>
        <v>#REF!</v>
      </c>
      <c r="N1470" s="60" t="e">
        <f>+SUMIFS(#REF!,#REF!,Planning[[#This Row],[Proyectos]],#REF!,Planning[[#This Row],[Tipo de Tarea y especialidad]])</f>
        <v>#REF!</v>
      </c>
      <c r="O1470" s="19">
        <f t="shared" si="44"/>
        <v>10</v>
      </c>
      <c r="P1470" s="19">
        <f t="shared" si="45"/>
        <v>2024</v>
      </c>
      <c r="Q1470" s="19" t="e">
        <f>+SUMIFS(#REF!,#REF!,Planning[[#This Row],[Tarifa]],#REF!,Planning[[#This Row],[Proyectos]],#REF!,Planning[[#This Row],[Mes]],#REF!,Planning[[#This Row],[Año]])</f>
        <v>#REF!</v>
      </c>
      <c r="R1470" s="19" t="str">
        <f>TEXT(Planning[[#This Row],[Mes]]*29,"mmmm")</f>
        <v>October</v>
      </c>
      <c r="S14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70" s="228"/>
      <c r="U1470" s="43" t="e">
        <f>IF(Planning[[#This Row],[Horas Planificadas]]&lt;&gt;0,+K1470/Planning[[#This Row],[Horas Planificadas]],0)</f>
        <v>#REF!</v>
      </c>
      <c r="V1470" s="43" t="e">
        <f>IF(Planning[[#This Row],[Horas Planificadas]]&lt;&gt;0,Planning[[#This Row],[Horas utilizadas]]/Planning[[#This Row],[Horas Planificadas]],0)</f>
        <v>#REF!</v>
      </c>
      <c r="W1470" s="44">
        <f>Planning[[#This Row],[Horas Planificadas]]+Planning[[#This Row],[Horas ajustadas adicionales]]</f>
        <v>216</v>
      </c>
      <c r="X1470" s="142"/>
    </row>
    <row r="1471" spans="1:24" ht="12.75" customHeight="1" x14ac:dyDescent="0.2">
      <c r="A1471" s="7" t="s">
        <v>204</v>
      </c>
      <c r="B1471" s="7" t="s">
        <v>288</v>
      </c>
      <c r="C1471" s="3"/>
      <c r="D1471" s="3" t="s">
        <v>371</v>
      </c>
      <c r="E1471" s="4" t="s">
        <v>28</v>
      </c>
      <c r="F1471" s="3"/>
      <c r="G1471" s="9">
        <v>180</v>
      </c>
      <c r="H1471" s="14">
        <f>SUM(H1472:H1473)</f>
        <v>180</v>
      </c>
      <c r="I1471" s="14"/>
      <c r="J1471" s="14" t="e">
        <f>SUM(J1472:J1473)</f>
        <v>#REF!</v>
      </c>
      <c r="K1471" s="15" t="e">
        <f>SUM(K1472:K1473)</f>
        <v>#REF!</v>
      </c>
      <c r="L1471" s="15">
        <f>SUM(L1472:L1473)</f>
        <v>0</v>
      </c>
      <c r="M1471" s="14" t="e">
        <f>SUM(M1472:M1473)</f>
        <v>#REF!</v>
      </c>
      <c r="N1471" s="66" t="e">
        <f>+SUMIFS(#REF!,#REF!,Planning[[#This Row],[Proyectos]],#REF!,Planning[[#This Row],[Tipo de Tarea y especialidad]])</f>
        <v>#REF!</v>
      </c>
      <c r="O1471" s="14">
        <f t="shared" si="44"/>
        <v>10</v>
      </c>
      <c r="P1471" s="14">
        <f t="shared" si="45"/>
        <v>2024</v>
      </c>
      <c r="Q1471" s="28" t="e">
        <f>SUM(Q1472:Q1473)</f>
        <v>#REF!</v>
      </c>
      <c r="R1471" s="28" t="str">
        <f>TEXT(Planning[[#This Row],[Mes]]*29,"mmmm")</f>
        <v>October</v>
      </c>
      <c r="S14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71" s="207" t="s">
        <v>372</v>
      </c>
      <c r="U1471" s="43" t="e">
        <f>IF(Planning[[#This Row],[Horas Planificadas]]&lt;&gt;0,+K1471/Planning[[#This Row],[Horas Planificadas]],0)</f>
        <v>#REF!</v>
      </c>
      <c r="V1471" s="43" t="e">
        <f>IF(Planning[[#This Row],[Horas Planificadas]]&lt;&gt;0,Planning[[#This Row],[Horas utilizadas]]/Planning[[#This Row],[Horas Planificadas]],0)</f>
        <v>#REF!</v>
      </c>
      <c r="W1471" s="44">
        <f>Planning[[#This Row],[Horas Planificadas]]+Planning[[#This Row],[Horas ajustadas adicionales]]</f>
        <v>180</v>
      </c>
      <c r="X1471" s="142"/>
    </row>
    <row r="1472" spans="1:24" ht="12.75" customHeight="1" x14ac:dyDescent="0.2">
      <c r="A1472" s="7" t="s">
        <v>204</v>
      </c>
      <c r="B1472" s="7" t="s">
        <v>288</v>
      </c>
      <c r="C1472" s="3"/>
      <c r="D1472" s="3" t="s">
        <v>371</v>
      </c>
      <c r="E1472" s="4"/>
      <c r="F1472" s="3" t="s">
        <v>120</v>
      </c>
      <c r="G1472" s="9"/>
      <c r="H1472" s="9">
        <v>180</v>
      </c>
      <c r="I1472" s="12"/>
      <c r="J1472" s="5" t="e">
        <f>SUM(SUMIFS(#REF!,#REF!,Planning[[#This Row],[Tipo de Tarea y especialidad]],#REF!,Planning[[#This Row],[Proyectos Reiwa]]),SUMIFS(#REF!,#REF!,Planning[[#This Row],[Tipo de Tarea y especialidad]],#REF!,Planning[[#This Row],[Proyectos]]))</f>
        <v>#REF!</v>
      </c>
      <c r="K1472" s="5" t="e">
        <f>Planning[[#This Row],[Horas Planificadas]]+Planning[[#This Row],[Horas ajustadas adicionales]]-Planning[[#This Row],[Horas utilizadas]]</f>
        <v>#REF!</v>
      </c>
      <c r="L1472" s="7">
        <v>0</v>
      </c>
      <c r="M1472" s="19" t="e">
        <f>Planning[[#This Row],[Saldo]]-Planning[[#This Row],[Saldo estimado]]</f>
        <v>#REF!</v>
      </c>
      <c r="N1472" s="60" t="e">
        <f>+SUMIFS(#REF!,#REF!,Planning[[#This Row],[Proyectos]],#REF!,Planning[[#This Row],[Tipo de Tarea y especialidad]])</f>
        <v>#REF!</v>
      </c>
      <c r="O1472" s="19">
        <f t="shared" si="44"/>
        <v>10</v>
      </c>
      <c r="P1472" s="19">
        <f t="shared" si="45"/>
        <v>2024</v>
      </c>
      <c r="Q14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72" s="19" t="str">
        <f>TEXT(Planning[[#This Row],[Mes]]*29,"mmmm")</f>
        <v>October</v>
      </c>
      <c r="S14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72" s="208"/>
      <c r="U1472" s="43" t="e">
        <f>IF(Planning[[#This Row],[Horas Planificadas]]&lt;&gt;0,+K1472/Planning[[#This Row],[Horas Planificadas]],0)</f>
        <v>#REF!</v>
      </c>
      <c r="V1472" s="43" t="e">
        <f>IF(Planning[[#This Row],[Horas Planificadas]]&lt;&gt;0,Planning[[#This Row],[Horas utilizadas]]/Planning[[#This Row],[Horas Planificadas]],0)</f>
        <v>#REF!</v>
      </c>
      <c r="W1472" s="44">
        <f>Planning[[#This Row],[Horas Planificadas]]+Planning[[#This Row],[Horas ajustadas adicionales]]</f>
        <v>180</v>
      </c>
      <c r="X1472" s="142"/>
    </row>
    <row r="1473" spans="1:24" ht="12.75" customHeight="1" x14ac:dyDescent="0.2">
      <c r="A1473" s="7" t="s">
        <v>204</v>
      </c>
      <c r="B1473" s="7" t="s">
        <v>288</v>
      </c>
      <c r="C1473" s="3"/>
      <c r="D1473" s="3" t="s">
        <v>371</v>
      </c>
      <c r="E1473" s="4"/>
      <c r="F1473" s="3" t="s">
        <v>121</v>
      </c>
      <c r="G1473" s="9"/>
      <c r="H1473" s="9"/>
      <c r="I1473" s="12"/>
      <c r="J1473" s="5" t="e">
        <f>SUM(SUMIFS(#REF!,#REF!,Planning[[#This Row],[Tipo de Tarea y especialidad]],#REF!,Planning[[#This Row],[Proyectos Reiwa]]),SUMIFS(#REF!,#REF!,Planning[[#This Row],[Tipo de Tarea y especialidad]],#REF!,Planning[[#This Row],[Proyectos]]))</f>
        <v>#REF!</v>
      </c>
      <c r="K1473" s="5" t="e">
        <f>Planning[[#This Row],[Horas Planificadas]]+Planning[[#This Row],[Horas ajustadas adicionales]]-Planning[[#This Row],[Horas utilizadas]]</f>
        <v>#REF!</v>
      </c>
      <c r="L1473" s="7">
        <v>0</v>
      </c>
      <c r="M1473" s="19" t="e">
        <f>Planning[[#This Row],[Saldo]]-Planning[[#This Row],[Saldo estimado]]</f>
        <v>#REF!</v>
      </c>
      <c r="N1473" s="60" t="e">
        <f>+SUMIFS(#REF!,#REF!,Planning[[#This Row],[Proyectos]],#REF!,Planning[[#This Row],[Tipo de Tarea y especialidad]])</f>
        <v>#REF!</v>
      </c>
      <c r="O1473" s="19">
        <f t="shared" si="44"/>
        <v>10</v>
      </c>
      <c r="P1473" s="19">
        <f t="shared" si="45"/>
        <v>2024</v>
      </c>
      <c r="Q14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73" s="19" t="str">
        <f>TEXT(Planning[[#This Row],[Mes]]*29,"mmmm")</f>
        <v>October</v>
      </c>
      <c r="S14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73" s="208"/>
      <c r="U1473" s="43">
        <f>IF(Planning[[#This Row],[Horas Planificadas]]&lt;&gt;0,+K1473/Planning[[#This Row],[Horas Planificadas]],0)</f>
        <v>0</v>
      </c>
      <c r="V1473" s="43">
        <f>IF(Planning[[#This Row],[Horas Planificadas]]&lt;&gt;0,Planning[[#This Row],[Horas utilizadas]]/Planning[[#This Row],[Horas Planificadas]],0)</f>
        <v>0</v>
      </c>
      <c r="W1473" s="44">
        <f>Planning[[#This Row],[Horas Planificadas]]+Planning[[#This Row],[Horas ajustadas adicionales]]</f>
        <v>0</v>
      </c>
      <c r="X1473" s="142"/>
    </row>
    <row r="1474" spans="1:24" ht="12.75" customHeight="1" x14ac:dyDescent="0.2">
      <c r="A1474" s="7" t="s">
        <v>204</v>
      </c>
      <c r="B1474" s="7" t="s">
        <v>288</v>
      </c>
      <c r="C1474" s="3"/>
      <c r="D1474" s="3" t="s">
        <v>371</v>
      </c>
      <c r="E1474" s="4" t="s">
        <v>30</v>
      </c>
      <c r="F1474" s="3"/>
      <c r="G1474" s="9">
        <v>240</v>
      </c>
      <c r="H1474" s="14">
        <f>SUM(H1475:H1481)</f>
        <v>240</v>
      </c>
      <c r="I1474" s="14"/>
      <c r="J1474" s="14" t="e">
        <f>SUM(J1475:J1481)</f>
        <v>#REF!</v>
      </c>
      <c r="K1474" s="15" t="e">
        <f>SUM(K1475:K1481)</f>
        <v>#REF!</v>
      </c>
      <c r="L1474" s="15">
        <f>SUM(L1475:L1481)</f>
        <v>0</v>
      </c>
      <c r="M1474" s="16" t="e">
        <f>SUM(M1475:M1481)</f>
        <v>#REF!</v>
      </c>
      <c r="N1474" s="60" t="e">
        <f>+SUMIFS(#REF!,#REF!,Planning[[#This Row],[Proyectos]],#REF!,Planning[[#This Row],[Tipo de Tarea y especialidad]])</f>
        <v>#REF!</v>
      </c>
      <c r="O1474" s="16">
        <f t="shared" si="44"/>
        <v>10</v>
      </c>
      <c r="P1474" s="16">
        <f t="shared" si="45"/>
        <v>2024</v>
      </c>
      <c r="Q1474" s="16" t="e">
        <f>SUM(Q1475:Q1481)</f>
        <v>#REF!</v>
      </c>
      <c r="R1474" s="16" t="str">
        <f>TEXT(Planning[[#This Row],[Mes]]*29,"mmmm")</f>
        <v>October</v>
      </c>
      <c r="S14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74" s="208"/>
      <c r="U1474" s="43" t="e">
        <f>IF(Planning[[#This Row],[Horas Planificadas]]&lt;&gt;0,+K1474/Planning[[#This Row],[Horas Planificadas]],0)</f>
        <v>#REF!</v>
      </c>
      <c r="V1474" s="43" t="e">
        <f>IF(Planning[[#This Row],[Horas Planificadas]]&lt;&gt;0,Planning[[#This Row],[Horas utilizadas]]/Planning[[#This Row],[Horas Planificadas]],0)</f>
        <v>#REF!</v>
      </c>
      <c r="W1474" s="44">
        <f>Planning[[#This Row],[Horas Planificadas]]+Planning[[#This Row],[Horas ajustadas adicionales]]</f>
        <v>240</v>
      </c>
      <c r="X1474" s="142"/>
    </row>
    <row r="1475" spans="1:24" ht="12.75" customHeight="1" x14ac:dyDescent="0.2">
      <c r="A1475" s="7" t="s">
        <v>204</v>
      </c>
      <c r="B1475" s="7" t="s">
        <v>288</v>
      </c>
      <c r="C1475" s="3"/>
      <c r="D1475" s="3" t="s">
        <v>371</v>
      </c>
      <c r="E1475" s="4"/>
      <c r="F1475" s="3" t="s">
        <v>122</v>
      </c>
      <c r="G1475" s="9"/>
      <c r="H1475" s="9"/>
      <c r="I1475" s="12"/>
      <c r="J1475" s="5" t="e">
        <f>SUM(SUMIFS(#REF!,#REF!,Planning[[#This Row],[Tipo de Tarea y especialidad]],#REF!,Planning[[#This Row],[Proyectos Reiwa]]),SUMIFS(#REF!,#REF!,Planning[[#This Row],[Tipo de Tarea y especialidad]],#REF!,Planning[[#This Row],[Proyectos]]))</f>
        <v>#REF!</v>
      </c>
      <c r="K1475" s="5" t="e">
        <f>Planning[[#This Row],[Horas Planificadas]]+Planning[[#This Row],[Horas ajustadas adicionales]]-Planning[[#This Row],[Horas utilizadas]]</f>
        <v>#REF!</v>
      </c>
      <c r="L1475" s="7"/>
      <c r="M1475" s="19" t="e">
        <f>Planning[[#This Row],[Saldo]]-Planning[[#This Row],[Saldo estimado]]</f>
        <v>#REF!</v>
      </c>
      <c r="N1475" s="60" t="e">
        <f>+SUMIFS(#REF!,#REF!,Planning[[#This Row],[Proyectos]],#REF!,Planning[[#This Row],[Tipo de Tarea y especialidad]])</f>
        <v>#REF!</v>
      </c>
      <c r="O1475" s="19">
        <f t="shared" si="44"/>
        <v>10</v>
      </c>
      <c r="P1475" s="19">
        <f t="shared" si="45"/>
        <v>2024</v>
      </c>
      <c r="Q14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75" s="19" t="str">
        <f>TEXT(Planning[[#This Row],[Mes]]*29,"mmmm")</f>
        <v>October</v>
      </c>
      <c r="S14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75" s="208"/>
      <c r="U1475" s="43">
        <f>IF(Planning[[#This Row],[Horas Planificadas]]&lt;&gt;0,+K1475/Planning[[#This Row],[Horas Planificadas]],0)</f>
        <v>0</v>
      </c>
      <c r="V1475" s="43">
        <f>IF(Planning[[#This Row],[Horas Planificadas]]&lt;&gt;0,Planning[[#This Row],[Horas utilizadas]]/Planning[[#This Row],[Horas Planificadas]],0)</f>
        <v>0</v>
      </c>
      <c r="W1475" s="44">
        <f>Planning[[#This Row],[Horas Planificadas]]+Planning[[#This Row],[Horas ajustadas adicionales]]</f>
        <v>0</v>
      </c>
      <c r="X1475" s="142"/>
    </row>
    <row r="1476" spans="1:24" ht="12.75" customHeight="1" x14ac:dyDescent="0.2">
      <c r="A1476" s="7" t="s">
        <v>204</v>
      </c>
      <c r="B1476" s="7" t="s">
        <v>288</v>
      </c>
      <c r="C1476" s="3"/>
      <c r="D1476" s="3" t="s">
        <v>371</v>
      </c>
      <c r="E1476" s="4"/>
      <c r="F1476" s="3" t="s">
        <v>123</v>
      </c>
      <c r="G1476" s="9"/>
      <c r="H1476" s="9"/>
      <c r="I1476" s="12"/>
      <c r="J1476" s="5" t="e">
        <f>SUM(SUMIFS(#REF!,#REF!,Planning[[#This Row],[Tipo de Tarea y especialidad]],#REF!,Planning[[#This Row],[Proyectos Reiwa]]),SUMIFS(#REF!,#REF!,Planning[[#This Row],[Tipo de Tarea y especialidad]],#REF!,Planning[[#This Row],[Proyectos]]))</f>
        <v>#REF!</v>
      </c>
      <c r="K1476" s="5" t="e">
        <f>Planning[[#This Row],[Horas Planificadas]]+Planning[[#This Row],[Horas ajustadas adicionales]]-Planning[[#This Row],[Horas utilizadas]]</f>
        <v>#REF!</v>
      </c>
      <c r="L1476" s="7"/>
      <c r="M1476" s="19" t="e">
        <f>Planning[[#This Row],[Saldo]]-Planning[[#This Row],[Saldo estimado]]</f>
        <v>#REF!</v>
      </c>
      <c r="N1476" s="60" t="e">
        <f>+SUMIFS(#REF!,#REF!,Planning[[#This Row],[Proyectos]],#REF!,Planning[[#This Row],[Tipo de Tarea y especialidad]])</f>
        <v>#REF!</v>
      </c>
      <c r="O1476" s="19">
        <f t="shared" si="44"/>
        <v>10</v>
      </c>
      <c r="P1476" s="19">
        <f t="shared" si="45"/>
        <v>2024</v>
      </c>
      <c r="Q14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76" s="19" t="str">
        <f>TEXT(Planning[[#This Row],[Mes]]*29,"mmmm")</f>
        <v>October</v>
      </c>
      <c r="S14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76" s="208"/>
      <c r="U1476" s="43">
        <f>IF(Planning[[#This Row],[Horas Planificadas]]&lt;&gt;0,+K1476/Planning[[#This Row],[Horas Planificadas]],0)</f>
        <v>0</v>
      </c>
      <c r="V1476" s="43">
        <f>IF(Planning[[#This Row],[Horas Planificadas]]&lt;&gt;0,Planning[[#This Row],[Horas utilizadas]]/Planning[[#This Row],[Horas Planificadas]],0)</f>
        <v>0</v>
      </c>
      <c r="W1476" s="44">
        <f>Planning[[#This Row],[Horas Planificadas]]+Planning[[#This Row],[Horas ajustadas adicionales]]</f>
        <v>0</v>
      </c>
      <c r="X1476" s="142"/>
    </row>
    <row r="1477" spans="1:24" ht="12.75" customHeight="1" x14ac:dyDescent="0.2">
      <c r="A1477" s="7" t="s">
        <v>204</v>
      </c>
      <c r="B1477" s="7" t="s">
        <v>288</v>
      </c>
      <c r="C1477" s="3"/>
      <c r="D1477" s="3" t="s">
        <v>371</v>
      </c>
      <c r="E1477" s="4"/>
      <c r="F1477" s="3" t="s">
        <v>124</v>
      </c>
      <c r="G1477" s="9"/>
      <c r="H1477" s="9">
        <v>240</v>
      </c>
      <c r="I1477" s="12"/>
      <c r="J1477" s="5" t="e">
        <f>SUM(SUMIFS(#REF!,#REF!,Planning[[#This Row],[Tipo de Tarea y especialidad]],#REF!,Planning[[#This Row],[Proyectos Reiwa]]),SUMIFS(#REF!,#REF!,Planning[[#This Row],[Tipo de Tarea y especialidad]],#REF!,Planning[[#This Row],[Proyectos]]))</f>
        <v>#REF!</v>
      </c>
      <c r="K1477" s="5" t="e">
        <f>Planning[[#This Row],[Horas Planificadas]]+Planning[[#This Row],[Horas ajustadas adicionales]]-Planning[[#This Row],[Horas utilizadas]]</f>
        <v>#REF!</v>
      </c>
      <c r="L1477" s="7">
        <v>0</v>
      </c>
      <c r="M1477" s="19" t="e">
        <f>Planning[[#This Row],[Saldo]]-Planning[[#This Row],[Saldo estimado]]</f>
        <v>#REF!</v>
      </c>
      <c r="N1477" s="60" t="e">
        <f>+SUMIFS(#REF!,#REF!,Planning[[#This Row],[Proyectos]],#REF!,Planning[[#This Row],[Tipo de Tarea y especialidad]])</f>
        <v>#REF!</v>
      </c>
      <c r="O1477" s="19">
        <f t="shared" si="44"/>
        <v>10</v>
      </c>
      <c r="P1477" s="19">
        <f t="shared" si="45"/>
        <v>2024</v>
      </c>
      <c r="Q14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77" s="19" t="str">
        <f>TEXT(Planning[[#This Row],[Mes]]*29,"mmmm")</f>
        <v>October</v>
      </c>
      <c r="S14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77" s="208"/>
      <c r="U1477" s="43" t="e">
        <f>IF(Planning[[#This Row],[Horas Planificadas]]&lt;&gt;0,+K1477/Planning[[#This Row],[Horas Planificadas]],0)</f>
        <v>#REF!</v>
      </c>
      <c r="V1477" s="43" t="e">
        <f>IF(Planning[[#This Row],[Horas Planificadas]]&lt;&gt;0,Planning[[#This Row],[Horas utilizadas]]/Planning[[#This Row],[Horas Planificadas]],0)</f>
        <v>#REF!</v>
      </c>
      <c r="W1477" s="44">
        <f>Planning[[#This Row],[Horas Planificadas]]+Planning[[#This Row],[Horas ajustadas adicionales]]</f>
        <v>240</v>
      </c>
      <c r="X1477" s="142"/>
    </row>
    <row r="1478" spans="1:24" ht="12.75" customHeight="1" x14ac:dyDescent="0.2">
      <c r="A1478" s="7" t="s">
        <v>204</v>
      </c>
      <c r="B1478" s="7" t="s">
        <v>288</v>
      </c>
      <c r="C1478" s="3"/>
      <c r="D1478" s="3" t="s">
        <v>371</v>
      </c>
      <c r="E1478" s="4"/>
      <c r="F1478" s="3" t="s">
        <v>125</v>
      </c>
      <c r="G1478" s="9"/>
      <c r="H1478" s="9"/>
      <c r="I1478" s="12"/>
      <c r="J1478" s="5" t="e">
        <f>SUM(SUMIFS(#REF!,#REF!,Planning[[#This Row],[Tipo de Tarea y especialidad]],#REF!,Planning[[#This Row],[Proyectos Reiwa]]),SUMIFS(#REF!,#REF!,Planning[[#This Row],[Tipo de Tarea y especialidad]],#REF!,Planning[[#This Row],[Proyectos]]))</f>
        <v>#REF!</v>
      </c>
      <c r="K1478" s="5" t="e">
        <f>Planning[[#This Row],[Horas Planificadas]]+Planning[[#This Row],[Horas ajustadas adicionales]]-Planning[[#This Row],[Horas utilizadas]]</f>
        <v>#REF!</v>
      </c>
      <c r="L1478" s="7">
        <v>0</v>
      </c>
      <c r="M1478" s="19" t="e">
        <f>Planning[[#This Row],[Saldo]]-Planning[[#This Row],[Saldo estimado]]</f>
        <v>#REF!</v>
      </c>
      <c r="N1478" s="60" t="e">
        <f>+SUMIFS(#REF!,#REF!,Planning[[#This Row],[Proyectos]],#REF!,Planning[[#This Row],[Tipo de Tarea y especialidad]])</f>
        <v>#REF!</v>
      </c>
      <c r="O1478" s="19">
        <f t="shared" si="44"/>
        <v>10</v>
      </c>
      <c r="P1478" s="19">
        <f t="shared" si="45"/>
        <v>2024</v>
      </c>
      <c r="Q14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78" s="19" t="str">
        <f>TEXT(Planning[[#This Row],[Mes]]*29,"mmmm")</f>
        <v>October</v>
      </c>
      <c r="S14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78" s="208"/>
      <c r="U1478" s="43">
        <f>IF(Planning[[#This Row],[Horas Planificadas]]&lt;&gt;0,+K1478/Planning[[#This Row],[Horas Planificadas]],0)</f>
        <v>0</v>
      </c>
      <c r="V1478" s="43">
        <f>IF(Planning[[#This Row],[Horas Planificadas]]&lt;&gt;0,Planning[[#This Row],[Horas utilizadas]]/Planning[[#This Row],[Horas Planificadas]],0)</f>
        <v>0</v>
      </c>
      <c r="W1478" s="44">
        <f>Planning[[#This Row],[Horas Planificadas]]+Planning[[#This Row],[Horas ajustadas adicionales]]</f>
        <v>0</v>
      </c>
      <c r="X1478" s="142"/>
    </row>
    <row r="1479" spans="1:24" ht="12.75" customHeight="1" x14ac:dyDescent="0.2">
      <c r="A1479" s="7" t="s">
        <v>204</v>
      </c>
      <c r="B1479" s="7" t="s">
        <v>288</v>
      </c>
      <c r="C1479" s="3"/>
      <c r="D1479" s="3" t="s">
        <v>371</v>
      </c>
      <c r="E1479" s="4"/>
      <c r="F1479" s="3" t="s">
        <v>126</v>
      </c>
      <c r="G1479" s="9"/>
      <c r="H1479" s="9"/>
      <c r="I1479" s="12"/>
      <c r="J1479" s="5" t="e">
        <f>SUM(SUMIFS(#REF!,#REF!,Planning[[#This Row],[Tipo de Tarea y especialidad]],#REF!,Planning[[#This Row],[Proyectos Reiwa]]),SUMIFS(#REF!,#REF!,Planning[[#This Row],[Tipo de Tarea y especialidad]],#REF!,Planning[[#This Row],[Proyectos]]))</f>
        <v>#REF!</v>
      </c>
      <c r="K1479" s="5" t="e">
        <f>Planning[[#This Row],[Horas Planificadas]]+Planning[[#This Row],[Horas ajustadas adicionales]]-Planning[[#This Row],[Horas utilizadas]]</f>
        <v>#REF!</v>
      </c>
      <c r="L1479" s="7"/>
      <c r="M1479" s="19" t="e">
        <f>Planning[[#This Row],[Saldo]]-Planning[[#This Row],[Saldo estimado]]</f>
        <v>#REF!</v>
      </c>
      <c r="N1479" s="60" t="e">
        <f>+SUMIFS(#REF!,#REF!,Planning[[#This Row],[Proyectos]],#REF!,Planning[[#This Row],[Tipo de Tarea y especialidad]])</f>
        <v>#REF!</v>
      </c>
      <c r="O1479" s="19">
        <f t="shared" ref="O1479:O1542" si="46">$L$4</f>
        <v>10</v>
      </c>
      <c r="P1479" s="19">
        <f t="shared" ref="P1479:P1542" si="47">$M$4</f>
        <v>2024</v>
      </c>
      <c r="Q14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79" s="19" t="str">
        <f>TEXT(Planning[[#This Row],[Mes]]*29,"mmmm")</f>
        <v>October</v>
      </c>
      <c r="S14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79" s="208"/>
      <c r="U1479" s="43">
        <f>IF(Planning[[#This Row],[Horas Planificadas]]&lt;&gt;0,+K1479/Planning[[#This Row],[Horas Planificadas]],0)</f>
        <v>0</v>
      </c>
      <c r="V1479" s="43">
        <f>IF(Planning[[#This Row],[Horas Planificadas]]&lt;&gt;0,Planning[[#This Row],[Horas utilizadas]]/Planning[[#This Row],[Horas Planificadas]],0)</f>
        <v>0</v>
      </c>
      <c r="W1479" s="44">
        <f>Planning[[#This Row],[Horas Planificadas]]+Planning[[#This Row],[Horas ajustadas adicionales]]</f>
        <v>0</v>
      </c>
      <c r="X1479" s="142"/>
    </row>
    <row r="1480" spans="1:24" ht="12.75" customHeight="1" x14ac:dyDescent="0.2">
      <c r="A1480" s="7" t="s">
        <v>204</v>
      </c>
      <c r="B1480" s="7" t="s">
        <v>288</v>
      </c>
      <c r="C1480" s="3"/>
      <c r="D1480" s="3" t="s">
        <v>371</v>
      </c>
      <c r="E1480" s="4"/>
      <c r="F1480" s="3" t="s">
        <v>127</v>
      </c>
      <c r="G1480" s="9"/>
      <c r="H1480" s="9"/>
      <c r="I1480" s="12"/>
      <c r="J1480" s="5" t="e">
        <f>SUM(SUMIFS(#REF!,#REF!,Planning[[#This Row],[Tipo de Tarea y especialidad]],#REF!,Planning[[#This Row],[Proyectos Reiwa]]),SUMIFS(#REF!,#REF!,Planning[[#This Row],[Tipo de Tarea y especialidad]],#REF!,Planning[[#This Row],[Proyectos]]))</f>
        <v>#REF!</v>
      </c>
      <c r="K1480" s="5" t="e">
        <f>Planning[[#This Row],[Horas Planificadas]]+Planning[[#This Row],[Horas ajustadas adicionales]]-Planning[[#This Row],[Horas utilizadas]]</f>
        <v>#REF!</v>
      </c>
      <c r="L1480" s="7"/>
      <c r="M1480" s="19" t="e">
        <f>Planning[[#This Row],[Saldo]]-Planning[[#This Row],[Saldo estimado]]</f>
        <v>#REF!</v>
      </c>
      <c r="N1480" s="60" t="e">
        <f>+SUMIFS(#REF!,#REF!,Planning[[#This Row],[Proyectos]],#REF!,Planning[[#This Row],[Tipo de Tarea y especialidad]])</f>
        <v>#REF!</v>
      </c>
      <c r="O1480" s="19">
        <f t="shared" si="46"/>
        <v>10</v>
      </c>
      <c r="P1480" s="19">
        <f t="shared" si="47"/>
        <v>2024</v>
      </c>
      <c r="Q14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80" s="19" t="str">
        <f>TEXT(Planning[[#This Row],[Mes]]*29,"mmmm")</f>
        <v>October</v>
      </c>
      <c r="S14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80" s="208"/>
      <c r="U1480" s="43">
        <f>IF(Planning[[#This Row],[Horas Planificadas]]&lt;&gt;0,+K1480/Planning[[#This Row],[Horas Planificadas]],0)</f>
        <v>0</v>
      </c>
      <c r="V1480" s="43">
        <f>IF(Planning[[#This Row],[Horas Planificadas]]&lt;&gt;0,Planning[[#This Row],[Horas utilizadas]]/Planning[[#This Row],[Horas Planificadas]],0)</f>
        <v>0</v>
      </c>
      <c r="W1480" s="44">
        <f>Planning[[#This Row],[Horas Planificadas]]+Planning[[#This Row],[Horas ajustadas adicionales]]</f>
        <v>0</v>
      </c>
      <c r="X1480" s="142"/>
    </row>
    <row r="1481" spans="1:24" ht="12.75" customHeight="1" x14ac:dyDescent="0.2">
      <c r="A1481" s="7" t="s">
        <v>204</v>
      </c>
      <c r="B1481" s="7" t="s">
        <v>288</v>
      </c>
      <c r="C1481" s="3"/>
      <c r="D1481" s="3" t="s">
        <v>371</v>
      </c>
      <c r="E1481" s="4"/>
      <c r="F1481" s="3" t="s">
        <v>128</v>
      </c>
      <c r="G1481" s="9"/>
      <c r="H1481" s="9"/>
      <c r="I1481" s="12"/>
      <c r="J1481" s="5" t="e">
        <f>SUM(SUMIFS(#REF!,#REF!,Planning[[#This Row],[Tipo de Tarea y especialidad]],#REF!,Planning[[#This Row],[Proyectos Reiwa]]),SUMIFS(#REF!,#REF!,Planning[[#This Row],[Tipo de Tarea y especialidad]],#REF!,Planning[[#This Row],[Proyectos]]))</f>
        <v>#REF!</v>
      </c>
      <c r="K1481" s="5" t="e">
        <f>Planning[[#This Row],[Horas Planificadas]]+Planning[[#This Row],[Horas ajustadas adicionales]]-Planning[[#This Row],[Horas utilizadas]]</f>
        <v>#REF!</v>
      </c>
      <c r="L1481" s="7">
        <v>0</v>
      </c>
      <c r="M1481" s="19" t="e">
        <f>Planning[[#This Row],[Saldo]]-Planning[[#This Row],[Saldo estimado]]</f>
        <v>#REF!</v>
      </c>
      <c r="N1481" s="60" t="e">
        <f>+SUMIFS(#REF!,#REF!,Planning[[#This Row],[Proyectos]],#REF!,Planning[[#This Row],[Tipo de Tarea y especialidad]])</f>
        <v>#REF!</v>
      </c>
      <c r="O1481" s="19">
        <f t="shared" si="46"/>
        <v>10</v>
      </c>
      <c r="P1481" s="19">
        <f t="shared" si="47"/>
        <v>2024</v>
      </c>
      <c r="Q14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81" s="19" t="str">
        <f>TEXT(Planning[[#This Row],[Mes]]*29,"mmmm")</f>
        <v>October</v>
      </c>
      <c r="S14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81" s="208"/>
      <c r="U1481" s="43">
        <f>IF(Planning[[#This Row],[Horas Planificadas]]&lt;&gt;0,+K1481/Planning[[#This Row],[Horas Planificadas]],0)</f>
        <v>0</v>
      </c>
      <c r="V1481" s="43">
        <f>IF(Planning[[#This Row],[Horas Planificadas]]&lt;&gt;0,Planning[[#This Row],[Horas utilizadas]]/Planning[[#This Row],[Horas Planificadas]],0)</f>
        <v>0</v>
      </c>
      <c r="W1481" s="44">
        <f>Planning[[#This Row],[Horas Planificadas]]+Planning[[#This Row],[Horas ajustadas adicionales]]</f>
        <v>0</v>
      </c>
      <c r="X1481" s="142"/>
    </row>
    <row r="1482" spans="1:24" ht="12.75" customHeight="1" x14ac:dyDescent="0.2">
      <c r="A1482" s="7" t="s">
        <v>204</v>
      </c>
      <c r="B1482" s="7" t="s">
        <v>288</v>
      </c>
      <c r="C1482" s="3"/>
      <c r="D1482" s="3" t="s">
        <v>371</v>
      </c>
      <c r="E1482" s="4" t="s">
        <v>31</v>
      </c>
      <c r="F1482" s="3" t="s">
        <v>31</v>
      </c>
      <c r="G1482" s="9">
        <v>200</v>
      </c>
      <c r="H1482" s="17">
        <v>200</v>
      </c>
      <c r="I1482" s="18"/>
      <c r="J1482" s="14" t="e">
        <f>+SUMIFS(#REF!,#REF!,Planning[[#This Row],[Tarifa]],#REF!,Planning[[#This Row],[Proyectos]])</f>
        <v>#REF!</v>
      </c>
      <c r="K1482" s="14" t="e">
        <f>Planning[[#This Row],[Horas Planificadas]]+Planning[[#This Row],[Horas ajustadas adicionales]]-Planning[[#This Row],[Horas utilizadas]]</f>
        <v>#REF!</v>
      </c>
      <c r="L1482" s="15">
        <v>0</v>
      </c>
      <c r="M1482" s="16" t="e">
        <f>Planning[[#This Row],[Saldo]]-Planning[[#This Row],[Saldo estimado]]</f>
        <v>#REF!</v>
      </c>
      <c r="N1482" s="60" t="e">
        <f>+SUMIFS(#REF!,#REF!,Planning[[#This Row],[Proyectos]],#REF!,Planning[[#This Row],[Tipo de Tarea y especialidad]])</f>
        <v>#REF!</v>
      </c>
      <c r="O1482" s="16">
        <f t="shared" si="46"/>
        <v>10</v>
      </c>
      <c r="P1482" s="16">
        <f t="shared" si="47"/>
        <v>2024</v>
      </c>
      <c r="Q1482" s="16" t="e">
        <f>+SUMIFS(#REF!,#REF!,Planning[[#This Row],[Tarifa]],#REF!,Planning[[#This Row],[Proyectos]],#REF!,Planning[[#This Row],[Mes]],#REF!,Planning[[#This Row],[Año]])</f>
        <v>#REF!</v>
      </c>
      <c r="R1482" s="16" t="str">
        <f>TEXT(Planning[[#This Row],[Mes]]*29,"mmmm")</f>
        <v>October</v>
      </c>
      <c r="S14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82" s="208"/>
      <c r="U1482" s="43" t="e">
        <f>IF(Planning[[#This Row],[Horas Planificadas]]&lt;&gt;0,+K1482/Planning[[#This Row],[Horas Planificadas]],0)</f>
        <v>#REF!</v>
      </c>
      <c r="V1482" s="43" t="e">
        <f>IF(Planning[[#This Row],[Horas Planificadas]]&lt;&gt;0,Planning[[#This Row],[Horas utilizadas]]/Planning[[#This Row],[Horas Planificadas]],0)</f>
        <v>#REF!</v>
      </c>
      <c r="W1482" s="44">
        <f>Planning[[#This Row],[Horas Planificadas]]+Planning[[#This Row],[Horas ajustadas adicionales]]</f>
        <v>200</v>
      </c>
      <c r="X1482" s="142"/>
    </row>
    <row r="1483" spans="1:24" ht="12.75" customHeight="1" x14ac:dyDescent="0.2">
      <c r="A1483" s="7" t="s">
        <v>204</v>
      </c>
      <c r="B1483" s="7" t="s">
        <v>288</v>
      </c>
      <c r="C1483" s="3"/>
      <c r="D1483" s="3" t="s">
        <v>371</v>
      </c>
      <c r="E1483" s="4" t="s">
        <v>32</v>
      </c>
      <c r="F1483" s="3"/>
      <c r="G1483" s="9">
        <v>160</v>
      </c>
      <c r="H1483" s="14">
        <f>SUM(H1484:H1486)</f>
        <v>160</v>
      </c>
      <c r="I1483" s="14"/>
      <c r="J1483" s="14" t="e">
        <f>SUM(J1484:J1486)</f>
        <v>#REF!</v>
      </c>
      <c r="K1483" s="15" t="e">
        <f>SUM(K1484:K1486)</f>
        <v>#REF!</v>
      </c>
      <c r="L1483" s="15">
        <f>SUM(L1484:L1486)</f>
        <v>0</v>
      </c>
      <c r="M1483" s="16" t="e">
        <f>SUM(M1484:M1486)</f>
        <v>#REF!</v>
      </c>
      <c r="N1483" s="60" t="e">
        <f>+SUMIFS(#REF!,#REF!,Planning[[#This Row],[Proyectos]],#REF!,Planning[[#This Row],[Tipo de Tarea y especialidad]])</f>
        <v>#REF!</v>
      </c>
      <c r="O1483" s="16">
        <f t="shared" si="46"/>
        <v>10</v>
      </c>
      <c r="P1483" s="16">
        <f t="shared" si="47"/>
        <v>2024</v>
      </c>
      <c r="Q1483" s="16" t="e">
        <f>SUM(Q1484:Q1486)</f>
        <v>#REF!</v>
      </c>
      <c r="R1483" s="16" t="str">
        <f>TEXT(Planning[[#This Row],[Mes]]*29,"mmmm")</f>
        <v>October</v>
      </c>
      <c r="S14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83" s="208"/>
      <c r="U1483" s="43" t="e">
        <f>IF(Planning[[#This Row],[Horas Planificadas]]&lt;&gt;0,+K1483/Planning[[#This Row],[Horas Planificadas]],0)</f>
        <v>#REF!</v>
      </c>
      <c r="V1483" s="43" t="e">
        <f>IF(Planning[[#This Row],[Horas Planificadas]]&lt;&gt;0,Planning[[#This Row],[Horas utilizadas]]/Planning[[#This Row],[Horas Planificadas]],0)</f>
        <v>#REF!</v>
      </c>
      <c r="W1483" s="44">
        <f>Planning[[#This Row],[Horas Planificadas]]+Planning[[#This Row],[Horas ajustadas adicionales]]</f>
        <v>160</v>
      </c>
      <c r="X1483" s="142"/>
    </row>
    <row r="1484" spans="1:24" ht="12.75" customHeight="1" x14ac:dyDescent="0.2">
      <c r="A1484" s="7" t="s">
        <v>204</v>
      </c>
      <c r="B1484" s="7" t="s">
        <v>288</v>
      </c>
      <c r="C1484" s="3"/>
      <c r="D1484" s="3" t="s">
        <v>371</v>
      </c>
      <c r="E1484" s="4"/>
      <c r="F1484" s="3" t="s">
        <v>129</v>
      </c>
      <c r="G1484" s="9"/>
      <c r="H1484" s="9"/>
      <c r="I1484" s="12"/>
      <c r="J1484" s="5" t="e">
        <f>SUM(SUMIFS(#REF!,#REF!,Planning[[#This Row],[Tipo de Tarea y especialidad]],#REF!,Planning[[#This Row],[Proyectos Reiwa]]),SUMIFS(#REF!,#REF!,Planning[[#This Row],[Tipo de Tarea y especialidad]],#REF!,Planning[[#This Row],[Proyectos]]))</f>
        <v>#REF!</v>
      </c>
      <c r="K1484" s="5" t="e">
        <f>Planning[[#This Row],[Horas Planificadas]]+Planning[[#This Row],[Horas ajustadas adicionales]]-Planning[[#This Row],[Horas utilizadas]]</f>
        <v>#REF!</v>
      </c>
      <c r="L1484" s="7"/>
      <c r="M1484" s="19" t="e">
        <f>Planning[[#This Row],[Saldo]]-Planning[[#This Row],[Saldo estimado]]</f>
        <v>#REF!</v>
      </c>
      <c r="N1484" s="60" t="e">
        <f>+SUMIFS(#REF!,#REF!,Planning[[#This Row],[Proyectos]],#REF!,Planning[[#This Row],[Tipo de Tarea y especialidad]])</f>
        <v>#REF!</v>
      </c>
      <c r="O1484" s="19">
        <f t="shared" si="46"/>
        <v>10</v>
      </c>
      <c r="P1484" s="19">
        <f t="shared" si="47"/>
        <v>2024</v>
      </c>
      <c r="Q14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84" s="19" t="str">
        <f>TEXT(Planning[[#This Row],[Mes]]*29,"mmmm")</f>
        <v>October</v>
      </c>
      <c r="S14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84" s="208"/>
      <c r="U1484" s="43">
        <f>IF(Planning[[#This Row],[Horas Planificadas]]&lt;&gt;0,+K1484/Planning[[#This Row],[Horas Planificadas]],0)</f>
        <v>0</v>
      </c>
      <c r="V1484" s="43">
        <f>IF(Planning[[#This Row],[Horas Planificadas]]&lt;&gt;0,Planning[[#This Row],[Horas utilizadas]]/Planning[[#This Row],[Horas Planificadas]],0)</f>
        <v>0</v>
      </c>
      <c r="W1484" s="44">
        <f>Planning[[#This Row],[Horas Planificadas]]+Planning[[#This Row],[Horas ajustadas adicionales]]</f>
        <v>0</v>
      </c>
      <c r="X1484" s="142"/>
    </row>
    <row r="1485" spans="1:24" ht="12.75" customHeight="1" x14ac:dyDescent="0.2">
      <c r="A1485" s="7" t="s">
        <v>204</v>
      </c>
      <c r="B1485" s="7" t="s">
        <v>288</v>
      </c>
      <c r="C1485" s="3"/>
      <c r="D1485" s="3" t="s">
        <v>371</v>
      </c>
      <c r="E1485" s="4"/>
      <c r="F1485" s="3" t="s">
        <v>130</v>
      </c>
      <c r="G1485" s="9"/>
      <c r="H1485" s="9"/>
      <c r="I1485" s="12"/>
      <c r="J1485" s="5" t="e">
        <f>SUM(SUMIFS(#REF!,#REF!,Planning[[#This Row],[Tipo de Tarea y especialidad]],#REF!,Planning[[#This Row],[Proyectos Reiwa]]),SUMIFS(#REF!,#REF!,Planning[[#This Row],[Tipo de Tarea y especialidad]],#REF!,Planning[[#This Row],[Proyectos]]))</f>
        <v>#REF!</v>
      </c>
      <c r="K1485" s="5" t="e">
        <f>Planning[[#This Row],[Horas Planificadas]]+Planning[[#This Row],[Horas ajustadas adicionales]]-Planning[[#This Row],[Horas utilizadas]]</f>
        <v>#REF!</v>
      </c>
      <c r="L1485" s="7"/>
      <c r="M1485" s="19" t="e">
        <f>Planning[[#This Row],[Saldo]]-Planning[[#This Row],[Saldo estimado]]</f>
        <v>#REF!</v>
      </c>
      <c r="N1485" s="60" t="e">
        <f>+SUMIFS(#REF!,#REF!,Planning[[#This Row],[Proyectos]],#REF!,Planning[[#This Row],[Tipo de Tarea y especialidad]])</f>
        <v>#REF!</v>
      </c>
      <c r="O1485" s="19">
        <f t="shared" si="46"/>
        <v>10</v>
      </c>
      <c r="P1485" s="19">
        <f t="shared" si="47"/>
        <v>2024</v>
      </c>
      <c r="Q14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85" s="19" t="str">
        <f>TEXT(Planning[[#This Row],[Mes]]*29,"mmmm")</f>
        <v>October</v>
      </c>
      <c r="S14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85" s="208"/>
      <c r="U1485" s="43">
        <f>IF(Planning[[#This Row],[Horas Planificadas]]&lt;&gt;0,+K1485/Planning[[#This Row],[Horas Planificadas]],0)</f>
        <v>0</v>
      </c>
      <c r="V1485" s="43">
        <f>IF(Planning[[#This Row],[Horas Planificadas]]&lt;&gt;0,Planning[[#This Row],[Horas utilizadas]]/Planning[[#This Row],[Horas Planificadas]],0)</f>
        <v>0</v>
      </c>
      <c r="W1485" s="44">
        <f>Planning[[#This Row],[Horas Planificadas]]+Planning[[#This Row],[Horas ajustadas adicionales]]</f>
        <v>0</v>
      </c>
      <c r="X1485" s="142"/>
    </row>
    <row r="1486" spans="1:24" ht="12.75" customHeight="1" x14ac:dyDescent="0.2">
      <c r="A1486" s="7" t="s">
        <v>204</v>
      </c>
      <c r="B1486" s="7" t="s">
        <v>288</v>
      </c>
      <c r="C1486" s="3"/>
      <c r="D1486" s="3" t="s">
        <v>371</v>
      </c>
      <c r="E1486" s="4"/>
      <c r="F1486" s="3" t="s">
        <v>131</v>
      </c>
      <c r="G1486" s="9"/>
      <c r="H1486" s="9">
        <v>160</v>
      </c>
      <c r="I1486" s="12"/>
      <c r="J1486" s="5" t="e">
        <f>SUM(SUMIFS(#REF!,#REF!,Planning[[#This Row],[Tipo de Tarea y especialidad]],#REF!,Planning[[#This Row],[Proyectos Reiwa]]),SUMIFS(#REF!,#REF!,Planning[[#This Row],[Tipo de Tarea y especialidad]],#REF!,Planning[[#This Row],[Proyectos]]))</f>
        <v>#REF!</v>
      </c>
      <c r="K1486" s="5" t="e">
        <f>Planning[[#This Row],[Horas Planificadas]]+Planning[[#This Row],[Horas ajustadas adicionales]]-Planning[[#This Row],[Horas utilizadas]]</f>
        <v>#REF!</v>
      </c>
      <c r="L1486" s="7">
        <v>0</v>
      </c>
      <c r="M1486" s="19" t="e">
        <f>Planning[[#This Row],[Saldo]]-Planning[[#This Row],[Saldo estimado]]</f>
        <v>#REF!</v>
      </c>
      <c r="N1486" s="60" t="e">
        <f>+SUMIFS(#REF!,#REF!,Planning[[#This Row],[Proyectos]],#REF!,Planning[[#This Row],[Tipo de Tarea y especialidad]])</f>
        <v>#REF!</v>
      </c>
      <c r="O1486" s="19">
        <f t="shared" si="46"/>
        <v>10</v>
      </c>
      <c r="P1486" s="19">
        <f t="shared" si="47"/>
        <v>2024</v>
      </c>
      <c r="Q14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86" s="19" t="str">
        <f>TEXT(Planning[[#This Row],[Mes]]*29,"mmmm")</f>
        <v>October</v>
      </c>
      <c r="S14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86" s="208"/>
      <c r="U1486" s="43" t="e">
        <f>IF(Planning[[#This Row],[Horas Planificadas]]&lt;&gt;0,+K1486/Planning[[#This Row],[Horas Planificadas]],0)</f>
        <v>#REF!</v>
      </c>
      <c r="V1486" s="43" t="e">
        <f>IF(Planning[[#This Row],[Horas Planificadas]]&lt;&gt;0,Planning[[#This Row],[Horas utilizadas]]/Planning[[#This Row],[Horas Planificadas]],0)</f>
        <v>#REF!</v>
      </c>
      <c r="W1486" s="44">
        <f>Planning[[#This Row],[Horas Planificadas]]+Planning[[#This Row],[Horas ajustadas adicionales]]</f>
        <v>160</v>
      </c>
      <c r="X1486" s="142"/>
    </row>
    <row r="1487" spans="1:24" ht="12.75" customHeight="1" x14ac:dyDescent="0.2">
      <c r="A1487" s="7" t="s">
        <v>373</v>
      </c>
      <c r="B1487" s="7" t="s">
        <v>220</v>
      </c>
      <c r="C1487" s="3"/>
      <c r="D1487" s="3" t="s">
        <v>374</v>
      </c>
      <c r="E1487" s="4" t="s">
        <v>28</v>
      </c>
      <c r="F1487" s="3"/>
      <c r="G1487" s="9">
        <v>1557</v>
      </c>
      <c r="H1487" s="14">
        <f>SUM(H1488:H1489)</f>
        <v>1707</v>
      </c>
      <c r="I1487" s="14"/>
      <c r="J1487" s="14" t="e">
        <f>SUM(J1488:J1489)</f>
        <v>#REF!</v>
      </c>
      <c r="K1487" s="15" t="e">
        <f>SUM(K1488:K1489)</f>
        <v>#REF!</v>
      </c>
      <c r="L1487" s="15">
        <f>SUM(L1488:L1489)</f>
        <v>0</v>
      </c>
      <c r="M1487" s="14" t="e">
        <f>SUM(M1488:M1489)</f>
        <v>#REF!</v>
      </c>
      <c r="N1487" s="66" t="e">
        <f>+SUMIFS(#REF!,#REF!,Planning[[#This Row],[Proyectos]],#REF!,Planning[[#This Row],[Tipo de Tarea y especialidad]])</f>
        <v>#REF!</v>
      </c>
      <c r="O1487" s="14">
        <f t="shared" si="46"/>
        <v>10</v>
      </c>
      <c r="P1487" s="14">
        <f t="shared" si="47"/>
        <v>2024</v>
      </c>
      <c r="Q1487" s="28" t="e">
        <f>SUM(Q1488:Q1489)</f>
        <v>#REF!</v>
      </c>
      <c r="R1487" s="28" t="str">
        <f>TEXT(Planning[[#This Row],[Mes]]*29,"mmmm")</f>
        <v>October</v>
      </c>
      <c r="S14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87" s="235" t="s">
        <v>375</v>
      </c>
      <c r="U1487" s="43" t="e">
        <f>IF(Planning[[#This Row],[Horas Planificadas]]&lt;&gt;0,+K1487/Planning[[#This Row],[Horas Planificadas]],0)</f>
        <v>#REF!</v>
      </c>
      <c r="V1487" s="43" t="e">
        <f>IF(Planning[[#This Row],[Horas Planificadas]]&lt;&gt;0,Planning[[#This Row],[Horas utilizadas]]/Planning[[#This Row],[Horas Planificadas]],0)</f>
        <v>#REF!</v>
      </c>
      <c r="W1487" s="44">
        <f>Planning[[#This Row],[Horas Planificadas]]+Planning[[#This Row],[Horas ajustadas adicionales]]</f>
        <v>1707</v>
      </c>
      <c r="X1487" s="142"/>
    </row>
    <row r="1488" spans="1:24" ht="12.75" customHeight="1" x14ac:dyDescent="0.2">
      <c r="A1488" s="7" t="s">
        <v>373</v>
      </c>
      <c r="B1488" s="7" t="s">
        <v>220</v>
      </c>
      <c r="C1488" s="3"/>
      <c r="D1488" s="3" t="s">
        <v>374</v>
      </c>
      <c r="E1488" s="4"/>
      <c r="F1488" s="3" t="s">
        <v>120</v>
      </c>
      <c r="G1488" s="9"/>
      <c r="H1488" s="9">
        <v>1090</v>
      </c>
      <c r="I1488" s="12"/>
      <c r="J1488" s="5" t="e">
        <f>SUM(SUMIFS(#REF!,#REF!,Planning[[#This Row],[Tipo de Tarea y especialidad]],#REF!,Planning[[#This Row],[Proyectos Reiwa]]),SUMIFS(#REF!,#REF!,Planning[[#This Row],[Tipo de Tarea y especialidad]],#REF!,Planning[[#This Row],[Proyectos]]))</f>
        <v>#REF!</v>
      </c>
      <c r="K1488" s="5" t="e">
        <f>Planning[[#This Row],[Horas Planificadas]]+Planning[[#This Row],[Horas ajustadas adicionales]]-Planning[[#This Row],[Horas utilizadas]]</f>
        <v>#REF!</v>
      </c>
      <c r="L1488" s="7">
        <v>0</v>
      </c>
      <c r="M1488" s="19" t="e">
        <f>Planning[[#This Row],[Saldo]]-Planning[[#This Row],[Saldo estimado]]</f>
        <v>#REF!</v>
      </c>
      <c r="N1488" s="60" t="e">
        <f>+SUMIFS(#REF!,#REF!,Planning[[#This Row],[Proyectos]],#REF!,Planning[[#This Row],[Tipo de Tarea y especialidad]])</f>
        <v>#REF!</v>
      </c>
      <c r="O1488" s="19">
        <f t="shared" si="46"/>
        <v>10</v>
      </c>
      <c r="P1488" s="19">
        <f t="shared" si="47"/>
        <v>2024</v>
      </c>
      <c r="Q14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88" s="19" t="str">
        <f>TEXT(Planning[[#This Row],[Mes]]*29,"mmmm")</f>
        <v>October</v>
      </c>
      <c r="S14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88" s="239"/>
      <c r="U1488" s="43" t="e">
        <f>IF(Planning[[#This Row],[Horas Planificadas]]&lt;&gt;0,+K1488/Planning[[#This Row],[Horas Planificadas]],0)</f>
        <v>#REF!</v>
      </c>
      <c r="V1488" s="43" t="e">
        <f>IF(Planning[[#This Row],[Horas Planificadas]]&lt;&gt;0,Planning[[#This Row],[Horas utilizadas]]/Planning[[#This Row],[Horas Planificadas]],0)</f>
        <v>#REF!</v>
      </c>
      <c r="W1488" s="44">
        <f>Planning[[#This Row],[Horas Planificadas]]+Planning[[#This Row],[Horas ajustadas adicionales]]</f>
        <v>1090</v>
      </c>
      <c r="X1488" s="142"/>
    </row>
    <row r="1489" spans="1:24" ht="12.75" customHeight="1" x14ac:dyDescent="0.2">
      <c r="A1489" s="7" t="s">
        <v>373</v>
      </c>
      <c r="B1489" s="7" t="s">
        <v>220</v>
      </c>
      <c r="C1489" s="3"/>
      <c r="D1489" s="3" t="s">
        <v>374</v>
      </c>
      <c r="E1489" s="4"/>
      <c r="F1489" s="3" t="s">
        <v>121</v>
      </c>
      <c r="G1489" s="9"/>
      <c r="H1489" s="9">
        <v>617</v>
      </c>
      <c r="I1489" s="12"/>
      <c r="J1489" s="5" t="e">
        <f>SUM(SUMIFS(#REF!,#REF!,Planning[[#This Row],[Tipo de Tarea y especialidad]],#REF!,Planning[[#This Row],[Proyectos Reiwa]]),SUMIFS(#REF!,#REF!,Planning[[#This Row],[Tipo de Tarea y especialidad]],#REF!,Planning[[#This Row],[Proyectos]]))</f>
        <v>#REF!</v>
      </c>
      <c r="K1489" s="5" t="e">
        <f>Planning[[#This Row],[Horas Planificadas]]+Planning[[#This Row],[Horas ajustadas adicionales]]-Planning[[#This Row],[Horas utilizadas]]</f>
        <v>#REF!</v>
      </c>
      <c r="L1489" s="7">
        <v>0</v>
      </c>
      <c r="M1489" s="19" t="e">
        <f>Planning[[#This Row],[Saldo]]-Planning[[#This Row],[Saldo estimado]]</f>
        <v>#REF!</v>
      </c>
      <c r="N1489" s="60" t="e">
        <f>+SUMIFS(#REF!,#REF!,Planning[[#This Row],[Proyectos]],#REF!,Planning[[#This Row],[Tipo de Tarea y especialidad]])</f>
        <v>#REF!</v>
      </c>
      <c r="O1489" s="19">
        <f t="shared" si="46"/>
        <v>10</v>
      </c>
      <c r="P1489" s="19">
        <f t="shared" si="47"/>
        <v>2024</v>
      </c>
      <c r="Q14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89" s="19" t="str">
        <f>TEXT(Planning[[#This Row],[Mes]]*29,"mmmm")</f>
        <v>October</v>
      </c>
      <c r="S14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89" s="239"/>
      <c r="U1489" s="43" t="e">
        <f>IF(Planning[[#This Row],[Horas Planificadas]]&lt;&gt;0,+K1489/Planning[[#This Row],[Horas Planificadas]],0)</f>
        <v>#REF!</v>
      </c>
      <c r="V1489" s="43" t="e">
        <f>IF(Planning[[#This Row],[Horas Planificadas]]&lt;&gt;0,Planning[[#This Row],[Horas utilizadas]]/Planning[[#This Row],[Horas Planificadas]],0)</f>
        <v>#REF!</v>
      </c>
      <c r="W1489" s="44">
        <f>Planning[[#This Row],[Horas Planificadas]]+Planning[[#This Row],[Horas ajustadas adicionales]]</f>
        <v>617</v>
      </c>
      <c r="X1489" s="142"/>
    </row>
    <row r="1490" spans="1:24" ht="12.75" customHeight="1" x14ac:dyDescent="0.2">
      <c r="A1490" s="7" t="s">
        <v>373</v>
      </c>
      <c r="B1490" s="7" t="s">
        <v>220</v>
      </c>
      <c r="C1490" s="3"/>
      <c r="D1490" s="3" t="s">
        <v>374</v>
      </c>
      <c r="E1490" s="4" t="s">
        <v>30</v>
      </c>
      <c r="F1490" s="3"/>
      <c r="G1490" s="9">
        <v>1981</v>
      </c>
      <c r="H1490" s="14">
        <f>SUM(H1491:H1497)</f>
        <v>2201</v>
      </c>
      <c r="I1490" s="14"/>
      <c r="J1490" s="14" t="e">
        <f>SUM(J1491:J1497)</f>
        <v>#REF!</v>
      </c>
      <c r="K1490" s="15" t="e">
        <f>SUM(K1491:K1497)</f>
        <v>#REF!</v>
      </c>
      <c r="L1490" s="15">
        <f>SUM(L1491:L1497)</f>
        <v>0</v>
      </c>
      <c r="M1490" s="16" t="e">
        <f>SUM(M1491:M1497)</f>
        <v>#REF!</v>
      </c>
      <c r="N1490" s="60" t="e">
        <f>+SUMIFS(#REF!,#REF!,Planning[[#This Row],[Proyectos]],#REF!,Planning[[#This Row],[Tipo de Tarea y especialidad]])</f>
        <v>#REF!</v>
      </c>
      <c r="O1490" s="16">
        <f t="shared" si="46"/>
        <v>10</v>
      </c>
      <c r="P1490" s="16">
        <f t="shared" si="47"/>
        <v>2024</v>
      </c>
      <c r="Q1490" s="16" t="e">
        <f>SUM(Q1491:Q1497)</f>
        <v>#REF!</v>
      </c>
      <c r="R1490" s="16" t="str">
        <f>TEXT(Planning[[#This Row],[Mes]]*29,"mmmm")</f>
        <v>October</v>
      </c>
      <c r="S14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90" s="239"/>
      <c r="U1490" s="43" t="e">
        <f>IF(Planning[[#This Row],[Horas Planificadas]]&lt;&gt;0,+K1490/Planning[[#This Row],[Horas Planificadas]],0)</f>
        <v>#REF!</v>
      </c>
      <c r="V1490" s="43" t="e">
        <f>IF(Planning[[#This Row],[Horas Planificadas]]&lt;&gt;0,Planning[[#This Row],[Horas utilizadas]]/Planning[[#This Row],[Horas Planificadas]],0)</f>
        <v>#REF!</v>
      </c>
      <c r="W1490" s="44">
        <f>Planning[[#This Row],[Horas Planificadas]]+Planning[[#This Row],[Horas ajustadas adicionales]]</f>
        <v>2201</v>
      </c>
      <c r="X1490" s="142"/>
    </row>
    <row r="1491" spans="1:24" ht="12.75" customHeight="1" x14ac:dyDescent="0.2">
      <c r="A1491" s="7" t="s">
        <v>373</v>
      </c>
      <c r="B1491" s="7" t="s">
        <v>220</v>
      </c>
      <c r="C1491" s="3"/>
      <c r="D1491" s="3" t="s">
        <v>374</v>
      </c>
      <c r="E1491" s="4"/>
      <c r="F1491" s="3" t="s">
        <v>122</v>
      </c>
      <c r="G1491" s="9"/>
      <c r="H1491" s="9">
        <v>1231</v>
      </c>
      <c r="I1491" s="12"/>
      <c r="J1491" s="5" t="e">
        <f>SUM(SUMIFS(#REF!,#REF!,Planning[[#This Row],[Tipo de Tarea y especialidad]],#REF!,Planning[[#This Row],[Proyectos Reiwa]]),SUMIFS(#REF!,#REF!,Planning[[#This Row],[Tipo de Tarea y especialidad]],#REF!,Planning[[#This Row],[Proyectos]]))</f>
        <v>#REF!</v>
      </c>
      <c r="K1491" s="5" t="e">
        <f>Planning[[#This Row],[Horas Planificadas]]+Planning[[#This Row],[Horas ajustadas adicionales]]-Planning[[#This Row],[Horas utilizadas]]</f>
        <v>#REF!</v>
      </c>
      <c r="L1491" s="7">
        <v>0</v>
      </c>
      <c r="M1491" s="19" t="e">
        <f>Planning[[#This Row],[Saldo]]-Planning[[#This Row],[Saldo estimado]]</f>
        <v>#REF!</v>
      </c>
      <c r="N1491" s="60" t="e">
        <f>+SUMIFS(#REF!,#REF!,Planning[[#This Row],[Proyectos]],#REF!,Planning[[#This Row],[Tipo de Tarea y especialidad]])</f>
        <v>#REF!</v>
      </c>
      <c r="O1491" s="19">
        <f t="shared" si="46"/>
        <v>10</v>
      </c>
      <c r="P1491" s="19">
        <f t="shared" si="47"/>
        <v>2024</v>
      </c>
      <c r="Q14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91" s="19" t="str">
        <f>TEXT(Planning[[#This Row],[Mes]]*29,"mmmm")</f>
        <v>October</v>
      </c>
      <c r="S14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91" s="239"/>
      <c r="U1491" s="43" t="e">
        <f>IF(Planning[[#This Row],[Horas Planificadas]]&lt;&gt;0,+K1491/Planning[[#This Row],[Horas Planificadas]],0)</f>
        <v>#REF!</v>
      </c>
      <c r="V1491" s="43" t="e">
        <f>IF(Planning[[#This Row],[Horas Planificadas]]&lt;&gt;0,Planning[[#This Row],[Horas utilizadas]]/Planning[[#This Row],[Horas Planificadas]],0)</f>
        <v>#REF!</v>
      </c>
      <c r="W1491" s="44">
        <f>Planning[[#This Row],[Horas Planificadas]]+Planning[[#This Row],[Horas ajustadas adicionales]]</f>
        <v>1231</v>
      </c>
      <c r="X1491" s="142"/>
    </row>
    <row r="1492" spans="1:24" ht="12.75" customHeight="1" x14ac:dyDescent="0.2">
      <c r="A1492" s="7" t="s">
        <v>373</v>
      </c>
      <c r="B1492" s="7" t="s">
        <v>220</v>
      </c>
      <c r="C1492" s="3"/>
      <c r="D1492" s="3" t="s">
        <v>374</v>
      </c>
      <c r="E1492" s="4"/>
      <c r="F1492" s="3" t="s">
        <v>123</v>
      </c>
      <c r="G1492" s="9"/>
      <c r="H1492" s="9">
        <v>670</v>
      </c>
      <c r="I1492" s="12"/>
      <c r="J1492" s="5" t="e">
        <f>SUM(SUMIFS(#REF!,#REF!,Planning[[#This Row],[Tipo de Tarea y especialidad]],#REF!,Planning[[#This Row],[Proyectos Reiwa]]),SUMIFS(#REF!,#REF!,Planning[[#This Row],[Tipo de Tarea y especialidad]],#REF!,Planning[[#This Row],[Proyectos]]))</f>
        <v>#REF!</v>
      </c>
      <c r="K1492" s="5" t="e">
        <f>Planning[[#This Row],[Horas Planificadas]]+Planning[[#This Row],[Horas ajustadas adicionales]]-Planning[[#This Row],[Horas utilizadas]]</f>
        <v>#REF!</v>
      </c>
      <c r="L1492" s="7">
        <v>0</v>
      </c>
      <c r="M1492" s="19" t="e">
        <f>Planning[[#This Row],[Saldo]]-Planning[[#This Row],[Saldo estimado]]</f>
        <v>#REF!</v>
      </c>
      <c r="N1492" s="60" t="e">
        <f>+SUMIFS(#REF!,#REF!,Planning[[#This Row],[Proyectos]],#REF!,Planning[[#This Row],[Tipo de Tarea y especialidad]])</f>
        <v>#REF!</v>
      </c>
      <c r="O1492" s="19">
        <f t="shared" si="46"/>
        <v>10</v>
      </c>
      <c r="P1492" s="19">
        <f t="shared" si="47"/>
        <v>2024</v>
      </c>
      <c r="Q14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92" s="19" t="str">
        <f>TEXT(Planning[[#This Row],[Mes]]*29,"mmmm")</f>
        <v>October</v>
      </c>
      <c r="S14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92" s="239"/>
      <c r="U1492" s="43" t="e">
        <f>IF(Planning[[#This Row],[Horas Planificadas]]&lt;&gt;0,+K1492/Planning[[#This Row],[Horas Planificadas]],0)</f>
        <v>#REF!</v>
      </c>
      <c r="V1492" s="43" t="e">
        <f>IF(Planning[[#This Row],[Horas Planificadas]]&lt;&gt;0,Planning[[#This Row],[Horas utilizadas]]/Planning[[#This Row],[Horas Planificadas]],0)</f>
        <v>#REF!</v>
      </c>
      <c r="W1492" s="44">
        <f>Planning[[#This Row],[Horas Planificadas]]+Planning[[#This Row],[Horas ajustadas adicionales]]</f>
        <v>670</v>
      </c>
      <c r="X1492" s="142"/>
    </row>
    <row r="1493" spans="1:24" ht="12.75" customHeight="1" x14ac:dyDescent="0.2">
      <c r="A1493" s="7" t="s">
        <v>373</v>
      </c>
      <c r="B1493" s="7" t="s">
        <v>220</v>
      </c>
      <c r="C1493" s="3"/>
      <c r="D1493" s="3" t="s">
        <v>374</v>
      </c>
      <c r="E1493" s="4"/>
      <c r="F1493" s="3" t="s">
        <v>124</v>
      </c>
      <c r="G1493" s="9"/>
      <c r="H1493" s="9">
        <v>300</v>
      </c>
      <c r="I1493" s="12"/>
      <c r="J1493" s="5" t="e">
        <f>SUM(SUMIFS(#REF!,#REF!,Planning[[#This Row],[Tipo de Tarea y especialidad]],#REF!,Planning[[#This Row],[Proyectos Reiwa]]),SUMIFS(#REF!,#REF!,Planning[[#This Row],[Tipo de Tarea y especialidad]],#REF!,Planning[[#This Row],[Proyectos]]))</f>
        <v>#REF!</v>
      </c>
      <c r="K1493" s="5" t="e">
        <f>Planning[[#This Row],[Horas Planificadas]]+Planning[[#This Row],[Horas ajustadas adicionales]]-Planning[[#This Row],[Horas utilizadas]]</f>
        <v>#REF!</v>
      </c>
      <c r="L1493" s="7">
        <v>0</v>
      </c>
      <c r="M1493" s="19" t="e">
        <f>Planning[[#This Row],[Saldo]]-Planning[[#This Row],[Saldo estimado]]</f>
        <v>#REF!</v>
      </c>
      <c r="N1493" s="60" t="e">
        <f>+SUMIFS(#REF!,#REF!,Planning[[#This Row],[Proyectos]],#REF!,Planning[[#This Row],[Tipo de Tarea y especialidad]])</f>
        <v>#REF!</v>
      </c>
      <c r="O1493" s="19">
        <f t="shared" si="46"/>
        <v>10</v>
      </c>
      <c r="P1493" s="19">
        <f t="shared" si="47"/>
        <v>2024</v>
      </c>
      <c r="Q14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93" s="19" t="str">
        <f>TEXT(Planning[[#This Row],[Mes]]*29,"mmmm")</f>
        <v>October</v>
      </c>
      <c r="S14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93" s="239"/>
      <c r="U1493" s="43" t="e">
        <f>IF(Planning[[#This Row],[Horas Planificadas]]&lt;&gt;0,+K1493/Planning[[#This Row],[Horas Planificadas]],0)</f>
        <v>#REF!</v>
      </c>
      <c r="V1493" s="43" t="e">
        <f>IF(Planning[[#This Row],[Horas Planificadas]]&lt;&gt;0,Planning[[#This Row],[Horas utilizadas]]/Planning[[#This Row],[Horas Planificadas]],0)</f>
        <v>#REF!</v>
      </c>
      <c r="W1493" s="44">
        <f>Planning[[#This Row],[Horas Planificadas]]+Planning[[#This Row],[Horas ajustadas adicionales]]</f>
        <v>300</v>
      </c>
      <c r="X1493" s="142"/>
    </row>
    <row r="1494" spans="1:24" ht="12.75" customHeight="1" x14ac:dyDescent="0.2">
      <c r="A1494" s="7" t="s">
        <v>373</v>
      </c>
      <c r="B1494" s="7" t="s">
        <v>220</v>
      </c>
      <c r="C1494" s="3"/>
      <c r="D1494" s="3" t="s">
        <v>374</v>
      </c>
      <c r="E1494" s="4"/>
      <c r="F1494" s="3" t="s">
        <v>125</v>
      </c>
      <c r="G1494" s="9"/>
      <c r="H1494" s="9"/>
      <c r="I1494" s="12"/>
      <c r="J1494" s="5" t="e">
        <f>SUM(SUMIFS(#REF!,#REF!,Planning[[#This Row],[Tipo de Tarea y especialidad]],#REF!,Planning[[#This Row],[Proyectos Reiwa]]),SUMIFS(#REF!,#REF!,Planning[[#This Row],[Tipo de Tarea y especialidad]],#REF!,Planning[[#This Row],[Proyectos]]))</f>
        <v>#REF!</v>
      </c>
      <c r="K1494" s="5" t="e">
        <f>Planning[[#This Row],[Horas Planificadas]]+Planning[[#This Row],[Horas ajustadas adicionales]]-Planning[[#This Row],[Horas utilizadas]]</f>
        <v>#REF!</v>
      </c>
      <c r="L1494" s="7">
        <v>0</v>
      </c>
      <c r="M1494" s="19" t="e">
        <f>Planning[[#This Row],[Saldo]]-Planning[[#This Row],[Saldo estimado]]</f>
        <v>#REF!</v>
      </c>
      <c r="N1494" s="60" t="e">
        <f>+SUMIFS(#REF!,#REF!,Planning[[#This Row],[Proyectos]],#REF!,Planning[[#This Row],[Tipo de Tarea y especialidad]])</f>
        <v>#REF!</v>
      </c>
      <c r="O1494" s="19">
        <f t="shared" si="46"/>
        <v>10</v>
      </c>
      <c r="P1494" s="19">
        <f t="shared" si="47"/>
        <v>2024</v>
      </c>
      <c r="Q14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94" s="19" t="str">
        <f>TEXT(Planning[[#This Row],[Mes]]*29,"mmmm")</f>
        <v>October</v>
      </c>
      <c r="S14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94" s="239"/>
      <c r="U1494" s="43">
        <f>IF(Planning[[#This Row],[Horas Planificadas]]&lt;&gt;0,+K1494/Planning[[#This Row],[Horas Planificadas]],0)</f>
        <v>0</v>
      </c>
      <c r="V1494" s="43">
        <f>IF(Planning[[#This Row],[Horas Planificadas]]&lt;&gt;0,Planning[[#This Row],[Horas utilizadas]]/Planning[[#This Row],[Horas Planificadas]],0)</f>
        <v>0</v>
      </c>
      <c r="W1494" s="44">
        <f>Planning[[#This Row],[Horas Planificadas]]+Planning[[#This Row],[Horas ajustadas adicionales]]</f>
        <v>0</v>
      </c>
      <c r="X1494" s="142"/>
    </row>
    <row r="1495" spans="1:24" ht="12.75" customHeight="1" x14ac:dyDescent="0.2">
      <c r="A1495" s="7" t="s">
        <v>373</v>
      </c>
      <c r="B1495" s="7" t="s">
        <v>220</v>
      </c>
      <c r="C1495" s="3"/>
      <c r="D1495" s="3" t="s">
        <v>374</v>
      </c>
      <c r="E1495" s="4"/>
      <c r="F1495" s="3" t="s">
        <v>126</v>
      </c>
      <c r="G1495" s="9"/>
      <c r="H1495" s="9"/>
      <c r="I1495" s="12"/>
      <c r="J1495" s="5" t="e">
        <f>SUM(SUMIFS(#REF!,#REF!,Planning[[#This Row],[Tipo de Tarea y especialidad]],#REF!,Planning[[#This Row],[Proyectos Reiwa]]),SUMIFS(#REF!,#REF!,Planning[[#This Row],[Tipo de Tarea y especialidad]],#REF!,Planning[[#This Row],[Proyectos]]))</f>
        <v>#REF!</v>
      </c>
      <c r="K1495" s="5" t="e">
        <f>Planning[[#This Row],[Horas Planificadas]]+Planning[[#This Row],[Horas ajustadas adicionales]]-Planning[[#This Row],[Horas utilizadas]]</f>
        <v>#REF!</v>
      </c>
      <c r="L1495" s="7">
        <v>0</v>
      </c>
      <c r="M1495" s="19" t="e">
        <f>Planning[[#This Row],[Saldo]]-Planning[[#This Row],[Saldo estimado]]</f>
        <v>#REF!</v>
      </c>
      <c r="N1495" s="60" t="e">
        <f>+SUMIFS(#REF!,#REF!,Planning[[#This Row],[Proyectos]],#REF!,Planning[[#This Row],[Tipo de Tarea y especialidad]])</f>
        <v>#REF!</v>
      </c>
      <c r="O1495" s="19">
        <f t="shared" si="46"/>
        <v>10</v>
      </c>
      <c r="P1495" s="19">
        <f t="shared" si="47"/>
        <v>2024</v>
      </c>
      <c r="Q14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95" s="19" t="str">
        <f>TEXT(Planning[[#This Row],[Mes]]*29,"mmmm")</f>
        <v>October</v>
      </c>
      <c r="S14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95" s="239"/>
      <c r="U1495" s="43">
        <f>IF(Planning[[#This Row],[Horas Planificadas]]&lt;&gt;0,+K1495/Planning[[#This Row],[Horas Planificadas]],0)</f>
        <v>0</v>
      </c>
      <c r="V1495" s="43">
        <f>IF(Planning[[#This Row],[Horas Planificadas]]&lt;&gt;0,Planning[[#This Row],[Horas utilizadas]]/Planning[[#This Row],[Horas Planificadas]],0)</f>
        <v>0</v>
      </c>
      <c r="W1495" s="44">
        <f>Planning[[#This Row],[Horas Planificadas]]+Planning[[#This Row],[Horas ajustadas adicionales]]</f>
        <v>0</v>
      </c>
      <c r="X1495" s="142"/>
    </row>
    <row r="1496" spans="1:24" ht="12.75" customHeight="1" x14ac:dyDescent="0.2">
      <c r="A1496" s="7" t="s">
        <v>373</v>
      </c>
      <c r="B1496" s="7" t="s">
        <v>220</v>
      </c>
      <c r="C1496" s="3"/>
      <c r="D1496" s="3" t="s">
        <v>374</v>
      </c>
      <c r="E1496" s="4"/>
      <c r="F1496" s="3" t="s">
        <v>127</v>
      </c>
      <c r="G1496" s="9"/>
      <c r="H1496" s="9"/>
      <c r="I1496" s="12"/>
      <c r="J1496" s="5" t="e">
        <f>SUM(SUMIFS(#REF!,#REF!,Planning[[#This Row],[Tipo de Tarea y especialidad]],#REF!,Planning[[#This Row],[Proyectos Reiwa]]),SUMIFS(#REF!,#REF!,Planning[[#This Row],[Tipo de Tarea y especialidad]],#REF!,Planning[[#This Row],[Proyectos]]))</f>
        <v>#REF!</v>
      </c>
      <c r="K1496" s="5" t="e">
        <f>Planning[[#This Row],[Horas Planificadas]]+Planning[[#This Row],[Horas ajustadas adicionales]]-Planning[[#This Row],[Horas utilizadas]]</f>
        <v>#REF!</v>
      </c>
      <c r="L1496" s="7">
        <v>0</v>
      </c>
      <c r="M1496" s="19" t="e">
        <f>Planning[[#This Row],[Saldo]]-Planning[[#This Row],[Saldo estimado]]</f>
        <v>#REF!</v>
      </c>
      <c r="N1496" s="60" t="e">
        <f>+SUMIFS(#REF!,#REF!,Planning[[#This Row],[Proyectos]],#REF!,Planning[[#This Row],[Tipo de Tarea y especialidad]])</f>
        <v>#REF!</v>
      </c>
      <c r="O1496" s="19">
        <f t="shared" si="46"/>
        <v>10</v>
      </c>
      <c r="P1496" s="19">
        <f t="shared" si="47"/>
        <v>2024</v>
      </c>
      <c r="Q14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96" s="19" t="str">
        <f>TEXT(Planning[[#This Row],[Mes]]*29,"mmmm")</f>
        <v>October</v>
      </c>
      <c r="S14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96" s="239"/>
      <c r="U1496" s="43">
        <f>IF(Planning[[#This Row],[Horas Planificadas]]&lt;&gt;0,+K1496/Planning[[#This Row],[Horas Planificadas]],0)</f>
        <v>0</v>
      </c>
      <c r="V1496" s="43">
        <f>IF(Planning[[#This Row],[Horas Planificadas]]&lt;&gt;0,Planning[[#This Row],[Horas utilizadas]]/Planning[[#This Row],[Horas Planificadas]],0)</f>
        <v>0</v>
      </c>
      <c r="W1496" s="44">
        <f>Planning[[#This Row],[Horas Planificadas]]+Planning[[#This Row],[Horas ajustadas adicionales]]</f>
        <v>0</v>
      </c>
      <c r="X1496" s="142"/>
    </row>
    <row r="1497" spans="1:24" ht="12.75" customHeight="1" x14ac:dyDescent="0.2">
      <c r="A1497" s="7" t="s">
        <v>373</v>
      </c>
      <c r="B1497" s="7" t="s">
        <v>220</v>
      </c>
      <c r="C1497" s="3"/>
      <c r="D1497" s="3" t="s">
        <v>374</v>
      </c>
      <c r="E1497" s="4"/>
      <c r="F1497" s="3" t="s">
        <v>128</v>
      </c>
      <c r="G1497" s="9"/>
      <c r="H1497" s="9"/>
      <c r="I1497" s="12"/>
      <c r="J1497" s="5" t="e">
        <f>SUM(SUMIFS(#REF!,#REF!,Planning[[#This Row],[Tipo de Tarea y especialidad]],#REF!,Planning[[#This Row],[Proyectos Reiwa]]),SUMIFS(#REF!,#REF!,Planning[[#This Row],[Tipo de Tarea y especialidad]],#REF!,Planning[[#This Row],[Proyectos]]))</f>
        <v>#REF!</v>
      </c>
      <c r="K1497" s="5" t="e">
        <f>Planning[[#This Row],[Horas Planificadas]]+Planning[[#This Row],[Horas ajustadas adicionales]]-Planning[[#This Row],[Horas utilizadas]]</f>
        <v>#REF!</v>
      </c>
      <c r="L1497" s="7">
        <v>0</v>
      </c>
      <c r="M1497" s="19" t="e">
        <f>Planning[[#This Row],[Saldo]]-Planning[[#This Row],[Saldo estimado]]</f>
        <v>#REF!</v>
      </c>
      <c r="N1497" s="60" t="e">
        <f>+SUMIFS(#REF!,#REF!,Planning[[#This Row],[Proyectos]],#REF!,Planning[[#This Row],[Tipo de Tarea y especialidad]])</f>
        <v>#REF!</v>
      </c>
      <c r="O1497" s="19">
        <f t="shared" si="46"/>
        <v>10</v>
      </c>
      <c r="P1497" s="19">
        <f t="shared" si="47"/>
        <v>2024</v>
      </c>
      <c r="Q14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497" s="19" t="str">
        <f>TEXT(Planning[[#This Row],[Mes]]*29,"mmmm")</f>
        <v>October</v>
      </c>
      <c r="S14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97" s="239"/>
      <c r="U1497" s="43">
        <f>IF(Planning[[#This Row],[Horas Planificadas]]&lt;&gt;0,+K1497/Planning[[#This Row],[Horas Planificadas]],0)</f>
        <v>0</v>
      </c>
      <c r="V1497" s="43">
        <f>IF(Planning[[#This Row],[Horas Planificadas]]&lt;&gt;0,Planning[[#This Row],[Horas utilizadas]]/Planning[[#This Row],[Horas Planificadas]],0)</f>
        <v>0</v>
      </c>
      <c r="W1497" s="44">
        <f>Planning[[#This Row],[Horas Planificadas]]+Planning[[#This Row],[Horas ajustadas adicionales]]</f>
        <v>0</v>
      </c>
      <c r="X1497" s="142"/>
    </row>
    <row r="1498" spans="1:24" ht="12.75" customHeight="1" x14ac:dyDescent="0.2">
      <c r="A1498" s="7" t="s">
        <v>373</v>
      </c>
      <c r="B1498" s="7" t="s">
        <v>220</v>
      </c>
      <c r="C1498" s="3"/>
      <c r="D1498" s="3" t="s">
        <v>374</v>
      </c>
      <c r="E1498" s="4" t="s">
        <v>31</v>
      </c>
      <c r="F1498" s="3" t="s">
        <v>31</v>
      </c>
      <c r="G1498" s="9">
        <v>535</v>
      </c>
      <c r="H1498" s="17">
        <v>535</v>
      </c>
      <c r="I1498" s="18"/>
      <c r="J1498" s="14" t="e">
        <f>+SUMIFS(#REF!,#REF!,Planning[[#This Row],[Tarifa]],#REF!,Planning[[#This Row],[Proyectos]])</f>
        <v>#REF!</v>
      </c>
      <c r="K1498" s="14" t="e">
        <f>Planning[[#This Row],[Horas Planificadas]]+Planning[[#This Row],[Horas ajustadas adicionales]]-Planning[[#This Row],[Horas utilizadas]]</f>
        <v>#REF!</v>
      </c>
      <c r="L1498" s="15">
        <v>0</v>
      </c>
      <c r="M1498" s="16" t="e">
        <f>Planning[[#This Row],[Saldo]]-Planning[[#This Row],[Saldo estimado]]</f>
        <v>#REF!</v>
      </c>
      <c r="N1498" s="60" t="e">
        <f>+SUMIFS(#REF!,#REF!,Planning[[#This Row],[Proyectos]],#REF!,Planning[[#This Row],[Tipo de Tarea y especialidad]])</f>
        <v>#REF!</v>
      </c>
      <c r="O1498" s="16">
        <f t="shared" si="46"/>
        <v>10</v>
      </c>
      <c r="P1498" s="16">
        <f t="shared" si="47"/>
        <v>2024</v>
      </c>
      <c r="Q1498" s="16" t="e">
        <f>+SUMIFS(#REF!,#REF!,Planning[[#This Row],[Tarifa]],#REF!,Planning[[#This Row],[Proyectos]],#REF!,Planning[[#This Row],[Mes]],#REF!,Planning[[#This Row],[Año]])</f>
        <v>#REF!</v>
      </c>
      <c r="R1498" s="16" t="str">
        <f>TEXT(Planning[[#This Row],[Mes]]*29,"mmmm")</f>
        <v>October</v>
      </c>
      <c r="S14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98" s="239"/>
      <c r="U1498" s="43" t="e">
        <f>IF(Planning[[#This Row],[Horas Planificadas]]&lt;&gt;0,+K1498/Planning[[#This Row],[Horas Planificadas]],0)</f>
        <v>#REF!</v>
      </c>
      <c r="V1498" s="43" t="e">
        <f>IF(Planning[[#This Row],[Horas Planificadas]]&lt;&gt;0,Planning[[#This Row],[Horas utilizadas]]/Planning[[#This Row],[Horas Planificadas]],0)</f>
        <v>#REF!</v>
      </c>
      <c r="W1498" s="44">
        <f>Planning[[#This Row],[Horas Planificadas]]+Planning[[#This Row],[Horas ajustadas adicionales]]</f>
        <v>535</v>
      </c>
      <c r="X1498" s="142"/>
    </row>
    <row r="1499" spans="1:24" ht="12.75" customHeight="1" x14ac:dyDescent="0.2">
      <c r="A1499" s="7" t="s">
        <v>373</v>
      </c>
      <c r="B1499" s="7" t="s">
        <v>220</v>
      </c>
      <c r="C1499" s="3"/>
      <c r="D1499" s="3" t="s">
        <v>374</v>
      </c>
      <c r="E1499" s="4" t="s">
        <v>32</v>
      </c>
      <c r="F1499" s="3"/>
      <c r="G1499" s="9">
        <v>620</v>
      </c>
      <c r="H1499" s="14">
        <f>SUM(H1500:H1502)</f>
        <v>747</v>
      </c>
      <c r="I1499" s="14"/>
      <c r="J1499" s="14" t="e">
        <f>SUM(J1500:J1502)</f>
        <v>#REF!</v>
      </c>
      <c r="K1499" s="15" t="e">
        <f>SUM(K1500:K1502)</f>
        <v>#REF!</v>
      </c>
      <c r="L1499" s="15">
        <f>SUM(L1500:L1502)</f>
        <v>0</v>
      </c>
      <c r="M1499" s="16" t="e">
        <f>SUM(M1500:M1502)</f>
        <v>#REF!</v>
      </c>
      <c r="N1499" s="60" t="e">
        <f>+SUMIFS(#REF!,#REF!,Planning[[#This Row],[Proyectos]],#REF!,Planning[[#This Row],[Tipo de Tarea y especialidad]])</f>
        <v>#REF!</v>
      </c>
      <c r="O1499" s="16">
        <f t="shared" si="46"/>
        <v>10</v>
      </c>
      <c r="P1499" s="16">
        <f t="shared" si="47"/>
        <v>2024</v>
      </c>
      <c r="Q1499" s="16" t="e">
        <f>SUM(Q1500:Q1502)</f>
        <v>#REF!</v>
      </c>
      <c r="R1499" s="16" t="str">
        <f>TEXT(Planning[[#This Row],[Mes]]*29,"mmmm")</f>
        <v>October</v>
      </c>
      <c r="S14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499" s="239"/>
      <c r="U1499" s="43" t="e">
        <f>IF(Planning[[#This Row],[Horas Planificadas]]&lt;&gt;0,+K1499/Planning[[#This Row],[Horas Planificadas]],0)</f>
        <v>#REF!</v>
      </c>
      <c r="V1499" s="43" t="e">
        <f>IF(Planning[[#This Row],[Horas Planificadas]]&lt;&gt;0,Planning[[#This Row],[Horas utilizadas]]/Planning[[#This Row],[Horas Planificadas]],0)</f>
        <v>#REF!</v>
      </c>
      <c r="W1499" s="44">
        <f>Planning[[#This Row],[Horas Planificadas]]+Planning[[#This Row],[Horas ajustadas adicionales]]</f>
        <v>747</v>
      </c>
      <c r="X1499" s="142"/>
    </row>
    <row r="1500" spans="1:24" ht="12.75" customHeight="1" x14ac:dyDescent="0.2">
      <c r="A1500" s="7" t="s">
        <v>373</v>
      </c>
      <c r="B1500" s="7" t="s">
        <v>220</v>
      </c>
      <c r="C1500" s="3"/>
      <c r="D1500" s="3" t="s">
        <v>374</v>
      </c>
      <c r="E1500" s="4"/>
      <c r="F1500" s="3" t="s">
        <v>129</v>
      </c>
      <c r="G1500" s="9"/>
      <c r="H1500" s="9">
        <v>351</v>
      </c>
      <c r="I1500" s="12"/>
      <c r="J1500" s="5" t="e">
        <f>SUM(SUMIFS(#REF!,#REF!,Planning[[#This Row],[Tipo de Tarea y especialidad]],#REF!,Planning[[#This Row],[Proyectos Reiwa]]),SUMIFS(#REF!,#REF!,Planning[[#This Row],[Tipo de Tarea y especialidad]],#REF!,Planning[[#This Row],[Proyectos]]))</f>
        <v>#REF!</v>
      </c>
      <c r="K1500" s="5" t="e">
        <f>Planning[[#This Row],[Horas Planificadas]]+Planning[[#This Row],[Horas ajustadas adicionales]]-Planning[[#This Row],[Horas utilizadas]]</f>
        <v>#REF!</v>
      </c>
      <c r="L1500" s="7">
        <v>0</v>
      </c>
      <c r="M1500" s="19" t="e">
        <f>Planning[[#This Row],[Saldo]]-Planning[[#This Row],[Saldo estimado]]</f>
        <v>#REF!</v>
      </c>
      <c r="N1500" s="60" t="e">
        <f>+SUMIFS(#REF!,#REF!,Planning[[#This Row],[Proyectos]],#REF!,Planning[[#This Row],[Tipo de Tarea y especialidad]])</f>
        <v>#REF!</v>
      </c>
      <c r="O1500" s="19">
        <f t="shared" si="46"/>
        <v>10</v>
      </c>
      <c r="P1500" s="19">
        <f t="shared" si="47"/>
        <v>2024</v>
      </c>
      <c r="Q15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00" s="19" t="str">
        <f>TEXT(Planning[[#This Row],[Mes]]*29,"mmmm")</f>
        <v>October</v>
      </c>
      <c r="S15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00" s="239"/>
      <c r="U1500" s="43" t="e">
        <f>IF(Planning[[#This Row],[Horas Planificadas]]&lt;&gt;0,+K1500/Planning[[#This Row],[Horas Planificadas]],0)</f>
        <v>#REF!</v>
      </c>
      <c r="V1500" s="43" t="e">
        <f>IF(Planning[[#This Row],[Horas Planificadas]]&lt;&gt;0,Planning[[#This Row],[Horas utilizadas]]/Planning[[#This Row],[Horas Planificadas]],0)</f>
        <v>#REF!</v>
      </c>
      <c r="W1500" s="44">
        <f>Planning[[#This Row],[Horas Planificadas]]+Planning[[#This Row],[Horas ajustadas adicionales]]</f>
        <v>351</v>
      </c>
      <c r="X1500" s="142"/>
    </row>
    <row r="1501" spans="1:24" ht="12.75" customHeight="1" x14ac:dyDescent="0.2">
      <c r="A1501" s="7" t="s">
        <v>373</v>
      </c>
      <c r="B1501" s="7" t="s">
        <v>220</v>
      </c>
      <c r="C1501" s="3"/>
      <c r="D1501" s="3" t="s">
        <v>374</v>
      </c>
      <c r="E1501" s="4"/>
      <c r="F1501" s="3" t="s">
        <v>130</v>
      </c>
      <c r="G1501" s="9"/>
      <c r="H1501" s="9">
        <v>216</v>
      </c>
      <c r="I1501" s="12"/>
      <c r="J1501" s="5" t="e">
        <f>SUM(SUMIFS(#REF!,#REF!,Planning[[#This Row],[Tipo de Tarea y especialidad]],#REF!,Planning[[#This Row],[Proyectos Reiwa]]),SUMIFS(#REF!,#REF!,Planning[[#This Row],[Tipo de Tarea y especialidad]],#REF!,Planning[[#This Row],[Proyectos]]))</f>
        <v>#REF!</v>
      </c>
      <c r="K1501" s="5" t="e">
        <f>Planning[[#This Row],[Horas Planificadas]]+Planning[[#This Row],[Horas ajustadas adicionales]]-Planning[[#This Row],[Horas utilizadas]]</f>
        <v>#REF!</v>
      </c>
      <c r="L1501" s="7">
        <v>0</v>
      </c>
      <c r="M1501" s="19" t="e">
        <f>Planning[[#This Row],[Saldo]]-Planning[[#This Row],[Saldo estimado]]</f>
        <v>#REF!</v>
      </c>
      <c r="N1501" s="60" t="e">
        <f>+SUMIFS(#REF!,#REF!,Planning[[#This Row],[Proyectos]],#REF!,Planning[[#This Row],[Tipo de Tarea y especialidad]])</f>
        <v>#REF!</v>
      </c>
      <c r="O1501" s="19">
        <f t="shared" si="46"/>
        <v>10</v>
      </c>
      <c r="P1501" s="19">
        <f t="shared" si="47"/>
        <v>2024</v>
      </c>
      <c r="Q15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01" s="19" t="str">
        <f>TEXT(Planning[[#This Row],[Mes]]*29,"mmmm")</f>
        <v>October</v>
      </c>
      <c r="S15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01" s="239"/>
      <c r="U1501" s="43" t="e">
        <f>IF(Planning[[#This Row],[Horas Planificadas]]&lt;&gt;0,+K1501/Planning[[#This Row],[Horas Planificadas]],0)</f>
        <v>#REF!</v>
      </c>
      <c r="V1501" s="43" t="e">
        <f>IF(Planning[[#This Row],[Horas Planificadas]]&lt;&gt;0,Planning[[#This Row],[Horas utilizadas]]/Planning[[#This Row],[Horas Planificadas]],0)</f>
        <v>#REF!</v>
      </c>
      <c r="W1501" s="44">
        <f>Planning[[#This Row],[Horas Planificadas]]+Planning[[#This Row],[Horas ajustadas adicionales]]</f>
        <v>216</v>
      </c>
      <c r="X1501" s="142"/>
    </row>
    <row r="1502" spans="1:24" ht="12.75" customHeight="1" x14ac:dyDescent="0.2">
      <c r="A1502" s="7" t="s">
        <v>373</v>
      </c>
      <c r="B1502" s="7" t="s">
        <v>220</v>
      </c>
      <c r="C1502" s="3"/>
      <c r="D1502" s="3" t="s">
        <v>374</v>
      </c>
      <c r="E1502" s="4"/>
      <c r="F1502" s="3" t="s">
        <v>131</v>
      </c>
      <c r="G1502" s="9"/>
      <c r="H1502" s="9">
        <v>180</v>
      </c>
      <c r="I1502" s="12"/>
      <c r="J1502" s="5" t="e">
        <f>SUM(SUMIFS(#REF!,#REF!,Planning[[#This Row],[Tipo de Tarea y especialidad]],#REF!,Planning[[#This Row],[Proyectos Reiwa]]),SUMIFS(#REF!,#REF!,Planning[[#This Row],[Tipo de Tarea y especialidad]],#REF!,Planning[[#This Row],[Proyectos]]))</f>
        <v>#REF!</v>
      </c>
      <c r="K1502" s="5" t="e">
        <f>Planning[[#This Row],[Horas Planificadas]]+Planning[[#This Row],[Horas ajustadas adicionales]]-Planning[[#This Row],[Horas utilizadas]]</f>
        <v>#REF!</v>
      </c>
      <c r="L1502" s="7">
        <v>0</v>
      </c>
      <c r="M1502" s="19" t="e">
        <f>Planning[[#This Row],[Saldo]]-Planning[[#This Row],[Saldo estimado]]</f>
        <v>#REF!</v>
      </c>
      <c r="N1502" s="60" t="e">
        <f>+SUMIFS(#REF!,#REF!,Planning[[#This Row],[Proyectos]],#REF!,Planning[[#This Row],[Tipo de Tarea y especialidad]])</f>
        <v>#REF!</v>
      </c>
      <c r="O1502" s="19">
        <f t="shared" si="46"/>
        <v>10</v>
      </c>
      <c r="P1502" s="19">
        <f t="shared" si="47"/>
        <v>2024</v>
      </c>
      <c r="Q15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02" s="19" t="str">
        <f>TEXT(Planning[[#This Row],[Mes]]*29,"mmmm")</f>
        <v>October</v>
      </c>
      <c r="S15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02" s="239"/>
      <c r="U1502" s="43" t="e">
        <f>IF(Planning[[#This Row],[Horas Planificadas]]&lt;&gt;0,+K1502/Planning[[#This Row],[Horas Planificadas]],0)</f>
        <v>#REF!</v>
      </c>
      <c r="V1502" s="43" t="e">
        <f>IF(Planning[[#This Row],[Horas Planificadas]]&lt;&gt;0,Planning[[#This Row],[Horas utilizadas]]/Planning[[#This Row],[Horas Planificadas]],0)</f>
        <v>#REF!</v>
      </c>
      <c r="W1502" s="44">
        <f>Planning[[#This Row],[Horas Planificadas]]+Planning[[#This Row],[Horas ajustadas adicionales]]</f>
        <v>180</v>
      </c>
      <c r="X1502" s="142"/>
    </row>
    <row r="1503" spans="1:24" ht="12.75" customHeight="1" x14ac:dyDescent="0.2">
      <c r="A1503" s="7"/>
      <c r="B1503" s="7" t="s">
        <v>205</v>
      </c>
      <c r="C1503" s="3"/>
      <c r="D1503" s="3" t="s">
        <v>376</v>
      </c>
      <c r="E1503" s="33" t="s">
        <v>28</v>
      </c>
      <c r="F1503" s="36"/>
      <c r="G1503" s="7">
        <v>0</v>
      </c>
      <c r="H1503" s="24">
        <f>SUM(H1504:H1505)</f>
        <v>0</v>
      </c>
      <c r="I1503" s="14"/>
      <c r="J1503" s="14" t="e">
        <f>SUM(J1504:J1505)</f>
        <v>#REF!</v>
      </c>
      <c r="K1503" s="18" t="e">
        <f>SUM(K1504:K1505)</f>
        <v>#REF!</v>
      </c>
      <c r="L1503" s="15">
        <f>SUM(L1504:L1505)</f>
        <v>0</v>
      </c>
      <c r="M1503" s="28" t="e">
        <f>SUM(M1504:M1505)</f>
        <v>#REF!</v>
      </c>
      <c r="N1503" s="61" t="e">
        <f>+SUMIFS(#REF!,#REF!,Planning[[#This Row],[Proyectos]],#REF!,Planning[[#This Row],[Tipo de Tarea y especialidad]])</f>
        <v>#REF!</v>
      </c>
      <c r="O1503" s="28">
        <f t="shared" si="46"/>
        <v>10</v>
      </c>
      <c r="P1503" s="28">
        <f t="shared" si="47"/>
        <v>2024</v>
      </c>
      <c r="Q1503" s="28" t="e">
        <f>SUM(Q1504:Q1505)</f>
        <v>#REF!</v>
      </c>
      <c r="R1503" s="28" t="str">
        <f>TEXT(Planning[[#This Row],[Mes]]*29,"mmmm")</f>
        <v>October</v>
      </c>
      <c r="S15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03" s="192" t="s">
        <v>377</v>
      </c>
      <c r="U1503" s="43">
        <f>IF(Planning[[#This Row],[Horas Planificadas]]&lt;&gt;0,+K1503/Planning[[#This Row],[Horas Planificadas]],0)</f>
        <v>0</v>
      </c>
      <c r="V1503" s="43">
        <f>IF(Planning[[#This Row],[Horas Planificadas]]&lt;&gt;0,Planning[[#This Row],[Horas utilizadas]]/Planning[[#This Row],[Horas Planificadas]],0)</f>
        <v>0</v>
      </c>
      <c r="W1503" s="44">
        <f>Planning[[#This Row],[Horas Planificadas]]+Planning[[#This Row],[Horas ajustadas adicionales]]</f>
        <v>0</v>
      </c>
      <c r="X1503" s="142"/>
    </row>
    <row r="1504" spans="1:24" ht="12.75" customHeight="1" x14ac:dyDescent="0.2">
      <c r="A1504" s="7"/>
      <c r="B1504" s="7" t="s">
        <v>205</v>
      </c>
      <c r="C1504" s="3"/>
      <c r="D1504" s="3" t="s">
        <v>376</v>
      </c>
      <c r="E1504" s="33"/>
      <c r="F1504" s="36" t="s">
        <v>120</v>
      </c>
      <c r="G1504" s="7"/>
      <c r="H1504" s="7"/>
      <c r="I1504" s="12"/>
      <c r="J1504" s="5" t="e">
        <f>SUM(SUMIFS(#REF!,#REF!,Planning[[#This Row],[Tipo de Tarea y especialidad]],#REF!,Planning[[#This Row],[Proyectos Reiwa]]),SUMIFS(#REF!,#REF!,Planning[[#This Row],[Tipo de Tarea y especialidad]],#REF!,Planning[[#This Row],[Proyectos]]))</f>
        <v>#REF!</v>
      </c>
      <c r="K1504" s="5" t="e">
        <f>Planning[[#This Row],[Horas Planificadas]]+Planning[[#This Row],[Horas ajustadas adicionales]]-Planning[[#This Row],[Horas utilizadas]]</f>
        <v>#REF!</v>
      </c>
      <c r="L1504" s="7"/>
      <c r="M1504" s="19" t="e">
        <f>Planning[[#This Row],[Saldo]]-Planning[[#This Row],[Saldo estimado]]</f>
        <v>#REF!</v>
      </c>
      <c r="N1504" s="60" t="e">
        <f>+SUMIFS(#REF!,#REF!,Planning[[#This Row],[Proyectos]],#REF!,Planning[[#This Row],[Tipo de Tarea y especialidad]])</f>
        <v>#REF!</v>
      </c>
      <c r="O1504" s="19">
        <f t="shared" si="46"/>
        <v>10</v>
      </c>
      <c r="P1504" s="19">
        <f t="shared" si="47"/>
        <v>2024</v>
      </c>
      <c r="Q15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04" s="19" t="str">
        <f>TEXT(Planning[[#This Row],[Mes]]*29,"mmmm")</f>
        <v>October</v>
      </c>
      <c r="S15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04" s="193"/>
      <c r="U1504" s="43">
        <f>IF(Planning[[#This Row],[Horas Planificadas]]&lt;&gt;0,+K1504/Planning[[#This Row],[Horas Planificadas]],0)</f>
        <v>0</v>
      </c>
      <c r="V1504" s="43">
        <f>IF(Planning[[#This Row],[Horas Planificadas]]&lt;&gt;0,Planning[[#This Row],[Horas utilizadas]]/Planning[[#This Row],[Horas Planificadas]],0)</f>
        <v>0</v>
      </c>
      <c r="W1504" s="44">
        <f>Planning[[#This Row],[Horas Planificadas]]+Planning[[#This Row],[Horas ajustadas adicionales]]</f>
        <v>0</v>
      </c>
      <c r="X1504" s="142"/>
    </row>
    <row r="1505" spans="1:24" ht="12.75" customHeight="1" x14ac:dyDescent="0.2">
      <c r="A1505" s="7"/>
      <c r="B1505" s="7" t="s">
        <v>205</v>
      </c>
      <c r="C1505" s="3"/>
      <c r="D1505" s="3" t="s">
        <v>376</v>
      </c>
      <c r="E1505" s="33"/>
      <c r="F1505" s="36" t="s">
        <v>121</v>
      </c>
      <c r="G1505" s="7"/>
      <c r="H1505" s="7"/>
      <c r="I1505" s="12"/>
      <c r="J1505" s="5" t="e">
        <f>SUM(SUMIFS(#REF!,#REF!,Planning[[#This Row],[Tipo de Tarea y especialidad]],#REF!,Planning[[#This Row],[Proyectos Reiwa]]),SUMIFS(#REF!,#REF!,Planning[[#This Row],[Tipo de Tarea y especialidad]],#REF!,Planning[[#This Row],[Proyectos]]))</f>
        <v>#REF!</v>
      </c>
      <c r="K1505" s="5" t="e">
        <f>Planning[[#This Row],[Horas Planificadas]]+Planning[[#This Row],[Horas ajustadas adicionales]]-Planning[[#This Row],[Horas utilizadas]]</f>
        <v>#REF!</v>
      </c>
      <c r="L1505" s="7"/>
      <c r="M1505" s="19" t="e">
        <f>Planning[[#This Row],[Saldo]]-Planning[[#This Row],[Saldo estimado]]</f>
        <v>#REF!</v>
      </c>
      <c r="N1505" s="60" t="e">
        <f>+SUMIFS(#REF!,#REF!,Planning[[#This Row],[Proyectos]],#REF!,Planning[[#This Row],[Tipo de Tarea y especialidad]])</f>
        <v>#REF!</v>
      </c>
      <c r="O1505" s="19">
        <f t="shared" si="46"/>
        <v>10</v>
      </c>
      <c r="P1505" s="19">
        <f t="shared" si="47"/>
        <v>2024</v>
      </c>
      <c r="Q15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05" s="19" t="str">
        <f>TEXT(Planning[[#This Row],[Mes]]*29,"mmmm")</f>
        <v>October</v>
      </c>
      <c r="S15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05" s="193"/>
      <c r="U1505" s="43">
        <f>IF(Planning[[#This Row],[Horas Planificadas]]&lt;&gt;0,+K1505/Planning[[#This Row],[Horas Planificadas]],0)</f>
        <v>0</v>
      </c>
      <c r="V1505" s="43">
        <f>IF(Planning[[#This Row],[Horas Planificadas]]&lt;&gt;0,Planning[[#This Row],[Horas utilizadas]]/Planning[[#This Row],[Horas Planificadas]],0)</f>
        <v>0</v>
      </c>
      <c r="W1505" s="44">
        <f>Planning[[#This Row],[Horas Planificadas]]+Planning[[#This Row],[Horas ajustadas adicionales]]</f>
        <v>0</v>
      </c>
      <c r="X1505" s="142"/>
    </row>
    <row r="1506" spans="1:24" ht="12.75" customHeight="1" x14ac:dyDescent="0.2">
      <c r="A1506" s="7"/>
      <c r="B1506" s="7" t="s">
        <v>205</v>
      </c>
      <c r="C1506" s="3"/>
      <c r="D1506" s="3" t="s">
        <v>376</v>
      </c>
      <c r="E1506" s="33" t="s">
        <v>30</v>
      </c>
      <c r="F1506" s="36"/>
      <c r="G1506" s="7">
        <v>144</v>
      </c>
      <c r="H1506" s="24">
        <f>SUM(H1507:H1513)</f>
        <v>144</v>
      </c>
      <c r="I1506" s="14"/>
      <c r="J1506" s="14" t="e">
        <f>SUM(J1507:J1513)</f>
        <v>#REF!</v>
      </c>
      <c r="K1506" s="18" t="e">
        <f>SUM(K1507:K1513)</f>
        <v>#REF!</v>
      </c>
      <c r="L1506" s="15">
        <f>SUM(L1507:L1513)</f>
        <v>0</v>
      </c>
      <c r="M1506" s="16" t="e">
        <f>SUM(M1507:M1513)</f>
        <v>#REF!</v>
      </c>
      <c r="N1506" s="60" t="e">
        <f>+SUMIFS(#REF!,#REF!,Planning[[#This Row],[Proyectos]],#REF!,Planning[[#This Row],[Tipo de Tarea y especialidad]])</f>
        <v>#REF!</v>
      </c>
      <c r="O1506" s="16">
        <f t="shared" si="46"/>
        <v>10</v>
      </c>
      <c r="P1506" s="16">
        <f t="shared" si="47"/>
        <v>2024</v>
      </c>
      <c r="Q1506" s="16" t="e">
        <f>SUM(Q1507:Q1513)</f>
        <v>#REF!</v>
      </c>
      <c r="R1506" s="16" t="str">
        <f>TEXT(Planning[[#This Row],[Mes]]*29,"mmmm")</f>
        <v>October</v>
      </c>
      <c r="S15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06" s="193"/>
      <c r="U1506" s="43" t="e">
        <f>IF(Planning[[#This Row],[Horas Planificadas]]&lt;&gt;0,+K1506/Planning[[#This Row],[Horas Planificadas]],0)</f>
        <v>#REF!</v>
      </c>
      <c r="V1506" s="43" t="e">
        <f>IF(Planning[[#This Row],[Horas Planificadas]]&lt;&gt;0,Planning[[#This Row],[Horas utilizadas]]/Planning[[#This Row],[Horas Planificadas]],0)</f>
        <v>#REF!</v>
      </c>
      <c r="W1506" s="44">
        <f>Planning[[#This Row],[Horas Planificadas]]+Planning[[#This Row],[Horas ajustadas adicionales]]</f>
        <v>144</v>
      </c>
      <c r="X1506" s="142"/>
    </row>
    <row r="1507" spans="1:24" ht="12.75" customHeight="1" x14ac:dyDescent="0.2">
      <c r="A1507" s="7"/>
      <c r="B1507" s="7" t="s">
        <v>205</v>
      </c>
      <c r="C1507" s="3"/>
      <c r="D1507" s="3" t="s">
        <v>376</v>
      </c>
      <c r="E1507" s="33"/>
      <c r="F1507" s="36" t="s">
        <v>122</v>
      </c>
      <c r="G1507" s="7"/>
      <c r="H1507" s="7"/>
      <c r="I1507" s="12"/>
      <c r="J1507" s="5" t="e">
        <f>SUM(SUMIFS(#REF!,#REF!,Planning[[#This Row],[Tipo de Tarea y especialidad]],#REF!,Planning[[#This Row],[Proyectos Reiwa]]),SUMIFS(#REF!,#REF!,Planning[[#This Row],[Tipo de Tarea y especialidad]],#REF!,Planning[[#This Row],[Proyectos]]))</f>
        <v>#REF!</v>
      </c>
      <c r="K1507" s="5" t="e">
        <f>Planning[[#This Row],[Horas Planificadas]]+Planning[[#This Row],[Horas ajustadas adicionales]]-Planning[[#This Row],[Horas utilizadas]]</f>
        <v>#REF!</v>
      </c>
      <c r="L1507" s="7"/>
      <c r="M1507" s="19" t="e">
        <f>Planning[[#This Row],[Saldo]]-Planning[[#This Row],[Saldo estimado]]</f>
        <v>#REF!</v>
      </c>
      <c r="N1507" s="60" t="e">
        <f>+SUMIFS(#REF!,#REF!,Planning[[#This Row],[Proyectos]],#REF!,Planning[[#This Row],[Tipo de Tarea y especialidad]])</f>
        <v>#REF!</v>
      </c>
      <c r="O1507" s="19">
        <f t="shared" si="46"/>
        <v>10</v>
      </c>
      <c r="P1507" s="19">
        <f t="shared" si="47"/>
        <v>2024</v>
      </c>
      <c r="Q15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07" s="19" t="str">
        <f>TEXT(Planning[[#This Row],[Mes]]*29,"mmmm")</f>
        <v>October</v>
      </c>
      <c r="S15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07" s="193"/>
      <c r="U1507" s="43">
        <f>IF(Planning[[#This Row],[Horas Planificadas]]&lt;&gt;0,+K1507/Planning[[#This Row],[Horas Planificadas]],0)</f>
        <v>0</v>
      </c>
      <c r="V1507" s="43">
        <f>IF(Planning[[#This Row],[Horas Planificadas]]&lt;&gt;0,Planning[[#This Row],[Horas utilizadas]]/Planning[[#This Row],[Horas Planificadas]],0)</f>
        <v>0</v>
      </c>
      <c r="W1507" s="44">
        <f>Planning[[#This Row],[Horas Planificadas]]+Planning[[#This Row],[Horas ajustadas adicionales]]</f>
        <v>0</v>
      </c>
      <c r="X1507" s="142"/>
    </row>
    <row r="1508" spans="1:24" ht="12.75" customHeight="1" x14ac:dyDescent="0.2">
      <c r="A1508" s="7"/>
      <c r="B1508" s="7" t="s">
        <v>205</v>
      </c>
      <c r="C1508" s="3"/>
      <c r="D1508" s="3" t="s">
        <v>376</v>
      </c>
      <c r="E1508" s="33"/>
      <c r="F1508" s="36" t="s">
        <v>123</v>
      </c>
      <c r="G1508" s="7"/>
      <c r="H1508" s="7">
        <v>132</v>
      </c>
      <c r="I1508" s="12"/>
      <c r="J1508" s="5" t="e">
        <f>SUM(SUMIFS(#REF!,#REF!,Planning[[#This Row],[Tipo de Tarea y especialidad]],#REF!,Planning[[#This Row],[Proyectos Reiwa]]),SUMIFS(#REF!,#REF!,Planning[[#This Row],[Tipo de Tarea y especialidad]],#REF!,Planning[[#This Row],[Proyectos]]))</f>
        <v>#REF!</v>
      </c>
      <c r="K1508" s="5" t="e">
        <f>Planning[[#This Row],[Horas Planificadas]]+Planning[[#This Row],[Horas ajustadas adicionales]]-Planning[[#This Row],[Horas utilizadas]]</f>
        <v>#REF!</v>
      </c>
      <c r="L1508" s="7">
        <v>0</v>
      </c>
      <c r="M1508" s="19" t="e">
        <f>Planning[[#This Row],[Saldo]]-Planning[[#This Row],[Saldo estimado]]</f>
        <v>#REF!</v>
      </c>
      <c r="N1508" s="60" t="e">
        <f>+SUMIFS(#REF!,#REF!,Planning[[#This Row],[Proyectos]],#REF!,Planning[[#This Row],[Tipo de Tarea y especialidad]])</f>
        <v>#REF!</v>
      </c>
      <c r="O1508" s="19">
        <f t="shared" si="46"/>
        <v>10</v>
      </c>
      <c r="P1508" s="19">
        <f t="shared" si="47"/>
        <v>2024</v>
      </c>
      <c r="Q15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08" s="19" t="str">
        <f>TEXT(Planning[[#This Row],[Mes]]*29,"mmmm")</f>
        <v>October</v>
      </c>
      <c r="S15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08" s="193"/>
      <c r="U1508" s="43" t="e">
        <f>IF(Planning[[#This Row],[Horas Planificadas]]&lt;&gt;0,+K1508/Planning[[#This Row],[Horas Planificadas]],0)</f>
        <v>#REF!</v>
      </c>
      <c r="V1508" s="43" t="e">
        <f>IF(Planning[[#This Row],[Horas Planificadas]]&lt;&gt;0,Planning[[#This Row],[Horas utilizadas]]/Planning[[#This Row],[Horas Planificadas]],0)</f>
        <v>#REF!</v>
      </c>
      <c r="W1508" s="44">
        <f>Planning[[#This Row],[Horas Planificadas]]+Planning[[#This Row],[Horas ajustadas adicionales]]</f>
        <v>132</v>
      </c>
      <c r="X1508" s="142"/>
    </row>
    <row r="1509" spans="1:24" ht="12.75" customHeight="1" x14ac:dyDescent="0.2">
      <c r="A1509" s="7"/>
      <c r="B1509" s="7" t="s">
        <v>205</v>
      </c>
      <c r="C1509" s="3"/>
      <c r="D1509" s="3" t="s">
        <v>376</v>
      </c>
      <c r="E1509" s="33"/>
      <c r="F1509" s="36" t="s">
        <v>124</v>
      </c>
      <c r="G1509" s="7"/>
      <c r="H1509" s="7"/>
      <c r="I1509" s="12"/>
      <c r="J1509" s="5" t="e">
        <f>SUM(SUMIFS(#REF!,#REF!,Planning[[#This Row],[Tipo de Tarea y especialidad]],#REF!,Planning[[#This Row],[Proyectos Reiwa]]),SUMIFS(#REF!,#REF!,Planning[[#This Row],[Tipo de Tarea y especialidad]],#REF!,Planning[[#This Row],[Proyectos]]))</f>
        <v>#REF!</v>
      </c>
      <c r="K1509" s="5" t="e">
        <f>Planning[[#This Row],[Horas Planificadas]]+Planning[[#This Row],[Horas ajustadas adicionales]]-Planning[[#This Row],[Horas utilizadas]]</f>
        <v>#REF!</v>
      </c>
      <c r="L1509" s="7"/>
      <c r="M1509" s="19" t="e">
        <f>Planning[[#This Row],[Saldo]]-Planning[[#This Row],[Saldo estimado]]</f>
        <v>#REF!</v>
      </c>
      <c r="N1509" s="60" t="e">
        <f>+SUMIFS(#REF!,#REF!,Planning[[#This Row],[Proyectos]],#REF!,Planning[[#This Row],[Tipo de Tarea y especialidad]])</f>
        <v>#REF!</v>
      </c>
      <c r="O1509" s="19">
        <f t="shared" si="46"/>
        <v>10</v>
      </c>
      <c r="P1509" s="19">
        <f t="shared" si="47"/>
        <v>2024</v>
      </c>
      <c r="Q15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09" s="19" t="str">
        <f>TEXT(Planning[[#This Row],[Mes]]*29,"mmmm")</f>
        <v>October</v>
      </c>
      <c r="S15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09" s="193"/>
      <c r="U1509" s="43">
        <f>IF(Planning[[#This Row],[Horas Planificadas]]&lt;&gt;0,+K1509/Planning[[#This Row],[Horas Planificadas]],0)</f>
        <v>0</v>
      </c>
      <c r="V1509" s="43">
        <f>IF(Planning[[#This Row],[Horas Planificadas]]&lt;&gt;0,Planning[[#This Row],[Horas utilizadas]]/Planning[[#This Row],[Horas Planificadas]],0)</f>
        <v>0</v>
      </c>
      <c r="W1509" s="44">
        <f>Planning[[#This Row],[Horas Planificadas]]+Planning[[#This Row],[Horas ajustadas adicionales]]</f>
        <v>0</v>
      </c>
      <c r="X1509" s="142"/>
    </row>
    <row r="1510" spans="1:24" ht="12.75" customHeight="1" x14ac:dyDescent="0.2">
      <c r="A1510" s="7"/>
      <c r="B1510" s="7" t="s">
        <v>205</v>
      </c>
      <c r="C1510" s="3"/>
      <c r="D1510" s="3" t="s">
        <v>376</v>
      </c>
      <c r="E1510" s="33"/>
      <c r="F1510" s="36" t="s">
        <v>125</v>
      </c>
      <c r="G1510" s="7"/>
      <c r="H1510" s="7">
        <v>12</v>
      </c>
      <c r="I1510" s="12"/>
      <c r="J1510" s="5" t="e">
        <f>SUM(SUMIFS(#REF!,#REF!,Planning[[#This Row],[Tipo de Tarea y especialidad]],#REF!,Planning[[#This Row],[Proyectos Reiwa]]),SUMIFS(#REF!,#REF!,Planning[[#This Row],[Tipo de Tarea y especialidad]],#REF!,Planning[[#This Row],[Proyectos]]))</f>
        <v>#REF!</v>
      </c>
      <c r="K1510" s="5" t="e">
        <f>Planning[[#This Row],[Horas Planificadas]]+Planning[[#This Row],[Horas ajustadas adicionales]]-Planning[[#This Row],[Horas utilizadas]]</f>
        <v>#REF!</v>
      </c>
      <c r="L1510" s="7">
        <v>0</v>
      </c>
      <c r="M1510" s="19" t="e">
        <f>Planning[[#This Row],[Saldo]]-Planning[[#This Row],[Saldo estimado]]</f>
        <v>#REF!</v>
      </c>
      <c r="N1510" s="60" t="e">
        <f>+SUMIFS(#REF!,#REF!,Planning[[#This Row],[Proyectos]],#REF!,Planning[[#This Row],[Tipo de Tarea y especialidad]])</f>
        <v>#REF!</v>
      </c>
      <c r="O1510" s="19">
        <f t="shared" si="46"/>
        <v>10</v>
      </c>
      <c r="P1510" s="19">
        <f t="shared" si="47"/>
        <v>2024</v>
      </c>
      <c r="Q15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10" s="19" t="str">
        <f>TEXT(Planning[[#This Row],[Mes]]*29,"mmmm")</f>
        <v>October</v>
      </c>
      <c r="S15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10" s="193"/>
      <c r="U1510" s="43" t="e">
        <f>IF(Planning[[#This Row],[Horas Planificadas]]&lt;&gt;0,+K1510/Planning[[#This Row],[Horas Planificadas]],0)</f>
        <v>#REF!</v>
      </c>
      <c r="V1510" s="43" t="e">
        <f>IF(Planning[[#This Row],[Horas Planificadas]]&lt;&gt;0,Planning[[#This Row],[Horas utilizadas]]/Planning[[#This Row],[Horas Planificadas]],0)</f>
        <v>#REF!</v>
      </c>
      <c r="W1510" s="44">
        <f>Planning[[#This Row],[Horas Planificadas]]+Planning[[#This Row],[Horas ajustadas adicionales]]</f>
        <v>12</v>
      </c>
      <c r="X1510" s="142"/>
    </row>
    <row r="1511" spans="1:24" ht="12.75" customHeight="1" x14ac:dyDescent="0.2">
      <c r="A1511" s="7"/>
      <c r="B1511" s="7" t="s">
        <v>205</v>
      </c>
      <c r="C1511" s="3"/>
      <c r="D1511" s="3" t="s">
        <v>376</v>
      </c>
      <c r="E1511" s="4"/>
      <c r="F1511" s="3" t="s">
        <v>126</v>
      </c>
      <c r="G1511" s="9"/>
      <c r="H1511" s="12"/>
      <c r="I1511" s="12"/>
      <c r="J1511" s="5" t="e">
        <f>SUM(SUMIFS(#REF!,#REF!,Planning[[#This Row],[Tipo de Tarea y especialidad]],#REF!,Planning[[#This Row],[Proyectos Reiwa]]),SUMIFS(#REF!,#REF!,Planning[[#This Row],[Tipo de Tarea y especialidad]],#REF!,Planning[[#This Row],[Proyectos]]))</f>
        <v>#REF!</v>
      </c>
      <c r="K1511" s="27" t="e">
        <f>Planning[[#This Row],[Horas Planificadas]]+Planning[[#This Row],[Horas ajustadas adicionales]]-Planning[[#This Row],[Horas utilizadas]]</f>
        <v>#REF!</v>
      </c>
      <c r="L1511" s="7"/>
      <c r="M1511" s="34" t="e">
        <f>Planning[[#This Row],[Saldo]]-Planning[[#This Row],[Saldo estimado]]</f>
        <v>#REF!</v>
      </c>
      <c r="N1511" s="62" t="e">
        <f>+SUMIFS(#REF!,#REF!,Planning[[#This Row],[Proyectos]],#REF!,Planning[[#This Row],[Tipo de Tarea y especialidad]])</f>
        <v>#REF!</v>
      </c>
      <c r="O1511" s="34">
        <f t="shared" si="46"/>
        <v>10</v>
      </c>
      <c r="P1511" s="34">
        <f t="shared" si="47"/>
        <v>2024</v>
      </c>
      <c r="Q15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11" s="19" t="str">
        <f>TEXT(Planning[[#This Row],[Mes]]*29,"mmmm")</f>
        <v>October</v>
      </c>
      <c r="S15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11" s="193"/>
      <c r="U1511" s="43">
        <f>IF(Planning[[#This Row],[Horas Planificadas]]&lt;&gt;0,+K1511/Planning[[#This Row],[Horas Planificadas]],0)</f>
        <v>0</v>
      </c>
      <c r="V1511" s="43">
        <f>IF(Planning[[#This Row],[Horas Planificadas]]&lt;&gt;0,Planning[[#This Row],[Horas utilizadas]]/Planning[[#This Row],[Horas Planificadas]],0)</f>
        <v>0</v>
      </c>
      <c r="W1511" s="44">
        <f>Planning[[#This Row],[Horas Planificadas]]+Planning[[#This Row],[Horas ajustadas adicionales]]</f>
        <v>0</v>
      </c>
      <c r="X1511" s="142"/>
    </row>
    <row r="1512" spans="1:24" ht="12.75" customHeight="1" x14ac:dyDescent="0.2">
      <c r="A1512" s="7"/>
      <c r="B1512" s="7" t="s">
        <v>205</v>
      </c>
      <c r="C1512" s="3"/>
      <c r="D1512" s="3" t="s">
        <v>376</v>
      </c>
      <c r="E1512" s="4"/>
      <c r="F1512" s="3" t="s">
        <v>127</v>
      </c>
      <c r="G1512" s="9"/>
      <c r="H1512" s="9"/>
      <c r="I1512" s="12"/>
      <c r="J1512" s="5" t="e">
        <f>SUM(SUMIFS(#REF!,#REF!,Planning[[#This Row],[Tipo de Tarea y especialidad]],#REF!,Planning[[#This Row],[Proyectos Reiwa]]),SUMIFS(#REF!,#REF!,Planning[[#This Row],[Tipo de Tarea y especialidad]],#REF!,Planning[[#This Row],[Proyectos]]))</f>
        <v>#REF!</v>
      </c>
      <c r="K1512" s="5" t="e">
        <f>Planning[[#This Row],[Horas Planificadas]]+Planning[[#This Row],[Horas ajustadas adicionales]]-Planning[[#This Row],[Horas utilizadas]]</f>
        <v>#REF!</v>
      </c>
      <c r="L1512" s="7">
        <v>0</v>
      </c>
      <c r="M1512" s="19" t="e">
        <f>Planning[[#This Row],[Saldo]]-Planning[[#This Row],[Saldo estimado]]</f>
        <v>#REF!</v>
      </c>
      <c r="N1512" s="60" t="e">
        <f>+SUMIFS(#REF!,#REF!,Planning[[#This Row],[Proyectos]],#REF!,Planning[[#This Row],[Tipo de Tarea y especialidad]])</f>
        <v>#REF!</v>
      </c>
      <c r="O1512" s="19">
        <f t="shared" si="46"/>
        <v>10</v>
      </c>
      <c r="P1512" s="19">
        <f t="shared" si="47"/>
        <v>2024</v>
      </c>
      <c r="Q15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12" s="19" t="str">
        <f>TEXT(Planning[[#This Row],[Mes]]*29,"mmmm")</f>
        <v>October</v>
      </c>
      <c r="S15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12" s="193"/>
      <c r="U1512" s="43">
        <f>IF(Planning[[#This Row],[Horas Planificadas]]&lt;&gt;0,+K1512/Planning[[#This Row],[Horas Planificadas]],0)</f>
        <v>0</v>
      </c>
      <c r="V1512" s="43">
        <f>IF(Planning[[#This Row],[Horas Planificadas]]&lt;&gt;0,Planning[[#This Row],[Horas utilizadas]]/Planning[[#This Row],[Horas Planificadas]],0)</f>
        <v>0</v>
      </c>
      <c r="W1512" s="44">
        <f>Planning[[#This Row],[Horas Planificadas]]+Planning[[#This Row],[Horas ajustadas adicionales]]</f>
        <v>0</v>
      </c>
      <c r="X1512" s="142"/>
    </row>
    <row r="1513" spans="1:24" ht="12.75" customHeight="1" x14ac:dyDescent="0.2">
      <c r="A1513" s="7"/>
      <c r="B1513" s="7" t="s">
        <v>205</v>
      </c>
      <c r="C1513" s="3"/>
      <c r="D1513" s="3" t="s">
        <v>376</v>
      </c>
      <c r="E1513" s="4"/>
      <c r="F1513" s="3" t="s">
        <v>128</v>
      </c>
      <c r="G1513" s="9"/>
      <c r="H1513" s="9"/>
      <c r="I1513" s="12"/>
      <c r="J1513" s="5" t="e">
        <f>SUM(SUMIFS(#REF!,#REF!,Planning[[#This Row],[Tipo de Tarea y especialidad]],#REF!,Planning[[#This Row],[Proyectos Reiwa]]),SUMIFS(#REF!,#REF!,Planning[[#This Row],[Tipo de Tarea y especialidad]],#REF!,Planning[[#This Row],[Proyectos]]))</f>
        <v>#REF!</v>
      </c>
      <c r="K1513" s="5" t="e">
        <f>Planning[[#This Row],[Horas Planificadas]]+Planning[[#This Row],[Horas ajustadas adicionales]]-Planning[[#This Row],[Horas utilizadas]]</f>
        <v>#REF!</v>
      </c>
      <c r="L1513" s="7"/>
      <c r="M1513" s="19" t="e">
        <f>Planning[[#This Row],[Saldo]]-Planning[[#This Row],[Saldo estimado]]</f>
        <v>#REF!</v>
      </c>
      <c r="N1513" s="60" t="e">
        <f>+SUMIFS(#REF!,#REF!,Planning[[#This Row],[Proyectos]],#REF!,Planning[[#This Row],[Tipo de Tarea y especialidad]])</f>
        <v>#REF!</v>
      </c>
      <c r="O1513" s="19">
        <f t="shared" si="46"/>
        <v>10</v>
      </c>
      <c r="P1513" s="19">
        <f t="shared" si="47"/>
        <v>2024</v>
      </c>
      <c r="Q15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13" s="19" t="str">
        <f>TEXT(Planning[[#This Row],[Mes]]*29,"mmmm")</f>
        <v>October</v>
      </c>
      <c r="S15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13" s="193"/>
      <c r="U1513" s="43">
        <f>IF(Planning[[#This Row],[Horas Planificadas]]&lt;&gt;0,+K1513/Planning[[#This Row],[Horas Planificadas]],0)</f>
        <v>0</v>
      </c>
      <c r="V1513" s="43">
        <f>IF(Planning[[#This Row],[Horas Planificadas]]&lt;&gt;0,Planning[[#This Row],[Horas utilizadas]]/Planning[[#This Row],[Horas Planificadas]],0)</f>
        <v>0</v>
      </c>
      <c r="W1513" s="44">
        <f>Planning[[#This Row],[Horas Planificadas]]+Planning[[#This Row],[Horas ajustadas adicionales]]</f>
        <v>0</v>
      </c>
      <c r="X1513" s="142"/>
    </row>
    <row r="1514" spans="1:24" ht="12.75" customHeight="1" x14ac:dyDescent="0.2">
      <c r="A1514" s="7"/>
      <c r="B1514" s="7" t="s">
        <v>205</v>
      </c>
      <c r="C1514" s="3"/>
      <c r="D1514" s="3" t="s">
        <v>376</v>
      </c>
      <c r="E1514" s="4" t="s">
        <v>31</v>
      </c>
      <c r="F1514" s="3" t="s">
        <v>31</v>
      </c>
      <c r="G1514" s="9">
        <v>25</v>
      </c>
      <c r="H1514" s="18">
        <v>25</v>
      </c>
      <c r="I1514" s="18"/>
      <c r="J1514" s="14" t="e">
        <f>+SUMIFS(#REF!,#REF!,Planning[[#This Row],[Tarifa]],#REF!,Planning[[#This Row],[Proyectos]])</f>
        <v>#REF!</v>
      </c>
      <c r="K1514" s="24" t="e">
        <f>Planning[[#This Row],[Horas Planificadas]]+Planning[[#This Row],[Horas ajustadas adicionales]]-Planning[[#This Row],[Horas utilizadas]]</f>
        <v>#REF!</v>
      </c>
      <c r="L1514" s="15">
        <v>0</v>
      </c>
      <c r="M1514" s="16" t="e">
        <f>Planning[[#This Row],[Saldo]]-Planning[[#This Row],[Saldo estimado]]</f>
        <v>#REF!</v>
      </c>
      <c r="N1514" s="60" t="e">
        <f>+SUMIFS(#REF!,#REF!,Planning[[#This Row],[Proyectos]],#REF!,Planning[[#This Row],[Tipo de Tarea y especialidad]])</f>
        <v>#REF!</v>
      </c>
      <c r="O1514" s="16">
        <f t="shared" si="46"/>
        <v>10</v>
      </c>
      <c r="P1514" s="16">
        <f t="shared" si="47"/>
        <v>2024</v>
      </c>
      <c r="Q1514" s="16" t="e">
        <f>+SUMIFS(#REF!,#REF!,Planning[[#This Row],[Tarifa]],#REF!,Planning[[#This Row],[Proyectos]],#REF!,Planning[[#This Row],[Mes]],#REF!,Planning[[#This Row],[Año]])</f>
        <v>#REF!</v>
      </c>
      <c r="R1514" s="16" t="str">
        <f>TEXT(Planning[[#This Row],[Mes]]*29,"mmmm")</f>
        <v>October</v>
      </c>
      <c r="S15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14" s="193"/>
      <c r="U1514" s="43" t="e">
        <f>IF(Planning[[#This Row],[Horas Planificadas]]&lt;&gt;0,+K1514/Planning[[#This Row],[Horas Planificadas]],0)</f>
        <v>#REF!</v>
      </c>
      <c r="V1514" s="43" t="e">
        <f>IF(Planning[[#This Row],[Horas Planificadas]]&lt;&gt;0,Planning[[#This Row],[Horas utilizadas]]/Planning[[#This Row],[Horas Planificadas]],0)</f>
        <v>#REF!</v>
      </c>
      <c r="W1514" s="44">
        <f>Planning[[#This Row],[Horas Planificadas]]+Planning[[#This Row],[Horas ajustadas adicionales]]</f>
        <v>25</v>
      </c>
      <c r="X1514" s="142"/>
    </row>
    <row r="1515" spans="1:24" ht="12.75" customHeight="1" x14ac:dyDescent="0.2">
      <c r="A1515" s="7"/>
      <c r="B1515" s="7" t="s">
        <v>205</v>
      </c>
      <c r="C1515" s="3"/>
      <c r="D1515" s="3" t="s">
        <v>376</v>
      </c>
      <c r="E1515" s="4" t="s">
        <v>32</v>
      </c>
      <c r="F1515" s="3"/>
      <c r="G1515" s="9">
        <v>45</v>
      </c>
      <c r="H1515" s="25">
        <f>SUM(H1516:H1518)</f>
        <v>45</v>
      </c>
      <c r="I1515" s="14"/>
      <c r="J1515" s="14" t="e">
        <f>SUM(J1516:J1518)</f>
        <v>#REF!</v>
      </c>
      <c r="K1515" s="18" t="e">
        <f>SUM(K1516:K1518)</f>
        <v>#REF!</v>
      </c>
      <c r="L1515" s="15">
        <f>SUM(L1516:L1518)</f>
        <v>0</v>
      </c>
      <c r="M1515" s="16" t="e">
        <f>SUM(M1516:M1518)</f>
        <v>#REF!</v>
      </c>
      <c r="N1515" s="60" t="e">
        <f>+SUMIFS(#REF!,#REF!,Planning[[#This Row],[Proyectos]],#REF!,Planning[[#This Row],[Tipo de Tarea y especialidad]])</f>
        <v>#REF!</v>
      </c>
      <c r="O1515" s="16">
        <f t="shared" si="46"/>
        <v>10</v>
      </c>
      <c r="P1515" s="16">
        <f t="shared" si="47"/>
        <v>2024</v>
      </c>
      <c r="Q1515" s="16" t="e">
        <f>SUM(Q1516:Q1518)</f>
        <v>#REF!</v>
      </c>
      <c r="R1515" s="16" t="str">
        <f>TEXT(Planning[[#This Row],[Mes]]*29,"mmmm")</f>
        <v>October</v>
      </c>
      <c r="S15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15" s="193"/>
      <c r="U1515" s="43" t="e">
        <f>IF(Planning[[#This Row],[Horas Planificadas]]&lt;&gt;0,+K1515/Planning[[#This Row],[Horas Planificadas]],0)</f>
        <v>#REF!</v>
      </c>
      <c r="V1515" s="43" t="e">
        <f>IF(Planning[[#This Row],[Horas Planificadas]]&lt;&gt;0,Planning[[#This Row],[Horas utilizadas]]/Planning[[#This Row],[Horas Planificadas]],0)</f>
        <v>#REF!</v>
      </c>
      <c r="W1515" s="44">
        <f>Planning[[#This Row],[Horas Planificadas]]+Planning[[#This Row],[Horas ajustadas adicionales]]</f>
        <v>45</v>
      </c>
      <c r="X1515" s="142"/>
    </row>
    <row r="1516" spans="1:24" ht="12.75" customHeight="1" x14ac:dyDescent="0.2">
      <c r="A1516" s="7"/>
      <c r="B1516" s="7" t="s">
        <v>205</v>
      </c>
      <c r="C1516" s="3"/>
      <c r="D1516" s="3" t="s">
        <v>376</v>
      </c>
      <c r="E1516" s="4"/>
      <c r="F1516" s="3" t="s">
        <v>129</v>
      </c>
      <c r="G1516" s="9"/>
      <c r="H1516" s="9"/>
      <c r="I1516" s="12"/>
      <c r="J1516" s="5" t="e">
        <f>SUM(SUMIFS(#REF!,#REF!,Planning[[#This Row],[Tipo de Tarea y especialidad]],#REF!,Planning[[#This Row],[Proyectos Reiwa]]),SUMIFS(#REF!,#REF!,Planning[[#This Row],[Tipo de Tarea y especialidad]],#REF!,Planning[[#This Row],[Proyectos]]))</f>
        <v>#REF!</v>
      </c>
      <c r="K1516" s="5" t="e">
        <f>Planning[[#This Row],[Horas Planificadas]]+Planning[[#This Row],[Horas ajustadas adicionales]]-Planning[[#This Row],[Horas utilizadas]]</f>
        <v>#REF!</v>
      </c>
      <c r="L1516" s="7"/>
      <c r="M1516" s="19" t="e">
        <f>Planning[[#This Row],[Saldo]]-Planning[[#This Row],[Saldo estimado]]</f>
        <v>#REF!</v>
      </c>
      <c r="N1516" s="60" t="e">
        <f>+SUMIFS(#REF!,#REF!,Planning[[#This Row],[Proyectos]],#REF!,Planning[[#This Row],[Tipo de Tarea y especialidad]])</f>
        <v>#REF!</v>
      </c>
      <c r="O1516" s="19">
        <f t="shared" si="46"/>
        <v>10</v>
      </c>
      <c r="P1516" s="19">
        <f t="shared" si="47"/>
        <v>2024</v>
      </c>
      <c r="Q15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16" s="19" t="str">
        <f>TEXT(Planning[[#This Row],[Mes]]*29,"mmmm")</f>
        <v>October</v>
      </c>
      <c r="S15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16" s="193"/>
      <c r="U1516" s="43">
        <f>IF(Planning[[#This Row],[Horas Planificadas]]&lt;&gt;0,+K1516/Planning[[#This Row],[Horas Planificadas]],0)</f>
        <v>0</v>
      </c>
      <c r="V1516" s="43">
        <f>IF(Planning[[#This Row],[Horas Planificadas]]&lt;&gt;0,Planning[[#This Row],[Horas utilizadas]]/Planning[[#This Row],[Horas Planificadas]],0)</f>
        <v>0</v>
      </c>
      <c r="W1516" s="44">
        <f>Planning[[#This Row],[Horas Planificadas]]+Planning[[#This Row],[Horas ajustadas adicionales]]</f>
        <v>0</v>
      </c>
      <c r="X1516" s="142"/>
    </row>
    <row r="1517" spans="1:24" ht="12.75" customHeight="1" x14ac:dyDescent="0.2">
      <c r="A1517" s="7"/>
      <c r="B1517" s="7" t="s">
        <v>205</v>
      </c>
      <c r="C1517" s="3"/>
      <c r="D1517" s="3" t="s">
        <v>376</v>
      </c>
      <c r="E1517" s="4"/>
      <c r="F1517" s="3" t="s">
        <v>130</v>
      </c>
      <c r="G1517" s="9"/>
      <c r="H1517" s="9">
        <v>45</v>
      </c>
      <c r="I1517" s="12"/>
      <c r="J1517" s="5" t="e">
        <f>SUM(SUMIFS(#REF!,#REF!,Planning[[#This Row],[Tipo de Tarea y especialidad]],#REF!,Planning[[#This Row],[Proyectos Reiwa]]),SUMIFS(#REF!,#REF!,Planning[[#This Row],[Tipo de Tarea y especialidad]],#REF!,Planning[[#This Row],[Proyectos]]))</f>
        <v>#REF!</v>
      </c>
      <c r="K1517" s="5" t="e">
        <f>Planning[[#This Row],[Horas Planificadas]]+Planning[[#This Row],[Horas ajustadas adicionales]]-Planning[[#This Row],[Horas utilizadas]]</f>
        <v>#REF!</v>
      </c>
      <c r="L1517" s="7">
        <v>0</v>
      </c>
      <c r="M1517" s="19" t="e">
        <f>Planning[[#This Row],[Saldo]]-Planning[[#This Row],[Saldo estimado]]</f>
        <v>#REF!</v>
      </c>
      <c r="N1517" s="60" t="e">
        <f>+SUMIFS(#REF!,#REF!,Planning[[#This Row],[Proyectos]],#REF!,Planning[[#This Row],[Tipo de Tarea y especialidad]])</f>
        <v>#REF!</v>
      </c>
      <c r="O1517" s="19">
        <f t="shared" si="46"/>
        <v>10</v>
      </c>
      <c r="P1517" s="19">
        <f t="shared" si="47"/>
        <v>2024</v>
      </c>
      <c r="Q15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17" s="19" t="str">
        <f>TEXT(Planning[[#This Row],[Mes]]*29,"mmmm")</f>
        <v>October</v>
      </c>
      <c r="S15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17" s="193"/>
      <c r="U1517" s="43" t="e">
        <f>IF(Planning[[#This Row],[Horas Planificadas]]&lt;&gt;0,+K1517/Planning[[#This Row],[Horas Planificadas]],0)</f>
        <v>#REF!</v>
      </c>
      <c r="V1517" s="43" t="e">
        <f>IF(Planning[[#This Row],[Horas Planificadas]]&lt;&gt;0,Planning[[#This Row],[Horas utilizadas]]/Planning[[#This Row],[Horas Planificadas]],0)</f>
        <v>#REF!</v>
      </c>
      <c r="W1517" s="44">
        <f>Planning[[#This Row],[Horas Planificadas]]+Planning[[#This Row],[Horas ajustadas adicionales]]</f>
        <v>45</v>
      </c>
      <c r="X1517" s="142"/>
    </row>
    <row r="1518" spans="1:24" ht="12.75" customHeight="1" x14ac:dyDescent="0.2">
      <c r="A1518" s="7"/>
      <c r="B1518" s="7" t="s">
        <v>205</v>
      </c>
      <c r="C1518" s="3"/>
      <c r="D1518" s="3" t="s">
        <v>376</v>
      </c>
      <c r="E1518" s="4"/>
      <c r="F1518" s="3" t="s">
        <v>131</v>
      </c>
      <c r="G1518" s="9"/>
      <c r="H1518" s="9"/>
      <c r="I1518" s="12"/>
      <c r="J1518" s="5" t="e">
        <f>SUM(SUMIFS(#REF!,#REF!,Planning[[#This Row],[Tipo de Tarea y especialidad]],#REF!,Planning[[#This Row],[Proyectos Reiwa]]),SUMIFS(#REF!,#REF!,Planning[[#This Row],[Tipo de Tarea y especialidad]],#REF!,Planning[[#This Row],[Proyectos]]))</f>
        <v>#REF!</v>
      </c>
      <c r="K1518" s="5" t="e">
        <f>Planning[[#This Row],[Horas Planificadas]]+Planning[[#This Row],[Horas ajustadas adicionales]]-Planning[[#This Row],[Horas utilizadas]]</f>
        <v>#REF!</v>
      </c>
      <c r="L1518" s="7"/>
      <c r="M1518" s="19" t="e">
        <f>Planning[[#This Row],[Saldo]]-Planning[[#This Row],[Saldo estimado]]</f>
        <v>#REF!</v>
      </c>
      <c r="N1518" s="60" t="e">
        <f>+SUMIFS(#REF!,#REF!,Planning[[#This Row],[Proyectos]],#REF!,Planning[[#This Row],[Tipo de Tarea y especialidad]])</f>
        <v>#REF!</v>
      </c>
      <c r="O1518" s="19">
        <f t="shared" si="46"/>
        <v>10</v>
      </c>
      <c r="P1518" s="19">
        <f t="shared" si="47"/>
        <v>2024</v>
      </c>
      <c r="Q15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18" s="19" t="str">
        <f>TEXT(Planning[[#This Row],[Mes]]*29,"mmmm")</f>
        <v>October</v>
      </c>
      <c r="S15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18" s="193"/>
      <c r="U1518" s="43">
        <f>IF(Planning[[#This Row],[Horas Planificadas]]&lt;&gt;0,+K1518/Planning[[#This Row],[Horas Planificadas]],0)</f>
        <v>0</v>
      </c>
      <c r="V1518" s="43">
        <f>IF(Planning[[#This Row],[Horas Planificadas]]&lt;&gt;0,Planning[[#This Row],[Horas utilizadas]]/Planning[[#This Row],[Horas Planificadas]],0)</f>
        <v>0</v>
      </c>
      <c r="W1518" s="44">
        <f>Planning[[#This Row],[Horas Planificadas]]+Planning[[#This Row],[Horas ajustadas adicionales]]</f>
        <v>0</v>
      </c>
      <c r="X1518" s="142"/>
    </row>
    <row r="1519" spans="1:24" ht="12.75" customHeight="1" x14ac:dyDescent="0.2">
      <c r="A1519" s="7"/>
      <c r="B1519" s="7"/>
      <c r="C1519" s="3"/>
      <c r="D1519" s="3" t="s">
        <v>378</v>
      </c>
      <c r="E1519" s="4" t="s">
        <v>28</v>
      </c>
      <c r="F1519" s="3"/>
      <c r="G1519" s="9"/>
      <c r="H1519" s="9">
        <v>0</v>
      </c>
      <c r="I1519" s="12"/>
      <c r="J1519" s="5" t="e">
        <f>+SUMIFS(#REF!,#REF!,Planning[[#This Row],[Tarifa]],#REF!,Planning[[#This Row],[Proyectos]])</f>
        <v>#REF!</v>
      </c>
      <c r="K1519" s="5" t="e">
        <f>Planning[[#This Row],[Horas Planificadas]]+Planning[[#This Row],[Horas ajustadas adicionales]]-Planning[[#This Row],[Horas utilizadas]]</f>
        <v>#REF!</v>
      </c>
      <c r="L1519" s="7"/>
      <c r="M1519" s="19" t="e">
        <f>Planning[[#This Row],[Saldo]]-Planning[[#This Row],[Saldo estimado]]</f>
        <v>#REF!</v>
      </c>
      <c r="N1519" s="60" t="e">
        <f>+SUMIFS(#REF!,#REF!,Planning[[#This Row],[Proyectos]],#REF!,Planning[[#This Row],[Tipo de Tarea y especialidad]])</f>
        <v>#REF!</v>
      </c>
      <c r="O1519" s="19">
        <f t="shared" si="46"/>
        <v>10</v>
      </c>
      <c r="P1519" s="19">
        <f t="shared" si="47"/>
        <v>2024</v>
      </c>
      <c r="Q1519" s="19" t="e">
        <f>+SUMIFS(#REF!,#REF!,Planning[[#This Row],[Tarifa]],#REF!,Planning[[#This Row],[Proyectos]],#REF!,Planning[[#This Row],[Mes]],#REF!,Planning[[#This Row],[Año]])</f>
        <v>#REF!</v>
      </c>
      <c r="R1519" s="19" t="str">
        <f>TEXT(Planning[[#This Row],[Mes]]*29,"mmmm")</f>
        <v>October</v>
      </c>
      <c r="S15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19" s="99"/>
      <c r="U1519" s="43">
        <f>IF(Planning[[#This Row],[Horas Planificadas]]&lt;&gt;0,+K1519/Planning[[#This Row],[Horas Planificadas]],0)</f>
        <v>0</v>
      </c>
      <c r="V1519" s="43">
        <f>IF(Planning[[#This Row],[Horas Planificadas]]&lt;&gt;0,Planning[[#This Row],[Horas utilizadas]]/Planning[[#This Row],[Horas Planificadas]],0)</f>
        <v>0</v>
      </c>
      <c r="W1519" s="44">
        <f>Planning[[#This Row],[Horas Planificadas]]+Planning[[#This Row],[Horas ajustadas adicionales]]</f>
        <v>0</v>
      </c>
      <c r="X1519" s="142"/>
    </row>
    <row r="1520" spans="1:24" ht="12.75" customHeight="1" x14ac:dyDescent="0.2">
      <c r="A1520" s="7"/>
      <c r="B1520" s="7"/>
      <c r="C1520" s="3"/>
      <c r="D1520" s="3" t="s">
        <v>378</v>
      </c>
      <c r="E1520" s="4" t="s">
        <v>30</v>
      </c>
      <c r="F1520" s="3"/>
      <c r="G1520" s="9"/>
      <c r="H1520" s="9">
        <v>18</v>
      </c>
      <c r="I1520" s="12"/>
      <c r="J1520" s="5" t="e">
        <f>+SUMIFS(#REF!,#REF!,Planning[[#This Row],[Tarifa]],#REF!,Planning[[#This Row],[Proyectos]])</f>
        <v>#REF!</v>
      </c>
      <c r="K1520" s="5" t="e">
        <f>Planning[[#This Row],[Horas Planificadas]]+Planning[[#This Row],[Horas ajustadas adicionales]]-Planning[[#This Row],[Horas utilizadas]]</f>
        <v>#REF!</v>
      </c>
      <c r="L1520" s="7"/>
      <c r="M1520" s="19" t="e">
        <f>Planning[[#This Row],[Saldo]]-Planning[[#This Row],[Saldo estimado]]</f>
        <v>#REF!</v>
      </c>
      <c r="N1520" s="60" t="e">
        <f>+SUMIFS(#REF!,#REF!,Planning[[#This Row],[Proyectos]],#REF!,Planning[[#This Row],[Tipo de Tarea y especialidad]])</f>
        <v>#REF!</v>
      </c>
      <c r="O1520" s="19">
        <f t="shared" si="46"/>
        <v>10</v>
      </c>
      <c r="P1520" s="19">
        <f t="shared" si="47"/>
        <v>2024</v>
      </c>
      <c r="Q1520" s="19" t="e">
        <f>+SUMIFS(#REF!,#REF!,Planning[[#This Row],[Tarifa]],#REF!,Planning[[#This Row],[Proyectos]],#REF!,Planning[[#This Row],[Mes]],#REF!,Planning[[#This Row],[Año]])</f>
        <v>#REF!</v>
      </c>
      <c r="R1520" s="19" t="str">
        <f>TEXT(Planning[[#This Row],[Mes]]*29,"mmmm")</f>
        <v>October</v>
      </c>
      <c r="S15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20" s="99"/>
      <c r="U1520" s="43" t="e">
        <f>IF(Planning[[#This Row],[Horas Planificadas]]&lt;&gt;0,+K1520/Planning[[#This Row],[Horas Planificadas]],0)</f>
        <v>#REF!</v>
      </c>
      <c r="V1520" s="43" t="e">
        <f>IF(Planning[[#This Row],[Horas Planificadas]]&lt;&gt;0,Planning[[#This Row],[Horas utilizadas]]/Planning[[#This Row],[Horas Planificadas]],0)</f>
        <v>#REF!</v>
      </c>
      <c r="W1520" s="44">
        <f>Planning[[#This Row],[Horas Planificadas]]+Planning[[#This Row],[Horas ajustadas adicionales]]</f>
        <v>18</v>
      </c>
      <c r="X1520" s="142"/>
    </row>
    <row r="1521" spans="1:24" ht="12.75" customHeight="1" x14ac:dyDescent="0.2">
      <c r="A1521" s="7"/>
      <c r="B1521" s="7"/>
      <c r="C1521" s="3"/>
      <c r="D1521" s="3" t="s">
        <v>378</v>
      </c>
      <c r="E1521" s="4" t="s">
        <v>31</v>
      </c>
      <c r="F1521" s="3"/>
      <c r="G1521" s="9"/>
      <c r="H1521" s="9">
        <v>18</v>
      </c>
      <c r="I1521" s="12"/>
      <c r="J1521" s="5" t="e">
        <f>+SUMIFS(#REF!,#REF!,Planning[[#This Row],[Tarifa]],#REF!,Planning[[#This Row],[Proyectos]])</f>
        <v>#REF!</v>
      </c>
      <c r="K1521" s="5" t="e">
        <f>Planning[[#This Row],[Horas Planificadas]]+Planning[[#This Row],[Horas ajustadas adicionales]]-Planning[[#This Row],[Horas utilizadas]]</f>
        <v>#REF!</v>
      </c>
      <c r="L1521" s="7"/>
      <c r="M1521" s="19" t="e">
        <f>Planning[[#This Row],[Saldo]]-Planning[[#This Row],[Saldo estimado]]</f>
        <v>#REF!</v>
      </c>
      <c r="N1521" s="60" t="e">
        <f>+SUMIFS(#REF!,#REF!,Planning[[#This Row],[Proyectos]],#REF!,Planning[[#This Row],[Tipo de Tarea y especialidad]])</f>
        <v>#REF!</v>
      </c>
      <c r="O1521" s="19">
        <f t="shared" si="46"/>
        <v>10</v>
      </c>
      <c r="P1521" s="19">
        <f t="shared" si="47"/>
        <v>2024</v>
      </c>
      <c r="Q1521" s="19" t="e">
        <f>+SUMIFS(#REF!,#REF!,Planning[[#This Row],[Tarifa]],#REF!,Planning[[#This Row],[Proyectos]],#REF!,Planning[[#This Row],[Mes]],#REF!,Planning[[#This Row],[Año]])</f>
        <v>#REF!</v>
      </c>
      <c r="R1521" s="19" t="str">
        <f>TEXT(Planning[[#This Row],[Mes]]*29,"mmmm")</f>
        <v>October</v>
      </c>
      <c r="S15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21" s="99"/>
      <c r="U1521" s="43" t="e">
        <f>IF(Planning[[#This Row],[Horas Planificadas]]&lt;&gt;0,+K1521/Planning[[#This Row],[Horas Planificadas]],0)</f>
        <v>#REF!</v>
      </c>
      <c r="V1521" s="43" t="e">
        <f>IF(Planning[[#This Row],[Horas Planificadas]]&lt;&gt;0,Planning[[#This Row],[Horas utilizadas]]/Planning[[#This Row],[Horas Planificadas]],0)</f>
        <v>#REF!</v>
      </c>
      <c r="W1521" s="44">
        <f>Planning[[#This Row],[Horas Planificadas]]+Planning[[#This Row],[Horas ajustadas adicionales]]</f>
        <v>18</v>
      </c>
      <c r="X1521" s="142"/>
    </row>
    <row r="1522" spans="1:24" ht="12.75" customHeight="1" x14ac:dyDescent="0.2">
      <c r="A1522" s="7"/>
      <c r="B1522" s="7"/>
      <c r="C1522" s="3"/>
      <c r="D1522" s="3" t="s">
        <v>378</v>
      </c>
      <c r="E1522" s="4" t="s">
        <v>32</v>
      </c>
      <c r="F1522" s="3"/>
      <c r="G1522" s="9"/>
      <c r="H1522" s="9">
        <v>67</v>
      </c>
      <c r="I1522" s="12"/>
      <c r="J1522" s="5" t="e">
        <f>+SUMIFS(#REF!,#REF!,Planning[[#This Row],[Tarifa]],#REF!,Planning[[#This Row],[Proyectos]])</f>
        <v>#REF!</v>
      </c>
      <c r="K1522" s="5" t="e">
        <f>Planning[[#This Row],[Horas Planificadas]]+Planning[[#This Row],[Horas ajustadas adicionales]]-Planning[[#This Row],[Horas utilizadas]]</f>
        <v>#REF!</v>
      </c>
      <c r="L1522" s="7"/>
      <c r="M1522" s="19" t="e">
        <f>Planning[[#This Row],[Saldo]]-Planning[[#This Row],[Saldo estimado]]</f>
        <v>#REF!</v>
      </c>
      <c r="N1522" s="60" t="e">
        <f>+SUMIFS(#REF!,#REF!,Planning[[#This Row],[Proyectos]],#REF!,Planning[[#This Row],[Tipo de Tarea y especialidad]])</f>
        <v>#REF!</v>
      </c>
      <c r="O1522" s="19">
        <f t="shared" si="46"/>
        <v>10</v>
      </c>
      <c r="P1522" s="19">
        <f t="shared" si="47"/>
        <v>2024</v>
      </c>
      <c r="Q1522" s="19" t="e">
        <f>+SUMIFS(#REF!,#REF!,Planning[[#This Row],[Tarifa]],#REF!,Planning[[#This Row],[Proyectos]],#REF!,Planning[[#This Row],[Mes]],#REF!,Planning[[#This Row],[Año]])</f>
        <v>#REF!</v>
      </c>
      <c r="R1522" s="19" t="str">
        <f>TEXT(Planning[[#This Row],[Mes]]*29,"mmmm")</f>
        <v>October</v>
      </c>
      <c r="S15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22" s="99"/>
      <c r="U1522" s="43" t="e">
        <f>IF(Planning[[#This Row],[Horas Planificadas]]&lt;&gt;0,+K1522/Planning[[#This Row],[Horas Planificadas]],0)</f>
        <v>#REF!</v>
      </c>
      <c r="V1522" s="43" t="e">
        <f>IF(Planning[[#This Row],[Horas Planificadas]]&lt;&gt;0,Planning[[#This Row],[Horas utilizadas]]/Planning[[#This Row],[Horas Planificadas]],0)</f>
        <v>#REF!</v>
      </c>
      <c r="W1522" s="44">
        <f>Planning[[#This Row],[Horas Planificadas]]+Planning[[#This Row],[Horas ajustadas adicionales]]</f>
        <v>67</v>
      </c>
      <c r="X1522" s="142"/>
    </row>
    <row r="1523" spans="1:24" ht="12.75" customHeight="1" x14ac:dyDescent="0.2">
      <c r="A1523" s="7"/>
      <c r="B1523" s="7"/>
      <c r="C1523" s="3"/>
      <c r="D1523" s="3" t="s">
        <v>379</v>
      </c>
      <c r="E1523" s="4" t="s">
        <v>28</v>
      </c>
      <c r="F1523" s="3"/>
      <c r="G1523" s="9"/>
      <c r="H1523" s="12">
        <v>0</v>
      </c>
      <c r="I1523" s="12"/>
      <c r="J1523" s="5" t="e">
        <f>+SUMIFS(#REF!,#REF!,Planning[[#This Row],[Tarifa]],#REF!,Planning[[#This Row],[Proyectos]])</f>
        <v>#REF!</v>
      </c>
      <c r="K1523" s="27" t="e">
        <f>Planning[[#This Row],[Horas Planificadas]]+Planning[[#This Row],[Horas ajustadas adicionales]]-Planning[[#This Row],[Horas utilizadas]]</f>
        <v>#REF!</v>
      </c>
      <c r="L1523" s="7"/>
      <c r="M1523" s="19" t="e">
        <f>Planning[[#This Row],[Saldo]]-Planning[[#This Row],[Saldo estimado]]</f>
        <v>#REF!</v>
      </c>
      <c r="N1523" s="60" t="e">
        <f>+SUMIFS(#REF!,#REF!,Planning[[#This Row],[Proyectos]],#REF!,Planning[[#This Row],[Tipo de Tarea y especialidad]])</f>
        <v>#REF!</v>
      </c>
      <c r="O1523" s="19">
        <f t="shared" si="46"/>
        <v>10</v>
      </c>
      <c r="P1523" s="19">
        <f t="shared" si="47"/>
        <v>2024</v>
      </c>
      <c r="Q1523" s="19" t="e">
        <f>+SUMIFS(#REF!,#REF!,Planning[[#This Row],[Tarifa]],#REF!,Planning[[#This Row],[Proyectos]],#REF!,Planning[[#This Row],[Mes]],#REF!,Planning[[#This Row],[Año]])</f>
        <v>#REF!</v>
      </c>
      <c r="R1523" s="19" t="str">
        <f>TEXT(Planning[[#This Row],[Mes]]*29,"mmmm")</f>
        <v>October</v>
      </c>
      <c r="S15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23" s="99"/>
      <c r="U1523" s="43">
        <f>IF(Planning[[#This Row],[Horas Planificadas]]&lt;&gt;0,+K1523/Planning[[#This Row],[Horas Planificadas]],0)</f>
        <v>0</v>
      </c>
      <c r="V1523" s="43">
        <f>IF(Planning[[#This Row],[Horas Planificadas]]&lt;&gt;0,Planning[[#This Row],[Horas utilizadas]]/Planning[[#This Row],[Horas Planificadas]],0)</f>
        <v>0</v>
      </c>
      <c r="W1523" s="44">
        <f>Planning[[#This Row],[Horas Planificadas]]+Planning[[#This Row],[Horas ajustadas adicionales]]</f>
        <v>0</v>
      </c>
      <c r="X1523" s="142"/>
    </row>
    <row r="1524" spans="1:24" ht="12.75" customHeight="1" x14ac:dyDescent="0.2">
      <c r="A1524" s="7"/>
      <c r="B1524" s="7"/>
      <c r="C1524" s="3"/>
      <c r="D1524" s="3" t="s">
        <v>379</v>
      </c>
      <c r="E1524" s="4" t="s">
        <v>30</v>
      </c>
      <c r="F1524" s="3"/>
      <c r="G1524" s="9"/>
      <c r="H1524" s="9">
        <v>0</v>
      </c>
      <c r="I1524" s="12"/>
      <c r="J1524" s="5" t="e">
        <f>+SUMIFS(#REF!,#REF!,Planning[[#This Row],[Tarifa]],#REF!,Planning[[#This Row],[Proyectos]])</f>
        <v>#REF!</v>
      </c>
      <c r="K1524" s="5" t="e">
        <f>Planning[[#This Row],[Horas Planificadas]]+Planning[[#This Row],[Horas ajustadas adicionales]]-Planning[[#This Row],[Horas utilizadas]]</f>
        <v>#REF!</v>
      </c>
      <c r="L1524" s="7"/>
      <c r="M1524" s="19" t="e">
        <f>Planning[[#This Row],[Saldo]]-Planning[[#This Row],[Saldo estimado]]</f>
        <v>#REF!</v>
      </c>
      <c r="N1524" s="60" t="e">
        <f>+SUMIFS(#REF!,#REF!,Planning[[#This Row],[Proyectos]],#REF!,Planning[[#This Row],[Tipo de Tarea y especialidad]])</f>
        <v>#REF!</v>
      </c>
      <c r="O1524" s="19">
        <f t="shared" si="46"/>
        <v>10</v>
      </c>
      <c r="P1524" s="19">
        <f t="shared" si="47"/>
        <v>2024</v>
      </c>
      <c r="Q1524" s="19" t="e">
        <f>+SUMIFS(#REF!,#REF!,Planning[[#This Row],[Tarifa]],#REF!,Planning[[#This Row],[Proyectos]],#REF!,Planning[[#This Row],[Mes]],#REF!,Planning[[#This Row],[Año]])</f>
        <v>#REF!</v>
      </c>
      <c r="R1524" s="19" t="str">
        <f>TEXT(Planning[[#This Row],[Mes]]*29,"mmmm")</f>
        <v>October</v>
      </c>
      <c r="S15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24" s="99"/>
      <c r="U1524" s="43">
        <f>IF(Planning[[#This Row],[Horas Planificadas]]&lt;&gt;0,+K1524/Planning[[#This Row],[Horas Planificadas]],0)</f>
        <v>0</v>
      </c>
      <c r="V1524" s="43">
        <f>IF(Planning[[#This Row],[Horas Planificadas]]&lt;&gt;0,Planning[[#This Row],[Horas utilizadas]]/Planning[[#This Row],[Horas Planificadas]],0)</f>
        <v>0</v>
      </c>
      <c r="W1524" s="44">
        <f>Planning[[#This Row],[Horas Planificadas]]+Planning[[#This Row],[Horas ajustadas adicionales]]</f>
        <v>0</v>
      </c>
      <c r="X1524" s="142"/>
    </row>
    <row r="1525" spans="1:24" ht="12.75" customHeight="1" x14ac:dyDescent="0.2">
      <c r="A1525" s="7"/>
      <c r="B1525" s="7"/>
      <c r="C1525" s="3"/>
      <c r="D1525" s="3" t="s">
        <v>379</v>
      </c>
      <c r="E1525" s="4" t="s">
        <v>31</v>
      </c>
      <c r="F1525" s="3"/>
      <c r="G1525" s="9"/>
      <c r="H1525" s="9">
        <v>9</v>
      </c>
      <c r="I1525" s="12"/>
      <c r="J1525" s="5" t="e">
        <f>+SUMIFS(#REF!,#REF!,Planning[[#This Row],[Tarifa]],#REF!,Planning[[#This Row],[Proyectos]])</f>
        <v>#REF!</v>
      </c>
      <c r="K1525" s="5" t="e">
        <f>Planning[[#This Row],[Horas Planificadas]]+Planning[[#This Row],[Horas ajustadas adicionales]]-Planning[[#This Row],[Horas utilizadas]]</f>
        <v>#REF!</v>
      </c>
      <c r="L1525" s="7"/>
      <c r="M1525" s="19" t="e">
        <f>Planning[[#This Row],[Saldo]]-Planning[[#This Row],[Saldo estimado]]</f>
        <v>#REF!</v>
      </c>
      <c r="N1525" s="60" t="e">
        <f>+SUMIFS(#REF!,#REF!,Planning[[#This Row],[Proyectos]],#REF!,Planning[[#This Row],[Tipo de Tarea y especialidad]])</f>
        <v>#REF!</v>
      </c>
      <c r="O1525" s="19">
        <f t="shared" si="46"/>
        <v>10</v>
      </c>
      <c r="P1525" s="19">
        <f t="shared" si="47"/>
        <v>2024</v>
      </c>
      <c r="Q1525" s="19" t="e">
        <f>+SUMIFS(#REF!,#REF!,Planning[[#This Row],[Tarifa]],#REF!,Planning[[#This Row],[Proyectos]],#REF!,Planning[[#This Row],[Mes]],#REF!,Planning[[#This Row],[Año]])</f>
        <v>#REF!</v>
      </c>
      <c r="R1525" s="19" t="str">
        <f>TEXT(Planning[[#This Row],[Mes]]*29,"mmmm")</f>
        <v>October</v>
      </c>
      <c r="S15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25" s="99"/>
      <c r="U1525" s="43" t="e">
        <f>IF(Planning[[#This Row],[Horas Planificadas]]&lt;&gt;0,+K1525/Planning[[#This Row],[Horas Planificadas]],0)</f>
        <v>#REF!</v>
      </c>
      <c r="V1525" s="43" t="e">
        <f>IF(Planning[[#This Row],[Horas Planificadas]]&lt;&gt;0,Planning[[#This Row],[Horas utilizadas]]/Planning[[#This Row],[Horas Planificadas]],0)</f>
        <v>#REF!</v>
      </c>
      <c r="W1525" s="44">
        <f>Planning[[#This Row],[Horas Planificadas]]+Planning[[#This Row],[Horas ajustadas adicionales]]</f>
        <v>9</v>
      </c>
      <c r="X1525" s="142"/>
    </row>
    <row r="1526" spans="1:24" ht="78" customHeight="1" x14ac:dyDescent="0.2">
      <c r="A1526" s="7"/>
      <c r="B1526" s="7"/>
      <c r="C1526" s="3"/>
      <c r="D1526" s="3" t="s">
        <v>379</v>
      </c>
      <c r="E1526" s="4" t="s">
        <v>32</v>
      </c>
      <c r="F1526" s="3"/>
      <c r="G1526" s="9"/>
      <c r="H1526" s="9">
        <v>36</v>
      </c>
      <c r="I1526" s="12"/>
      <c r="J1526" s="5" t="e">
        <f>+SUMIFS(#REF!,#REF!,Planning[[#This Row],[Tarifa]],#REF!,Planning[[#This Row],[Proyectos]])</f>
        <v>#REF!</v>
      </c>
      <c r="K1526" s="5" t="e">
        <f>Planning[[#This Row],[Horas Planificadas]]+Planning[[#This Row],[Horas ajustadas adicionales]]-Planning[[#This Row],[Horas utilizadas]]</f>
        <v>#REF!</v>
      </c>
      <c r="L1526" s="7"/>
      <c r="M1526" s="19" t="e">
        <f>Planning[[#This Row],[Saldo]]-Planning[[#This Row],[Saldo estimado]]</f>
        <v>#REF!</v>
      </c>
      <c r="N1526" s="60" t="e">
        <f>+SUMIFS(#REF!,#REF!,Planning[[#This Row],[Proyectos]],#REF!,Planning[[#This Row],[Tipo de Tarea y especialidad]])</f>
        <v>#REF!</v>
      </c>
      <c r="O1526" s="19">
        <f t="shared" si="46"/>
        <v>10</v>
      </c>
      <c r="P1526" s="19">
        <f t="shared" si="47"/>
        <v>2024</v>
      </c>
      <c r="Q1526" s="19" t="e">
        <f>+SUMIFS(#REF!,#REF!,Planning[[#This Row],[Tarifa]],#REF!,Planning[[#This Row],[Proyectos]],#REF!,Planning[[#This Row],[Mes]],#REF!,Planning[[#This Row],[Año]])</f>
        <v>#REF!</v>
      </c>
      <c r="R1526" s="19" t="str">
        <f>TEXT(Planning[[#This Row],[Mes]]*29,"mmmm")</f>
        <v>October</v>
      </c>
      <c r="S15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26" s="99"/>
      <c r="U1526" s="43" t="e">
        <f>IF(Planning[[#This Row],[Horas Planificadas]]&lt;&gt;0,+K1526/Planning[[#This Row],[Horas Planificadas]],0)</f>
        <v>#REF!</v>
      </c>
      <c r="V1526" s="43" t="e">
        <f>IF(Planning[[#This Row],[Horas Planificadas]]&lt;&gt;0,Planning[[#This Row],[Horas utilizadas]]/Planning[[#This Row],[Horas Planificadas]],0)</f>
        <v>#REF!</v>
      </c>
      <c r="W1526" s="44">
        <f>Planning[[#This Row],[Horas Planificadas]]+Planning[[#This Row],[Horas ajustadas adicionales]]</f>
        <v>36</v>
      </c>
      <c r="X1526" s="142"/>
    </row>
    <row r="1527" spans="1:24" ht="12.75" customHeight="1" x14ac:dyDescent="0.2">
      <c r="A1527" s="7" t="s">
        <v>204</v>
      </c>
      <c r="B1527" s="7" t="s">
        <v>118</v>
      </c>
      <c r="C1527" s="3"/>
      <c r="D1527" s="3" t="s">
        <v>380</v>
      </c>
      <c r="E1527" s="33" t="s">
        <v>28</v>
      </c>
      <c r="F1527" s="36"/>
      <c r="G1527" s="7">
        <v>1153</v>
      </c>
      <c r="H1527" s="24">
        <f>SUM(H1528:H1529)</f>
        <v>1153</v>
      </c>
      <c r="I1527" s="14"/>
      <c r="J1527" s="14" t="e">
        <f>SUM(J1528:J1529)</f>
        <v>#REF!</v>
      </c>
      <c r="K1527" s="18" t="e">
        <f>SUM(K1528:K1529)</f>
        <v>#REF!</v>
      </c>
      <c r="L1527" s="15">
        <f>SUM(L1528:L1529)</f>
        <v>0</v>
      </c>
      <c r="M1527" s="28" t="e">
        <f>SUM(M1528:M1529)</f>
        <v>#REF!</v>
      </c>
      <c r="N1527" s="61" t="e">
        <f>+SUMIFS(#REF!,#REF!,Planning[[#This Row],[Proyectos]],#REF!,Planning[[#This Row],[Tipo de Tarea y especialidad]])</f>
        <v>#REF!</v>
      </c>
      <c r="O1527" s="28">
        <f t="shared" si="46"/>
        <v>10</v>
      </c>
      <c r="P1527" s="28">
        <f t="shared" si="47"/>
        <v>2024</v>
      </c>
      <c r="Q1527" s="28" t="e">
        <f>SUM(Q1528:Q1529)</f>
        <v>#REF!</v>
      </c>
      <c r="R1527" s="28" t="str">
        <f>TEXT(Planning[[#This Row],[Mes]]*29,"mmmm")</f>
        <v>October</v>
      </c>
      <c r="S15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27" s="192" t="s">
        <v>381</v>
      </c>
      <c r="U1527" s="43" t="e">
        <f>IF(Planning[[#This Row],[Horas Planificadas]]&lt;&gt;0,+K1527/Planning[[#This Row],[Horas Planificadas]],0)</f>
        <v>#REF!</v>
      </c>
      <c r="V1527" s="43" t="e">
        <f>IF(Planning[[#This Row],[Horas Planificadas]]&lt;&gt;0,Planning[[#This Row],[Horas utilizadas]]/Planning[[#This Row],[Horas Planificadas]],0)</f>
        <v>#REF!</v>
      </c>
      <c r="W1527" s="44">
        <f>Planning[[#This Row],[Horas Planificadas]]+Planning[[#This Row],[Horas ajustadas adicionales]]</f>
        <v>1153</v>
      </c>
      <c r="X1527" s="142"/>
    </row>
    <row r="1528" spans="1:24" ht="12.75" customHeight="1" x14ac:dyDescent="0.2">
      <c r="A1528" s="7" t="s">
        <v>204</v>
      </c>
      <c r="B1528" s="7" t="s">
        <v>118</v>
      </c>
      <c r="C1528" s="3"/>
      <c r="D1528" s="3" t="s">
        <v>380</v>
      </c>
      <c r="E1528" s="33"/>
      <c r="F1528" s="36" t="s">
        <v>120</v>
      </c>
      <c r="G1528" s="7"/>
      <c r="H1528" s="7">
        <v>800</v>
      </c>
      <c r="I1528" s="12"/>
      <c r="J1528" s="5" t="e">
        <f>SUM(SUMIFS(#REF!,#REF!,Planning[[#This Row],[Tipo de Tarea y especialidad]],#REF!,Planning[[#This Row],[Proyectos Reiwa]]),SUMIFS(#REF!,#REF!,Planning[[#This Row],[Tipo de Tarea y especialidad]],#REF!,Planning[[#This Row],[Proyectos]]))</f>
        <v>#REF!</v>
      </c>
      <c r="K1528" s="5" t="e">
        <f>Planning[[#This Row],[Horas Planificadas]]+Planning[[#This Row],[Horas ajustadas adicionales]]-Planning[[#This Row],[Horas utilizadas]]</f>
        <v>#REF!</v>
      </c>
      <c r="L1528" s="7">
        <v>0</v>
      </c>
      <c r="M1528" s="19" t="e">
        <f>Planning[[#This Row],[Saldo]]-Planning[[#This Row],[Saldo estimado]]</f>
        <v>#REF!</v>
      </c>
      <c r="N1528" s="60" t="e">
        <f>+SUMIFS(#REF!,#REF!,Planning[[#This Row],[Proyectos]],#REF!,Planning[[#This Row],[Tipo de Tarea y especialidad]])</f>
        <v>#REF!</v>
      </c>
      <c r="O1528" s="19">
        <f t="shared" si="46"/>
        <v>10</v>
      </c>
      <c r="P1528" s="19">
        <f t="shared" si="47"/>
        <v>2024</v>
      </c>
      <c r="Q15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28" s="19" t="str">
        <f>TEXT(Planning[[#This Row],[Mes]]*29,"mmmm")</f>
        <v>October</v>
      </c>
      <c r="S15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28" s="193"/>
      <c r="U1528" s="43" t="e">
        <f>IF(Planning[[#This Row],[Horas Planificadas]]&lt;&gt;0,+K1528/Planning[[#This Row],[Horas Planificadas]],0)</f>
        <v>#REF!</v>
      </c>
      <c r="V1528" s="43" t="e">
        <f>IF(Planning[[#This Row],[Horas Planificadas]]&lt;&gt;0,Planning[[#This Row],[Horas utilizadas]]/Planning[[#This Row],[Horas Planificadas]],0)</f>
        <v>#REF!</v>
      </c>
      <c r="W1528" s="44">
        <f>Planning[[#This Row],[Horas Planificadas]]+Planning[[#This Row],[Horas ajustadas adicionales]]</f>
        <v>800</v>
      </c>
      <c r="X1528" s="142"/>
    </row>
    <row r="1529" spans="1:24" ht="12.75" customHeight="1" x14ac:dyDescent="0.2">
      <c r="A1529" s="7" t="s">
        <v>204</v>
      </c>
      <c r="B1529" s="7" t="s">
        <v>118</v>
      </c>
      <c r="C1529" s="3"/>
      <c r="D1529" s="3" t="s">
        <v>380</v>
      </c>
      <c r="E1529" s="33"/>
      <c r="F1529" s="36" t="s">
        <v>121</v>
      </c>
      <c r="G1529" s="7"/>
      <c r="H1529" s="7">
        <v>353</v>
      </c>
      <c r="I1529" s="12"/>
      <c r="J1529" s="5" t="e">
        <f>SUM(SUMIFS(#REF!,#REF!,Planning[[#This Row],[Tipo de Tarea y especialidad]],#REF!,Planning[[#This Row],[Proyectos Reiwa]]),SUMIFS(#REF!,#REF!,Planning[[#This Row],[Tipo de Tarea y especialidad]],#REF!,Planning[[#This Row],[Proyectos]]))</f>
        <v>#REF!</v>
      </c>
      <c r="K1529" s="5" t="e">
        <f>Planning[[#This Row],[Horas Planificadas]]+Planning[[#This Row],[Horas ajustadas adicionales]]-Planning[[#This Row],[Horas utilizadas]]</f>
        <v>#REF!</v>
      </c>
      <c r="L1529" s="7">
        <v>0</v>
      </c>
      <c r="M1529" s="19" t="e">
        <f>Planning[[#This Row],[Saldo]]-Planning[[#This Row],[Saldo estimado]]</f>
        <v>#REF!</v>
      </c>
      <c r="N1529" s="60" t="e">
        <f>+SUMIFS(#REF!,#REF!,Planning[[#This Row],[Proyectos]],#REF!,Planning[[#This Row],[Tipo de Tarea y especialidad]])</f>
        <v>#REF!</v>
      </c>
      <c r="O1529" s="19">
        <f t="shared" si="46"/>
        <v>10</v>
      </c>
      <c r="P1529" s="19">
        <f t="shared" si="47"/>
        <v>2024</v>
      </c>
      <c r="Q15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29" s="19" t="str">
        <f>TEXT(Planning[[#This Row],[Mes]]*29,"mmmm")</f>
        <v>October</v>
      </c>
      <c r="S15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29" s="193"/>
      <c r="U1529" s="43" t="e">
        <f>IF(Planning[[#This Row],[Horas Planificadas]]&lt;&gt;0,+K1529/Planning[[#This Row],[Horas Planificadas]],0)</f>
        <v>#REF!</v>
      </c>
      <c r="V1529" s="43" t="e">
        <f>IF(Planning[[#This Row],[Horas Planificadas]]&lt;&gt;0,Planning[[#This Row],[Horas utilizadas]]/Planning[[#This Row],[Horas Planificadas]],0)</f>
        <v>#REF!</v>
      </c>
      <c r="W1529" s="44">
        <f>Planning[[#This Row],[Horas Planificadas]]+Planning[[#This Row],[Horas ajustadas adicionales]]</f>
        <v>353</v>
      </c>
      <c r="X1529" s="142"/>
    </row>
    <row r="1530" spans="1:24" ht="12.75" customHeight="1" x14ac:dyDescent="0.2">
      <c r="A1530" s="7" t="s">
        <v>204</v>
      </c>
      <c r="B1530" s="7" t="s">
        <v>118</v>
      </c>
      <c r="C1530" s="3"/>
      <c r="D1530" s="3" t="s">
        <v>380</v>
      </c>
      <c r="E1530" s="33" t="s">
        <v>30</v>
      </c>
      <c r="F1530" s="36"/>
      <c r="G1530" s="7">
        <v>1261</v>
      </c>
      <c r="H1530" s="24">
        <f>SUM(H1531:H1537)</f>
        <v>1260</v>
      </c>
      <c r="I1530" s="14"/>
      <c r="J1530" s="14" t="e">
        <f>SUM(J1531:J1537)</f>
        <v>#REF!</v>
      </c>
      <c r="K1530" s="18" t="e">
        <f>SUM(K1531:K1537)</f>
        <v>#REF!</v>
      </c>
      <c r="L1530" s="15">
        <f>SUM(L1531:L1537)</f>
        <v>0</v>
      </c>
      <c r="M1530" s="16" t="e">
        <f>SUM(M1531:M1537)</f>
        <v>#REF!</v>
      </c>
      <c r="N1530" s="60" t="e">
        <f>+SUMIFS(#REF!,#REF!,Planning[[#This Row],[Proyectos]],#REF!,Planning[[#This Row],[Tipo de Tarea y especialidad]])</f>
        <v>#REF!</v>
      </c>
      <c r="O1530" s="16">
        <f t="shared" si="46"/>
        <v>10</v>
      </c>
      <c r="P1530" s="16">
        <f t="shared" si="47"/>
        <v>2024</v>
      </c>
      <c r="Q1530" s="16" t="e">
        <f>SUM(Q1531:Q1537)</f>
        <v>#REF!</v>
      </c>
      <c r="R1530" s="16" t="str">
        <f>TEXT(Planning[[#This Row],[Mes]]*29,"mmmm")</f>
        <v>October</v>
      </c>
      <c r="S15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30" s="193"/>
      <c r="U1530" s="43" t="e">
        <f>IF(Planning[[#This Row],[Horas Planificadas]]&lt;&gt;0,+K1530/Planning[[#This Row],[Horas Planificadas]],0)</f>
        <v>#REF!</v>
      </c>
      <c r="V1530" s="43" t="e">
        <f>IF(Planning[[#This Row],[Horas Planificadas]]&lt;&gt;0,Planning[[#This Row],[Horas utilizadas]]/Planning[[#This Row],[Horas Planificadas]],0)</f>
        <v>#REF!</v>
      </c>
      <c r="W1530" s="44">
        <f>Planning[[#This Row],[Horas Planificadas]]+Planning[[#This Row],[Horas ajustadas adicionales]]</f>
        <v>1260</v>
      </c>
      <c r="X1530" s="142"/>
    </row>
    <row r="1531" spans="1:24" ht="12.75" customHeight="1" x14ac:dyDescent="0.2">
      <c r="A1531" s="7" t="s">
        <v>204</v>
      </c>
      <c r="B1531" s="7" t="s">
        <v>118</v>
      </c>
      <c r="C1531" s="3"/>
      <c r="D1531" s="3" t="s">
        <v>380</v>
      </c>
      <c r="E1531" s="4"/>
      <c r="F1531" s="3" t="s">
        <v>122</v>
      </c>
      <c r="G1531" s="9"/>
      <c r="H1531" s="12">
        <v>710</v>
      </c>
      <c r="I1531" s="12"/>
      <c r="J1531" s="5" t="e">
        <f>SUM(SUMIFS(#REF!,#REF!,Planning[[#This Row],[Tipo de Tarea y especialidad]],#REF!,Planning[[#This Row],[Proyectos Reiwa]]),SUMIFS(#REF!,#REF!,Planning[[#This Row],[Tipo de Tarea y especialidad]],#REF!,Planning[[#This Row],[Proyectos]]))</f>
        <v>#REF!</v>
      </c>
      <c r="K1531" s="27" t="e">
        <f>Planning[[#This Row],[Horas Planificadas]]+Planning[[#This Row],[Horas ajustadas adicionales]]-Planning[[#This Row],[Horas utilizadas]]</f>
        <v>#REF!</v>
      </c>
      <c r="L1531" s="7">
        <v>0</v>
      </c>
      <c r="M1531" s="34" t="e">
        <f>Planning[[#This Row],[Saldo]]-Planning[[#This Row],[Saldo estimado]]</f>
        <v>#REF!</v>
      </c>
      <c r="N1531" s="62" t="e">
        <f>+SUMIFS(#REF!,#REF!,Planning[[#This Row],[Proyectos]],#REF!,Planning[[#This Row],[Tipo de Tarea y especialidad]])</f>
        <v>#REF!</v>
      </c>
      <c r="O1531" s="34">
        <f t="shared" si="46"/>
        <v>10</v>
      </c>
      <c r="P1531" s="34">
        <f t="shared" si="47"/>
        <v>2024</v>
      </c>
      <c r="Q15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31" s="19" t="str">
        <f>TEXT(Planning[[#This Row],[Mes]]*29,"mmmm")</f>
        <v>October</v>
      </c>
      <c r="S15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31" s="193"/>
      <c r="U1531" s="43" t="e">
        <f>IF(Planning[[#This Row],[Horas Planificadas]]&lt;&gt;0,+K1531/Planning[[#This Row],[Horas Planificadas]],0)</f>
        <v>#REF!</v>
      </c>
      <c r="V1531" s="43" t="e">
        <f>IF(Planning[[#This Row],[Horas Planificadas]]&lt;&gt;0,Planning[[#This Row],[Horas utilizadas]]/Planning[[#This Row],[Horas Planificadas]],0)</f>
        <v>#REF!</v>
      </c>
      <c r="W1531" s="44">
        <f>Planning[[#This Row],[Horas Planificadas]]+Planning[[#This Row],[Horas ajustadas adicionales]]</f>
        <v>710</v>
      </c>
      <c r="X1531" s="142"/>
    </row>
    <row r="1532" spans="1:24" ht="12.75" customHeight="1" x14ac:dyDescent="0.2">
      <c r="A1532" s="7" t="s">
        <v>204</v>
      </c>
      <c r="B1532" s="7" t="s">
        <v>118</v>
      </c>
      <c r="C1532" s="3"/>
      <c r="D1532" s="3" t="s">
        <v>380</v>
      </c>
      <c r="E1532" s="4"/>
      <c r="F1532" s="3" t="s">
        <v>123</v>
      </c>
      <c r="G1532" s="9"/>
      <c r="H1532" s="9"/>
      <c r="I1532" s="12"/>
      <c r="J1532" s="5" t="e">
        <f>SUM(SUMIFS(#REF!,#REF!,Planning[[#This Row],[Tipo de Tarea y especialidad]],#REF!,Planning[[#This Row],[Proyectos Reiwa]]),SUMIFS(#REF!,#REF!,Planning[[#This Row],[Tipo de Tarea y especialidad]],#REF!,Planning[[#This Row],[Proyectos]]))</f>
        <v>#REF!</v>
      </c>
      <c r="K1532" s="5" t="e">
        <f>Planning[[#This Row],[Horas Planificadas]]+Planning[[#This Row],[Horas ajustadas adicionales]]-Planning[[#This Row],[Horas utilizadas]]</f>
        <v>#REF!</v>
      </c>
      <c r="L1532" s="7"/>
      <c r="M1532" s="19" t="e">
        <f>Planning[[#This Row],[Saldo]]-Planning[[#This Row],[Saldo estimado]]</f>
        <v>#REF!</v>
      </c>
      <c r="N1532" s="60" t="e">
        <f>+SUMIFS(#REF!,#REF!,Planning[[#This Row],[Proyectos]],#REF!,Planning[[#This Row],[Tipo de Tarea y especialidad]])</f>
        <v>#REF!</v>
      </c>
      <c r="O1532" s="19">
        <f t="shared" si="46"/>
        <v>10</v>
      </c>
      <c r="P1532" s="19">
        <f t="shared" si="47"/>
        <v>2024</v>
      </c>
      <c r="Q15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32" s="19" t="str">
        <f>TEXT(Planning[[#This Row],[Mes]]*29,"mmmm")</f>
        <v>October</v>
      </c>
      <c r="S15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32" s="193"/>
      <c r="U1532" s="43">
        <f>IF(Planning[[#This Row],[Horas Planificadas]]&lt;&gt;0,+K1532/Planning[[#This Row],[Horas Planificadas]],0)</f>
        <v>0</v>
      </c>
      <c r="V1532" s="43">
        <f>IF(Planning[[#This Row],[Horas Planificadas]]&lt;&gt;0,Planning[[#This Row],[Horas utilizadas]]/Planning[[#This Row],[Horas Planificadas]],0)</f>
        <v>0</v>
      </c>
      <c r="W1532" s="44">
        <f>Planning[[#This Row],[Horas Planificadas]]+Planning[[#This Row],[Horas ajustadas adicionales]]</f>
        <v>0</v>
      </c>
      <c r="X1532" s="142"/>
    </row>
    <row r="1533" spans="1:24" ht="12.75" customHeight="1" x14ac:dyDescent="0.2">
      <c r="A1533" s="7" t="s">
        <v>204</v>
      </c>
      <c r="B1533" s="7" t="s">
        <v>118</v>
      </c>
      <c r="C1533" s="3"/>
      <c r="D1533" s="3" t="s">
        <v>380</v>
      </c>
      <c r="E1533" s="4"/>
      <c r="F1533" s="3" t="s">
        <v>124</v>
      </c>
      <c r="G1533" s="9"/>
      <c r="H1533" s="9">
        <v>250</v>
      </c>
      <c r="I1533" s="12"/>
      <c r="J1533" s="5" t="e">
        <f>SUM(SUMIFS(#REF!,#REF!,Planning[[#This Row],[Tipo de Tarea y especialidad]],#REF!,Planning[[#This Row],[Proyectos Reiwa]]),SUMIFS(#REF!,#REF!,Planning[[#This Row],[Tipo de Tarea y especialidad]],#REF!,Planning[[#This Row],[Proyectos]]))</f>
        <v>#REF!</v>
      </c>
      <c r="K1533" s="5" t="e">
        <f>Planning[[#This Row],[Horas Planificadas]]+Planning[[#This Row],[Horas ajustadas adicionales]]-Planning[[#This Row],[Horas utilizadas]]</f>
        <v>#REF!</v>
      </c>
      <c r="L1533" s="7">
        <v>0</v>
      </c>
      <c r="M1533" s="19" t="e">
        <f>Planning[[#This Row],[Saldo]]-Planning[[#This Row],[Saldo estimado]]</f>
        <v>#REF!</v>
      </c>
      <c r="N1533" s="60" t="e">
        <f>+SUMIFS(#REF!,#REF!,Planning[[#This Row],[Proyectos]],#REF!,Planning[[#This Row],[Tipo de Tarea y especialidad]])</f>
        <v>#REF!</v>
      </c>
      <c r="O1533" s="19">
        <f t="shared" si="46"/>
        <v>10</v>
      </c>
      <c r="P1533" s="19">
        <f t="shared" si="47"/>
        <v>2024</v>
      </c>
      <c r="Q15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33" s="19" t="str">
        <f>TEXT(Planning[[#This Row],[Mes]]*29,"mmmm")</f>
        <v>October</v>
      </c>
      <c r="S15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33" s="193"/>
      <c r="U1533" s="43" t="e">
        <f>IF(Planning[[#This Row],[Horas Planificadas]]&lt;&gt;0,+K1533/Planning[[#This Row],[Horas Planificadas]],0)</f>
        <v>#REF!</v>
      </c>
      <c r="V1533" s="43" t="e">
        <f>IF(Planning[[#This Row],[Horas Planificadas]]&lt;&gt;0,Planning[[#This Row],[Horas utilizadas]]/Planning[[#This Row],[Horas Planificadas]],0)</f>
        <v>#REF!</v>
      </c>
      <c r="W1533" s="44">
        <f>Planning[[#This Row],[Horas Planificadas]]+Planning[[#This Row],[Horas ajustadas adicionales]]</f>
        <v>250</v>
      </c>
      <c r="X1533" s="142"/>
    </row>
    <row r="1534" spans="1:24" ht="12.75" customHeight="1" x14ac:dyDescent="0.2">
      <c r="A1534" s="7" t="s">
        <v>204</v>
      </c>
      <c r="B1534" s="7" t="s">
        <v>118</v>
      </c>
      <c r="C1534" s="3"/>
      <c r="D1534" s="3" t="s">
        <v>380</v>
      </c>
      <c r="E1534" s="4"/>
      <c r="F1534" s="3" t="s">
        <v>125</v>
      </c>
      <c r="G1534" s="9"/>
      <c r="H1534" s="12">
        <v>300</v>
      </c>
      <c r="I1534" s="12"/>
      <c r="J1534" s="5" t="e">
        <f>SUM(SUMIFS(#REF!,#REF!,Planning[[#This Row],[Tipo de Tarea y especialidad]],#REF!,Planning[[#This Row],[Proyectos Reiwa]]),SUMIFS(#REF!,#REF!,Planning[[#This Row],[Tipo de Tarea y especialidad]],#REF!,Planning[[#This Row],[Proyectos]]))</f>
        <v>#REF!</v>
      </c>
      <c r="K1534" s="27" t="e">
        <f>Planning[[#This Row],[Horas Planificadas]]+Planning[[#This Row],[Horas ajustadas adicionales]]-Planning[[#This Row],[Horas utilizadas]]</f>
        <v>#REF!</v>
      </c>
      <c r="L1534" s="7">
        <v>0</v>
      </c>
      <c r="M1534" s="19" t="e">
        <f>Planning[[#This Row],[Saldo]]-Planning[[#This Row],[Saldo estimado]]</f>
        <v>#REF!</v>
      </c>
      <c r="N1534" s="60" t="e">
        <f>+SUMIFS(#REF!,#REF!,Planning[[#This Row],[Proyectos]],#REF!,Planning[[#This Row],[Tipo de Tarea y especialidad]])</f>
        <v>#REF!</v>
      </c>
      <c r="O1534" s="19">
        <f t="shared" si="46"/>
        <v>10</v>
      </c>
      <c r="P1534" s="19">
        <f t="shared" si="47"/>
        <v>2024</v>
      </c>
      <c r="Q15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34" s="19" t="str">
        <f>TEXT(Planning[[#This Row],[Mes]]*29,"mmmm")</f>
        <v>October</v>
      </c>
      <c r="S15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34" s="193"/>
      <c r="U1534" s="43" t="e">
        <f>IF(Planning[[#This Row],[Horas Planificadas]]&lt;&gt;0,+K1534/Planning[[#This Row],[Horas Planificadas]],0)</f>
        <v>#REF!</v>
      </c>
      <c r="V1534" s="43" t="e">
        <f>IF(Planning[[#This Row],[Horas Planificadas]]&lt;&gt;0,Planning[[#This Row],[Horas utilizadas]]/Planning[[#This Row],[Horas Planificadas]],0)</f>
        <v>#REF!</v>
      </c>
      <c r="W1534" s="44">
        <f>Planning[[#This Row],[Horas Planificadas]]+Planning[[#This Row],[Horas ajustadas adicionales]]</f>
        <v>300</v>
      </c>
      <c r="X1534" s="142"/>
    </row>
    <row r="1535" spans="1:24" ht="12.75" customHeight="1" x14ac:dyDescent="0.2">
      <c r="A1535" s="7" t="s">
        <v>204</v>
      </c>
      <c r="B1535" s="7" t="s">
        <v>118</v>
      </c>
      <c r="C1535" s="3"/>
      <c r="D1535" s="3" t="s">
        <v>380</v>
      </c>
      <c r="E1535" s="4"/>
      <c r="F1535" s="3" t="s">
        <v>126</v>
      </c>
      <c r="G1535" s="9"/>
      <c r="H1535" s="9"/>
      <c r="I1535" s="12"/>
      <c r="J1535" s="5" t="e">
        <f>SUM(SUMIFS(#REF!,#REF!,Planning[[#This Row],[Tipo de Tarea y especialidad]],#REF!,Planning[[#This Row],[Proyectos Reiwa]]),SUMIFS(#REF!,#REF!,Planning[[#This Row],[Tipo de Tarea y especialidad]],#REF!,Planning[[#This Row],[Proyectos]]))</f>
        <v>#REF!</v>
      </c>
      <c r="K1535" s="5" t="e">
        <f>Planning[[#This Row],[Horas Planificadas]]+Planning[[#This Row],[Horas ajustadas adicionales]]-Planning[[#This Row],[Horas utilizadas]]</f>
        <v>#REF!</v>
      </c>
      <c r="L1535" s="7">
        <v>0</v>
      </c>
      <c r="M1535" s="19" t="e">
        <f>Planning[[#This Row],[Saldo]]-Planning[[#This Row],[Saldo estimado]]</f>
        <v>#REF!</v>
      </c>
      <c r="N1535" s="60" t="e">
        <f>+SUMIFS(#REF!,#REF!,Planning[[#This Row],[Proyectos]],#REF!,Planning[[#This Row],[Tipo de Tarea y especialidad]])</f>
        <v>#REF!</v>
      </c>
      <c r="O1535" s="19">
        <f t="shared" si="46"/>
        <v>10</v>
      </c>
      <c r="P1535" s="19">
        <f t="shared" si="47"/>
        <v>2024</v>
      </c>
      <c r="Q15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35" s="19" t="str">
        <f>TEXT(Planning[[#This Row],[Mes]]*29,"mmmm")</f>
        <v>October</v>
      </c>
      <c r="S15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35" s="193"/>
      <c r="U1535" s="43">
        <f>IF(Planning[[#This Row],[Horas Planificadas]]&lt;&gt;0,+K1535/Planning[[#This Row],[Horas Planificadas]],0)</f>
        <v>0</v>
      </c>
      <c r="V1535" s="43">
        <f>IF(Planning[[#This Row],[Horas Planificadas]]&lt;&gt;0,Planning[[#This Row],[Horas utilizadas]]/Planning[[#This Row],[Horas Planificadas]],0)</f>
        <v>0</v>
      </c>
      <c r="W1535" s="44">
        <f>Planning[[#This Row],[Horas Planificadas]]+Planning[[#This Row],[Horas ajustadas adicionales]]</f>
        <v>0</v>
      </c>
      <c r="X1535" s="142"/>
    </row>
    <row r="1536" spans="1:24" ht="12.75" customHeight="1" x14ac:dyDescent="0.2">
      <c r="A1536" s="7" t="s">
        <v>204</v>
      </c>
      <c r="B1536" s="7" t="s">
        <v>118</v>
      </c>
      <c r="C1536" s="3"/>
      <c r="D1536" s="3" t="s">
        <v>380</v>
      </c>
      <c r="E1536" s="4"/>
      <c r="F1536" s="3" t="s">
        <v>127</v>
      </c>
      <c r="G1536" s="9"/>
      <c r="H1536" s="9"/>
      <c r="I1536" s="12"/>
      <c r="J1536" s="5" t="e">
        <f>SUM(SUMIFS(#REF!,#REF!,Planning[[#This Row],[Tipo de Tarea y especialidad]],#REF!,Planning[[#This Row],[Proyectos Reiwa]]),SUMIFS(#REF!,#REF!,Planning[[#This Row],[Tipo de Tarea y especialidad]],#REF!,Planning[[#This Row],[Proyectos]]))</f>
        <v>#REF!</v>
      </c>
      <c r="K1536" s="5" t="e">
        <f>Planning[[#This Row],[Horas Planificadas]]+Planning[[#This Row],[Horas ajustadas adicionales]]-Planning[[#This Row],[Horas utilizadas]]</f>
        <v>#REF!</v>
      </c>
      <c r="L1536" s="7">
        <v>0</v>
      </c>
      <c r="M1536" s="19" t="e">
        <f>Planning[[#This Row],[Saldo]]-Planning[[#This Row],[Saldo estimado]]</f>
        <v>#REF!</v>
      </c>
      <c r="N1536" s="60" t="e">
        <f>+SUMIFS(#REF!,#REF!,Planning[[#This Row],[Proyectos]],#REF!,Planning[[#This Row],[Tipo de Tarea y especialidad]])</f>
        <v>#REF!</v>
      </c>
      <c r="O1536" s="19">
        <f t="shared" si="46"/>
        <v>10</v>
      </c>
      <c r="P1536" s="19">
        <f t="shared" si="47"/>
        <v>2024</v>
      </c>
      <c r="Q15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36" s="19" t="str">
        <f>TEXT(Planning[[#This Row],[Mes]]*29,"mmmm")</f>
        <v>October</v>
      </c>
      <c r="S15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36" s="193"/>
      <c r="U1536" s="43">
        <f>IF(Planning[[#This Row],[Horas Planificadas]]&lt;&gt;0,+K1536/Planning[[#This Row],[Horas Planificadas]],0)</f>
        <v>0</v>
      </c>
      <c r="V1536" s="43">
        <f>IF(Planning[[#This Row],[Horas Planificadas]]&lt;&gt;0,Planning[[#This Row],[Horas utilizadas]]/Planning[[#This Row],[Horas Planificadas]],0)</f>
        <v>0</v>
      </c>
      <c r="W1536" s="44">
        <f>Planning[[#This Row],[Horas Planificadas]]+Planning[[#This Row],[Horas ajustadas adicionales]]</f>
        <v>0</v>
      </c>
      <c r="X1536" s="142"/>
    </row>
    <row r="1537" spans="1:24" ht="12.75" customHeight="1" x14ac:dyDescent="0.2">
      <c r="A1537" s="7" t="s">
        <v>204</v>
      </c>
      <c r="B1537" s="7" t="s">
        <v>118</v>
      </c>
      <c r="C1537" s="3"/>
      <c r="D1537" s="3" t="s">
        <v>380</v>
      </c>
      <c r="E1537" s="4"/>
      <c r="F1537" s="3" t="s">
        <v>128</v>
      </c>
      <c r="G1537" s="9"/>
      <c r="H1537" s="9"/>
      <c r="I1537" s="12"/>
      <c r="J1537" s="5" t="e">
        <f>SUM(SUMIFS(#REF!,#REF!,Planning[[#This Row],[Tipo de Tarea y especialidad]],#REF!,Planning[[#This Row],[Proyectos Reiwa]]),SUMIFS(#REF!,#REF!,Planning[[#This Row],[Tipo de Tarea y especialidad]],#REF!,Planning[[#This Row],[Proyectos]]))</f>
        <v>#REF!</v>
      </c>
      <c r="K1537" s="5" t="e">
        <f>Planning[[#This Row],[Horas Planificadas]]+Planning[[#This Row],[Horas ajustadas adicionales]]-Planning[[#This Row],[Horas utilizadas]]</f>
        <v>#REF!</v>
      </c>
      <c r="L1537" s="7">
        <v>0</v>
      </c>
      <c r="M1537" s="19" t="e">
        <f>Planning[[#This Row],[Saldo]]-Planning[[#This Row],[Saldo estimado]]</f>
        <v>#REF!</v>
      </c>
      <c r="N1537" s="60" t="e">
        <f>+SUMIFS(#REF!,#REF!,Planning[[#This Row],[Proyectos]],#REF!,Planning[[#This Row],[Tipo de Tarea y especialidad]])</f>
        <v>#REF!</v>
      </c>
      <c r="O1537" s="19">
        <f t="shared" si="46"/>
        <v>10</v>
      </c>
      <c r="P1537" s="19">
        <f t="shared" si="47"/>
        <v>2024</v>
      </c>
      <c r="Q15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37" s="19" t="str">
        <f>TEXT(Planning[[#This Row],[Mes]]*29,"mmmm")</f>
        <v>October</v>
      </c>
      <c r="S15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37" s="193"/>
      <c r="U1537" s="43">
        <f>IF(Planning[[#This Row],[Horas Planificadas]]&lt;&gt;0,+K1537/Planning[[#This Row],[Horas Planificadas]],0)</f>
        <v>0</v>
      </c>
      <c r="V1537" s="43">
        <f>IF(Planning[[#This Row],[Horas Planificadas]]&lt;&gt;0,Planning[[#This Row],[Horas utilizadas]]/Planning[[#This Row],[Horas Planificadas]],0)</f>
        <v>0</v>
      </c>
      <c r="W1537" s="44">
        <f>Planning[[#This Row],[Horas Planificadas]]+Planning[[#This Row],[Horas ajustadas adicionales]]</f>
        <v>0</v>
      </c>
      <c r="X1537" s="142"/>
    </row>
    <row r="1538" spans="1:24" ht="12.75" customHeight="1" x14ac:dyDescent="0.2">
      <c r="A1538" s="7" t="s">
        <v>204</v>
      </c>
      <c r="B1538" s="7" t="s">
        <v>118</v>
      </c>
      <c r="C1538" s="3"/>
      <c r="D1538" s="3" t="s">
        <v>380</v>
      </c>
      <c r="E1538" s="4" t="s">
        <v>31</v>
      </c>
      <c r="F1538" s="3" t="s">
        <v>31</v>
      </c>
      <c r="G1538" s="9">
        <v>224</v>
      </c>
      <c r="H1538" s="17">
        <v>535</v>
      </c>
      <c r="I1538" s="18"/>
      <c r="J1538" s="14" t="e">
        <f>+SUMIFS(#REF!,#REF!,Planning[[#This Row],[Tarifa]],#REF!,Planning[[#This Row],[Proyectos]])</f>
        <v>#REF!</v>
      </c>
      <c r="K1538" s="14" t="e">
        <f>Planning[[#This Row],[Horas Planificadas]]+Planning[[#This Row],[Horas ajustadas adicionales]]-Planning[[#This Row],[Horas utilizadas]]</f>
        <v>#REF!</v>
      </c>
      <c r="L1538" s="15">
        <v>0</v>
      </c>
      <c r="M1538" s="16" t="e">
        <f>Planning[[#This Row],[Saldo]]-Planning[[#This Row],[Saldo estimado]]</f>
        <v>#REF!</v>
      </c>
      <c r="N1538" s="60" t="e">
        <f>+SUMIFS(#REF!,#REF!,Planning[[#This Row],[Proyectos]],#REF!,Planning[[#This Row],[Tipo de Tarea y especialidad]])</f>
        <v>#REF!</v>
      </c>
      <c r="O1538" s="16">
        <f t="shared" si="46"/>
        <v>10</v>
      </c>
      <c r="P1538" s="16">
        <f t="shared" si="47"/>
        <v>2024</v>
      </c>
      <c r="Q1538" s="16" t="e">
        <f>+SUMIFS(#REF!,#REF!,Planning[[#This Row],[Tarifa]],#REF!,Planning[[#This Row],[Proyectos]],#REF!,Planning[[#This Row],[Mes]],#REF!,Planning[[#This Row],[Año]])</f>
        <v>#REF!</v>
      </c>
      <c r="R1538" s="16" t="str">
        <f>TEXT(Planning[[#This Row],[Mes]]*29,"mmmm")</f>
        <v>October</v>
      </c>
      <c r="S15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38" s="193"/>
      <c r="U1538" s="43" t="e">
        <f>IF(Planning[[#This Row],[Horas Planificadas]]&lt;&gt;0,+K1538/Planning[[#This Row],[Horas Planificadas]],0)</f>
        <v>#REF!</v>
      </c>
      <c r="V1538" s="43" t="e">
        <f>IF(Planning[[#This Row],[Horas Planificadas]]&lt;&gt;0,Planning[[#This Row],[Horas utilizadas]]/Planning[[#This Row],[Horas Planificadas]],0)</f>
        <v>#REF!</v>
      </c>
      <c r="W1538" s="44">
        <f>Planning[[#This Row],[Horas Planificadas]]+Planning[[#This Row],[Horas ajustadas adicionales]]</f>
        <v>535</v>
      </c>
      <c r="X1538" s="142"/>
    </row>
    <row r="1539" spans="1:24" ht="12.75" customHeight="1" x14ac:dyDescent="0.2">
      <c r="A1539" s="7" t="s">
        <v>204</v>
      </c>
      <c r="B1539" s="7" t="s">
        <v>118</v>
      </c>
      <c r="C1539" s="3"/>
      <c r="D1539" s="3" t="s">
        <v>380</v>
      </c>
      <c r="E1539" s="4" t="s">
        <v>32</v>
      </c>
      <c r="F1539" s="3"/>
      <c r="G1539" s="9">
        <v>478</v>
      </c>
      <c r="H1539" s="25">
        <f>SUM(H1540:H1542)</f>
        <v>540</v>
      </c>
      <c r="I1539" s="14"/>
      <c r="J1539" s="14" t="e">
        <f>SUM(J1540:J1542)</f>
        <v>#REF!</v>
      </c>
      <c r="K1539" s="18" t="e">
        <f>SUM(K1540:K1542)</f>
        <v>#REF!</v>
      </c>
      <c r="L1539" s="15">
        <f>SUM(L1540:L1542)</f>
        <v>165</v>
      </c>
      <c r="M1539" s="16" t="e">
        <f>SUM(M1540:M1542)</f>
        <v>#REF!</v>
      </c>
      <c r="N1539" s="60" t="e">
        <f>+SUMIFS(#REF!,#REF!,Planning[[#This Row],[Proyectos]],#REF!,Planning[[#This Row],[Tipo de Tarea y especialidad]])</f>
        <v>#REF!</v>
      </c>
      <c r="O1539" s="16">
        <f t="shared" si="46"/>
        <v>10</v>
      </c>
      <c r="P1539" s="16">
        <f t="shared" si="47"/>
        <v>2024</v>
      </c>
      <c r="Q1539" s="16" t="e">
        <f>SUM(Q1540:Q1542)</f>
        <v>#REF!</v>
      </c>
      <c r="R1539" s="16" t="str">
        <f>TEXT(Planning[[#This Row],[Mes]]*29,"mmmm")</f>
        <v>October</v>
      </c>
      <c r="S15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39" s="193"/>
      <c r="U1539" s="43" t="e">
        <f>IF(Planning[[#This Row],[Horas Planificadas]]&lt;&gt;0,+K1539/Planning[[#This Row],[Horas Planificadas]],0)</f>
        <v>#REF!</v>
      </c>
      <c r="V1539" s="43" t="e">
        <f>IF(Planning[[#This Row],[Horas Planificadas]]&lt;&gt;0,Planning[[#This Row],[Horas utilizadas]]/Planning[[#This Row],[Horas Planificadas]],0)</f>
        <v>#REF!</v>
      </c>
      <c r="W1539" s="44">
        <f>Planning[[#This Row],[Horas Planificadas]]+Planning[[#This Row],[Horas ajustadas adicionales]]</f>
        <v>540</v>
      </c>
      <c r="X1539" s="142"/>
    </row>
    <row r="1540" spans="1:24" ht="12.75" customHeight="1" x14ac:dyDescent="0.2">
      <c r="A1540" s="7" t="s">
        <v>204</v>
      </c>
      <c r="B1540" s="7" t="s">
        <v>118</v>
      </c>
      <c r="C1540" s="3"/>
      <c r="D1540" s="3" t="s">
        <v>380</v>
      </c>
      <c r="E1540" s="4"/>
      <c r="F1540" s="3" t="s">
        <v>129</v>
      </c>
      <c r="G1540" s="9"/>
      <c r="H1540" s="9">
        <v>375</v>
      </c>
      <c r="I1540" s="12"/>
      <c r="J1540" s="5" t="e">
        <f>SUM(SUMIFS(#REF!,#REF!,Planning[[#This Row],[Tipo de Tarea y especialidad]],#REF!,Planning[[#This Row],[Proyectos Reiwa]]),SUMIFS(#REF!,#REF!,Planning[[#This Row],[Tipo de Tarea y especialidad]],#REF!,Planning[[#This Row],[Proyectos]]))</f>
        <v>#REF!</v>
      </c>
      <c r="K1540" s="5" t="e">
        <f>Planning[[#This Row],[Horas Planificadas]]+Planning[[#This Row],[Horas ajustadas adicionales]]-Planning[[#This Row],[Horas utilizadas]]</f>
        <v>#REF!</v>
      </c>
      <c r="L1540" s="7">
        <v>0</v>
      </c>
      <c r="M1540" s="19" t="e">
        <f>Planning[[#This Row],[Saldo]]-Planning[[#This Row],[Saldo estimado]]</f>
        <v>#REF!</v>
      </c>
      <c r="N1540" s="60" t="e">
        <f>+SUMIFS(#REF!,#REF!,Planning[[#This Row],[Proyectos]],#REF!,Planning[[#This Row],[Tipo de Tarea y especialidad]])</f>
        <v>#REF!</v>
      </c>
      <c r="O1540" s="19">
        <f t="shared" si="46"/>
        <v>10</v>
      </c>
      <c r="P1540" s="19">
        <f t="shared" si="47"/>
        <v>2024</v>
      </c>
      <c r="Q15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40" s="19" t="str">
        <f>TEXT(Planning[[#This Row],[Mes]]*29,"mmmm")</f>
        <v>October</v>
      </c>
      <c r="S15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40" s="193"/>
      <c r="U1540" s="43" t="e">
        <f>IF(Planning[[#This Row],[Horas Planificadas]]&lt;&gt;0,+K1540/Planning[[#This Row],[Horas Planificadas]],0)</f>
        <v>#REF!</v>
      </c>
      <c r="V1540" s="43" t="e">
        <f>IF(Planning[[#This Row],[Horas Planificadas]]&lt;&gt;0,Planning[[#This Row],[Horas utilizadas]]/Planning[[#This Row],[Horas Planificadas]],0)</f>
        <v>#REF!</v>
      </c>
      <c r="W1540" s="44">
        <f>Planning[[#This Row],[Horas Planificadas]]+Planning[[#This Row],[Horas ajustadas adicionales]]</f>
        <v>375</v>
      </c>
      <c r="X1540" s="142"/>
    </row>
    <row r="1541" spans="1:24" ht="12.75" customHeight="1" x14ac:dyDescent="0.2">
      <c r="A1541" s="7" t="s">
        <v>204</v>
      </c>
      <c r="B1541" s="7" t="s">
        <v>118</v>
      </c>
      <c r="C1541" s="3"/>
      <c r="D1541" s="3" t="s">
        <v>380</v>
      </c>
      <c r="E1541" s="4"/>
      <c r="F1541" s="3" t="s">
        <v>130</v>
      </c>
      <c r="G1541" s="9"/>
      <c r="H1541" s="9"/>
      <c r="I1541" s="12"/>
      <c r="J1541" s="5" t="e">
        <f>SUM(SUMIFS(#REF!,#REF!,Planning[[#This Row],[Tipo de Tarea y especialidad]],#REF!,Planning[[#This Row],[Proyectos Reiwa]]),SUMIFS(#REF!,#REF!,Planning[[#This Row],[Tipo de Tarea y especialidad]],#REF!,Planning[[#This Row],[Proyectos]]))</f>
        <v>#REF!</v>
      </c>
      <c r="K1541" s="5" t="e">
        <f>Planning[[#This Row],[Horas Planificadas]]+Planning[[#This Row],[Horas ajustadas adicionales]]-Planning[[#This Row],[Horas utilizadas]]</f>
        <v>#REF!</v>
      </c>
      <c r="L1541" s="7"/>
      <c r="M1541" s="19" t="e">
        <f>Planning[[#This Row],[Saldo]]-Planning[[#This Row],[Saldo estimado]]</f>
        <v>#REF!</v>
      </c>
      <c r="N1541" s="60" t="e">
        <f>+SUMIFS(#REF!,#REF!,Planning[[#This Row],[Proyectos]],#REF!,Planning[[#This Row],[Tipo de Tarea y especialidad]])</f>
        <v>#REF!</v>
      </c>
      <c r="O1541" s="19">
        <f t="shared" si="46"/>
        <v>10</v>
      </c>
      <c r="P1541" s="19">
        <f t="shared" si="47"/>
        <v>2024</v>
      </c>
      <c r="Q15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41" s="19" t="str">
        <f>TEXT(Planning[[#This Row],[Mes]]*29,"mmmm")</f>
        <v>October</v>
      </c>
      <c r="S15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41" s="193"/>
      <c r="U1541" s="43">
        <f>IF(Planning[[#This Row],[Horas Planificadas]]&lt;&gt;0,+K1541/Planning[[#This Row],[Horas Planificadas]],0)</f>
        <v>0</v>
      </c>
      <c r="V1541" s="43">
        <f>IF(Planning[[#This Row],[Horas Planificadas]]&lt;&gt;0,Planning[[#This Row],[Horas utilizadas]]/Planning[[#This Row],[Horas Planificadas]],0)</f>
        <v>0</v>
      </c>
      <c r="W1541" s="44">
        <f>Planning[[#This Row],[Horas Planificadas]]+Planning[[#This Row],[Horas ajustadas adicionales]]</f>
        <v>0</v>
      </c>
      <c r="X1541" s="142"/>
    </row>
    <row r="1542" spans="1:24" ht="12.75" customHeight="1" x14ac:dyDescent="0.2">
      <c r="A1542" s="7" t="s">
        <v>204</v>
      </c>
      <c r="B1542" s="7" t="s">
        <v>118</v>
      </c>
      <c r="C1542" s="3"/>
      <c r="D1542" s="3" t="s">
        <v>380</v>
      </c>
      <c r="E1542" s="4"/>
      <c r="F1542" s="3" t="s">
        <v>131</v>
      </c>
      <c r="G1542" s="9"/>
      <c r="H1542" s="9">
        <v>165</v>
      </c>
      <c r="I1542" s="12"/>
      <c r="J1542" s="5" t="e">
        <f>SUM(SUMIFS(#REF!,#REF!,Planning[[#This Row],[Tipo de Tarea y especialidad]],#REF!,Planning[[#This Row],[Proyectos Reiwa]]),SUMIFS(#REF!,#REF!,Planning[[#This Row],[Tipo de Tarea y especialidad]],#REF!,Planning[[#This Row],[Proyectos]]))</f>
        <v>#REF!</v>
      </c>
      <c r="K1542" s="5" t="e">
        <f>Planning[[#This Row],[Horas Planificadas]]+Planning[[#This Row],[Horas ajustadas adicionales]]-Planning[[#This Row],[Horas utilizadas]]</f>
        <v>#REF!</v>
      </c>
      <c r="L1542" s="7">
        <v>165</v>
      </c>
      <c r="M1542" s="19" t="e">
        <f>Planning[[#This Row],[Saldo]]-Planning[[#This Row],[Saldo estimado]]</f>
        <v>#REF!</v>
      </c>
      <c r="N1542" s="60" t="e">
        <f>+SUMIFS(#REF!,#REF!,Planning[[#This Row],[Proyectos]],#REF!,Planning[[#This Row],[Tipo de Tarea y especialidad]])</f>
        <v>#REF!</v>
      </c>
      <c r="O1542" s="19">
        <f t="shared" si="46"/>
        <v>10</v>
      </c>
      <c r="P1542" s="19">
        <f t="shared" si="47"/>
        <v>2024</v>
      </c>
      <c r="Q15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42" s="19" t="str">
        <f>TEXT(Planning[[#This Row],[Mes]]*29,"mmmm")</f>
        <v>October</v>
      </c>
      <c r="S15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42" s="193"/>
      <c r="U1542" s="43" t="e">
        <f>IF(Planning[[#This Row],[Horas Planificadas]]&lt;&gt;0,+K1542/Planning[[#This Row],[Horas Planificadas]],0)</f>
        <v>#REF!</v>
      </c>
      <c r="V1542" s="43" t="e">
        <f>IF(Planning[[#This Row],[Horas Planificadas]]&lt;&gt;0,Planning[[#This Row],[Horas utilizadas]]/Planning[[#This Row],[Horas Planificadas]],0)</f>
        <v>#REF!</v>
      </c>
      <c r="W1542" s="44">
        <f>Planning[[#This Row],[Horas Planificadas]]+Planning[[#This Row],[Horas ajustadas adicionales]]</f>
        <v>165</v>
      </c>
      <c r="X1542" s="142"/>
    </row>
    <row r="1543" spans="1:24" ht="12.75" customHeight="1" x14ac:dyDescent="0.2">
      <c r="A1543" s="7" t="s">
        <v>117</v>
      </c>
      <c r="B1543" s="7" t="s">
        <v>118</v>
      </c>
      <c r="C1543" s="3"/>
      <c r="D1543" s="3" t="s">
        <v>382</v>
      </c>
      <c r="E1543" s="4" t="s">
        <v>28</v>
      </c>
      <c r="F1543" s="3"/>
      <c r="G1543" s="9">
        <v>115</v>
      </c>
      <c r="H1543" s="14">
        <f>SUM(H1544:H1545)</f>
        <v>115</v>
      </c>
      <c r="I1543" s="14"/>
      <c r="J1543" s="14" t="e">
        <f>SUM(J1544:J1545)</f>
        <v>#REF!</v>
      </c>
      <c r="K1543" s="24" t="e">
        <f>+Planning[[#This Row],[Horas Planificadas]]+Planning[[#This Row],[Horas ajustadas adicionales]]-Planning[[#This Row],[Horas utilizadas]]</f>
        <v>#REF!</v>
      </c>
      <c r="L1543" s="15">
        <f>SUM(L1544:L1545)</f>
        <v>9</v>
      </c>
      <c r="M1543" s="28" t="e">
        <f>SUM(M1544:M1545)</f>
        <v>#REF!</v>
      </c>
      <c r="N1543" s="61" t="e">
        <f>+SUMIFS(#REF!,#REF!,Planning[[#This Row],[Proyectos]],#REF!,Planning[[#This Row],[Tipo de Tarea y especialidad]])</f>
        <v>#REF!</v>
      </c>
      <c r="O1543" s="28">
        <f t="shared" ref="O1543:O1606" si="48">$L$4</f>
        <v>10</v>
      </c>
      <c r="P1543" s="28">
        <f t="shared" ref="P1543:P1606" si="49">$M$4</f>
        <v>2024</v>
      </c>
      <c r="Q1543" s="28" t="e">
        <f>SUM(Q1544:Q1545)</f>
        <v>#REF!</v>
      </c>
      <c r="R1543" s="28" t="str">
        <f>TEXT(Planning[[#This Row],[Mes]]*29,"mmmm")</f>
        <v>October</v>
      </c>
      <c r="S15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43" s="192" t="s">
        <v>383</v>
      </c>
      <c r="U1543" s="43" t="e">
        <f>IF(Planning[[#This Row],[Horas Planificadas]]&lt;&gt;0,+K1543/Planning[[#This Row],[Horas Planificadas]],0)</f>
        <v>#REF!</v>
      </c>
      <c r="V1543" s="43" t="e">
        <f>IF(Planning[[#This Row],[Horas Planificadas]]&lt;&gt;0,Planning[[#This Row],[Horas utilizadas]]/Planning[[#This Row],[Horas Planificadas]],0)</f>
        <v>#REF!</v>
      </c>
      <c r="W1543" s="44">
        <f>Planning[[#This Row],[Horas Planificadas]]+Planning[[#This Row],[Horas ajustadas adicionales]]</f>
        <v>115</v>
      </c>
      <c r="X1543" s="142"/>
    </row>
    <row r="1544" spans="1:24" ht="12.75" customHeight="1" x14ac:dyDescent="0.2">
      <c r="A1544" s="7" t="s">
        <v>117</v>
      </c>
      <c r="B1544" s="7" t="s">
        <v>118</v>
      </c>
      <c r="C1544" s="3"/>
      <c r="D1544" s="3" t="s">
        <v>382</v>
      </c>
      <c r="E1544" s="4"/>
      <c r="F1544" s="3" t="s">
        <v>120</v>
      </c>
      <c r="G1544" s="9"/>
      <c r="H1544" s="9"/>
      <c r="I1544" s="12"/>
      <c r="J1544" s="5" t="e">
        <f>SUM(SUMIFS(#REF!,#REF!,Planning[[#This Row],[Tipo de Tarea y especialidad]],#REF!,Planning[[#This Row],[Proyectos Reiwa]]),SUMIFS(#REF!,#REF!,Planning[[#This Row],[Tipo de Tarea y especialidad]],#REF!,Planning[[#This Row],[Proyectos]]))</f>
        <v>#REF!</v>
      </c>
      <c r="K1544" s="5" t="e">
        <f>+Planning[[#This Row],[Horas Planificadas]]+Planning[[#This Row],[Horas ajustadas adicionales]]-Planning[[#This Row],[Horas utilizadas]]</f>
        <v>#REF!</v>
      </c>
      <c r="L1544" s="7"/>
      <c r="M1544" s="19" t="e">
        <f>Planning[[#This Row],[Saldo]]-Planning[[#This Row],[Saldo estimado]]</f>
        <v>#REF!</v>
      </c>
      <c r="N1544" s="60" t="e">
        <f>+SUMIFS(#REF!,#REF!,Planning[[#This Row],[Proyectos]],#REF!,Planning[[#This Row],[Tipo de Tarea y especialidad]])</f>
        <v>#REF!</v>
      </c>
      <c r="O1544" s="19">
        <f t="shared" si="48"/>
        <v>10</v>
      </c>
      <c r="P1544" s="19">
        <f t="shared" si="49"/>
        <v>2024</v>
      </c>
      <c r="Q15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44" s="19" t="str">
        <f>TEXT(Planning[[#This Row],[Mes]]*29,"mmmm")</f>
        <v>October</v>
      </c>
      <c r="S15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44" s="193"/>
      <c r="U1544" s="43">
        <f>IF(Planning[[#This Row],[Horas Planificadas]]&lt;&gt;0,+K1544/Planning[[#This Row],[Horas Planificadas]],0)</f>
        <v>0</v>
      </c>
      <c r="V1544" s="43">
        <f>IF(Planning[[#This Row],[Horas Planificadas]]&lt;&gt;0,Planning[[#This Row],[Horas utilizadas]]/Planning[[#This Row],[Horas Planificadas]],0)</f>
        <v>0</v>
      </c>
      <c r="W1544" s="44">
        <f>Planning[[#This Row],[Horas Planificadas]]+Planning[[#This Row],[Horas ajustadas adicionales]]</f>
        <v>0</v>
      </c>
      <c r="X1544" s="142"/>
    </row>
    <row r="1545" spans="1:24" ht="12.75" customHeight="1" x14ac:dyDescent="0.2">
      <c r="A1545" s="7" t="s">
        <v>117</v>
      </c>
      <c r="B1545" s="7" t="s">
        <v>118</v>
      </c>
      <c r="C1545" s="3"/>
      <c r="D1545" s="3" t="s">
        <v>382</v>
      </c>
      <c r="E1545" s="4"/>
      <c r="F1545" s="3" t="s">
        <v>121</v>
      </c>
      <c r="G1545" s="9"/>
      <c r="H1545" s="9">
        <v>115</v>
      </c>
      <c r="I1545" s="12"/>
      <c r="J1545" s="5" t="e">
        <f>SUM(SUMIFS(#REF!,#REF!,Planning[[#This Row],[Tipo de Tarea y especialidad]],#REF!,Planning[[#This Row],[Proyectos Reiwa]]),SUMIFS(#REF!,#REF!,Planning[[#This Row],[Tipo de Tarea y especialidad]],#REF!,Planning[[#This Row],[Proyectos]]))</f>
        <v>#REF!</v>
      </c>
      <c r="K1545" s="5" t="e">
        <f>+Planning[[#This Row],[Horas Planificadas]]+Planning[[#This Row],[Horas ajustadas adicionales]]-Planning[[#This Row],[Horas utilizadas]]</f>
        <v>#REF!</v>
      </c>
      <c r="L1545" s="7">
        <v>9</v>
      </c>
      <c r="M1545" s="19" t="e">
        <f>Planning[[#This Row],[Saldo]]-Planning[[#This Row],[Saldo estimado]]</f>
        <v>#REF!</v>
      </c>
      <c r="N1545" s="60" t="e">
        <f>+SUMIFS(#REF!,#REF!,Planning[[#This Row],[Proyectos]],#REF!,Planning[[#This Row],[Tipo de Tarea y especialidad]])</f>
        <v>#REF!</v>
      </c>
      <c r="O1545" s="19">
        <f t="shared" si="48"/>
        <v>10</v>
      </c>
      <c r="P1545" s="19">
        <f t="shared" si="49"/>
        <v>2024</v>
      </c>
      <c r="Q15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45" s="19" t="str">
        <f>TEXT(Planning[[#This Row],[Mes]]*29,"mmmm")</f>
        <v>October</v>
      </c>
      <c r="S15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45" s="193"/>
      <c r="U1545" s="43" t="e">
        <f>IF(Planning[[#This Row],[Horas Planificadas]]&lt;&gt;0,+K1545/Planning[[#This Row],[Horas Planificadas]],0)</f>
        <v>#REF!</v>
      </c>
      <c r="V1545" s="43" t="e">
        <f>IF(Planning[[#This Row],[Horas Planificadas]]&lt;&gt;0,Planning[[#This Row],[Horas utilizadas]]/Planning[[#This Row],[Horas Planificadas]],0)</f>
        <v>#REF!</v>
      </c>
      <c r="W1545" s="44">
        <f>Planning[[#This Row],[Horas Planificadas]]+Planning[[#This Row],[Horas ajustadas adicionales]]</f>
        <v>115</v>
      </c>
      <c r="X1545" s="142"/>
    </row>
    <row r="1546" spans="1:24" ht="12.75" customHeight="1" x14ac:dyDescent="0.2">
      <c r="A1546" s="7" t="s">
        <v>117</v>
      </c>
      <c r="B1546" s="7" t="s">
        <v>118</v>
      </c>
      <c r="C1546" s="3"/>
      <c r="D1546" s="3" t="s">
        <v>382</v>
      </c>
      <c r="E1546" s="4" t="s">
        <v>30</v>
      </c>
      <c r="F1546" s="3"/>
      <c r="G1546" s="9">
        <v>295</v>
      </c>
      <c r="H1546" s="25">
        <f>SUM(H1547:H1553)</f>
        <v>312</v>
      </c>
      <c r="I1546" s="14"/>
      <c r="J1546" s="14" t="e">
        <f>SUM(J1547:J1553)</f>
        <v>#REF!</v>
      </c>
      <c r="K1546" s="14" t="e">
        <f>+Planning[[#This Row],[Horas Planificadas]]+Planning[[#This Row],[Horas ajustadas adicionales]]-Planning[[#This Row],[Horas utilizadas]]</f>
        <v>#REF!</v>
      </c>
      <c r="L1546" s="15">
        <f>SUM(L1547:L1553)</f>
        <v>9</v>
      </c>
      <c r="M1546" s="16" t="e">
        <f>SUM(M1547:M1553)</f>
        <v>#REF!</v>
      </c>
      <c r="N1546" s="60" t="e">
        <f>+SUMIFS(#REF!,#REF!,Planning[[#This Row],[Proyectos]],#REF!,Planning[[#This Row],[Tipo de Tarea y especialidad]])</f>
        <v>#REF!</v>
      </c>
      <c r="O1546" s="16">
        <f t="shared" si="48"/>
        <v>10</v>
      </c>
      <c r="P1546" s="16">
        <f t="shared" si="49"/>
        <v>2024</v>
      </c>
      <c r="Q1546" s="16" t="e">
        <f>SUM(Q1547:Q1553)</f>
        <v>#REF!</v>
      </c>
      <c r="R1546" s="16" t="str">
        <f>TEXT(Planning[[#This Row],[Mes]]*29,"mmmm")</f>
        <v>October</v>
      </c>
      <c r="S15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46" s="193"/>
      <c r="U1546" s="43" t="e">
        <f>IF(Planning[[#This Row],[Horas Planificadas]]&lt;&gt;0,+K1546/Planning[[#This Row],[Horas Planificadas]],0)</f>
        <v>#REF!</v>
      </c>
      <c r="V1546" s="43" t="e">
        <f>IF(Planning[[#This Row],[Horas Planificadas]]&lt;&gt;0,Planning[[#This Row],[Horas utilizadas]]/Planning[[#This Row],[Horas Planificadas]],0)</f>
        <v>#REF!</v>
      </c>
      <c r="W1546" s="44">
        <f>Planning[[#This Row],[Horas Planificadas]]+Planning[[#This Row],[Horas ajustadas adicionales]]</f>
        <v>312</v>
      </c>
      <c r="X1546" s="142"/>
    </row>
    <row r="1547" spans="1:24" ht="12.75" customHeight="1" x14ac:dyDescent="0.2">
      <c r="A1547" s="7" t="s">
        <v>117</v>
      </c>
      <c r="B1547" s="7" t="s">
        <v>118</v>
      </c>
      <c r="C1547" s="3"/>
      <c r="D1547" s="3" t="s">
        <v>382</v>
      </c>
      <c r="E1547" s="4"/>
      <c r="F1547" s="3" t="s">
        <v>122</v>
      </c>
      <c r="G1547" s="9"/>
      <c r="H1547" s="12">
        <v>45</v>
      </c>
      <c r="I1547" s="12">
        <v>20</v>
      </c>
      <c r="J1547" s="5" t="e">
        <f>SUM(SUMIFS(#REF!,#REF!,Planning[[#This Row],[Tipo de Tarea y especialidad]],#REF!,Planning[[#This Row],[Proyectos Reiwa]]),SUMIFS(#REF!,#REF!,Planning[[#This Row],[Tipo de Tarea y especialidad]],#REF!,Planning[[#This Row],[Proyectos]]))</f>
        <v>#REF!</v>
      </c>
      <c r="K1547" s="27" t="e">
        <f>+Planning[[#This Row],[Horas Planificadas]]+Planning[[#This Row],[Horas ajustadas adicionales]]-Planning[[#This Row],[Horas utilizadas]]</f>
        <v>#REF!</v>
      </c>
      <c r="L1547" s="7">
        <v>0</v>
      </c>
      <c r="M1547" s="34" t="e">
        <f>Planning[[#This Row],[Saldo]]-Planning[[#This Row],[Saldo estimado]]</f>
        <v>#REF!</v>
      </c>
      <c r="N1547" s="62" t="e">
        <f>+SUMIFS(#REF!,#REF!,Planning[[#This Row],[Proyectos]],#REF!,Planning[[#This Row],[Tipo de Tarea y especialidad]])</f>
        <v>#REF!</v>
      </c>
      <c r="O1547" s="34">
        <f t="shared" si="48"/>
        <v>10</v>
      </c>
      <c r="P1547" s="34">
        <f t="shared" si="49"/>
        <v>2024</v>
      </c>
      <c r="Q15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47" s="19" t="str">
        <f>TEXT(Planning[[#This Row],[Mes]]*29,"mmmm")</f>
        <v>October</v>
      </c>
      <c r="S15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47" s="193"/>
      <c r="U1547" s="43" t="e">
        <f>IF(Planning[[#This Row],[Horas Planificadas]]&lt;&gt;0,+K1547/Planning[[#This Row],[Horas Planificadas]],0)</f>
        <v>#REF!</v>
      </c>
      <c r="V1547" s="43" t="e">
        <f>IF(Planning[[#This Row],[Horas Planificadas]]&lt;&gt;0,Planning[[#This Row],[Horas utilizadas]]/Planning[[#This Row],[Horas Planificadas]],0)</f>
        <v>#REF!</v>
      </c>
      <c r="W1547" s="44">
        <f>Planning[[#This Row],[Horas Planificadas]]+Planning[[#This Row],[Horas ajustadas adicionales]]</f>
        <v>65</v>
      </c>
      <c r="X1547" s="142"/>
    </row>
    <row r="1548" spans="1:24" ht="12.75" customHeight="1" x14ac:dyDescent="0.2">
      <c r="A1548" s="7" t="s">
        <v>117</v>
      </c>
      <c r="B1548" s="7" t="s">
        <v>118</v>
      </c>
      <c r="C1548" s="3"/>
      <c r="D1548" s="3" t="s">
        <v>382</v>
      </c>
      <c r="E1548" s="4"/>
      <c r="F1548" s="3" t="s">
        <v>123</v>
      </c>
      <c r="G1548" s="9"/>
      <c r="H1548" s="9">
        <v>90</v>
      </c>
      <c r="I1548" s="12"/>
      <c r="J1548" s="5" t="e">
        <f>SUM(SUMIFS(#REF!,#REF!,Planning[[#This Row],[Tipo de Tarea y especialidad]],#REF!,Planning[[#This Row],[Proyectos Reiwa]]),SUMIFS(#REF!,#REF!,Planning[[#This Row],[Tipo de Tarea y especialidad]],#REF!,Planning[[#This Row],[Proyectos]]))</f>
        <v>#REF!</v>
      </c>
      <c r="K1548" s="5" t="e">
        <f>+Planning[[#This Row],[Horas Planificadas]]+Planning[[#This Row],[Horas ajustadas adicionales]]-Planning[[#This Row],[Horas utilizadas]]</f>
        <v>#REF!</v>
      </c>
      <c r="L1548" s="7"/>
      <c r="M1548" s="19" t="e">
        <f>Planning[[#This Row],[Saldo]]-Planning[[#This Row],[Saldo estimado]]</f>
        <v>#REF!</v>
      </c>
      <c r="N1548" s="60" t="e">
        <f>+SUMIFS(#REF!,#REF!,Planning[[#This Row],[Proyectos]],#REF!,Planning[[#This Row],[Tipo de Tarea y especialidad]])</f>
        <v>#REF!</v>
      </c>
      <c r="O1548" s="19">
        <f t="shared" si="48"/>
        <v>10</v>
      </c>
      <c r="P1548" s="19">
        <f t="shared" si="49"/>
        <v>2024</v>
      </c>
      <c r="Q15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48" s="19" t="str">
        <f>TEXT(Planning[[#This Row],[Mes]]*29,"mmmm")</f>
        <v>October</v>
      </c>
      <c r="S15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48" s="193"/>
      <c r="U1548" s="43" t="e">
        <f>IF(Planning[[#This Row],[Horas Planificadas]]&lt;&gt;0,+K1548/Planning[[#This Row],[Horas Planificadas]],0)</f>
        <v>#REF!</v>
      </c>
      <c r="V1548" s="43" t="e">
        <f>IF(Planning[[#This Row],[Horas Planificadas]]&lt;&gt;0,Planning[[#This Row],[Horas utilizadas]]/Planning[[#This Row],[Horas Planificadas]],0)</f>
        <v>#REF!</v>
      </c>
      <c r="W1548" s="44">
        <f>Planning[[#This Row],[Horas Planificadas]]+Planning[[#This Row],[Horas ajustadas adicionales]]</f>
        <v>90</v>
      </c>
      <c r="X1548" s="142"/>
    </row>
    <row r="1549" spans="1:24" ht="12.75" customHeight="1" x14ac:dyDescent="0.2">
      <c r="A1549" s="7" t="s">
        <v>117</v>
      </c>
      <c r="B1549" s="7" t="s">
        <v>118</v>
      </c>
      <c r="C1549" s="3"/>
      <c r="D1549" s="3" t="s">
        <v>382</v>
      </c>
      <c r="E1549" s="4"/>
      <c r="F1549" s="3" t="s">
        <v>124</v>
      </c>
      <c r="G1549" s="9"/>
      <c r="H1549" s="9"/>
      <c r="I1549" s="12"/>
      <c r="J1549" s="5" t="e">
        <f>SUM(SUMIFS(#REF!,#REF!,Planning[[#This Row],[Tipo de Tarea y especialidad]],#REF!,Planning[[#This Row],[Proyectos Reiwa]]),SUMIFS(#REF!,#REF!,Planning[[#This Row],[Tipo de Tarea y especialidad]],#REF!,Planning[[#This Row],[Proyectos]]))</f>
        <v>#REF!</v>
      </c>
      <c r="K1549" s="5" t="e">
        <f>+Planning[[#This Row],[Horas Planificadas]]+Planning[[#This Row],[Horas ajustadas adicionales]]-Planning[[#This Row],[Horas utilizadas]]</f>
        <v>#REF!</v>
      </c>
      <c r="L1549" s="7"/>
      <c r="M1549" s="19" t="e">
        <f>Planning[[#This Row],[Saldo]]-Planning[[#This Row],[Saldo estimado]]</f>
        <v>#REF!</v>
      </c>
      <c r="N1549" s="60" t="e">
        <f>+SUMIFS(#REF!,#REF!,Planning[[#This Row],[Proyectos]],#REF!,Planning[[#This Row],[Tipo de Tarea y especialidad]])</f>
        <v>#REF!</v>
      </c>
      <c r="O1549" s="19">
        <f t="shared" si="48"/>
        <v>10</v>
      </c>
      <c r="P1549" s="19">
        <f t="shared" si="49"/>
        <v>2024</v>
      </c>
      <c r="Q15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49" s="19" t="str">
        <f>TEXT(Planning[[#This Row],[Mes]]*29,"mmmm")</f>
        <v>October</v>
      </c>
      <c r="S15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49" s="193"/>
      <c r="U1549" s="43">
        <f>IF(Planning[[#This Row],[Horas Planificadas]]&lt;&gt;0,+K1549/Planning[[#This Row],[Horas Planificadas]],0)</f>
        <v>0</v>
      </c>
      <c r="V1549" s="43">
        <f>IF(Planning[[#This Row],[Horas Planificadas]]&lt;&gt;0,Planning[[#This Row],[Horas utilizadas]]/Planning[[#This Row],[Horas Planificadas]],0)</f>
        <v>0</v>
      </c>
      <c r="W1549" s="44">
        <f>Planning[[#This Row],[Horas Planificadas]]+Planning[[#This Row],[Horas ajustadas adicionales]]</f>
        <v>0</v>
      </c>
      <c r="X1549" s="142"/>
    </row>
    <row r="1550" spans="1:24" ht="12.75" customHeight="1" x14ac:dyDescent="0.2">
      <c r="A1550" s="7" t="s">
        <v>117</v>
      </c>
      <c r="B1550" s="7" t="s">
        <v>118</v>
      </c>
      <c r="C1550" s="3"/>
      <c r="D1550" s="3" t="s">
        <v>382</v>
      </c>
      <c r="E1550" s="4"/>
      <c r="F1550" s="3" t="s">
        <v>125</v>
      </c>
      <c r="G1550" s="9"/>
      <c r="H1550" s="12">
        <v>168</v>
      </c>
      <c r="I1550" s="12">
        <v>9</v>
      </c>
      <c r="J1550" s="5" t="e">
        <f>SUM(SUMIFS(#REF!,#REF!,Planning[[#This Row],[Tipo de Tarea y especialidad]],#REF!,Planning[[#This Row],[Proyectos Reiwa]]),SUMIFS(#REF!,#REF!,Planning[[#This Row],[Tipo de Tarea y especialidad]],#REF!,Planning[[#This Row],[Proyectos]]))</f>
        <v>#REF!</v>
      </c>
      <c r="K1550" s="27" t="e">
        <f>+Planning[[#This Row],[Horas Planificadas]]+Planning[[#This Row],[Horas ajustadas adicionales]]-Planning[[#This Row],[Horas utilizadas]]</f>
        <v>#REF!</v>
      </c>
      <c r="L1550" s="7">
        <v>9</v>
      </c>
      <c r="M1550" s="19" t="e">
        <f>Planning[[#This Row],[Saldo]]-Planning[[#This Row],[Saldo estimado]]</f>
        <v>#REF!</v>
      </c>
      <c r="N1550" s="60" t="e">
        <f>+SUMIFS(#REF!,#REF!,Planning[[#This Row],[Proyectos]],#REF!,Planning[[#This Row],[Tipo de Tarea y especialidad]])</f>
        <v>#REF!</v>
      </c>
      <c r="O1550" s="19">
        <f t="shared" si="48"/>
        <v>10</v>
      </c>
      <c r="P1550" s="19">
        <f t="shared" si="49"/>
        <v>2024</v>
      </c>
      <c r="Q15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50" s="19" t="str">
        <f>TEXT(Planning[[#This Row],[Mes]]*29,"mmmm")</f>
        <v>October</v>
      </c>
      <c r="S15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50" s="193"/>
      <c r="U1550" s="43" t="e">
        <f>IF(Planning[[#This Row],[Horas Planificadas]]&lt;&gt;0,+K1550/Planning[[#This Row],[Horas Planificadas]],0)</f>
        <v>#REF!</v>
      </c>
      <c r="V1550" s="43" t="e">
        <f>IF(Planning[[#This Row],[Horas Planificadas]]&lt;&gt;0,Planning[[#This Row],[Horas utilizadas]]/Planning[[#This Row],[Horas Planificadas]],0)</f>
        <v>#REF!</v>
      </c>
      <c r="W1550" s="44">
        <f>Planning[[#This Row],[Horas Planificadas]]+Planning[[#This Row],[Horas ajustadas adicionales]]</f>
        <v>177</v>
      </c>
      <c r="X1550" s="142"/>
    </row>
    <row r="1551" spans="1:24" ht="12.75" customHeight="1" x14ac:dyDescent="0.2">
      <c r="A1551" s="7" t="s">
        <v>117</v>
      </c>
      <c r="B1551" s="7" t="s">
        <v>118</v>
      </c>
      <c r="C1551" s="3"/>
      <c r="D1551" s="3" t="s">
        <v>382</v>
      </c>
      <c r="E1551" s="4"/>
      <c r="F1551" s="3" t="s">
        <v>126</v>
      </c>
      <c r="G1551" s="9"/>
      <c r="H1551" s="9">
        <v>9</v>
      </c>
      <c r="I1551" s="12"/>
      <c r="J1551" s="5" t="e">
        <f>SUM(SUMIFS(#REF!,#REF!,Planning[[#This Row],[Tipo de Tarea y especialidad]],#REF!,Planning[[#This Row],[Proyectos Reiwa]]),SUMIFS(#REF!,#REF!,Planning[[#This Row],[Tipo de Tarea y especialidad]],#REF!,Planning[[#This Row],[Proyectos]]))</f>
        <v>#REF!</v>
      </c>
      <c r="K1551" s="5" t="e">
        <f>+Planning[[#This Row],[Horas Planificadas]]+Planning[[#This Row],[Horas ajustadas adicionales]]-Planning[[#This Row],[Horas utilizadas]]</f>
        <v>#REF!</v>
      </c>
      <c r="L1551" s="7"/>
      <c r="M1551" s="19" t="e">
        <f>Planning[[#This Row],[Saldo]]-Planning[[#This Row],[Saldo estimado]]</f>
        <v>#REF!</v>
      </c>
      <c r="N1551" s="60" t="e">
        <f>+SUMIFS(#REF!,#REF!,Planning[[#This Row],[Proyectos]],#REF!,Planning[[#This Row],[Tipo de Tarea y especialidad]])</f>
        <v>#REF!</v>
      </c>
      <c r="O1551" s="19">
        <f t="shared" si="48"/>
        <v>10</v>
      </c>
      <c r="P1551" s="19">
        <f t="shared" si="49"/>
        <v>2024</v>
      </c>
      <c r="Q15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51" s="19" t="str">
        <f>TEXT(Planning[[#This Row],[Mes]]*29,"mmmm")</f>
        <v>October</v>
      </c>
      <c r="S15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51" s="193"/>
      <c r="U1551" s="43" t="e">
        <f>IF(Planning[[#This Row],[Horas Planificadas]]&lt;&gt;0,+K1551/Planning[[#This Row],[Horas Planificadas]],0)</f>
        <v>#REF!</v>
      </c>
      <c r="V1551" s="43" t="e">
        <f>IF(Planning[[#This Row],[Horas Planificadas]]&lt;&gt;0,Planning[[#This Row],[Horas utilizadas]]/Planning[[#This Row],[Horas Planificadas]],0)</f>
        <v>#REF!</v>
      </c>
      <c r="W1551" s="44">
        <f>Planning[[#This Row],[Horas Planificadas]]+Planning[[#This Row],[Horas ajustadas adicionales]]</f>
        <v>9</v>
      </c>
      <c r="X1551" s="142"/>
    </row>
    <row r="1552" spans="1:24" ht="12.75" customHeight="1" x14ac:dyDescent="0.2">
      <c r="A1552" s="7" t="s">
        <v>117</v>
      </c>
      <c r="B1552" s="7" t="s">
        <v>118</v>
      </c>
      <c r="C1552" s="3"/>
      <c r="D1552" s="3" t="s">
        <v>382</v>
      </c>
      <c r="E1552" s="4"/>
      <c r="F1552" s="3" t="s">
        <v>127</v>
      </c>
      <c r="G1552" s="9"/>
      <c r="H1552" s="9"/>
      <c r="I1552" s="12"/>
      <c r="J1552" s="5" t="e">
        <f>SUM(SUMIFS(#REF!,#REF!,Planning[[#This Row],[Tipo de Tarea y especialidad]],#REF!,Planning[[#This Row],[Proyectos Reiwa]]),SUMIFS(#REF!,#REF!,Planning[[#This Row],[Tipo de Tarea y especialidad]],#REF!,Planning[[#This Row],[Proyectos]]))</f>
        <v>#REF!</v>
      </c>
      <c r="K1552" s="5" t="e">
        <f>+Planning[[#This Row],[Horas Planificadas]]+Planning[[#This Row],[Horas ajustadas adicionales]]-Planning[[#This Row],[Horas utilizadas]]</f>
        <v>#REF!</v>
      </c>
      <c r="L1552" s="7"/>
      <c r="M1552" s="19" t="e">
        <f>Planning[[#This Row],[Saldo]]-Planning[[#This Row],[Saldo estimado]]</f>
        <v>#REF!</v>
      </c>
      <c r="N1552" s="60" t="e">
        <f>+SUMIFS(#REF!,#REF!,Planning[[#This Row],[Proyectos]],#REF!,Planning[[#This Row],[Tipo de Tarea y especialidad]])</f>
        <v>#REF!</v>
      </c>
      <c r="O1552" s="19">
        <f t="shared" si="48"/>
        <v>10</v>
      </c>
      <c r="P1552" s="19">
        <f t="shared" si="49"/>
        <v>2024</v>
      </c>
      <c r="Q15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52" s="19" t="str">
        <f>TEXT(Planning[[#This Row],[Mes]]*29,"mmmm")</f>
        <v>October</v>
      </c>
      <c r="S15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52" s="193"/>
      <c r="U1552" s="43">
        <f>IF(Planning[[#This Row],[Horas Planificadas]]&lt;&gt;0,+K1552/Planning[[#This Row],[Horas Planificadas]],0)</f>
        <v>0</v>
      </c>
      <c r="V1552" s="43">
        <f>IF(Planning[[#This Row],[Horas Planificadas]]&lt;&gt;0,Planning[[#This Row],[Horas utilizadas]]/Planning[[#This Row],[Horas Planificadas]],0)</f>
        <v>0</v>
      </c>
      <c r="W1552" s="44">
        <f>Planning[[#This Row],[Horas Planificadas]]+Planning[[#This Row],[Horas ajustadas adicionales]]</f>
        <v>0</v>
      </c>
      <c r="X1552" s="142"/>
    </row>
    <row r="1553" spans="1:24" ht="12.75" customHeight="1" x14ac:dyDescent="0.2">
      <c r="A1553" s="7" t="s">
        <v>117</v>
      </c>
      <c r="B1553" s="7" t="s">
        <v>118</v>
      </c>
      <c r="C1553" s="3"/>
      <c r="D1553" s="3" t="s">
        <v>382</v>
      </c>
      <c r="E1553" s="4"/>
      <c r="F1553" s="3" t="s">
        <v>128</v>
      </c>
      <c r="G1553" s="9"/>
      <c r="H1553" s="9"/>
      <c r="I1553" s="12"/>
      <c r="J1553" s="5" t="e">
        <f>SUM(SUMIFS(#REF!,#REF!,Planning[[#This Row],[Tipo de Tarea y especialidad]],#REF!,Planning[[#This Row],[Proyectos Reiwa]]),SUMIFS(#REF!,#REF!,Planning[[#This Row],[Tipo de Tarea y especialidad]],#REF!,Planning[[#This Row],[Proyectos]]))</f>
        <v>#REF!</v>
      </c>
      <c r="K1553" s="5" t="e">
        <f>+Planning[[#This Row],[Horas Planificadas]]+Planning[[#This Row],[Horas ajustadas adicionales]]-Planning[[#This Row],[Horas utilizadas]]</f>
        <v>#REF!</v>
      </c>
      <c r="L1553" s="7"/>
      <c r="M1553" s="19" t="e">
        <f>Planning[[#This Row],[Saldo]]-Planning[[#This Row],[Saldo estimado]]</f>
        <v>#REF!</v>
      </c>
      <c r="N1553" s="60" t="e">
        <f>+SUMIFS(#REF!,#REF!,Planning[[#This Row],[Proyectos]],#REF!,Planning[[#This Row],[Tipo de Tarea y especialidad]])</f>
        <v>#REF!</v>
      </c>
      <c r="O1553" s="19">
        <f t="shared" si="48"/>
        <v>10</v>
      </c>
      <c r="P1553" s="19">
        <f t="shared" si="49"/>
        <v>2024</v>
      </c>
      <c r="Q15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53" s="19" t="str">
        <f>TEXT(Planning[[#This Row],[Mes]]*29,"mmmm")</f>
        <v>October</v>
      </c>
      <c r="S15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53" s="193"/>
      <c r="U1553" s="43">
        <f>IF(Planning[[#This Row],[Horas Planificadas]]&lt;&gt;0,+K1553/Planning[[#This Row],[Horas Planificadas]],0)</f>
        <v>0</v>
      </c>
      <c r="V1553" s="43">
        <f>IF(Planning[[#This Row],[Horas Planificadas]]&lt;&gt;0,Planning[[#This Row],[Horas utilizadas]]/Planning[[#This Row],[Horas Planificadas]],0)</f>
        <v>0</v>
      </c>
      <c r="W1553" s="44">
        <f>Planning[[#This Row],[Horas Planificadas]]+Planning[[#This Row],[Horas ajustadas adicionales]]</f>
        <v>0</v>
      </c>
      <c r="X1553" s="142"/>
    </row>
    <row r="1554" spans="1:24" ht="12.75" customHeight="1" x14ac:dyDescent="0.2">
      <c r="A1554" s="7" t="s">
        <v>117</v>
      </c>
      <c r="B1554" s="7" t="s">
        <v>118</v>
      </c>
      <c r="C1554" s="3"/>
      <c r="D1554" s="3" t="s">
        <v>382</v>
      </c>
      <c r="E1554" s="4" t="s">
        <v>31</v>
      </c>
      <c r="F1554" s="3" t="s">
        <v>31</v>
      </c>
      <c r="G1554" s="9"/>
      <c r="H1554" s="17">
        <f>Planning[[#This Row],[Horas Precálculo]]</f>
        <v>0</v>
      </c>
      <c r="I1554" s="18"/>
      <c r="J1554" s="14" t="e">
        <f>+SUMIFS(#REF!,#REF!,Planning[[#This Row],[Tarifa]],#REF!,Planning[[#This Row],[Proyectos]])</f>
        <v>#REF!</v>
      </c>
      <c r="K1554" s="14" t="e">
        <f>+Planning[[#This Row],[Horas Planificadas]]+Planning[[#This Row],[Horas ajustadas adicionales]]-Planning[[#This Row],[Horas utilizadas]]</f>
        <v>#REF!</v>
      </c>
      <c r="L1554" s="15">
        <v>0</v>
      </c>
      <c r="M1554" s="16" t="e">
        <f>Planning[[#This Row],[Saldo]]-Planning[[#This Row],[Saldo estimado]]</f>
        <v>#REF!</v>
      </c>
      <c r="N1554" s="60" t="e">
        <f>+SUMIFS(#REF!,#REF!,Planning[[#This Row],[Proyectos]],#REF!,Planning[[#This Row],[Tipo de Tarea y especialidad]])</f>
        <v>#REF!</v>
      </c>
      <c r="O1554" s="16">
        <f t="shared" si="48"/>
        <v>10</v>
      </c>
      <c r="P1554" s="16">
        <f t="shared" si="49"/>
        <v>2024</v>
      </c>
      <c r="Q1554" s="16" t="e">
        <f>+SUMIFS(#REF!,#REF!,Planning[[#This Row],[Tarifa]],#REF!,Planning[[#This Row],[Proyectos]],#REF!,Planning[[#This Row],[Mes]],#REF!,Planning[[#This Row],[Año]])</f>
        <v>#REF!</v>
      </c>
      <c r="R1554" s="16" t="str">
        <f>TEXT(Planning[[#This Row],[Mes]]*29,"mmmm")</f>
        <v>October</v>
      </c>
      <c r="S15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54" s="193"/>
      <c r="U1554" s="43">
        <f>IF(Planning[[#This Row],[Horas Planificadas]]&lt;&gt;0,+K1554/Planning[[#This Row],[Horas Planificadas]],0)</f>
        <v>0</v>
      </c>
      <c r="V1554" s="43">
        <f>IF(Planning[[#This Row],[Horas Planificadas]]&lt;&gt;0,Planning[[#This Row],[Horas utilizadas]]/Planning[[#This Row],[Horas Planificadas]],0)</f>
        <v>0</v>
      </c>
      <c r="W1554" s="44">
        <f>Planning[[#This Row],[Horas Planificadas]]+Planning[[#This Row],[Horas ajustadas adicionales]]</f>
        <v>0</v>
      </c>
      <c r="X1554" s="142"/>
    </row>
    <row r="1555" spans="1:24" ht="12.75" customHeight="1" x14ac:dyDescent="0.2">
      <c r="A1555" s="7" t="s">
        <v>117</v>
      </c>
      <c r="B1555" s="7" t="s">
        <v>118</v>
      </c>
      <c r="C1555" s="3"/>
      <c r="D1555" s="3" t="s">
        <v>382</v>
      </c>
      <c r="E1555" s="4" t="s">
        <v>32</v>
      </c>
      <c r="F1555" s="3"/>
      <c r="G1555" s="9">
        <v>90</v>
      </c>
      <c r="H1555" s="25">
        <f>SUM(H1556:H1558)</f>
        <v>99</v>
      </c>
      <c r="I1555" s="14"/>
      <c r="J1555" s="14" t="e">
        <f>SUM(J1556:J1558)</f>
        <v>#REF!</v>
      </c>
      <c r="K1555" s="14" t="e">
        <f>+Planning[[#This Row],[Horas Planificadas]]+Planning[[#This Row],[Horas ajustadas adicionales]]-Planning[[#This Row],[Horas utilizadas]]</f>
        <v>#REF!</v>
      </c>
      <c r="L1555" s="15">
        <f>SUM(L1556:L1558)</f>
        <v>0</v>
      </c>
      <c r="M1555" s="16" t="e">
        <f>SUM(M1556:M1558)</f>
        <v>#REF!</v>
      </c>
      <c r="N1555" s="60" t="e">
        <f>+SUMIFS(#REF!,#REF!,Planning[[#This Row],[Proyectos]],#REF!,Planning[[#This Row],[Tipo de Tarea y especialidad]])</f>
        <v>#REF!</v>
      </c>
      <c r="O1555" s="16">
        <f t="shared" si="48"/>
        <v>10</v>
      </c>
      <c r="P1555" s="16">
        <f t="shared" si="49"/>
        <v>2024</v>
      </c>
      <c r="Q1555" s="16" t="e">
        <f>SUM(Q1556:Q1558)</f>
        <v>#REF!</v>
      </c>
      <c r="R1555" s="16" t="str">
        <f>TEXT(Planning[[#This Row],[Mes]]*29,"mmmm")</f>
        <v>October</v>
      </c>
      <c r="S15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55" s="193"/>
      <c r="U1555" s="43" t="e">
        <f>IF(Planning[[#This Row],[Horas Planificadas]]&lt;&gt;0,+K1555/Planning[[#This Row],[Horas Planificadas]],0)</f>
        <v>#REF!</v>
      </c>
      <c r="V1555" s="43" t="e">
        <f>IF(Planning[[#This Row],[Horas Planificadas]]&lt;&gt;0,Planning[[#This Row],[Horas utilizadas]]/Planning[[#This Row],[Horas Planificadas]],0)</f>
        <v>#REF!</v>
      </c>
      <c r="W1555" s="44">
        <f>Planning[[#This Row],[Horas Planificadas]]+Planning[[#This Row],[Horas ajustadas adicionales]]</f>
        <v>99</v>
      </c>
      <c r="X1555" s="142"/>
    </row>
    <row r="1556" spans="1:24" ht="12.75" customHeight="1" x14ac:dyDescent="0.2">
      <c r="A1556" s="7" t="s">
        <v>117</v>
      </c>
      <c r="B1556" s="7" t="s">
        <v>118</v>
      </c>
      <c r="C1556" s="3"/>
      <c r="D1556" s="3" t="s">
        <v>382</v>
      </c>
      <c r="E1556" s="4"/>
      <c r="F1556" s="3" t="s">
        <v>129</v>
      </c>
      <c r="G1556" s="9"/>
      <c r="H1556" s="9">
        <v>63</v>
      </c>
      <c r="I1556" s="12"/>
      <c r="J1556" s="5" t="e">
        <f>SUM(SUMIFS(#REF!,#REF!,Planning[[#This Row],[Tipo de Tarea y especialidad]],#REF!,Planning[[#This Row],[Proyectos Reiwa]]),SUMIFS(#REF!,#REF!,Planning[[#This Row],[Tipo de Tarea y especialidad]],#REF!,Planning[[#This Row],[Proyectos]]))</f>
        <v>#REF!</v>
      </c>
      <c r="K1556" s="5" t="e">
        <f>+Planning[[#This Row],[Horas Planificadas]]+Planning[[#This Row],[Horas ajustadas adicionales]]-Planning[[#This Row],[Horas utilizadas]]</f>
        <v>#REF!</v>
      </c>
      <c r="L1556" s="7"/>
      <c r="M1556" s="19" t="e">
        <f>Planning[[#This Row],[Saldo]]-Planning[[#This Row],[Saldo estimado]]</f>
        <v>#REF!</v>
      </c>
      <c r="N1556" s="60" t="e">
        <f>+SUMIFS(#REF!,#REF!,Planning[[#This Row],[Proyectos]],#REF!,Planning[[#This Row],[Tipo de Tarea y especialidad]])</f>
        <v>#REF!</v>
      </c>
      <c r="O1556" s="19">
        <f t="shared" si="48"/>
        <v>10</v>
      </c>
      <c r="P1556" s="19">
        <f t="shared" si="49"/>
        <v>2024</v>
      </c>
      <c r="Q15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56" s="19" t="str">
        <f>TEXT(Planning[[#This Row],[Mes]]*29,"mmmm")</f>
        <v>October</v>
      </c>
      <c r="S15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56" s="193"/>
      <c r="U1556" s="43" t="e">
        <f>IF(Planning[[#This Row],[Horas Planificadas]]&lt;&gt;0,+K1556/Planning[[#This Row],[Horas Planificadas]],0)</f>
        <v>#REF!</v>
      </c>
      <c r="V1556" s="43" t="e">
        <f>IF(Planning[[#This Row],[Horas Planificadas]]&lt;&gt;0,Planning[[#This Row],[Horas utilizadas]]/Planning[[#This Row],[Horas Planificadas]],0)</f>
        <v>#REF!</v>
      </c>
      <c r="W1556" s="44">
        <f>Planning[[#This Row],[Horas Planificadas]]+Planning[[#This Row],[Horas ajustadas adicionales]]</f>
        <v>63</v>
      </c>
      <c r="X1556" s="142"/>
    </row>
    <row r="1557" spans="1:24" ht="12.75" customHeight="1" x14ac:dyDescent="0.2">
      <c r="A1557" s="7" t="s">
        <v>117</v>
      </c>
      <c r="B1557" s="7" t="s">
        <v>118</v>
      </c>
      <c r="C1557" s="3"/>
      <c r="D1557" s="3" t="s">
        <v>382</v>
      </c>
      <c r="E1557" s="4"/>
      <c r="F1557" s="3" t="s">
        <v>130</v>
      </c>
      <c r="G1557" s="9"/>
      <c r="H1557" s="9">
        <v>36</v>
      </c>
      <c r="I1557" s="12"/>
      <c r="J1557" s="5" t="e">
        <f>SUM(SUMIFS(#REF!,#REF!,Planning[[#This Row],[Tipo de Tarea y especialidad]],#REF!,Planning[[#This Row],[Proyectos Reiwa]]),SUMIFS(#REF!,#REF!,Planning[[#This Row],[Tipo de Tarea y especialidad]],#REF!,Planning[[#This Row],[Proyectos]]))</f>
        <v>#REF!</v>
      </c>
      <c r="K1557" s="5" t="e">
        <f>+Planning[[#This Row],[Horas Planificadas]]+Planning[[#This Row],[Horas ajustadas adicionales]]-Planning[[#This Row],[Horas utilizadas]]</f>
        <v>#REF!</v>
      </c>
      <c r="L1557" s="7"/>
      <c r="M1557" s="19" t="e">
        <f>Planning[[#This Row],[Saldo]]-Planning[[#This Row],[Saldo estimado]]</f>
        <v>#REF!</v>
      </c>
      <c r="N1557" s="60" t="e">
        <f>+SUMIFS(#REF!,#REF!,Planning[[#This Row],[Proyectos]],#REF!,Planning[[#This Row],[Tipo de Tarea y especialidad]])</f>
        <v>#REF!</v>
      </c>
      <c r="O1557" s="19">
        <f t="shared" si="48"/>
        <v>10</v>
      </c>
      <c r="P1557" s="19">
        <f t="shared" si="49"/>
        <v>2024</v>
      </c>
      <c r="Q15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57" s="19" t="str">
        <f>TEXT(Planning[[#This Row],[Mes]]*29,"mmmm")</f>
        <v>October</v>
      </c>
      <c r="S15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57" s="193"/>
      <c r="U1557" s="43" t="e">
        <f>IF(Planning[[#This Row],[Horas Planificadas]]&lt;&gt;0,+K1557/Planning[[#This Row],[Horas Planificadas]],0)</f>
        <v>#REF!</v>
      </c>
      <c r="V1557" s="43" t="e">
        <f>IF(Planning[[#This Row],[Horas Planificadas]]&lt;&gt;0,Planning[[#This Row],[Horas utilizadas]]/Planning[[#This Row],[Horas Planificadas]],0)</f>
        <v>#REF!</v>
      </c>
      <c r="W1557" s="44">
        <f>Planning[[#This Row],[Horas Planificadas]]+Planning[[#This Row],[Horas ajustadas adicionales]]</f>
        <v>36</v>
      </c>
      <c r="X1557" s="142"/>
    </row>
    <row r="1558" spans="1:24" ht="12.75" customHeight="1" x14ac:dyDescent="0.2">
      <c r="A1558" s="7" t="s">
        <v>117</v>
      </c>
      <c r="B1558" s="7" t="s">
        <v>118</v>
      </c>
      <c r="C1558" s="3"/>
      <c r="D1558" s="3" t="s">
        <v>382</v>
      </c>
      <c r="E1558" s="4"/>
      <c r="F1558" s="3" t="s">
        <v>131</v>
      </c>
      <c r="G1558" s="9"/>
      <c r="H1558" s="9"/>
      <c r="I1558" s="12"/>
      <c r="J1558" s="5" t="e">
        <f>SUM(SUMIFS(#REF!,#REF!,Planning[[#This Row],[Tipo de Tarea y especialidad]],#REF!,Planning[[#This Row],[Proyectos Reiwa]]),SUMIFS(#REF!,#REF!,Planning[[#This Row],[Tipo de Tarea y especialidad]],#REF!,Planning[[#This Row],[Proyectos]]))</f>
        <v>#REF!</v>
      </c>
      <c r="K1558" s="5" t="e">
        <f>+Planning[[#This Row],[Horas Planificadas]]+Planning[[#This Row],[Horas ajustadas adicionales]]-Planning[[#This Row],[Horas utilizadas]]</f>
        <v>#REF!</v>
      </c>
      <c r="L1558" s="7"/>
      <c r="M1558" s="19" t="e">
        <f>Planning[[#This Row],[Saldo]]-Planning[[#This Row],[Saldo estimado]]</f>
        <v>#REF!</v>
      </c>
      <c r="N1558" s="60" t="e">
        <f>+SUMIFS(#REF!,#REF!,Planning[[#This Row],[Proyectos]],#REF!,Planning[[#This Row],[Tipo de Tarea y especialidad]])</f>
        <v>#REF!</v>
      </c>
      <c r="O1558" s="19">
        <f t="shared" si="48"/>
        <v>10</v>
      </c>
      <c r="P1558" s="19">
        <f t="shared" si="49"/>
        <v>2024</v>
      </c>
      <c r="Q15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58" s="19" t="str">
        <f>TEXT(Planning[[#This Row],[Mes]]*29,"mmmm")</f>
        <v>October</v>
      </c>
      <c r="S15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58" s="193"/>
      <c r="U1558" s="43">
        <f>IF(Planning[[#This Row],[Horas Planificadas]]&lt;&gt;0,+K1558/Planning[[#This Row],[Horas Planificadas]],0)</f>
        <v>0</v>
      </c>
      <c r="V1558" s="43">
        <f>IF(Planning[[#This Row],[Horas Planificadas]]&lt;&gt;0,Planning[[#This Row],[Horas utilizadas]]/Planning[[#This Row],[Horas Planificadas]],0)</f>
        <v>0</v>
      </c>
      <c r="W1558" s="44">
        <f>Planning[[#This Row],[Horas Planificadas]]+Planning[[#This Row],[Horas ajustadas adicionales]]</f>
        <v>0</v>
      </c>
      <c r="X1558" s="142"/>
    </row>
    <row r="1559" spans="1:24" ht="12.75" customHeight="1" x14ac:dyDescent="0.2">
      <c r="A1559" s="7"/>
      <c r="B1559" s="7"/>
      <c r="C1559" s="3"/>
      <c r="D1559" s="3" t="s">
        <v>384</v>
      </c>
      <c r="E1559" s="4" t="s">
        <v>28</v>
      </c>
      <c r="F1559" s="3"/>
      <c r="G1559" s="9"/>
      <c r="H1559" s="12">
        <v>0</v>
      </c>
      <c r="I1559" s="12"/>
      <c r="J1559" s="5" t="e">
        <f>+SUMIFS(#REF!,#REF!,Planning[[#This Row],[Tarifa]],#REF!,Planning[[#This Row],[Proyectos]])</f>
        <v>#REF!</v>
      </c>
      <c r="K1559" s="27" t="e">
        <f>Planning[[#This Row],[Horas Planificadas]]+Planning[[#This Row],[Horas ajustadas adicionales]]-Planning[[#This Row],[Horas utilizadas]]</f>
        <v>#REF!</v>
      </c>
      <c r="L1559" s="7"/>
      <c r="M1559" s="19" t="e">
        <f>Planning[[#This Row],[Saldo]]-Planning[[#This Row],[Saldo estimado]]</f>
        <v>#REF!</v>
      </c>
      <c r="N1559" s="60" t="e">
        <f>+SUMIFS(#REF!,#REF!,Planning[[#This Row],[Proyectos]],#REF!,Planning[[#This Row],[Tipo de Tarea y especialidad]])</f>
        <v>#REF!</v>
      </c>
      <c r="O1559" s="19">
        <f t="shared" si="48"/>
        <v>10</v>
      </c>
      <c r="P1559" s="19">
        <f t="shared" si="49"/>
        <v>2024</v>
      </c>
      <c r="Q1559" s="19" t="e">
        <f>+SUMIFS(#REF!,#REF!,Planning[[#This Row],[Tarifa]],#REF!,Planning[[#This Row],[Proyectos]],#REF!,Planning[[#This Row],[Mes]],#REF!,Planning[[#This Row],[Año]])</f>
        <v>#REF!</v>
      </c>
      <c r="R1559" s="19" t="str">
        <f>TEXT(Planning[[#This Row],[Mes]]*29,"mmmm")</f>
        <v>October</v>
      </c>
      <c r="S15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59" s="228"/>
      <c r="U1559" s="43">
        <f>IF(Planning[[#This Row],[Horas Planificadas]]&lt;&gt;0,+K1559/Planning[[#This Row],[Horas Planificadas]],0)</f>
        <v>0</v>
      </c>
      <c r="V1559" s="43">
        <f>IF(Planning[[#This Row],[Horas Planificadas]]&lt;&gt;0,Planning[[#This Row],[Horas utilizadas]]/Planning[[#This Row],[Horas Planificadas]],0)</f>
        <v>0</v>
      </c>
      <c r="W1559" s="44">
        <f>Planning[[#This Row],[Horas Planificadas]]+Planning[[#This Row],[Horas ajustadas adicionales]]</f>
        <v>0</v>
      </c>
      <c r="X1559" s="142"/>
    </row>
    <row r="1560" spans="1:24" ht="12.75" customHeight="1" x14ac:dyDescent="0.2">
      <c r="A1560" s="7"/>
      <c r="B1560" s="7"/>
      <c r="C1560" s="3"/>
      <c r="D1560" s="3" t="s">
        <v>384</v>
      </c>
      <c r="E1560" s="4" t="s">
        <v>30</v>
      </c>
      <c r="F1560" s="3"/>
      <c r="G1560" s="9"/>
      <c r="H1560" s="9">
        <v>45</v>
      </c>
      <c r="I1560" s="12"/>
      <c r="J1560" s="5" t="e">
        <f>+SUMIFS(#REF!,#REF!,Planning[[#This Row],[Tarifa]],#REF!,Planning[[#This Row],[Proyectos]])</f>
        <v>#REF!</v>
      </c>
      <c r="K1560" s="5" t="e">
        <f>Planning[[#This Row],[Horas Planificadas]]+Planning[[#This Row],[Horas ajustadas adicionales]]-Planning[[#This Row],[Horas utilizadas]]</f>
        <v>#REF!</v>
      </c>
      <c r="L1560" s="7"/>
      <c r="M1560" s="19" t="e">
        <f>Planning[[#This Row],[Saldo]]-Planning[[#This Row],[Saldo estimado]]</f>
        <v>#REF!</v>
      </c>
      <c r="N1560" s="60" t="e">
        <f>+SUMIFS(#REF!,#REF!,Planning[[#This Row],[Proyectos]],#REF!,Planning[[#This Row],[Tipo de Tarea y especialidad]])</f>
        <v>#REF!</v>
      </c>
      <c r="O1560" s="19">
        <f t="shared" si="48"/>
        <v>10</v>
      </c>
      <c r="P1560" s="19">
        <f t="shared" si="49"/>
        <v>2024</v>
      </c>
      <c r="Q1560" s="19" t="e">
        <f>+SUMIFS(#REF!,#REF!,Planning[[#This Row],[Tarifa]],#REF!,Planning[[#This Row],[Proyectos]],#REF!,Planning[[#This Row],[Mes]],#REF!,Planning[[#This Row],[Año]])</f>
        <v>#REF!</v>
      </c>
      <c r="R1560" s="19" t="str">
        <f>TEXT(Planning[[#This Row],[Mes]]*29,"mmmm")</f>
        <v>October</v>
      </c>
      <c r="S15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60" s="228"/>
      <c r="U1560" s="43" t="e">
        <f>IF(Planning[[#This Row],[Horas Planificadas]]&lt;&gt;0,+K1560/Planning[[#This Row],[Horas Planificadas]],0)</f>
        <v>#REF!</v>
      </c>
      <c r="V1560" s="43" t="e">
        <f>IF(Planning[[#This Row],[Horas Planificadas]]&lt;&gt;0,Planning[[#This Row],[Horas utilizadas]]/Planning[[#This Row],[Horas Planificadas]],0)</f>
        <v>#REF!</v>
      </c>
      <c r="W1560" s="44">
        <f>Planning[[#This Row],[Horas Planificadas]]+Planning[[#This Row],[Horas ajustadas adicionales]]</f>
        <v>45</v>
      </c>
      <c r="X1560" s="142"/>
    </row>
    <row r="1561" spans="1:24" ht="12.75" customHeight="1" x14ac:dyDescent="0.2">
      <c r="A1561" s="7"/>
      <c r="B1561" s="7"/>
      <c r="C1561" s="3"/>
      <c r="D1561" s="3" t="s">
        <v>384</v>
      </c>
      <c r="E1561" s="4" t="s">
        <v>31</v>
      </c>
      <c r="F1561" s="3"/>
      <c r="G1561" s="9"/>
      <c r="H1561" s="9">
        <v>9</v>
      </c>
      <c r="I1561" s="12"/>
      <c r="J1561" s="5" t="e">
        <f>+SUMIFS(#REF!,#REF!,Planning[[#This Row],[Tarifa]],#REF!,Planning[[#This Row],[Proyectos]])</f>
        <v>#REF!</v>
      </c>
      <c r="K1561" s="5" t="e">
        <f>Planning[[#This Row],[Horas Planificadas]]+Planning[[#This Row],[Horas ajustadas adicionales]]-Planning[[#This Row],[Horas utilizadas]]</f>
        <v>#REF!</v>
      </c>
      <c r="L1561" s="7"/>
      <c r="M1561" s="19" t="e">
        <f>Planning[[#This Row],[Saldo]]-Planning[[#This Row],[Saldo estimado]]</f>
        <v>#REF!</v>
      </c>
      <c r="N1561" s="60" t="e">
        <f>+SUMIFS(#REF!,#REF!,Planning[[#This Row],[Proyectos]],#REF!,Planning[[#This Row],[Tipo de Tarea y especialidad]])</f>
        <v>#REF!</v>
      </c>
      <c r="O1561" s="19">
        <f t="shared" si="48"/>
        <v>10</v>
      </c>
      <c r="P1561" s="19">
        <f t="shared" si="49"/>
        <v>2024</v>
      </c>
      <c r="Q1561" s="19" t="e">
        <f>+SUMIFS(#REF!,#REF!,Planning[[#This Row],[Tarifa]],#REF!,Planning[[#This Row],[Proyectos]],#REF!,Planning[[#This Row],[Mes]],#REF!,Planning[[#This Row],[Año]])</f>
        <v>#REF!</v>
      </c>
      <c r="R1561" s="19" t="str">
        <f>TEXT(Planning[[#This Row],[Mes]]*29,"mmmm")</f>
        <v>October</v>
      </c>
      <c r="S15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61" s="228"/>
      <c r="U1561" s="43" t="e">
        <f>IF(Planning[[#This Row],[Horas Planificadas]]&lt;&gt;0,+K1561/Planning[[#This Row],[Horas Planificadas]],0)</f>
        <v>#REF!</v>
      </c>
      <c r="V1561" s="43" t="e">
        <f>IF(Planning[[#This Row],[Horas Planificadas]]&lt;&gt;0,Planning[[#This Row],[Horas utilizadas]]/Planning[[#This Row],[Horas Planificadas]],0)</f>
        <v>#REF!</v>
      </c>
      <c r="W1561" s="44">
        <f>Planning[[#This Row],[Horas Planificadas]]+Planning[[#This Row],[Horas ajustadas adicionales]]</f>
        <v>9</v>
      </c>
      <c r="X1561" s="142"/>
    </row>
    <row r="1562" spans="1:24" ht="12.75" customHeight="1" x14ac:dyDescent="0.2">
      <c r="A1562" s="7"/>
      <c r="B1562" s="7"/>
      <c r="C1562" s="3"/>
      <c r="D1562" s="3" t="s">
        <v>384</v>
      </c>
      <c r="E1562" s="4" t="s">
        <v>32</v>
      </c>
      <c r="F1562" s="3"/>
      <c r="G1562" s="9"/>
      <c r="H1562" s="9">
        <v>54</v>
      </c>
      <c r="I1562" s="12"/>
      <c r="J1562" s="5" t="e">
        <f>+SUMIFS(#REF!,#REF!,Planning[[#This Row],[Tarifa]],#REF!,Planning[[#This Row],[Proyectos]])</f>
        <v>#REF!</v>
      </c>
      <c r="K1562" s="5" t="e">
        <f>Planning[[#This Row],[Horas Planificadas]]+Planning[[#This Row],[Horas ajustadas adicionales]]-Planning[[#This Row],[Horas utilizadas]]</f>
        <v>#REF!</v>
      </c>
      <c r="L1562" s="7"/>
      <c r="M1562" s="19" t="e">
        <f>Planning[[#This Row],[Saldo]]-Planning[[#This Row],[Saldo estimado]]</f>
        <v>#REF!</v>
      </c>
      <c r="N1562" s="60" t="e">
        <f>+SUMIFS(#REF!,#REF!,Planning[[#This Row],[Proyectos]],#REF!,Planning[[#This Row],[Tipo de Tarea y especialidad]])</f>
        <v>#REF!</v>
      </c>
      <c r="O1562" s="19">
        <f t="shared" si="48"/>
        <v>10</v>
      </c>
      <c r="P1562" s="19">
        <f t="shared" si="49"/>
        <v>2024</v>
      </c>
      <c r="Q1562" s="19" t="e">
        <f>+SUMIFS(#REF!,#REF!,Planning[[#This Row],[Tarifa]],#REF!,Planning[[#This Row],[Proyectos]],#REF!,Planning[[#This Row],[Mes]],#REF!,Planning[[#This Row],[Año]])</f>
        <v>#REF!</v>
      </c>
      <c r="R1562" s="19" t="str">
        <f>TEXT(Planning[[#This Row],[Mes]]*29,"mmmm")</f>
        <v>October</v>
      </c>
      <c r="S15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62" s="228"/>
      <c r="U1562" s="43" t="e">
        <f>IF(Planning[[#This Row],[Horas Planificadas]]&lt;&gt;0,+K1562/Planning[[#This Row],[Horas Planificadas]],0)</f>
        <v>#REF!</v>
      </c>
      <c r="V1562" s="43" t="e">
        <f>IF(Planning[[#This Row],[Horas Planificadas]]&lt;&gt;0,Planning[[#This Row],[Horas utilizadas]]/Planning[[#This Row],[Horas Planificadas]],0)</f>
        <v>#REF!</v>
      </c>
      <c r="W1562" s="44">
        <f>Planning[[#This Row],[Horas Planificadas]]+Planning[[#This Row],[Horas ajustadas adicionales]]</f>
        <v>54</v>
      </c>
      <c r="X1562" s="142"/>
    </row>
    <row r="1563" spans="1:24" ht="12.75" customHeight="1" x14ac:dyDescent="0.2">
      <c r="A1563" s="7" t="s">
        <v>294</v>
      </c>
      <c r="B1563" s="7" t="s">
        <v>169</v>
      </c>
      <c r="C1563" s="3"/>
      <c r="D1563" s="3" t="s">
        <v>385</v>
      </c>
      <c r="E1563" s="4" t="s">
        <v>28</v>
      </c>
      <c r="F1563" s="3"/>
      <c r="G1563" s="9">
        <v>45</v>
      </c>
      <c r="H1563" s="14">
        <f>SUM(H1564:H1565)</f>
        <v>45</v>
      </c>
      <c r="I1563" s="14"/>
      <c r="J1563" s="14" t="e">
        <f>SUM(J1564:J1565)</f>
        <v>#REF!</v>
      </c>
      <c r="K1563" s="15" t="e">
        <f>SUM(K1564:K1565)</f>
        <v>#REF!</v>
      </c>
      <c r="L1563" s="15">
        <f>SUM(L1564:L1565)</f>
        <v>0</v>
      </c>
      <c r="M1563" s="14" t="e">
        <f>SUM(M1564:M1565)</f>
        <v>#REF!</v>
      </c>
      <c r="N1563" s="66" t="e">
        <f>+SUMIFS(#REF!,#REF!,Planning[[#This Row],[Proyectos]],#REF!,Planning[[#This Row],[Tipo de Tarea y especialidad]])</f>
        <v>#REF!</v>
      </c>
      <c r="O1563" s="14">
        <f t="shared" si="48"/>
        <v>10</v>
      </c>
      <c r="P1563" s="14">
        <f t="shared" si="49"/>
        <v>2024</v>
      </c>
      <c r="Q1563" s="28" t="e">
        <f>SUM(Q1564:Q1565)</f>
        <v>#REF!</v>
      </c>
      <c r="R1563" s="28" t="str">
        <f>TEXT(Planning[[#This Row],[Mes]]*29,"mmmm")</f>
        <v>October</v>
      </c>
      <c r="S15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63" s="192" t="s">
        <v>386</v>
      </c>
      <c r="U1563" s="43" t="e">
        <f>IF(Planning[[#This Row],[Horas Planificadas]]&lt;&gt;0,+K1563/Planning[[#This Row],[Horas Planificadas]],0)</f>
        <v>#REF!</v>
      </c>
      <c r="V1563" s="43" t="e">
        <f>IF(Planning[[#This Row],[Horas Planificadas]]&lt;&gt;0,Planning[[#This Row],[Horas utilizadas]]/Planning[[#This Row],[Horas Planificadas]],0)</f>
        <v>#REF!</v>
      </c>
      <c r="W1563" s="44">
        <f>Planning[[#This Row],[Horas Planificadas]]+Planning[[#This Row],[Horas ajustadas adicionales]]</f>
        <v>45</v>
      </c>
      <c r="X1563" s="142"/>
    </row>
    <row r="1564" spans="1:24" x14ac:dyDescent="0.2">
      <c r="A1564" s="7" t="s">
        <v>294</v>
      </c>
      <c r="B1564" s="7" t="s">
        <v>169</v>
      </c>
      <c r="C1564" s="3"/>
      <c r="D1564" s="3" t="s">
        <v>385</v>
      </c>
      <c r="E1564" s="4"/>
      <c r="F1564" s="3" t="s">
        <v>120</v>
      </c>
      <c r="G1564" s="9"/>
      <c r="H1564" s="9"/>
      <c r="I1564" s="12"/>
      <c r="J1564" s="5" t="e">
        <f>SUM(SUMIFS(#REF!,#REF!,Planning[[#This Row],[Tipo de Tarea y especialidad]],#REF!,Planning[[#This Row],[Proyectos Reiwa]]),SUMIFS(#REF!,#REF!,Planning[[#This Row],[Tipo de Tarea y especialidad]],#REF!,Planning[[#This Row],[Proyectos]]))</f>
        <v>#REF!</v>
      </c>
      <c r="K1564" s="5" t="e">
        <f>Planning[[#This Row],[Horas Planificadas]]+Planning[[#This Row],[Horas ajustadas adicionales]]-Planning[[#This Row],[Horas utilizadas]]</f>
        <v>#REF!</v>
      </c>
      <c r="L1564" s="7">
        <v>0</v>
      </c>
      <c r="M1564" s="19" t="e">
        <f>Planning[[#This Row],[Saldo]]-Planning[[#This Row],[Saldo estimado]]</f>
        <v>#REF!</v>
      </c>
      <c r="N1564" s="60" t="e">
        <f>+SUMIFS(#REF!,#REF!,Planning[[#This Row],[Proyectos]],#REF!,Planning[[#This Row],[Tipo de Tarea y especialidad]])</f>
        <v>#REF!</v>
      </c>
      <c r="O1564" s="19">
        <f t="shared" si="48"/>
        <v>10</v>
      </c>
      <c r="P1564" s="19">
        <f t="shared" si="49"/>
        <v>2024</v>
      </c>
      <c r="Q15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64" s="19" t="str">
        <f>TEXT(Planning[[#This Row],[Mes]]*29,"mmmm")</f>
        <v>October</v>
      </c>
      <c r="S15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64" s="193"/>
      <c r="U1564" s="43">
        <f>IF(Planning[[#This Row],[Horas Planificadas]]&lt;&gt;0,+K1564/Planning[[#This Row],[Horas Planificadas]],0)</f>
        <v>0</v>
      </c>
      <c r="V1564" s="43">
        <f>IF(Planning[[#This Row],[Horas Planificadas]]&lt;&gt;0,Planning[[#This Row],[Horas utilizadas]]/Planning[[#This Row],[Horas Planificadas]],0)</f>
        <v>0</v>
      </c>
      <c r="W1564" s="44">
        <f>Planning[[#This Row],[Horas Planificadas]]+Planning[[#This Row],[Horas ajustadas adicionales]]</f>
        <v>0</v>
      </c>
      <c r="X1564" s="142"/>
    </row>
    <row r="1565" spans="1:24" x14ac:dyDescent="0.2">
      <c r="A1565" s="7" t="s">
        <v>294</v>
      </c>
      <c r="B1565" s="7" t="s">
        <v>169</v>
      </c>
      <c r="C1565" s="3"/>
      <c r="D1565" s="3" t="s">
        <v>385</v>
      </c>
      <c r="E1565" s="4"/>
      <c r="F1565" s="3" t="s">
        <v>121</v>
      </c>
      <c r="G1565" s="9"/>
      <c r="H1565" s="9">
        <v>45</v>
      </c>
      <c r="I1565" s="12"/>
      <c r="J1565" s="5" t="e">
        <f>SUM(SUMIFS(#REF!,#REF!,Planning[[#This Row],[Tipo de Tarea y especialidad]],#REF!,Planning[[#This Row],[Proyectos Reiwa]]),SUMIFS(#REF!,#REF!,Planning[[#This Row],[Tipo de Tarea y especialidad]],#REF!,Planning[[#This Row],[Proyectos]]))</f>
        <v>#REF!</v>
      </c>
      <c r="K1565" s="5" t="e">
        <f>Planning[[#This Row],[Horas Planificadas]]+Planning[[#This Row],[Horas ajustadas adicionales]]-Planning[[#This Row],[Horas utilizadas]]</f>
        <v>#REF!</v>
      </c>
      <c r="L1565" s="7">
        <v>0</v>
      </c>
      <c r="M1565" s="19" t="e">
        <f>Planning[[#This Row],[Saldo]]-Planning[[#This Row],[Saldo estimado]]</f>
        <v>#REF!</v>
      </c>
      <c r="N1565" s="60" t="e">
        <f>+SUMIFS(#REF!,#REF!,Planning[[#This Row],[Proyectos]],#REF!,Planning[[#This Row],[Tipo de Tarea y especialidad]])</f>
        <v>#REF!</v>
      </c>
      <c r="O1565" s="19">
        <f t="shared" si="48"/>
        <v>10</v>
      </c>
      <c r="P1565" s="19">
        <f t="shared" si="49"/>
        <v>2024</v>
      </c>
      <c r="Q15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65" s="19" t="str">
        <f>TEXT(Planning[[#This Row],[Mes]]*29,"mmmm")</f>
        <v>October</v>
      </c>
      <c r="S15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65" s="193"/>
      <c r="U1565" s="43" t="e">
        <f>IF(Planning[[#This Row],[Horas Planificadas]]&lt;&gt;0,+K1565/Planning[[#This Row],[Horas Planificadas]],0)</f>
        <v>#REF!</v>
      </c>
      <c r="V1565" s="43" t="e">
        <f>IF(Planning[[#This Row],[Horas Planificadas]]&lt;&gt;0,Planning[[#This Row],[Horas utilizadas]]/Planning[[#This Row],[Horas Planificadas]],0)</f>
        <v>#REF!</v>
      </c>
      <c r="W1565" s="44">
        <f>Planning[[#This Row],[Horas Planificadas]]+Planning[[#This Row],[Horas ajustadas adicionales]]</f>
        <v>45</v>
      </c>
      <c r="X1565" s="142"/>
    </row>
    <row r="1566" spans="1:24" x14ac:dyDescent="0.2">
      <c r="A1566" s="7" t="s">
        <v>294</v>
      </c>
      <c r="B1566" s="7" t="s">
        <v>169</v>
      </c>
      <c r="C1566" s="3"/>
      <c r="D1566" s="3" t="s">
        <v>385</v>
      </c>
      <c r="E1566" s="4" t="s">
        <v>30</v>
      </c>
      <c r="F1566" s="3"/>
      <c r="G1566" s="9">
        <v>162</v>
      </c>
      <c r="H1566" s="14">
        <f>SUM(H1567:H1573)</f>
        <v>162</v>
      </c>
      <c r="I1566" s="14"/>
      <c r="J1566" s="14" t="e">
        <f>SUM(J1567:J1573)</f>
        <v>#REF!</v>
      </c>
      <c r="K1566" s="15" t="e">
        <f>SUM(K1567:K1573)</f>
        <v>#REF!</v>
      </c>
      <c r="L1566" s="15">
        <f>SUM(L1567:L1573)</f>
        <v>0</v>
      </c>
      <c r="M1566" s="16" t="e">
        <f>SUM(M1567:M1573)</f>
        <v>#REF!</v>
      </c>
      <c r="N1566" s="60" t="e">
        <f>+SUMIFS(#REF!,#REF!,Planning[[#This Row],[Proyectos]],#REF!,Planning[[#This Row],[Tipo de Tarea y especialidad]])</f>
        <v>#REF!</v>
      </c>
      <c r="O1566" s="16">
        <f t="shared" si="48"/>
        <v>10</v>
      </c>
      <c r="P1566" s="16">
        <f t="shared" si="49"/>
        <v>2024</v>
      </c>
      <c r="Q1566" s="16" t="e">
        <f>SUM(Q1567:Q1573)</f>
        <v>#REF!</v>
      </c>
      <c r="R1566" s="16" t="str">
        <f>TEXT(Planning[[#This Row],[Mes]]*29,"mmmm")</f>
        <v>October</v>
      </c>
      <c r="S15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66" s="193"/>
      <c r="U1566" s="43" t="e">
        <f>IF(Planning[[#This Row],[Horas Planificadas]]&lt;&gt;0,+K1566/Planning[[#This Row],[Horas Planificadas]],0)</f>
        <v>#REF!</v>
      </c>
      <c r="V1566" s="43" t="e">
        <f>IF(Planning[[#This Row],[Horas Planificadas]]&lt;&gt;0,Planning[[#This Row],[Horas utilizadas]]/Planning[[#This Row],[Horas Planificadas]],0)</f>
        <v>#REF!</v>
      </c>
      <c r="W1566" s="44">
        <f>Planning[[#This Row],[Horas Planificadas]]+Planning[[#This Row],[Horas ajustadas adicionales]]</f>
        <v>162</v>
      </c>
      <c r="X1566" s="142"/>
    </row>
    <row r="1567" spans="1:24" x14ac:dyDescent="0.2">
      <c r="A1567" s="7" t="s">
        <v>294</v>
      </c>
      <c r="B1567" s="7" t="s">
        <v>169</v>
      </c>
      <c r="C1567" s="3"/>
      <c r="D1567" s="3" t="s">
        <v>385</v>
      </c>
      <c r="E1567" s="4"/>
      <c r="F1567" s="3" t="s">
        <v>122</v>
      </c>
      <c r="G1567" s="9"/>
      <c r="H1567" s="9">
        <v>102</v>
      </c>
      <c r="I1567" s="12"/>
      <c r="J1567" s="5" t="e">
        <f>SUM(SUMIFS(#REF!,#REF!,Planning[[#This Row],[Tipo de Tarea y especialidad]],#REF!,Planning[[#This Row],[Proyectos Reiwa]]),SUMIFS(#REF!,#REF!,Planning[[#This Row],[Tipo de Tarea y especialidad]],#REF!,Planning[[#This Row],[Proyectos]]))</f>
        <v>#REF!</v>
      </c>
      <c r="K1567" s="5" t="e">
        <f>Planning[[#This Row],[Horas Planificadas]]+Planning[[#This Row],[Horas ajustadas adicionales]]-Planning[[#This Row],[Horas utilizadas]]</f>
        <v>#REF!</v>
      </c>
      <c r="L1567" s="7">
        <v>0</v>
      </c>
      <c r="M1567" s="19" t="e">
        <f>Planning[[#This Row],[Saldo]]-Planning[[#This Row],[Saldo estimado]]</f>
        <v>#REF!</v>
      </c>
      <c r="N1567" s="60" t="e">
        <f>+SUMIFS(#REF!,#REF!,Planning[[#This Row],[Proyectos]],#REF!,Planning[[#This Row],[Tipo de Tarea y especialidad]])</f>
        <v>#REF!</v>
      </c>
      <c r="O1567" s="19">
        <f t="shared" si="48"/>
        <v>10</v>
      </c>
      <c r="P1567" s="19">
        <f t="shared" si="49"/>
        <v>2024</v>
      </c>
      <c r="Q15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67" s="19" t="str">
        <f>TEXT(Planning[[#This Row],[Mes]]*29,"mmmm")</f>
        <v>October</v>
      </c>
      <c r="S15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67" s="193"/>
      <c r="U1567" s="43" t="e">
        <f>IF(Planning[[#This Row],[Horas Planificadas]]&lt;&gt;0,+K1567/Planning[[#This Row],[Horas Planificadas]],0)</f>
        <v>#REF!</v>
      </c>
      <c r="V1567" s="43" t="e">
        <f>IF(Planning[[#This Row],[Horas Planificadas]]&lt;&gt;0,Planning[[#This Row],[Horas utilizadas]]/Planning[[#This Row],[Horas Planificadas]],0)</f>
        <v>#REF!</v>
      </c>
      <c r="W1567" s="44">
        <f>Planning[[#This Row],[Horas Planificadas]]+Planning[[#This Row],[Horas ajustadas adicionales]]</f>
        <v>102</v>
      </c>
      <c r="X1567" s="142"/>
    </row>
    <row r="1568" spans="1:24" x14ac:dyDescent="0.2">
      <c r="A1568" s="7" t="s">
        <v>294</v>
      </c>
      <c r="B1568" s="7" t="s">
        <v>169</v>
      </c>
      <c r="C1568" s="3"/>
      <c r="D1568" s="3" t="s">
        <v>385</v>
      </c>
      <c r="E1568" s="4"/>
      <c r="F1568" s="3" t="s">
        <v>123</v>
      </c>
      <c r="G1568" s="9"/>
      <c r="H1568" s="9"/>
      <c r="I1568" s="12"/>
      <c r="J1568" s="5" t="e">
        <f>SUM(SUMIFS(#REF!,#REF!,Planning[[#This Row],[Tipo de Tarea y especialidad]],#REF!,Planning[[#This Row],[Proyectos Reiwa]]),SUMIFS(#REF!,#REF!,Planning[[#This Row],[Tipo de Tarea y especialidad]],#REF!,Planning[[#This Row],[Proyectos]]))</f>
        <v>#REF!</v>
      </c>
      <c r="K1568" s="5" t="e">
        <f>Planning[[#This Row],[Horas Planificadas]]+Planning[[#This Row],[Horas ajustadas adicionales]]-Planning[[#This Row],[Horas utilizadas]]</f>
        <v>#REF!</v>
      </c>
      <c r="L1568" s="7">
        <v>0</v>
      </c>
      <c r="M1568" s="19" t="e">
        <f>Planning[[#This Row],[Saldo]]-Planning[[#This Row],[Saldo estimado]]</f>
        <v>#REF!</v>
      </c>
      <c r="N1568" s="60" t="e">
        <f>+SUMIFS(#REF!,#REF!,Planning[[#This Row],[Proyectos]],#REF!,Planning[[#This Row],[Tipo de Tarea y especialidad]])</f>
        <v>#REF!</v>
      </c>
      <c r="O1568" s="19">
        <f t="shared" si="48"/>
        <v>10</v>
      </c>
      <c r="P1568" s="19">
        <f t="shared" si="49"/>
        <v>2024</v>
      </c>
      <c r="Q15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68" s="19" t="str">
        <f>TEXT(Planning[[#This Row],[Mes]]*29,"mmmm")</f>
        <v>October</v>
      </c>
      <c r="S15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68" s="193"/>
      <c r="U1568" s="43">
        <f>IF(Planning[[#This Row],[Horas Planificadas]]&lt;&gt;0,+K1568/Planning[[#This Row],[Horas Planificadas]],0)</f>
        <v>0</v>
      </c>
      <c r="V1568" s="43">
        <f>IF(Planning[[#This Row],[Horas Planificadas]]&lt;&gt;0,Planning[[#This Row],[Horas utilizadas]]/Planning[[#This Row],[Horas Planificadas]],0)</f>
        <v>0</v>
      </c>
      <c r="W1568" s="44">
        <f>Planning[[#This Row],[Horas Planificadas]]+Planning[[#This Row],[Horas ajustadas adicionales]]</f>
        <v>0</v>
      </c>
      <c r="X1568" s="142"/>
    </row>
    <row r="1569" spans="1:24" x14ac:dyDescent="0.2">
      <c r="A1569" s="7" t="s">
        <v>294</v>
      </c>
      <c r="B1569" s="7" t="s">
        <v>169</v>
      </c>
      <c r="C1569" s="3"/>
      <c r="D1569" s="3" t="s">
        <v>385</v>
      </c>
      <c r="E1569" s="4"/>
      <c r="F1569" s="3" t="s">
        <v>124</v>
      </c>
      <c r="G1569" s="9"/>
      <c r="H1569" s="9"/>
      <c r="I1569" s="12"/>
      <c r="J1569" s="5" t="e">
        <f>SUM(SUMIFS(#REF!,#REF!,Planning[[#This Row],[Tipo de Tarea y especialidad]],#REF!,Planning[[#This Row],[Proyectos Reiwa]]),SUMIFS(#REF!,#REF!,Planning[[#This Row],[Tipo de Tarea y especialidad]],#REF!,Planning[[#This Row],[Proyectos]]))</f>
        <v>#REF!</v>
      </c>
      <c r="K1569" s="5" t="e">
        <f>Planning[[#This Row],[Horas Planificadas]]+Planning[[#This Row],[Horas ajustadas adicionales]]-Planning[[#This Row],[Horas utilizadas]]</f>
        <v>#REF!</v>
      </c>
      <c r="L1569" s="7">
        <v>0</v>
      </c>
      <c r="M1569" s="19" t="e">
        <f>Planning[[#This Row],[Saldo]]-Planning[[#This Row],[Saldo estimado]]</f>
        <v>#REF!</v>
      </c>
      <c r="N1569" s="60" t="e">
        <f>+SUMIFS(#REF!,#REF!,Planning[[#This Row],[Proyectos]],#REF!,Planning[[#This Row],[Tipo de Tarea y especialidad]])</f>
        <v>#REF!</v>
      </c>
      <c r="O1569" s="19">
        <f t="shared" si="48"/>
        <v>10</v>
      </c>
      <c r="P1569" s="19">
        <f t="shared" si="49"/>
        <v>2024</v>
      </c>
      <c r="Q15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69" s="19" t="str">
        <f>TEXT(Planning[[#This Row],[Mes]]*29,"mmmm")</f>
        <v>October</v>
      </c>
      <c r="S15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69" s="193"/>
      <c r="U1569" s="43">
        <f>IF(Planning[[#This Row],[Horas Planificadas]]&lt;&gt;0,+K1569/Planning[[#This Row],[Horas Planificadas]],0)</f>
        <v>0</v>
      </c>
      <c r="V1569" s="43">
        <f>IF(Planning[[#This Row],[Horas Planificadas]]&lt;&gt;0,Planning[[#This Row],[Horas utilizadas]]/Planning[[#This Row],[Horas Planificadas]],0)</f>
        <v>0</v>
      </c>
      <c r="W1569" s="44">
        <f>Planning[[#This Row],[Horas Planificadas]]+Planning[[#This Row],[Horas ajustadas adicionales]]</f>
        <v>0</v>
      </c>
      <c r="X1569" s="142"/>
    </row>
    <row r="1570" spans="1:24" x14ac:dyDescent="0.2">
      <c r="A1570" s="7" t="s">
        <v>294</v>
      </c>
      <c r="B1570" s="7" t="s">
        <v>169</v>
      </c>
      <c r="C1570" s="3"/>
      <c r="D1570" s="3" t="s">
        <v>385</v>
      </c>
      <c r="E1570" s="4"/>
      <c r="F1570" s="3" t="s">
        <v>125</v>
      </c>
      <c r="G1570" s="9"/>
      <c r="H1570" s="9">
        <v>60</v>
      </c>
      <c r="I1570" s="12"/>
      <c r="J1570" s="5" t="e">
        <f>SUM(SUMIFS(#REF!,#REF!,Planning[[#This Row],[Tipo de Tarea y especialidad]],#REF!,Planning[[#This Row],[Proyectos Reiwa]]),SUMIFS(#REF!,#REF!,Planning[[#This Row],[Tipo de Tarea y especialidad]],#REF!,Planning[[#This Row],[Proyectos]]))</f>
        <v>#REF!</v>
      </c>
      <c r="K1570" s="5" t="e">
        <f>Planning[[#This Row],[Horas Planificadas]]+Planning[[#This Row],[Horas ajustadas adicionales]]-Planning[[#This Row],[Horas utilizadas]]</f>
        <v>#REF!</v>
      </c>
      <c r="L1570" s="7">
        <v>0</v>
      </c>
      <c r="M1570" s="19" t="e">
        <f>Planning[[#This Row],[Saldo]]-Planning[[#This Row],[Saldo estimado]]</f>
        <v>#REF!</v>
      </c>
      <c r="N1570" s="60" t="e">
        <f>+SUMIFS(#REF!,#REF!,Planning[[#This Row],[Proyectos]],#REF!,Planning[[#This Row],[Tipo de Tarea y especialidad]])</f>
        <v>#REF!</v>
      </c>
      <c r="O1570" s="19">
        <f t="shared" si="48"/>
        <v>10</v>
      </c>
      <c r="P1570" s="19">
        <f t="shared" si="49"/>
        <v>2024</v>
      </c>
      <c r="Q15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70" s="19" t="str">
        <f>TEXT(Planning[[#This Row],[Mes]]*29,"mmmm")</f>
        <v>October</v>
      </c>
      <c r="S15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70" s="193"/>
      <c r="U1570" s="43" t="e">
        <f>IF(Planning[[#This Row],[Horas Planificadas]]&lt;&gt;0,+K1570/Planning[[#This Row],[Horas Planificadas]],0)</f>
        <v>#REF!</v>
      </c>
      <c r="V1570" s="43" t="e">
        <f>IF(Planning[[#This Row],[Horas Planificadas]]&lt;&gt;0,Planning[[#This Row],[Horas utilizadas]]/Planning[[#This Row],[Horas Planificadas]],0)</f>
        <v>#REF!</v>
      </c>
      <c r="W1570" s="44">
        <f>Planning[[#This Row],[Horas Planificadas]]+Planning[[#This Row],[Horas ajustadas adicionales]]</f>
        <v>60</v>
      </c>
      <c r="X1570" s="142"/>
    </row>
    <row r="1571" spans="1:24" x14ac:dyDescent="0.2">
      <c r="A1571" s="7" t="s">
        <v>294</v>
      </c>
      <c r="B1571" s="7" t="s">
        <v>169</v>
      </c>
      <c r="C1571" s="3"/>
      <c r="D1571" s="3" t="s">
        <v>385</v>
      </c>
      <c r="E1571" s="4"/>
      <c r="F1571" s="3" t="s">
        <v>126</v>
      </c>
      <c r="G1571" s="9"/>
      <c r="H1571" s="9"/>
      <c r="I1571" s="12"/>
      <c r="J1571" s="5" t="e">
        <f>SUM(SUMIFS(#REF!,#REF!,Planning[[#This Row],[Tipo de Tarea y especialidad]],#REF!,Planning[[#This Row],[Proyectos Reiwa]]),SUMIFS(#REF!,#REF!,Planning[[#This Row],[Tipo de Tarea y especialidad]],#REF!,Planning[[#This Row],[Proyectos]]))</f>
        <v>#REF!</v>
      </c>
      <c r="K1571" s="5" t="e">
        <f>Planning[[#This Row],[Horas Planificadas]]+Planning[[#This Row],[Horas ajustadas adicionales]]-Planning[[#This Row],[Horas utilizadas]]</f>
        <v>#REF!</v>
      </c>
      <c r="L1571" s="7">
        <v>0</v>
      </c>
      <c r="M1571" s="19" t="e">
        <f>Planning[[#This Row],[Saldo]]-Planning[[#This Row],[Saldo estimado]]</f>
        <v>#REF!</v>
      </c>
      <c r="N1571" s="60" t="e">
        <f>+SUMIFS(#REF!,#REF!,Planning[[#This Row],[Proyectos]],#REF!,Planning[[#This Row],[Tipo de Tarea y especialidad]])</f>
        <v>#REF!</v>
      </c>
      <c r="O1571" s="19">
        <f t="shared" si="48"/>
        <v>10</v>
      </c>
      <c r="P1571" s="19">
        <f t="shared" si="49"/>
        <v>2024</v>
      </c>
      <c r="Q15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71" s="19" t="str">
        <f>TEXT(Planning[[#This Row],[Mes]]*29,"mmmm")</f>
        <v>October</v>
      </c>
      <c r="S15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71" s="193"/>
      <c r="U1571" s="43">
        <f>IF(Planning[[#This Row],[Horas Planificadas]]&lt;&gt;0,+K1571/Planning[[#This Row],[Horas Planificadas]],0)</f>
        <v>0</v>
      </c>
      <c r="V1571" s="43">
        <f>IF(Planning[[#This Row],[Horas Planificadas]]&lt;&gt;0,Planning[[#This Row],[Horas utilizadas]]/Planning[[#This Row],[Horas Planificadas]],0)</f>
        <v>0</v>
      </c>
      <c r="W1571" s="44">
        <f>Planning[[#This Row],[Horas Planificadas]]+Planning[[#This Row],[Horas ajustadas adicionales]]</f>
        <v>0</v>
      </c>
      <c r="X1571" s="142"/>
    </row>
    <row r="1572" spans="1:24" x14ac:dyDescent="0.2">
      <c r="A1572" s="7" t="s">
        <v>294</v>
      </c>
      <c r="B1572" s="7" t="s">
        <v>169</v>
      </c>
      <c r="C1572" s="3"/>
      <c r="D1572" s="3" t="s">
        <v>385</v>
      </c>
      <c r="E1572" s="4"/>
      <c r="F1572" s="3" t="s">
        <v>127</v>
      </c>
      <c r="G1572" s="9"/>
      <c r="H1572" s="9"/>
      <c r="I1572" s="12"/>
      <c r="J1572" s="5" t="e">
        <f>SUM(SUMIFS(#REF!,#REF!,Planning[[#This Row],[Tipo de Tarea y especialidad]],#REF!,Planning[[#This Row],[Proyectos Reiwa]]),SUMIFS(#REF!,#REF!,Planning[[#This Row],[Tipo de Tarea y especialidad]],#REF!,Planning[[#This Row],[Proyectos]]))</f>
        <v>#REF!</v>
      </c>
      <c r="K1572" s="5" t="e">
        <f>Planning[[#This Row],[Horas Planificadas]]+Planning[[#This Row],[Horas ajustadas adicionales]]-Planning[[#This Row],[Horas utilizadas]]</f>
        <v>#REF!</v>
      </c>
      <c r="L1572" s="7">
        <v>0</v>
      </c>
      <c r="M1572" s="19" t="e">
        <f>Planning[[#This Row],[Saldo]]-Planning[[#This Row],[Saldo estimado]]</f>
        <v>#REF!</v>
      </c>
      <c r="N1572" s="60" t="e">
        <f>+SUMIFS(#REF!,#REF!,Planning[[#This Row],[Proyectos]],#REF!,Planning[[#This Row],[Tipo de Tarea y especialidad]])</f>
        <v>#REF!</v>
      </c>
      <c r="O1572" s="19">
        <f t="shared" si="48"/>
        <v>10</v>
      </c>
      <c r="P1572" s="19">
        <f t="shared" si="49"/>
        <v>2024</v>
      </c>
      <c r="Q15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72" s="19" t="str">
        <f>TEXT(Planning[[#This Row],[Mes]]*29,"mmmm")</f>
        <v>October</v>
      </c>
      <c r="S15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72" s="193"/>
      <c r="U1572" s="43">
        <f>IF(Planning[[#This Row],[Horas Planificadas]]&lt;&gt;0,+K1572/Planning[[#This Row],[Horas Planificadas]],0)</f>
        <v>0</v>
      </c>
      <c r="V1572" s="43">
        <f>IF(Planning[[#This Row],[Horas Planificadas]]&lt;&gt;0,Planning[[#This Row],[Horas utilizadas]]/Planning[[#This Row],[Horas Planificadas]],0)</f>
        <v>0</v>
      </c>
      <c r="W1572" s="44">
        <f>Planning[[#This Row],[Horas Planificadas]]+Planning[[#This Row],[Horas ajustadas adicionales]]</f>
        <v>0</v>
      </c>
      <c r="X1572" s="142"/>
    </row>
    <row r="1573" spans="1:24" x14ac:dyDescent="0.2">
      <c r="A1573" s="7" t="s">
        <v>294</v>
      </c>
      <c r="B1573" s="7" t="s">
        <v>169</v>
      </c>
      <c r="C1573" s="3"/>
      <c r="D1573" s="3" t="s">
        <v>385</v>
      </c>
      <c r="E1573" s="4"/>
      <c r="F1573" s="3" t="s">
        <v>128</v>
      </c>
      <c r="G1573" s="9"/>
      <c r="H1573" s="9"/>
      <c r="I1573" s="12"/>
      <c r="J1573" s="5" t="e">
        <f>SUM(SUMIFS(#REF!,#REF!,Planning[[#This Row],[Tipo de Tarea y especialidad]],#REF!,Planning[[#This Row],[Proyectos Reiwa]]),SUMIFS(#REF!,#REF!,Planning[[#This Row],[Tipo de Tarea y especialidad]],#REF!,Planning[[#This Row],[Proyectos]]))</f>
        <v>#REF!</v>
      </c>
      <c r="K1573" s="5" t="e">
        <f>Planning[[#This Row],[Horas Planificadas]]+Planning[[#This Row],[Horas ajustadas adicionales]]-Planning[[#This Row],[Horas utilizadas]]</f>
        <v>#REF!</v>
      </c>
      <c r="L1573" s="7">
        <v>0</v>
      </c>
      <c r="M1573" s="19" t="e">
        <f>Planning[[#This Row],[Saldo]]-Planning[[#This Row],[Saldo estimado]]</f>
        <v>#REF!</v>
      </c>
      <c r="N1573" s="60" t="e">
        <f>+SUMIFS(#REF!,#REF!,Planning[[#This Row],[Proyectos]],#REF!,Planning[[#This Row],[Tipo de Tarea y especialidad]])</f>
        <v>#REF!</v>
      </c>
      <c r="O1573" s="19">
        <f t="shared" si="48"/>
        <v>10</v>
      </c>
      <c r="P1573" s="19">
        <f t="shared" si="49"/>
        <v>2024</v>
      </c>
      <c r="Q15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73" s="19" t="str">
        <f>TEXT(Planning[[#This Row],[Mes]]*29,"mmmm")</f>
        <v>October</v>
      </c>
      <c r="S15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73" s="193"/>
      <c r="U1573" s="43">
        <f>IF(Planning[[#This Row],[Horas Planificadas]]&lt;&gt;0,+K1573/Planning[[#This Row],[Horas Planificadas]],0)</f>
        <v>0</v>
      </c>
      <c r="V1573" s="43">
        <f>IF(Planning[[#This Row],[Horas Planificadas]]&lt;&gt;0,Planning[[#This Row],[Horas utilizadas]]/Planning[[#This Row],[Horas Planificadas]],0)</f>
        <v>0</v>
      </c>
      <c r="W1573" s="44">
        <f>Planning[[#This Row],[Horas Planificadas]]+Planning[[#This Row],[Horas ajustadas adicionales]]</f>
        <v>0</v>
      </c>
      <c r="X1573" s="142"/>
    </row>
    <row r="1574" spans="1:24" x14ac:dyDescent="0.2">
      <c r="A1574" s="7" t="s">
        <v>294</v>
      </c>
      <c r="B1574" s="7" t="s">
        <v>169</v>
      </c>
      <c r="C1574" s="3"/>
      <c r="D1574" s="3" t="s">
        <v>385</v>
      </c>
      <c r="E1574" s="4" t="s">
        <v>31</v>
      </c>
      <c r="F1574" s="3" t="s">
        <v>31</v>
      </c>
      <c r="G1574" s="9">
        <v>67</v>
      </c>
      <c r="H1574" s="17">
        <v>67</v>
      </c>
      <c r="I1574" s="18"/>
      <c r="J1574" s="14" t="e">
        <f>+SUMIFS(#REF!,#REF!,Planning[[#This Row],[Tarifa]],#REF!,Planning[[#This Row],[Proyectos]])</f>
        <v>#REF!</v>
      </c>
      <c r="K1574" s="14" t="e">
        <f>Planning[[#This Row],[Horas Planificadas]]+Planning[[#This Row],[Horas ajustadas adicionales]]-Planning[[#This Row],[Horas utilizadas]]</f>
        <v>#REF!</v>
      </c>
      <c r="L1574" s="15">
        <v>0</v>
      </c>
      <c r="M1574" s="16" t="e">
        <f>Planning[[#This Row],[Saldo]]-Planning[[#This Row],[Saldo estimado]]</f>
        <v>#REF!</v>
      </c>
      <c r="N1574" s="60" t="e">
        <f>+SUMIFS(#REF!,#REF!,Planning[[#This Row],[Proyectos]],#REF!,Planning[[#This Row],[Tipo de Tarea y especialidad]])</f>
        <v>#REF!</v>
      </c>
      <c r="O1574" s="16">
        <f t="shared" si="48"/>
        <v>10</v>
      </c>
      <c r="P1574" s="16">
        <f t="shared" si="49"/>
        <v>2024</v>
      </c>
      <c r="Q1574" s="16" t="e">
        <f>+SUMIFS(#REF!,#REF!,Planning[[#This Row],[Tarifa]],#REF!,Planning[[#This Row],[Proyectos]],#REF!,Planning[[#This Row],[Mes]],#REF!,Planning[[#This Row],[Año]])</f>
        <v>#REF!</v>
      </c>
      <c r="R1574" s="16" t="str">
        <f>TEXT(Planning[[#This Row],[Mes]]*29,"mmmm")</f>
        <v>October</v>
      </c>
      <c r="S15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74" s="193"/>
      <c r="U1574" s="43" t="e">
        <f>IF(Planning[[#This Row],[Horas Planificadas]]&lt;&gt;0,+K1574/Planning[[#This Row],[Horas Planificadas]],0)</f>
        <v>#REF!</v>
      </c>
      <c r="V1574" s="43" t="e">
        <f>IF(Planning[[#This Row],[Horas Planificadas]]&lt;&gt;0,Planning[[#This Row],[Horas utilizadas]]/Planning[[#This Row],[Horas Planificadas]],0)</f>
        <v>#REF!</v>
      </c>
      <c r="W1574" s="44">
        <f>Planning[[#This Row],[Horas Planificadas]]+Planning[[#This Row],[Horas ajustadas adicionales]]</f>
        <v>67</v>
      </c>
      <c r="X1574" s="142"/>
    </row>
    <row r="1575" spans="1:24" ht="22.5" x14ac:dyDescent="0.2">
      <c r="A1575" s="7" t="s">
        <v>294</v>
      </c>
      <c r="B1575" s="7" t="s">
        <v>169</v>
      </c>
      <c r="C1575" s="3"/>
      <c r="D1575" s="3" t="s">
        <v>385</v>
      </c>
      <c r="E1575" s="4" t="s">
        <v>32</v>
      </c>
      <c r="F1575" s="3"/>
      <c r="G1575" s="9">
        <v>108</v>
      </c>
      <c r="H1575" s="14">
        <f>SUM(H1576:H1578)</f>
        <v>108</v>
      </c>
      <c r="I1575" s="14"/>
      <c r="J1575" s="14" t="e">
        <f>SUM(J1576:J1578)</f>
        <v>#REF!</v>
      </c>
      <c r="K1575" s="15" t="e">
        <f>SUM(K1576:K1578)</f>
        <v>#REF!</v>
      </c>
      <c r="L1575" s="15">
        <f>SUM(L1576:L1578)</f>
        <v>0</v>
      </c>
      <c r="M1575" s="16" t="e">
        <f>SUM(M1576:M1578)</f>
        <v>#REF!</v>
      </c>
      <c r="N1575" s="60" t="e">
        <f>+SUMIFS(#REF!,#REF!,Planning[[#This Row],[Proyectos]],#REF!,Planning[[#This Row],[Tipo de Tarea y especialidad]])</f>
        <v>#REF!</v>
      </c>
      <c r="O1575" s="16">
        <f t="shared" si="48"/>
        <v>10</v>
      </c>
      <c r="P1575" s="16">
        <f t="shared" si="49"/>
        <v>2024</v>
      </c>
      <c r="Q1575" s="16" t="e">
        <f>SUM(Q1576:Q1578)</f>
        <v>#REF!</v>
      </c>
      <c r="R1575" s="16" t="str">
        <f>TEXT(Planning[[#This Row],[Mes]]*29,"mmmm")</f>
        <v>October</v>
      </c>
      <c r="S15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75" s="193"/>
      <c r="U1575" s="43" t="e">
        <f>IF(Planning[[#This Row],[Horas Planificadas]]&lt;&gt;0,+K1575/Planning[[#This Row],[Horas Planificadas]],0)</f>
        <v>#REF!</v>
      </c>
      <c r="V1575" s="43" t="e">
        <f>IF(Planning[[#This Row],[Horas Planificadas]]&lt;&gt;0,Planning[[#This Row],[Horas utilizadas]]/Planning[[#This Row],[Horas Planificadas]],0)</f>
        <v>#REF!</v>
      </c>
      <c r="W1575" s="44">
        <f>Planning[[#This Row],[Horas Planificadas]]+Planning[[#This Row],[Horas ajustadas adicionales]]</f>
        <v>108</v>
      </c>
      <c r="X1575" s="142"/>
    </row>
    <row r="1576" spans="1:24" x14ac:dyDescent="0.2">
      <c r="A1576" s="7" t="s">
        <v>294</v>
      </c>
      <c r="B1576" s="7" t="s">
        <v>169</v>
      </c>
      <c r="C1576" s="3"/>
      <c r="D1576" s="3" t="s">
        <v>385</v>
      </c>
      <c r="E1576" s="4"/>
      <c r="F1576" s="3" t="s">
        <v>129</v>
      </c>
      <c r="G1576" s="9"/>
      <c r="H1576" s="9">
        <v>108</v>
      </c>
      <c r="I1576" s="12"/>
      <c r="J1576" s="5" t="e">
        <f>SUM(SUMIFS(#REF!,#REF!,Planning[[#This Row],[Tipo de Tarea y especialidad]],#REF!,Planning[[#This Row],[Proyectos Reiwa]]),SUMIFS(#REF!,#REF!,Planning[[#This Row],[Tipo de Tarea y especialidad]],#REF!,Planning[[#This Row],[Proyectos]]))</f>
        <v>#REF!</v>
      </c>
      <c r="K1576" s="5" t="e">
        <f>Planning[[#This Row],[Horas Planificadas]]+Planning[[#This Row],[Horas ajustadas adicionales]]-Planning[[#This Row],[Horas utilizadas]]</f>
        <v>#REF!</v>
      </c>
      <c r="L1576" s="7">
        <v>0</v>
      </c>
      <c r="M1576" s="19" t="e">
        <f>Planning[[#This Row],[Saldo]]-Planning[[#This Row],[Saldo estimado]]</f>
        <v>#REF!</v>
      </c>
      <c r="N1576" s="60" t="e">
        <f>+SUMIFS(#REF!,#REF!,Planning[[#This Row],[Proyectos]],#REF!,Planning[[#This Row],[Tipo de Tarea y especialidad]])</f>
        <v>#REF!</v>
      </c>
      <c r="O1576" s="19">
        <f t="shared" si="48"/>
        <v>10</v>
      </c>
      <c r="P1576" s="19">
        <f t="shared" si="49"/>
        <v>2024</v>
      </c>
      <c r="Q15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76" s="19" t="str">
        <f>TEXT(Planning[[#This Row],[Mes]]*29,"mmmm")</f>
        <v>October</v>
      </c>
      <c r="S15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76" s="193"/>
      <c r="U1576" s="43" t="e">
        <f>IF(Planning[[#This Row],[Horas Planificadas]]&lt;&gt;0,+K1576/Planning[[#This Row],[Horas Planificadas]],0)</f>
        <v>#REF!</v>
      </c>
      <c r="V1576" s="43" t="e">
        <f>IF(Planning[[#This Row],[Horas Planificadas]]&lt;&gt;0,Planning[[#This Row],[Horas utilizadas]]/Planning[[#This Row],[Horas Planificadas]],0)</f>
        <v>#REF!</v>
      </c>
      <c r="W1576" s="44">
        <f>Planning[[#This Row],[Horas Planificadas]]+Planning[[#This Row],[Horas ajustadas adicionales]]</f>
        <v>108</v>
      </c>
      <c r="X1576" s="142"/>
    </row>
    <row r="1577" spans="1:24" x14ac:dyDescent="0.2">
      <c r="A1577" s="7" t="s">
        <v>294</v>
      </c>
      <c r="B1577" s="7" t="s">
        <v>169</v>
      </c>
      <c r="C1577" s="3"/>
      <c r="D1577" s="3" t="s">
        <v>385</v>
      </c>
      <c r="E1577" s="4"/>
      <c r="F1577" s="3" t="s">
        <v>130</v>
      </c>
      <c r="G1577" s="9"/>
      <c r="H1577" s="9"/>
      <c r="I1577" s="12"/>
      <c r="J1577" s="5" t="e">
        <f>SUM(SUMIFS(#REF!,#REF!,Planning[[#This Row],[Tipo de Tarea y especialidad]],#REF!,Planning[[#This Row],[Proyectos Reiwa]]),SUMIFS(#REF!,#REF!,Planning[[#This Row],[Tipo de Tarea y especialidad]],#REF!,Planning[[#This Row],[Proyectos]]))</f>
        <v>#REF!</v>
      </c>
      <c r="K1577" s="5" t="e">
        <f>Planning[[#This Row],[Horas Planificadas]]+Planning[[#This Row],[Horas ajustadas adicionales]]-Planning[[#This Row],[Horas utilizadas]]</f>
        <v>#REF!</v>
      </c>
      <c r="L1577" s="7">
        <v>0</v>
      </c>
      <c r="M1577" s="19" t="e">
        <f>Planning[[#This Row],[Saldo]]-Planning[[#This Row],[Saldo estimado]]</f>
        <v>#REF!</v>
      </c>
      <c r="N1577" s="60" t="e">
        <f>+SUMIFS(#REF!,#REF!,Planning[[#This Row],[Proyectos]],#REF!,Planning[[#This Row],[Tipo de Tarea y especialidad]])</f>
        <v>#REF!</v>
      </c>
      <c r="O1577" s="19">
        <f t="shared" si="48"/>
        <v>10</v>
      </c>
      <c r="P1577" s="19">
        <f t="shared" si="49"/>
        <v>2024</v>
      </c>
      <c r="Q15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77" s="19" t="str">
        <f>TEXT(Planning[[#This Row],[Mes]]*29,"mmmm")</f>
        <v>October</v>
      </c>
      <c r="S15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77" s="193"/>
      <c r="U1577" s="43">
        <f>IF(Planning[[#This Row],[Horas Planificadas]]&lt;&gt;0,+K1577/Planning[[#This Row],[Horas Planificadas]],0)</f>
        <v>0</v>
      </c>
      <c r="V1577" s="43">
        <f>IF(Planning[[#This Row],[Horas Planificadas]]&lt;&gt;0,Planning[[#This Row],[Horas utilizadas]]/Planning[[#This Row],[Horas Planificadas]],0)</f>
        <v>0</v>
      </c>
      <c r="W1577" s="44">
        <f>Planning[[#This Row],[Horas Planificadas]]+Planning[[#This Row],[Horas ajustadas adicionales]]</f>
        <v>0</v>
      </c>
      <c r="X1577" s="142"/>
    </row>
    <row r="1578" spans="1:24" x14ac:dyDescent="0.2">
      <c r="A1578" s="7" t="s">
        <v>294</v>
      </c>
      <c r="B1578" s="7" t="s">
        <v>169</v>
      </c>
      <c r="C1578" s="3"/>
      <c r="D1578" s="3" t="s">
        <v>385</v>
      </c>
      <c r="E1578" s="4"/>
      <c r="F1578" s="3" t="s">
        <v>131</v>
      </c>
      <c r="G1578" s="9"/>
      <c r="H1578" s="9"/>
      <c r="I1578" s="12"/>
      <c r="J1578" s="5" t="e">
        <f>SUM(SUMIFS(#REF!,#REF!,Planning[[#This Row],[Tipo de Tarea y especialidad]],#REF!,Planning[[#This Row],[Proyectos Reiwa]]),SUMIFS(#REF!,#REF!,Planning[[#This Row],[Tipo de Tarea y especialidad]],#REF!,Planning[[#This Row],[Proyectos]]))</f>
        <v>#REF!</v>
      </c>
      <c r="K1578" s="5" t="e">
        <f>Planning[[#This Row],[Horas Planificadas]]+Planning[[#This Row],[Horas ajustadas adicionales]]-Planning[[#This Row],[Horas utilizadas]]</f>
        <v>#REF!</v>
      </c>
      <c r="L1578" s="7">
        <v>0</v>
      </c>
      <c r="M1578" s="19" t="e">
        <f>Planning[[#This Row],[Saldo]]-Planning[[#This Row],[Saldo estimado]]</f>
        <v>#REF!</v>
      </c>
      <c r="N1578" s="60" t="e">
        <f>+SUMIFS(#REF!,#REF!,Planning[[#This Row],[Proyectos]],#REF!,Planning[[#This Row],[Tipo de Tarea y especialidad]])</f>
        <v>#REF!</v>
      </c>
      <c r="O1578" s="19">
        <f t="shared" si="48"/>
        <v>10</v>
      </c>
      <c r="P1578" s="19">
        <f t="shared" si="49"/>
        <v>2024</v>
      </c>
      <c r="Q15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78" s="19" t="str">
        <f>TEXT(Planning[[#This Row],[Mes]]*29,"mmmm")</f>
        <v>October</v>
      </c>
      <c r="S15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78" s="193"/>
      <c r="U1578" s="43">
        <f>IF(Planning[[#This Row],[Horas Planificadas]]&lt;&gt;0,+K1578/Planning[[#This Row],[Horas Planificadas]],0)</f>
        <v>0</v>
      </c>
      <c r="V1578" s="43">
        <f>IF(Planning[[#This Row],[Horas Planificadas]]&lt;&gt;0,Planning[[#This Row],[Horas utilizadas]]/Planning[[#This Row],[Horas Planificadas]],0)</f>
        <v>0</v>
      </c>
      <c r="W1578" s="44">
        <f>Planning[[#This Row],[Horas Planificadas]]+Planning[[#This Row],[Horas ajustadas adicionales]]</f>
        <v>0</v>
      </c>
      <c r="X1578" s="142"/>
    </row>
    <row r="1579" spans="1:24" ht="12.75" customHeight="1" x14ac:dyDescent="0.2">
      <c r="A1579" s="7"/>
      <c r="B1579" s="7" t="s">
        <v>205</v>
      </c>
      <c r="C1579" s="3"/>
      <c r="D1579" s="3" t="s">
        <v>387</v>
      </c>
      <c r="E1579" s="33" t="s">
        <v>28</v>
      </c>
      <c r="F1579" s="36"/>
      <c r="G1579" s="7">
        <v>0</v>
      </c>
      <c r="H1579" s="24">
        <f>SUM(H1580:H1581)</f>
        <v>0</v>
      </c>
      <c r="I1579" s="14"/>
      <c r="J1579" s="14" t="e">
        <f>SUM(J1580:J1581)</f>
        <v>#REF!</v>
      </c>
      <c r="K1579" s="18" t="e">
        <f>SUM(K1580:K1581)</f>
        <v>#REF!</v>
      </c>
      <c r="L1579" s="15">
        <f>SUM(L1580:L1581)</f>
        <v>0</v>
      </c>
      <c r="M1579" s="28" t="e">
        <f>SUM(M1580:M1581)</f>
        <v>#REF!</v>
      </c>
      <c r="N1579" s="61" t="e">
        <f>+SUMIFS(#REF!,#REF!,Planning[[#This Row],[Proyectos]],#REF!,Planning[[#This Row],[Tipo de Tarea y especialidad]])</f>
        <v>#REF!</v>
      </c>
      <c r="O1579" s="28">
        <f t="shared" si="48"/>
        <v>10</v>
      </c>
      <c r="P1579" s="28">
        <f t="shared" si="49"/>
        <v>2024</v>
      </c>
      <c r="Q1579" s="28" t="e">
        <f>SUM(Q1580:Q1581)</f>
        <v>#REF!</v>
      </c>
      <c r="R1579" s="28" t="str">
        <f>TEXT(Planning[[#This Row],[Mes]]*29,"mmmm")</f>
        <v>October</v>
      </c>
      <c r="S15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79" s="192" t="s">
        <v>388</v>
      </c>
      <c r="U1579" s="43">
        <f>IF(Planning[[#This Row],[Horas Planificadas]]&lt;&gt;0,+K1579/Planning[[#This Row],[Horas Planificadas]],0)</f>
        <v>0</v>
      </c>
      <c r="V1579" s="43">
        <f>IF(Planning[[#This Row],[Horas Planificadas]]&lt;&gt;0,Planning[[#This Row],[Horas utilizadas]]/Planning[[#This Row],[Horas Planificadas]],0)</f>
        <v>0</v>
      </c>
      <c r="W1579" s="44">
        <f>Planning[[#This Row],[Horas Planificadas]]+Planning[[#This Row],[Horas ajustadas adicionales]]</f>
        <v>0</v>
      </c>
      <c r="X1579" s="142"/>
    </row>
    <row r="1580" spans="1:24" ht="12.75" customHeight="1" x14ac:dyDescent="0.2">
      <c r="A1580" s="7"/>
      <c r="B1580" s="7" t="s">
        <v>205</v>
      </c>
      <c r="C1580" s="3"/>
      <c r="D1580" s="3" t="s">
        <v>387</v>
      </c>
      <c r="E1580" s="33"/>
      <c r="F1580" s="36" t="s">
        <v>120</v>
      </c>
      <c r="G1580" s="7"/>
      <c r="H1580" s="7"/>
      <c r="I1580" s="12"/>
      <c r="J1580" s="5" t="e">
        <f>SUM(SUMIFS(#REF!,#REF!,Planning[[#This Row],[Tipo de Tarea y especialidad]],#REF!,Planning[[#This Row],[Proyectos Reiwa]]),SUMIFS(#REF!,#REF!,Planning[[#This Row],[Tipo de Tarea y especialidad]],#REF!,Planning[[#This Row],[Proyectos]]))</f>
        <v>#REF!</v>
      </c>
      <c r="K1580" s="5" t="e">
        <f>Planning[[#This Row],[Horas Planificadas]]+Planning[[#This Row],[Horas ajustadas adicionales]]-Planning[[#This Row],[Horas utilizadas]]</f>
        <v>#REF!</v>
      </c>
      <c r="L1580" s="7"/>
      <c r="M1580" s="19" t="e">
        <f>Planning[[#This Row],[Saldo]]-Planning[[#This Row],[Saldo estimado]]</f>
        <v>#REF!</v>
      </c>
      <c r="N1580" s="60" t="e">
        <f>+SUMIFS(#REF!,#REF!,Planning[[#This Row],[Proyectos]],#REF!,Planning[[#This Row],[Tipo de Tarea y especialidad]])</f>
        <v>#REF!</v>
      </c>
      <c r="O1580" s="19">
        <f t="shared" si="48"/>
        <v>10</v>
      </c>
      <c r="P1580" s="19">
        <f t="shared" si="49"/>
        <v>2024</v>
      </c>
      <c r="Q15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80" s="19" t="str">
        <f>TEXT(Planning[[#This Row],[Mes]]*29,"mmmm")</f>
        <v>October</v>
      </c>
      <c r="S15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80" s="193"/>
      <c r="U1580" s="43">
        <f>IF(Planning[[#This Row],[Horas Planificadas]]&lt;&gt;0,+K1580/Planning[[#This Row],[Horas Planificadas]],0)</f>
        <v>0</v>
      </c>
      <c r="V1580" s="43">
        <f>IF(Planning[[#This Row],[Horas Planificadas]]&lt;&gt;0,Planning[[#This Row],[Horas utilizadas]]/Planning[[#This Row],[Horas Planificadas]],0)</f>
        <v>0</v>
      </c>
      <c r="W1580" s="44">
        <f>Planning[[#This Row],[Horas Planificadas]]+Planning[[#This Row],[Horas ajustadas adicionales]]</f>
        <v>0</v>
      </c>
      <c r="X1580" s="142"/>
    </row>
    <row r="1581" spans="1:24" ht="12.75" customHeight="1" x14ac:dyDescent="0.2">
      <c r="A1581" s="7"/>
      <c r="B1581" s="7" t="s">
        <v>205</v>
      </c>
      <c r="C1581" s="3"/>
      <c r="D1581" s="3" t="s">
        <v>387</v>
      </c>
      <c r="E1581" s="33"/>
      <c r="F1581" s="36" t="s">
        <v>121</v>
      </c>
      <c r="G1581" s="7"/>
      <c r="H1581" s="7"/>
      <c r="I1581" s="12"/>
      <c r="J1581" s="5" t="e">
        <f>SUM(SUMIFS(#REF!,#REF!,Planning[[#This Row],[Tipo de Tarea y especialidad]],#REF!,Planning[[#This Row],[Proyectos Reiwa]]),SUMIFS(#REF!,#REF!,Planning[[#This Row],[Tipo de Tarea y especialidad]],#REF!,Planning[[#This Row],[Proyectos]]))</f>
        <v>#REF!</v>
      </c>
      <c r="K1581" s="5" t="e">
        <f>Planning[[#This Row],[Horas Planificadas]]+Planning[[#This Row],[Horas ajustadas adicionales]]-Planning[[#This Row],[Horas utilizadas]]</f>
        <v>#REF!</v>
      </c>
      <c r="L1581" s="7"/>
      <c r="M1581" s="19" t="e">
        <f>Planning[[#This Row],[Saldo]]-Planning[[#This Row],[Saldo estimado]]</f>
        <v>#REF!</v>
      </c>
      <c r="N1581" s="60" t="e">
        <f>+SUMIFS(#REF!,#REF!,Planning[[#This Row],[Proyectos]],#REF!,Planning[[#This Row],[Tipo de Tarea y especialidad]])</f>
        <v>#REF!</v>
      </c>
      <c r="O1581" s="19">
        <f t="shared" si="48"/>
        <v>10</v>
      </c>
      <c r="P1581" s="19">
        <f t="shared" si="49"/>
        <v>2024</v>
      </c>
      <c r="Q15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81" s="19" t="str">
        <f>TEXT(Planning[[#This Row],[Mes]]*29,"mmmm")</f>
        <v>October</v>
      </c>
      <c r="S15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81" s="193"/>
      <c r="U1581" s="43">
        <f>IF(Planning[[#This Row],[Horas Planificadas]]&lt;&gt;0,+K1581/Planning[[#This Row],[Horas Planificadas]],0)</f>
        <v>0</v>
      </c>
      <c r="V1581" s="43">
        <f>IF(Planning[[#This Row],[Horas Planificadas]]&lt;&gt;0,Planning[[#This Row],[Horas utilizadas]]/Planning[[#This Row],[Horas Planificadas]],0)</f>
        <v>0</v>
      </c>
      <c r="W1581" s="44">
        <f>Planning[[#This Row],[Horas Planificadas]]+Planning[[#This Row],[Horas ajustadas adicionales]]</f>
        <v>0</v>
      </c>
      <c r="X1581" s="142"/>
    </row>
    <row r="1582" spans="1:24" ht="12.75" customHeight="1" x14ac:dyDescent="0.2">
      <c r="A1582" s="7"/>
      <c r="B1582" s="7" t="s">
        <v>205</v>
      </c>
      <c r="C1582" s="3"/>
      <c r="D1582" s="3" t="s">
        <v>387</v>
      </c>
      <c r="E1582" s="33" t="s">
        <v>30</v>
      </c>
      <c r="F1582" s="36"/>
      <c r="G1582" s="7">
        <v>584</v>
      </c>
      <c r="H1582" s="24">
        <f>SUM(H1583:H1589)</f>
        <v>584</v>
      </c>
      <c r="I1582" s="14"/>
      <c r="J1582" s="14" t="e">
        <f>SUM(J1583:J1589)</f>
        <v>#REF!</v>
      </c>
      <c r="K1582" s="18" t="e">
        <f>SUM(K1583:K1589)</f>
        <v>#REF!</v>
      </c>
      <c r="L1582" s="15">
        <f>SUM(L1583:L1589)</f>
        <v>0</v>
      </c>
      <c r="M1582" s="16" t="e">
        <f>SUM(M1583:M1589)</f>
        <v>#REF!</v>
      </c>
      <c r="N1582" s="60" t="e">
        <f>+SUMIFS(#REF!,#REF!,Planning[[#This Row],[Proyectos]],#REF!,Planning[[#This Row],[Tipo de Tarea y especialidad]])</f>
        <v>#REF!</v>
      </c>
      <c r="O1582" s="16">
        <f t="shared" si="48"/>
        <v>10</v>
      </c>
      <c r="P1582" s="16">
        <f t="shared" si="49"/>
        <v>2024</v>
      </c>
      <c r="Q1582" s="16" t="e">
        <f>SUM(Q1583:Q1589)</f>
        <v>#REF!</v>
      </c>
      <c r="R1582" s="16" t="str">
        <f>TEXT(Planning[[#This Row],[Mes]]*29,"mmmm")</f>
        <v>October</v>
      </c>
      <c r="S15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82" s="193"/>
      <c r="U1582" s="43" t="e">
        <f>IF(Planning[[#This Row],[Horas Planificadas]]&lt;&gt;0,+K1582/Planning[[#This Row],[Horas Planificadas]],0)</f>
        <v>#REF!</v>
      </c>
      <c r="V1582" s="43" t="e">
        <f>IF(Planning[[#This Row],[Horas Planificadas]]&lt;&gt;0,Planning[[#This Row],[Horas utilizadas]]/Planning[[#This Row],[Horas Planificadas]],0)</f>
        <v>#REF!</v>
      </c>
      <c r="W1582" s="44">
        <f>Planning[[#This Row],[Horas Planificadas]]+Planning[[#This Row],[Horas ajustadas adicionales]]</f>
        <v>584</v>
      </c>
      <c r="X1582" s="142"/>
    </row>
    <row r="1583" spans="1:24" ht="12.75" customHeight="1" x14ac:dyDescent="0.2">
      <c r="A1583" s="7"/>
      <c r="B1583" s="7" t="s">
        <v>205</v>
      </c>
      <c r="C1583" s="3"/>
      <c r="D1583" s="3" t="s">
        <v>387</v>
      </c>
      <c r="E1583" s="4"/>
      <c r="F1583" s="3" t="s">
        <v>122</v>
      </c>
      <c r="G1583" s="9"/>
      <c r="H1583" s="12"/>
      <c r="I1583" s="12"/>
      <c r="J1583" s="5" t="e">
        <f>SUM(SUMIFS(#REF!,#REF!,Planning[[#This Row],[Tipo de Tarea y especialidad]],#REF!,Planning[[#This Row],[Proyectos Reiwa]]),SUMIFS(#REF!,#REF!,Planning[[#This Row],[Tipo de Tarea y especialidad]],#REF!,Planning[[#This Row],[Proyectos]]))</f>
        <v>#REF!</v>
      </c>
      <c r="K1583" s="27" t="e">
        <f>Planning[[#This Row],[Horas Planificadas]]+Planning[[#This Row],[Horas ajustadas adicionales]]-Planning[[#This Row],[Horas utilizadas]]</f>
        <v>#REF!</v>
      </c>
      <c r="L1583" s="7"/>
      <c r="M1583" s="34" t="e">
        <f>Planning[[#This Row],[Saldo]]-Planning[[#This Row],[Saldo estimado]]</f>
        <v>#REF!</v>
      </c>
      <c r="N1583" s="62" t="e">
        <f>+SUMIFS(#REF!,#REF!,Planning[[#This Row],[Proyectos]],#REF!,Planning[[#This Row],[Tipo de Tarea y especialidad]])</f>
        <v>#REF!</v>
      </c>
      <c r="O1583" s="34">
        <f t="shared" si="48"/>
        <v>10</v>
      </c>
      <c r="P1583" s="34">
        <f t="shared" si="49"/>
        <v>2024</v>
      </c>
      <c r="Q15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83" s="19" t="str">
        <f>TEXT(Planning[[#This Row],[Mes]]*29,"mmmm")</f>
        <v>October</v>
      </c>
      <c r="S15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83" s="193"/>
      <c r="U1583" s="43">
        <f>IF(Planning[[#This Row],[Horas Planificadas]]&lt;&gt;0,+K1583/Planning[[#This Row],[Horas Planificadas]],0)</f>
        <v>0</v>
      </c>
      <c r="V1583" s="43">
        <f>IF(Planning[[#This Row],[Horas Planificadas]]&lt;&gt;0,Planning[[#This Row],[Horas utilizadas]]/Planning[[#This Row],[Horas Planificadas]],0)</f>
        <v>0</v>
      </c>
      <c r="W1583" s="44">
        <f>Planning[[#This Row],[Horas Planificadas]]+Planning[[#This Row],[Horas ajustadas adicionales]]</f>
        <v>0</v>
      </c>
      <c r="X1583" s="142"/>
    </row>
    <row r="1584" spans="1:24" ht="12.75" customHeight="1" x14ac:dyDescent="0.2">
      <c r="A1584" s="7"/>
      <c r="B1584" s="7" t="s">
        <v>205</v>
      </c>
      <c r="C1584" s="3"/>
      <c r="D1584" s="3" t="s">
        <v>387</v>
      </c>
      <c r="E1584" s="4"/>
      <c r="F1584" s="3" t="s">
        <v>123</v>
      </c>
      <c r="G1584" s="9"/>
      <c r="H1584" s="9">
        <v>494</v>
      </c>
      <c r="I1584" s="12"/>
      <c r="J1584" s="5" t="e">
        <f>SUM(SUMIFS(#REF!,#REF!,Planning[[#This Row],[Tipo de Tarea y especialidad]],#REF!,Planning[[#This Row],[Proyectos Reiwa]]),SUMIFS(#REF!,#REF!,Planning[[#This Row],[Tipo de Tarea y especialidad]],#REF!,Planning[[#This Row],[Proyectos]]))</f>
        <v>#REF!</v>
      </c>
      <c r="K1584" s="5" t="e">
        <f>Planning[[#This Row],[Horas Planificadas]]+Planning[[#This Row],[Horas ajustadas adicionales]]-Planning[[#This Row],[Horas utilizadas]]</f>
        <v>#REF!</v>
      </c>
      <c r="L1584" s="7">
        <v>0</v>
      </c>
      <c r="M1584" s="19" t="e">
        <f>Planning[[#This Row],[Saldo]]-Planning[[#This Row],[Saldo estimado]]</f>
        <v>#REF!</v>
      </c>
      <c r="N1584" s="60" t="e">
        <f>+SUMIFS(#REF!,#REF!,Planning[[#This Row],[Proyectos]],#REF!,Planning[[#This Row],[Tipo de Tarea y especialidad]])</f>
        <v>#REF!</v>
      </c>
      <c r="O1584" s="19">
        <f t="shared" si="48"/>
        <v>10</v>
      </c>
      <c r="P1584" s="19">
        <f t="shared" si="49"/>
        <v>2024</v>
      </c>
      <c r="Q15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84" s="19" t="str">
        <f>TEXT(Planning[[#This Row],[Mes]]*29,"mmmm")</f>
        <v>October</v>
      </c>
      <c r="S15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84" s="193"/>
      <c r="U1584" s="43" t="e">
        <f>IF(Planning[[#This Row],[Horas Planificadas]]&lt;&gt;0,+K1584/Planning[[#This Row],[Horas Planificadas]],0)</f>
        <v>#REF!</v>
      </c>
      <c r="V1584" s="43" t="e">
        <f>IF(Planning[[#This Row],[Horas Planificadas]]&lt;&gt;0,Planning[[#This Row],[Horas utilizadas]]/Planning[[#This Row],[Horas Planificadas]],0)</f>
        <v>#REF!</v>
      </c>
      <c r="W1584" s="44">
        <f>Planning[[#This Row],[Horas Planificadas]]+Planning[[#This Row],[Horas ajustadas adicionales]]</f>
        <v>494</v>
      </c>
      <c r="X1584" s="142"/>
    </row>
    <row r="1585" spans="1:24" ht="12.75" customHeight="1" x14ac:dyDescent="0.2">
      <c r="A1585" s="7"/>
      <c r="B1585" s="7" t="s">
        <v>205</v>
      </c>
      <c r="C1585" s="3"/>
      <c r="D1585" s="3" t="s">
        <v>387</v>
      </c>
      <c r="E1585" s="4"/>
      <c r="F1585" s="3" t="s">
        <v>124</v>
      </c>
      <c r="G1585" s="9"/>
      <c r="H1585" s="9"/>
      <c r="I1585" s="12"/>
      <c r="J1585" s="5" t="e">
        <f>SUM(SUMIFS(#REF!,#REF!,Planning[[#This Row],[Tipo de Tarea y especialidad]],#REF!,Planning[[#This Row],[Proyectos Reiwa]]),SUMIFS(#REF!,#REF!,Planning[[#This Row],[Tipo de Tarea y especialidad]],#REF!,Planning[[#This Row],[Proyectos]]))</f>
        <v>#REF!</v>
      </c>
      <c r="K1585" s="5" t="e">
        <f>Planning[[#This Row],[Horas Planificadas]]+Planning[[#This Row],[Horas ajustadas adicionales]]-Planning[[#This Row],[Horas utilizadas]]</f>
        <v>#REF!</v>
      </c>
      <c r="L1585" s="7"/>
      <c r="M1585" s="19" t="e">
        <f>Planning[[#This Row],[Saldo]]-Planning[[#This Row],[Saldo estimado]]</f>
        <v>#REF!</v>
      </c>
      <c r="N1585" s="60" t="e">
        <f>+SUMIFS(#REF!,#REF!,Planning[[#This Row],[Proyectos]],#REF!,Planning[[#This Row],[Tipo de Tarea y especialidad]])</f>
        <v>#REF!</v>
      </c>
      <c r="O1585" s="19">
        <f t="shared" si="48"/>
        <v>10</v>
      </c>
      <c r="P1585" s="19">
        <f t="shared" si="49"/>
        <v>2024</v>
      </c>
      <c r="Q15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85" s="19" t="str">
        <f>TEXT(Planning[[#This Row],[Mes]]*29,"mmmm")</f>
        <v>October</v>
      </c>
      <c r="S15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85" s="193"/>
      <c r="U1585" s="43">
        <f>IF(Planning[[#This Row],[Horas Planificadas]]&lt;&gt;0,+K1585/Planning[[#This Row],[Horas Planificadas]],0)</f>
        <v>0</v>
      </c>
      <c r="V1585" s="43">
        <f>IF(Planning[[#This Row],[Horas Planificadas]]&lt;&gt;0,Planning[[#This Row],[Horas utilizadas]]/Planning[[#This Row],[Horas Planificadas]],0)</f>
        <v>0</v>
      </c>
      <c r="W1585" s="44">
        <f>Planning[[#This Row],[Horas Planificadas]]+Planning[[#This Row],[Horas ajustadas adicionales]]</f>
        <v>0</v>
      </c>
      <c r="X1585" s="142"/>
    </row>
    <row r="1586" spans="1:24" ht="12.75" customHeight="1" x14ac:dyDescent="0.2">
      <c r="A1586" s="7"/>
      <c r="B1586" s="7" t="s">
        <v>205</v>
      </c>
      <c r="C1586" s="3"/>
      <c r="D1586" s="3" t="s">
        <v>387</v>
      </c>
      <c r="E1586" s="4"/>
      <c r="F1586" s="3" t="s">
        <v>125</v>
      </c>
      <c r="G1586" s="9"/>
      <c r="H1586" s="12">
        <v>90</v>
      </c>
      <c r="I1586" s="12"/>
      <c r="J1586" s="5" t="e">
        <f>SUM(SUMIFS(#REF!,#REF!,Planning[[#This Row],[Tipo de Tarea y especialidad]],#REF!,Planning[[#This Row],[Proyectos Reiwa]]),SUMIFS(#REF!,#REF!,Planning[[#This Row],[Tipo de Tarea y especialidad]],#REF!,Planning[[#This Row],[Proyectos]]))</f>
        <v>#REF!</v>
      </c>
      <c r="K1586" s="27" t="e">
        <f>Planning[[#This Row],[Horas Planificadas]]+Planning[[#This Row],[Horas ajustadas adicionales]]-Planning[[#This Row],[Horas utilizadas]]</f>
        <v>#REF!</v>
      </c>
      <c r="L1586" s="7">
        <v>0</v>
      </c>
      <c r="M1586" s="19" t="e">
        <f>Planning[[#This Row],[Saldo]]-Planning[[#This Row],[Saldo estimado]]</f>
        <v>#REF!</v>
      </c>
      <c r="N1586" s="60" t="e">
        <f>+SUMIFS(#REF!,#REF!,Planning[[#This Row],[Proyectos]],#REF!,Planning[[#This Row],[Tipo de Tarea y especialidad]])</f>
        <v>#REF!</v>
      </c>
      <c r="O1586" s="19">
        <f t="shared" si="48"/>
        <v>10</v>
      </c>
      <c r="P1586" s="19">
        <f t="shared" si="49"/>
        <v>2024</v>
      </c>
      <c r="Q15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86" s="19" t="str">
        <f>TEXT(Planning[[#This Row],[Mes]]*29,"mmmm")</f>
        <v>October</v>
      </c>
      <c r="S15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86" s="193"/>
      <c r="U1586" s="43" t="e">
        <f>IF(Planning[[#This Row],[Horas Planificadas]]&lt;&gt;0,+K1586/Planning[[#This Row],[Horas Planificadas]],0)</f>
        <v>#REF!</v>
      </c>
      <c r="V1586" s="43" t="e">
        <f>IF(Planning[[#This Row],[Horas Planificadas]]&lt;&gt;0,Planning[[#This Row],[Horas utilizadas]]/Planning[[#This Row],[Horas Planificadas]],0)</f>
        <v>#REF!</v>
      </c>
      <c r="W1586" s="44">
        <f>Planning[[#This Row],[Horas Planificadas]]+Planning[[#This Row],[Horas ajustadas adicionales]]</f>
        <v>90</v>
      </c>
      <c r="X1586" s="142"/>
    </row>
    <row r="1587" spans="1:24" ht="12.75" customHeight="1" x14ac:dyDescent="0.2">
      <c r="A1587" s="7"/>
      <c r="B1587" s="7" t="s">
        <v>205</v>
      </c>
      <c r="C1587" s="3"/>
      <c r="D1587" s="3" t="s">
        <v>387</v>
      </c>
      <c r="E1587" s="4"/>
      <c r="F1587" s="3" t="s">
        <v>126</v>
      </c>
      <c r="G1587" s="9"/>
      <c r="H1587" s="9"/>
      <c r="I1587" s="12"/>
      <c r="J1587" s="5" t="e">
        <f>SUM(SUMIFS(#REF!,#REF!,Planning[[#This Row],[Tipo de Tarea y especialidad]],#REF!,Planning[[#This Row],[Proyectos Reiwa]]),SUMIFS(#REF!,#REF!,Planning[[#This Row],[Tipo de Tarea y especialidad]],#REF!,Planning[[#This Row],[Proyectos]]))</f>
        <v>#REF!</v>
      </c>
      <c r="K1587" s="5" t="e">
        <f>Planning[[#This Row],[Horas Planificadas]]+Planning[[#This Row],[Horas ajustadas adicionales]]-Planning[[#This Row],[Horas utilizadas]]</f>
        <v>#REF!</v>
      </c>
      <c r="L1587" s="7"/>
      <c r="M1587" s="19" t="e">
        <f>Planning[[#This Row],[Saldo]]-Planning[[#This Row],[Saldo estimado]]</f>
        <v>#REF!</v>
      </c>
      <c r="N1587" s="60" t="e">
        <f>+SUMIFS(#REF!,#REF!,Planning[[#This Row],[Proyectos]],#REF!,Planning[[#This Row],[Tipo de Tarea y especialidad]])</f>
        <v>#REF!</v>
      </c>
      <c r="O1587" s="19">
        <f t="shared" si="48"/>
        <v>10</v>
      </c>
      <c r="P1587" s="19">
        <f t="shared" si="49"/>
        <v>2024</v>
      </c>
      <c r="Q15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87" s="19" t="str">
        <f>TEXT(Planning[[#This Row],[Mes]]*29,"mmmm")</f>
        <v>October</v>
      </c>
      <c r="S15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87" s="193"/>
      <c r="U1587" s="43">
        <f>IF(Planning[[#This Row],[Horas Planificadas]]&lt;&gt;0,+K1587/Planning[[#This Row],[Horas Planificadas]],0)</f>
        <v>0</v>
      </c>
      <c r="V1587" s="43">
        <f>IF(Planning[[#This Row],[Horas Planificadas]]&lt;&gt;0,Planning[[#This Row],[Horas utilizadas]]/Planning[[#This Row],[Horas Planificadas]],0)</f>
        <v>0</v>
      </c>
      <c r="W1587" s="44">
        <f>Planning[[#This Row],[Horas Planificadas]]+Planning[[#This Row],[Horas ajustadas adicionales]]</f>
        <v>0</v>
      </c>
      <c r="X1587" s="142"/>
    </row>
    <row r="1588" spans="1:24" ht="12.75" customHeight="1" x14ac:dyDescent="0.2">
      <c r="A1588" s="7"/>
      <c r="B1588" s="7" t="s">
        <v>205</v>
      </c>
      <c r="C1588" s="3"/>
      <c r="D1588" s="3" t="s">
        <v>387</v>
      </c>
      <c r="E1588" s="4"/>
      <c r="F1588" s="3" t="s">
        <v>127</v>
      </c>
      <c r="G1588" s="9"/>
      <c r="H1588" s="9"/>
      <c r="I1588" s="12"/>
      <c r="J1588" s="5" t="e">
        <f>SUM(SUMIFS(#REF!,#REF!,Planning[[#This Row],[Tipo de Tarea y especialidad]],#REF!,Planning[[#This Row],[Proyectos Reiwa]]),SUMIFS(#REF!,#REF!,Planning[[#This Row],[Tipo de Tarea y especialidad]],#REF!,Planning[[#This Row],[Proyectos]]))</f>
        <v>#REF!</v>
      </c>
      <c r="K1588" s="5" t="e">
        <f>Planning[[#This Row],[Horas Planificadas]]+Planning[[#This Row],[Horas ajustadas adicionales]]-Planning[[#This Row],[Horas utilizadas]]</f>
        <v>#REF!</v>
      </c>
      <c r="L1588" s="7"/>
      <c r="M1588" s="19" t="e">
        <f>Planning[[#This Row],[Saldo]]-Planning[[#This Row],[Saldo estimado]]</f>
        <v>#REF!</v>
      </c>
      <c r="N1588" s="60" t="e">
        <f>+SUMIFS(#REF!,#REF!,Planning[[#This Row],[Proyectos]],#REF!,Planning[[#This Row],[Tipo de Tarea y especialidad]])</f>
        <v>#REF!</v>
      </c>
      <c r="O1588" s="19">
        <f t="shared" si="48"/>
        <v>10</v>
      </c>
      <c r="P1588" s="19">
        <f t="shared" si="49"/>
        <v>2024</v>
      </c>
      <c r="Q15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88" s="19" t="str">
        <f>TEXT(Planning[[#This Row],[Mes]]*29,"mmmm")</f>
        <v>October</v>
      </c>
      <c r="S15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88" s="193"/>
      <c r="U1588" s="43">
        <f>IF(Planning[[#This Row],[Horas Planificadas]]&lt;&gt;0,+K1588/Planning[[#This Row],[Horas Planificadas]],0)</f>
        <v>0</v>
      </c>
      <c r="V1588" s="43">
        <f>IF(Planning[[#This Row],[Horas Planificadas]]&lt;&gt;0,Planning[[#This Row],[Horas utilizadas]]/Planning[[#This Row],[Horas Planificadas]],0)</f>
        <v>0</v>
      </c>
      <c r="W1588" s="44">
        <f>Planning[[#This Row],[Horas Planificadas]]+Planning[[#This Row],[Horas ajustadas adicionales]]</f>
        <v>0</v>
      </c>
      <c r="X1588" s="142"/>
    </row>
    <row r="1589" spans="1:24" ht="12.75" customHeight="1" x14ac:dyDescent="0.2">
      <c r="A1589" s="7"/>
      <c r="B1589" s="7" t="s">
        <v>205</v>
      </c>
      <c r="C1589" s="3"/>
      <c r="D1589" s="3" t="s">
        <v>387</v>
      </c>
      <c r="E1589" s="4"/>
      <c r="F1589" s="3" t="s">
        <v>128</v>
      </c>
      <c r="G1589" s="9"/>
      <c r="H1589" s="9"/>
      <c r="I1589" s="12"/>
      <c r="J1589" s="5" t="e">
        <f>SUM(SUMIFS(#REF!,#REF!,Planning[[#This Row],[Tipo de Tarea y especialidad]],#REF!,Planning[[#This Row],[Proyectos Reiwa]]),SUMIFS(#REF!,#REF!,Planning[[#This Row],[Tipo de Tarea y especialidad]],#REF!,Planning[[#This Row],[Proyectos]]))</f>
        <v>#REF!</v>
      </c>
      <c r="K1589" s="5" t="e">
        <f>Planning[[#This Row],[Horas Planificadas]]+Planning[[#This Row],[Horas ajustadas adicionales]]-Planning[[#This Row],[Horas utilizadas]]</f>
        <v>#REF!</v>
      </c>
      <c r="L1589" s="7"/>
      <c r="M1589" s="19" t="e">
        <f>Planning[[#This Row],[Saldo]]-Planning[[#This Row],[Saldo estimado]]</f>
        <v>#REF!</v>
      </c>
      <c r="N1589" s="60" t="e">
        <f>+SUMIFS(#REF!,#REF!,Planning[[#This Row],[Proyectos]],#REF!,Planning[[#This Row],[Tipo de Tarea y especialidad]])</f>
        <v>#REF!</v>
      </c>
      <c r="O1589" s="19">
        <f t="shared" si="48"/>
        <v>10</v>
      </c>
      <c r="P1589" s="19">
        <f t="shared" si="49"/>
        <v>2024</v>
      </c>
      <c r="Q15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89" s="19" t="str">
        <f>TEXT(Planning[[#This Row],[Mes]]*29,"mmmm")</f>
        <v>October</v>
      </c>
      <c r="S15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89" s="193"/>
      <c r="U1589" s="43">
        <f>IF(Planning[[#This Row],[Horas Planificadas]]&lt;&gt;0,+K1589/Planning[[#This Row],[Horas Planificadas]],0)</f>
        <v>0</v>
      </c>
      <c r="V1589" s="43">
        <f>IF(Planning[[#This Row],[Horas Planificadas]]&lt;&gt;0,Planning[[#This Row],[Horas utilizadas]]/Planning[[#This Row],[Horas Planificadas]],0)</f>
        <v>0</v>
      </c>
      <c r="W1589" s="44">
        <f>Planning[[#This Row],[Horas Planificadas]]+Planning[[#This Row],[Horas ajustadas adicionales]]</f>
        <v>0</v>
      </c>
      <c r="X1589" s="142"/>
    </row>
    <row r="1590" spans="1:24" ht="12.75" customHeight="1" x14ac:dyDescent="0.2">
      <c r="A1590" s="7"/>
      <c r="B1590" s="7" t="s">
        <v>205</v>
      </c>
      <c r="C1590" s="3"/>
      <c r="D1590" s="3" t="s">
        <v>387</v>
      </c>
      <c r="E1590" s="4" t="s">
        <v>31</v>
      </c>
      <c r="F1590" s="3" t="s">
        <v>31</v>
      </c>
      <c r="G1590" s="9">
        <v>34</v>
      </c>
      <c r="H1590" s="17">
        <v>34</v>
      </c>
      <c r="I1590" s="18"/>
      <c r="J1590" s="14" t="e">
        <f>+SUMIFS(#REF!,#REF!,Planning[[#This Row],[Tarifa]],#REF!,Planning[[#This Row],[Proyectos]])</f>
        <v>#REF!</v>
      </c>
      <c r="K1590" s="14" t="e">
        <f>Planning[[#This Row],[Horas Planificadas]]+Planning[[#This Row],[Horas ajustadas adicionales]]-Planning[[#This Row],[Horas utilizadas]]</f>
        <v>#REF!</v>
      </c>
      <c r="L1590" s="15">
        <v>0</v>
      </c>
      <c r="M1590" s="16" t="e">
        <f>Planning[[#This Row],[Saldo]]-Planning[[#This Row],[Saldo estimado]]</f>
        <v>#REF!</v>
      </c>
      <c r="N1590" s="60" t="e">
        <f>+SUMIFS(#REF!,#REF!,Planning[[#This Row],[Proyectos]],#REF!,Planning[[#This Row],[Tipo de Tarea y especialidad]])</f>
        <v>#REF!</v>
      </c>
      <c r="O1590" s="16">
        <f t="shared" si="48"/>
        <v>10</v>
      </c>
      <c r="P1590" s="16">
        <f t="shared" si="49"/>
        <v>2024</v>
      </c>
      <c r="Q1590" s="16" t="e">
        <f>+SUMIFS(#REF!,#REF!,Planning[[#This Row],[Tarifa]],#REF!,Planning[[#This Row],[Proyectos]],#REF!,Planning[[#This Row],[Mes]],#REF!,Planning[[#This Row],[Año]])</f>
        <v>#REF!</v>
      </c>
      <c r="R1590" s="16" t="str">
        <f>TEXT(Planning[[#This Row],[Mes]]*29,"mmmm")</f>
        <v>October</v>
      </c>
      <c r="S15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90" s="193"/>
      <c r="U1590" s="43" t="e">
        <f>IF(Planning[[#This Row],[Horas Planificadas]]&lt;&gt;0,+K1590/Planning[[#This Row],[Horas Planificadas]],0)</f>
        <v>#REF!</v>
      </c>
      <c r="V1590" s="43" t="e">
        <f>IF(Planning[[#This Row],[Horas Planificadas]]&lt;&gt;0,Planning[[#This Row],[Horas utilizadas]]/Planning[[#This Row],[Horas Planificadas]],0)</f>
        <v>#REF!</v>
      </c>
      <c r="W1590" s="44">
        <f>Planning[[#This Row],[Horas Planificadas]]+Planning[[#This Row],[Horas ajustadas adicionales]]</f>
        <v>34</v>
      </c>
      <c r="X1590" s="142"/>
    </row>
    <row r="1591" spans="1:24" ht="12.75" customHeight="1" x14ac:dyDescent="0.2">
      <c r="A1591" s="7"/>
      <c r="B1591" s="7" t="s">
        <v>205</v>
      </c>
      <c r="C1591" s="3"/>
      <c r="D1591" s="3" t="s">
        <v>387</v>
      </c>
      <c r="E1591" s="4" t="s">
        <v>32</v>
      </c>
      <c r="F1591" s="3"/>
      <c r="G1591" s="9">
        <v>162</v>
      </c>
      <c r="H1591" s="25">
        <f>SUM(H1592:H1594)</f>
        <v>162</v>
      </c>
      <c r="I1591" s="14"/>
      <c r="J1591" s="14" t="e">
        <f>SUM(J1592:J1594)</f>
        <v>#REF!</v>
      </c>
      <c r="K1591" s="18" t="e">
        <f>SUM(K1592:K1594)</f>
        <v>#REF!</v>
      </c>
      <c r="L1591" s="15">
        <f>SUM(L1592:L1594)</f>
        <v>0</v>
      </c>
      <c r="M1591" s="16" t="e">
        <f>SUM(M1592:M1594)</f>
        <v>#REF!</v>
      </c>
      <c r="N1591" s="60" t="e">
        <f>+SUMIFS(#REF!,#REF!,Planning[[#This Row],[Proyectos]],#REF!,Planning[[#This Row],[Tipo de Tarea y especialidad]])</f>
        <v>#REF!</v>
      </c>
      <c r="O1591" s="16">
        <f t="shared" si="48"/>
        <v>10</v>
      </c>
      <c r="P1591" s="16">
        <f t="shared" si="49"/>
        <v>2024</v>
      </c>
      <c r="Q1591" s="16" t="e">
        <f>SUM(Q1592:Q1594)</f>
        <v>#REF!</v>
      </c>
      <c r="R1591" s="16" t="str">
        <f>TEXT(Planning[[#This Row],[Mes]]*29,"mmmm")</f>
        <v>October</v>
      </c>
      <c r="S15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91" s="193"/>
      <c r="U1591" s="43" t="e">
        <f>IF(Planning[[#This Row],[Horas Planificadas]]&lt;&gt;0,+K1591/Planning[[#This Row],[Horas Planificadas]],0)</f>
        <v>#REF!</v>
      </c>
      <c r="V1591" s="43" t="e">
        <f>IF(Planning[[#This Row],[Horas Planificadas]]&lt;&gt;0,Planning[[#This Row],[Horas utilizadas]]/Planning[[#This Row],[Horas Planificadas]],0)</f>
        <v>#REF!</v>
      </c>
      <c r="W1591" s="44">
        <f>Planning[[#This Row],[Horas Planificadas]]+Planning[[#This Row],[Horas ajustadas adicionales]]</f>
        <v>162</v>
      </c>
      <c r="X1591" s="142"/>
    </row>
    <row r="1592" spans="1:24" ht="12.75" customHeight="1" x14ac:dyDescent="0.2">
      <c r="A1592" s="7"/>
      <c r="B1592" s="7" t="s">
        <v>205</v>
      </c>
      <c r="C1592" s="3"/>
      <c r="D1592" s="3" t="s">
        <v>387</v>
      </c>
      <c r="E1592" s="4"/>
      <c r="F1592" s="3" t="s">
        <v>129</v>
      </c>
      <c r="G1592" s="9"/>
      <c r="H1592" s="9"/>
      <c r="I1592" s="12"/>
      <c r="J1592" s="5" t="e">
        <f>SUM(SUMIFS(#REF!,#REF!,Planning[[#This Row],[Tipo de Tarea y especialidad]],#REF!,Planning[[#This Row],[Proyectos Reiwa]]),SUMIFS(#REF!,#REF!,Planning[[#This Row],[Tipo de Tarea y especialidad]],#REF!,Planning[[#This Row],[Proyectos]]))</f>
        <v>#REF!</v>
      </c>
      <c r="K1592" s="5" t="e">
        <f>Planning[[#This Row],[Horas Planificadas]]+Planning[[#This Row],[Horas ajustadas adicionales]]-Planning[[#This Row],[Horas utilizadas]]</f>
        <v>#REF!</v>
      </c>
      <c r="L1592" s="7"/>
      <c r="M1592" s="19" t="e">
        <f>Planning[[#This Row],[Saldo]]-Planning[[#This Row],[Saldo estimado]]</f>
        <v>#REF!</v>
      </c>
      <c r="N1592" s="60" t="e">
        <f>+SUMIFS(#REF!,#REF!,Planning[[#This Row],[Proyectos]],#REF!,Planning[[#This Row],[Tipo de Tarea y especialidad]])</f>
        <v>#REF!</v>
      </c>
      <c r="O1592" s="19">
        <f t="shared" si="48"/>
        <v>10</v>
      </c>
      <c r="P1592" s="19">
        <f t="shared" si="49"/>
        <v>2024</v>
      </c>
      <c r="Q15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92" s="19" t="str">
        <f>TEXT(Planning[[#This Row],[Mes]]*29,"mmmm")</f>
        <v>October</v>
      </c>
      <c r="S15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92" s="193"/>
      <c r="U1592" s="43">
        <f>IF(Planning[[#This Row],[Horas Planificadas]]&lt;&gt;0,+K1592/Planning[[#This Row],[Horas Planificadas]],0)</f>
        <v>0</v>
      </c>
      <c r="V1592" s="43">
        <f>IF(Planning[[#This Row],[Horas Planificadas]]&lt;&gt;0,Planning[[#This Row],[Horas utilizadas]]/Planning[[#This Row],[Horas Planificadas]],0)</f>
        <v>0</v>
      </c>
      <c r="W1592" s="44">
        <f>Planning[[#This Row],[Horas Planificadas]]+Planning[[#This Row],[Horas ajustadas adicionales]]</f>
        <v>0</v>
      </c>
      <c r="X1592" s="142"/>
    </row>
    <row r="1593" spans="1:24" ht="12.75" customHeight="1" x14ac:dyDescent="0.2">
      <c r="A1593" s="7"/>
      <c r="B1593" s="7" t="s">
        <v>205</v>
      </c>
      <c r="C1593" s="3"/>
      <c r="D1593" s="3" t="s">
        <v>387</v>
      </c>
      <c r="E1593" s="4"/>
      <c r="F1593" s="3" t="s">
        <v>130</v>
      </c>
      <c r="G1593" s="9"/>
      <c r="H1593" s="9">
        <v>162</v>
      </c>
      <c r="I1593" s="12"/>
      <c r="J1593" s="5" t="e">
        <f>SUM(SUMIFS(#REF!,#REF!,Planning[[#This Row],[Tipo de Tarea y especialidad]],#REF!,Planning[[#This Row],[Proyectos Reiwa]]),SUMIFS(#REF!,#REF!,Planning[[#This Row],[Tipo de Tarea y especialidad]],#REF!,Planning[[#This Row],[Proyectos]]))</f>
        <v>#REF!</v>
      </c>
      <c r="K1593" s="5" t="e">
        <f>Planning[[#This Row],[Horas Planificadas]]+Planning[[#This Row],[Horas ajustadas adicionales]]-Planning[[#This Row],[Horas utilizadas]]</f>
        <v>#REF!</v>
      </c>
      <c r="L1593" s="7">
        <v>0</v>
      </c>
      <c r="M1593" s="19" t="e">
        <f>Planning[[#This Row],[Saldo]]-Planning[[#This Row],[Saldo estimado]]</f>
        <v>#REF!</v>
      </c>
      <c r="N1593" s="60" t="e">
        <f>+SUMIFS(#REF!,#REF!,Planning[[#This Row],[Proyectos]],#REF!,Planning[[#This Row],[Tipo de Tarea y especialidad]])</f>
        <v>#REF!</v>
      </c>
      <c r="O1593" s="19">
        <f t="shared" si="48"/>
        <v>10</v>
      </c>
      <c r="P1593" s="19">
        <f t="shared" si="49"/>
        <v>2024</v>
      </c>
      <c r="Q15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93" s="19" t="str">
        <f>TEXT(Planning[[#This Row],[Mes]]*29,"mmmm")</f>
        <v>October</v>
      </c>
      <c r="S15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93" s="193"/>
      <c r="U1593" s="43" t="e">
        <f>IF(Planning[[#This Row],[Horas Planificadas]]&lt;&gt;0,+K1593/Planning[[#This Row],[Horas Planificadas]],0)</f>
        <v>#REF!</v>
      </c>
      <c r="V1593" s="43" t="e">
        <f>IF(Planning[[#This Row],[Horas Planificadas]]&lt;&gt;0,Planning[[#This Row],[Horas utilizadas]]/Planning[[#This Row],[Horas Planificadas]],0)</f>
        <v>#REF!</v>
      </c>
      <c r="W1593" s="44">
        <f>Planning[[#This Row],[Horas Planificadas]]+Planning[[#This Row],[Horas ajustadas adicionales]]</f>
        <v>162</v>
      </c>
      <c r="X1593" s="142"/>
    </row>
    <row r="1594" spans="1:24" ht="12.75" customHeight="1" x14ac:dyDescent="0.2">
      <c r="A1594" s="7"/>
      <c r="B1594" s="7" t="s">
        <v>205</v>
      </c>
      <c r="C1594" s="3"/>
      <c r="D1594" s="3" t="s">
        <v>387</v>
      </c>
      <c r="E1594" s="4"/>
      <c r="F1594" s="3" t="s">
        <v>131</v>
      </c>
      <c r="G1594" s="9"/>
      <c r="H1594" s="9"/>
      <c r="I1594" s="12"/>
      <c r="J1594" s="5" t="e">
        <f>SUM(SUMIFS(#REF!,#REF!,Planning[[#This Row],[Tipo de Tarea y especialidad]],#REF!,Planning[[#This Row],[Proyectos Reiwa]]),SUMIFS(#REF!,#REF!,Planning[[#This Row],[Tipo de Tarea y especialidad]],#REF!,Planning[[#This Row],[Proyectos]]))</f>
        <v>#REF!</v>
      </c>
      <c r="K1594" s="5" t="e">
        <f>Planning[[#This Row],[Horas Planificadas]]+Planning[[#This Row],[Horas ajustadas adicionales]]-Planning[[#This Row],[Horas utilizadas]]</f>
        <v>#REF!</v>
      </c>
      <c r="L1594" s="7"/>
      <c r="M1594" s="19" t="e">
        <f>Planning[[#This Row],[Saldo]]-Planning[[#This Row],[Saldo estimado]]</f>
        <v>#REF!</v>
      </c>
      <c r="N1594" s="60" t="e">
        <f>+SUMIFS(#REF!,#REF!,Planning[[#This Row],[Proyectos]],#REF!,Planning[[#This Row],[Tipo de Tarea y especialidad]])</f>
        <v>#REF!</v>
      </c>
      <c r="O1594" s="19">
        <f t="shared" si="48"/>
        <v>10</v>
      </c>
      <c r="P1594" s="19">
        <f t="shared" si="49"/>
        <v>2024</v>
      </c>
      <c r="Q15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94" s="19" t="str">
        <f>TEXT(Planning[[#This Row],[Mes]]*29,"mmmm")</f>
        <v>October</v>
      </c>
      <c r="S15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94" s="193"/>
      <c r="U1594" s="43">
        <f>IF(Planning[[#This Row],[Horas Planificadas]]&lt;&gt;0,+K1594/Planning[[#This Row],[Horas Planificadas]],0)</f>
        <v>0</v>
      </c>
      <c r="V1594" s="43">
        <f>IF(Planning[[#This Row],[Horas Planificadas]]&lt;&gt;0,Planning[[#This Row],[Horas utilizadas]]/Planning[[#This Row],[Horas Planificadas]],0)</f>
        <v>0</v>
      </c>
      <c r="W1594" s="44">
        <f>Planning[[#This Row],[Horas Planificadas]]+Planning[[#This Row],[Horas ajustadas adicionales]]</f>
        <v>0</v>
      </c>
      <c r="X1594" s="142"/>
    </row>
    <row r="1595" spans="1:24" ht="12.75" customHeight="1" x14ac:dyDescent="0.2">
      <c r="A1595" s="7" t="s">
        <v>389</v>
      </c>
      <c r="B1595" s="7" t="s">
        <v>178</v>
      </c>
      <c r="C1595" s="3"/>
      <c r="D1595" s="3" t="s">
        <v>390</v>
      </c>
      <c r="E1595" s="4" t="s">
        <v>28</v>
      </c>
      <c r="F1595" s="3"/>
      <c r="G1595" s="9">
        <v>1714</v>
      </c>
      <c r="H1595" s="14">
        <f>SUM(H1596:H1597)</f>
        <v>2340</v>
      </c>
      <c r="I1595" s="14"/>
      <c r="J1595" s="14" t="e">
        <f>SUM(J1596:J1597)</f>
        <v>#REF!</v>
      </c>
      <c r="K1595" s="15" t="e">
        <f>SUM(K1596:K1597)</f>
        <v>#REF!</v>
      </c>
      <c r="L1595" s="15">
        <f>SUM(L1596:L1597)</f>
        <v>0</v>
      </c>
      <c r="M1595" s="28" t="e">
        <f>SUM(M1596:M1597)</f>
        <v>#REF!</v>
      </c>
      <c r="N1595" s="61" t="e">
        <f>+SUMIFS(#REF!,#REF!,Planning[[#This Row],[Proyectos]],#REF!,Planning[[#This Row],[Tipo de Tarea y especialidad]])</f>
        <v>#REF!</v>
      </c>
      <c r="O1595" s="28">
        <f t="shared" si="48"/>
        <v>10</v>
      </c>
      <c r="P1595" s="28">
        <f t="shared" si="49"/>
        <v>2024</v>
      </c>
      <c r="Q1595" s="28" t="e">
        <f>SUM(Q1596:Q1597)</f>
        <v>#REF!</v>
      </c>
      <c r="R1595" s="28" t="str">
        <f>TEXT(Planning[[#This Row],[Mes]]*29,"mmmm")</f>
        <v>October</v>
      </c>
      <c r="S15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95" s="192" t="s">
        <v>391</v>
      </c>
      <c r="U1595" s="43" t="e">
        <f>IF(Planning[[#This Row],[Horas Planificadas]]&lt;&gt;0,+K1595/Planning[[#This Row],[Horas Planificadas]],0)</f>
        <v>#REF!</v>
      </c>
      <c r="V1595" s="43" t="e">
        <f>IF(Planning[[#This Row],[Horas Planificadas]]&lt;&gt;0,Planning[[#This Row],[Horas utilizadas]]/Planning[[#This Row],[Horas Planificadas]],0)</f>
        <v>#REF!</v>
      </c>
      <c r="W1595" s="44">
        <f>Planning[[#This Row],[Horas Planificadas]]+Planning[[#This Row],[Horas ajustadas adicionales]]</f>
        <v>2340</v>
      </c>
      <c r="X1595" s="142"/>
    </row>
    <row r="1596" spans="1:24" ht="12.75" customHeight="1" x14ac:dyDescent="0.2">
      <c r="A1596" s="7" t="s">
        <v>389</v>
      </c>
      <c r="B1596" s="7" t="s">
        <v>178</v>
      </c>
      <c r="C1596" s="3"/>
      <c r="D1596" s="3" t="s">
        <v>390</v>
      </c>
      <c r="E1596" s="4"/>
      <c r="F1596" s="3" t="s">
        <v>120</v>
      </c>
      <c r="G1596" s="9"/>
      <c r="H1596" s="9">
        <v>1720</v>
      </c>
      <c r="I1596" s="12"/>
      <c r="J1596" s="5" t="e">
        <f>SUM(SUMIFS(#REF!,#REF!,Planning[[#This Row],[Tipo de Tarea y especialidad]],#REF!,Planning[[#This Row],[Proyectos Reiwa]]),SUMIFS(#REF!,#REF!,Planning[[#This Row],[Tipo de Tarea y especialidad]],#REF!,Planning[[#This Row],[Proyectos]]))</f>
        <v>#REF!</v>
      </c>
      <c r="K1596" s="5" t="e">
        <f>Planning[[#This Row],[Horas Planificadas]]+Planning[[#This Row],[Horas ajustadas adicionales]]-Planning[[#This Row],[Horas utilizadas]]</f>
        <v>#REF!</v>
      </c>
      <c r="L1596" s="7">
        <v>0</v>
      </c>
      <c r="M1596" s="19" t="e">
        <f>Planning[[#This Row],[Saldo]]-Planning[[#This Row],[Saldo estimado]]</f>
        <v>#REF!</v>
      </c>
      <c r="N1596" s="60" t="e">
        <f>+SUMIFS(#REF!,#REF!,Planning[[#This Row],[Proyectos]],#REF!,Planning[[#This Row],[Tipo de Tarea y especialidad]])</f>
        <v>#REF!</v>
      </c>
      <c r="O1596" s="19">
        <f t="shared" si="48"/>
        <v>10</v>
      </c>
      <c r="P1596" s="19">
        <f t="shared" si="49"/>
        <v>2024</v>
      </c>
      <c r="Q15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96" s="19" t="str">
        <f>TEXT(Planning[[#This Row],[Mes]]*29,"mmmm")</f>
        <v>October</v>
      </c>
      <c r="S15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96" s="193"/>
      <c r="U1596" s="43" t="e">
        <f>IF(Planning[[#This Row],[Horas Planificadas]]&lt;&gt;0,+K1596/Planning[[#This Row],[Horas Planificadas]],0)</f>
        <v>#REF!</v>
      </c>
      <c r="V1596" s="43" t="e">
        <f>IF(Planning[[#This Row],[Horas Planificadas]]&lt;&gt;0,Planning[[#This Row],[Horas utilizadas]]/Planning[[#This Row],[Horas Planificadas]],0)</f>
        <v>#REF!</v>
      </c>
      <c r="W1596" s="44">
        <f>Planning[[#This Row],[Horas Planificadas]]+Planning[[#This Row],[Horas ajustadas adicionales]]</f>
        <v>1720</v>
      </c>
      <c r="X1596" s="142"/>
    </row>
    <row r="1597" spans="1:24" ht="12.75" customHeight="1" x14ac:dyDescent="0.2">
      <c r="A1597" s="7" t="s">
        <v>389</v>
      </c>
      <c r="B1597" s="7" t="s">
        <v>178</v>
      </c>
      <c r="C1597" s="3"/>
      <c r="D1597" s="3" t="s">
        <v>390</v>
      </c>
      <c r="E1597" s="4"/>
      <c r="F1597" s="3" t="s">
        <v>121</v>
      </c>
      <c r="G1597" s="9"/>
      <c r="H1597" s="9">
        <v>620</v>
      </c>
      <c r="I1597" s="12"/>
      <c r="J1597" s="5" t="e">
        <f>SUM(SUMIFS(#REF!,#REF!,Planning[[#This Row],[Tipo de Tarea y especialidad]],#REF!,Planning[[#This Row],[Proyectos Reiwa]]),SUMIFS(#REF!,#REF!,Planning[[#This Row],[Tipo de Tarea y especialidad]],#REF!,Planning[[#This Row],[Proyectos]]))</f>
        <v>#REF!</v>
      </c>
      <c r="K1597" s="5" t="e">
        <f>Planning[[#This Row],[Horas Planificadas]]+Planning[[#This Row],[Horas ajustadas adicionales]]-Planning[[#This Row],[Horas utilizadas]]</f>
        <v>#REF!</v>
      </c>
      <c r="L1597" s="7">
        <v>0</v>
      </c>
      <c r="M1597" s="19" t="e">
        <f>Planning[[#This Row],[Saldo]]-Planning[[#This Row],[Saldo estimado]]</f>
        <v>#REF!</v>
      </c>
      <c r="N1597" s="60" t="e">
        <f>+SUMIFS(#REF!,#REF!,Planning[[#This Row],[Proyectos]],#REF!,Planning[[#This Row],[Tipo de Tarea y especialidad]])</f>
        <v>#REF!</v>
      </c>
      <c r="O1597" s="19">
        <f t="shared" si="48"/>
        <v>10</v>
      </c>
      <c r="P1597" s="19">
        <f t="shared" si="49"/>
        <v>2024</v>
      </c>
      <c r="Q15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97" s="19" t="str">
        <f>TEXT(Planning[[#This Row],[Mes]]*29,"mmmm")</f>
        <v>October</v>
      </c>
      <c r="S15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97" s="193"/>
      <c r="U1597" s="43" t="e">
        <f>IF(Planning[[#This Row],[Horas Planificadas]]&lt;&gt;0,+K1597/Planning[[#This Row],[Horas Planificadas]],0)</f>
        <v>#REF!</v>
      </c>
      <c r="V1597" s="43" t="e">
        <f>IF(Planning[[#This Row],[Horas Planificadas]]&lt;&gt;0,Planning[[#This Row],[Horas utilizadas]]/Planning[[#This Row],[Horas Planificadas]],0)</f>
        <v>#REF!</v>
      </c>
      <c r="W1597" s="44">
        <f>Planning[[#This Row],[Horas Planificadas]]+Planning[[#This Row],[Horas ajustadas adicionales]]</f>
        <v>620</v>
      </c>
      <c r="X1597" s="142"/>
    </row>
    <row r="1598" spans="1:24" ht="12.75" customHeight="1" x14ac:dyDescent="0.2">
      <c r="A1598" s="7" t="s">
        <v>389</v>
      </c>
      <c r="B1598" s="7" t="s">
        <v>178</v>
      </c>
      <c r="C1598" s="3"/>
      <c r="D1598" s="3" t="s">
        <v>390</v>
      </c>
      <c r="E1598" s="4" t="s">
        <v>30</v>
      </c>
      <c r="F1598" s="3"/>
      <c r="G1598" s="9">
        <v>2254</v>
      </c>
      <c r="H1598" s="25">
        <f>SUM(H1599:H1605)</f>
        <v>2141</v>
      </c>
      <c r="I1598" s="14"/>
      <c r="J1598" s="14" t="e">
        <f>SUM(J1599:J1605)</f>
        <v>#REF!</v>
      </c>
      <c r="K1598" s="18" t="e">
        <f>SUM(K1599:K1605)</f>
        <v>#REF!</v>
      </c>
      <c r="L1598" s="15">
        <f>SUM(L1599:L1605)</f>
        <v>0</v>
      </c>
      <c r="M1598" s="16" t="e">
        <f>SUM(M1599:M1605)</f>
        <v>#REF!</v>
      </c>
      <c r="N1598" s="60" t="e">
        <f>+SUMIFS(#REF!,#REF!,Planning[[#This Row],[Proyectos]],#REF!,Planning[[#This Row],[Tipo de Tarea y especialidad]])</f>
        <v>#REF!</v>
      </c>
      <c r="O1598" s="16">
        <f t="shared" si="48"/>
        <v>10</v>
      </c>
      <c r="P1598" s="16">
        <f t="shared" si="49"/>
        <v>2024</v>
      </c>
      <c r="Q1598" s="16" t="e">
        <f>SUM(Q1599:Q1605)</f>
        <v>#REF!</v>
      </c>
      <c r="R1598" s="16" t="str">
        <f>TEXT(Planning[[#This Row],[Mes]]*29,"mmmm")</f>
        <v>October</v>
      </c>
      <c r="S15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98" s="193"/>
      <c r="U1598" s="43" t="e">
        <f>IF(Planning[[#This Row],[Horas Planificadas]]&lt;&gt;0,+K1598/Planning[[#This Row],[Horas Planificadas]],0)</f>
        <v>#REF!</v>
      </c>
      <c r="V1598" s="43" t="e">
        <f>IF(Planning[[#This Row],[Horas Planificadas]]&lt;&gt;0,Planning[[#This Row],[Horas utilizadas]]/Planning[[#This Row],[Horas Planificadas]],0)</f>
        <v>#REF!</v>
      </c>
      <c r="W1598" s="44">
        <f>Planning[[#This Row],[Horas Planificadas]]+Planning[[#This Row],[Horas ajustadas adicionales]]</f>
        <v>2141</v>
      </c>
      <c r="X1598" s="142"/>
    </row>
    <row r="1599" spans="1:24" ht="12.75" customHeight="1" x14ac:dyDescent="0.2">
      <c r="A1599" s="7" t="s">
        <v>389</v>
      </c>
      <c r="B1599" s="7" t="s">
        <v>178</v>
      </c>
      <c r="C1599" s="3"/>
      <c r="D1599" s="3" t="s">
        <v>390</v>
      </c>
      <c r="E1599" s="4"/>
      <c r="F1599" s="3" t="s">
        <v>122</v>
      </c>
      <c r="G1599" s="9"/>
      <c r="H1599" s="12">
        <v>827</v>
      </c>
      <c r="I1599" s="12"/>
      <c r="J1599" s="5" t="e">
        <f>SUM(SUMIFS(#REF!,#REF!,Planning[[#This Row],[Tipo de Tarea y especialidad]],#REF!,Planning[[#This Row],[Proyectos Reiwa]]),SUMIFS(#REF!,#REF!,Planning[[#This Row],[Tipo de Tarea y especialidad]],#REF!,Planning[[#This Row],[Proyectos]]))</f>
        <v>#REF!</v>
      </c>
      <c r="K1599" s="27" t="e">
        <f>Planning[[#This Row],[Horas Planificadas]]+Planning[[#This Row],[Horas ajustadas adicionales]]-Planning[[#This Row],[Horas utilizadas]]</f>
        <v>#REF!</v>
      </c>
      <c r="L1599" s="7">
        <v>0</v>
      </c>
      <c r="M1599" s="34" t="e">
        <f>Planning[[#This Row],[Saldo]]-Planning[[#This Row],[Saldo estimado]]</f>
        <v>#REF!</v>
      </c>
      <c r="N1599" s="62" t="e">
        <f>+SUMIFS(#REF!,#REF!,Planning[[#This Row],[Proyectos]],#REF!,Planning[[#This Row],[Tipo de Tarea y especialidad]])</f>
        <v>#REF!</v>
      </c>
      <c r="O1599" s="34">
        <f t="shared" si="48"/>
        <v>10</v>
      </c>
      <c r="P1599" s="34">
        <f t="shared" si="49"/>
        <v>2024</v>
      </c>
      <c r="Q15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599" s="19" t="str">
        <f>TEXT(Planning[[#This Row],[Mes]]*29,"mmmm")</f>
        <v>October</v>
      </c>
      <c r="S15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599" s="193"/>
      <c r="U1599" s="43" t="e">
        <f>IF(Planning[[#This Row],[Horas Planificadas]]&lt;&gt;0,+K1599/Planning[[#This Row],[Horas Planificadas]],0)</f>
        <v>#REF!</v>
      </c>
      <c r="V1599" s="43" t="e">
        <f>IF(Planning[[#This Row],[Horas Planificadas]]&lt;&gt;0,Planning[[#This Row],[Horas utilizadas]]/Planning[[#This Row],[Horas Planificadas]],0)</f>
        <v>#REF!</v>
      </c>
      <c r="W1599" s="44">
        <f>Planning[[#This Row],[Horas Planificadas]]+Planning[[#This Row],[Horas ajustadas adicionales]]</f>
        <v>827</v>
      </c>
      <c r="X1599" s="142"/>
    </row>
    <row r="1600" spans="1:24" ht="12.75" customHeight="1" x14ac:dyDescent="0.2">
      <c r="A1600" s="7" t="s">
        <v>389</v>
      </c>
      <c r="B1600" s="7" t="s">
        <v>178</v>
      </c>
      <c r="C1600" s="3"/>
      <c r="D1600" s="3" t="s">
        <v>390</v>
      </c>
      <c r="E1600" s="4"/>
      <c r="F1600" s="3" t="s">
        <v>123</v>
      </c>
      <c r="G1600" s="9"/>
      <c r="H1600" s="9">
        <v>794</v>
      </c>
      <c r="I1600" s="12"/>
      <c r="J1600" s="5" t="e">
        <f>SUM(SUMIFS(#REF!,#REF!,Planning[[#This Row],[Tipo de Tarea y especialidad]],#REF!,Planning[[#This Row],[Proyectos Reiwa]]),SUMIFS(#REF!,#REF!,Planning[[#This Row],[Tipo de Tarea y especialidad]],#REF!,Planning[[#This Row],[Proyectos]]))</f>
        <v>#REF!</v>
      </c>
      <c r="K1600" s="5" t="e">
        <f>Planning[[#This Row],[Horas Planificadas]]+Planning[[#This Row],[Horas ajustadas adicionales]]-Planning[[#This Row],[Horas utilizadas]]</f>
        <v>#REF!</v>
      </c>
      <c r="L1600" s="7">
        <v>0</v>
      </c>
      <c r="M1600" s="19" t="e">
        <f>Planning[[#This Row],[Saldo]]-Planning[[#This Row],[Saldo estimado]]</f>
        <v>#REF!</v>
      </c>
      <c r="N1600" s="60" t="e">
        <f>+SUMIFS(#REF!,#REF!,Planning[[#This Row],[Proyectos]],#REF!,Planning[[#This Row],[Tipo de Tarea y especialidad]])</f>
        <v>#REF!</v>
      </c>
      <c r="O1600" s="19">
        <f t="shared" si="48"/>
        <v>10</v>
      </c>
      <c r="P1600" s="19">
        <f t="shared" si="49"/>
        <v>2024</v>
      </c>
      <c r="Q16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00" s="19" t="str">
        <f>TEXT(Planning[[#This Row],[Mes]]*29,"mmmm")</f>
        <v>October</v>
      </c>
      <c r="S16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00" s="193"/>
      <c r="U1600" s="43" t="e">
        <f>IF(Planning[[#This Row],[Horas Planificadas]]&lt;&gt;0,+K1600/Planning[[#This Row],[Horas Planificadas]],0)</f>
        <v>#REF!</v>
      </c>
      <c r="V1600" s="43" t="e">
        <f>IF(Planning[[#This Row],[Horas Planificadas]]&lt;&gt;0,Planning[[#This Row],[Horas utilizadas]]/Planning[[#This Row],[Horas Planificadas]],0)</f>
        <v>#REF!</v>
      </c>
      <c r="W1600" s="44">
        <f>Planning[[#This Row],[Horas Planificadas]]+Planning[[#This Row],[Horas ajustadas adicionales]]</f>
        <v>794</v>
      </c>
      <c r="X1600" s="142"/>
    </row>
    <row r="1601" spans="1:24" ht="12.75" customHeight="1" x14ac:dyDescent="0.2">
      <c r="A1601" s="7" t="s">
        <v>389</v>
      </c>
      <c r="B1601" s="7" t="s">
        <v>178</v>
      </c>
      <c r="C1601" s="3"/>
      <c r="D1601" s="3" t="s">
        <v>390</v>
      </c>
      <c r="E1601" s="4"/>
      <c r="F1601" s="3" t="s">
        <v>124</v>
      </c>
      <c r="G1601" s="9"/>
      <c r="H1601" s="9">
        <v>520</v>
      </c>
      <c r="I1601" s="12"/>
      <c r="J1601" s="5" t="e">
        <f>SUM(SUMIFS(#REF!,#REF!,Planning[[#This Row],[Tipo de Tarea y especialidad]],#REF!,Planning[[#This Row],[Proyectos Reiwa]]),SUMIFS(#REF!,#REF!,Planning[[#This Row],[Tipo de Tarea y especialidad]],#REF!,Planning[[#This Row],[Proyectos]]))</f>
        <v>#REF!</v>
      </c>
      <c r="K1601" s="5" t="e">
        <f>Planning[[#This Row],[Horas Planificadas]]+Planning[[#This Row],[Horas ajustadas adicionales]]-Planning[[#This Row],[Horas utilizadas]]</f>
        <v>#REF!</v>
      </c>
      <c r="L1601" s="7">
        <v>0</v>
      </c>
      <c r="M1601" s="19" t="e">
        <f>Planning[[#This Row],[Saldo]]-Planning[[#This Row],[Saldo estimado]]</f>
        <v>#REF!</v>
      </c>
      <c r="N1601" s="60" t="e">
        <f>+SUMIFS(#REF!,#REF!,Planning[[#This Row],[Proyectos]],#REF!,Planning[[#This Row],[Tipo de Tarea y especialidad]])</f>
        <v>#REF!</v>
      </c>
      <c r="O1601" s="19">
        <f t="shared" si="48"/>
        <v>10</v>
      </c>
      <c r="P1601" s="19">
        <f t="shared" si="49"/>
        <v>2024</v>
      </c>
      <c r="Q16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01" s="19" t="str">
        <f>TEXT(Planning[[#This Row],[Mes]]*29,"mmmm")</f>
        <v>October</v>
      </c>
      <c r="S16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01" s="193"/>
      <c r="U1601" s="43" t="e">
        <f>IF(Planning[[#This Row],[Horas Planificadas]]&lt;&gt;0,+K1601/Planning[[#This Row],[Horas Planificadas]],0)</f>
        <v>#REF!</v>
      </c>
      <c r="V1601" s="43" t="e">
        <f>IF(Planning[[#This Row],[Horas Planificadas]]&lt;&gt;0,Planning[[#This Row],[Horas utilizadas]]/Planning[[#This Row],[Horas Planificadas]],0)</f>
        <v>#REF!</v>
      </c>
      <c r="W1601" s="44">
        <f>Planning[[#This Row],[Horas Planificadas]]+Planning[[#This Row],[Horas ajustadas adicionales]]</f>
        <v>520</v>
      </c>
      <c r="X1601" s="142"/>
    </row>
    <row r="1602" spans="1:24" ht="12.75" customHeight="1" x14ac:dyDescent="0.2">
      <c r="A1602" s="7" t="s">
        <v>389</v>
      </c>
      <c r="B1602" s="7" t="s">
        <v>178</v>
      </c>
      <c r="C1602" s="3"/>
      <c r="D1602" s="3" t="s">
        <v>390</v>
      </c>
      <c r="E1602" s="4"/>
      <c r="F1602" s="3" t="s">
        <v>125</v>
      </c>
      <c r="G1602" s="9"/>
      <c r="H1602" s="12"/>
      <c r="I1602" s="12"/>
      <c r="J1602" s="5" t="e">
        <f>SUM(SUMIFS(#REF!,#REF!,Planning[[#This Row],[Tipo de Tarea y especialidad]],#REF!,Planning[[#This Row],[Proyectos Reiwa]]),SUMIFS(#REF!,#REF!,Planning[[#This Row],[Tipo de Tarea y especialidad]],#REF!,Planning[[#This Row],[Proyectos]]))</f>
        <v>#REF!</v>
      </c>
      <c r="K1602" s="27" t="e">
        <f>Planning[[#This Row],[Horas Planificadas]]+Planning[[#This Row],[Horas ajustadas adicionales]]-Planning[[#This Row],[Horas utilizadas]]</f>
        <v>#REF!</v>
      </c>
      <c r="L1602" s="7"/>
      <c r="M1602" s="19" t="e">
        <f>Planning[[#This Row],[Saldo]]-Planning[[#This Row],[Saldo estimado]]</f>
        <v>#REF!</v>
      </c>
      <c r="N1602" s="60" t="e">
        <f>+SUMIFS(#REF!,#REF!,Planning[[#This Row],[Proyectos]],#REF!,Planning[[#This Row],[Tipo de Tarea y especialidad]])</f>
        <v>#REF!</v>
      </c>
      <c r="O1602" s="19">
        <f t="shared" si="48"/>
        <v>10</v>
      </c>
      <c r="P1602" s="19">
        <f t="shared" si="49"/>
        <v>2024</v>
      </c>
      <c r="Q16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02" s="19" t="str">
        <f>TEXT(Planning[[#This Row],[Mes]]*29,"mmmm")</f>
        <v>October</v>
      </c>
      <c r="S16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02" s="193"/>
      <c r="U1602" s="43">
        <f>IF(Planning[[#This Row],[Horas Planificadas]]&lt;&gt;0,+K1602/Planning[[#This Row],[Horas Planificadas]],0)</f>
        <v>0</v>
      </c>
      <c r="V1602" s="43">
        <f>IF(Planning[[#This Row],[Horas Planificadas]]&lt;&gt;0,Planning[[#This Row],[Horas utilizadas]]/Planning[[#This Row],[Horas Planificadas]],0)</f>
        <v>0</v>
      </c>
      <c r="W1602" s="44">
        <f>Planning[[#This Row],[Horas Planificadas]]+Planning[[#This Row],[Horas ajustadas adicionales]]</f>
        <v>0</v>
      </c>
      <c r="X1602" s="142"/>
    </row>
    <row r="1603" spans="1:24" ht="12.75" customHeight="1" x14ac:dyDescent="0.2">
      <c r="A1603" s="7" t="s">
        <v>389</v>
      </c>
      <c r="B1603" s="7" t="s">
        <v>178</v>
      </c>
      <c r="C1603" s="3"/>
      <c r="D1603" s="3" t="s">
        <v>390</v>
      </c>
      <c r="E1603" s="4"/>
      <c r="F1603" s="3" t="s">
        <v>126</v>
      </c>
      <c r="G1603" s="9"/>
      <c r="H1603" s="9"/>
      <c r="I1603" s="12"/>
      <c r="J1603" s="5" t="e">
        <f>SUM(SUMIFS(#REF!,#REF!,Planning[[#This Row],[Tipo de Tarea y especialidad]],#REF!,Planning[[#This Row],[Proyectos Reiwa]]),SUMIFS(#REF!,#REF!,Planning[[#This Row],[Tipo de Tarea y especialidad]],#REF!,Planning[[#This Row],[Proyectos]]))</f>
        <v>#REF!</v>
      </c>
      <c r="K1603" s="5" t="e">
        <f>Planning[[#This Row],[Horas Planificadas]]+Planning[[#This Row],[Horas ajustadas adicionales]]-Planning[[#This Row],[Horas utilizadas]]</f>
        <v>#REF!</v>
      </c>
      <c r="L1603" s="7"/>
      <c r="M1603" s="19" t="e">
        <f>Planning[[#This Row],[Saldo]]-Planning[[#This Row],[Saldo estimado]]</f>
        <v>#REF!</v>
      </c>
      <c r="N1603" s="60" t="e">
        <f>+SUMIFS(#REF!,#REF!,Planning[[#This Row],[Proyectos]],#REF!,Planning[[#This Row],[Tipo de Tarea y especialidad]])</f>
        <v>#REF!</v>
      </c>
      <c r="O1603" s="19">
        <f t="shared" si="48"/>
        <v>10</v>
      </c>
      <c r="P1603" s="19">
        <f t="shared" si="49"/>
        <v>2024</v>
      </c>
      <c r="Q16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03" s="19" t="str">
        <f>TEXT(Planning[[#This Row],[Mes]]*29,"mmmm")</f>
        <v>October</v>
      </c>
      <c r="S16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03" s="193"/>
      <c r="U1603" s="43">
        <f>IF(Planning[[#This Row],[Horas Planificadas]]&lt;&gt;0,+K1603/Planning[[#This Row],[Horas Planificadas]],0)</f>
        <v>0</v>
      </c>
      <c r="V1603" s="43">
        <f>IF(Planning[[#This Row],[Horas Planificadas]]&lt;&gt;0,Planning[[#This Row],[Horas utilizadas]]/Planning[[#This Row],[Horas Planificadas]],0)</f>
        <v>0</v>
      </c>
      <c r="W1603" s="44">
        <f>Planning[[#This Row],[Horas Planificadas]]+Planning[[#This Row],[Horas ajustadas adicionales]]</f>
        <v>0</v>
      </c>
      <c r="X1603" s="142"/>
    </row>
    <row r="1604" spans="1:24" ht="12.75" customHeight="1" x14ac:dyDescent="0.2">
      <c r="A1604" s="7" t="s">
        <v>389</v>
      </c>
      <c r="B1604" s="7" t="s">
        <v>178</v>
      </c>
      <c r="C1604" s="3"/>
      <c r="D1604" s="3" t="s">
        <v>390</v>
      </c>
      <c r="E1604" s="4"/>
      <c r="F1604" s="3" t="s">
        <v>127</v>
      </c>
      <c r="G1604" s="9"/>
      <c r="H1604" s="9"/>
      <c r="I1604" s="12"/>
      <c r="J1604" s="5" t="e">
        <f>SUM(SUMIFS(#REF!,#REF!,Planning[[#This Row],[Tipo de Tarea y especialidad]],#REF!,Planning[[#This Row],[Proyectos Reiwa]]),SUMIFS(#REF!,#REF!,Planning[[#This Row],[Tipo de Tarea y especialidad]],#REF!,Planning[[#This Row],[Proyectos]]))</f>
        <v>#REF!</v>
      </c>
      <c r="K1604" s="5" t="e">
        <f>Planning[[#This Row],[Horas Planificadas]]+Planning[[#This Row],[Horas ajustadas adicionales]]-Planning[[#This Row],[Horas utilizadas]]</f>
        <v>#REF!</v>
      </c>
      <c r="L1604" s="7"/>
      <c r="M1604" s="19" t="e">
        <f>Planning[[#This Row],[Saldo]]-Planning[[#This Row],[Saldo estimado]]</f>
        <v>#REF!</v>
      </c>
      <c r="N1604" s="60" t="e">
        <f>+SUMIFS(#REF!,#REF!,Planning[[#This Row],[Proyectos]],#REF!,Planning[[#This Row],[Tipo de Tarea y especialidad]])</f>
        <v>#REF!</v>
      </c>
      <c r="O1604" s="19">
        <f t="shared" si="48"/>
        <v>10</v>
      </c>
      <c r="P1604" s="19">
        <f t="shared" si="49"/>
        <v>2024</v>
      </c>
      <c r="Q16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04" s="19" t="str">
        <f>TEXT(Planning[[#This Row],[Mes]]*29,"mmmm")</f>
        <v>October</v>
      </c>
      <c r="S16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04" s="193"/>
      <c r="U1604" s="43">
        <f>IF(Planning[[#This Row],[Horas Planificadas]]&lt;&gt;0,+K1604/Planning[[#This Row],[Horas Planificadas]],0)</f>
        <v>0</v>
      </c>
      <c r="V1604" s="43">
        <f>IF(Planning[[#This Row],[Horas Planificadas]]&lt;&gt;0,Planning[[#This Row],[Horas utilizadas]]/Planning[[#This Row],[Horas Planificadas]],0)</f>
        <v>0</v>
      </c>
      <c r="W1604" s="44">
        <f>Planning[[#This Row],[Horas Planificadas]]+Planning[[#This Row],[Horas ajustadas adicionales]]</f>
        <v>0</v>
      </c>
      <c r="X1604" s="142"/>
    </row>
    <row r="1605" spans="1:24" ht="12.75" customHeight="1" x14ac:dyDescent="0.2">
      <c r="A1605" s="7" t="s">
        <v>389</v>
      </c>
      <c r="B1605" s="7" t="s">
        <v>178</v>
      </c>
      <c r="C1605" s="3"/>
      <c r="D1605" s="3" t="s">
        <v>390</v>
      </c>
      <c r="E1605" s="4"/>
      <c r="F1605" s="3" t="s">
        <v>128</v>
      </c>
      <c r="G1605" s="9"/>
      <c r="H1605" s="9"/>
      <c r="I1605" s="12"/>
      <c r="J1605" s="5" t="e">
        <f>SUM(SUMIFS(#REF!,#REF!,Planning[[#This Row],[Tipo de Tarea y especialidad]],#REF!,Planning[[#This Row],[Proyectos Reiwa]]),SUMIFS(#REF!,#REF!,Planning[[#This Row],[Tipo de Tarea y especialidad]],#REF!,Planning[[#This Row],[Proyectos]]))</f>
        <v>#REF!</v>
      </c>
      <c r="K1605" s="5" t="e">
        <f>Planning[[#This Row],[Horas Planificadas]]+Planning[[#This Row],[Horas ajustadas adicionales]]-Planning[[#This Row],[Horas utilizadas]]</f>
        <v>#REF!</v>
      </c>
      <c r="L1605" s="7"/>
      <c r="M1605" s="19" t="e">
        <f>Planning[[#This Row],[Saldo]]-Planning[[#This Row],[Saldo estimado]]</f>
        <v>#REF!</v>
      </c>
      <c r="N1605" s="60" t="e">
        <f>+SUMIFS(#REF!,#REF!,Planning[[#This Row],[Proyectos]],#REF!,Planning[[#This Row],[Tipo de Tarea y especialidad]])</f>
        <v>#REF!</v>
      </c>
      <c r="O1605" s="19">
        <f t="shared" si="48"/>
        <v>10</v>
      </c>
      <c r="P1605" s="19">
        <f t="shared" si="49"/>
        <v>2024</v>
      </c>
      <c r="Q16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05" s="19" t="str">
        <f>TEXT(Planning[[#This Row],[Mes]]*29,"mmmm")</f>
        <v>October</v>
      </c>
      <c r="S16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05" s="193"/>
      <c r="U1605" s="43">
        <f>IF(Planning[[#This Row],[Horas Planificadas]]&lt;&gt;0,+K1605/Planning[[#This Row],[Horas Planificadas]],0)</f>
        <v>0</v>
      </c>
      <c r="V1605" s="43">
        <f>IF(Planning[[#This Row],[Horas Planificadas]]&lt;&gt;0,Planning[[#This Row],[Horas utilizadas]]/Planning[[#This Row],[Horas Planificadas]],0)</f>
        <v>0</v>
      </c>
      <c r="W1605" s="44">
        <f>Planning[[#This Row],[Horas Planificadas]]+Planning[[#This Row],[Horas ajustadas adicionales]]</f>
        <v>0</v>
      </c>
      <c r="X1605" s="142"/>
    </row>
    <row r="1606" spans="1:24" ht="12.75" customHeight="1" x14ac:dyDescent="0.2">
      <c r="A1606" s="7" t="s">
        <v>389</v>
      </c>
      <c r="B1606" s="7" t="s">
        <v>178</v>
      </c>
      <c r="C1606" s="3"/>
      <c r="D1606" s="3" t="s">
        <v>390</v>
      </c>
      <c r="E1606" s="4" t="s">
        <v>31</v>
      </c>
      <c r="F1606" s="3" t="s">
        <v>31</v>
      </c>
      <c r="G1606" s="9">
        <v>403</v>
      </c>
      <c r="H1606" s="17">
        <v>403</v>
      </c>
      <c r="I1606" s="18"/>
      <c r="J1606" s="14" t="e">
        <f>+SUMIFS(#REF!,#REF!,Planning[[#This Row],[Tarifa]],#REF!,Planning[[#This Row],[Proyectos]])</f>
        <v>#REF!</v>
      </c>
      <c r="K1606" s="14" t="e">
        <f>Planning[[#This Row],[Horas Planificadas]]+Planning[[#This Row],[Horas ajustadas adicionales]]-Planning[[#This Row],[Horas utilizadas]]</f>
        <v>#REF!</v>
      </c>
      <c r="L1606" s="15">
        <v>0</v>
      </c>
      <c r="M1606" s="16" t="e">
        <f>Planning[[#This Row],[Saldo]]-Planning[[#This Row],[Saldo estimado]]</f>
        <v>#REF!</v>
      </c>
      <c r="N1606" s="60" t="e">
        <f>+SUMIFS(#REF!,#REF!,Planning[[#This Row],[Proyectos]],#REF!,Planning[[#This Row],[Tipo de Tarea y especialidad]])</f>
        <v>#REF!</v>
      </c>
      <c r="O1606" s="16">
        <f t="shared" si="48"/>
        <v>10</v>
      </c>
      <c r="P1606" s="16">
        <f t="shared" si="49"/>
        <v>2024</v>
      </c>
      <c r="Q1606" s="16" t="e">
        <f>+SUMIFS(#REF!,#REF!,Planning[[#This Row],[Tarifa]],#REF!,Planning[[#This Row],[Proyectos]],#REF!,Planning[[#This Row],[Mes]],#REF!,Planning[[#This Row],[Año]])</f>
        <v>#REF!</v>
      </c>
      <c r="R1606" s="16" t="str">
        <f>TEXT(Planning[[#This Row],[Mes]]*29,"mmmm")</f>
        <v>October</v>
      </c>
      <c r="S16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06" s="193"/>
      <c r="U1606" s="43" t="e">
        <f>IF(Planning[[#This Row],[Horas Planificadas]]&lt;&gt;0,+K1606/Planning[[#This Row],[Horas Planificadas]],0)</f>
        <v>#REF!</v>
      </c>
      <c r="V1606" s="43" t="e">
        <f>IF(Planning[[#This Row],[Horas Planificadas]]&lt;&gt;0,Planning[[#This Row],[Horas utilizadas]]/Planning[[#This Row],[Horas Planificadas]],0)</f>
        <v>#REF!</v>
      </c>
      <c r="W1606" s="44">
        <f>Planning[[#This Row],[Horas Planificadas]]+Planning[[#This Row],[Horas ajustadas adicionales]]</f>
        <v>403</v>
      </c>
      <c r="X1606" s="142"/>
    </row>
    <row r="1607" spans="1:24" ht="12.75" customHeight="1" x14ac:dyDescent="0.2">
      <c r="A1607" s="7" t="s">
        <v>389</v>
      </c>
      <c r="B1607" s="7" t="s">
        <v>178</v>
      </c>
      <c r="C1607" s="3"/>
      <c r="D1607" s="3" t="s">
        <v>390</v>
      </c>
      <c r="E1607" s="4" t="s">
        <v>32</v>
      </c>
      <c r="F1607" s="3"/>
      <c r="G1607" s="9">
        <v>709</v>
      </c>
      <c r="H1607" s="25">
        <f>SUM(H1608:H1610)</f>
        <v>730</v>
      </c>
      <c r="I1607" s="14"/>
      <c r="J1607" s="14" t="e">
        <f>SUM(J1608:J1610)</f>
        <v>#REF!</v>
      </c>
      <c r="K1607" s="18" t="e">
        <f>SUM(K1608:K1610)</f>
        <v>#REF!</v>
      </c>
      <c r="L1607" s="15">
        <f>SUM(L1608:L1610)</f>
        <v>0</v>
      </c>
      <c r="M1607" s="16" t="e">
        <f>SUM(M1608:M1610)</f>
        <v>#REF!</v>
      </c>
      <c r="N1607" s="60" t="e">
        <f>+SUMIFS(#REF!,#REF!,Planning[[#This Row],[Proyectos]],#REF!,Planning[[#This Row],[Tipo de Tarea y especialidad]])</f>
        <v>#REF!</v>
      </c>
      <c r="O1607" s="16">
        <f t="shared" ref="O1607:O1670" si="50">$L$4</f>
        <v>10</v>
      </c>
      <c r="P1607" s="16">
        <f t="shared" ref="P1607:P1670" si="51">$M$4</f>
        <v>2024</v>
      </c>
      <c r="Q1607" s="16" t="e">
        <f>SUM(Q1608:Q1610)</f>
        <v>#REF!</v>
      </c>
      <c r="R1607" s="16" t="str">
        <f>TEXT(Planning[[#This Row],[Mes]]*29,"mmmm")</f>
        <v>October</v>
      </c>
      <c r="S16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07" s="193"/>
      <c r="U1607" s="43" t="e">
        <f>IF(Planning[[#This Row],[Horas Planificadas]]&lt;&gt;0,+K1607/Planning[[#This Row],[Horas Planificadas]],0)</f>
        <v>#REF!</v>
      </c>
      <c r="V1607" s="43" t="e">
        <f>IF(Planning[[#This Row],[Horas Planificadas]]&lt;&gt;0,Planning[[#This Row],[Horas utilizadas]]/Planning[[#This Row],[Horas Planificadas]],0)</f>
        <v>#REF!</v>
      </c>
      <c r="W1607" s="44">
        <f>Planning[[#This Row],[Horas Planificadas]]+Planning[[#This Row],[Horas ajustadas adicionales]]</f>
        <v>730</v>
      </c>
      <c r="X1607" s="142"/>
    </row>
    <row r="1608" spans="1:24" ht="12.75" customHeight="1" x14ac:dyDescent="0.2">
      <c r="A1608" s="7" t="s">
        <v>389</v>
      </c>
      <c r="B1608" s="7" t="s">
        <v>178</v>
      </c>
      <c r="C1608" s="3"/>
      <c r="D1608" s="3" t="s">
        <v>390</v>
      </c>
      <c r="E1608" s="4"/>
      <c r="F1608" s="3" t="s">
        <v>129</v>
      </c>
      <c r="G1608" s="9"/>
      <c r="H1608" s="9">
        <v>300</v>
      </c>
      <c r="I1608" s="12"/>
      <c r="J1608" s="5" t="e">
        <f>SUM(SUMIFS(#REF!,#REF!,Planning[[#This Row],[Tipo de Tarea y especialidad]],#REF!,Planning[[#This Row],[Proyectos Reiwa]]),SUMIFS(#REF!,#REF!,Planning[[#This Row],[Tipo de Tarea y especialidad]],#REF!,Planning[[#This Row],[Proyectos]]))</f>
        <v>#REF!</v>
      </c>
      <c r="K1608" s="5" t="e">
        <f>Planning[[#This Row],[Horas Planificadas]]+Planning[[#This Row],[Horas ajustadas adicionales]]-Planning[[#This Row],[Horas utilizadas]]</f>
        <v>#REF!</v>
      </c>
      <c r="L1608" s="7">
        <v>0</v>
      </c>
      <c r="M1608" s="19" t="e">
        <f>Planning[[#This Row],[Saldo]]-Planning[[#This Row],[Saldo estimado]]</f>
        <v>#REF!</v>
      </c>
      <c r="N1608" s="60" t="e">
        <f>+SUMIFS(#REF!,#REF!,Planning[[#This Row],[Proyectos]],#REF!,Planning[[#This Row],[Tipo de Tarea y especialidad]])</f>
        <v>#REF!</v>
      </c>
      <c r="O1608" s="19">
        <f t="shared" si="50"/>
        <v>10</v>
      </c>
      <c r="P1608" s="19">
        <f t="shared" si="51"/>
        <v>2024</v>
      </c>
      <c r="Q16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08" s="19" t="str">
        <f>TEXT(Planning[[#This Row],[Mes]]*29,"mmmm")</f>
        <v>October</v>
      </c>
      <c r="S16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08" s="193"/>
      <c r="U1608" s="43" t="e">
        <f>IF(Planning[[#This Row],[Horas Planificadas]]&lt;&gt;0,+K1608/Planning[[#This Row],[Horas Planificadas]],0)</f>
        <v>#REF!</v>
      </c>
      <c r="V1608" s="43" t="e">
        <f>IF(Planning[[#This Row],[Horas Planificadas]]&lt;&gt;0,Planning[[#This Row],[Horas utilizadas]]/Planning[[#This Row],[Horas Planificadas]],0)</f>
        <v>#REF!</v>
      </c>
      <c r="W1608" s="44">
        <f>Planning[[#This Row],[Horas Planificadas]]+Planning[[#This Row],[Horas ajustadas adicionales]]</f>
        <v>300</v>
      </c>
      <c r="X1608" s="142"/>
    </row>
    <row r="1609" spans="1:24" ht="12.75" customHeight="1" x14ac:dyDescent="0.2">
      <c r="A1609" s="7" t="s">
        <v>389</v>
      </c>
      <c r="B1609" s="7" t="s">
        <v>178</v>
      </c>
      <c r="C1609" s="3"/>
      <c r="D1609" s="3" t="s">
        <v>390</v>
      </c>
      <c r="E1609" s="4"/>
      <c r="F1609" s="3" t="s">
        <v>130</v>
      </c>
      <c r="G1609" s="9"/>
      <c r="H1609" s="9">
        <v>270</v>
      </c>
      <c r="I1609" s="12"/>
      <c r="J1609" s="5" t="e">
        <f>SUM(SUMIFS(#REF!,#REF!,Planning[[#This Row],[Tipo de Tarea y especialidad]],#REF!,Planning[[#This Row],[Proyectos Reiwa]]),SUMIFS(#REF!,#REF!,Planning[[#This Row],[Tipo de Tarea y especialidad]],#REF!,Planning[[#This Row],[Proyectos]]))</f>
        <v>#REF!</v>
      </c>
      <c r="K1609" s="5" t="e">
        <f>Planning[[#This Row],[Horas Planificadas]]+Planning[[#This Row],[Horas ajustadas adicionales]]-Planning[[#This Row],[Horas utilizadas]]</f>
        <v>#REF!</v>
      </c>
      <c r="L1609" s="7">
        <v>0</v>
      </c>
      <c r="M1609" s="19" t="e">
        <f>Planning[[#This Row],[Saldo]]-Planning[[#This Row],[Saldo estimado]]</f>
        <v>#REF!</v>
      </c>
      <c r="N1609" s="60" t="e">
        <f>+SUMIFS(#REF!,#REF!,Planning[[#This Row],[Proyectos]],#REF!,Planning[[#This Row],[Tipo de Tarea y especialidad]])</f>
        <v>#REF!</v>
      </c>
      <c r="O1609" s="19">
        <f t="shared" si="50"/>
        <v>10</v>
      </c>
      <c r="P1609" s="19">
        <f t="shared" si="51"/>
        <v>2024</v>
      </c>
      <c r="Q16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09" s="19" t="str">
        <f>TEXT(Planning[[#This Row],[Mes]]*29,"mmmm")</f>
        <v>October</v>
      </c>
      <c r="S16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09" s="193"/>
      <c r="U1609" s="43" t="e">
        <f>IF(Planning[[#This Row],[Horas Planificadas]]&lt;&gt;0,+K1609/Planning[[#This Row],[Horas Planificadas]],0)</f>
        <v>#REF!</v>
      </c>
      <c r="V1609" s="43" t="e">
        <f>IF(Planning[[#This Row],[Horas Planificadas]]&lt;&gt;0,Planning[[#This Row],[Horas utilizadas]]/Planning[[#This Row],[Horas Planificadas]],0)</f>
        <v>#REF!</v>
      </c>
      <c r="W1609" s="44">
        <f>Planning[[#This Row],[Horas Planificadas]]+Planning[[#This Row],[Horas ajustadas adicionales]]</f>
        <v>270</v>
      </c>
      <c r="X1609" s="142"/>
    </row>
    <row r="1610" spans="1:24" ht="12.75" customHeight="1" x14ac:dyDescent="0.2">
      <c r="A1610" s="7" t="s">
        <v>389</v>
      </c>
      <c r="B1610" s="7" t="s">
        <v>178</v>
      </c>
      <c r="C1610" s="3"/>
      <c r="D1610" s="3" t="s">
        <v>390</v>
      </c>
      <c r="E1610" s="4"/>
      <c r="F1610" s="3" t="s">
        <v>131</v>
      </c>
      <c r="G1610" s="9"/>
      <c r="H1610" s="9">
        <v>160</v>
      </c>
      <c r="I1610" s="12"/>
      <c r="J1610" s="5" t="e">
        <f>SUM(SUMIFS(#REF!,#REF!,Planning[[#This Row],[Tipo de Tarea y especialidad]],#REF!,Planning[[#This Row],[Proyectos Reiwa]]),SUMIFS(#REF!,#REF!,Planning[[#This Row],[Tipo de Tarea y especialidad]],#REF!,Planning[[#This Row],[Proyectos]]))</f>
        <v>#REF!</v>
      </c>
      <c r="K1610" s="5" t="e">
        <f>Planning[[#This Row],[Horas Planificadas]]+Planning[[#This Row],[Horas ajustadas adicionales]]-Planning[[#This Row],[Horas utilizadas]]</f>
        <v>#REF!</v>
      </c>
      <c r="L1610" s="7">
        <v>0</v>
      </c>
      <c r="M1610" s="19" t="e">
        <f>Planning[[#This Row],[Saldo]]-Planning[[#This Row],[Saldo estimado]]</f>
        <v>#REF!</v>
      </c>
      <c r="N1610" s="60" t="e">
        <f>+SUMIFS(#REF!,#REF!,Planning[[#This Row],[Proyectos]],#REF!,Planning[[#This Row],[Tipo de Tarea y especialidad]])</f>
        <v>#REF!</v>
      </c>
      <c r="O1610" s="19">
        <f t="shared" si="50"/>
        <v>10</v>
      </c>
      <c r="P1610" s="19">
        <f t="shared" si="51"/>
        <v>2024</v>
      </c>
      <c r="Q16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10" s="19" t="str">
        <f>TEXT(Planning[[#This Row],[Mes]]*29,"mmmm")</f>
        <v>October</v>
      </c>
      <c r="S16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10" s="193"/>
      <c r="U1610" s="43" t="e">
        <f>IF(Planning[[#This Row],[Horas Planificadas]]&lt;&gt;0,+K1610/Planning[[#This Row],[Horas Planificadas]],0)</f>
        <v>#REF!</v>
      </c>
      <c r="V1610" s="43" t="e">
        <f>IF(Planning[[#This Row],[Horas Planificadas]]&lt;&gt;0,Planning[[#This Row],[Horas utilizadas]]/Planning[[#This Row],[Horas Planificadas]],0)</f>
        <v>#REF!</v>
      </c>
      <c r="W1610" s="44">
        <f>Planning[[#This Row],[Horas Planificadas]]+Planning[[#This Row],[Horas ajustadas adicionales]]</f>
        <v>160</v>
      </c>
      <c r="X1610" s="142"/>
    </row>
    <row r="1611" spans="1:24" ht="12.75" customHeight="1" x14ac:dyDescent="0.2">
      <c r="A1611" s="7"/>
      <c r="B1611" s="7"/>
      <c r="C1611" s="3"/>
      <c r="D1611" s="3" t="s">
        <v>392</v>
      </c>
      <c r="E1611" s="4" t="s">
        <v>28</v>
      </c>
      <c r="F1611" s="3"/>
      <c r="G1611" s="9"/>
      <c r="H1611" s="12">
        <v>0</v>
      </c>
      <c r="I1611" s="12"/>
      <c r="J1611" s="5" t="e">
        <f>+SUMIFS(#REF!,#REF!,Planning[[#This Row],[Tarifa]],#REF!,Planning[[#This Row],[Proyectos]])</f>
        <v>#REF!</v>
      </c>
      <c r="K1611" s="27" t="e">
        <f>Planning[[#This Row],[Horas Planificadas]]+Planning[[#This Row],[Horas ajustadas adicionales]]-Planning[[#This Row],[Horas utilizadas]]</f>
        <v>#REF!</v>
      </c>
      <c r="L1611" s="7"/>
      <c r="M1611" s="19" t="e">
        <f>Planning[[#This Row],[Saldo]]-Planning[[#This Row],[Saldo estimado]]</f>
        <v>#REF!</v>
      </c>
      <c r="N1611" s="60" t="e">
        <f>+SUMIFS(#REF!,#REF!,Planning[[#This Row],[Proyectos]],#REF!,Planning[[#This Row],[Tipo de Tarea y especialidad]])</f>
        <v>#REF!</v>
      </c>
      <c r="O1611" s="19">
        <f t="shared" si="50"/>
        <v>10</v>
      </c>
      <c r="P1611" s="19">
        <f t="shared" si="51"/>
        <v>2024</v>
      </c>
      <c r="Q1611" s="19" t="e">
        <f>+SUMIFS(#REF!,#REF!,Planning[[#This Row],[Tarifa]],#REF!,Planning[[#This Row],[Proyectos]],#REF!,Planning[[#This Row],[Mes]],#REF!,Planning[[#This Row],[Año]])</f>
        <v>#REF!</v>
      </c>
      <c r="R1611" s="19" t="str">
        <f>TEXT(Planning[[#This Row],[Mes]]*29,"mmmm")</f>
        <v>October</v>
      </c>
      <c r="S16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11" s="228"/>
      <c r="U1611" s="43">
        <f>IF(Planning[[#This Row],[Horas Planificadas]]&lt;&gt;0,+K1611/Planning[[#This Row],[Horas Planificadas]],0)</f>
        <v>0</v>
      </c>
      <c r="V1611" s="43">
        <f>IF(Planning[[#This Row],[Horas Planificadas]]&lt;&gt;0,Planning[[#This Row],[Horas utilizadas]]/Planning[[#This Row],[Horas Planificadas]],0)</f>
        <v>0</v>
      </c>
      <c r="W1611" s="44">
        <f>Planning[[#This Row],[Horas Planificadas]]+Planning[[#This Row],[Horas ajustadas adicionales]]</f>
        <v>0</v>
      </c>
      <c r="X1611" s="142"/>
    </row>
    <row r="1612" spans="1:24" ht="12.75" customHeight="1" x14ac:dyDescent="0.2">
      <c r="A1612" s="7"/>
      <c r="B1612" s="7"/>
      <c r="C1612" s="3"/>
      <c r="D1612" s="3" t="s">
        <v>392</v>
      </c>
      <c r="E1612" s="4" t="s">
        <v>30</v>
      </c>
      <c r="F1612" s="3"/>
      <c r="G1612" s="9"/>
      <c r="H1612" s="9">
        <v>96</v>
      </c>
      <c r="I1612" s="12"/>
      <c r="J1612" s="5" t="e">
        <f>+SUMIFS(#REF!,#REF!,Planning[[#This Row],[Tarifa]],#REF!,Planning[[#This Row],[Proyectos]])</f>
        <v>#REF!</v>
      </c>
      <c r="K1612" s="5" t="e">
        <f>Planning[[#This Row],[Horas Planificadas]]+Planning[[#This Row],[Horas ajustadas adicionales]]-Planning[[#This Row],[Horas utilizadas]]</f>
        <v>#REF!</v>
      </c>
      <c r="L1612" s="7"/>
      <c r="M1612" s="19" t="e">
        <f>Planning[[#This Row],[Saldo]]-Planning[[#This Row],[Saldo estimado]]</f>
        <v>#REF!</v>
      </c>
      <c r="N1612" s="60" t="e">
        <f>+SUMIFS(#REF!,#REF!,Planning[[#This Row],[Proyectos]],#REF!,Planning[[#This Row],[Tipo de Tarea y especialidad]])</f>
        <v>#REF!</v>
      </c>
      <c r="O1612" s="19">
        <f t="shared" si="50"/>
        <v>10</v>
      </c>
      <c r="P1612" s="19">
        <f t="shared" si="51"/>
        <v>2024</v>
      </c>
      <c r="Q1612" s="19" t="e">
        <f>+SUMIFS(#REF!,#REF!,Planning[[#This Row],[Tarifa]],#REF!,Planning[[#This Row],[Proyectos]],#REF!,Planning[[#This Row],[Mes]],#REF!,Planning[[#This Row],[Año]])</f>
        <v>#REF!</v>
      </c>
      <c r="R1612" s="19" t="str">
        <f>TEXT(Planning[[#This Row],[Mes]]*29,"mmmm")</f>
        <v>October</v>
      </c>
      <c r="S16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12" s="228"/>
      <c r="U1612" s="43" t="e">
        <f>IF(Planning[[#This Row],[Horas Planificadas]]&lt;&gt;0,+K1612/Planning[[#This Row],[Horas Planificadas]],0)</f>
        <v>#REF!</v>
      </c>
      <c r="V1612" s="43" t="e">
        <f>IF(Planning[[#This Row],[Horas Planificadas]]&lt;&gt;0,Planning[[#This Row],[Horas utilizadas]]/Planning[[#This Row],[Horas Planificadas]],0)</f>
        <v>#REF!</v>
      </c>
      <c r="W1612" s="44">
        <f>Planning[[#This Row],[Horas Planificadas]]+Planning[[#This Row],[Horas ajustadas adicionales]]</f>
        <v>96</v>
      </c>
      <c r="X1612" s="142"/>
    </row>
    <row r="1613" spans="1:24" ht="12.75" customHeight="1" x14ac:dyDescent="0.2">
      <c r="A1613" s="7"/>
      <c r="B1613" s="7"/>
      <c r="C1613" s="3"/>
      <c r="D1613" s="3" t="s">
        <v>392</v>
      </c>
      <c r="E1613" s="4" t="s">
        <v>31</v>
      </c>
      <c r="F1613" s="3"/>
      <c r="G1613" s="9"/>
      <c r="H1613" s="9">
        <v>36</v>
      </c>
      <c r="I1613" s="12"/>
      <c r="J1613" s="5" t="e">
        <f>+SUMIFS(#REF!,#REF!,Planning[[#This Row],[Tarifa]],#REF!,Planning[[#This Row],[Proyectos]])</f>
        <v>#REF!</v>
      </c>
      <c r="K1613" s="5" t="e">
        <f>Planning[[#This Row],[Horas Planificadas]]+Planning[[#This Row],[Horas ajustadas adicionales]]-Planning[[#This Row],[Horas utilizadas]]</f>
        <v>#REF!</v>
      </c>
      <c r="L1613" s="7"/>
      <c r="M1613" s="19" t="e">
        <f>Planning[[#This Row],[Saldo]]-Planning[[#This Row],[Saldo estimado]]</f>
        <v>#REF!</v>
      </c>
      <c r="N1613" s="60" t="e">
        <f>+SUMIFS(#REF!,#REF!,Planning[[#This Row],[Proyectos]],#REF!,Planning[[#This Row],[Tipo de Tarea y especialidad]])</f>
        <v>#REF!</v>
      </c>
      <c r="O1613" s="19">
        <f t="shared" si="50"/>
        <v>10</v>
      </c>
      <c r="P1613" s="19">
        <f t="shared" si="51"/>
        <v>2024</v>
      </c>
      <c r="Q1613" s="19" t="e">
        <f>+SUMIFS(#REF!,#REF!,Planning[[#This Row],[Tarifa]],#REF!,Planning[[#This Row],[Proyectos]],#REF!,Planning[[#This Row],[Mes]],#REF!,Planning[[#This Row],[Año]])</f>
        <v>#REF!</v>
      </c>
      <c r="R1613" s="19" t="str">
        <f>TEXT(Planning[[#This Row],[Mes]]*29,"mmmm")</f>
        <v>October</v>
      </c>
      <c r="S16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13" s="228"/>
      <c r="U1613" s="43" t="e">
        <f>IF(Planning[[#This Row],[Horas Planificadas]]&lt;&gt;0,+K1613/Planning[[#This Row],[Horas Planificadas]],0)</f>
        <v>#REF!</v>
      </c>
      <c r="V1613" s="43" t="e">
        <f>IF(Planning[[#This Row],[Horas Planificadas]]&lt;&gt;0,Planning[[#This Row],[Horas utilizadas]]/Planning[[#This Row],[Horas Planificadas]],0)</f>
        <v>#REF!</v>
      </c>
      <c r="W1613" s="44">
        <f>Planning[[#This Row],[Horas Planificadas]]+Planning[[#This Row],[Horas ajustadas adicionales]]</f>
        <v>36</v>
      </c>
      <c r="X1613" s="142"/>
    </row>
    <row r="1614" spans="1:24" ht="12.75" customHeight="1" x14ac:dyDescent="0.2">
      <c r="A1614" s="7"/>
      <c r="B1614" s="7"/>
      <c r="C1614" s="3"/>
      <c r="D1614" s="3" t="s">
        <v>392</v>
      </c>
      <c r="E1614" s="4" t="s">
        <v>32</v>
      </c>
      <c r="F1614" s="3"/>
      <c r="G1614" s="9"/>
      <c r="H1614" s="9">
        <v>171</v>
      </c>
      <c r="I1614" s="12"/>
      <c r="J1614" s="5" t="e">
        <f>+SUMIFS(#REF!,#REF!,Planning[[#This Row],[Tarifa]],#REF!,Planning[[#This Row],[Proyectos]])</f>
        <v>#REF!</v>
      </c>
      <c r="K1614" s="5" t="e">
        <f>Planning[[#This Row],[Horas Planificadas]]+Planning[[#This Row],[Horas ajustadas adicionales]]-Planning[[#This Row],[Horas utilizadas]]</f>
        <v>#REF!</v>
      </c>
      <c r="L1614" s="7"/>
      <c r="M1614" s="19" t="e">
        <f>Planning[[#This Row],[Saldo]]-Planning[[#This Row],[Saldo estimado]]</f>
        <v>#REF!</v>
      </c>
      <c r="N1614" s="60" t="e">
        <f>+SUMIFS(#REF!,#REF!,Planning[[#This Row],[Proyectos]],#REF!,Planning[[#This Row],[Tipo de Tarea y especialidad]])</f>
        <v>#REF!</v>
      </c>
      <c r="O1614" s="19">
        <f t="shared" si="50"/>
        <v>10</v>
      </c>
      <c r="P1614" s="19">
        <f t="shared" si="51"/>
        <v>2024</v>
      </c>
      <c r="Q1614" s="19" t="e">
        <f>+SUMIFS(#REF!,#REF!,Planning[[#This Row],[Tarifa]],#REF!,Planning[[#This Row],[Proyectos]],#REF!,Planning[[#This Row],[Mes]],#REF!,Planning[[#This Row],[Año]])</f>
        <v>#REF!</v>
      </c>
      <c r="R1614" s="19" t="str">
        <f>TEXT(Planning[[#This Row],[Mes]]*29,"mmmm")</f>
        <v>October</v>
      </c>
      <c r="S16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14" s="228"/>
      <c r="U1614" s="43" t="e">
        <f>IF(Planning[[#This Row],[Horas Planificadas]]&lt;&gt;0,+K1614/Planning[[#This Row],[Horas Planificadas]],0)</f>
        <v>#REF!</v>
      </c>
      <c r="V1614" s="43" t="e">
        <f>IF(Planning[[#This Row],[Horas Planificadas]]&lt;&gt;0,Planning[[#This Row],[Horas utilizadas]]/Planning[[#This Row],[Horas Planificadas]],0)</f>
        <v>#REF!</v>
      </c>
      <c r="W1614" s="44">
        <f>Planning[[#This Row],[Horas Planificadas]]+Planning[[#This Row],[Horas ajustadas adicionales]]</f>
        <v>171</v>
      </c>
      <c r="X1614" s="142"/>
    </row>
    <row r="1615" spans="1:24" ht="12.75" customHeight="1" x14ac:dyDescent="0.2">
      <c r="A1615" s="7" t="s">
        <v>294</v>
      </c>
      <c r="B1615" s="7" t="s">
        <v>393</v>
      </c>
      <c r="C1615" s="3"/>
      <c r="D1615" s="3" t="s">
        <v>394</v>
      </c>
      <c r="E1615" s="4" t="s">
        <v>28</v>
      </c>
      <c r="F1615" s="3"/>
      <c r="G1615" s="9">
        <v>360</v>
      </c>
      <c r="H1615" s="14">
        <f>SUM(H1616:H1617)</f>
        <v>360</v>
      </c>
      <c r="I1615" s="14"/>
      <c r="J1615" s="14" t="e">
        <f>SUM(J1616:J1617)</f>
        <v>#REF!</v>
      </c>
      <c r="K1615" s="15" t="e">
        <f>SUM(K1616:K1617)</f>
        <v>#REF!</v>
      </c>
      <c r="L1615" s="15">
        <f>SUM(L1616:L1617)</f>
        <v>116</v>
      </c>
      <c r="M1615" s="14" t="e">
        <f>SUM(M1616:M1617)</f>
        <v>#REF!</v>
      </c>
      <c r="N1615" s="66" t="e">
        <f>+SUMIFS(#REF!,#REF!,Planning[[#This Row],[Proyectos]],#REF!,Planning[[#This Row],[Tipo de Tarea y especialidad]])</f>
        <v>#REF!</v>
      </c>
      <c r="O1615" s="14">
        <f t="shared" si="50"/>
        <v>10</v>
      </c>
      <c r="P1615" s="14">
        <f t="shared" si="51"/>
        <v>2024</v>
      </c>
      <c r="Q1615" s="28" t="e">
        <f>SUM(Q1616:Q1617)</f>
        <v>#REF!</v>
      </c>
      <c r="R1615" s="28" t="str">
        <f>TEXT(Planning[[#This Row],[Mes]]*29,"mmmm")</f>
        <v>October</v>
      </c>
      <c r="S16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15" s="192" t="s">
        <v>395</v>
      </c>
      <c r="U1615" s="43" t="e">
        <f>IF(Planning[[#This Row],[Horas Planificadas]]&lt;&gt;0,+K1615/Planning[[#This Row],[Horas Planificadas]],0)</f>
        <v>#REF!</v>
      </c>
      <c r="V1615" s="43" t="e">
        <f>IF(Planning[[#This Row],[Horas Planificadas]]&lt;&gt;0,Planning[[#This Row],[Horas utilizadas]]/Planning[[#This Row],[Horas Planificadas]],0)</f>
        <v>#REF!</v>
      </c>
      <c r="W1615" s="44">
        <f>Planning[[#This Row],[Horas Planificadas]]+Planning[[#This Row],[Horas ajustadas adicionales]]</f>
        <v>360</v>
      </c>
      <c r="X1615" s="142"/>
    </row>
    <row r="1616" spans="1:24" ht="12.75" customHeight="1" x14ac:dyDescent="0.2">
      <c r="A1616" s="7" t="s">
        <v>294</v>
      </c>
      <c r="B1616" s="7" t="s">
        <v>393</v>
      </c>
      <c r="C1616" s="3"/>
      <c r="D1616" s="3" t="s">
        <v>394</v>
      </c>
      <c r="E1616" s="4"/>
      <c r="F1616" s="3" t="s">
        <v>120</v>
      </c>
      <c r="G1616" s="9"/>
      <c r="H1616" s="9">
        <v>200</v>
      </c>
      <c r="I1616" s="12"/>
      <c r="J1616" s="5" t="e">
        <f>SUM(SUMIFS(#REF!,#REF!,Planning[[#This Row],[Tipo de Tarea y especialidad]],#REF!,Planning[[#This Row],[Proyectos Reiwa]]),SUMIFS(#REF!,#REF!,Planning[[#This Row],[Tipo de Tarea y especialidad]],#REF!,Planning[[#This Row],[Proyectos]]))</f>
        <v>#REF!</v>
      </c>
      <c r="K1616" s="5" t="e">
        <f>Planning[[#This Row],[Horas Planificadas]]+Planning[[#This Row],[Horas ajustadas adicionales]]-Planning[[#This Row],[Horas utilizadas]]</f>
        <v>#REF!</v>
      </c>
      <c r="L1616" s="7">
        <v>-8</v>
      </c>
      <c r="M1616" s="19" t="e">
        <f>Planning[[#This Row],[Saldo]]-Planning[[#This Row],[Saldo estimado]]</f>
        <v>#REF!</v>
      </c>
      <c r="N1616" s="60" t="e">
        <f>+SUMIFS(#REF!,#REF!,Planning[[#This Row],[Proyectos]],#REF!,Planning[[#This Row],[Tipo de Tarea y especialidad]])</f>
        <v>#REF!</v>
      </c>
      <c r="O1616" s="19">
        <f t="shared" si="50"/>
        <v>10</v>
      </c>
      <c r="P1616" s="19">
        <f t="shared" si="51"/>
        <v>2024</v>
      </c>
      <c r="Q16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16" s="19" t="str">
        <f>TEXT(Planning[[#This Row],[Mes]]*29,"mmmm")</f>
        <v>October</v>
      </c>
      <c r="S16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16" s="193"/>
      <c r="U1616" s="43" t="e">
        <f>IF(Planning[[#This Row],[Horas Planificadas]]&lt;&gt;0,+K1616/Planning[[#This Row],[Horas Planificadas]],0)</f>
        <v>#REF!</v>
      </c>
      <c r="V1616" s="43" t="e">
        <f>IF(Planning[[#This Row],[Horas Planificadas]]&lt;&gt;0,Planning[[#This Row],[Horas utilizadas]]/Planning[[#This Row],[Horas Planificadas]],0)</f>
        <v>#REF!</v>
      </c>
      <c r="W1616" s="44">
        <f>Planning[[#This Row],[Horas Planificadas]]+Planning[[#This Row],[Horas ajustadas adicionales]]</f>
        <v>200</v>
      </c>
      <c r="X1616" s="142"/>
    </row>
    <row r="1617" spans="1:24" ht="12.75" customHeight="1" x14ac:dyDescent="0.2">
      <c r="A1617" s="7" t="s">
        <v>294</v>
      </c>
      <c r="B1617" s="7" t="s">
        <v>393</v>
      </c>
      <c r="C1617" s="3"/>
      <c r="D1617" s="3" t="s">
        <v>394</v>
      </c>
      <c r="E1617" s="4"/>
      <c r="F1617" s="3" t="s">
        <v>121</v>
      </c>
      <c r="G1617" s="9"/>
      <c r="H1617" s="9">
        <v>160</v>
      </c>
      <c r="I1617" s="12"/>
      <c r="J1617" s="5" t="e">
        <f>SUM(SUMIFS(#REF!,#REF!,Planning[[#This Row],[Tipo de Tarea y especialidad]],#REF!,Planning[[#This Row],[Proyectos Reiwa]]),SUMIFS(#REF!,#REF!,Planning[[#This Row],[Tipo de Tarea y especialidad]],#REF!,Planning[[#This Row],[Proyectos]]))</f>
        <v>#REF!</v>
      </c>
      <c r="K1617" s="5" t="e">
        <f>Planning[[#This Row],[Horas Planificadas]]+Planning[[#This Row],[Horas ajustadas adicionales]]-Planning[[#This Row],[Horas utilizadas]]</f>
        <v>#REF!</v>
      </c>
      <c r="L1617" s="7">
        <v>124</v>
      </c>
      <c r="M1617" s="19" t="e">
        <f>Planning[[#This Row],[Saldo]]-Planning[[#This Row],[Saldo estimado]]</f>
        <v>#REF!</v>
      </c>
      <c r="N1617" s="60" t="e">
        <f>+SUMIFS(#REF!,#REF!,Planning[[#This Row],[Proyectos]],#REF!,Planning[[#This Row],[Tipo de Tarea y especialidad]])</f>
        <v>#REF!</v>
      </c>
      <c r="O1617" s="19">
        <f t="shared" si="50"/>
        <v>10</v>
      </c>
      <c r="P1617" s="19">
        <f t="shared" si="51"/>
        <v>2024</v>
      </c>
      <c r="Q16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17" s="19" t="str">
        <f>TEXT(Planning[[#This Row],[Mes]]*29,"mmmm")</f>
        <v>October</v>
      </c>
      <c r="S16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17" s="193"/>
      <c r="U1617" s="43" t="e">
        <f>IF(Planning[[#This Row],[Horas Planificadas]]&lt;&gt;0,+K1617/Planning[[#This Row],[Horas Planificadas]],0)</f>
        <v>#REF!</v>
      </c>
      <c r="V1617" s="43" t="e">
        <f>IF(Planning[[#This Row],[Horas Planificadas]]&lt;&gt;0,Planning[[#This Row],[Horas utilizadas]]/Planning[[#This Row],[Horas Planificadas]],0)</f>
        <v>#REF!</v>
      </c>
      <c r="W1617" s="44">
        <f>Planning[[#This Row],[Horas Planificadas]]+Planning[[#This Row],[Horas ajustadas adicionales]]</f>
        <v>160</v>
      </c>
      <c r="X1617" s="142"/>
    </row>
    <row r="1618" spans="1:24" ht="12.75" customHeight="1" x14ac:dyDescent="0.2">
      <c r="A1618" s="7" t="s">
        <v>294</v>
      </c>
      <c r="B1618" s="7" t="s">
        <v>393</v>
      </c>
      <c r="C1618" s="3"/>
      <c r="D1618" s="3" t="s">
        <v>394</v>
      </c>
      <c r="E1618" s="4" t="s">
        <v>30</v>
      </c>
      <c r="F1618" s="3"/>
      <c r="G1618" s="9">
        <v>409</v>
      </c>
      <c r="H1618" s="14">
        <f>SUM(H1619:H1625)</f>
        <v>349</v>
      </c>
      <c r="I1618" s="14"/>
      <c r="J1618" s="14" t="e">
        <f>SUM(J1619:J1625)</f>
        <v>#REF!</v>
      </c>
      <c r="K1618" s="15" t="e">
        <f>SUM(K1619:K1625)</f>
        <v>#REF!</v>
      </c>
      <c r="L1618" s="15">
        <f>SUM(L1619:L1625)</f>
        <v>-95</v>
      </c>
      <c r="M1618" s="16" t="e">
        <f>SUM(M1619:M1625)</f>
        <v>#REF!</v>
      </c>
      <c r="N1618" s="60" t="e">
        <f>+SUMIFS(#REF!,#REF!,Planning[[#This Row],[Proyectos]],#REF!,Planning[[#This Row],[Tipo de Tarea y especialidad]])</f>
        <v>#REF!</v>
      </c>
      <c r="O1618" s="16">
        <f t="shared" si="50"/>
        <v>10</v>
      </c>
      <c r="P1618" s="16">
        <f t="shared" si="51"/>
        <v>2024</v>
      </c>
      <c r="Q1618" s="16" t="e">
        <f>SUM(Q1619:Q1625)</f>
        <v>#REF!</v>
      </c>
      <c r="R1618" s="16" t="str">
        <f>TEXT(Planning[[#This Row],[Mes]]*29,"mmmm")</f>
        <v>October</v>
      </c>
      <c r="S16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18" s="193"/>
      <c r="U1618" s="43" t="e">
        <f>IF(Planning[[#This Row],[Horas Planificadas]]&lt;&gt;0,+K1618/Planning[[#This Row],[Horas Planificadas]],0)</f>
        <v>#REF!</v>
      </c>
      <c r="V1618" s="43" t="e">
        <f>IF(Planning[[#This Row],[Horas Planificadas]]&lt;&gt;0,Planning[[#This Row],[Horas utilizadas]]/Planning[[#This Row],[Horas Planificadas]],0)</f>
        <v>#REF!</v>
      </c>
      <c r="W1618" s="44">
        <f>Planning[[#This Row],[Horas Planificadas]]+Planning[[#This Row],[Horas ajustadas adicionales]]</f>
        <v>349</v>
      </c>
      <c r="X1618" s="142"/>
    </row>
    <row r="1619" spans="1:24" ht="12.75" customHeight="1" x14ac:dyDescent="0.2">
      <c r="A1619" s="7" t="s">
        <v>294</v>
      </c>
      <c r="B1619" s="7" t="s">
        <v>393</v>
      </c>
      <c r="C1619" s="3"/>
      <c r="D1619" s="3" t="s">
        <v>394</v>
      </c>
      <c r="E1619" s="4"/>
      <c r="F1619" s="3" t="s">
        <v>122</v>
      </c>
      <c r="G1619" s="9"/>
      <c r="H1619" s="9"/>
      <c r="I1619" s="12"/>
      <c r="J1619" s="5" t="e">
        <f>SUM(SUMIFS(#REF!,#REF!,Planning[[#This Row],[Tipo de Tarea y especialidad]],#REF!,Planning[[#This Row],[Proyectos Reiwa]]),SUMIFS(#REF!,#REF!,Planning[[#This Row],[Tipo de Tarea y especialidad]],#REF!,Planning[[#This Row],[Proyectos]]))</f>
        <v>#REF!</v>
      </c>
      <c r="K1619" s="5" t="e">
        <f>Planning[[#This Row],[Horas Planificadas]]+Planning[[#This Row],[Horas ajustadas adicionales]]-Planning[[#This Row],[Horas utilizadas]]</f>
        <v>#REF!</v>
      </c>
      <c r="L1619" s="7"/>
      <c r="M1619" s="19" t="e">
        <f>Planning[[#This Row],[Saldo]]-Planning[[#This Row],[Saldo estimado]]</f>
        <v>#REF!</v>
      </c>
      <c r="N1619" s="60" t="e">
        <f>+SUMIFS(#REF!,#REF!,Planning[[#This Row],[Proyectos]],#REF!,Planning[[#This Row],[Tipo de Tarea y especialidad]])</f>
        <v>#REF!</v>
      </c>
      <c r="O1619" s="19">
        <f t="shared" si="50"/>
        <v>10</v>
      </c>
      <c r="P1619" s="19">
        <f t="shared" si="51"/>
        <v>2024</v>
      </c>
      <c r="Q16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19" s="19" t="str">
        <f>TEXT(Planning[[#This Row],[Mes]]*29,"mmmm")</f>
        <v>October</v>
      </c>
      <c r="S16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19" s="193"/>
      <c r="U1619" s="43">
        <f>IF(Planning[[#This Row],[Horas Planificadas]]&lt;&gt;0,+K1619/Planning[[#This Row],[Horas Planificadas]],0)</f>
        <v>0</v>
      </c>
      <c r="V1619" s="43">
        <f>IF(Planning[[#This Row],[Horas Planificadas]]&lt;&gt;0,Planning[[#This Row],[Horas utilizadas]]/Planning[[#This Row],[Horas Planificadas]],0)</f>
        <v>0</v>
      </c>
      <c r="W1619" s="44">
        <f>Planning[[#This Row],[Horas Planificadas]]+Planning[[#This Row],[Horas ajustadas adicionales]]</f>
        <v>0</v>
      </c>
      <c r="X1619" s="142"/>
    </row>
    <row r="1620" spans="1:24" ht="12.75" customHeight="1" x14ac:dyDescent="0.2">
      <c r="A1620" s="7" t="s">
        <v>294</v>
      </c>
      <c r="B1620" s="7" t="s">
        <v>393</v>
      </c>
      <c r="C1620" s="3"/>
      <c r="D1620" s="3" t="s">
        <v>394</v>
      </c>
      <c r="E1620" s="4"/>
      <c r="F1620" s="3" t="s">
        <v>123</v>
      </c>
      <c r="G1620" s="9"/>
      <c r="H1620" s="9"/>
      <c r="I1620" s="12"/>
      <c r="J1620" s="5" t="e">
        <f>SUM(SUMIFS(#REF!,#REF!,Planning[[#This Row],[Tipo de Tarea y especialidad]],#REF!,Planning[[#This Row],[Proyectos Reiwa]]),SUMIFS(#REF!,#REF!,Planning[[#This Row],[Tipo de Tarea y especialidad]],#REF!,Planning[[#This Row],[Proyectos]]))</f>
        <v>#REF!</v>
      </c>
      <c r="K1620" s="5" t="e">
        <f>Planning[[#This Row],[Horas Planificadas]]+Planning[[#This Row],[Horas ajustadas adicionales]]-Planning[[#This Row],[Horas utilizadas]]</f>
        <v>#REF!</v>
      </c>
      <c r="L1620" s="7"/>
      <c r="M1620" s="19" t="e">
        <f>Planning[[#This Row],[Saldo]]-Planning[[#This Row],[Saldo estimado]]</f>
        <v>#REF!</v>
      </c>
      <c r="N1620" s="60" t="e">
        <f>+SUMIFS(#REF!,#REF!,Planning[[#This Row],[Proyectos]],#REF!,Planning[[#This Row],[Tipo de Tarea y especialidad]])</f>
        <v>#REF!</v>
      </c>
      <c r="O1620" s="19">
        <f t="shared" si="50"/>
        <v>10</v>
      </c>
      <c r="P1620" s="19">
        <f t="shared" si="51"/>
        <v>2024</v>
      </c>
      <c r="Q16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20" s="19" t="str">
        <f>TEXT(Planning[[#This Row],[Mes]]*29,"mmmm")</f>
        <v>October</v>
      </c>
      <c r="S16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20" s="193"/>
      <c r="U1620" s="43">
        <f>IF(Planning[[#This Row],[Horas Planificadas]]&lt;&gt;0,+K1620/Planning[[#This Row],[Horas Planificadas]],0)</f>
        <v>0</v>
      </c>
      <c r="V1620" s="43">
        <f>IF(Planning[[#This Row],[Horas Planificadas]]&lt;&gt;0,Planning[[#This Row],[Horas utilizadas]]/Planning[[#This Row],[Horas Planificadas]],0)</f>
        <v>0</v>
      </c>
      <c r="W1620" s="44">
        <f>Planning[[#This Row],[Horas Planificadas]]+Planning[[#This Row],[Horas ajustadas adicionales]]</f>
        <v>0</v>
      </c>
      <c r="X1620" s="142"/>
    </row>
    <row r="1621" spans="1:24" ht="12.75" customHeight="1" x14ac:dyDescent="0.2">
      <c r="A1621" s="7" t="s">
        <v>294</v>
      </c>
      <c r="B1621" s="7" t="s">
        <v>393</v>
      </c>
      <c r="C1621" s="3"/>
      <c r="D1621" s="3" t="s">
        <v>394</v>
      </c>
      <c r="E1621" s="4"/>
      <c r="F1621" s="3" t="s">
        <v>124</v>
      </c>
      <c r="G1621" s="9"/>
      <c r="H1621" s="9">
        <v>349</v>
      </c>
      <c r="I1621" s="12"/>
      <c r="J1621" s="5" t="e">
        <f>SUM(SUMIFS(#REF!,#REF!,Planning[[#This Row],[Tipo de Tarea y especialidad]],#REF!,Planning[[#This Row],[Proyectos Reiwa]]),SUMIFS(#REF!,#REF!,Planning[[#This Row],[Tipo de Tarea y especialidad]],#REF!,Planning[[#This Row],[Proyectos]]))</f>
        <v>#REF!</v>
      </c>
      <c r="K1621" s="5" t="e">
        <f>Planning[[#This Row],[Horas Planificadas]]+Planning[[#This Row],[Horas ajustadas adicionales]]-Planning[[#This Row],[Horas utilizadas]]</f>
        <v>#REF!</v>
      </c>
      <c r="L1621" s="7">
        <v>-95</v>
      </c>
      <c r="M1621" s="19" t="e">
        <f>Planning[[#This Row],[Saldo]]-Planning[[#This Row],[Saldo estimado]]</f>
        <v>#REF!</v>
      </c>
      <c r="N1621" s="60" t="e">
        <f>+SUMIFS(#REF!,#REF!,Planning[[#This Row],[Proyectos]],#REF!,Planning[[#This Row],[Tipo de Tarea y especialidad]])</f>
        <v>#REF!</v>
      </c>
      <c r="O1621" s="19">
        <f t="shared" si="50"/>
        <v>10</v>
      </c>
      <c r="P1621" s="19">
        <f t="shared" si="51"/>
        <v>2024</v>
      </c>
      <c r="Q16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21" s="19" t="str">
        <f>TEXT(Planning[[#This Row],[Mes]]*29,"mmmm")</f>
        <v>October</v>
      </c>
      <c r="S16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21" s="193"/>
      <c r="U1621" s="43" t="e">
        <f>IF(Planning[[#This Row],[Horas Planificadas]]&lt;&gt;0,+K1621/Planning[[#This Row],[Horas Planificadas]],0)</f>
        <v>#REF!</v>
      </c>
      <c r="V1621" s="43" t="e">
        <f>IF(Planning[[#This Row],[Horas Planificadas]]&lt;&gt;0,Planning[[#This Row],[Horas utilizadas]]/Planning[[#This Row],[Horas Planificadas]],0)</f>
        <v>#REF!</v>
      </c>
      <c r="W1621" s="44">
        <f>Planning[[#This Row],[Horas Planificadas]]+Planning[[#This Row],[Horas ajustadas adicionales]]</f>
        <v>349</v>
      </c>
      <c r="X1621" s="142"/>
    </row>
    <row r="1622" spans="1:24" ht="12.75" customHeight="1" x14ac:dyDescent="0.2">
      <c r="A1622" s="7" t="s">
        <v>294</v>
      </c>
      <c r="B1622" s="7" t="s">
        <v>393</v>
      </c>
      <c r="C1622" s="3"/>
      <c r="D1622" s="3" t="s">
        <v>394</v>
      </c>
      <c r="E1622" s="4"/>
      <c r="F1622" s="3" t="s">
        <v>125</v>
      </c>
      <c r="G1622" s="9"/>
      <c r="H1622" s="9"/>
      <c r="I1622" s="12"/>
      <c r="J1622" s="5" t="e">
        <f>SUM(SUMIFS(#REF!,#REF!,Planning[[#This Row],[Tipo de Tarea y especialidad]],#REF!,Planning[[#This Row],[Proyectos Reiwa]]),SUMIFS(#REF!,#REF!,Planning[[#This Row],[Tipo de Tarea y especialidad]],#REF!,Planning[[#This Row],[Proyectos]]))</f>
        <v>#REF!</v>
      </c>
      <c r="K1622" s="5" t="e">
        <f>Planning[[#This Row],[Horas Planificadas]]+Planning[[#This Row],[Horas ajustadas adicionales]]-Planning[[#This Row],[Horas utilizadas]]</f>
        <v>#REF!</v>
      </c>
      <c r="L1622" s="7">
        <v>0</v>
      </c>
      <c r="M1622" s="19" t="e">
        <f>Planning[[#This Row],[Saldo]]-Planning[[#This Row],[Saldo estimado]]</f>
        <v>#REF!</v>
      </c>
      <c r="N1622" s="60" t="e">
        <f>+SUMIFS(#REF!,#REF!,Planning[[#This Row],[Proyectos]],#REF!,Planning[[#This Row],[Tipo de Tarea y especialidad]])</f>
        <v>#REF!</v>
      </c>
      <c r="O1622" s="19">
        <f t="shared" si="50"/>
        <v>10</v>
      </c>
      <c r="P1622" s="19">
        <f t="shared" si="51"/>
        <v>2024</v>
      </c>
      <c r="Q16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22" s="19" t="str">
        <f>TEXT(Planning[[#This Row],[Mes]]*29,"mmmm")</f>
        <v>October</v>
      </c>
      <c r="S16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22" s="193"/>
      <c r="U1622" s="43">
        <f>IF(Planning[[#This Row],[Horas Planificadas]]&lt;&gt;0,+K1622/Planning[[#This Row],[Horas Planificadas]],0)</f>
        <v>0</v>
      </c>
      <c r="V1622" s="43">
        <f>IF(Planning[[#This Row],[Horas Planificadas]]&lt;&gt;0,Planning[[#This Row],[Horas utilizadas]]/Planning[[#This Row],[Horas Planificadas]],0)</f>
        <v>0</v>
      </c>
      <c r="W1622" s="44">
        <f>Planning[[#This Row],[Horas Planificadas]]+Planning[[#This Row],[Horas ajustadas adicionales]]</f>
        <v>0</v>
      </c>
      <c r="X1622" s="142"/>
    </row>
    <row r="1623" spans="1:24" ht="12.75" customHeight="1" x14ac:dyDescent="0.2">
      <c r="A1623" s="7" t="s">
        <v>294</v>
      </c>
      <c r="B1623" s="7" t="s">
        <v>393</v>
      </c>
      <c r="C1623" s="3"/>
      <c r="D1623" s="3" t="s">
        <v>394</v>
      </c>
      <c r="E1623" s="4"/>
      <c r="F1623" s="3" t="s">
        <v>126</v>
      </c>
      <c r="G1623" s="9"/>
      <c r="H1623" s="9"/>
      <c r="I1623" s="12"/>
      <c r="J1623" s="5" t="e">
        <f>SUM(SUMIFS(#REF!,#REF!,Planning[[#This Row],[Tipo de Tarea y especialidad]],#REF!,Planning[[#This Row],[Proyectos Reiwa]]),SUMIFS(#REF!,#REF!,Planning[[#This Row],[Tipo de Tarea y especialidad]],#REF!,Planning[[#This Row],[Proyectos]]))</f>
        <v>#REF!</v>
      </c>
      <c r="K1623" s="5" t="e">
        <f>Planning[[#This Row],[Horas Planificadas]]+Planning[[#This Row],[Horas ajustadas adicionales]]-Planning[[#This Row],[Horas utilizadas]]</f>
        <v>#REF!</v>
      </c>
      <c r="L1623" s="7"/>
      <c r="M1623" s="19" t="e">
        <f>Planning[[#This Row],[Saldo]]-Planning[[#This Row],[Saldo estimado]]</f>
        <v>#REF!</v>
      </c>
      <c r="N1623" s="60" t="e">
        <f>+SUMIFS(#REF!,#REF!,Planning[[#This Row],[Proyectos]],#REF!,Planning[[#This Row],[Tipo de Tarea y especialidad]])</f>
        <v>#REF!</v>
      </c>
      <c r="O1623" s="19">
        <f t="shared" si="50"/>
        <v>10</v>
      </c>
      <c r="P1623" s="19">
        <f t="shared" si="51"/>
        <v>2024</v>
      </c>
      <c r="Q16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23" s="19" t="str">
        <f>TEXT(Planning[[#This Row],[Mes]]*29,"mmmm")</f>
        <v>October</v>
      </c>
      <c r="S16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23" s="193"/>
      <c r="U1623" s="43">
        <f>IF(Planning[[#This Row],[Horas Planificadas]]&lt;&gt;0,+K1623/Planning[[#This Row],[Horas Planificadas]],0)</f>
        <v>0</v>
      </c>
      <c r="V1623" s="43">
        <f>IF(Planning[[#This Row],[Horas Planificadas]]&lt;&gt;0,Planning[[#This Row],[Horas utilizadas]]/Planning[[#This Row],[Horas Planificadas]],0)</f>
        <v>0</v>
      </c>
      <c r="W1623" s="44">
        <f>Planning[[#This Row],[Horas Planificadas]]+Planning[[#This Row],[Horas ajustadas adicionales]]</f>
        <v>0</v>
      </c>
      <c r="X1623" s="142"/>
    </row>
    <row r="1624" spans="1:24" ht="12.75" customHeight="1" x14ac:dyDescent="0.2">
      <c r="A1624" s="7" t="s">
        <v>294</v>
      </c>
      <c r="B1624" s="7" t="s">
        <v>393</v>
      </c>
      <c r="C1624" s="3"/>
      <c r="D1624" s="3" t="s">
        <v>394</v>
      </c>
      <c r="E1624" s="4"/>
      <c r="F1624" s="3" t="s">
        <v>127</v>
      </c>
      <c r="G1624" s="9"/>
      <c r="H1624" s="9"/>
      <c r="I1624" s="12"/>
      <c r="J1624" s="5" t="e">
        <f>SUM(SUMIFS(#REF!,#REF!,Planning[[#This Row],[Tipo de Tarea y especialidad]],#REF!,Planning[[#This Row],[Proyectos Reiwa]]),SUMIFS(#REF!,#REF!,Planning[[#This Row],[Tipo de Tarea y especialidad]],#REF!,Planning[[#This Row],[Proyectos]]))</f>
        <v>#REF!</v>
      </c>
      <c r="K1624" s="5" t="e">
        <f>Planning[[#This Row],[Horas Planificadas]]+Planning[[#This Row],[Horas ajustadas adicionales]]-Planning[[#This Row],[Horas utilizadas]]</f>
        <v>#REF!</v>
      </c>
      <c r="L1624" s="7"/>
      <c r="M1624" s="19" t="e">
        <f>Planning[[#This Row],[Saldo]]-Planning[[#This Row],[Saldo estimado]]</f>
        <v>#REF!</v>
      </c>
      <c r="N1624" s="60" t="e">
        <f>+SUMIFS(#REF!,#REF!,Planning[[#This Row],[Proyectos]],#REF!,Planning[[#This Row],[Tipo de Tarea y especialidad]])</f>
        <v>#REF!</v>
      </c>
      <c r="O1624" s="19">
        <f t="shared" si="50"/>
        <v>10</v>
      </c>
      <c r="P1624" s="19">
        <f t="shared" si="51"/>
        <v>2024</v>
      </c>
      <c r="Q16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24" s="19" t="str">
        <f>TEXT(Planning[[#This Row],[Mes]]*29,"mmmm")</f>
        <v>October</v>
      </c>
      <c r="S16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24" s="193"/>
      <c r="U1624" s="43">
        <f>IF(Planning[[#This Row],[Horas Planificadas]]&lt;&gt;0,+K1624/Planning[[#This Row],[Horas Planificadas]],0)</f>
        <v>0</v>
      </c>
      <c r="V1624" s="43">
        <f>IF(Planning[[#This Row],[Horas Planificadas]]&lt;&gt;0,Planning[[#This Row],[Horas utilizadas]]/Planning[[#This Row],[Horas Planificadas]],0)</f>
        <v>0</v>
      </c>
      <c r="W1624" s="44">
        <f>Planning[[#This Row],[Horas Planificadas]]+Planning[[#This Row],[Horas ajustadas adicionales]]</f>
        <v>0</v>
      </c>
      <c r="X1624" s="142"/>
    </row>
    <row r="1625" spans="1:24" ht="12.75" customHeight="1" x14ac:dyDescent="0.2">
      <c r="A1625" s="7" t="s">
        <v>294</v>
      </c>
      <c r="B1625" s="7" t="s">
        <v>393</v>
      </c>
      <c r="C1625" s="3"/>
      <c r="D1625" s="3" t="s">
        <v>394</v>
      </c>
      <c r="E1625" s="4"/>
      <c r="F1625" s="3" t="s">
        <v>128</v>
      </c>
      <c r="G1625" s="9"/>
      <c r="H1625" s="9"/>
      <c r="I1625" s="12"/>
      <c r="J1625" s="5" t="e">
        <f>SUM(SUMIFS(#REF!,#REF!,Planning[[#This Row],[Tipo de Tarea y especialidad]],#REF!,Planning[[#This Row],[Proyectos Reiwa]]),SUMIFS(#REF!,#REF!,Planning[[#This Row],[Tipo de Tarea y especialidad]],#REF!,Planning[[#This Row],[Proyectos]]))</f>
        <v>#REF!</v>
      </c>
      <c r="K1625" s="5" t="e">
        <f>Planning[[#This Row],[Horas Planificadas]]+Planning[[#This Row],[Horas ajustadas adicionales]]-Planning[[#This Row],[Horas utilizadas]]</f>
        <v>#REF!</v>
      </c>
      <c r="L1625" s="7">
        <v>0</v>
      </c>
      <c r="M1625" s="19" t="e">
        <f>Planning[[#This Row],[Saldo]]-Planning[[#This Row],[Saldo estimado]]</f>
        <v>#REF!</v>
      </c>
      <c r="N1625" s="60" t="e">
        <f>+SUMIFS(#REF!,#REF!,Planning[[#This Row],[Proyectos]],#REF!,Planning[[#This Row],[Tipo de Tarea y especialidad]])</f>
        <v>#REF!</v>
      </c>
      <c r="O1625" s="19">
        <f t="shared" si="50"/>
        <v>10</v>
      </c>
      <c r="P1625" s="19">
        <f t="shared" si="51"/>
        <v>2024</v>
      </c>
      <c r="Q16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25" s="19" t="str">
        <f>TEXT(Planning[[#This Row],[Mes]]*29,"mmmm")</f>
        <v>October</v>
      </c>
      <c r="S16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25" s="193"/>
      <c r="U1625" s="43">
        <f>IF(Planning[[#This Row],[Horas Planificadas]]&lt;&gt;0,+K1625/Planning[[#This Row],[Horas Planificadas]],0)</f>
        <v>0</v>
      </c>
      <c r="V1625" s="43">
        <f>IF(Planning[[#This Row],[Horas Planificadas]]&lt;&gt;0,Planning[[#This Row],[Horas utilizadas]]/Planning[[#This Row],[Horas Planificadas]],0)</f>
        <v>0</v>
      </c>
      <c r="W1625" s="44">
        <f>Planning[[#This Row],[Horas Planificadas]]+Planning[[#This Row],[Horas ajustadas adicionales]]</f>
        <v>0</v>
      </c>
      <c r="X1625" s="142"/>
    </row>
    <row r="1626" spans="1:24" ht="12.75" customHeight="1" x14ac:dyDescent="0.2">
      <c r="A1626" s="7" t="s">
        <v>294</v>
      </c>
      <c r="B1626" s="7" t="s">
        <v>393</v>
      </c>
      <c r="C1626" s="3"/>
      <c r="D1626" s="3" t="s">
        <v>394</v>
      </c>
      <c r="E1626" s="4" t="s">
        <v>31</v>
      </c>
      <c r="F1626" s="3" t="s">
        <v>31</v>
      </c>
      <c r="G1626" s="9">
        <v>209</v>
      </c>
      <c r="H1626" s="17">
        <v>209</v>
      </c>
      <c r="I1626" s="18"/>
      <c r="J1626" s="14" t="e">
        <f>+SUMIFS(#REF!,#REF!,Planning[[#This Row],[Tarifa]],#REF!,Planning[[#This Row],[Proyectos]])</f>
        <v>#REF!</v>
      </c>
      <c r="K1626" s="14" t="e">
        <f>Planning[[#This Row],[Horas Planificadas]]+Planning[[#This Row],[Horas ajustadas adicionales]]-Planning[[#This Row],[Horas utilizadas]]</f>
        <v>#REF!</v>
      </c>
      <c r="L1626" s="15">
        <v>0</v>
      </c>
      <c r="M1626" s="16" t="e">
        <f>Planning[[#This Row],[Saldo]]-Planning[[#This Row],[Saldo estimado]]</f>
        <v>#REF!</v>
      </c>
      <c r="N1626" s="60" t="e">
        <f>+SUMIFS(#REF!,#REF!,Planning[[#This Row],[Proyectos]],#REF!,Planning[[#This Row],[Tipo de Tarea y especialidad]])</f>
        <v>#REF!</v>
      </c>
      <c r="O1626" s="16">
        <f t="shared" si="50"/>
        <v>10</v>
      </c>
      <c r="P1626" s="16">
        <f t="shared" si="51"/>
        <v>2024</v>
      </c>
      <c r="Q1626" s="16" t="e">
        <f>+SUMIFS(#REF!,#REF!,Planning[[#This Row],[Tarifa]],#REF!,Planning[[#This Row],[Proyectos]],#REF!,Planning[[#This Row],[Mes]],#REF!,Planning[[#This Row],[Año]])</f>
        <v>#REF!</v>
      </c>
      <c r="R1626" s="16" t="str">
        <f>TEXT(Planning[[#This Row],[Mes]]*29,"mmmm")</f>
        <v>October</v>
      </c>
      <c r="S16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26" s="193"/>
      <c r="U1626" s="43" t="e">
        <f>IF(Planning[[#This Row],[Horas Planificadas]]&lt;&gt;0,+K1626/Planning[[#This Row],[Horas Planificadas]],0)</f>
        <v>#REF!</v>
      </c>
      <c r="V1626" s="43" t="e">
        <f>IF(Planning[[#This Row],[Horas Planificadas]]&lt;&gt;0,Planning[[#This Row],[Horas utilizadas]]/Planning[[#This Row],[Horas Planificadas]],0)</f>
        <v>#REF!</v>
      </c>
      <c r="W1626" s="44">
        <f>Planning[[#This Row],[Horas Planificadas]]+Planning[[#This Row],[Horas ajustadas adicionales]]</f>
        <v>209</v>
      </c>
      <c r="X1626" s="142"/>
    </row>
    <row r="1627" spans="1:24" ht="12.75" customHeight="1" x14ac:dyDescent="0.2">
      <c r="A1627" s="7" t="s">
        <v>294</v>
      </c>
      <c r="B1627" s="7" t="s">
        <v>393</v>
      </c>
      <c r="C1627" s="3"/>
      <c r="D1627" s="3" t="s">
        <v>394</v>
      </c>
      <c r="E1627" s="4" t="s">
        <v>32</v>
      </c>
      <c r="F1627" s="3"/>
      <c r="G1627" s="9">
        <v>180</v>
      </c>
      <c r="H1627" s="14">
        <f>SUM(H1628:H1630)</f>
        <v>300</v>
      </c>
      <c r="I1627" s="14"/>
      <c r="J1627" s="14" t="e">
        <f>SUM(J1628:J1630)</f>
        <v>#REF!</v>
      </c>
      <c r="K1627" s="15" t="e">
        <f>SUM(K1628:K1630)</f>
        <v>#REF!</v>
      </c>
      <c r="L1627" s="15">
        <f>SUM(L1628:L1630)</f>
        <v>62</v>
      </c>
      <c r="M1627" s="16" t="e">
        <f>SUM(M1628:M1630)</f>
        <v>#REF!</v>
      </c>
      <c r="N1627" s="60" t="e">
        <f>+SUMIFS(#REF!,#REF!,Planning[[#This Row],[Proyectos]],#REF!,Planning[[#This Row],[Tipo de Tarea y especialidad]])</f>
        <v>#REF!</v>
      </c>
      <c r="O1627" s="16">
        <f t="shared" si="50"/>
        <v>10</v>
      </c>
      <c r="P1627" s="16">
        <f t="shared" si="51"/>
        <v>2024</v>
      </c>
      <c r="Q1627" s="16" t="e">
        <f>SUM(Q1628:Q1630)</f>
        <v>#REF!</v>
      </c>
      <c r="R1627" s="16" t="str">
        <f>TEXT(Planning[[#This Row],[Mes]]*29,"mmmm")</f>
        <v>October</v>
      </c>
      <c r="S16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27" s="193"/>
      <c r="U1627" s="43" t="e">
        <f>IF(Planning[[#This Row],[Horas Planificadas]]&lt;&gt;0,+K1627/Planning[[#This Row],[Horas Planificadas]],0)</f>
        <v>#REF!</v>
      </c>
      <c r="V1627" s="43" t="e">
        <f>IF(Planning[[#This Row],[Horas Planificadas]]&lt;&gt;0,Planning[[#This Row],[Horas utilizadas]]/Planning[[#This Row],[Horas Planificadas]],0)</f>
        <v>#REF!</v>
      </c>
      <c r="W1627" s="44">
        <f>Planning[[#This Row],[Horas Planificadas]]+Planning[[#This Row],[Horas ajustadas adicionales]]</f>
        <v>300</v>
      </c>
      <c r="X1627" s="142"/>
    </row>
    <row r="1628" spans="1:24" ht="12.75" customHeight="1" x14ac:dyDescent="0.2">
      <c r="A1628" s="7" t="s">
        <v>294</v>
      </c>
      <c r="B1628" s="7" t="s">
        <v>393</v>
      </c>
      <c r="C1628" s="3"/>
      <c r="D1628" s="3" t="s">
        <v>394</v>
      </c>
      <c r="E1628" s="4"/>
      <c r="F1628" s="3" t="s">
        <v>129</v>
      </c>
      <c r="G1628" s="9"/>
      <c r="H1628" s="9"/>
      <c r="I1628" s="12"/>
      <c r="J1628" s="5" t="e">
        <f>SUM(SUMIFS(#REF!,#REF!,Planning[[#This Row],[Tipo de Tarea y especialidad]],#REF!,Planning[[#This Row],[Proyectos Reiwa]]),SUMIFS(#REF!,#REF!,Planning[[#This Row],[Tipo de Tarea y especialidad]],#REF!,Planning[[#This Row],[Proyectos]]))</f>
        <v>#REF!</v>
      </c>
      <c r="K1628" s="5" t="e">
        <f>Planning[[#This Row],[Horas Planificadas]]+Planning[[#This Row],[Horas ajustadas adicionales]]-Planning[[#This Row],[Horas utilizadas]]</f>
        <v>#REF!</v>
      </c>
      <c r="L1628" s="7"/>
      <c r="M1628" s="19" t="e">
        <f>Planning[[#This Row],[Saldo]]-Planning[[#This Row],[Saldo estimado]]</f>
        <v>#REF!</v>
      </c>
      <c r="N1628" s="60" t="e">
        <f>+SUMIFS(#REF!,#REF!,Planning[[#This Row],[Proyectos]],#REF!,Planning[[#This Row],[Tipo de Tarea y especialidad]])</f>
        <v>#REF!</v>
      </c>
      <c r="O1628" s="19">
        <f t="shared" si="50"/>
        <v>10</v>
      </c>
      <c r="P1628" s="19">
        <f t="shared" si="51"/>
        <v>2024</v>
      </c>
      <c r="Q16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28" s="19" t="str">
        <f>TEXT(Planning[[#This Row],[Mes]]*29,"mmmm")</f>
        <v>October</v>
      </c>
      <c r="S16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28" s="193"/>
      <c r="U1628" s="43">
        <f>IF(Planning[[#This Row],[Horas Planificadas]]&lt;&gt;0,+K1628/Planning[[#This Row],[Horas Planificadas]],0)</f>
        <v>0</v>
      </c>
      <c r="V1628" s="43">
        <f>IF(Planning[[#This Row],[Horas Planificadas]]&lt;&gt;0,Planning[[#This Row],[Horas utilizadas]]/Planning[[#This Row],[Horas Planificadas]],0)</f>
        <v>0</v>
      </c>
      <c r="W1628" s="44">
        <f>Planning[[#This Row],[Horas Planificadas]]+Planning[[#This Row],[Horas ajustadas adicionales]]</f>
        <v>0</v>
      </c>
      <c r="X1628" s="142"/>
    </row>
    <row r="1629" spans="1:24" ht="12.75" customHeight="1" x14ac:dyDescent="0.2">
      <c r="A1629" s="7" t="s">
        <v>294</v>
      </c>
      <c r="B1629" s="7" t="s">
        <v>393</v>
      </c>
      <c r="C1629" s="3"/>
      <c r="D1629" s="3" t="s">
        <v>394</v>
      </c>
      <c r="E1629" s="4"/>
      <c r="F1629" s="3" t="s">
        <v>130</v>
      </c>
      <c r="G1629" s="9"/>
      <c r="H1629" s="9"/>
      <c r="I1629" s="12"/>
      <c r="J1629" s="5" t="e">
        <f>SUM(SUMIFS(#REF!,#REF!,Planning[[#This Row],[Tipo de Tarea y especialidad]],#REF!,Planning[[#This Row],[Proyectos Reiwa]]),SUMIFS(#REF!,#REF!,Planning[[#This Row],[Tipo de Tarea y especialidad]],#REF!,Planning[[#This Row],[Proyectos]]))</f>
        <v>#REF!</v>
      </c>
      <c r="K1629" s="5" t="e">
        <f>Planning[[#This Row],[Horas Planificadas]]+Planning[[#This Row],[Horas ajustadas adicionales]]-Planning[[#This Row],[Horas utilizadas]]</f>
        <v>#REF!</v>
      </c>
      <c r="L1629" s="7"/>
      <c r="M1629" s="19" t="e">
        <f>Planning[[#This Row],[Saldo]]-Planning[[#This Row],[Saldo estimado]]</f>
        <v>#REF!</v>
      </c>
      <c r="N1629" s="60" t="e">
        <f>+SUMIFS(#REF!,#REF!,Planning[[#This Row],[Proyectos]],#REF!,Planning[[#This Row],[Tipo de Tarea y especialidad]])</f>
        <v>#REF!</v>
      </c>
      <c r="O1629" s="19">
        <f t="shared" si="50"/>
        <v>10</v>
      </c>
      <c r="P1629" s="19">
        <f t="shared" si="51"/>
        <v>2024</v>
      </c>
      <c r="Q16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29" s="19" t="str">
        <f>TEXT(Planning[[#This Row],[Mes]]*29,"mmmm")</f>
        <v>October</v>
      </c>
      <c r="S16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29" s="193"/>
      <c r="U1629" s="43">
        <f>IF(Planning[[#This Row],[Horas Planificadas]]&lt;&gt;0,+K1629/Planning[[#This Row],[Horas Planificadas]],0)</f>
        <v>0</v>
      </c>
      <c r="V1629" s="43">
        <f>IF(Planning[[#This Row],[Horas Planificadas]]&lt;&gt;0,Planning[[#This Row],[Horas utilizadas]]/Planning[[#This Row],[Horas Planificadas]],0)</f>
        <v>0</v>
      </c>
      <c r="W1629" s="44">
        <f>Planning[[#This Row],[Horas Planificadas]]+Planning[[#This Row],[Horas ajustadas adicionales]]</f>
        <v>0</v>
      </c>
      <c r="X1629" s="142"/>
    </row>
    <row r="1630" spans="1:24" ht="12.75" customHeight="1" x14ac:dyDescent="0.2">
      <c r="A1630" s="7" t="s">
        <v>294</v>
      </c>
      <c r="B1630" s="7" t="s">
        <v>393</v>
      </c>
      <c r="C1630" s="3"/>
      <c r="D1630" s="3" t="s">
        <v>394</v>
      </c>
      <c r="E1630" s="4"/>
      <c r="F1630" s="3" t="s">
        <v>131</v>
      </c>
      <c r="G1630" s="9"/>
      <c r="H1630" s="9">
        <v>300</v>
      </c>
      <c r="I1630" s="12"/>
      <c r="J1630" s="5" t="e">
        <f>SUM(SUMIFS(#REF!,#REF!,Planning[[#This Row],[Tipo de Tarea y especialidad]],#REF!,Planning[[#This Row],[Proyectos Reiwa]]),SUMIFS(#REF!,#REF!,Planning[[#This Row],[Tipo de Tarea y especialidad]],#REF!,Planning[[#This Row],[Proyectos]]))</f>
        <v>#REF!</v>
      </c>
      <c r="K1630" s="5" t="e">
        <f>Planning[[#This Row],[Horas Planificadas]]+Planning[[#This Row],[Horas ajustadas adicionales]]-Planning[[#This Row],[Horas utilizadas]]</f>
        <v>#REF!</v>
      </c>
      <c r="L1630" s="7">
        <v>62</v>
      </c>
      <c r="M1630" s="19" t="e">
        <f>Planning[[#This Row],[Saldo]]-Planning[[#This Row],[Saldo estimado]]</f>
        <v>#REF!</v>
      </c>
      <c r="N1630" s="60" t="e">
        <f>+SUMIFS(#REF!,#REF!,Planning[[#This Row],[Proyectos]],#REF!,Planning[[#This Row],[Tipo de Tarea y especialidad]])</f>
        <v>#REF!</v>
      </c>
      <c r="O1630" s="19">
        <f t="shared" si="50"/>
        <v>10</v>
      </c>
      <c r="P1630" s="19">
        <f t="shared" si="51"/>
        <v>2024</v>
      </c>
      <c r="Q16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30" s="19" t="str">
        <f>TEXT(Planning[[#This Row],[Mes]]*29,"mmmm")</f>
        <v>October</v>
      </c>
      <c r="S16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30" s="193"/>
      <c r="U1630" s="43" t="e">
        <f>IF(Planning[[#This Row],[Horas Planificadas]]&lt;&gt;0,+K1630/Planning[[#This Row],[Horas Planificadas]],0)</f>
        <v>#REF!</v>
      </c>
      <c r="V1630" s="43" t="e">
        <f>IF(Planning[[#This Row],[Horas Planificadas]]&lt;&gt;0,Planning[[#This Row],[Horas utilizadas]]/Planning[[#This Row],[Horas Planificadas]],0)</f>
        <v>#REF!</v>
      </c>
      <c r="W1630" s="44">
        <f>Planning[[#This Row],[Horas Planificadas]]+Planning[[#This Row],[Horas ajustadas adicionales]]</f>
        <v>300</v>
      </c>
      <c r="X1630" s="142"/>
    </row>
    <row r="1631" spans="1:24" ht="12.75" customHeight="1" x14ac:dyDescent="0.2">
      <c r="A1631" s="7" t="s">
        <v>168</v>
      </c>
      <c r="B1631" s="7" t="s">
        <v>205</v>
      </c>
      <c r="C1631" s="3"/>
      <c r="D1631" s="3" t="s">
        <v>396</v>
      </c>
      <c r="E1631" s="33" t="s">
        <v>28</v>
      </c>
      <c r="F1631" s="36"/>
      <c r="G1631" s="7">
        <v>0</v>
      </c>
      <c r="H1631" s="24">
        <f>SUM(H1632:H1633)</f>
        <v>0</v>
      </c>
      <c r="I1631" s="14"/>
      <c r="J1631" s="14" t="e">
        <f>SUM(J1632:J1633)</f>
        <v>#REF!</v>
      </c>
      <c r="K1631" s="18" t="e">
        <f>SUM(K1632:K1633)</f>
        <v>#REF!</v>
      </c>
      <c r="L1631" s="15">
        <f>SUM(L1632:L1633)</f>
        <v>0</v>
      </c>
      <c r="M1631" s="28" t="e">
        <f>SUM(M1632:M1633)</f>
        <v>#REF!</v>
      </c>
      <c r="N1631" s="61" t="e">
        <f>+SUMIFS(#REF!,#REF!,Planning[[#This Row],[Proyectos]],#REF!,Planning[[#This Row],[Tipo de Tarea y especialidad]])</f>
        <v>#REF!</v>
      </c>
      <c r="O1631" s="28">
        <f t="shared" si="50"/>
        <v>10</v>
      </c>
      <c r="P1631" s="28">
        <f t="shared" si="51"/>
        <v>2024</v>
      </c>
      <c r="Q1631" s="28" t="e">
        <f>SUM(Q1632:Q1633)</f>
        <v>#REF!</v>
      </c>
      <c r="R1631" s="28" t="str">
        <f>TEXT(Planning[[#This Row],[Mes]]*29,"mmmm")</f>
        <v>October</v>
      </c>
      <c r="S16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31" s="192" t="s">
        <v>397</v>
      </c>
      <c r="U1631" s="43">
        <f>IF(Planning[[#This Row],[Horas Planificadas]]&lt;&gt;0,+K1631/Planning[[#This Row],[Horas Planificadas]],0)</f>
        <v>0</v>
      </c>
      <c r="V1631" s="43">
        <f>IF(Planning[[#This Row],[Horas Planificadas]]&lt;&gt;0,Planning[[#This Row],[Horas utilizadas]]/Planning[[#This Row],[Horas Planificadas]],0)</f>
        <v>0</v>
      </c>
      <c r="W1631" s="44">
        <f>Planning[[#This Row],[Horas Planificadas]]+Planning[[#This Row],[Horas ajustadas adicionales]]</f>
        <v>0</v>
      </c>
      <c r="X1631" s="142"/>
    </row>
    <row r="1632" spans="1:24" ht="12.75" customHeight="1" x14ac:dyDescent="0.2">
      <c r="A1632" s="7" t="s">
        <v>168</v>
      </c>
      <c r="B1632" s="7" t="s">
        <v>205</v>
      </c>
      <c r="C1632" s="3"/>
      <c r="D1632" s="3" t="s">
        <v>396</v>
      </c>
      <c r="E1632" s="33"/>
      <c r="F1632" s="33" t="s">
        <v>120</v>
      </c>
      <c r="G1632" s="7"/>
      <c r="H1632" s="7"/>
      <c r="I1632" s="12"/>
      <c r="J1632" s="5" t="e">
        <f>SUM(SUMIFS(#REF!,#REF!,Planning[[#This Row],[Tipo de Tarea y especialidad]],#REF!,Planning[[#This Row],[Proyectos Reiwa]]),SUMIFS(#REF!,#REF!,Planning[[#This Row],[Tipo de Tarea y especialidad]],#REF!,Planning[[#This Row],[Proyectos]]))</f>
        <v>#REF!</v>
      </c>
      <c r="K1632" s="5" t="e">
        <f>Planning[[#This Row],[Horas Planificadas]]+Planning[[#This Row],[Horas ajustadas adicionales]]-Planning[[#This Row],[Horas utilizadas]]</f>
        <v>#REF!</v>
      </c>
      <c r="L1632" s="7"/>
      <c r="M1632" s="19" t="e">
        <f>Planning[[#This Row],[Saldo]]-Planning[[#This Row],[Saldo estimado]]</f>
        <v>#REF!</v>
      </c>
      <c r="N1632" s="60" t="e">
        <f>+SUMIFS(#REF!,#REF!,Planning[[#This Row],[Proyectos]],#REF!,Planning[[#This Row],[Tipo de Tarea y especialidad]])</f>
        <v>#REF!</v>
      </c>
      <c r="O1632" s="19">
        <f t="shared" si="50"/>
        <v>10</v>
      </c>
      <c r="P1632" s="19">
        <f t="shared" si="51"/>
        <v>2024</v>
      </c>
      <c r="Q16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32" s="19" t="str">
        <f>TEXT(Planning[[#This Row],[Mes]]*29,"mmmm")</f>
        <v>October</v>
      </c>
      <c r="S16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32" s="193"/>
      <c r="U1632" s="43">
        <f>IF(Planning[[#This Row],[Horas Planificadas]]&lt;&gt;0,+K1632/Planning[[#This Row],[Horas Planificadas]],0)</f>
        <v>0</v>
      </c>
      <c r="V1632" s="43">
        <f>IF(Planning[[#This Row],[Horas Planificadas]]&lt;&gt;0,Planning[[#This Row],[Horas utilizadas]]/Planning[[#This Row],[Horas Planificadas]],0)</f>
        <v>0</v>
      </c>
      <c r="W1632" s="44">
        <f>Planning[[#This Row],[Horas Planificadas]]+Planning[[#This Row],[Horas ajustadas adicionales]]</f>
        <v>0</v>
      </c>
      <c r="X1632" s="142"/>
    </row>
    <row r="1633" spans="1:24" ht="12.75" customHeight="1" x14ac:dyDescent="0.2">
      <c r="A1633" s="7" t="s">
        <v>168</v>
      </c>
      <c r="B1633" s="7" t="s">
        <v>205</v>
      </c>
      <c r="C1633" s="3"/>
      <c r="D1633" s="3" t="s">
        <v>396</v>
      </c>
      <c r="E1633" s="33"/>
      <c r="F1633" s="36" t="s">
        <v>121</v>
      </c>
      <c r="G1633" s="7"/>
      <c r="H1633" s="7"/>
      <c r="I1633" s="12"/>
      <c r="J1633" s="5" t="e">
        <f>SUM(SUMIFS(#REF!,#REF!,Planning[[#This Row],[Tipo de Tarea y especialidad]],#REF!,Planning[[#This Row],[Proyectos Reiwa]]),SUMIFS(#REF!,#REF!,Planning[[#This Row],[Tipo de Tarea y especialidad]],#REF!,Planning[[#This Row],[Proyectos]]))</f>
        <v>#REF!</v>
      </c>
      <c r="K1633" s="5" t="e">
        <f>Planning[[#This Row],[Horas Planificadas]]+Planning[[#This Row],[Horas ajustadas adicionales]]-Planning[[#This Row],[Horas utilizadas]]</f>
        <v>#REF!</v>
      </c>
      <c r="L1633" s="7"/>
      <c r="M1633" s="19" t="e">
        <f>Planning[[#This Row],[Saldo]]-Planning[[#This Row],[Saldo estimado]]</f>
        <v>#REF!</v>
      </c>
      <c r="N1633" s="60" t="e">
        <f>+SUMIFS(#REF!,#REF!,Planning[[#This Row],[Proyectos]],#REF!,Planning[[#This Row],[Tipo de Tarea y especialidad]])</f>
        <v>#REF!</v>
      </c>
      <c r="O1633" s="19">
        <f t="shared" si="50"/>
        <v>10</v>
      </c>
      <c r="P1633" s="19">
        <f t="shared" si="51"/>
        <v>2024</v>
      </c>
      <c r="Q16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33" s="19" t="str">
        <f>TEXT(Planning[[#This Row],[Mes]]*29,"mmmm")</f>
        <v>October</v>
      </c>
      <c r="S16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33" s="193"/>
      <c r="U1633" s="43">
        <f>IF(Planning[[#This Row],[Horas Planificadas]]&lt;&gt;0,+K1633/Planning[[#This Row],[Horas Planificadas]],0)</f>
        <v>0</v>
      </c>
      <c r="V1633" s="43">
        <f>IF(Planning[[#This Row],[Horas Planificadas]]&lt;&gt;0,Planning[[#This Row],[Horas utilizadas]]/Planning[[#This Row],[Horas Planificadas]],0)</f>
        <v>0</v>
      </c>
      <c r="W1633" s="44">
        <f>Planning[[#This Row],[Horas Planificadas]]+Planning[[#This Row],[Horas ajustadas adicionales]]</f>
        <v>0</v>
      </c>
      <c r="X1633" s="142"/>
    </row>
    <row r="1634" spans="1:24" ht="12.75" customHeight="1" x14ac:dyDescent="0.2">
      <c r="A1634" s="7" t="s">
        <v>168</v>
      </c>
      <c r="B1634" s="7" t="s">
        <v>205</v>
      </c>
      <c r="C1634" s="3"/>
      <c r="D1634" s="3" t="s">
        <v>396</v>
      </c>
      <c r="E1634" s="33" t="s">
        <v>30</v>
      </c>
      <c r="F1634" s="36"/>
      <c r="G1634" s="7">
        <v>0</v>
      </c>
      <c r="H1634" s="24">
        <f>SUM(H1635:H1641)</f>
        <v>9</v>
      </c>
      <c r="I1634" s="14"/>
      <c r="J1634" s="14" t="e">
        <f>SUM(J1635:J1641)</f>
        <v>#REF!</v>
      </c>
      <c r="K1634" s="18" t="e">
        <f>SUM(K1635:K1641)</f>
        <v>#REF!</v>
      </c>
      <c r="L1634" s="15">
        <f>SUM(L1635:L1641)</f>
        <v>7</v>
      </c>
      <c r="M1634" s="16" t="e">
        <f>SUM(M1635:M1641)</f>
        <v>#REF!</v>
      </c>
      <c r="N1634" s="60" t="e">
        <f>+SUMIFS(#REF!,#REF!,Planning[[#This Row],[Proyectos]],#REF!,Planning[[#This Row],[Tipo de Tarea y especialidad]])</f>
        <v>#REF!</v>
      </c>
      <c r="O1634" s="16">
        <f t="shared" si="50"/>
        <v>10</v>
      </c>
      <c r="P1634" s="16">
        <f t="shared" si="51"/>
        <v>2024</v>
      </c>
      <c r="Q1634" s="16" t="e">
        <f>SUM(Q1635:Q1641)</f>
        <v>#REF!</v>
      </c>
      <c r="R1634" s="16" t="str">
        <f>TEXT(Planning[[#This Row],[Mes]]*29,"mmmm")</f>
        <v>October</v>
      </c>
      <c r="S16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34" s="193"/>
      <c r="U1634" s="43" t="e">
        <f>IF(Planning[[#This Row],[Horas Planificadas]]&lt;&gt;0,+K1634/Planning[[#This Row],[Horas Planificadas]],0)</f>
        <v>#REF!</v>
      </c>
      <c r="V1634" s="43" t="e">
        <f>IF(Planning[[#This Row],[Horas Planificadas]]&lt;&gt;0,Planning[[#This Row],[Horas utilizadas]]/Planning[[#This Row],[Horas Planificadas]],0)</f>
        <v>#REF!</v>
      </c>
      <c r="W1634" s="44">
        <f>Planning[[#This Row],[Horas Planificadas]]+Planning[[#This Row],[Horas ajustadas adicionales]]</f>
        <v>9</v>
      </c>
      <c r="X1634" s="142"/>
    </row>
    <row r="1635" spans="1:24" ht="12.75" customHeight="1" x14ac:dyDescent="0.2">
      <c r="A1635" s="7" t="s">
        <v>168</v>
      </c>
      <c r="B1635" s="7" t="s">
        <v>205</v>
      </c>
      <c r="C1635" s="3"/>
      <c r="D1635" s="3" t="s">
        <v>396</v>
      </c>
      <c r="E1635" s="33"/>
      <c r="F1635" s="36" t="s">
        <v>122</v>
      </c>
      <c r="G1635" s="7"/>
      <c r="H1635" s="7"/>
      <c r="I1635" s="12"/>
      <c r="J1635" s="5" t="e">
        <f>SUM(SUMIFS(#REF!,#REF!,Planning[[#This Row],[Tipo de Tarea y especialidad]],#REF!,Planning[[#This Row],[Proyectos Reiwa]]),SUMIFS(#REF!,#REF!,Planning[[#This Row],[Tipo de Tarea y especialidad]],#REF!,Planning[[#This Row],[Proyectos]]))</f>
        <v>#REF!</v>
      </c>
      <c r="K1635" s="5" t="e">
        <f>Planning[[#This Row],[Horas Planificadas]]+Planning[[#This Row],[Horas ajustadas adicionales]]-Planning[[#This Row],[Horas utilizadas]]</f>
        <v>#REF!</v>
      </c>
      <c r="L1635" s="7"/>
      <c r="M1635" s="19" t="e">
        <f>Planning[[#This Row],[Saldo]]-Planning[[#This Row],[Saldo estimado]]</f>
        <v>#REF!</v>
      </c>
      <c r="N1635" s="60" t="e">
        <f>+SUMIFS(#REF!,#REF!,Planning[[#This Row],[Proyectos]],#REF!,Planning[[#This Row],[Tipo de Tarea y especialidad]])</f>
        <v>#REF!</v>
      </c>
      <c r="O1635" s="19">
        <f t="shared" si="50"/>
        <v>10</v>
      </c>
      <c r="P1635" s="19">
        <f t="shared" si="51"/>
        <v>2024</v>
      </c>
      <c r="Q16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35" s="19" t="str">
        <f>TEXT(Planning[[#This Row],[Mes]]*29,"mmmm")</f>
        <v>October</v>
      </c>
      <c r="S16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35" s="193"/>
      <c r="U1635" s="43">
        <f>IF(Planning[[#This Row],[Horas Planificadas]]&lt;&gt;0,+K1635/Planning[[#This Row],[Horas Planificadas]],0)</f>
        <v>0</v>
      </c>
      <c r="V1635" s="43">
        <f>IF(Planning[[#This Row],[Horas Planificadas]]&lt;&gt;0,Planning[[#This Row],[Horas utilizadas]]/Planning[[#This Row],[Horas Planificadas]],0)</f>
        <v>0</v>
      </c>
      <c r="W1635" s="44">
        <f>Planning[[#This Row],[Horas Planificadas]]+Planning[[#This Row],[Horas ajustadas adicionales]]</f>
        <v>0</v>
      </c>
      <c r="X1635" s="142"/>
    </row>
    <row r="1636" spans="1:24" ht="12.75" customHeight="1" x14ac:dyDescent="0.2">
      <c r="A1636" s="7" t="s">
        <v>168</v>
      </c>
      <c r="B1636" s="7" t="s">
        <v>205</v>
      </c>
      <c r="C1636" s="3"/>
      <c r="D1636" s="3" t="s">
        <v>396</v>
      </c>
      <c r="E1636" s="33"/>
      <c r="F1636" s="36" t="s">
        <v>123</v>
      </c>
      <c r="G1636" s="7"/>
      <c r="H1636" s="7"/>
      <c r="I1636" s="12"/>
      <c r="J1636" s="5" t="e">
        <f>SUM(SUMIFS(#REF!,#REF!,Planning[[#This Row],[Tipo de Tarea y especialidad]],#REF!,Planning[[#This Row],[Proyectos Reiwa]]),SUMIFS(#REF!,#REF!,Planning[[#This Row],[Tipo de Tarea y especialidad]],#REF!,Planning[[#This Row],[Proyectos]]))</f>
        <v>#REF!</v>
      </c>
      <c r="K1636" s="5" t="e">
        <f>Planning[[#This Row],[Horas Planificadas]]+Planning[[#This Row],[Horas ajustadas adicionales]]-Planning[[#This Row],[Horas utilizadas]]</f>
        <v>#REF!</v>
      </c>
      <c r="L1636" s="7"/>
      <c r="M1636" s="19" t="e">
        <f>Planning[[#This Row],[Saldo]]-Planning[[#This Row],[Saldo estimado]]</f>
        <v>#REF!</v>
      </c>
      <c r="N1636" s="60" t="e">
        <f>+SUMIFS(#REF!,#REF!,Planning[[#This Row],[Proyectos]],#REF!,Planning[[#This Row],[Tipo de Tarea y especialidad]])</f>
        <v>#REF!</v>
      </c>
      <c r="O1636" s="19">
        <f t="shared" si="50"/>
        <v>10</v>
      </c>
      <c r="P1636" s="19">
        <f t="shared" si="51"/>
        <v>2024</v>
      </c>
      <c r="Q16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36" s="19" t="str">
        <f>TEXT(Planning[[#This Row],[Mes]]*29,"mmmm")</f>
        <v>October</v>
      </c>
      <c r="S16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36" s="193"/>
      <c r="U1636" s="43">
        <f>IF(Planning[[#This Row],[Horas Planificadas]]&lt;&gt;0,+K1636/Planning[[#This Row],[Horas Planificadas]],0)</f>
        <v>0</v>
      </c>
      <c r="V1636" s="43">
        <f>IF(Planning[[#This Row],[Horas Planificadas]]&lt;&gt;0,Planning[[#This Row],[Horas utilizadas]]/Planning[[#This Row],[Horas Planificadas]],0)</f>
        <v>0</v>
      </c>
      <c r="W1636" s="44">
        <f>Planning[[#This Row],[Horas Planificadas]]+Planning[[#This Row],[Horas ajustadas adicionales]]</f>
        <v>0</v>
      </c>
      <c r="X1636" s="142"/>
    </row>
    <row r="1637" spans="1:24" ht="12.75" customHeight="1" x14ac:dyDescent="0.2">
      <c r="A1637" s="7" t="s">
        <v>168</v>
      </c>
      <c r="B1637" s="7" t="s">
        <v>205</v>
      </c>
      <c r="C1637" s="3"/>
      <c r="D1637" s="3" t="s">
        <v>396</v>
      </c>
      <c r="E1637" s="33"/>
      <c r="F1637" s="36" t="s">
        <v>124</v>
      </c>
      <c r="G1637" s="7"/>
      <c r="H1637" s="7"/>
      <c r="I1637" s="12"/>
      <c r="J1637" s="5" t="e">
        <f>SUM(SUMIFS(#REF!,#REF!,Planning[[#This Row],[Tipo de Tarea y especialidad]],#REF!,Planning[[#This Row],[Proyectos Reiwa]]),SUMIFS(#REF!,#REF!,Planning[[#This Row],[Tipo de Tarea y especialidad]],#REF!,Planning[[#This Row],[Proyectos]]))</f>
        <v>#REF!</v>
      </c>
      <c r="K1637" s="5" t="e">
        <f>Planning[[#This Row],[Horas Planificadas]]+Planning[[#This Row],[Horas ajustadas adicionales]]-Planning[[#This Row],[Horas utilizadas]]</f>
        <v>#REF!</v>
      </c>
      <c r="L1637" s="7"/>
      <c r="M1637" s="19" t="e">
        <f>Planning[[#This Row],[Saldo]]-Planning[[#This Row],[Saldo estimado]]</f>
        <v>#REF!</v>
      </c>
      <c r="N1637" s="60" t="e">
        <f>+SUMIFS(#REF!,#REF!,Planning[[#This Row],[Proyectos]],#REF!,Planning[[#This Row],[Tipo de Tarea y especialidad]])</f>
        <v>#REF!</v>
      </c>
      <c r="O1637" s="19">
        <f t="shared" si="50"/>
        <v>10</v>
      </c>
      <c r="P1637" s="19">
        <f t="shared" si="51"/>
        <v>2024</v>
      </c>
      <c r="Q16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37" s="19" t="str">
        <f>TEXT(Planning[[#This Row],[Mes]]*29,"mmmm")</f>
        <v>October</v>
      </c>
      <c r="S16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37" s="193"/>
      <c r="U1637" s="43">
        <f>IF(Planning[[#This Row],[Horas Planificadas]]&lt;&gt;0,+K1637/Planning[[#This Row],[Horas Planificadas]],0)</f>
        <v>0</v>
      </c>
      <c r="V1637" s="43">
        <f>IF(Planning[[#This Row],[Horas Planificadas]]&lt;&gt;0,Planning[[#This Row],[Horas utilizadas]]/Planning[[#This Row],[Horas Planificadas]],0)</f>
        <v>0</v>
      </c>
      <c r="W1637" s="44">
        <f>Planning[[#This Row],[Horas Planificadas]]+Planning[[#This Row],[Horas ajustadas adicionales]]</f>
        <v>0</v>
      </c>
      <c r="X1637" s="142"/>
    </row>
    <row r="1638" spans="1:24" ht="12.75" customHeight="1" x14ac:dyDescent="0.2">
      <c r="A1638" s="7" t="s">
        <v>168</v>
      </c>
      <c r="B1638" s="7" t="s">
        <v>205</v>
      </c>
      <c r="C1638" s="3"/>
      <c r="D1638" s="3" t="s">
        <v>396</v>
      </c>
      <c r="E1638" s="33"/>
      <c r="F1638" s="36" t="s">
        <v>125</v>
      </c>
      <c r="G1638" s="7"/>
      <c r="H1638" s="7">
        <v>9</v>
      </c>
      <c r="I1638" s="12"/>
      <c r="J1638" s="5" t="e">
        <f>SUM(SUMIFS(#REF!,#REF!,Planning[[#This Row],[Tipo de Tarea y especialidad]],#REF!,Planning[[#This Row],[Proyectos Reiwa]]),SUMIFS(#REF!,#REF!,Planning[[#This Row],[Tipo de Tarea y especialidad]],#REF!,Planning[[#This Row],[Proyectos]]))</f>
        <v>#REF!</v>
      </c>
      <c r="K1638" s="5" t="e">
        <f>Planning[[#This Row],[Horas Planificadas]]+Planning[[#This Row],[Horas ajustadas adicionales]]-Planning[[#This Row],[Horas utilizadas]]</f>
        <v>#REF!</v>
      </c>
      <c r="L1638" s="7">
        <v>7</v>
      </c>
      <c r="M1638" s="19" t="e">
        <f>Planning[[#This Row],[Saldo]]-Planning[[#This Row],[Saldo estimado]]</f>
        <v>#REF!</v>
      </c>
      <c r="N1638" s="60" t="e">
        <f>+SUMIFS(#REF!,#REF!,Planning[[#This Row],[Proyectos]],#REF!,Planning[[#This Row],[Tipo de Tarea y especialidad]])</f>
        <v>#REF!</v>
      </c>
      <c r="O1638" s="19">
        <f t="shared" si="50"/>
        <v>10</v>
      </c>
      <c r="P1638" s="19">
        <f t="shared" si="51"/>
        <v>2024</v>
      </c>
      <c r="Q16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38" s="19" t="str">
        <f>TEXT(Planning[[#This Row],[Mes]]*29,"mmmm")</f>
        <v>October</v>
      </c>
      <c r="S16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38" s="193"/>
      <c r="U1638" s="43" t="e">
        <f>IF(Planning[[#This Row],[Horas Planificadas]]&lt;&gt;0,+K1638/Planning[[#This Row],[Horas Planificadas]],0)</f>
        <v>#REF!</v>
      </c>
      <c r="V1638" s="43" t="e">
        <f>IF(Planning[[#This Row],[Horas Planificadas]]&lt;&gt;0,Planning[[#This Row],[Horas utilizadas]]/Planning[[#This Row],[Horas Planificadas]],0)</f>
        <v>#REF!</v>
      </c>
      <c r="W1638" s="44">
        <f>Planning[[#This Row],[Horas Planificadas]]+Planning[[#This Row],[Horas ajustadas adicionales]]</f>
        <v>9</v>
      </c>
      <c r="X1638" s="142"/>
    </row>
    <row r="1639" spans="1:24" ht="12.75" customHeight="1" x14ac:dyDescent="0.2">
      <c r="A1639" s="7" t="s">
        <v>168</v>
      </c>
      <c r="B1639" s="7" t="s">
        <v>205</v>
      </c>
      <c r="C1639" s="3"/>
      <c r="D1639" s="3" t="s">
        <v>396</v>
      </c>
      <c r="E1639" s="33"/>
      <c r="F1639" s="36" t="s">
        <v>126</v>
      </c>
      <c r="G1639" s="7"/>
      <c r="H1639" s="7"/>
      <c r="I1639" s="12"/>
      <c r="J1639" s="5" t="e">
        <f>SUM(SUMIFS(#REF!,#REF!,Planning[[#This Row],[Tipo de Tarea y especialidad]],#REF!,Planning[[#This Row],[Proyectos Reiwa]]),SUMIFS(#REF!,#REF!,Planning[[#This Row],[Tipo de Tarea y especialidad]],#REF!,Planning[[#This Row],[Proyectos]]))</f>
        <v>#REF!</v>
      </c>
      <c r="K1639" s="5" t="e">
        <f>Planning[[#This Row],[Horas Planificadas]]+Planning[[#This Row],[Horas ajustadas adicionales]]-Planning[[#This Row],[Horas utilizadas]]</f>
        <v>#REF!</v>
      </c>
      <c r="L1639" s="7"/>
      <c r="M1639" s="19" t="e">
        <f>Planning[[#This Row],[Saldo]]-Planning[[#This Row],[Saldo estimado]]</f>
        <v>#REF!</v>
      </c>
      <c r="N1639" s="60" t="e">
        <f>+SUMIFS(#REF!,#REF!,Planning[[#This Row],[Proyectos]],#REF!,Planning[[#This Row],[Tipo de Tarea y especialidad]])</f>
        <v>#REF!</v>
      </c>
      <c r="O1639" s="19">
        <f t="shared" si="50"/>
        <v>10</v>
      </c>
      <c r="P1639" s="19">
        <f t="shared" si="51"/>
        <v>2024</v>
      </c>
      <c r="Q16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39" s="19" t="str">
        <f>TEXT(Planning[[#This Row],[Mes]]*29,"mmmm")</f>
        <v>October</v>
      </c>
      <c r="S16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39" s="193"/>
      <c r="U1639" s="43">
        <f>IF(Planning[[#This Row],[Horas Planificadas]]&lt;&gt;0,+K1639/Planning[[#This Row],[Horas Planificadas]],0)</f>
        <v>0</v>
      </c>
      <c r="V1639" s="43">
        <f>IF(Planning[[#This Row],[Horas Planificadas]]&lt;&gt;0,Planning[[#This Row],[Horas utilizadas]]/Planning[[#This Row],[Horas Planificadas]],0)</f>
        <v>0</v>
      </c>
      <c r="W1639" s="44">
        <f>Planning[[#This Row],[Horas Planificadas]]+Planning[[#This Row],[Horas ajustadas adicionales]]</f>
        <v>0</v>
      </c>
      <c r="X1639" s="142"/>
    </row>
    <row r="1640" spans="1:24" ht="12.75" customHeight="1" x14ac:dyDescent="0.2">
      <c r="A1640" s="7" t="s">
        <v>168</v>
      </c>
      <c r="B1640" s="7" t="s">
        <v>205</v>
      </c>
      <c r="C1640" s="3"/>
      <c r="D1640" s="3" t="s">
        <v>396</v>
      </c>
      <c r="E1640" s="33"/>
      <c r="F1640" s="36" t="s">
        <v>127</v>
      </c>
      <c r="G1640" s="7"/>
      <c r="H1640" s="7"/>
      <c r="I1640" s="12"/>
      <c r="J1640" s="5" t="e">
        <f>SUM(SUMIFS(#REF!,#REF!,Planning[[#This Row],[Tipo de Tarea y especialidad]],#REF!,Planning[[#This Row],[Proyectos Reiwa]]),SUMIFS(#REF!,#REF!,Planning[[#This Row],[Tipo de Tarea y especialidad]],#REF!,Planning[[#This Row],[Proyectos]]))</f>
        <v>#REF!</v>
      </c>
      <c r="K1640" s="5" t="e">
        <f>Planning[[#This Row],[Horas Planificadas]]+Planning[[#This Row],[Horas ajustadas adicionales]]-Planning[[#This Row],[Horas utilizadas]]</f>
        <v>#REF!</v>
      </c>
      <c r="L1640" s="7"/>
      <c r="M1640" s="19" t="e">
        <f>Planning[[#This Row],[Saldo]]-Planning[[#This Row],[Saldo estimado]]</f>
        <v>#REF!</v>
      </c>
      <c r="N1640" s="60" t="e">
        <f>+SUMIFS(#REF!,#REF!,Planning[[#This Row],[Proyectos]],#REF!,Planning[[#This Row],[Tipo de Tarea y especialidad]])</f>
        <v>#REF!</v>
      </c>
      <c r="O1640" s="19">
        <f t="shared" si="50"/>
        <v>10</v>
      </c>
      <c r="P1640" s="19">
        <f t="shared" si="51"/>
        <v>2024</v>
      </c>
      <c r="Q16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40" s="19" t="str">
        <f>TEXT(Planning[[#This Row],[Mes]]*29,"mmmm")</f>
        <v>October</v>
      </c>
      <c r="S16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40" s="193"/>
      <c r="U1640" s="43">
        <f>IF(Planning[[#This Row],[Horas Planificadas]]&lt;&gt;0,+K1640/Planning[[#This Row],[Horas Planificadas]],0)</f>
        <v>0</v>
      </c>
      <c r="V1640" s="43">
        <f>IF(Planning[[#This Row],[Horas Planificadas]]&lt;&gt;0,Planning[[#This Row],[Horas utilizadas]]/Planning[[#This Row],[Horas Planificadas]],0)</f>
        <v>0</v>
      </c>
      <c r="W1640" s="44">
        <f>Planning[[#This Row],[Horas Planificadas]]+Planning[[#This Row],[Horas ajustadas adicionales]]</f>
        <v>0</v>
      </c>
      <c r="X1640" s="142"/>
    </row>
    <row r="1641" spans="1:24" ht="12.75" customHeight="1" x14ac:dyDescent="0.2">
      <c r="A1641" s="7" t="s">
        <v>168</v>
      </c>
      <c r="B1641" s="7" t="s">
        <v>205</v>
      </c>
      <c r="C1641" s="3"/>
      <c r="D1641" s="3" t="s">
        <v>396</v>
      </c>
      <c r="E1641" s="33"/>
      <c r="F1641" s="36" t="s">
        <v>128</v>
      </c>
      <c r="G1641" s="7"/>
      <c r="H1641" s="7"/>
      <c r="I1641" s="12"/>
      <c r="J1641" s="5" t="e">
        <f>SUM(SUMIFS(#REF!,#REF!,Planning[[#This Row],[Tipo de Tarea y especialidad]],#REF!,Planning[[#This Row],[Proyectos Reiwa]]),SUMIFS(#REF!,#REF!,Planning[[#This Row],[Tipo de Tarea y especialidad]],#REF!,Planning[[#This Row],[Proyectos]]))</f>
        <v>#REF!</v>
      </c>
      <c r="K1641" s="5" t="e">
        <f>Planning[[#This Row],[Horas Planificadas]]+Planning[[#This Row],[Horas ajustadas adicionales]]-Planning[[#This Row],[Horas utilizadas]]</f>
        <v>#REF!</v>
      </c>
      <c r="L1641" s="7"/>
      <c r="M1641" s="19" t="e">
        <f>Planning[[#This Row],[Saldo]]-Planning[[#This Row],[Saldo estimado]]</f>
        <v>#REF!</v>
      </c>
      <c r="N1641" s="60" t="e">
        <f>+SUMIFS(#REF!,#REF!,Planning[[#This Row],[Proyectos]],#REF!,Planning[[#This Row],[Tipo de Tarea y especialidad]])</f>
        <v>#REF!</v>
      </c>
      <c r="O1641" s="19">
        <f t="shared" si="50"/>
        <v>10</v>
      </c>
      <c r="P1641" s="19">
        <f t="shared" si="51"/>
        <v>2024</v>
      </c>
      <c r="Q16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41" s="19" t="str">
        <f>TEXT(Planning[[#This Row],[Mes]]*29,"mmmm")</f>
        <v>October</v>
      </c>
      <c r="S16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41" s="193"/>
      <c r="U1641" s="43">
        <f>IF(Planning[[#This Row],[Horas Planificadas]]&lt;&gt;0,+K1641/Planning[[#This Row],[Horas Planificadas]],0)</f>
        <v>0</v>
      </c>
      <c r="V1641" s="43">
        <f>IF(Planning[[#This Row],[Horas Planificadas]]&lt;&gt;0,Planning[[#This Row],[Horas utilizadas]]/Planning[[#This Row],[Horas Planificadas]],0)</f>
        <v>0</v>
      </c>
      <c r="W1641" s="44">
        <f>Planning[[#This Row],[Horas Planificadas]]+Planning[[#This Row],[Horas ajustadas adicionales]]</f>
        <v>0</v>
      </c>
      <c r="X1641" s="142"/>
    </row>
    <row r="1642" spans="1:24" ht="12.75" customHeight="1" x14ac:dyDescent="0.2">
      <c r="A1642" s="7" t="s">
        <v>168</v>
      </c>
      <c r="B1642" s="7" t="s">
        <v>205</v>
      </c>
      <c r="C1642" s="3"/>
      <c r="D1642" s="3" t="s">
        <v>396</v>
      </c>
      <c r="E1642" s="33" t="s">
        <v>31</v>
      </c>
      <c r="F1642" s="36" t="s">
        <v>31</v>
      </c>
      <c r="G1642" s="7">
        <v>4</v>
      </c>
      <c r="H1642" s="15">
        <v>4</v>
      </c>
      <c r="I1642" s="18"/>
      <c r="J1642" s="14" t="e">
        <f>+SUMIFS(#REF!,#REF!,Planning[[#This Row],[Tarifa]],#REF!,Planning[[#This Row],[Proyectos]])</f>
        <v>#REF!</v>
      </c>
      <c r="K1642" s="14" t="e">
        <f>Planning[[#This Row],[Horas Planificadas]]+Planning[[#This Row],[Horas ajustadas adicionales]]-Planning[[#This Row],[Horas utilizadas]]</f>
        <v>#REF!</v>
      </c>
      <c r="L1642" s="15">
        <v>4</v>
      </c>
      <c r="M1642" s="16" t="e">
        <f>Planning[[#This Row],[Saldo]]-Planning[[#This Row],[Saldo estimado]]</f>
        <v>#REF!</v>
      </c>
      <c r="N1642" s="60" t="e">
        <f>+SUMIFS(#REF!,#REF!,Planning[[#This Row],[Proyectos]],#REF!,Planning[[#This Row],[Tipo de Tarea y especialidad]])</f>
        <v>#REF!</v>
      </c>
      <c r="O1642" s="16">
        <f t="shared" si="50"/>
        <v>10</v>
      </c>
      <c r="P1642" s="16">
        <f t="shared" si="51"/>
        <v>2024</v>
      </c>
      <c r="Q1642" s="16" t="e">
        <f>+SUMIFS(#REF!,#REF!,Planning[[#This Row],[Tarifa]],#REF!,Planning[[#This Row],[Proyectos]],#REF!,Planning[[#This Row],[Mes]],#REF!,Planning[[#This Row],[Año]])</f>
        <v>#REF!</v>
      </c>
      <c r="R1642" s="16" t="str">
        <f>TEXT(Planning[[#This Row],[Mes]]*29,"mmmm")</f>
        <v>October</v>
      </c>
      <c r="S16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42" s="193"/>
      <c r="U1642" s="43" t="e">
        <f>IF(Planning[[#This Row],[Horas Planificadas]]&lt;&gt;0,+K1642/Planning[[#This Row],[Horas Planificadas]],0)</f>
        <v>#REF!</v>
      </c>
      <c r="V1642" s="43" t="e">
        <f>IF(Planning[[#This Row],[Horas Planificadas]]&lt;&gt;0,Planning[[#This Row],[Horas utilizadas]]/Planning[[#This Row],[Horas Planificadas]],0)</f>
        <v>#REF!</v>
      </c>
      <c r="W1642" s="44">
        <f>Planning[[#This Row],[Horas Planificadas]]+Planning[[#This Row],[Horas ajustadas adicionales]]</f>
        <v>4</v>
      </c>
      <c r="X1642" s="142"/>
    </row>
    <row r="1643" spans="1:24" ht="12.75" customHeight="1" x14ac:dyDescent="0.2">
      <c r="A1643" s="7" t="s">
        <v>168</v>
      </c>
      <c r="B1643" s="7" t="s">
        <v>205</v>
      </c>
      <c r="C1643" s="3"/>
      <c r="D1643" s="3" t="s">
        <v>396</v>
      </c>
      <c r="E1643" s="4" t="s">
        <v>32</v>
      </c>
      <c r="F1643" s="3"/>
      <c r="G1643" s="9">
        <v>18</v>
      </c>
      <c r="H1643" s="14">
        <f>SUM(H1644:H1646)</f>
        <v>18</v>
      </c>
      <c r="I1643" s="14"/>
      <c r="J1643" s="14" t="e">
        <f>SUM(J1644:J1646)</f>
        <v>#REF!</v>
      </c>
      <c r="K1643" s="15" t="e">
        <f>SUM(K1644:K1646)</f>
        <v>#REF!</v>
      </c>
      <c r="L1643" s="15">
        <f>SUM(L1644:L1646)</f>
        <v>18</v>
      </c>
      <c r="M1643" s="35" t="e">
        <f>SUM(M1644:M1646)</f>
        <v>#REF!</v>
      </c>
      <c r="N1643" s="62" t="e">
        <f>+SUMIFS(#REF!,#REF!,Planning[[#This Row],[Proyectos]],#REF!,Planning[[#This Row],[Tipo de Tarea y especialidad]])</f>
        <v>#REF!</v>
      </c>
      <c r="O1643" s="35">
        <f t="shared" si="50"/>
        <v>10</v>
      </c>
      <c r="P1643" s="35">
        <f t="shared" si="51"/>
        <v>2024</v>
      </c>
      <c r="Q1643" s="16" t="e">
        <f>SUM(Q1644:Q1646)</f>
        <v>#REF!</v>
      </c>
      <c r="R1643" s="16" t="str">
        <f>TEXT(Planning[[#This Row],[Mes]]*29,"mmmm")</f>
        <v>October</v>
      </c>
      <c r="S16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43" s="193"/>
      <c r="U1643" s="43" t="e">
        <f>IF(Planning[[#This Row],[Horas Planificadas]]&lt;&gt;0,+K1643/Planning[[#This Row],[Horas Planificadas]],0)</f>
        <v>#REF!</v>
      </c>
      <c r="V1643" s="43" t="e">
        <f>IF(Planning[[#This Row],[Horas Planificadas]]&lt;&gt;0,Planning[[#This Row],[Horas utilizadas]]/Planning[[#This Row],[Horas Planificadas]],0)</f>
        <v>#REF!</v>
      </c>
      <c r="W1643" s="44">
        <f>Planning[[#This Row],[Horas Planificadas]]+Planning[[#This Row],[Horas ajustadas adicionales]]</f>
        <v>18</v>
      </c>
      <c r="X1643" s="142"/>
    </row>
    <row r="1644" spans="1:24" ht="12.75" customHeight="1" x14ac:dyDescent="0.2">
      <c r="A1644" s="7" t="s">
        <v>168</v>
      </c>
      <c r="B1644" s="7" t="s">
        <v>205</v>
      </c>
      <c r="C1644" s="3"/>
      <c r="D1644" s="3" t="s">
        <v>396</v>
      </c>
      <c r="E1644" s="4"/>
      <c r="F1644" s="3" t="s">
        <v>129</v>
      </c>
      <c r="G1644" s="9"/>
      <c r="H1644" s="9"/>
      <c r="I1644" s="12"/>
      <c r="J1644" s="5" t="e">
        <f>SUM(SUMIFS(#REF!,#REF!,Planning[[#This Row],[Tipo de Tarea y especialidad]],#REF!,Planning[[#This Row],[Proyectos Reiwa]]),SUMIFS(#REF!,#REF!,Planning[[#This Row],[Tipo de Tarea y especialidad]],#REF!,Planning[[#This Row],[Proyectos]]))</f>
        <v>#REF!</v>
      </c>
      <c r="K1644" s="5" t="e">
        <f>Planning[[#This Row],[Horas Planificadas]]+Planning[[#This Row],[Horas ajustadas adicionales]]-Planning[[#This Row],[Horas utilizadas]]</f>
        <v>#REF!</v>
      </c>
      <c r="L1644" s="7"/>
      <c r="M1644" s="19" t="e">
        <f>Planning[[#This Row],[Saldo]]-Planning[[#This Row],[Saldo estimado]]</f>
        <v>#REF!</v>
      </c>
      <c r="N1644" s="60" t="e">
        <f>+SUMIFS(#REF!,#REF!,Planning[[#This Row],[Proyectos]],#REF!,Planning[[#This Row],[Tipo de Tarea y especialidad]])</f>
        <v>#REF!</v>
      </c>
      <c r="O1644" s="19">
        <f t="shared" si="50"/>
        <v>10</v>
      </c>
      <c r="P1644" s="19">
        <f t="shared" si="51"/>
        <v>2024</v>
      </c>
      <c r="Q16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44" s="19" t="str">
        <f>TEXT(Planning[[#This Row],[Mes]]*29,"mmmm")</f>
        <v>October</v>
      </c>
      <c r="S16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44" s="193"/>
      <c r="U1644" s="43">
        <f>IF(Planning[[#This Row],[Horas Planificadas]]&lt;&gt;0,+K1644/Planning[[#This Row],[Horas Planificadas]],0)</f>
        <v>0</v>
      </c>
      <c r="V1644" s="43">
        <f>IF(Planning[[#This Row],[Horas Planificadas]]&lt;&gt;0,Planning[[#This Row],[Horas utilizadas]]/Planning[[#This Row],[Horas Planificadas]],0)</f>
        <v>0</v>
      </c>
      <c r="W1644" s="44">
        <f>Planning[[#This Row],[Horas Planificadas]]+Planning[[#This Row],[Horas ajustadas adicionales]]</f>
        <v>0</v>
      </c>
      <c r="X1644" s="142"/>
    </row>
    <row r="1645" spans="1:24" ht="12.75" customHeight="1" x14ac:dyDescent="0.2">
      <c r="A1645" s="7" t="s">
        <v>168</v>
      </c>
      <c r="B1645" s="7" t="s">
        <v>205</v>
      </c>
      <c r="C1645" s="3"/>
      <c r="D1645" s="3" t="s">
        <v>396</v>
      </c>
      <c r="E1645" s="4"/>
      <c r="F1645" s="3" t="s">
        <v>130</v>
      </c>
      <c r="G1645" s="9"/>
      <c r="H1645" s="9">
        <v>18</v>
      </c>
      <c r="I1645" s="12"/>
      <c r="J1645" s="5" t="e">
        <f>SUM(SUMIFS(#REF!,#REF!,Planning[[#This Row],[Tipo de Tarea y especialidad]],#REF!,Planning[[#This Row],[Proyectos Reiwa]]),SUMIFS(#REF!,#REF!,Planning[[#This Row],[Tipo de Tarea y especialidad]],#REF!,Planning[[#This Row],[Proyectos]]))</f>
        <v>#REF!</v>
      </c>
      <c r="K1645" s="5" t="e">
        <f>Planning[[#This Row],[Horas Planificadas]]+Planning[[#This Row],[Horas ajustadas adicionales]]-Planning[[#This Row],[Horas utilizadas]]</f>
        <v>#REF!</v>
      </c>
      <c r="L1645" s="7">
        <v>18</v>
      </c>
      <c r="M1645" s="19" t="e">
        <f>Planning[[#This Row],[Saldo]]-Planning[[#This Row],[Saldo estimado]]</f>
        <v>#REF!</v>
      </c>
      <c r="N1645" s="60" t="e">
        <f>+SUMIFS(#REF!,#REF!,Planning[[#This Row],[Proyectos]],#REF!,Planning[[#This Row],[Tipo de Tarea y especialidad]])</f>
        <v>#REF!</v>
      </c>
      <c r="O1645" s="19">
        <f t="shared" si="50"/>
        <v>10</v>
      </c>
      <c r="P1645" s="19">
        <f t="shared" si="51"/>
        <v>2024</v>
      </c>
      <c r="Q16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45" s="19" t="str">
        <f>TEXT(Planning[[#This Row],[Mes]]*29,"mmmm")</f>
        <v>October</v>
      </c>
      <c r="S16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45" s="193"/>
      <c r="U1645" s="43" t="e">
        <f>IF(Planning[[#This Row],[Horas Planificadas]]&lt;&gt;0,+K1645/Planning[[#This Row],[Horas Planificadas]],0)</f>
        <v>#REF!</v>
      </c>
      <c r="V1645" s="43" t="e">
        <f>IF(Planning[[#This Row],[Horas Planificadas]]&lt;&gt;0,Planning[[#This Row],[Horas utilizadas]]/Planning[[#This Row],[Horas Planificadas]],0)</f>
        <v>#REF!</v>
      </c>
      <c r="W1645" s="44">
        <f>Planning[[#This Row],[Horas Planificadas]]+Planning[[#This Row],[Horas ajustadas adicionales]]</f>
        <v>18</v>
      </c>
      <c r="X1645" s="142"/>
    </row>
    <row r="1646" spans="1:24" ht="12.75" customHeight="1" x14ac:dyDescent="0.2">
      <c r="A1646" s="7" t="s">
        <v>168</v>
      </c>
      <c r="B1646" s="7" t="s">
        <v>205</v>
      </c>
      <c r="C1646" s="3"/>
      <c r="D1646" s="3" t="s">
        <v>396</v>
      </c>
      <c r="E1646" s="4"/>
      <c r="F1646" s="3" t="s">
        <v>131</v>
      </c>
      <c r="G1646" s="9"/>
      <c r="H1646" s="12"/>
      <c r="I1646" s="12"/>
      <c r="J1646" s="5" t="e">
        <f>SUM(SUMIFS(#REF!,#REF!,Planning[[#This Row],[Tipo de Tarea y especialidad]],#REF!,Planning[[#This Row],[Proyectos Reiwa]]),SUMIFS(#REF!,#REF!,Planning[[#This Row],[Tipo de Tarea y especialidad]],#REF!,Planning[[#This Row],[Proyectos]]))</f>
        <v>#REF!</v>
      </c>
      <c r="K1646" s="27" t="e">
        <f>Planning[[#This Row],[Horas Planificadas]]+Planning[[#This Row],[Horas ajustadas adicionales]]-Planning[[#This Row],[Horas utilizadas]]</f>
        <v>#REF!</v>
      </c>
      <c r="L1646" s="7"/>
      <c r="M1646" s="19" t="e">
        <f>Planning[[#This Row],[Saldo]]-Planning[[#This Row],[Saldo estimado]]</f>
        <v>#REF!</v>
      </c>
      <c r="N1646" s="60" t="e">
        <f>+SUMIFS(#REF!,#REF!,Planning[[#This Row],[Proyectos]],#REF!,Planning[[#This Row],[Tipo de Tarea y especialidad]])</f>
        <v>#REF!</v>
      </c>
      <c r="O1646" s="19">
        <f t="shared" si="50"/>
        <v>10</v>
      </c>
      <c r="P1646" s="19">
        <f t="shared" si="51"/>
        <v>2024</v>
      </c>
      <c r="Q16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46" s="19" t="str">
        <f>TEXT(Planning[[#This Row],[Mes]]*29,"mmmm")</f>
        <v>October</v>
      </c>
      <c r="S16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46" s="193"/>
      <c r="U1646" s="43">
        <f>IF(Planning[[#This Row],[Horas Planificadas]]&lt;&gt;0,+K1646/Planning[[#This Row],[Horas Planificadas]],0)</f>
        <v>0</v>
      </c>
      <c r="V1646" s="43">
        <f>IF(Planning[[#This Row],[Horas Planificadas]]&lt;&gt;0,Planning[[#This Row],[Horas utilizadas]]/Planning[[#This Row],[Horas Planificadas]],0)</f>
        <v>0</v>
      </c>
      <c r="W1646" s="44">
        <f>Planning[[#This Row],[Horas Planificadas]]+Planning[[#This Row],[Horas ajustadas adicionales]]</f>
        <v>0</v>
      </c>
      <c r="X1646" s="142"/>
    </row>
    <row r="1647" spans="1:24" ht="12.75" customHeight="1" x14ac:dyDescent="0.2">
      <c r="A1647" s="7" t="s">
        <v>294</v>
      </c>
      <c r="B1647" s="7" t="s">
        <v>393</v>
      </c>
      <c r="C1647" s="3"/>
      <c r="D1647" s="3" t="s">
        <v>398</v>
      </c>
      <c r="E1647" s="4" t="s">
        <v>28</v>
      </c>
      <c r="F1647" s="3"/>
      <c r="G1647" s="9">
        <v>0</v>
      </c>
      <c r="H1647" s="25">
        <f>SUM(H1648:H1649)</f>
        <v>0</v>
      </c>
      <c r="I1647" s="14"/>
      <c r="J1647" s="14" t="e">
        <f>SUM(J1648:J1649)</f>
        <v>#REF!</v>
      </c>
      <c r="K1647" s="18" t="e">
        <f>SUM(K1648:K1649)</f>
        <v>#REF!</v>
      </c>
      <c r="L1647" s="15">
        <f>SUM(L1648:L1649)</f>
        <v>0</v>
      </c>
      <c r="M1647" s="28" t="e">
        <f>SUM(M1648:M1649)</f>
        <v>#REF!</v>
      </c>
      <c r="N1647" s="61" t="e">
        <f>+SUMIFS(#REF!,#REF!,Planning[[#This Row],[Proyectos]],#REF!,Planning[[#This Row],[Tipo de Tarea y especialidad]])</f>
        <v>#REF!</v>
      </c>
      <c r="O1647" s="28">
        <f t="shared" si="50"/>
        <v>10</v>
      </c>
      <c r="P1647" s="28">
        <f t="shared" si="51"/>
        <v>2024</v>
      </c>
      <c r="Q1647" s="28" t="e">
        <f>SUM(Q1648:Q1649)</f>
        <v>#REF!</v>
      </c>
      <c r="R1647" s="28" t="str">
        <f>TEXT(Planning[[#This Row],[Mes]]*29,"mmmm")</f>
        <v>October</v>
      </c>
      <c r="S16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47" s="192" t="s">
        <v>399</v>
      </c>
      <c r="U1647" s="43">
        <f>IF(Planning[[#This Row],[Horas Planificadas]]&lt;&gt;0,+K1647/Planning[[#This Row],[Horas Planificadas]],0)</f>
        <v>0</v>
      </c>
      <c r="V1647" s="43">
        <f>IF(Planning[[#This Row],[Horas Planificadas]]&lt;&gt;0,Planning[[#This Row],[Horas utilizadas]]/Planning[[#This Row],[Horas Planificadas]],0)</f>
        <v>0</v>
      </c>
      <c r="W1647" s="44">
        <f>Planning[[#This Row],[Horas Planificadas]]+Planning[[#This Row],[Horas ajustadas adicionales]]</f>
        <v>0</v>
      </c>
      <c r="X1647" s="142"/>
    </row>
    <row r="1648" spans="1:24" ht="12.75" customHeight="1" x14ac:dyDescent="0.2">
      <c r="A1648" s="7" t="s">
        <v>294</v>
      </c>
      <c r="B1648" s="7" t="s">
        <v>393</v>
      </c>
      <c r="C1648" s="3"/>
      <c r="D1648" s="3" t="s">
        <v>398</v>
      </c>
      <c r="E1648" s="4"/>
      <c r="F1648" s="3" t="s">
        <v>120</v>
      </c>
      <c r="G1648" s="9"/>
      <c r="H1648" s="9"/>
      <c r="I1648" s="12"/>
      <c r="J1648" s="5" t="e">
        <f>SUM(SUMIFS(#REF!,#REF!,Planning[[#This Row],[Tipo de Tarea y especialidad]],#REF!,Planning[[#This Row],[Proyectos Reiwa]]),SUMIFS(#REF!,#REF!,Planning[[#This Row],[Tipo de Tarea y especialidad]],#REF!,Planning[[#This Row],[Proyectos]]))</f>
        <v>#REF!</v>
      </c>
      <c r="K1648" s="5" t="e">
        <f>Planning[[#This Row],[Horas Planificadas]]+Planning[[#This Row],[Horas ajustadas adicionales]]-Planning[[#This Row],[Horas utilizadas]]</f>
        <v>#REF!</v>
      </c>
      <c r="L1648" s="7"/>
      <c r="M1648" s="19" t="e">
        <f>Planning[[#This Row],[Saldo]]-Planning[[#This Row],[Saldo estimado]]</f>
        <v>#REF!</v>
      </c>
      <c r="N1648" s="60" t="e">
        <f>+SUMIFS(#REF!,#REF!,Planning[[#This Row],[Proyectos]],#REF!,Planning[[#This Row],[Tipo de Tarea y especialidad]])</f>
        <v>#REF!</v>
      </c>
      <c r="O1648" s="19">
        <f t="shared" si="50"/>
        <v>10</v>
      </c>
      <c r="P1648" s="19">
        <f t="shared" si="51"/>
        <v>2024</v>
      </c>
      <c r="Q16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48" s="19" t="str">
        <f>TEXT(Planning[[#This Row],[Mes]]*29,"mmmm")</f>
        <v>October</v>
      </c>
      <c r="S16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48" s="193"/>
      <c r="U1648" s="43">
        <f>IF(Planning[[#This Row],[Horas Planificadas]]&lt;&gt;0,+K1648/Planning[[#This Row],[Horas Planificadas]],0)</f>
        <v>0</v>
      </c>
      <c r="V1648" s="43">
        <f>IF(Planning[[#This Row],[Horas Planificadas]]&lt;&gt;0,Planning[[#This Row],[Horas utilizadas]]/Planning[[#This Row],[Horas Planificadas]],0)</f>
        <v>0</v>
      </c>
      <c r="W1648" s="44">
        <f>Planning[[#This Row],[Horas Planificadas]]+Planning[[#This Row],[Horas ajustadas adicionales]]</f>
        <v>0</v>
      </c>
      <c r="X1648" s="142"/>
    </row>
    <row r="1649" spans="1:24" ht="12.75" customHeight="1" x14ac:dyDescent="0.2">
      <c r="A1649" s="7" t="s">
        <v>294</v>
      </c>
      <c r="B1649" s="7" t="s">
        <v>393</v>
      </c>
      <c r="C1649" s="3"/>
      <c r="D1649" s="3" t="s">
        <v>398</v>
      </c>
      <c r="E1649" s="4"/>
      <c r="F1649" s="3" t="s">
        <v>121</v>
      </c>
      <c r="G1649" s="9"/>
      <c r="H1649" s="9"/>
      <c r="I1649" s="12"/>
      <c r="J1649" s="5" t="e">
        <f>SUM(SUMIFS(#REF!,#REF!,Planning[[#This Row],[Tipo de Tarea y especialidad]],#REF!,Planning[[#This Row],[Proyectos Reiwa]]),SUMIFS(#REF!,#REF!,Planning[[#This Row],[Tipo de Tarea y especialidad]],#REF!,Planning[[#This Row],[Proyectos]]))</f>
        <v>#REF!</v>
      </c>
      <c r="K1649" s="5" t="e">
        <f>Planning[[#This Row],[Horas Planificadas]]+Planning[[#This Row],[Horas ajustadas adicionales]]-Planning[[#This Row],[Horas utilizadas]]</f>
        <v>#REF!</v>
      </c>
      <c r="L1649" s="7"/>
      <c r="M1649" s="19" t="e">
        <f>Planning[[#This Row],[Saldo]]-Planning[[#This Row],[Saldo estimado]]</f>
        <v>#REF!</v>
      </c>
      <c r="N1649" s="60" t="e">
        <f>+SUMIFS(#REF!,#REF!,Planning[[#This Row],[Proyectos]],#REF!,Planning[[#This Row],[Tipo de Tarea y especialidad]])</f>
        <v>#REF!</v>
      </c>
      <c r="O1649" s="19">
        <f t="shared" si="50"/>
        <v>10</v>
      </c>
      <c r="P1649" s="19">
        <f t="shared" si="51"/>
        <v>2024</v>
      </c>
      <c r="Q16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49" s="19" t="str">
        <f>TEXT(Planning[[#This Row],[Mes]]*29,"mmmm")</f>
        <v>October</v>
      </c>
      <c r="S16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49" s="193"/>
      <c r="U1649" s="43">
        <f>IF(Planning[[#This Row],[Horas Planificadas]]&lt;&gt;0,+K1649/Planning[[#This Row],[Horas Planificadas]],0)</f>
        <v>0</v>
      </c>
      <c r="V1649" s="43">
        <f>IF(Planning[[#This Row],[Horas Planificadas]]&lt;&gt;0,Planning[[#This Row],[Horas utilizadas]]/Planning[[#This Row],[Horas Planificadas]],0)</f>
        <v>0</v>
      </c>
      <c r="W1649" s="44">
        <f>Planning[[#This Row],[Horas Planificadas]]+Planning[[#This Row],[Horas ajustadas adicionales]]</f>
        <v>0</v>
      </c>
      <c r="X1649" s="142"/>
    </row>
    <row r="1650" spans="1:24" ht="12.75" customHeight="1" x14ac:dyDescent="0.2">
      <c r="A1650" s="7" t="s">
        <v>294</v>
      </c>
      <c r="B1650" s="7" t="s">
        <v>393</v>
      </c>
      <c r="C1650" s="3"/>
      <c r="D1650" s="3" t="s">
        <v>398</v>
      </c>
      <c r="E1650" s="4" t="s">
        <v>30</v>
      </c>
      <c r="F1650" s="3"/>
      <c r="G1650" s="9">
        <v>32</v>
      </c>
      <c r="H1650" s="25">
        <f>SUM(H1651:H1657)</f>
        <v>32</v>
      </c>
      <c r="I1650" s="14"/>
      <c r="J1650" s="14" t="e">
        <f>SUM(J1651:J1657)</f>
        <v>#REF!</v>
      </c>
      <c r="K1650" s="18" t="e">
        <f>SUM(K1651:K1657)</f>
        <v>#REF!</v>
      </c>
      <c r="L1650" s="15">
        <f>SUM(L1651:L1657)</f>
        <v>-17</v>
      </c>
      <c r="M1650" s="16" t="e">
        <f>SUM(M1651:M1657)</f>
        <v>#REF!</v>
      </c>
      <c r="N1650" s="60" t="e">
        <f>+SUMIFS(#REF!,#REF!,Planning[[#This Row],[Proyectos]],#REF!,Planning[[#This Row],[Tipo de Tarea y especialidad]])</f>
        <v>#REF!</v>
      </c>
      <c r="O1650" s="16">
        <f t="shared" si="50"/>
        <v>10</v>
      </c>
      <c r="P1650" s="16">
        <f t="shared" si="51"/>
        <v>2024</v>
      </c>
      <c r="Q1650" s="16" t="e">
        <f>SUM(Q1651:Q1657)</f>
        <v>#REF!</v>
      </c>
      <c r="R1650" s="16" t="str">
        <f>TEXT(Planning[[#This Row],[Mes]]*29,"mmmm")</f>
        <v>October</v>
      </c>
      <c r="S16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50" s="193"/>
      <c r="U1650" s="43" t="e">
        <f>IF(Planning[[#This Row],[Horas Planificadas]]&lt;&gt;0,+K1650/Planning[[#This Row],[Horas Planificadas]],0)</f>
        <v>#REF!</v>
      </c>
      <c r="V1650" s="43" t="e">
        <f>IF(Planning[[#This Row],[Horas Planificadas]]&lt;&gt;0,Planning[[#This Row],[Horas utilizadas]]/Planning[[#This Row],[Horas Planificadas]],0)</f>
        <v>#REF!</v>
      </c>
      <c r="W1650" s="44">
        <f>Planning[[#This Row],[Horas Planificadas]]+Planning[[#This Row],[Horas ajustadas adicionales]]</f>
        <v>32</v>
      </c>
      <c r="X1650" s="142"/>
    </row>
    <row r="1651" spans="1:24" ht="12.75" customHeight="1" x14ac:dyDescent="0.2">
      <c r="A1651" s="7" t="s">
        <v>294</v>
      </c>
      <c r="B1651" s="7" t="s">
        <v>393</v>
      </c>
      <c r="C1651" s="3"/>
      <c r="D1651" s="3" t="s">
        <v>398</v>
      </c>
      <c r="E1651" s="4"/>
      <c r="F1651" s="3" t="s">
        <v>122</v>
      </c>
      <c r="G1651" s="9"/>
      <c r="H1651" s="9"/>
      <c r="I1651" s="12"/>
      <c r="J1651" s="5" t="e">
        <f>SUM(SUMIFS(#REF!,#REF!,Planning[[#This Row],[Tipo de Tarea y especialidad]],#REF!,Planning[[#This Row],[Proyectos Reiwa]]),SUMIFS(#REF!,#REF!,Planning[[#This Row],[Tipo de Tarea y especialidad]],#REF!,Planning[[#This Row],[Proyectos]]))</f>
        <v>#REF!</v>
      </c>
      <c r="K1651" s="5" t="e">
        <f>Planning[[#This Row],[Horas Planificadas]]+Planning[[#This Row],[Horas ajustadas adicionales]]-Planning[[#This Row],[Horas utilizadas]]</f>
        <v>#REF!</v>
      </c>
      <c r="L1651" s="7"/>
      <c r="M1651" s="19" t="e">
        <f>Planning[[#This Row],[Saldo]]-Planning[[#This Row],[Saldo estimado]]</f>
        <v>#REF!</v>
      </c>
      <c r="N1651" s="60" t="e">
        <f>+SUMIFS(#REF!,#REF!,Planning[[#This Row],[Proyectos]],#REF!,Planning[[#This Row],[Tipo de Tarea y especialidad]])</f>
        <v>#REF!</v>
      </c>
      <c r="O1651" s="19">
        <f t="shared" si="50"/>
        <v>10</v>
      </c>
      <c r="P1651" s="19">
        <f t="shared" si="51"/>
        <v>2024</v>
      </c>
      <c r="Q16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51" s="19" t="str">
        <f>TEXT(Planning[[#This Row],[Mes]]*29,"mmmm")</f>
        <v>October</v>
      </c>
      <c r="S16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51" s="193"/>
      <c r="U1651" s="43">
        <f>IF(Planning[[#This Row],[Horas Planificadas]]&lt;&gt;0,+K1651/Planning[[#This Row],[Horas Planificadas]],0)</f>
        <v>0</v>
      </c>
      <c r="V1651" s="43">
        <f>IF(Planning[[#This Row],[Horas Planificadas]]&lt;&gt;0,Planning[[#This Row],[Horas utilizadas]]/Planning[[#This Row],[Horas Planificadas]],0)</f>
        <v>0</v>
      </c>
      <c r="W1651" s="44">
        <f>Planning[[#This Row],[Horas Planificadas]]+Planning[[#This Row],[Horas ajustadas adicionales]]</f>
        <v>0</v>
      </c>
      <c r="X1651" s="142"/>
    </row>
    <row r="1652" spans="1:24" ht="12.75" customHeight="1" x14ac:dyDescent="0.2">
      <c r="A1652" s="7" t="s">
        <v>294</v>
      </c>
      <c r="B1652" s="7" t="s">
        <v>393</v>
      </c>
      <c r="C1652" s="3"/>
      <c r="D1652" s="3" t="s">
        <v>398</v>
      </c>
      <c r="E1652" s="4"/>
      <c r="F1652" s="3" t="s">
        <v>123</v>
      </c>
      <c r="G1652" s="9"/>
      <c r="H1652" s="9"/>
      <c r="I1652" s="12"/>
      <c r="J1652" s="5" t="e">
        <f>SUM(SUMIFS(#REF!,#REF!,Planning[[#This Row],[Tipo de Tarea y especialidad]],#REF!,Planning[[#This Row],[Proyectos Reiwa]]),SUMIFS(#REF!,#REF!,Planning[[#This Row],[Tipo de Tarea y especialidad]],#REF!,Planning[[#This Row],[Proyectos]]))</f>
        <v>#REF!</v>
      </c>
      <c r="K1652" s="5" t="e">
        <f>Planning[[#This Row],[Horas Planificadas]]+Planning[[#This Row],[Horas ajustadas adicionales]]-Planning[[#This Row],[Horas utilizadas]]</f>
        <v>#REF!</v>
      </c>
      <c r="L1652" s="7"/>
      <c r="M1652" s="19" t="e">
        <f>Planning[[#This Row],[Saldo]]-Planning[[#This Row],[Saldo estimado]]</f>
        <v>#REF!</v>
      </c>
      <c r="N1652" s="60" t="e">
        <f>+SUMIFS(#REF!,#REF!,Planning[[#This Row],[Proyectos]],#REF!,Planning[[#This Row],[Tipo de Tarea y especialidad]])</f>
        <v>#REF!</v>
      </c>
      <c r="O1652" s="19">
        <f t="shared" si="50"/>
        <v>10</v>
      </c>
      <c r="P1652" s="19">
        <f t="shared" si="51"/>
        <v>2024</v>
      </c>
      <c r="Q16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52" s="19" t="str">
        <f>TEXT(Planning[[#This Row],[Mes]]*29,"mmmm")</f>
        <v>October</v>
      </c>
      <c r="S16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52" s="193"/>
      <c r="U1652" s="43">
        <f>IF(Planning[[#This Row],[Horas Planificadas]]&lt;&gt;0,+K1652/Planning[[#This Row],[Horas Planificadas]],0)</f>
        <v>0</v>
      </c>
      <c r="V1652" s="43">
        <f>IF(Planning[[#This Row],[Horas Planificadas]]&lt;&gt;0,Planning[[#This Row],[Horas utilizadas]]/Planning[[#This Row],[Horas Planificadas]],0)</f>
        <v>0</v>
      </c>
      <c r="W1652" s="44">
        <f>Planning[[#This Row],[Horas Planificadas]]+Planning[[#This Row],[Horas ajustadas adicionales]]</f>
        <v>0</v>
      </c>
      <c r="X1652" s="142"/>
    </row>
    <row r="1653" spans="1:24" ht="12.75" customHeight="1" x14ac:dyDescent="0.2">
      <c r="A1653" s="7" t="s">
        <v>294</v>
      </c>
      <c r="B1653" s="7" t="s">
        <v>393</v>
      </c>
      <c r="C1653" s="3"/>
      <c r="D1653" s="3" t="s">
        <v>398</v>
      </c>
      <c r="E1653" s="4"/>
      <c r="F1653" s="3" t="s">
        <v>124</v>
      </c>
      <c r="G1653" s="9"/>
      <c r="H1653" s="9">
        <v>32</v>
      </c>
      <c r="I1653" s="12"/>
      <c r="J1653" s="5" t="e">
        <f>SUM(SUMIFS(#REF!,#REF!,Planning[[#This Row],[Tipo de Tarea y especialidad]],#REF!,Planning[[#This Row],[Proyectos Reiwa]]),SUMIFS(#REF!,#REF!,Planning[[#This Row],[Tipo de Tarea y especialidad]],#REF!,Planning[[#This Row],[Proyectos]]))</f>
        <v>#REF!</v>
      </c>
      <c r="K1653" s="5" t="e">
        <f>Planning[[#This Row],[Horas Planificadas]]+Planning[[#This Row],[Horas ajustadas adicionales]]-Planning[[#This Row],[Horas utilizadas]]</f>
        <v>#REF!</v>
      </c>
      <c r="L1653" s="7">
        <v>-17</v>
      </c>
      <c r="M1653" s="19" t="e">
        <f>Planning[[#This Row],[Saldo]]-Planning[[#This Row],[Saldo estimado]]</f>
        <v>#REF!</v>
      </c>
      <c r="N1653" s="60" t="e">
        <f>+SUMIFS(#REF!,#REF!,Planning[[#This Row],[Proyectos]],#REF!,Planning[[#This Row],[Tipo de Tarea y especialidad]])</f>
        <v>#REF!</v>
      </c>
      <c r="O1653" s="19">
        <f t="shared" si="50"/>
        <v>10</v>
      </c>
      <c r="P1653" s="19">
        <f t="shared" si="51"/>
        <v>2024</v>
      </c>
      <c r="Q16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53" s="19" t="str">
        <f>TEXT(Planning[[#This Row],[Mes]]*29,"mmmm")</f>
        <v>October</v>
      </c>
      <c r="S16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53" s="193"/>
      <c r="U1653" s="43" t="e">
        <f>IF(Planning[[#This Row],[Horas Planificadas]]&lt;&gt;0,+K1653/Planning[[#This Row],[Horas Planificadas]],0)</f>
        <v>#REF!</v>
      </c>
      <c r="V1653" s="43" t="e">
        <f>IF(Planning[[#This Row],[Horas Planificadas]]&lt;&gt;0,Planning[[#This Row],[Horas utilizadas]]/Planning[[#This Row],[Horas Planificadas]],0)</f>
        <v>#REF!</v>
      </c>
      <c r="W1653" s="44">
        <f>Planning[[#This Row],[Horas Planificadas]]+Planning[[#This Row],[Horas ajustadas adicionales]]</f>
        <v>32</v>
      </c>
      <c r="X1653" s="142"/>
    </row>
    <row r="1654" spans="1:24" ht="12.75" customHeight="1" x14ac:dyDescent="0.2">
      <c r="A1654" s="7" t="s">
        <v>294</v>
      </c>
      <c r="B1654" s="7" t="s">
        <v>393</v>
      </c>
      <c r="C1654" s="3"/>
      <c r="D1654" s="3" t="s">
        <v>398</v>
      </c>
      <c r="E1654" s="4"/>
      <c r="F1654" s="3" t="s">
        <v>125</v>
      </c>
      <c r="G1654" s="9"/>
      <c r="H1654" s="9"/>
      <c r="I1654" s="12"/>
      <c r="J1654" s="5" t="e">
        <f>SUM(SUMIFS(#REF!,#REF!,Planning[[#This Row],[Tipo de Tarea y especialidad]],#REF!,Planning[[#This Row],[Proyectos Reiwa]]),SUMIFS(#REF!,#REF!,Planning[[#This Row],[Tipo de Tarea y especialidad]],#REF!,Planning[[#This Row],[Proyectos]]))</f>
        <v>#REF!</v>
      </c>
      <c r="K1654" s="5" t="e">
        <f>Planning[[#This Row],[Horas Planificadas]]+Planning[[#This Row],[Horas ajustadas adicionales]]-Planning[[#This Row],[Horas utilizadas]]</f>
        <v>#REF!</v>
      </c>
      <c r="L1654" s="7">
        <v>0</v>
      </c>
      <c r="M1654" s="19" t="e">
        <f>Planning[[#This Row],[Saldo]]-Planning[[#This Row],[Saldo estimado]]</f>
        <v>#REF!</v>
      </c>
      <c r="N1654" s="60" t="e">
        <f>+SUMIFS(#REF!,#REF!,Planning[[#This Row],[Proyectos]],#REF!,Planning[[#This Row],[Tipo de Tarea y especialidad]])</f>
        <v>#REF!</v>
      </c>
      <c r="O1654" s="19">
        <f t="shared" si="50"/>
        <v>10</v>
      </c>
      <c r="P1654" s="19">
        <f t="shared" si="51"/>
        <v>2024</v>
      </c>
      <c r="Q16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54" s="19" t="str">
        <f>TEXT(Planning[[#This Row],[Mes]]*29,"mmmm")</f>
        <v>October</v>
      </c>
      <c r="S16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54" s="193"/>
      <c r="U1654" s="43">
        <f>IF(Planning[[#This Row],[Horas Planificadas]]&lt;&gt;0,+K1654/Planning[[#This Row],[Horas Planificadas]],0)</f>
        <v>0</v>
      </c>
      <c r="V1654" s="43">
        <f>IF(Planning[[#This Row],[Horas Planificadas]]&lt;&gt;0,Planning[[#This Row],[Horas utilizadas]]/Planning[[#This Row],[Horas Planificadas]],0)</f>
        <v>0</v>
      </c>
      <c r="W1654" s="44">
        <f>Planning[[#This Row],[Horas Planificadas]]+Planning[[#This Row],[Horas ajustadas adicionales]]</f>
        <v>0</v>
      </c>
      <c r="X1654" s="142"/>
    </row>
    <row r="1655" spans="1:24" ht="12.75" customHeight="1" x14ac:dyDescent="0.2">
      <c r="A1655" s="7" t="s">
        <v>294</v>
      </c>
      <c r="B1655" s="7" t="s">
        <v>393</v>
      </c>
      <c r="C1655" s="3"/>
      <c r="D1655" s="3" t="s">
        <v>398</v>
      </c>
      <c r="E1655" s="4"/>
      <c r="F1655" s="3" t="s">
        <v>126</v>
      </c>
      <c r="G1655" s="9"/>
      <c r="H1655" s="12"/>
      <c r="I1655" s="12"/>
      <c r="J1655" s="5" t="e">
        <f>SUM(SUMIFS(#REF!,#REF!,Planning[[#This Row],[Tipo de Tarea y especialidad]],#REF!,Planning[[#This Row],[Proyectos Reiwa]]),SUMIFS(#REF!,#REF!,Planning[[#This Row],[Tipo de Tarea y especialidad]],#REF!,Planning[[#This Row],[Proyectos]]))</f>
        <v>#REF!</v>
      </c>
      <c r="K1655" s="27" t="e">
        <f>Planning[[#This Row],[Horas Planificadas]]+Planning[[#This Row],[Horas ajustadas adicionales]]-Planning[[#This Row],[Horas utilizadas]]</f>
        <v>#REF!</v>
      </c>
      <c r="L1655" s="7"/>
      <c r="M1655" s="19" t="e">
        <f>Planning[[#This Row],[Saldo]]-Planning[[#This Row],[Saldo estimado]]</f>
        <v>#REF!</v>
      </c>
      <c r="N1655" s="60" t="e">
        <f>+SUMIFS(#REF!,#REF!,Planning[[#This Row],[Proyectos]],#REF!,Planning[[#This Row],[Tipo de Tarea y especialidad]])</f>
        <v>#REF!</v>
      </c>
      <c r="O1655" s="19">
        <f t="shared" si="50"/>
        <v>10</v>
      </c>
      <c r="P1655" s="19">
        <f t="shared" si="51"/>
        <v>2024</v>
      </c>
      <c r="Q16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55" s="19" t="str">
        <f>TEXT(Planning[[#This Row],[Mes]]*29,"mmmm")</f>
        <v>October</v>
      </c>
      <c r="S16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55" s="193"/>
      <c r="U1655" s="43">
        <f>IF(Planning[[#This Row],[Horas Planificadas]]&lt;&gt;0,+K1655/Planning[[#This Row],[Horas Planificadas]],0)</f>
        <v>0</v>
      </c>
      <c r="V1655" s="43">
        <f>IF(Planning[[#This Row],[Horas Planificadas]]&lt;&gt;0,Planning[[#This Row],[Horas utilizadas]]/Planning[[#This Row],[Horas Planificadas]],0)</f>
        <v>0</v>
      </c>
      <c r="W1655" s="44">
        <f>Planning[[#This Row],[Horas Planificadas]]+Planning[[#This Row],[Horas ajustadas adicionales]]</f>
        <v>0</v>
      </c>
      <c r="X1655" s="142"/>
    </row>
    <row r="1656" spans="1:24" ht="12.75" customHeight="1" x14ac:dyDescent="0.2">
      <c r="A1656" s="7" t="s">
        <v>294</v>
      </c>
      <c r="B1656" s="7" t="s">
        <v>393</v>
      </c>
      <c r="C1656" s="3"/>
      <c r="D1656" s="3" t="s">
        <v>398</v>
      </c>
      <c r="E1656" s="4"/>
      <c r="F1656" s="3" t="s">
        <v>127</v>
      </c>
      <c r="G1656" s="9"/>
      <c r="H1656" s="9"/>
      <c r="I1656" s="12"/>
      <c r="J1656" s="5" t="e">
        <f>SUM(SUMIFS(#REF!,#REF!,Planning[[#This Row],[Tipo de Tarea y especialidad]],#REF!,Planning[[#This Row],[Proyectos Reiwa]]),SUMIFS(#REF!,#REF!,Planning[[#This Row],[Tipo de Tarea y especialidad]],#REF!,Planning[[#This Row],[Proyectos]]))</f>
        <v>#REF!</v>
      </c>
      <c r="K1656" s="5" t="e">
        <f>Planning[[#This Row],[Horas Planificadas]]+Planning[[#This Row],[Horas ajustadas adicionales]]-Planning[[#This Row],[Horas utilizadas]]</f>
        <v>#REF!</v>
      </c>
      <c r="L1656" s="7"/>
      <c r="M1656" s="19" t="e">
        <f>Planning[[#This Row],[Saldo]]-Planning[[#This Row],[Saldo estimado]]</f>
        <v>#REF!</v>
      </c>
      <c r="N1656" s="60" t="e">
        <f>+SUMIFS(#REF!,#REF!,Planning[[#This Row],[Proyectos]],#REF!,Planning[[#This Row],[Tipo de Tarea y especialidad]])</f>
        <v>#REF!</v>
      </c>
      <c r="O1656" s="19">
        <f t="shared" si="50"/>
        <v>10</v>
      </c>
      <c r="P1656" s="19">
        <f t="shared" si="51"/>
        <v>2024</v>
      </c>
      <c r="Q16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56" s="19" t="str">
        <f>TEXT(Planning[[#This Row],[Mes]]*29,"mmmm")</f>
        <v>October</v>
      </c>
      <c r="S16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56" s="193"/>
      <c r="U1656" s="43">
        <f>IF(Planning[[#This Row],[Horas Planificadas]]&lt;&gt;0,+K1656/Planning[[#This Row],[Horas Planificadas]],0)</f>
        <v>0</v>
      </c>
      <c r="V1656" s="43">
        <f>IF(Planning[[#This Row],[Horas Planificadas]]&lt;&gt;0,Planning[[#This Row],[Horas utilizadas]]/Planning[[#This Row],[Horas Planificadas]],0)</f>
        <v>0</v>
      </c>
      <c r="W1656" s="44">
        <f>Planning[[#This Row],[Horas Planificadas]]+Planning[[#This Row],[Horas ajustadas adicionales]]</f>
        <v>0</v>
      </c>
      <c r="X1656" s="142"/>
    </row>
    <row r="1657" spans="1:24" ht="12.75" customHeight="1" x14ac:dyDescent="0.2">
      <c r="A1657" s="7" t="s">
        <v>294</v>
      </c>
      <c r="B1657" s="7" t="s">
        <v>393</v>
      </c>
      <c r="C1657" s="3"/>
      <c r="D1657" s="3" t="s">
        <v>398</v>
      </c>
      <c r="E1657" s="4"/>
      <c r="F1657" s="3" t="s">
        <v>128</v>
      </c>
      <c r="G1657" s="9"/>
      <c r="H1657" s="9"/>
      <c r="I1657" s="12"/>
      <c r="J1657" s="5" t="e">
        <f>SUM(SUMIFS(#REF!,#REF!,Planning[[#This Row],[Tipo de Tarea y especialidad]],#REF!,Planning[[#This Row],[Proyectos Reiwa]]),SUMIFS(#REF!,#REF!,Planning[[#This Row],[Tipo de Tarea y especialidad]],#REF!,Planning[[#This Row],[Proyectos]]))</f>
        <v>#REF!</v>
      </c>
      <c r="K1657" s="5" t="e">
        <f>Planning[[#This Row],[Horas Planificadas]]+Planning[[#This Row],[Horas ajustadas adicionales]]-Planning[[#This Row],[Horas utilizadas]]</f>
        <v>#REF!</v>
      </c>
      <c r="L1657" s="7"/>
      <c r="M1657" s="19" t="e">
        <f>Planning[[#This Row],[Saldo]]-Planning[[#This Row],[Saldo estimado]]</f>
        <v>#REF!</v>
      </c>
      <c r="N1657" s="60" t="e">
        <f>+SUMIFS(#REF!,#REF!,Planning[[#This Row],[Proyectos]],#REF!,Planning[[#This Row],[Tipo de Tarea y especialidad]])</f>
        <v>#REF!</v>
      </c>
      <c r="O1657" s="19">
        <f t="shared" si="50"/>
        <v>10</v>
      </c>
      <c r="P1657" s="19">
        <f t="shared" si="51"/>
        <v>2024</v>
      </c>
      <c r="Q16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57" s="19" t="str">
        <f>TEXT(Planning[[#This Row],[Mes]]*29,"mmmm")</f>
        <v>October</v>
      </c>
      <c r="S16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57" s="193"/>
      <c r="U1657" s="43">
        <f>IF(Planning[[#This Row],[Horas Planificadas]]&lt;&gt;0,+K1657/Planning[[#This Row],[Horas Planificadas]],0)</f>
        <v>0</v>
      </c>
      <c r="V1657" s="43">
        <f>IF(Planning[[#This Row],[Horas Planificadas]]&lt;&gt;0,Planning[[#This Row],[Horas utilizadas]]/Planning[[#This Row],[Horas Planificadas]],0)</f>
        <v>0</v>
      </c>
      <c r="W1657" s="44">
        <f>Planning[[#This Row],[Horas Planificadas]]+Planning[[#This Row],[Horas ajustadas adicionales]]</f>
        <v>0</v>
      </c>
      <c r="X1657" s="142"/>
    </row>
    <row r="1658" spans="1:24" ht="12.75" customHeight="1" x14ac:dyDescent="0.2">
      <c r="A1658" s="7" t="s">
        <v>294</v>
      </c>
      <c r="B1658" s="7" t="s">
        <v>393</v>
      </c>
      <c r="C1658" s="3"/>
      <c r="D1658" s="3" t="s">
        <v>398</v>
      </c>
      <c r="E1658" s="4" t="s">
        <v>31</v>
      </c>
      <c r="F1658" s="3" t="s">
        <v>31</v>
      </c>
      <c r="G1658" s="9">
        <v>16</v>
      </c>
      <c r="H1658" s="17">
        <v>16</v>
      </c>
      <c r="I1658" s="18"/>
      <c r="J1658" s="14" t="e">
        <f>+SUMIFS(#REF!,#REF!,Planning[[#This Row],[Tarifa]],#REF!,Planning[[#This Row],[Proyectos]])</f>
        <v>#REF!</v>
      </c>
      <c r="K1658" s="14" t="e">
        <f>Planning[[#This Row],[Horas Planificadas]]+Planning[[#This Row],[Horas ajustadas adicionales]]-Planning[[#This Row],[Horas utilizadas]]</f>
        <v>#REF!</v>
      </c>
      <c r="L1658" s="15">
        <v>0</v>
      </c>
      <c r="M1658" s="16" t="e">
        <f>Planning[[#This Row],[Saldo]]-Planning[[#This Row],[Saldo estimado]]</f>
        <v>#REF!</v>
      </c>
      <c r="N1658" s="60" t="e">
        <f>+SUMIFS(#REF!,#REF!,Planning[[#This Row],[Proyectos]],#REF!,Planning[[#This Row],[Tipo de Tarea y especialidad]])</f>
        <v>#REF!</v>
      </c>
      <c r="O1658" s="16">
        <f t="shared" si="50"/>
        <v>10</v>
      </c>
      <c r="P1658" s="16">
        <f t="shared" si="51"/>
        <v>2024</v>
      </c>
      <c r="Q1658" s="16" t="e">
        <f>+SUMIFS(#REF!,#REF!,Planning[[#This Row],[Tarifa]],#REF!,Planning[[#This Row],[Proyectos]],#REF!,Planning[[#This Row],[Mes]],#REF!,Planning[[#This Row],[Año]])</f>
        <v>#REF!</v>
      </c>
      <c r="R1658" s="16" t="str">
        <f>TEXT(Planning[[#This Row],[Mes]]*29,"mmmm")</f>
        <v>October</v>
      </c>
      <c r="S16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58" s="193"/>
      <c r="U1658" s="43" t="e">
        <f>IF(Planning[[#This Row],[Horas Planificadas]]&lt;&gt;0,+K1658/Planning[[#This Row],[Horas Planificadas]],0)</f>
        <v>#REF!</v>
      </c>
      <c r="V1658" s="43" t="e">
        <f>IF(Planning[[#This Row],[Horas Planificadas]]&lt;&gt;0,Planning[[#This Row],[Horas utilizadas]]/Planning[[#This Row],[Horas Planificadas]],0)</f>
        <v>#REF!</v>
      </c>
      <c r="W1658" s="44">
        <f>Planning[[#This Row],[Horas Planificadas]]+Planning[[#This Row],[Horas ajustadas adicionales]]</f>
        <v>16</v>
      </c>
      <c r="X1658" s="142"/>
    </row>
    <row r="1659" spans="1:24" ht="12.75" customHeight="1" x14ac:dyDescent="0.2">
      <c r="A1659" s="7" t="s">
        <v>294</v>
      </c>
      <c r="B1659" s="7" t="s">
        <v>393</v>
      </c>
      <c r="C1659" s="3"/>
      <c r="D1659" s="3" t="s">
        <v>398</v>
      </c>
      <c r="E1659" s="4" t="s">
        <v>32</v>
      </c>
      <c r="F1659" s="3"/>
      <c r="G1659" s="9">
        <v>126</v>
      </c>
      <c r="H1659" s="14">
        <f>SUM(H1660:H1662)</f>
        <v>126</v>
      </c>
      <c r="I1659" s="14"/>
      <c r="J1659" s="14" t="e">
        <f>SUM(J1660:J1662)</f>
        <v>#REF!</v>
      </c>
      <c r="K1659" s="15" t="e">
        <f>SUM(K1660:K1662)</f>
        <v>#REF!</v>
      </c>
      <c r="L1659" s="15">
        <f>SUM(L1660:L1662)</f>
        <v>16</v>
      </c>
      <c r="M1659" s="35" t="e">
        <f>SUM(M1660:M1662)</f>
        <v>#REF!</v>
      </c>
      <c r="N1659" s="62" t="e">
        <f>+SUMIFS(#REF!,#REF!,Planning[[#This Row],[Proyectos]],#REF!,Planning[[#This Row],[Tipo de Tarea y especialidad]])</f>
        <v>#REF!</v>
      </c>
      <c r="O1659" s="35">
        <f t="shared" si="50"/>
        <v>10</v>
      </c>
      <c r="P1659" s="35">
        <f t="shared" si="51"/>
        <v>2024</v>
      </c>
      <c r="Q1659" s="16" t="e">
        <f>SUM(Q1660:Q1662)</f>
        <v>#REF!</v>
      </c>
      <c r="R1659" s="16" t="str">
        <f>TEXT(Planning[[#This Row],[Mes]]*29,"mmmm")</f>
        <v>October</v>
      </c>
      <c r="S16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59" s="193"/>
      <c r="U1659" s="43" t="e">
        <f>IF(Planning[[#This Row],[Horas Planificadas]]&lt;&gt;0,+K1659/Planning[[#This Row],[Horas Planificadas]],0)</f>
        <v>#REF!</v>
      </c>
      <c r="V1659" s="43" t="e">
        <f>IF(Planning[[#This Row],[Horas Planificadas]]&lt;&gt;0,Planning[[#This Row],[Horas utilizadas]]/Planning[[#This Row],[Horas Planificadas]],0)</f>
        <v>#REF!</v>
      </c>
      <c r="W1659" s="44">
        <f>Planning[[#This Row],[Horas Planificadas]]+Planning[[#This Row],[Horas ajustadas adicionales]]</f>
        <v>126</v>
      </c>
      <c r="X1659" s="142"/>
    </row>
    <row r="1660" spans="1:24" ht="12.75" customHeight="1" x14ac:dyDescent="0.2">
      <c r="A1660" s="7" t="s">
        <v>294</v>
      </c>
      <c r="B1660" s="7" t="s">
        <v>393</v>
      </c>
      <c r="C1660" s="3"/>
      <c r="D1660" s="3" t="s">
        <v>398</v>
      </c>
      <c r="E1660" s="4"/>
      <c r="F1660" s="3" t="s">
        <v>129</v>
      </c>
      <c r="G1660" s="9"/>
      <c r="H1660" s="9"/>
      <c r="I1660" s="12"/>
      <c r="J1660" s="5" t="e">
        <f>SUM(SUMIFS(#REF!,#REF!,Planning[[#This Row],[Tipo de Tarea y especialidad]],#REF!,Planning[[#This Row],[Proyectos Reiwa]]),SUMIFS(#REF!,#REF!,Planning[[#This Row],[Tipo de Tarea y especialidad]],#REF!,Planning[[#This Row],[Proyectos]]))</f>
        <v>#REF!</v>
      </c>
      <c r="K1660" s="5" t="e">
        <f>Planning[[#This Row],[Horas Planificadas]]+Planning[[#This Row],[Horas ajustadas adicionales]]-Planning[[#This Row],[Horas utilizadas]]</f>
        <v>#REF!</v>
      </c>
      <c r="L1660" s="7"/>
      <c r="M1660" s="19" t="e">
        <f>Planning[[#This Row],[Saldo]]-Planning[[#This Row],[Saldo estimado]]</f>
        <v>#REF!</v>
      </c>
      <c r="N1660" s="60" t="e">
        <f>+SUMIFS(#REF!,#REF!,Planning[[#This Row],[Proyectos]],#REF!,Planning[[#This Row],[Tipo de Tarea y especialidad]])</f>
        <v>#REF!</v>
      </c>
      <c r="O1660" s="19">
        <f t="shared" si="50"/>
        <v>10</v>
      </c>
      <c r="P1660" s="19">
        <f t="shared" si="51"/>
        <v>2024</v>
      </c>
      <c r="Q16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60" s="19" t="str">
        <f>TEXT(Planning[[#This Row],[Mes]]*29,"mmmm")</f>
        <v>October</v>
      </c>
      <c r="S16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60" s="193"/>
      <c r="U1660" s="43">
        <f>IF(Planning[[#This Row],[Horas Planificadas]]&lt;&gt;0,+K1660/Planning[[#This Row],[Horas Planificadas]],0)</f>
        <v>0</v>
      </c>
      <c r="V1660" s="43">
        <f>IF(Planning[[#This Row],[Horas Planificadas]]&lt;&gt;0,Planning[[#This Row],[Horas utilizadas]]/Planning[[#This Row],[Horas Planificadas]],0)</f>
        <v>0</v>
      </c>
      <c r="W1660" s="44">
        <f>Planning[[#This Row],[Horas Planificadas]]+Planning[[#This Row],[Horas ajustadas adicionales]]</f>
        <v>0</v>
      </c>
      <c r="X1660" s="142"/>
    </row>
    <row r="1661" spans="1:24" ht="12.75" customHeight="1" x14ac:dyDescent="0.2">
      <c r="A1661" s="7" t="s">
        <v>294</v>
      </c>
      <c r="B1661" s="7" t="s">
        <v>393</v>
      </c>
      <c r="C1661" s="3"/>
      <c r="D1661" s="3" t="s">
        <v>398</v>
      </c>
      <c r="E1661" s="4"/>
      <c r="F1661" s="3" t="s">
        <v>130</v>
      </c>
      <c r="G1661" s="9"/>
      <c r="H1661" s="9"/>
      <c r="I1661" s="12"/>
      <c r="J1661" s="5" t="e">
        <f>SUM(SUMIFS(#REF!,#REF!,Planning[[#This Row],[Tipo de Tarea y especialidad]],#REF!,Planning[[#This Row],[Proyectos Reiwa]]),SUMIFS(#REF!,#REF!,Planning[[#This Row],[Tipo de Tarea y especialidad]],#REF!,Planning[[#This Row],[Proyectos]]))</f>
        <v>#REF!</v>
      </c>
      <c r="K1661" s="5" t="e">
        <f>Planning[[#This Row],[Horas Planificadas]]+Planning[[#This Row],[Horas ajustadas adicionales]]-Planning[[#This Row],[Horas utilizadas]]</f>
        <v>#REF!</v>
      </c>
      <c r="L1661" s="7"/>
      <c r="M1661" s="19" t="e">
        <f>Planning[[#This Row],[Saldo]]-Planning[[#This Row],[Saldo estimado]]</f>
        <v>#REF!</v>
      </c>
      <c r="N1661" s="60" t="e">
        <f>+SUMIFS(#REF!,#REF!,Planning[[#This Row],[Proyectos]],#REF!,Planning[[#This Row],[Tipo de Tarea y especialidad]])</f>
        <v>#REF!</v>
      </c>
      <c r="O1661" s="19">
        <f t="shared" si="50"/>
        <v>10</v>
      </c>
      <c r="P1661" s="19">
        <f t="shared" si="51"/>
        <v>2024</v>
      </c>
      <c r="Q16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61" s="19" t="str">
        <f>TEXT(Planning[[#This Row],[Mes]]*29,"mmmm")</f>
        <v>October</v>
      </c>
      <c r="S16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61" s="193"/>
      <c r="U1661" s="43">
        <f>IF(Planning[[#This Row],[Horas Planificadas]]&lt;&gt;0,+K1661/Planning[[#This Row],[Horas Planificadas]],0)</f>
        <v>0</v>
      </c>
      <c r="V1661" s="43">
        <f>IF(Planning[[#This Row],[Horas Planificadas]]&lt;&gt;0,Planning[[#This Row],[Horas utilizadas]]/Planning[[#This Row],[Horas Planificadas]],0)</f>
        <v>0</v>
      </c>
      <c r="W1661" s="44">
        <f>Planning[[#This Row],[Horas Planificadas]]+Planning[[#This Row],[Horas ajustadas adicionales]]</f>
        <v>0</v>
      </c>
      <c r="X1661" s="142"/>
    </row>
    <row r="1662" spans="1:24" ht="12.75" customHeight="1" x14ac:dyDescent="0.2">
      <c r="A1662" s="7" t="s">
        <v>294</v>
      </c>
      <c r="B1662" s="7" t="s">
        <v>393</v>
      </c>
      <c r="C1662" s="3"/>
      <c r="D1662" s="3" t="s">
        <v>398</v>
      </c>
      <c r="E1662" s="4"/>
      <c r="F1662" s="3" t="s">
        <v>131</v>
      </c>
      <c r="G1662" s="9"/>
      <c r="H1662" s="12">
        <v>126</v>
      </c>
      <c r="I1662" s="12"/>
      <c r="J1662" s="5" t="e">
        <f>SUM(SUMIFS(#REF!,#REF!,Planning[[#This Row],[Tipo de Tarea y especialidad]],#REF!,Planning[[#This Row],[Proyectos Reiwa]]),SUMIFS(#REF!,#REF!,Planning[[#This Row],[Tipo de Tarea y especialidad]],#REF!,Planning[[#This Row],[Proyectos]]))</f>
        <v>#REF!</v>
      </c>
      <c r="K1662" s="27" t="e">
        <f>Planning[[#This Row],[Horas Planificadas]]+Planning[[#This Row],[Horas ajustadas adicionales]]-Planning[[#This Row],[Horas utilizadas]]</f>
        <v>#REF!</v>
      </c>
      <c r="L1662" s="7">
        <v>16</v>
      </c>
      <c r="M1662" s="19" t="e">
        <f>Planning[[#This Row],[Saldo]]-Planning[[#This Row],[Saldo estimado]]</f>
        <v>#REF!</v>
      </c>
      <c r="N1662" s="60" t="e">
        <f>+SUMIFS(#REF!,#REF!,Planning[[#This Row],[Proyectos]],#REF!,Planning[[#This Row],[Tipo de Tarea y especialidad]])</f>
        <v>#REF!</v>
      </c>
      <c r="O1662" s="19">
        <f t="shared" si="50"/>
        <v>10</v>
      </c>
      <c r="P1662" s="19">
        <f t="shared" si="51"/>
        <v>2024</v>
      </c>
      <c r="Q16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62" s="19" t="str">
        <f>TEXT(Planning[[#This Row],[Mes]]*29,"mmmm")</f>
        <v>October</v>
      </c>
      <c r="S16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62" s="193"/>
      <c r="U1662" s="43" t="e">
        <f>IF(Planning[[#This Row],[Horas Planificadas]]&lt;&gt;0,+K1662/Planning[[#This Row],[Horas Planificadas]],0)</f>
        <v>#REF!</v>
      </c>
      <c r="V1662" s="43" t="e">
        <f>IF(Planning[[#This Row],[Horas Planificadas]]&lt;&gt;0,Planning[[#This Row],[Horas utilizadas]]/Planning[[#This Row],[Horas Planificadas]],0)</f>
        <v>#REF!</v>
      </c>
      <c r="W1662" s="44">
        <f>Planning[[#This Row],[Horas Planificadas]]+Planning[[#This Row],[Horas ajustadas adicionales]]</f>
        <v>126</v>
      </c>
      <c r="X1662" s="142"/>
    </row>
    <row r="1663" spans="1:24" ht="12.75" customHeight="1" x14ac:dyDescent="0.2">
      <c r="A1663" s="7"/>
      <c r="B1663" s="7"/>
      <c r="C1663" s="3"/>
      <c r="D1663" s="3" t="s">
        <v>400</v>
      </c>
      <c r="E1663" s="4" t="s">
        <v>28</v>
      </c>
      <c r="F1663" s="3"/>
      <c r="G1663" s="9"/>
      <c r="H1663" s="9">
        <v>0</v>
      </c>
      <c r="I1663" s="12"/>
      <c r="J1663" s="5" t="e">
        <f>+SUMIFS(#REF!,#REF!,Planning[[#This Row],[Tarifa]],#REF!,Planning[[#This Row],[Proyectos]])</f>
        <v>#REF!</v>
      </c>
      <c r="K1663" s="5" t="e">
        <f>Planning[[#This Row],[Horas Planificadas]]+Planning[[#This Row],[Horas ajustadas adicionales]]-Planning[[#This Row],[Horas utilizadas]]</f>
        <v>#REF!</v>
      </c>
      <c r="L1663" s="7"/>
      <c r="M1663" s="19" t="e">
        <f>Planning[[#This Row],[Saldo]]-Planning[[#This Row],[Saldo estimado]]</f>
        <v>#REF!</v>
      </c>
      <c r="N1663" s="60" t="e">
        <f>+SUMIFS(#REF!,#REF!,Planning[[#This Row],[Proyectos]],#REF!,Planning[[#This Row],[Tipo de Tarea y especialidad]])</f>
        <v>#REF!</v>
      </c>
      <c r="O1663" s="19">
        <f t="shared" si="50"/>
        <v>10</v>
      </c>
      <c r="P1663" s="19">
        <f t="shared" si="51"/>
        <v>2024</v>
      </c>
      <c r="Q1663" s="19" t="e">
        <f>+SUMIFS(#REF!,#REF!,Planning[[#This Row],[Tarifa]],#REF!,Planning[[#This Row],[Proyectos]],#REF!,Planning[[#This Row],[Mes]],#REF!,Planning[[#This Row],[Año]])</f>
        <v>#REF!</v>
      </c>
      <c r="R1663" s="19" t="str">
        <f>TEXT(Planning[[#This Row],[Mes]]*29,"mmmm")</f>
        <v>October</v>
      </c>
      <c r="S16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63" s="228"/>
      <c r="U1663" s="43">
        <f>IF(Planning[[#This Row],[Horas Planificadas]]&lt;&gt;0,+K1663/Planning[[#This Row],[Horas Planificadas]],0)</f>
        <v>0</v>
      </c>
      <c r="V1663" s="43">
        <f>IF(Planning[[#This Row],[Horas Planificadas]]&lt;&gt;0,Planning[[#This Row],[Horas utilizadas]]/Planning[[#This Row],[Horas Planificadas]],0)</f>
        <v>0</v>
      </c>
      <c r="W1663" s="44">
        <f>Planning[[#This Row],[Horas Planificadas]]+Planning[[#This Row],[Horas ajustadas adicionales]]</f>
        <v>0</v>
      </c>
      <c r="X1663" s="142"/>
    </row>
    <row r="1664" spans="1:24" ht="12.75" customHeight="1" x14ac:dyDescent="0.2">
      <c r="A1664" s="7"/>
      <c r="B1664" s="7"/>
      <c r="C1664" s="3"/>
      <c r="D1664" s="3" t="s">
        <v>400</v>
      </c>
      <c r="E1664" s="4" t="s">
        <v>30</v>
      </c>
      <c r="F1664" s="3"/>
      <c r="G1664" s="9"/>
      <c r="H1664" s="9">
        <v>32</v>
      </c>
      <c r="I1664" s="12"/>
      <c r="J1664" s="5" t="e">
        <f>+SUMIFS(#REF!,#REF!,Planning[[#This Row],[Tarifa]],#REF!,Planning[[#This Row],[Proyectos]])</f>
        <v>#REF!</v>
      </c>
      <c r="K1664" s="5" t="e">
        <f>Planning[[#This Row],[Horas Planificadas]]+Planning[[#This Row],[Horas ajustadas adicionales]]-Planning[[#This Row],[Horas utilizadas]]</f>
        <v>#REF!</v>
      </c>
      <c r="L1664" s="7"/>
      <c r="M1664" s="19" t="e">
        <f>Planning[[#This Row],[Saldo]]-Planning[[#This Row],[Saldo estimado]]</f>
        <v>#REF!</v>
      </c>
      <c r="N1664" s="60" t="e">
        <f>+SUMIFS(#REF!,#REF!,Planning[[#This Row],[Proyectos]],#REF!,Planning[[#This Row],[Tipo de Tarea y especialidad]])</f>
        <v>#REF!</v>
      </c>
      <c r="O1664" s="19">
        <f t="shared" si="50"/>
        <v>10</v>
      </c>
      <c r="P1664" s="19">
        <f t="shared" si="51"/>
        <v>2024</v>
      </c>
      <c r="Q1664" s="19" t="e">
        <f>+SUMIFS(#REF!,#REF!,Planning[[#This Row],[Tarifa]],#REF!,Planning[[#This Row],[Proyectos]],#REF!,Planning[[#This Row],[Mes]],#REF!,Planning[[#This Row],[Año]])</f>
        <v>#REF!</v>
      </c>
      <c r="R1664" s="19" t="str">
        <f>TEXT(Planning[[#This Row],[Mes]]*29,"mmmm")</f>
        <v>October</v>
      </c>
      <c r="S16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64" s="228"/>
      <c r="U1664" s="43" t="e">
        <f>IF(Planning[[#This Row],[Horas Planificadas]]&lt;&gt;0,+K1664/Planning[[#This Row],[Horas Planificadas]],0)</f>
        <v>#REF!</v>
      </c>
      <c r="V1664" s="43" t="e">
        <f>IF(Planning[[#This Row],[Horas Planificadas]]&lt;&gt;0,Planning[[#This Row],[Horas utilizadas]]/Planning[[#This Row],[Horas Planificadas]],0)</f>
        <v>#REF!</v>
      </c>
      <c r="W1664" s="44">
        <f>Planning[[#This Row],[Horas Planificadas]]+Planning[[#This Row],[Horas ajustadas adicionales]]</f>
        <v>32</v>
      </c>
      <c r="X1664" s="142"/>
    </row>
    <row r="1665" spans="1:24" ht="12.75" customHeight="1" x14ac:dyDescent="0.2">
      <c r="A1665" s="7"/>
      <c r="B1665" s="7"/>
      <c r="C1665" s="3"/>
      <c r="D1665" s="3" t="s">
        <v>400</v>
      </c>
      <c r="E1665" s="4" t="s">
        <v>31</v>
      </c>
      <c r="F1665" s="3"/>
      <c r="G1665" s="9"/>
      <c r="H1665" s="9">
        <v>9</v>
      </c>
      <c r="I1665" s="12"/>
      <c r="J1665" s="5" t="e">
        <f>+SUMIFS(#REF!,#REF!,Planning[[#This Row],[Tarifa]],#REF!,Planning[[#This Row],[Proyectos]])</f>
        <v>#REF!</v>
      </c>
      <c r="K1665" s="5" t="e">
        <f>Planning[[#This Row],[Horas Planificadas]]+Planning[[#This Row],[Horas ajustadas adicionales]]-Planning[[#This Row],[Horas utilizadas]]</f>
        <v>#REF!</v>
      </c>
      <c r="L1665" s="7"/>
      <c r="M1665" s="19" t="e">
        <f>Planning[[#This Row],[Saldo]]-Planning[[#This Row],[Saldo estimado]]</f>
        <v>#REF!</v>
      </c>
      <c r="N1665" s="60" t="e">
        <f>+SUMIFS(#REF!,#REF!,Planning[[#This Row],[Proyectos]],#REF!,Planning[[#This Row],[Tipo de Tarea y especialidad]])</f>
        <v>#REF!</v>
      </c>
      <c r="O1665" s="19">
        <f t="shared" si="50"/>
        <v>10</v>
      </c>
      <c r="P1665" s="19">
        <f t="shared" si="51"/>
        <v>2024</v>
      </c>
      <c r="Q1665" s="19" t="e">
        <f>+SUMIFS(#REF!,#REF!,Planning[[#This Row],[Tarifa]],#REF!,Planning[[#This Row],[Proyectos]],#REF!,Planning[[#This Row],[Mes]],#REF!,Planning[[#This Row],[Año]])</f>
        <v>#REF!</v>
      </c>
      <c r="R1665" s="19" t="str">
        <f>TEXT(Planning[[#This Row],[Mes]]*29,"mmmm")</f>
        <v>October</v>
      </c>
      <c r="S16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65" s="228"/>
      <c r="U1665" s="43" t="e">
        <f>IF(Planning[[#This Row],[Horas Planificadas]]&lt;&gt;0,+K1665/Planning[[#This Row],[Horas Planificadas]],0)</f>
        <v>#REF!</v>
      </c>
      <c r="V1665" s="43" t="e">
        <f>IF(Planning[[#This Row],[Horas Planificadas]]&lt;&gt;0,Planning[[#This Row],[Horas utilizadas]]/Planning[[#This Row],[Horas Planificadas]],0)</f>
        <v>#REF!</v>
      </c>
      <c r="W1665" s="44">
        <f>Planning[[#This Row],[Horas Planificadas]]+Planning[[#This Row],[Horas ajustadas adicionales]]</f>
        <v>9</v>
      </c>
      <c r="X1665" s="142"/>
    </row>
    <row r="1666" spans="1:24" ht="12.75" customHeight="1" x14ac:dyDescent="0.2">
      <c r="A1666" s="7"/>
      <c r="B1666" s="7"/>
      <c r="C1666" s="3"/>
      <c r="D1666" s="3" t="s">
        <v>400</v>
      </c>
      <c r="E1666" s="4" t="s">
        <v>32</v>
      </c>
      <c r="F1666" s="3"/>
      <c r="G1666" s="9"/>
      <c r="H1666" s="9">
        <v>36</v>
      </c>
      <c r="I1666" s="12"/>
      <c r="J1666" s="5" t="e">
        <f>+SUMIFS(#REF!,#REF!,Planning[[#This Row],[Tarifa]],#REF!,Planning[[#This Row],[Proyectos]])</f>
        <v>#REF!</v>
      </c>
      <c r="K1666" s="5" t="e">
        <f>Planning[[#This Row],[Horas Planificadas]]+Planning[[#This Row],[Horas ajustadas adicionales]]-Planning[[#This Row],[Horas utilizadas]]</f>
        <v>#REF!</v>
      </c>
      <c r="L1666" s="7"/>
      <c r="M1666" s="19" t="e">
        <f>Planning[[#This Row],[Saldo]]-Planning[[#This Row],[Saldo estimado]]</f>
        <v>#REF!</v>
      </c>
      <c r="N1666" s="60" t="e">
        <f>+SUMIFS(#REF!,#REF!,Planning[[#This Row],[Proyectos]],#REF!,Planning[[#This Row],[Tipo de Tarea y especialidad]])</f>
        <v>#REF!</v>
      </c>
      <c r="O1666" s="19">
        <f t="shared" si="50"/>
        <v>10</v>
      </c>
      <c r="P1666" s="19">
        <f t="shared" si="51"/>
        <v>2024</v>
      </c>
      <c r="Q1666" s="19" t="e">
        <f>+SUMIFS(#REF!,#REF!,Planning[[#This Row],[Tarifa]],#REF!,Planning[[#This Row],[Proyectos]],#REF!,Planning[[#This Row],[Mes]],#REF!,Planning[[#This Row],[Año]])</f>
        <v>#REF!</v>
      </c>
      <c r="R1666" s="19" t="str">
        <f>TEXT(Planning[[#This Row],[Mes]]*29,"mmmm")</f>
        <v>October</v>
      </c>
      <c r="S16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66" s="228"/>
      <c r="U1666" s="43" t="e">
        <f>IF(Planning[[#This Row],[Horas Planificadas]]&lt;&gt;0,+K1666/Planning[[#This Row],[Horas Planificadas]],0)</f>
        <v>#REF!</v>
      </c>
      <c r="V1666" s="43" t="e">
        <f>IF(Planning[[#This Row],[Horas Planificadas]]&lt;&gt;0,Planning[[#This Row],[Horas utilizadas]]/Planning[[#This Row],[Horas Planificadas]],0)</f>
        <v>#REF!</v>
      </c>
      <c r="W1666" s="44">
        <f>Planning[[#This Row],[Horas Planificadas]]+Planning[[#This Row],[Horas ajustadas adicionales]]</f>
        <v>36</v>
      </c>
      <c r="X1666" s="142"/>
    </row>
    <row r="1667" spans="1:24" ht="12.75" customHeight="1" x14ac:dyDescent="0.2">
      <c r="A1667" s="7"/>
      <c r="B1667" s="7"/>
      <c r="C1667" s="3"/>
      <c r="D1667" s="3" t="s">
        <v>401</v>
      </c>
      <c r="E1667" s="4" t="s">
        <v>28</v>
      </c>
      <c r="F1667" s="3"/>
      <c r="G1667" s="9"/>
      <c r="H1667" s="9">
        <v>0</v>
      </c>
      <c r="I1667" s="12"/>
      <c r="J1667" s="5" t="e">
        <f>+SUMIFS(#REF!,#REF!,Planning[[#This Row],[Tarifa]],#REF!,Planning[[#This Row],[Proyectos]])</f>
        <v>#REF!</v>
      </c>
      <c r="K1667" s="5" t="e">
        <f>Planning[[#This Row],[Horas Planificadas]]+Planning[[#This Row],[Horas ajustadas adicionales]]-Planning[[#This Row],[Horas utilizadas]]</f>
        <v>#REF!</v>
      </c>
      <c r="L1667" s="7"/>
      <c r="M1667" s="19" t="e">
        <f>Planning[[#This Row],[Saldo]]-Planning[[#This Row],[Saldo estimado]]</f>
        <v>#REF!</v>
      </c>
      <c r="N1667" s="60" t="e">
        <f>+SUMIFS(#REF!,#REF!,Planning[[#This Row],[Proyectos]],#REF!,Planning[[#This Row],[Tipo de Tarea y especialidad]])</f>
        <v>#REF!</v>
      </c>
      <c r="O1667" s="19">
        <f t="shared" si="50"/>
        <v>10</v>
      </c>
      <c r="P1667" s="19">
        <f t="shared" si="51"/>
        <v>2024</v>
      </c>
      <c r="Q1667" s="19" t="e">
        <f>+SUMIFS(#REF!,#REF!,Planning[[#This Row],[Tarifa]],#REF!,Planning[[#This Row],[Proyectos]],#REF!,Planning[[#This Row],[Mes]],#REF!,Planning[[#This Row],[Año]])</f>
        <v>#REF!</v>
      </c>
      <c r="R1667" s="19" t="str">
        <f>TEXT(Planning[[#This Row],[Mes]]*29,"mmmm")</f>
        <v>October</v>
      </c>
      <c r="S16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67" s="228"/>
      <c r="U1667" s="43">
        <f>IF(Planning[[#This Row],[Horas Planificadas]]&lt;&gt;0,+K1667/Planning[[#This Row],[Horas Planificadas]],0)</f>
        <v>0</v>
      </c>
      <c r="V1667" s="43">
        <f>IF(Planning[[#This Row],[Horas Planificadas]]&lt;&gt;0,Planning[[#This Row],[Horas utilizadas]]/Planning[[#This Row],[Horas Planificadas]],0)</f>
        <v>0</v>
      </c>
      <c r="W1667" s="44">
        <f>Planning[[#This Row],[Horas Planificadas]]+Planning[[#This Row],[Horas ajustadas adicionales]]</f>
        <v>0</v>
      </c>
      <c r="X1667" s="142"/>
    </row>
    <row r="1668" spans="1:24" ht="12.75" customHeight="1" x14ac:dyDescent="0.2">
      <c r="A1668" s="7"/>
      <c r="B1668" s="7"/>
      <c r="C1668" s="3"/>
      <c r="D1668" s="3" t="s">
        <v>401</v>
      </c>
      <c r="E1668" s="4" t="s">
        <v>30</v>
      </c>
      <c r="F1668" s="3"/>
      <c r="G1668" s="9"/>
      <c r="H1668" s="9">
        <v>13</v>
      </c>
      <c r="I1668" s="12"/>
      <c r="J1668" s="5" t="e">
        <f>+SUMIFS(#REF!,#REF!,Planning[[#This Row],[Tarifa]],#REF!,Planning[[#This Row],[Proyectos]])</f>
        <v>#REF!</v>
      </c>
      <c r="K1668" s="5" t="e">
        <f>Planning[[#This Row],[Horas Planificadas]]+Planning[[#This Row],[Horas ajustadas adicionales]]-Planning[[#This Row],[Horas utilizadas]]</f>
        <v>#REF!</v>
      </c>
      <c r="L1668" s="7"/>
      <c r="M1668" s="19" t="e">
        <f>Planning[[#This Row],[Saldo]]-Planning[[#This Row],[Saldo estimado]]</f>
        <v>#REF!</v>
      </c>
      <c r="N1668" s="60" t="e">
        <f>+SUMIFS(#REF!,#REF!,Planning[[#This Row],[Proyectos]],#REF!,Planning[[#This Row],[Tipo de Tarea y especialidad]])</f>
        <v>#REF!</v>
      </c>
      <c r="O1668" s="19">
        <f t="shared" si="50"/>
        <v>10</v>
      </c>
      <c r="P1668" s="19">
        <f t="shared" si="51"/>
        <v>2024</v>
      </c>
      <c r="Q1668" s="19" t="e">
        <f>+SUMIFS(#REF!,#REF!,Planning[[#This Row],[Tarifa]],#REF!,Planning[[#This Row],[Proyectos]],#REF!,Planning[[#This Row],[Mes]],#REF!,Planning[[#This Row],[Año]])</f>
        <v>#REF!</v>
      </c>
      <c r="R1668" s="19" t="str">
        <f>TEXT(Planning[[#This Row],[Mes]]*29,"mmmm")</f>
        <v>October</v>
      </c>
      <c r="S16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68" s="228"/>
      <c r="U1668" s="43" t="e">
        <f>IF(Planning[[#This Row],[Horas Planificadas]]&lt;&gt;0,+K1668/Planning[[#This Row],[Horas Planificadas]],0)</f>
        <v>#REF!</v>
      </c>
      <c r="V1668" s="43" t="e">
        <f>IF(Planning[[#This Row],[Horas Planificadas]]&lt;&gt;0,Planning[[#This Row],[Horas utilizadas]]/Planning[[#This Row],[Horas Planificadas]],0)</f>
        <v>#REF!</v>
      </c>
      <c r="W1668" s="44">
        <f>Planning[[#This Row],[Horas Planificadas]]+Planning[[#This Row],[Horas ajustadas adicionales]]</f>
        <v>13</v>
      </c>
      <c r="X1668" s="142"/>
    </row>
    <row r="1669" spans="1:24" ht="12.75" customHeight="1" x14ac:dyDescent="0.2">
      <c r="A1669" s="7"/>
      <c r="B1669" s="7"/>
      <c r="C1669" s="3"/>
      <c r="D1669" s="3" t="s">
        <v>401</v>
      </c>
      <c r="E1669" s="4" t="s">
        <v>31</v>
      </c>
      <c r="F1669" s="3"/>
      <c r="G1669" s="9"/>
      <c r="H1669" s="9">
        <v>5</v>
      </c>
      <c r="I1669" s="12"/>
      <c r="J1669" s="5" t="e">
        <f>+SUMIFS(#REF!,#REF!,Planning[[#This Row],[Tarifa]],#REF!,Planning[[#This Row],[Proyectos]])</f>
        <v>#REF!</v>
      </c>
      <c r="K1669" s="5" t="e">
        <f>Planning[[#This Row],[Horas Planificadas]]+Planning[[#This Row],[Horas ajustadas adicionales]]-Planning[[#This Row],[Horas utilizadas]]</f>
        <v>#REF!</v>
      </c>
      <c r="L1669" s="7"/>
      <c r="M1669" s="19" t="e">
        <f>Planning[[#This Row],[Saldo]]-Planning[[#This Row],[Saldo estimado]]</f>
        <v>#REF!</v>
      </c>
      <c r="N1669" s="60" t="e">
        <f>+SUMIFS(#REF!,#REF!,Planning[[#This Row],[Proyectos]],#REF!,Planning[[#This Row],[Tipo de Tarea y especialidad]])</f>
        <v>#REF!</v>
      </c>
      <c r="O1669" s="19">
        <f t="shared" si="50"/>
        <v>10</v>
      </c>
      <c r="P1669" s="19">
        <f t="shared" si="51"/>
        <v>2024</v>
      </c>
      <c r="Q1669" s="19" t="e">
        <f>+SUMIFS(#REF!,#REF!,Planning[[#This Row],[Tarifa]],#REF!,Planning[[#This Row],[Proyectos]],#REF!,Planning[[#This Row],[Mes]],#REF!,Planning[[#This Row],[Año]])</f>
        <v>#REF!</v>
      </c>
      <c r="R1669" s="19" t="str">
        <f>TEXT(Planning[[#This Row],[Mes]]*29,"mmmm")</f>
        <v>October</v>
      </c>
      <c r="S16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69" s="228"/>
      <c r="U1669" s="43" t="e">
        <f>IF(Planning[[#This Row],[Horas Planificadas]]&lt;&gt;0,+K1669/Planning[[#This Row],[Horas Planificadas]],0)</f>
        <v>#REF!</v>
      </c>
      <c r="V1669" s="43" t="e">
        <f>IF(Planning[[#This Row],[Horas Planificadas]]&lt;&gt;0,Planning[[#This Row],[Horas utilizadas]]/Planning[[#This Row],[Horas Planificadas]],0)</f>
        <v>#REF!</v>
      </c>
      <c r="W1669" s="44">
        <f>Planning[[#This Row],[Horas Planificadas]]+Planning[[#This Row],[Horas ajustadas adicionales]]</f>
        <v>5</v>
      </c>
      <c r="X1669" s="142"/>
    </row>
    <row r="1670" spans="1:24" ht="12.75" customHeight="1" x14ac:dyDescent="0.2">
      <c r="A1670" s="7"/>
      <c r="B1670" s="7"/>
      <c r="C1670" s="3"/>
      <c r="D1670" s="3" t="s">
        <v>401</v>
      </c>
      <c r="E1670" s="4" t="s">
        <v>32</v>
      </c>
      <c r="F1670" s="3"/>
      <c r="G1670" s="9"/>
      <c r="H1670" s="9">
        <v>27</v>
      </c>
      <c r="I1670" s="12"/>
      <c r="J1670" s="5" t="e">
        <f>+SUMIFS(#REF!,#REF!,Planning[[#This Row],[Tarifa]],#REF!,Planning[[#This Row],[Proyectos]])</f>
        <v>#REF!</v>
      </c>
      <c r="K1670" s="5" t="e">
        <f>Planning[[#This Row],[Horas Planificadas]]+Planning[[#This Row],[Horas ajustadas adicionales]]-Planning[[#This Row],[Horas utilizadas]]</f>
        <v>#REF!</v>
      </c>
      <c r="L1670" s="7"/>
      <c r="M1670" s="19" t="e">
        <f>Planning[[#This Row],[Saldo]]-Planning[[#This Row],[Saldo estimado]]</f>
        <v>#REF!</v>
      </c>
      <c r="N1670" s="60" t="e">
        <f>+SUMIFS(#REF!,#REF!,Planning[[#This Row],[Proyectos]],#REF!,Planning[[#This Row],[Tipo de Tarea y especialidad]])</f>
        <v>#REF!</v>
      </c>
      <c r="O1670" s="19">
        <f t="shared" si="50"/>
        <v>10</v>
      </c>
      <c r="P1670" s="19">
        <f t="shared" si="51"/>
        <v>2024</v>
      </c>
      <c r="Q1670" s="19" t="e">
        <f>+SUMIFS(#REF!,#REF!,Planning[[#This Row],[Tarifa]],#REF!,Planning[[#This Row],[Proyectos]],#REF!,Planning[[#This Row],[Mes]],#REF!,Planning[[#This Row],[Año]])</f>
        <v>#REF!</v>
      </c>
      <c r="R1670" s="19" t="str">
        <f>TEXT(Planning[[#This Row],[Mes]]*29,"mmmm")</f>
        <v>October</v>
      </c>
      <c r="S16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70" s="228"/>
      <c r="U1670" s="43" t="e">
        <f>IF(Planning[[#This Row],[Horas Planificadas]]&lt;&gt;0,+K1670/Planning[[#This Row],[Horas Planificadas]],0)</f>
        <v>#REF!</v>
      </c>
      <c r="V1670" s="43" t="e">
        <f>IF(Planning[[#This Row],[Horas Planificadas]]&lt;&gt;0,Planning[[#This Row],[Horas utilizadas]]/Planning[[#This Row],[Horas Planificadas]],0)</f>
        <v>#REF!</v>
      </c>
      <c r="W1670" s="44">
        <f>Planning[[#This Row],[Horas Planificadas]]+Planning[[#This Row],[Horas ajustadas adicionales]]</f>
        <v>27</v>
      </c>
      <c r="X1670" s="142"/>
    </row>
    <row r="1671" spans="1:24" ht="12.75" customHeight="1" x14ac:dyDescent="0.2">
      <c r="A1671" s="7"/>
      <c r="B1671" s="7"/>
      <c r="C1671" s="3"/>
      <c r="D1671" s="3" t="s">
        <v>402</v>
      </c>
      <c r="E1671" s="4" t="s">
        <v>28</v>
      </c>
      <c r="F1671" s="3"/>
      <c r="G1671" s="9"/>
      <c r="H1671" s="12">
        <v>0</v>
      </c>
      <c r="I1671" s="12"/>
      <c r="J1671" s="5" t="e">
        <f>+SUMIFS(#REF!,#REF!,Planning[[#This Row],[Tarifa]],#REF!,Planning[[#This Row],[Proyectos]])</f>
        <v>#REF!</v>
      </c>
      <c r="K1671" s="27" t="e">
        <f>Planning[[#This Row],[Horas Planificadas]]+Planning[[#This Row],[Horas ajustadas adicionales]]-Planning[[#This Row],[Horas utilizadas]]</f>
        <v>#REF!</v>
      </c>
      <c r="L1671" s="7"/>
      <c r="M1671" s="19" t="e">
        <f>Planning[[#This Row],[Saldo]]-Planning[[#This Row],[Saldo estimado]]</f>
        <v>#REF!</v>
      </c>
      <c r="N1671" s="60" t="e">
        <f>+SUMIFS(#REF!,#REF!,Planning[[#This Row],[Proyectos]],#REF!,Planning[[#This Row],[Tipo de Tarea y especialidad]])</f>
        <v>#REF!</v>
      </c>
      <c r="O1671" s="19">
        <f t="shared" ref="O1671:O1734" si="52">$L$4</f>
        <v>10</v>
      </c>
      <c r="P1671" s="19">
        <f t="shared" ref="P1671:P1734" si="53">$M$4</f>
        <v>2024</v>
      </c>
      <c r="Q1671" s="19" t="e">
        <f>+SUMIFS(#REF!,#REF!,Planning[[#This Row],[Tarifa]],#REF!,Planning[[#This Row],[Proyectos]],#REF!,Planning[[#This Row],[Mes]],#REF!,Planning[[#This Row],[Año]])</f>
        <v>#REF!</v>
      </c>
      <c r="R1671" s="19" t="str">
        <f>TEXT(Planning[[#This Row],[Mes]]*29,"mmmm")</f>
        <v>October</v>
      </c>
      <c r="S16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71" s="228"/>
      <c r="U1671" s="43">
        <f>IF(Planning[[#This Row],[Horas Planificadas]]&lt;&gt;0,+K1671/Planning[[#This Row],[Horas Planificadas]],0)</f>
        <v>0</v>
      </c>
      <c r="V1671" s="43">
        <f>IF(Planning[[#This Row],[Horas Planificadas]]&lt;&gt;0,Planning[[#This Row],[Horas utilizadas]]/Planning[[#This Row],[Horas Planificadas]],0)</f>
        <v>0</v>
      </c>
      <c r="W1671" s="44">
        <f>Planning[[#This Row],[Horas Planificadas]]+Planning[[#This Row],[Horas ajustadas adicionales]]</f>
        <v>0</v>
      </c>
      <c r="X1671" s="142"/>
    </row>
    <row r="1672" spans="1:24" ht="12.75" customHeight="1" x14ac:dyDescent="0.2">
      <c r="A1672" s="7"/>
      <c r="B1672" s="7"/>
      <c r="C1672" s="3"/>
      <c r="D1672" s="3" t="s">
        <v>402</v>
      </c>
      <c r="E1672" s="4" t="s">
        <v>30</v>
      </c>
      <c r="F1672" s="3"/>
      <c r="G1672" s="9"/>
      <c r="H1672" s="9">
        <v>27</v>
      </c>
      <c r="I1672" s="12"/>
      <c r="J1672" s="5" t="e">
        <f>+SUMIFS(#REF!,#REF!,Planning[[#This Row],[Tarifa]],#REF!,Planning[[#This Row],[Proyectos]])</f>
        <v>#REF!</v>
      </c>
      <c r="K1672" s="5" t="e">
        <f>Planning[[#This Row],[Horas Planificadas]]+Planning[[#This Row],[Horas ajustadas adicionales]]-Planning[[#This Row],[Horas utilizadas]]</f>
        <v>#REF!</v>
      </c>
      <c r="L1672" s="7"/>
      <c r="M1672" s="19" t="e">
        <f>Planning[[#This Row],[Saldo]]-Planning[[#This Row],[Saldo estimado]]</f>
        <v>#REF!</v>
      </c>
      <c r="N1672" s="60" t="e">
        <f>+SUMIFS(#REF!,#REF!,Planning[[#This Row],[Proyectos]],#REF!,Planning[[#This Row],[Tipo de Tarea y especialidad]])</f>
        <v>#REF!</v>
      </c>
      <c r="O1672" s="19">
        <f t="shared" si="52"/>
        <v>10</v>
      </c>
      <c r="P1672" s="19">
        <f t="shared" si="53"/>
        <v>2024</v>
      </c>
      <c r="Q1672" s="19" t="e">
        <f>+SUMIFS(#REF!,#REF!,Planning[[#This Row],[Tarifa]],#REF!,Planning[[#This Row],[Proyectos]],#REF!,Planning[[#This Row],[Mes]],#REF!,Planning[[#This Row],[Año]])</f>
        <v>#REF!</v>
      </c>
      <c r="R1672" s="19" t="str">
        <f>TEXT(Planning[[#This Row],[Mes]]*29,"mmmm")</f>
        <v>October</v>
      </c>
      <c r="S16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72" s="228"/>
      <c r="U1672" s="43" t="e">
        <f>IF(Planning[[#This Row],[Horas Planificadas]]&lt;&gt;0,+K1672/Planning[[#This Row],[Horas Planificadas]],0)</f>
        <v>#REF!</v>
      </c>
      <c r="V1672" s="43" t="e">
        <f>IF(Planning[[#This Row],[Horas Planificadas]]&lt;&gt;0,Planning[[#This Row],[Horas utilizadas]]/Planning[[#This Row],[Horas Planificadas]],0)</f>
        <v>#REF!</v>
      </c>
      <c r="W1672" s="44">
        <f>Planning[[#This Row],[Horas Planificadas]]+Planning[[#This Row],[Horas ajustadas adicionales]]</f>
        <v>27</v>
      </c>
      <c r="X1672" s="142"/>
    </row>
    <row r="1673" spans="1:24" ht="12.75" customHeight="1" x14ac:dyDescent="0.2">
      <c r="A1673" s="7"/>
      <c r="B1673" s="7"/>
      <c r="C1673" s="3"/>
      <c r="D1673" s="3" t="s">
        <v>402</v>
      </c>
      <c r="E1673" s="4" t="s">
        <v>31</v>
      </c>
      <c r="F1673" s="3"/>
      <c r="G1673" s="9"/>
      <c r="H1673" s="9">
        <v>5</v>
      </c>
      <c r="I1673" s="12"/>
      <c r="J1673" s="5" t="e">
        <f>+SUMIFS(#REF!,#REF!,Planning[[#This Row],[Tarifa]],#REF!,Planning[[#This Row],[Proyectos]])</f>
        <v>#REF!</v>
      </c>
      <c r="K1673" s="5" t="e">
        <f>Planning[[#This Row],[Horas Planificadas]]+Planning[[#This Row],[Horas ajustadas adicionales]]-Planning[[#This Row],[Horas utilizadas]]</f>
        <v>#REF!</v>
      </c>
      <c r="L1673" s="7"/>
      <c r="M1673" s="19" t="e">
        <f>Planning[[#This Row],[Saldo]]-Planning[[#This Row],[Saldo estimado]]</f>
        <v>#REF!</v>
      </c>
      <c r="N1673" s="60" t="e">
        <f>+SUMIFS(#REF!,#REF!,Planning[[#This Row],[Proyectos]],#REF!,Planning[[#This Row],[Tipo de Tarea y especialidad]])</f>
        <v>#REF!</v>
      </c>
      <c r="O1673" s="19">
        <f t="shared" si="52"/>
        <v>10</v>
      </c>
      <c r="P1673" s="19">
        <f t="shared" si="53"/>
        <v>2024</v>
      </c>
      <c r="Q1673" s="19" t="e">
        <f>+SUMIFS(#REF!,#REF!,Planning[[#This Row],[Tarifa]],#REF!,Planning[[#This Row],[Proyectos]],#REF!,Planning[[#This Row],[Mes]],#REF!,Planning[[#This Row],[Año]])</f>
        <v>#REF!</v>
      </c>
      <c r="R1673" s="19" t="str">
        <f>TEXT(Planning[[#This Row],[Mes]]*29,"mmmm")</f>
        <v>October</v>
      </c>
      <c r="S16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73" s="228"/>
      <c r="U1673" s="43" t="e">
        <f>IF(Planning[[#This Row],[Horas Planificadas]]&lt;&gt;0,+K1673/Planning[[#This Row],[Horas Planificadas]],0)</f>
        <v>#REF!</v>
      </c>
      <c r="V1673" s="43" t="e">
        <f>IF(Planning[[#This Row],[Horas Planificadas]]&lt;&gt;0,Planning[[#This Row],[Horas utilizadas]]/Planning[[#This Row],[Horas Planificadas]],0)</f>
        <v>#REF!</v>
      </c>
      <c r="W1673" s="44">
        <f>Planning[[#This Row],[Horas Planificadas]]+Planning[[#This Row],[Horas ajustadas adicionales]]</f>
        <v>5</v>
      </c>
      <c r="X1673" s="142"/>
    </row>
    <row r="1674" spans="1:24" ht="12.75" customHeight="1" x14ac:dyDescent="0.2">
      <c r="A1674" s="7"/>
      <c r="B1674" s="7"/>
      <c r="C1674" s="3"/>
      <c r="D1674" s="3" t="s">
        <v>402</v>
      </c>
      <c r="E1674" s="4" t="s">
        <v>32</v>
      </c>
      <c r="F1674" s="3"/>
      <c r="G1674" s="9"/>
      <c r="H1674" s="9">
        <v>18</v>
      </c>
      <c r="I1674" s="12"/>
      <c r="J1674" s="5" t="e">
        <f>+SUMIFS(#REF!,#REF!,Planning[[#This Row],[Tarifa]],#REF!,Planning[[#This Row],[Proyectos]])</f>
        <v>#REF!</v>
      </c>
      <c r="K1674" s="5" t="e">
        <f>Planning[[#This Row],[Horas Planificadas]]+Planning[[#This Row],[Horas ajustadas adicionales]]-Planning[[#This Row],[Horas utilizadas]]</f>
        <v>#REF!</v>
      </c>
      <c r="L1674" s="7"/>
      <c r="M1674" s="19" t="e">
        <f>Planning[[#This Row],[Saldo]]-Planning[[#This Row],[Saldo estimado]]</f>
        <v>#REF!</v>
      </c>
      <c r="N1674" s="60" t="e">
        <f>+SUMIFS(#REF!,#REF!,Planning[[#This Row],[Proyectos]],#REF!,Planning[[#This Row],[Tipo de Tarea y especialidad]])</f>
        <v>#REF!</v>
      </c>
      <c r="O1674" s="19">
        <f t="shared" si="52"/>
        <v>10</v>
      </c>
      <c r="P1674" s="19">
        <f t="shared" si="53"/>
        <v>2024</v>
      </c>
      <c r="Q1674" s="19" t="e">
        <f>+SUMIFS(#REF!,#REF!,Planning[[#This Row],[Tarifa]],#REF!,Planning[[#This Row],[Proyectos]],#REF!,Planning[[#This Row],[Mes]],#REF!,Planning[[#This Row],[Año]])</f>
        <v>#REF!</v>
      </c>
      <c r="R1674" s="19" t="str">
        <f>TEXT(Planning[[#This Row],[Mes]]*29,"mmmm")</f>
        <v>October</v>
      </c>
      <c r="S16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74" s="228"/>
      <c r="U1674" s="43" t="e">
        <f>IF(Planning[[#This Row],[Horas Planificadas]]&lt;&gt;0,+K1674/Planning[[#This Row],[Horas Planificadas]],0)</f>
        <v>#REF!</v>
      </c>
      <c r="V1674" s="43" t="e">
        <f>IF(Planning[[#This Row],[Horas Planificadas]]&lt;&gt;0,Planning[[#This Row],[Horas utilizadas]]/Planning[[#This Row],[Horas Planificadas]],0)</f>
        <v>#REF!</v>
      </c>
      <c r="W1674" s="44">
        <f>Planning[[#This Row],[Horas Planificadas]]+Planning[[#This Row],[Horas ajustadas adicionales]]</f>
        <v>18</v>
      </c>
      <c r="X1674" s="142"/>
    </row>
    <row r="1675" spans="1:24" ht="12.75" customHeight="1" x14ac:dyDescent="0.2">
      <c r="A1675" s="7" t="s">
        <v>294</v>
      </c>
      <c r="B1675" s="7" t="s">
        <v>205</v>
      </c>
      <c r="C1675" s="3"/>
      <c r="D1675" s="3" t="s">
        <v>403</v>
      </c>
      <c r="E1675" s="4" t="s">
        <v>28</v>
      </c>
      <c r="F1675" s="3"/>
      <c r="G1675" s="9">
        <v>225</v>
      </c>
      <c r="H1675" s="14">
        <f>SUM(H1676:H1677)</f>
        <v>315</v>
      </c>
      <c r="I1675" s="14"/>
      <c r="J1675" s="14" t="e">
        <f>SUM(J1676:J1677)</f>
        <v>#REF!</v>
      </c>
      <c r="K1675" s="15" t="e">
        <f>SUM(K1676:K1677)</f>
        <v>#REF!</v>
      </c>
      <c r="L1675" s="15">
        <f>SUM(L1676:L1677)</f>
        <v>0</v>
      </c>
      <c r="M1675" s="14" t="e">
        <f>SUM(M1676:M1677)</f>
        <v>#REF!</v>
      </c>
      <c r="N1675" s="66" t="e">
        <f>+SUMIFS(#REF!,#REF!,Planning[[#This Row],[Proyectos]],#REF!,Planning[[#This Row],[Tipo de Tarea y especialidad]])</f>
        <v>#REF!</v>
      </c>
      <c r="O1675" s="14">
        <f t="shared" si="52"/>
        <v>10</v>
      </c>
      <c r="P1675" s="14">
        <f t="shared" si="53"/>
        <v>2024</v>
      </c>
      <c r="Q1675" s="28" t="e">
        <f>SUM(Q1676:Q1677)</f>
        <v>#REF!</v>
      </c>
      <c r="R1675" s="28" t="str">
        <f>TEXT(Planning[[#This Row],[Mes]]*29,"mmmm")</f>
        <v>October</v>
      </c>
      <c r="S16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75" s="192" t="s">
        <v>404</v>
      </c>
      <c r="U1675" s="43" t="e">
        <f>IF(Planning[[#This Row],[Horas Planificadas]]&lt;&gt;0,+K1675/Planning[[#This Row],[Horas Planificadas]],0)</f>
        <v>#REF!</v>
      </c>
      <c r="V1675" s="43" t="e">
        <f>IF(Planning[[#This Row],[Horas Planificadas]]&lt;&gt;0,Planning[[#This Row],[Horas utilizadas]]/Planning[[#This Row],[Horas Planificadas]],0)</f>
        <v>#REF!</v>
      </c>
      <c r="W1675" s="44">
        <f>Planning[[#This Row],[Horas Planificadas]]+Planning[[#This Row],[Horas ajustadas adicionales]]</f>
        <v>315</v>
      </c>
      <c r="X1675" s="142"/>
    </row>
    <row r="1676" spans="1:24" ht="12.75" customHeight="1" x14ac:dyDescent="0.2">
      <c r="A1676" s="7" t="s">
        <v>294</v>
      </c>
      <c r="B1676" s="7" t="s">
        <v>205</v>
      </c>
      <c r="C1676" s="3"/>
      <c r="D1676" s="3" t="s">
        <v>403</v>
      </c>
      <c r="E1676" s="4"/>
      <c r="F1676" s="3" t="s">
        <v>120</v>
      </c>
      <c r="G1676" s="9"/>
      <c r="H1676" s="9">
        <v>225</v>
      </c>
      <c r="I1676" s="12"/>
      <c r="J1676" s="5" t="e">
        <f>SUM(SUMIFS(#REF!,#REF!,Planning[[#This Row],[Tipo de Tarea y especialidad]],#REF!,Planning[[#This Row],[Proyectos Reiwa]]),SUMIFS(#REF!,#REF!,Planning[[#This Row],[Tipo de Tarea y especialidad]],#REF!,Planning[[#This Row],[Proyectos]]))</f>
        <v>#REF!</v>
      </c>
      <c r="K1676" s="5" t="e">
        <f>Planning[[#This Row],[Horas Planificadas]]+Planning[[#This Row],[Horas ajustadas adicionales]]-Planning[[#This Row],[Horas utilizadas]]</f>
        <v>#REF!</v>
      </c>
      <c r="L1676" s="7">
        <v>0</v>
      </c>
      <c r="M1676" s="19" t="e">
        <f>Planning[[#This Row],[Saldo]]-Planning[[#This Row],[Saldo estimado]]</f>
        <v>#REF!</v>
      </c>
      <c r="N1676" s="60" t="e">
        <f>+SUMIFS(#REF!,#REF!,Planning[[#This Row],[Proyectos]],#REF!,Planning[[#This Row],[Tipo de Tarea y especialidad]])</f>
        <v>#REF!</v>
      </c>
      <c r="O1676" s="19">
        <f t="shared" si="52"/>
        <v>10</v>
      </c>
      <c r="P1676" s="19">
        <f t="shared" si="53"/>
        <v>2024</v>
      </c>
      <c r="Q16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76" s="19" t="str">
        <f>TEXT(Planning[[#This Row],[Mes]]*29,"mmmm")</f>
        <v>October</v>
      </c>
      <c r="S16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76" s="193"/>
      <c r="U1676" s="43" t="e">
        <f>IF(Planning[[#This Row],[Horas Planificadas]]&lt;&gt;0,+K1676/Planning[[#This Row],[Horas Planificadas]],0)</f>
        <v>#REF!</v>
      </c>
      <c r="V1676" s="43" t="e">
        <f>IF(Planning[[#This Row],[Horas Planificadas]]&lt;&gt;0,Planning[[#This Row],[Horas utilizadas]]/Planning[[#This Row],[Horas Planificadas]],0)</f>
        <v>#REF!</v>
      </c>
      <c r="W1676" s="44">
        <f>Planning[[#This Row],[Horas Planificadas]]+Planning[[#This Row],[Horas ajustadas adicionales]]</f>
        <v>225</v>
      </c>
      <c r="X1676" s="142"/>
    </row>
    <row r="1677" spans="1:24" ht="12.75" customHeight="1" x14ac:dyDescent="0.2">
      <c r="A1677" s="7" t="s">
        <v>294</v>
      </c>
      <c r="B1677" s="7" t="s">
        <v>205</v>
      </c>
      <c r="C1677" s="3"/>
      <c r="D1677" s="3" t="s">
        <v>403</v>
      </c>
      <c r="E1677" s="4"/>
      <c r="F1677" s="3" t="s">
        <v>121</v>
      </c>
      <c r="G1677" s="9"/>
      <c r="H1677" s="9">
        <v>90</v>
      </c>
      <c r="I1677" s="12"/>
      <c r="J1677" s="5" t="e">
        <f>SUM(SUMIFS(#REF!,#REF!,Planning[[#This Row],[Tipo de Tarea y especialidad]],#REF!,Planning[[#This Row],[Proyectos Reiwa]]),SUMIFS(#REF!,#REF!,Planning[[#This Row],[Tipo de Tarea y especialidad]],#REF!,Planning[[#This Row],[Proyectos]]))</f>
        <v>#REF!</v>
      </c>
      <c r="K1677" s="5" t="e">
        <f>Planning[[#This Row],[Horas Planificadas]]+Planning[[#This Row],[Horas ajustadas adicionales]]-Planning[[#This Row],[Horas utilizadas]]</f>
        <v>#REF!</v>
      </c>
      <c r="L1677" s="7">
        <v>0</v>
      </c>
      <c r="M1677" s="19" t="e">
        <f>Planning[[#This Row],[Saldo]]-Planning[[#This Row],[Saldo estimado]]</f>
        <v>#REF!</v>
      </c>
      <c r="N1677" s="60" t="e">
        <f>+SUMIFS(#REF!,#REF!,Planning[[#This Row],[Proyectos]],#REF!,Planning[[#This Row],[Tipo de Tarea y especialidad]])</f>
        <v>#REF!</v>
      </c>
      <c r="O1677" s="19">
        <f t="shared" si="52"/>
        <v>10</v>
      </c>
      <c r="P1677" s="19">
        <f t="shared" si="53"/>
        <v>2024</v>
      </c>
      <c r="Q16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77" s="19" t="str">
        <f>TEXT(Planning[[#This Row],[Mes]]*29,"mmmm")</f>
        <v>October</v>
      </c>
      <c r="S16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77" s="193"/>
      <c r="U1677" s="43" t="e">
        <f>IF(Planning[[#This Row],[Horas Planificadas]]&lt;&gt;0,+K1677/Planning[[#This Row],[Horas Planificadas]],0)</f>
        <v>#REF!</v>
      </c>
      <c r="V1677" s="43" t="e">
        <f>IF(Planning[[#This Row],[Horas Planificadas]]&lt;&gt;0,Planning[[#This Row],[Horas utilizadas]]/Planning[[#This Row],[Horas Planificadas]],0)</f>
        <v>#REF!</v>
      </c>
      <c r="W1677" s="44">
        <f>Planning[[#This Row],[Horas Planificadas]]+Planning[[#This Row],[Horas ajustadas adicionales]]</f>
        <v>90</v>
      </c>
      <c r="X1677" s="142"/>
    </row>
    <row r="1678" spans="1:24" ht="12.75" customHeight="1" x14ac:dyDescent="0.2">
      <c r="A1678" s="7" t="s">
        <v>294</v>
      </c>
      <c r="B1678" s="7" t="s">
        <v>205</v>
      </c>
      <c r="C1678" s="3"/>
      <c r="D1678" s="3" t="s">
        <v>403</v>
      </c>
      <c r="E1678" s="4" t="s">
        <v>30</v>
      </c>
      <c r="F1678" s="3"/>
      <c r="G1678" s="9">
        <v>395</v>
      </c>
      <c r="H1678" s="14">
        <f>SUM(H1679:H1685)</f>
        <v>401</v>
      </c>
      <c r="I1678" s="14"/>
      <c r="J1678" s="14" t="e">
        <f>SUM(J1679:J1685)</f>
        <v>#REF!</v>
      </c>
      <c r="K1678" s="15" t="e">
        <f>SUM(K1679:K1685)</f>
        <v>#REF!</v>
      </c>
      <c r="L1678" s="15">
        <f>SUM(L1679:L1685)</f>
        <v>72</v>
      </c>
      <c r="M1678" s="16" t="e">
        <f>SUM(M1679:M1685)</f>
        <v>#REF!</v>
      </c>
      <c r="N1678" s="60" t="e">
        <f>+SUMIFS(#REF!,#REF!,Planning[[#This Row],[Proyectos]],#REF!,Planning[[#This Row],[Tipo de Tarea y especialidad]])</f>
        <v>#REF!</v>
      </c>
      <c r="O1678" s="16">
        <f t="shared" si="52"/>
        <v>10</v>
      </c>
      <c r="P1678" s="16">
        <f t="shared" si="53"/>
        <v>2024</v>
      </c>
      <c r="Q1678" s="16" t="e">
        <f>SUM(Q1679:Q1685)</f>
        <v>#REF!</v>
      </c>
      <c r="R1678" s="16" t="str">
        <f>TEXT(Planning[[#This Row],[Mes]]*29,"mmmm")</f>
        <v>October</v>
      </c>
      <c r="S16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78" s="193"/>
      <c r="U1678" s="43" t="e">
        <f>IF(Planning[[#This Row],[Horas Planificadas]]&lt;&gt;0,+K1678/Planning[[#This Row],[Horas Planificadas]],0)</f>
        <v>#REF!</v>
      </c>
      <c r="V1678" s="43" t="e">
        <f>IF(Planning[[#This Row],[Horas Planificadas]]&lt;&gt;0,Planning[[#This Row],[Horas utilizadas]]/Planning[[#This Row],[Horas Planificadas]],0)</f>
        <v>#REF!</v>
      </c>
      <c r="W1678" s="44">
        <f>Planning[[#This Row],[Horas Planificadas]]+Planning[[#This Row],[Horas ajustadas adicionales]]</f>
        <v>401</v>
      </c>
      <c r="X1678" s="142"/>
    </row>
    <row r="1679" spans="1:24" ht="12.75" customHeight="1" x14ac:dyDescent="0.2">
      <c r="A1679" s="7" t="s">
        <v>294</v>
      </c>
      <c r="B1679" s="7" t="s">
        <v>205</v>
      </c>
      <c r="C1679" s="3"/>
      <c r="D1679" s="3" t="s">
        <v>403</v>
      </c>
      <c r="E1679" s="4"/>
      <c r="F1679" s="3" t="s">
        <v>122</v>
      </c>
      <c r="G1679" s="9"/>
      <c r="H1679" s="9">
        <v>45</v>
      </c>
      <c r="I1679" s="12"/>
      <c r="J1679" s="5" t="e">
        <f>SUM(SUMIFS(#REF!,#REF!,Planning[[#This Row],[Tipo de Tarea y especialidad]],#REF!,Planning[[#This Row],[Proyectos Reiwa]]),SUMIFS(#REF!,#REF!,Planning[[#This Row],[Tipo de Tarea y especialidad]],#REF!,Planning[[#This Row],[Proyectos]]))</f>
        <v>#REF!</v>
      </c>
      <c r="K1679" s="5" t="e">
        <f>Planning[[#This Row],[Horas Planificadas]]+Planning[[#This Row],[Horas ajustadas adicionales]]-Planning[[#This Row],[Horas utilizadas]]</f>
        <v>#REF!</v>
      </c>
      <c r="L1679" s="7"/>
      <c r="M1679" s="19" t="e">
        <f>Planning[[#This Row],[Saldo]]-Planning[[#This Row],[Saldo estimado]]</f>
        <v>#REF!</v>
      </c>
      <c r="N1679" s="60" t="e">
        <f>+SUMIFS(#REF!,#REF!,Planning[[#This Row],[Proyectos]],#REF!,Planning[[#This Row],[Tipo de Tarea y especialidad]])</f>
        <v>#REF!</v>
      </c>
      <c r="O1679" s="19">
        <f t="shared" si="52"/>
        <v>10</v>
      </c>
      <c r="P1679" s="19">
        <f t="shared" si="53"/>
        <v>2024</v>
      </c>
      <c r="Q16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79" s="19" t="str">
        <f>TEXT(Planning[[#This Row],[Mes]]*29,"mmmm")</f>
        <v>October</v>
      </c>
      <c r="S16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79" s="193"/>
      <c r="U1679" s="43" t="e">
        <f>IF(Planning[[#This Row],[Horas Planificadas]]&lt;&gt;0,+K1679/Planning[[#This Row],[Horas Planificadas]],0)</f>
        <v>#REF!</v>
      </c>
      <c r="V1679" s="43" t="e">
        <f>IF(Planning[[#This Row],[Horas Planificadas]]&lt;&gt;0,Planning[[#This Row],[Horas utilizadas]]/Planning[[#This Row],[Horas Planificadas]],0)</f>
        <v>#REF!</v>
      </c>
      <c r="W1679" s="44">
        <f>Planning[[#This Row],[Horas Planificadas]]+Planning[[#This Row],[Horas ajustadas adicionales]]</f>
        <v>45</v>
      </c>
      <c r="X1679" s="142"/>
    </row>
    <row r="1680" spans="1:24" ht="12.75" customHeight="1" x14ac:dyDescent="0.2">
      <c r="A1680" s="7" t="s">
        <v>294</v>
      </c>
      <c r="B1680" s="7" t="s">
        <v>205</v>
      </c>
      <c r="C1680" s="3"/>
      <c r="D1680" s="3" t="s">
        <v>403</v>
      </c>
      <c r="E1680" s="4"/>
      <c r="F1680" s="3" t="s">
        <v>123</v>
      </c>
      <c r="G1680" s="9"/>
      <c r="H1680" s="9"/>
      <c r="I1680" s="12"/>
      <c r="J1680" s="5" t="e">
        <f>SUM(SUMIFS(#REF!,#REF!,Planning[[#This Row],[Tipo de Tarea y especialidad]],#REF!,Planning[[#This Row],[Proyectos Reiwa]]),SUMIFS(#REF!,#REF!,Planning[[#This Row],[Tipo de Tarea y especialidad]],#REF!,Planning[[#This Row],[Proyectos]]))</f>
        <v>#REF!</v>
      </c>
      <c r="K1680" s="5" t="e">
        <f>Planning[[#This Row],[Horas Planificadas]]+Planning[[#This Row],[Horas ajustadas adicionales]]-Planning[[#This Row],[Horas utilizadas]]</f>
        <v>#REF!</v>
      </c>
      <c r="L1680" s="7"/>
      <c r="M1680" s="19" t="e">
        <f>Planning[[#This Row],[Saldo]]-Planning[[#This Row],[Saldo estimado]]</f>
        <v>#REF!</v>
      </c>
      <c r="N1680" s="60" t="e">
        <f>+SUMIFS(#REF!,#REF!,Planning[[#This Row],[Proyectos]],#REF!,Planning[[#This Row],[Tipo de Tarea y especialidad]])</f>
        <v>#REF!</v>
      </c>
      <c r="O1680" s="19">
        <f t="shared" si="52"/>
        <v>10</v>
      </c>
      <c r="P1680" s="19">
        <f t="shared" si="53"/>
        <v>2024</v>
      </c>
      <c r="Q16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80" s="19" t="str">
        <f>TEXT(Planning[[#This Row],[Mes]]*29,"mmmm")</f>
        <v>October</v>
      </c>
      <c r="S16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80" s="193"/>
      <c r="U1680" s="43">
        <f>IF(Planning[[#This Row],[Horas Planificadas]]&lt;&gt;0,+K1680/Planning[[#This Row],[Horas Planificadas]],0)</f>
        <v>0</v>
      </c>
      <c r="V1680" s="43">
        <f>IF(Planning[[#This Row],[Horas Planificadas]]&lt;&gt;0,Planning[[#This Row],[Horas utilizadas]]/Planning[[#This Row],[Horas Planificadas]],0)</f>
        <v>0</v>
      </c>
      <c r="W1680" s="44">
        <f>Planning[[#This Row],[Horas Planificadas]]+Planning[[#This Row],[Horas ajustadas adicionales]]</f>
        <v>0</v>
      </c>
      <c r="X1680" s="142"/>
    </row>
    <row r="1681" spans="1:24" ht="12.75" customHeight="1" x14ac:dyDescent="0.2">
      <c r="A1681" s="7" t="s">
        <v>294</v>
      </c>
      <c r="B1681" s="7" t="s">
        <v>205</v>
      </c>
      <c r="C1681" s="3"/>
      <c r="D1681" s="3" t="s">
        <v>403</v>
      </c>
      <c r="E1681" s="4"/>
      <c r="F1681" s="3" t="s">
        <v>124</v>
      </c>
      <c r="G1681" s="9"/>
      <c r="H1681" s="9">
        <v>205</v>
      </c>
      <c r="I1681" s="12"/>
      <c r="J1681" s="5" t="e">
        <f>SUM(SUMIFS(#REF!,#REF!,Planning[[#This Row],[Tipo de Tarea y especialidad]],#REF!,Planning[[#This Row],[Proyectos Reiwa]]),SUMIFS(#REF!,#REF!,Planning[[#This Row],[Tipo de Tarea y especialidad]],#REF!,Planning[[#This Row],[Proyectos]]))</f>
        <v>#REF!</v>
      </c>
      <c r="K1681" s="5" t="e">
        <f>Planning[[#This Row],[Horas Planificadas]]+Planning[[#This Row],[Horas ajustadas adicionales]]-Planning[[#This Row],[Horas utilizadas]]</f>
        <v>#REF!</v>
      </c>
      <c r="L1681" s="7"/>
      <c r="M1681" s="19" t="e">
        <f>Planning[[#This Row],[Saldo]]-Planning[[#This Row],[Saldo estimado]]</f>
        <v>#REF!</v>
      </c>
      <c r="N1681" s="60" t="e">
        <f>+SUMIFS(#REF!,#REF!,Planning[[#This Row],[Proyectos]],#REF!,Planning[[#This Row],[Tipo de Tarea y especialidad]])</f>
        <v>#REF!</v>
      </c>
      <c r="O1681" s="19">
        <f t="shared" si="52"/>
        <v>10</v>
      </c>
      <c r="P1681" s="19">
        <f t="shared" si="53"/>
        <v>2024</v>
      </c>
      <c r="Q16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81" s="19" t="str">
        <f>TEXT(Planning[[#This Row],[Mes]]*29,"mmmm")</f>
        <v>October</v>
      </c>
      <c r="S16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81" s="193"/>
      <c r="U1681" s="43" t="e">
        <f>IF(Planning[[#This Row],[Horas Planificadas]]&lt;&gt;0,+K1681/Planning[[#This Row],[Horas Planificadas]],0)</f>
        <v>#REF!</v>
      </c>
      <c r="V1681" s="43" t="e">
        <f>IF(Planning[[#This Row],[Horas Planificadas]]&lt;&gt;0,Planning[[#This Row],[Horas utilizadas]]/Planning[[#This Row],[Horas Planificadas]],0)</f>
        <v>#REF!</v>
      </c>
      <c r="W1681" s="44">
        <f>Planning[[#This Row],[Horas Planificadas]]+Planning[[#This Row],[Horas ajustadas adicionales]]</f>
        <v>205</v>
      </c>
      <c r="X1681" s="142"/>
    </row>
    <row r="1682" spans="1:24" ht="12.75" customHeight="1" x14ac:dyDescent="0.2">
      <c r="A1682" s="7" t="s">
        <v>294</v>
      </c>
      <c r="B1682" s="7" t="s">
        <v>205</v>
      </c>
      <c r="C1682" s="3"/>
      <c r="D1682" s="3" t="s">
        <v>403</v>
      </c>
      <c r="E1682" s="4"/>
      <c r="F1682" s="3" t="s">
        <v>125</v>
      </c>
      <c r="G1682" s="9"/>
      <c r="H1682" s="9"/>
      <c r="I1682" s="12"/>
      <c r="J1682" s="5" t="e">
        <f>SUM(SUMIFS(#REF!,#REF!,Planning[[#This Row],[Tipo de Tarea y especialidad]],#REF!,Planning[[#This Row],[Proyectos Reiwa]]),SUMIFS(#REF!,#REF!,Planning[[#This Row],[Tipo de Tarea y especialidad]],#REF!,Planning[[#This Row],[Proyectos]]))</f>
        <v>#REF!</v>
      </c>
      <c r="K1682" s="5" t="e">
        <f>Planning[[#This Row],[Horas Planificadas]]+Planning[[#This Row],[Horas ajustadas adicionales]]-Planning[[#This Row],[Horas utilizadas]]</f>
        <v>#REF!</v>
      </c>
      <c r="L1682" s="7"/>
      <c r="M1682" s="19" t="e">
        <f>Planning[[#This Row],[Saldo]]-Planning[[#This Row],[Saldo estimado]]</f>
        <v>#REF!</v>
      </c>
      <c r="N1682" s="60" t="e">
        <f>+SUMIFS(#REF!,#REF!,Planning[[#This Row],[Proyectos]],#REF!,Planning[[#This Row],[Tipo de Tarea y especialidad]])</f>
        <v>#REF!</v>
      </c>
      <c r="O1682" s="19">
        <f t="shared" si="52"/>
        <v>10</v>
      </c>
      <c r="P1682" s="19">
        <f t="shared" si="53"/>
        <v>2024</v>
      </c>
      <c r="Q16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82" s="19" t="str">
        <f>TEXT(Planning[[#This Row],[Mes]]*29,"mmmm")</f>
        <v>October</v>
      </c>
      <c r="S16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82" s="193"/>
      <c r="U1682" s="43">
        <f>IF(Planning[[#This Row],[Horas Planificadas]]&lt;&gt;0,+K1682/Planning[[#This Row],[Horas Planificadas]],0)</f>
        <v>0</v>
      </c>
      <c r="V1682" s="43">
        <f>IF(Planning[[#This Row],[Horas Planificadas]]&lt;&gt;0,Planning[[#This Row],[Horas utilizadas]]/Planning[[#This Row],[Horas Planificadas]],0)</f>
        <v>0</v>
      </c>
      <c r="W1682" s="44">
        <f>Planning[[#This Row],[Horas Planificadas]]+Planning[[#This Row],[Horas ajustadas adicionales]]</f>
        <v>0</v>
      </c>
      <c r="X1682" s="142"/>
    </row>
    <row r="1683" spans="1:24" ht="12.75" customHeight="1" x14ac:dyDescent="0.2">
      <c r="A1683" s="7" t="s">
        <v>294</v>
      </c>
      <c r="B1683" s="7" t="s">
        <v>205</v>
      </c>
      <c r="C1683" s="3"/>
      <c r="D1683" s="3" t="s">
        <v>403</v>
      </c>
      <c r="E1683" s="4"/>
      <c r="F1683" s="3" t="s">
        <v>126</v>
      </c>
      <c r="G1683" s="9"/>
      <c r="H1683" s="9">
        <v>51</v>
      </c>
      <c r="I1683" s="12"/>
      <c r="J1683" s="5" t="e">
        <f>SUM(SUMIFS(#REF!,#REF!,Planning[[#This Row],[Tipo de Tarea y especialidad]],#REF!,Planning[[#This Row],[Proyectos Reiwa]]),SUMIFS(#REF!,#REF!,Planning[[#This Row],[Tipo de Tarea y especialidad]],#REF!,Planning[[#This Row],[Proyectos]]))</f>
        <v>#REF!</v>
      </c>
      <c r="K1683" s="5" t="e">
        <f>Planning[[#This Row],[Horas Planificadas]]+Planning[[#This Row],[Horas ajustadas adicionales]]-Planning[[#This Row],[Horas utilizadas]]</f>
        <v>#REF!</v>
      </c>
      <c r="L1683" s="7"/>
      <c r="M1683" s="19" t="e">
        <f>Planning[[#This Row],[Saldo]]-Planning[[#This Row],[Saldo estimado]]</f>
        <v>#REF!</v>
      </c>
      <c r="N1683" s="60" t="e">
        <f>+SUMIFS(#REF!,#REF!,Planning[[#This Row],[Proyectos]],#REF!,Planning[[#This Row],[Tipo de Tarea y especialidad]])</f>
        <v>#REF!</v>
      </c>
      <c r="O1683" s="19">
        <f t="shared" si="52"/>
        <v>10</v>
      </c>
      <c r="P1683" s="19">
        <f t="shared" si="53"/>
        <v>2024</v>
      </c>
      <c r="Q16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83" s="19" t="str">
        <f>TEXT(Planning[[#This Row],[Mes]]*29,"mmmm")</f>
        <v>October</v>
      </c>
      <c r="S16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83" s="193"/>
      <c r="U1683" s="43" t="e">
        <f>IF(Planning[[#This Row],[Horas Planificadas]]&lt;&gt;0,+K1683/Planning[[#This Row],[Horas Planificadas]],0)</f>
        <v>#REF!</v>
      </c>
      <c r="V1683" s="43" t="e">
        <f>IF(Planning[[#This Row],[Horas Planificadas]]&lt;&gt;0,Planning[[#This Row],[Horas utilizadas]]/Planning[[#This Row],[Horas Planificadas]],0)</f>
        <v>#REF!</v>
      </c>
      <c r="W1683" s="44">
        <f>Planning[[#This Row],[Horas Planificadas]]+Planning[[#This Row],[Horas ajustadas adicionales]]</f>
        <v>51</v>
      </c>
      <c r="X1683" s="142"/>
    </row>
    <row r="1684" spans="1:24" ht="12.75" customHeight="1" x14ac:dyDescent="0.2">
      <c r="A1684" s="7" t="s">
        <v>294</v>
      </c>
      <c r="B1684" s="7" t="s">
        <v>205</v>
      </c>
      <c r="C1684" s="3"/>
      <c r="D1684" s="3" t="s">
        <v>403</v>
      </c>
      <c r="E1684" s="4"/>
      <c r="F1684" s="3" t="s">
        <v>127</v>
      </c>
      <c r="G1684" s="9"/>
      <c r="H1684" s="9"/>
      <c r="I1684" s="12"/>
      <c r="J1684" s="5" t="e">
        <f>SUM(SUMIFS(#REF!,#REF!,Planning[[#This Row],[Tipo de Tarea y especialidad]],#REF!,Planning[[#This Row],[Proyectos Reiwa]]),SUMIFS(#REF!,#REF!,Planning[[#This Row],[Tipo de Tarea y especialidad]],#REF!,Planning[[#This Row],[Proyectos]]))</f>
        <v>#REF!</v>
      </c>
      <c r="K1684" s="5" t="e">
        <f>Planning[[#This Row],[Horas Planificadas]]+Planning[[#This Row],[Horas ajustadas adicionales]]-Planning[[#This Row],[Horas utilizadas]]</f>
        <v>#REF!</v>
      </c>
      <c r="L1684" s="7"/>
      <c r="M1684" s="19" t="e">
        <f>Planning[[#This Row],[Saldo]]-Planning[[#This Row],[Saldo estimado]]</f>
        <v>#REF!</v>
      </c>
      <c r="N1684" s="60" t="e">
        <f>+SUMIFS(#REF!,#REF!,Planning[[#This Row],[Proyectos]],#REF!,Planning[[#This Row],[Tipo de Tarea y especialidad]])</f>
        <v>#REF!</v>
      </c>
      <c r="O1684" s="19">
        <f t="shared" si="52"/>
        <v>10</v>
      </c>
      <c r="P1684" s="19">
        <f t="shared" si="53"/>
        <v>2024</v>
      </c>
      <c r="Q16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84" s="19" t="str">
        <f>TEXT(Planning[[#This Row],[Mes]]*29,"mmmm")</f>
        <v>October</v>
      </c>
      <c r="S16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84" s="193"/>
      <c r="U1684" s="43">
        <f>IF(Planning[[#This Row],[Horas Planificadas]]&lt;&gt;0,+K1684/Planning[[#This Row],[Horas Planificadas]],0)</f>
        <v>0</v>
      </c>
      <c r="V1684" s="43">
        <f>IF(Planning[[#This Row],[Horas Planificadas]]&lt;&gt;0,Planning[[#This Row],[Horas utilizadas]]/Planning[[#This Row],[Horas Planificadas]],0)</f>
        <v>0</v>
      </c>
      <c r="W1684" s="44">
        <f>Planning[[#This Row],[Horas Planificadas]]+Planning[[#This Row],[Horas ajustadas adicionales]]</f>
        <v>0</v>
      </c>
      <c r="X1684" s="142"/>
    </row>
    <row r="1685" spans="1:24" ht="12.75" customHeight="1" x14ac:dyDescent="0.2">
      <c r="A1685" s="7" t="s">
        <v>294</v>
      </c>
      <c r="B1685" s="7" t="s">
        <v>205</v>
      </c>
      <c r="C1685" s="3"/>
      <c r="D1685" s="3" t="s">
        <v>403</v>
      </c>
      <c r="E1685" s="4"/>
      <c r="F1685" s="3" t="s">
        <v>128</v>
      </c>
      <c r="G1685" s="9"/>
      <c r="H1685" s="9">
        <v>100</v>
      </c>
      <c r="I1685" s="12"/>
      <c r="J1685" s="5" t="e">
        <f>SUM(SUMIFS(#REF!,#REF!,Planning[[#This Row],[Tipo de Tarea y especialidad]],#REF!,Planning[[#This Row],[Proyectos Reiwa]]),SUMIFS(#REF!,#REF!,Planning[[#This Row],[Tipo de Tarea y especialidad]],#REF!,Planning[[#This Row],[Proyectos]]))</f>
        <v>#REF!</v>
      </c>
      <c r="K1685" s="5" t="e">
        <f>Planning[[#This Row],[Horas Planificadas]]+Planning[[#This Row],[Horas ajustadas adicionales]]-Planning[[#This Row],[Horas utilizadas]]</f>
        <v>#REF!</v>
      </c>
      <c r="L1685" s="7">
        <v>72</v>
      </c>
      <c r="M1685" s="19" t="e">
        <f>Planning[[#This Row],[Saldo]]-Planning[[#This Row],[Saldo estimado]]</f>
        <v>#REF!</v>
      </c>
      <c r="N1685" s="60" t="e">
        <f>+SUMIFS(#REF!,#REF!,Planning[[#This Row],[Proyectos]],#REF!,Planning[[#This Row],[Tipo de Tarea y especialidad]])</f>
        <v>#REF!</v>
      </c>
      <c r="O1685" s="19">
        <f t="shared" si="52"/>
        <v>10</v>
      </c>
      <c r="P1685" s="19">
        <f t="shared" si="53"/>
        <v>2024</v>
      </c>
      <c r="Q16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85" s="19" t="str">
        <f>TEXT(Planning[[#This Row],[Mes]]*29,"mmmm")</f>
        <v>October</v>
      </c>
      <c r="S16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85" s="193"/>
      <c r="U1685" s="43" t="e">
        <f>IF(Planning[[#This Row],[Horas Planificadas]]&lt;&gt;0,+K1685/Planning[[#This Row],[Horas Planificadas]],0)</f>
        <v>#REF!</v>
      </c>
      <c r="V1685" s="43" t="e">
        <f>IF(Planning[[#This Row],[Horas Planificadas]]&lt;&gt;0,Planning[[#This Row],[Horas utilizadas]]/Planning[[#This Row],[Horas Planificadas]],0)</f>
        <v>#REF!</v>
      </c>
      <c r="W1685" s="44">
        <f>Planning[[#This Row],[Horas Planificadas]]+Planning[[#This Row],[Horas ajustadas adicionales]]</f>
        <v>100</v>
      </c>
      <c r="X1685" s="142"/>
    </row>
    <row r="1686" spans="1:24" ht="12.75" customHeight="1" x14ac:dyDescent="0.2">
      <c r="A1686" s="7" t="s">
        <v>294</v>
      </c>
      <c r="B1686" s="7" t="s">
        <v>205</v>
      </c>
      <c r="C1686" s="3"/>
      <c r="D1686" s="3" t="s">
        <v>403</v>
      </c>
      <c r="E1686" s="4" t="s">
        <v>31</v>
      </c>
      <c r="F1686" s="3" t="s">
        <v>31</v>
      </c>
      <c r="G1686" s="9">
        <v>208</v>
      </c>
      <c r="H1686" s="17">
        <v>208</v>
      </c>
      <c r="I1686" s="18"/>
      <c r="J1686" s="14" t="e">
        <f>+SUMIFS(#REF!,#REF!,Planning[[#This Row],[Tarifa]],#REF!,Planning[[#This Row],[Proyectos]])</f>
        <v>#REF!</v>
      </c>
      <c r="K1686" s="14" t="e">
        <f>Planning[[#This Row],[Horas Planificadas]]+Planning[[#This Row],[Horas ajustadas adicionales]]-Planning[[#This Row],[Horas utilizadas]]</f>
        <v>#REF!</v>
      </c>
      <c r="L1686" s="15" t="e">
        <f>Planning[[#This Row],[Saldo]]</f>
        <v>#REF!</v>
      </c>
      <c r="M1686" s="16" t="e">
        <f>Planning[[#This Row],[Saldo]]-Planning[[#This Row],[Saldo estimado]]</f>
        <v>#REF!</v>
      </c>
      <c r="N1686" s="60" t="e">
        <f>+SUMIFS(#REF!,#REF!,Planning[[#This Row],[Proyectos]],#REF!,Planning[[#This Row],[Tipo de Tarea y especialidad]])</f>
        <v>#REF!</v>
      </c>
      <c r="O1686" s="16">
        <f t="shared" si="52"/>
        <v>10</v>
      </c>
      <c r="P1686" s="16">
        <f t="shared" si="53"/>
        <v>2024</v>
      </c>
      <c r="Q1686" s="16" t="e">
        <f>+SUMIFS(#REF!,#REF!,Planning[[#This Row],[Tarifa]],#REF!,Planning[[#This Row],[Proyectos]],#REF!,Planning[[#This Row],[Mes]],#REF!,Planning[[#This Row],[Año]])</f>
        <v>#REF!</v>
      </c>
      <c r="R1686" s="16" t="str">
        <f>TEXT(Planning[[#This Row],[Mes]]*29,"mmmm")</f>
        <v>October</v>
      </c>
      <c r="S16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86" s="193"/>
      <c r="U1686" s="43" t="e">
        <f>IF(Planning[[#This Row],[Horas Planificadas]]&lt;&gt;0,+K1686/Planning[[#This Row],[Horas Planificadas]],0)</f>
        <v>#REF!</v>
      </c>
      <c r="V1686" s="43" t="e">
        <f>IF(Planning[[#This Row],[Horas Planificadas]]&lt;&gt;0,Planning[[#This Row],[Horas utilizadas]]/Planning[[#This Row],[Horas Planificadas]],0)</f>
        <v>#REF!</v>
      </c>
      <c r="W1686" s="44">
        <f>Planning[[#This Row],[Horas Planificadas]]+Planning[[#This Row],[Horas ajustadas adicionales]]</f>
        <v>208</v>
      </c>
      <c r="X1686" s="142"/>
    </row>
    <row r="1687" spans="1:24" ht="12.75" customHeight="1" x14ac:dyDescent="0.2">
      <c r="A1687" s="7" t="s">
        <v>294</v>
      </c>
      <c r="B1687" s="7" t="s">
        <v>205</v>
      </c>
      <c r="C1687" s="3"/>
      <c r="D1687" s="3" t="s">
        <v>403</v>
      </c>
      <c r="E1687" s="4" t="s">
        <v>32</v>
      </c>
      <c r="F1687" s="3"/>
      <c r="G1687" s="9">
        <v>180</v>
      </c>
      <c r="H1687" s="14">
        <f>SUM(H1688:H1690)</f>
        <v>200</v>
      </c>
      <c r="I1687" s="14"/>
      <c r="J1687" s="14" t="e">
        <f>SUM(J1688:J1690)</f>
        <v>#REF!</v>
      </c>
      <c r="K1687" s="15" t="e">
        <f>SUM(K1688:K1690)</f>
        <v>#REF!</v>
      </c>
      <c r="L1687" s="15">
        <f>SUM(L1688:L1690)</f>
        <v>0</v>
      </c>
      <c r="M1687" s="16" t="e">
        <f>SUM(M1688:M1690)</f>
        <v>#REF!</v>
      </c>
      <c r="N1687" s="60" t="e">
        <f>+SUMIFS(#REF!,#REF!,Planning[[#This Row],[Proyectos]],#REF!,Planning[[#This Row],[Tipo de Tarea y especialidad]])</f>
        <v>#REF!</v>
      </c>
      <c r="O1687" s="16">
        <f t="shared" si="52"/>
        <v>10</v>
      </c>
      <c r="P1687" s="16">
        <f t="shared" si="53"/>
        <v>2024</v>
      </c>
      <c r="Q1687" s="16" t="e">
        <f>SUM(Q1688:Q1690)</f>
        <v>#REF!</v>
      </c>
      <c r="R1687" s="16" t="str">
        <f>TEXT(Planning[[#This Row],[Mes]]*29,"mmmm")</f>
        <v>October</v>
      </c>
      <c r="S16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87" s="193"/>
      <c r="U1687" s="43" t="e">
        <f>IF(Planning[[#This Row],[Horas Planificadas]]&lt;&gt;0,+K1687/Planning[[#This Row],[Horas Planificadas]],0)</f>
        <v>#REF!</v>
      </c>
      <c r="V1687" s="43" t="e">
        <f>IF(Planning[[#This Row],[Horas Planificadas]]&lt;&gt;0,Planning[[#This Row],[Horas utilizadas]]/Planning[[#This Row],[Horas Planificadas]],0)</f>
        <v>#REF!</v>
      </c>
      <c r="W1687" s="44">
        <f>Planning[[#This Row],[Horas Planificadas]]+Planning[[#This Row],[Horas ajustadas adicionales]]</f>
        <v>200</v>
      </c>
      <c r="X1687" s="142"/>
    </row>
    <row r="1688" spans="1:24" ht="12.75" customHeight="1" x14ac:dyDescent="0.2">
      <c r="A1688" s="7" t="s">
        <v>294</v>
      </c>
      <c r="B1688" s="7" t="s">
        <v>205</v>
      </c>
      <c r="C1688" s="3"/>
      <c r="D1688" s="3" t="s">
        <v>403</v>
      </c>
      <c r="E1688" s="4"/>
      <c r="F1688" s="3" t="s">
        <v>129</v>
      </c>
      <c r="G1688" s="9"/>
      <c r="H1688" s="9"/>
      <c r="I1688" s="12"/>
      <c r="J1688" s="5" t="e">
        <f>SUM(SUMIFS(#REF!,#REF!,Planning[[#This Row],[Tipo de Tarea y especialidad]],#REF!,Planning[[#This Row],[Proyectos Reiwa]]),SUMIFS(#REF!,#REF!,Planning[[#This Row],[Tipo de Tarea y especialidad]],#REF!,Planning[[#This Row],[Proyectos]]))</f>
        <v>#REF!</v>
      </c>
      <c r="K1688" s="5" t="e">
        <f>Planning[[#This Row],[Horas Planificadas]]+Planning[[#This Row],[Horas ajustadas adicionales]]-Planning[[#This Row],[Horas utilizadas]]</f>
        <v>#REF!</v>
      </c>
      <c r="L1688" s="7"/>
      <c r="M1688" s="19" t="e">
        <f>Planning[[#This Row],[Saldo]]-Planning[[#This Row],[Saldo estimado]]</f>
        <v>#REF!</v>
      </c>
      <c r="N1688" s="60" t="e">
        <f>+SUMIFS(#REF!,#REF!,Planning[[#This Row],[Proyectos]],#REF!,Planning[[#This Row],[Tipo de Tarea y especialidad]])</f>
        <v>#REF!</v>
      </c>
      <c r="O1688" s="19">
        <f t="shared" si="52"/>
        <v>10</v>
      </c>
      <c r="P1688" s="19">
        <f t="shared" si="53"/>
        <v>2024</v>
      </c>
      <c r="Q16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88" s="19" t="str">
        <f>TEXT(Planning[[#This Row],[Mes]]*29,"mmmm")</f>
        <v>October</v>
      </c>
      <c r="S16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88" s="193"/>
      <c r="U1688" s="43">
        <f>IF(Planning[[#This Row],[Horas Planificadas]]&lt;&gt;0,+K1688/Planning[[#This Row],[Horas Planificadas]],0)</f>
        <v>0</v>
      </c>
      <c r="V1688" s="43">
        <f>IF(Planning[[#This Row],[Horas Planificadas]]&lt;&gt;0,Planning[[#This Row],[Horas utilizadas]]/Planning[[#This Row],[Horas Planificadas]],0)</f>
        <v>0</v>
      </c>
      <c r="W1688" s="44">
        <f>Planning[[#This Row],[Horas Planificadas]]+Planning[[#This Row],[Horas ajustadas adicionales]]</f>
        <v>0</v>
      </c>
      <c r="X1688" s="142"/>
    </row>
    <row r="1689" spans="1:24" ht="12.75" customHeight="1" x14ac:dyDescent="0.2">
      <c r="A1689" s="7" t="s">
        <v>294</v>
      </c>
      <c r="B1689" s="7" t="s">
        <v>205</v>
      </c>
      <c r="C1689" s="3"/>
      <c r="D1689" s="3" t="s">
        <v>403</v>
      </c>
      <c r="E1689" s="4"/>
      <c r="F1689" s="3" t="s">
        <v>130</v>
      </c>
      <c r="G1689" s="9"/>
      <c r="H1689" s="9"/>
      <c r="I1689" s="12"/>
      <c r="J1689" s="5" t="e">
        <f>SUM(SUMIFS(#REF!,#REF!,Planning[[#This Row],[Tipo de Tarea y especialidad]],#REF!,Planning[[#This Row],[Proyectos Reiwa]]),SUMIFS(#REF!,#REF!,Planning[[#This Row],[Tipo de Tarea y especialidad]],#REF!,Planning[[#This Row],[Proyectos]]))</f>
        <v>#REF!</v>
      </c>
      <c r="K1689" s="5" t="e">
        <f>Planning[[#This Row],[Horas Planificadas]]+Planning[[#This Row],[Horas ajustadas adicionales]]-Planning[[#This Row],[Horas utilizadas]]</f>
        <v>#REF!</v>
      </c>
      <c r="L1689" s="7"/>
      <c r="M1689" s="19" t="e">
        <f>Planning[[#This Row],[Saldo]]-Planning[[#This Row],[Saldo estimado]]</f>
        <v>#REF!</v>
      </c>
      <c r="N1689" s="60" t="e">
        <f>+SUMIFS(#REF!,#REF!,Planning[[#This Row],[Proyectos]],#REF!,Planning[[#This Row],[Tipo de Tarea y especialidad]])</f>
        <v>#REF!</v>
      </c>
      <c r="O1689" s="19">
        <f t="shared" si="52"/>
        <v>10</v>
      </c>
      <c r="P1689" s="19">
        <f t="shared" si="53"/>
        <v>2024</v>
      </c>
      <c r="Q16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89" s="19" t="str">
        <f>TEXT(Planning[[#This Row],[Mes]]*29,"mmmm")</f>
        <v>October</v>
      </c>
      <c r="S16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89" s="193"/>
      <c r="U1689" s="43">
        <f>IF(Planning[[#This Row],[Horas Planificadas]]&lt;&gt;0,+K1689/Planning[[#This Row],[Horas Planificadas]],0)</f>
        <v>0</v>
      </c>
      <c r="V1689" s="43">
        <f>IF(Planning[[#This Row],[Horas Planificadas]]&lt;&gt;0,Planning[[#This Row],[Horas utilizadas]]/Planning[[#This Row],[Horas Planificadas]],0)</f>
        <v>0</v>
      </c>
      <c r="W1689" s="44">
        <f>Planning[[#This Row],[Horas Planificadas]]+Planning[[#This Row],[Horas ajustadas adicionales]]</f>
        <v>0</v>
      </c>
      <c r="X1689" s="142"/>
    </row>
    <row r="1690" spans="1:24" ht="12.75" customHeight="1" x14ac:dyDescent="0.2">
      <c r="A1690" s="7" t="s">
        <v>294</v>
      </c>
      <c r="B1690" s="7" t="s">
        <v>205</v>
      </c>
      <c r="C1690" s="3"/>
      <c r="D1690" s="3" t="s">
        <v>403</v>
      </c>
      <c r="E1690" s="4"/>
      <c r="F1690" s="3" t="s">
        <v>131</v>
      </c>
      <c r="G1690" s="9"/>
      <c r="H1690" s="9">
        <v>200</v>
      </c>
      <c r="I1690" s="12"/>
      <c r="J1690" s="5" t="e">
        <f>SUM(SUMIFS(#REF!,#REF!,Planning[[#This Row],[Tipo de Tarea y especialidad]],#REF!,Planning[[#This Row],[Proyectos Reiwa]]),SUMIFS(#REF!,#REF!,Planning[[#This Row],[Tipo de Tarea y especialidad]],#REF!,Planning[[#This Row],[Proyectos]]))</f>
        <v>#REF!</v>
      </c>
      <c r="K1690" s="5" t="e">
        <f>Planning[[#This Row],[Horas Planificadas]]+Planning[[#This Row],[Horas ajustadas adicionales]]-Planning[[#This Row],[Horas utilizadas]]</f>
        <v>#REF!</v>
      </c>
      <c r="L1690" s="7">
        <v>0</v>
      </c>
      <c r="M1690" s="19" t="e">
        <f>Planning[[#This Row],[Saldo]]-Planning[[#This Row],[Saldo estimado]]</f>
        <v>#REF!</v>
      </c>
      <c r="N1690" s="60" t="e">
        <f>+SUMIFS(#REF!,#REF!,Planning[[#This Row],[Proyectos]],#REF!,Planning[[#This Row],[Tipo de Tarea y especialidad]])</f>
        <v>#REF!</v>
      </c>
      <c r="O1690" s="19">
        <f t="shared" si="52"/>
        <v>10</v>
      </c>
      <c r="P1690" s="19">
        <f t="shared" si="53"/>
        <v>2024</v>
      </c>
      <c r="Q16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90" s="19" t="str">
        <f>TEXT(Planning[[#This Row],[Mes]]*29,"mmmm")</f>
        <v>October</v>
      </c>
      <c r="S16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90" s="193"/>
      <c r="U1690" s="43" t="e">
        <f>IF(Planning[[#This Row],[Horas Planificadas]]&lt;&gt;0,+K1690/Planning[[#This Row],[Horas Planificadas]],0)</f>
        <v>#REF!</v>
      </c>
      <c r="V1690" s="43" t="e">
        <f>IF(Planning[[#This Row],[Horas Planificadas]]&lt;&gt;0,Planning[[#This Row],[Horas utilizadas]]/Planning[[#This Row],[Horas Planificadas]],0)</f>
        <v>#REF!</v>
      </c>
      <c r="W1690" s="44">
        <f>Planning[[#This Row],[Horas Planificadas]]+Planning[[#This Row],[Horas ajustadas adicionales]]</f>
        <v>200</v>
      </c>
      <c r="X1690" s="142"/>
    </row>
    <row r="1691" spans="1:24" ht="12.75" customHeight="1" x14ac:dyDescent="0.2">
      <c r="A1691" s="7" t="s">
        <v>294</v>
      </c>
      <c r="B1691" s="7" t="s">
        <v>288</v>
      </c>
      <c r="C1691" s="3"/>
      <c r="D1691" s="3" t="s">
        <v>405</v>
      </c>
      <c r="E1691" s="4" t="s">
        <v>28</v>
      </c>
      <c r="F1691" s="3"/>
      <c r="G1691" s="9">
        <v>0</v>
      </c>
      <c r="H1691" s="14">
        <f>SUM(H1692:H1693)</f>
        <v>27</v>
      </c>
      <c r="I1691" s="14"/>
      <c r="J1691" s="14" t="e">
        <f>SUM(J1692:J1693)</f>
        <v>#REF!</v>
      </c>
      <c r="K1691" s="15" t="e">
        <f>SUM(K1692:K1693)</f>
        <v>#REF!</v>
      </c>
      <c r="L1691" s="15">
        <f>SUM(L1692:L1693)</f>
        <v>0</v>
      </c>
      <c r="M1691" s="14" t="e">
        <f>SUM(M1692:M1693)</f>
        <v>#REF!</v>
      </c>
      <c r="N1691" s="66" t="e">
        <f>+SUMIFS(#REF!,#REF!,Planning[[#This Row],[Proyectos]],#REF!,Planning[[#This Row],[Tipo de Tarea y especialidad]])</f>
        <v>#REF!</v>
      </c>
      <c r="O1691" s="14">
        <f t="shared" si="52"/>
        <v>10</v>
      </c>
      <c r="P1691" s="14">
        <f t="shared" si="53"/>
        <v>2024</v>
      </c>
      <c r="Q1691" s="28" t="e">
        <f>SUM(Q1692:Q1693)</f>
        <v>#REF!</v>
      </c>
      <c r="R1691" s="28" t="str">
        <f>TEXT(Planning[[#This Row],[Mes]]*29,"mmmm")</f>
        <v>October</v>
      </c>
      <c r="S16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91" s="207" t="s">
        <v>406</v>
      </c>
      <c r="U1691" s="43" t="e">
        <f>IF(Planning[[#This Row],[Horas Planificadas]]&lt;&gt;0,+K1691/Planning[[#This Row],[Horas Planificadas]],0)</f>
        <v>#REF!</v>
      </c>
      <c r="V1691" s="43" t="e">
        <f>IF(Planning[[#This Row],[Horas Planificadas]]&lt;&gt;0,Planning[[#This Row],[Horas utilizadas]]/Planning[[#This Row],[Horas Planificadas]],0)</f>
        <v>#REF!</v>
      </c>
      <c r="W1691" s="44">
        <f>Planning[[#This Row],[Horas Planificadas]]+Planning[[#This Row],[Horas ajustadas adicionales]]</f>
        <v>27</v>
      </c>
      <c r="X1691" s="142"/>
    </row>
    <row r="1692" spans="1:24" ht="12.75" customHeight="1" x14ac:dyDescent="0.2">
      <c r="A1692" s="7" t="s">
        <v>294</v>
      </c>
      <c r="B1692" s="7" t="s">
        <v>288</v>
      </c>
      <c r="C1692" s="3"/>
      <c r="D1692" s="3" t="s">
        <v>405</v>
      </c>
      <c r="E1692" s="4"/>
      <c r="F1692" s="3" t="s">
        <v>120</v>
      </c>
      <c r="G1692" s="9"/>
      <c r="H1692" s="9">
        <v>27</v>
      </c>
      <c r="I1692" s="12"/>
      <c r="J1692" s="5" t="e">
        <f>SUM(SUMIFS(#REF!,#REF!,Planning[[#This Row],[Tipo de Tarea y especialidad]],#REF!,Planning[[#This Row],[Proyectos Reiwa]]),SUMIFS(#REF!,#REF!,Planning[[#This Row],[Tipo de Tarea y especialidad]],#REF!,Planning[[#This Row],[Proyectos]]))</f>
        <v>#REF!</v>
      </c>
      <c r="K1692" s="5" t="e">
        <f>Planning[[#This Row],[Horas Planificadas]]+Planning[[#This Row],[Horas ajustadas adicionales]]-Planning[[#This Row],[Horas utilizadas]]</f>
        <v>#REF!</v>
      </c>
      <c r="L1692" s="7">
        <v>0</v>
      </c>
      <c r="M1692" s="19" t="e">
        <f>Planning[[#This Row],[Saldo]]-Planning[[#This Row],[Saldo estimado]]</f>
        <v>#REF!</v>
      </c>
      <c r="N1692" s="60" t="e">
        <f>+SUMIFS(#REF!,#REF!,Planning[[#This Row],[Proyectos]],#REF!,Planning[[#This Row],[Tipo de Tarea y especialidad]])</f>
        <v>#REF!</v>
      </c>
      <c r="O1692" s="19">
        <f t="shared" si="52"/>
        <v>10</v>
      </c>
      <c r="P1692" s="19">
        <f t="shared" si="53"/>
        <v>2024</v>
      </c>
      <c r="Q16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92" s="19" t="str">
        <f>TEXT(Planning[[#This Row],[Mes]]*29,"mmmm")</f>
        <v>October</v>
      </c>
      <c r="S16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92" s="208"/>
      <c r="U1692" s="43" t="e">
        <f>IF(Planning[[#This Row],[Horas Planificadas]]&lt;&gt;0,+K1692/Planning[[#This Row],[Horas Planificadas]],0)</f>
        <v>#REF!</v>
      </c>
      <c r="V1692" s="43" t="e">
        <f>IF(Planning[[#This Row],[Horas Planificadas]]&lt;&gt;0,Planning[[#This Row],[Horas utilizadas]]/Planning[[#This Row],[Horas Planificadas]],0)</f>
        <v>#REF!</v>
      </c>
      <c r="W1692" s="44">
        <f>Planning[[#This Row],[Horas Planificadas]]+Planning[[#This Row],[Horas ajustadas adicionales]]</f>
        <v>27</v>
      </c>
      <c r="X1692" s="142"/>
    </row>
    <row r="1693" spans="1:24" ht="12.75" customHeight="1" x14ac:dyDescent="0.2">
      <c r="A1693" s="7" t="s">
        <v>294</v>
      </c>
      <c r="B1693" s="7" t="s">
        <v>288</v>
      </c>
      <c r="C1693" s="3"/>
      <c r="D1693" s="3" t="s">
        <v>405</v>
      </c>
      <c r="E1693" s="4"/>
      <c r="F1693" s="3" t="s">
        <v>121</v>
      </c>
      <c r="G1693" s="9"/>
      <c r="H1693" s="9"/>
      <c r="I1693" s="12"/>
      <c r="J1693" s="5" t="e">
        <f>SUM(SUMIFS(#REF!,#REF!,Planning[[#This Row],[Tipo de Tarea y especialidad]],#REF!,Planning[[#This Row],[Proyectos Reiwa]]),SUMIFS(#REF!,#REF!,Planning[[#This Row],[Tipo de Tarea y especialidad]],#REF!,Planning[[#This Row],[Proyectos]]))</f>
        <v>#REF!</v>
      </c>
      <c r="K1693" s="5" t="e">
        <f>Planning[[#This Row],[Horas Planificadas]]+Planning[[#This Row],[Horas ajustadas adicionales]]-Planning[[#This Row],[Horas utilizadas]]</f>
        <v>#REF!</v>
      </c>
      <c r="L1693" s="7"/>
      <c r="M1693" s="19" t="e">
        <f>Planning[[#This Row],[Saldo]]-Planning[[#This Row],[Saldo estimado]]</f>
        <v>#REF!</v>
      </c>
      <c r="N1693" s="60" t="e">
        <f>+SUMIFS(#REF!,#REF!,Planning[[#This Row],[Proyectos]],#REF!,Planning[[#This Row],[Tipo de Tarea y especialidad]])</f>
        <v>#REF!</v>
      </c>
      <c r="O1693" s="19">
        <f t="shared" si="52"/>
        <v>10</v>
      </c>
      <c r="P1693" s="19">
        <f t="shared" si="53"/>
        <v>2024</v>
      </c>
      <c r="Q16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93" s="19" t="str">
        <f>TEXT(Planning[[#This Row],[Mes]]*29,"mmmm")</f>
        <v>October</v>
      </c>
      <c r="S16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93" s="208"/>
      <c r="U1693" s="43">
        <f>IF(Planning[[#This Row],[Horas Planificadas]]&lt;&gt;0,+K1693/Planning[[#This Row],[Horas Planificadas]],0)</f>
        <v>0</v>
      </c>
      <c r="V1693" s="43">
        <f>IF(Planning[[#This Row],[Horas Planificadas]]&lt;&gt;0,Planning[[#This Row],[Horas utilizadas]]/Planning[[#This Row],[Horas Planificadas]],0)</f>
        <v>0</v>
      </c>
      <c r="W1693" s="44">
        <f>Planning[[#This Row],[Horas Planificadas]]+Planning[[#This Row],[Horas ajustadas adicionales]]</f>
        <v>0</v>
      </c>
      <c r="X1693" s="142"/>
    </row>
    <row r="1694" spans="1:24" ht="12.75" customHeight="1" x14ac:dyDescent="0.2">
      <c r="A1694" s="7" t="s">
        <v>294</v>
      </c>
      <c r="B1694" s="7" t="s">
        <v>288</v>
      </c>
      <c r="C1694" s="3"/>
      <c r="D1694" s="3" t="s">
        <v>405</v>
      </c>
      <c r="E1694" s="4" t="s">
        <v>30</v>
      </c>
      <c r="F1694" s="3"/>
      <c r="G1694" s="9">
        <v>40</v>
      </c>
      <c r="H1694" s="14">
        <f>SUM(H1695:H1701)</f>
        <v>220</v>
      </c>
      <c r="I1694" s="14"/>
      <c r="J1694" s="14" t="e">
        <f>SUM(J1695:J1701)</f>
        <v>#REF!</v>
      </c>
      <c r="K1694" s="15" t="e">
        <f>SUM(K1695:K1701)</f>
        <v>#REF!</v>
      </c>
      <c r="L1694" s="15">
        <f>SUM(L1695:L1701)</f>
        <v>0</v>
      </c>
      <c r="M1694" s="16" t="e">
        <f>SUM(M1695:M1701)</f>
        <v>#REF!</v>
      </c>
      <c r="N1694" s="60" t="e">
        <f>+SUMIFS(#REF!,#REF!,Planning[[#This Row],[Proyectos]],#REF!,Planning[[#This Row],[Tipo de Tarea y especialidad]])</f>
        <v>#REF!</v>
      </c>
      <c r="O1694" s="16">
        <f t="shared" si="52"/>
        <v>10</v>
      </c>
      <c r="P1694" s="16">
        <f t="shared" si="53"/>
        <v>2024</v>
      </c>
      <c r="Q1694" s="16" t="e">
        <f>SUM(Q1695:Q1701)</f>
        <v>#REF!</v>
      </c>
      <c r="R1694" s="16" t="str">
        <f>TEXT(Planning[[#This Row],[Mes]]*29,"mmmm")</f>
        <v>October</v>
      </c>
      <c r="S16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94" s="208"/>
      <c r="U1694" s="43" t="e">
        <f>IF(Planning[[#This Row],[Horas Planificadas]]&lt;&gt;0,+K1694/Planning[[#This Row],[Horas Planificadas]],0)</f>
        <v>#REF!</v>
      </c>
      <c r="V1694" s="43" t="e">
        <f>IF(Planning[[#This Row],[Horas Planificadas]]&lt;&gt;0,Planning[[#This Row],[Horas utilizadas]]/Planning[[#This Row],[Horas Planificadas]],0)</f>
        <v>#REF!</v>
      </c>
      <c r="W1694" s="44">
        <f>Planning[[#This Row],[Horas Planificadas]]+Planning[[#This Row],[Horas ajustadas adicionales]]</f>
        <v>220</v>
      </c>
      <c r="X1694" s="142"/>
    </row>
    <row r="1695" spans="1:24" ht="12.75" customHeight="1" x14ac:dyDescent="0.2">
      <c r="A1695" s="7" t="s">
        <v>294</v>
      </c>
      <c r="B1695" s="7" t="s">
        <v>288</v>
      </c>
      <c r="C1695" s="3"/>
      <c r="D1695" s="3" t="s">
        <v>405</v>
      </c>
      <c r="E1695" s="4"/>
      <c r="F1695" s="3" t="s">
        <v>122</v>
      </c>
      <c r="G1695" s="9"/>
      <c r="H1695" s="9"/>
      <c r="I1695" s="12"/>
      <c r="J1695" s="5" t="e">
        <f>SUM(SUMIFS(#REF!,#REF!,Planning[[#This Row],[Tipo de Tarea y especialidad]],#REF!,Planning[[#This Row],[Proyectos Reiwa]]),SUMIFS(#REF!,#REF!,Planning[[#This Row],[Tipo de Tarea y especialidad]],#REF!,Planning[[#This Row],[Proyectos]]))</f>
        <v>#REF!</v>
      </c>
      <c r="K1695" s="5" t="e">
        <f>Planning[[#This Row],[Horas Planificadas]]+Planning[[#This Row],[Horas ajustadas adicionales]]-Planning[[#This Row],[Horas utilizadas]]</f>
        <v>#REF!</v>
      </c>
      <c r="L1695" s="7"/>
      <c r="M1695" s="19" t="e">
        <f>Planning[[#This Row],[Saldo]]-Planning[[#This Row],[Saldo estimado]]</f>
        <v>#REF!</v>
      </c>
      <c r="N1695" s="60" t="e">
        <f>+SUMIFS(#REF!,#REF!,Planning[[#This Row],[Proyectos]],#REF!,Planning[[#This Row],[Tipo de Tarea y especialidad]])</f>
        <v>#REF!</v>
      </c>
      <c r="O1695" s="19">
        <f t="shared" si="52"/>
        <v>10</v>
      </c>
      <c r="P1695" s="19">
        <f t="shared" si="53"/>
        <v>2024</v>
      </c>
      <c r="Q16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95" s="19" t="str">
        <f>TEXT(Planning[[#This Row],[Mes]]*29,"mmmm")</f>
        <v>October</v>
      </c>
      <c r="S16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95" s="208"/>
      <c r="U1695" s="43">
        <f>IF(Planning[[#This Row],[Horas Planificadas]]&lt;&gt;0,+K1695/Planning[[#This Row],[Horas Planificadas]],0)</f>
        <v>0</v>
      </c>
      <c r="V1695" s="43">
        <f>IF(Planning[[#This Row],[Horas Planificadas]]&lt;&gt;0,Planning[[#This Row],[Horas utilizadas]]/Planning[[#This Row],[Horas Planificadas]],0)</f>
        <v>0</v>
      </c>
      <c r="W1695" s="44">
        <f>Planning[[#This Row],[Horas Planificadas]]+Planning[[#This Row],[Horas ajustadas adicionales]]</f>
        <v>0</v>
      </c>
      <c r="X1695" s="142"/>
    </row>
    <row r="1696" spans="1:24" ht="12.75" customHeight="1" x14ac:dyDescent="0.2">
      <c r="A1696" s="7" t="s">
        <v>294</v>
      </c>
      <c r="B1696" s="7" t="s">
        <v>288</v>
      </c>
      <c r="C1696" s="3"/>
      <c r="D1696" s="3" t="s">
        <v>405</v>
      </c>
      <c r="E1696" s="4"/>
      <c r="F1696" s="3" t="s">
        <v>123</v>
      </c>
      <c r="G1696" s="9"/>
      <c r="H1696" s="9"/>
      <c r="I1696" s="12"/>
      <c r="J1696" s="5" t="e">
        <f>SUM(SUMIFS(#REF!,#REF!,Planning[[#This Row],[Tipo de Tarea y especialidad]],#REF!,Planning[[#This Row],[Proyectos Reiwa]]),SUMIFS(#REF!,#REF!,Planning[[#This Row],[Tipo de Tarea y especialidad]],#REF!,Planning[[#This Row],[Proyectos]]))</f>
        <v>#REF!</v>
      </c>
      <c r="K1696" s="5" t="e">
        <f>Planning[[#This Row],[Horas Planificadas]]+Planning[[#This Row],[Horas ajustadas adicionales]]-Planning[[#This Row],[Horas utilizadas]]</f>
        <v>#REF!</v>
      </c>
      <c r="L1696" s="7"/>
      <c r="M1696" s="19" t="e">
        <f>Planning[[#This Row],[Saldo]]-Planning[[#This Row],[Saldo estimado]]</f>
        <v>#REF!</v>
      </c>
      <c r="N1696" s="60" t="e">
        <f>+SUMIFS(#REF!,#REF!,Planning[[#This Row],[Proyectos]],#REF!,Planning[[#This Row],[Tipo de Tarea y especialidad]])</f>
        <v>#REF!</v>
      </c>
      <c r="O1696" s="19">
        <f t="shared" si="52"/>
        <v>10</v>
      </c>
      <c r="P1696" s="19">
        <f t="shared" si="53"/>
        <v>2024</v>
      </c>
      <c r="Q16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96" s="19" t="str">
        <f>TEXT(Planning[[#This Row],[Mes]]*29,"mmmm")</f>
        <v>October</v>
      </c>
      <c r="S16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96" s="208"/>
      <c r="U1696" s="43">
        <f>IF(Planning[[#This Row],[Horas Planificadas]]&lt;&gt;0,+K1696/Planning[[#This Row],[Horas Planificadas]],0)</f>
        <v>0</v>
      </c>
      <c r="V1696" s="43">
        <f>IF(Planning[[#This Row],[Horas Planificadas]]&lt;&gt;0,Planning[[#This Row],[Horas utilizadas]]/Planning[[#This Row],[Horas Planificadas]],0)</f>
        <v>0</v>
      </c>
      <c r="W1696" s="44">
        <f>Planning[[#This Row],[Horas Planificadas]]+Planning[[#This Row],[Horas ajustadas adicionales]]</f>
        <v>0</v>
      </c>
      <c r="X1696" s="142"/>
    </row>
    <row r="1697" spans="1:24" ht="12.75" customHeight="1" x14ac:dyDescent="0.2">
      <c r="A1697" s="7" t="s">
        <v>294</v>
      </c>
      <c r="B1697" s="7" t="s">
        <v>288</v>
      </c>
      <c r="C1697" s="3"/>
      <c r="D1697" s="3" t="s">
        <v>405</v>
      </c>
      <c r="E1697" s="4"/>
      <c r="F1697" s="3" t="s">
        <v>124</v>
      </c>
      <c r="G1697" s="9"/>
      <c r="H1697" s="9">
        <v>220</v>
      </c>
      <c r="I1697" s="12"/>
      <c r="J1697" s="5" t="e">
        <f>SUM(SUMIFS(#REF!,#REF!,Planning[[#This Row],[Tipo de Tarea y especialidad]],#REF!,Planning[[#This Row],[Proyectos Reiwa]]),SUMIFS(#REF!,#REF!,Planning[[#This Row],[Tipo de Tarea y especialidad]],#REF!,Planning[[#This Row],[Proyectos]]))</f>
        <v>#REF!</v>
      </c>
      <c r="K1697" s="5" t="e">
        <f>Planning[[#This Row],[Horas Planificadas]]+Planning[[#This Row],[Horas ajustadas adicionales]]-Planning[[#This Row],[Horas utilizadas]]</f>
        <v>#REF!</v>
      </c>
      <c r="L1697" s="7">
        <v>0</v>
      </c>
      <c r="M1697" s="19" t="e">
        <f>Planning[[#This Row],[Saldo]]-Planning[[#This Row],[Saldo estimado]]</f>
        <v>#REF!</v>
      </c>
      <c r="N1697" s="60" t="e">
        <f>+SUMIFS(#REF!,#REF!,Planning[[#This Row],[Proyectos]],#REF!,Planning[[#This Row],[Tipo de Tarea y especialidad]])</f>
        <v>#REF!</v>
      </c>
      <c r="O1697" s="19">
        <f t="shared" si="52"/>
        <v>10</v>
      </c>
      <c r="P1697" s="19">
        <f t="shared" si="53"/>
        <v>2024</v>
      </c>
      <c r="Q16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97" s="19" t="str">
        <f>TEXT(Planning[[#This Row],[Mes]]*29,"mmmm")</f>
        <v>October</v>
      </c>
      <c r="S16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97" s="208"/>
      <c r="U1697" s="43" t="e">
        <f>IF(Planning[[#This Row],[Horas Planificadas]]&lt;&gt;0,+K1697/Planning[[#This Row],[Horas Planificadas]],0)</f>
        <v>#REF!</v>
      </c>
      <c r="V1697" s="43" t="e">
        <f>IF(Planning[[#This Row],[Horas Planificadas]]&lt;&gt;0,Planning[[#This Row],[Horas utilizadas]]/Planning[[#This Row],[Horas Planificadas]],0)</f>
        <v>#REF!</v>
      </c>
      <c r="W1697" s="44">
        <f>Planning[[#This Row],[Horas Planificadas]]+Planning[[#This Row],[Horas ajustadas adicionales]]</f>
        <v>220</v>
      </c>
      <c r="X1697" s="142"/>
    </row>
    <row r="1698" spans="1:24" ht="12.75" customHeight="1" x14ac:dyDescent="0.2">
      <c r="A1698" s="7" t="s">
        <v>294</v>
      </c>
      <c r="B1698" s="7" t="s">
        <v>288</v>
      </c>
      <c r="C1698" s="3"/>
      <c r="D1698" s="3" t="s">
        <v>405</v>
      </c>
      <c r="E1698" s="4"/>
      <c r="F1698" s="3" t="s">
        <v>125</v>
      </c>
      <c r="G1698" s="9"/>
      <c r="H1698" s="9"/>
      <c r="I1698" s="12"/>
      <c r="J1698" s="5" t="e">
        <f>SUM(SUMIFS(#REF!,#REF!,Planning[[#This Row],[Tipo de Tarea y especialidad]],#REF!,Planning[[#This Row],[Proyectos Reiwa]]),SUMIFS(#REF!,#REF!,Planning[[#This Row],[Tipo de Tarea y especialidad]],#REF!,Planning[[#This Row],[Proyectos]]))</f>
        <v>#REF!</v>
      </c>
      <c r="K1698" s="5" t="e">
        <f>Planning[[#This Row],[Horas Planificadas]]+Planning[[#This Row],[Horas ajustadas adicionales]]-Planning[[#This Row],[Horas utilizadas]]</f>
        <v>#REF!</v>
      </c>
      <c r="L1698" s="7">
        <v>0</v>
      </c>
      <c r="M1698" s="19" t="e">
        <f>Planning[[#This Row],[Saldo]]-Planning[[#This Row],[Saldo estimado]]</f>
        <v>#REF!</v>
      </c>
      <c r="N1698" s="60" t="e">
        <f>+SUMIFS(#REF!,#REF!,Planning[[#This Row],[Proyectos]],#REF!,Planning[[#This Row],[Tipo de Tarea y especialidad]])</f>
        <v>#REF!</v>
      </c>
      <c r="O1698" s="19">
        <f t="shared" si="52"/>
        <v>10</v>
      </c>
      <c r="P1698" s="19">
        <f t="shared" si="53"/>
        <v>2024</v>
      </c>
      <c r="Q16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98" s="19" t="str">
        <f>TEXT(Planning[[#This Row],[Mes]]*29,"mmmm")</f>
        <v>October</v>
      </c>
      <c r="S16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98" s="208"/>
      <c r="U1698" s="43">
        <f>IF(Planning[[#This Row],[Horas Planificadas]]&lt;&gt;0,+K1698/Planning[[#This Row],[Horas Planificadas]],0)</f>
        <v>0</v>
      </c>
      <c r="V1698" s="43">
        <f>IF(Planning[[#This Row],[Horas Planificadas]]&lt;&gt;0,Planning[[#This Row],[Horas utilizadas]]/Planning[[#This Row],[Horas Planificadas]],0)</f>
        <v>0</v>
      </c>
      <c r="W1698" s="44">
        <f>Planning[[#This Row],[Horas Planificadas]]+Planning[[#This Row],[Horas ajustadas adicionales]]</f>
        <v>0</v>
      </c>
      <c r="X1698" s="142"/>
    </row>
    <row r="1699" spans="1:24" ht="12.75" customHeight="1" x14ac:dyDescent="0.2">
      <c r="A1699" s="7" t="s">
        <v>294</v>
      </c>
      <c r="B1699" s="7" t="s">
        <v>288</v>
      </c>
      <c r="C1699" s="3"/>
      <c r="D1699" s="3" t="s">
        <v>405</v>
      </c>
      <c r="E1699" s="4"/>
      <c r="F1699" s="3" t="s">
        <v>126</v>
      </c>
      <c r="G1699" s="9"/>
      <c r="H1699" s="9"/>
      <c r="I1699" s="12"/>
      <c r="J1699" s="5" t="e">
        <f>SUM(SUMIFS(#REF!,#REF!,Planning[[#This Row],[Tipo de Tarea y especialidad]],#REF!,Planning[[#This Row],[Proyectos Reiwa]]),SUMIFS(#REF!,#REF!,Planning[[#This Row],[Tipo de Tarea y especialidad]],#REF!,Planning[[#This Row],[Proyectos]]))</f>
        <v>#REF!</v>
      </c>
      <c r="K1699" s="5" t="e">
        <f>Planning[[#This Row],[Horas Planificadas]]+Planning[[#This Row],[Horas ajustadas adicionales]]-Planning[[#This Row],[Horas utilizadas]]</f>
        <v>#REF!</v>
      </c>
      <c r="L1699" s="7"/>
      <c r="M1699" s="19" t="e">
        <f>Planning[[#This Row],[Saldo]]-Planning[[#This Row],[Saldo estimado]]</f>
        <v>#REF!</v>
      </c>
      <c r="N1699" s="60" t="e">
        <f>+SUMIFS(#REF!,#REF!,Planning[[#This Row],[Proyectos]],#REF!,Planning[[#This Row],[Tipo de Tarea y especialidad]])</f>
        <v>#REF!</v>
      </c>
      <c r="O1699" s="19">
        <f t="shared" si="52"/>
        <v>10</v>
      </c>
      <c r="P1699" s="19">
        <f t="shared" si="53"/>
        <v>2024</v>
      </c>
      <c r="Q16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699" s="19" t="str">
        <f>TEXT(Planning[[#This Row],[Mes]]*29,"mmmm")</f>
        <v>October</v>
      </c>
      <c r="S16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699" s="208"/>
      <c r="U1699" s="43">
        <f>IF(Planning[[#This Row],[Horas Planificadas]]&lt;&gt;0,+K1699/Planning[[#This Row],[Horas Planificadas]],0)</f>
        <v>0</v>
      </c>
      <c r="V1699" s="43">
        <f>IF(Planning[[#This Row],[Horas Planificadas]]&lt;&gt;0,Planning[[#This Row],[Horas utilizadas]]/Planning[[#This Row],[Horas Planificadas]],0)</f>
        <v>0</v>
      </c>
      <c r="W1699" s="44">
        <f>Planning[[#This Row],[Horas Planificadas]]+Planning[[#This Row],[Horas ajustadas adicionales]]</f>
        <v>0</v>
      </c>
      <c r="X1699" s="142"/>
    </row>
    <row r="1700" spans="1:24" ht="12.75" customHeight="1" x14ac:dyDescent="0.2">
      <c r="A1700" s="7" t="s">
        <v>294</v>
      </c>
      <c r="B1700" s="7" t="s">
        <v>288</v>
      </c>
      <c r="C1700" s="3"/>
      <c r="D1700" s="3" t="s">
        <v>405</v>
      </c>
      <c r="E1700" s="4"/>
      <c r="F1700" s="3" t="s">
        <v>127</v>
      </c>
      <c r="G1700" s="9"/>
      <c r="H1700" s="9"/>
      <c r="I1700" s="12"/>
      <c r="J1700" s="5" t="e">
        <f>SUM(SUMIFS(#REF!,#REF!,Planning[[#This Row],[Tipo de Tarea y especialidad]],#REF!,Planning[[#This Row],[Proyectos Reiwa]]),SUMIFS(#REF!,#REF!,Planning[[#This Row],[Tipo de Tarea y especialidad]],#REF!,Planning[[#This Row],[Proyectos]]))</f>
        <v>#REF!</v>
      </c>
      <c r="K1700" s="5" t="e">
        <f>Planning[[#This Row],[Horas Planificadas]]+Planning[[#This Row],[Horas ajustadas adicionales]]-Planning[[#This Row],[Horas utilizadas]]</f>
        <v>#REF!</v>
      </c>
      <c r="L1700" s="7"/>
      <c r="M1700" s="19" t="e">
        <f>Planning[[#This Row],[Saldo]]-Planning[[#This Row],[Saldo estimado]]</f>
        <v>#REF!</v>
      </c>
      <c r="N1700" s="60" t="e">
        <f>+SUMIFS(#REF!,#REF!,Planning[[#This Row],[Proyectos]],#REF!,Planning[[#This Row],[Tipo de Tarea y especialidad]])</f>
        <v>#REF!</v>
      </c>
      <c r="O1700" s="19">
        <f t="shared" si="52"/>
        <v>10</v>
      </c>
      <c r="P1700" s="19">
        <f t="shared" si="53"/>
        <v>2024</v>
      </c>
      <c r="Q17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00" s="19" t="str">
        <f>TEXT(Planning[[#This Row],[Mes]]*29,"mmmm")</f>
        <v>October</v>
      </c>
      <c r="S17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00" s="208"/>
      <c r="U1700" s="43">
        <f>IF(Planning[[#This Row],[Horas Planificadas]]&lt;&gt;0,+K1700/Planning[[#This Row],[Horas Planificadas]],0)</f>
        <v>0</v>
      </c>
      <c r="V1700" s="43">
        <f>IF(Planning[[#This Row],[Horas Planificadas]]&lt;&gt;0,Planning[[#This Row],[Horas utilizadas]]/Planning[[#This Row],[Horas Planificadas]],0)</f>
        <v>0</v>
      </c>
      <c r="W1700" s="44">
        <f>Planning[[#This Row],[Horas Planificadas]]+Planning[[#This Row],[Horas ajustadas adicionales]]</f>
        <v>0</v>
      </c>
      <c r="X1700" s="142"/>
    </row>
    <row r="1701" spans="1:24" ht="12.75" customHeight="1" x14ac:dyDescent="0.2">
      <c r="A1701" s="7" t="s">
        <v>294</v>
      </c>
      <c r="B1701" s="7" t="s">
        <v>288</v>
      </c>
      <c r="C1701" s="3"/>
      <c r="D1701" s="3" t="s">
        <v>405</v>
      </c>
      <c r="E1701" s="4"/>
      <c r="F1701" s="3" t="s">
        <v>128</v>
      </c>
      <c r="G1701" s="9"/>
      <c r="H1701" s="9"/>
      <c r="I1701" s="12"/>
      <c r="J1701" s="5" t="e">
        <f>SUM(SUMIFS(#REF!,#REF!,Planning[[#This Row],[Tipo de Tarea y especialidad]],#REF!,Planning[[#This Row],[Proyectos Reiwa]]),SUMIFS(#REF!,#REF!,Planning[[#This Row],[Tipo de Tarea y especialidad]],#REF!,Planning[[#This Row],[Proyectos]]))</f>
        <v>#REF!</v>
      </c>
      <c r="K1701" s="5" t="e">
        <f>Planning[[#This Row],[Horas Planificadas]]+Planning[[#This Row],[Horas ajustadas adicionales]]-Planning[[#This Row],[Horas utilizadas]]</f>
        <v>#REF!</v>
      </c>
      <c r="L1701" s="7"/>
      <c r="M1701" s="19" t="e">
        <f>Planning[[#This Row],[Saldo]]-Planning[[#This Row],[Saldo estimado]]</f>
        <v>#REF!</v>
      </c>
      <c r="N1701" s="60" t="e">
        <f>+SUMIFS(#REF!,#REF!,Planning[[#This Row],[Proyectos]],#REF!,Planning[[#This Row],[Tipo de Tarea y especialidad]])</f>
        <v>#REF!</v>
      </c>
      <c r="O1701" s="19">
        <f t="shared" si="52"/>
        <v>10</v>
      </c>
      <c r="P1701" s="19">
        <f t="shared" si="53"/>
        <v>2024</v>
      </c>
      <c r="Q17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01" s="19" t="str">
        <f>TEXT(Planning[[#This Row],[Mes]]*29,"mmmm")</f>
        <v>October</v>
      </c>
      <c r="S17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01" s="208"/>
      <c r="U1701" s="43">
        <f>IF(Planning[[#This Row],[Horas Planificadas]]&lt;&gt;0,+K1701/Planning[[#This Row],[Horas Planificadas]],0)</f>
        <v>0</v>
      </c>
      <c r="V1701" s="43">
        <f>IF(Planning[[#This Row],[Horas Planificadas]]&lt;&gt;0,Planning[[#This Row],[Horas utilizadas]]/Planning[[#This Row],[Horas Planificadas]],0)</f>
        <v>0</v>
      </c>
      <c r="W1701" s="44">
        <f>Planning[[#This Row],[Horas Planificadas]]+Planning[[#This Row],[Horas ajustadas adicionales]]</f>
        <v>0</v>
      </c>
      <c r="X1701" s="142"/>
    </row>
    <row r="1702" spans="1:24" ht="12.75" customHeight="1" x14ac:dyDescent="0.2">
      <c r="A1702" s="7" t="s">
        <v>294</v>
      </c>
      <c r="B1702" s="7" t="s">
        <v>288</v>
      </c>
      <c r="C1702" s="3"/>
      <c r="D1702" s="3" t="s">
        <v>405</v>
      </c>
      <c r="E1702" s="4" t="s">
        <v>31</v>
      </c>
      <c r="F1702" s="3" t="s">
        <v>31</v>
      </c>
      <c r="G1702" s="9">
        <v>40</v>
      </c>
      <c r="H1702" s="17">
        <v>40</v>
      </c>
      <c r="I1702" s="18"/>
      <c r="J1702" s="14" t="e">
        <f>+SUMIFS(#REF!,#REF!,Planning[[#This Row],[Tarifa]],#REF!,Planning[[#This Row],[Proyectos]])</f>
        <v>#REF!</v>
      </c>
      <c r="K1702" s="14" t="e">
        <f>Planning[[#This Row],[Horas Planificadas]]+Planning[[#This Row],[Horas ajustadas adicionales]]-Planning[[#This Row],[Horas utilizadas]]</f>
        <v>#REF!</v>
      </c>
      <c r="L1702" s="15">
        <v>0</v>
      </c>
      <c r="M1702" s="16" t="e">
        <f>Planning[[#This Row],[Saldo]]-Planning[[#This Row],[Saldo estimado]]</f>
        <v>#REF!</v>
      </c>
      <c r="N1702" s="60" t="e">
        <f>+SUMIFS(#REF!,#REF!,Planning[[#This Row],[Proyectos]],#REF!,Planning[[#This Row],[Tipo de Tarea y especialidad]])</f>
        <v>#REF!</v>
      </c>
      <c r="O1702" s="16">
        <f t="shared" si="52"/>
        <v>10</v>
      </c>
      <c r="P1702" s="16">
        <f t="shared" si="53"/>
        <v>2024</v>
      </c>
      <c r="Q1702" s="16" t="e">
        <f>+SUMIFS(#REF!,#REF!,Planning[[#This Row],[Tarifa]],#REF!,Planning[[#This Row],[Proyectos]],#REF!,Planning[[#This Row],[Mes]],#REF!,Planning[[#This Row],[Año]])</f>
        <v>#REF!</v>
      </c>
      <c r="R1702" s="16" t="str">
        <f>TEXT(Planning[[#This Row],[Mes]]*29,"mmmm")</f>
        <v>October</v>
      </c>
      <c r="S17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02" s="208"/>
      <c r="U1702" s="43" t="e">
        <f>IF(Planning[[#This Row],[Horas Planificadas]]&lt;&gt;0,+K1702/Planning[[#This Row],[Horas Planificadas]],0)</f>
        <v>#REF!</v>
      </c>
      <c r="V1702" s="43" t="e">
        <f>IF(Planning[[#This Row],[Horas Planificadas]]&lt;&gt;0,Planning[[#This Row],[Horas utilizadas]]/Planning[[#This Row],[Horas Planificadas]],0)</f>
        <v>#REF!</v>
      </c>
      <c r="W1702" s="44">
        <f>Planning[[#This Row],[Horas Planificadas]]+Planning[[#This Row],[Horas ajustadas adicionales]]</f>
        <v>40</v>
      </c>
      <c r="X1702" s="142"/>
    </row>
    <row r="1703" spans="1:24" ht="12.75" customHeight="1" x14ac:dyDescent="0.2">
      <c r="A1703" s="7" t="s">
        <v>294</v>
      </c>
      <c r="B1703" s="7" t="s">
        <v>288</v>
      </c>
      <c r="C1703" s="3"/>
      <c r="D1703" s="3" t="s">
        <v>405</v>
      </c>
      <c r="E1703" s="4" t="s">
        <v>32</v>
      </c>
      <c r="F1703" s="3"/>
      <c r="G1703" s="9">
        <v>63</v>
      </c>
      <c r="H1703" s="14">
        <f>SUM(H1704:H1706)</f>
        <v>100</v>
      </c>
      <c r="I1703" s="14"/>
      <c r="J1703" s="14" t="e">
        <f>SUM(J1704:J1706)</f>
        <v>#REF!</v>
      </c>
      <c r="K1703" s="15" t="e">
        <f>SUM(K1704:K1706)</f>
        <v>#REF!</v>
      </c>
      <c r="L1703" s="15">
        <f>SUM(L1704:L1706)</f>
        <v>0</v>
      </c>
      <c r="M1703" s="16" t="e">
        <f>SUM(M1704:M1706)</f>
        <v>#REF!</v>
      </c>
      <c r="N1703" s="60" t="e">
        <f>+SUMIFS(#REF!,#REF!,Planning[[#This Row],[Proyectos]],#REF!,Planning[[#This Row],[Tipo de Tarea y especialidad]])</f>
        <v>#REF!</v>
      </c>
      <c r="O1703" s="16">
        <f t="shared" si="52"/>
        <v>10</v>
      </c>
      <c r="P1703" s="16">
        <f t="shared" si="53"/>
        <v>2024</v>
      </c>
      <c r="Q1703" s="16" t="e">
        <f>SUM(Q1704:Q1706)</f>
        <v>#REF!</v>
      </c>
      <c r="R1703" s="16" t="str">
        <f>TEXT(Planning[[#This Row],[Mes]]*29,"mmmm")</f>
        <v>October</v>
      </c>
      <c r="S17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03" s="208"/>
      <c r="U1703" s="43" t="e">
        <f>IF(Planning[[#This Row],[Horas Planificadas]]&lt;&gt;0,+K1703/Planning[[#This Row],[Horas Planificadas]],0)</f>
        <v>#REF!</v>
      </c>
      <c r="V1703" s="43" t="e">
        <f>IF(Planning[[#This Row],[Horas Planificadas]]&lt;&gt;0,Planning[[#This Row],[Horas utilizadas]]/Planning[[#This Row],[Horas Planificadas]],0)</f>
        <v>#REF!</v>
      </c>
      <c r="W1703" s="44">
        <f>Planning[[#This Row],[Horas Planificadas]]+Planning[[#This Row],[Horas ajustadas adicionales]]</f>
        <v>100</v>
      </c>
      <c r="X1703" s="142"/>
    </row>
    <row r="1704" spans="1:24" ht="12.75" customHeight="1" x14ac:dyDescent="0.2">
      <c r="A1704" s="7" t="s">
        <v>294</v>
      </c>
      <c r="B1704" s="7" t="s">
        <v>288</v>
      </c>
      <c r="C1704" s="3"/>
      <c r="D1704" s="3" t="s">
        <v>405</v>
      </c>
      <c r="E1704" s="4"/>
      <c r="F1704" s="3" t="s">
        <v>129</v>
      </c>
      <c r="G1704" s="9"/>
      <c r="H1704" s="9"/>
      <c r="I1704" s="12"/>
      <c r="J1704" s="5" t="e">
        <f>SUM(SUMIFS(#REF!,#REF!,Planning[[#This Row],[Tipo de Tarea y especialidad]],#REF!,Planning[[#This Row],[Proyectos Reiwa]]),SUMIFS(#REF!,#REF!,Planning[[#This Row],[Tipo de Tarea y especialidad]],#REF!,Planning[[#This Row],[Proyectos]]))</f>
        <v>#REF!</v>
      </c>
      <c r="K1704" s="5" t="e">
        <f>Planning[[#This Row],[Horas Planificadas]]+Planning[[#This Row],[Horas ajustadas adicionales]]-Planning[[#This Row],[Horas utilizadas]]</f>
        <v>#REF!</v>
      </c>
      <c r="L1704" s="7"/>
      <c r="M1704" s="19" t="e">
        <f>Planning[[#This Row],[Saldo]]-Planning[[#This Row],[Saldo estimado]]</f>
        <v>#REF!</v>
      </c>
      <c r="N1704" s="60" t="e">
        <f>+SUMIFS(#REF!,#REF!,Planning[[#This Row],[Proyectos]],#REF!,Planning[[#This Row],[Tipo de Tarea y especialidad]])</f>
        <v>#REF!</v>
      </c>
      <c r="O1704" s="19">
        <f t="shared" si="52"/>
        <v>10</v>
      </c>
      <c r="P1704" s="19">
        <f t="shared" si="53"/>
        <v>2024</v>
      </c>
      <c r="Q17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04" s="19" t="str">
        <f>TEXT(Planning[[#This Row],[Mes]]*29,"mmmm")</f>
        <v>October</v>
      </c>
      <c r="S17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04" s="208"/>
      <c r="U1704" s="43">
        <f>IF(Planning[[#This Row],[Horas Planificadas]]&lt;&gt;0,+K1704/Planning[[#This Row],[Horas Planificadas]],0)</f>
        <v>0</v>
      </c>
      <c r="V1704" s="43">
        <f>IF(Planning[[#This Row],[Horas Planificadas]]&lt;&gt;0,Planning[[#This Row],[Horas utilizadas]]/Planning[[#This Row],[Horas Planificadas]],0)</f>
        <v>0</v>
      </c>
      <c r="W1704" s="44">
        <f>Planning[[#This Row],[Horas Planificadas]]+Planning[[#This Row],[Horas ajustadas adicionales]]</f>
        <v>0</v>
      </c>
      <c r="X1704" s="142"/>
    </row>
    <row r="1705" spans="1:24" ht="12.75" customHeight="1" x14ac:dyDescent="0.2">
      <c r="A1705" s="7" t="s">
        <v>294</v>
      </c>
      <c r="B1705" s="7" t="s">
        <v>288</v>
      </c>
      <c r="C1705" s="3"/>
      <c r="D1705" s="3" t="s">
        <v>405</v>
      </c>
      <c r="E1705" s="4"/>
      <c r="F1705" s="3" t="s">
        <v>130</v>
      </c>
      <c r="G1705" s="9"/>
      <c r="H1705" s="9"/>
      <c r="I1705" s="12"/>
      <c r="J1705" s="5" t="e">
        <f>SUM(SUMIFS(#REF!,#REF!,Planning[[#This Row],[Tipo de Tarea y especialidad]],#REF!,Planning[[#This Row],[Proyectos Reiwa]]),SUMIFS(#REF!,#REF!,Planning[[#This Row],[Tipo de Tarea y especialidad]],#REF!,Planning[[#This Row],[Proyectos]]))</f>
        <v>#REF!</v>
      </c>
      <c r="K1705" s="5" t="e">
        <f>Planning[[#This Row],[Horas Planificadas]]+Planning[[#This Row],[Horas ajustadas adicionales]]-Planning[[#This Row],[Horas utilizadas]]</f>
        <v>#REF!</v>
      </c>
      <c r="L1705" s="7"/>
      <c r="M1705" s="19" t="e">
        <f>Planning[[#This Row],[Saldo]]-Planning[[#This Row],[Saldo estimado]]</f>
        <v>#REF!</v>
      </c>
      <c r="N1705" s="60" t="e">
        <f>+SUMIFS(#REF!,#REF!,Planning[[#This Row],[Proyectos]],#REF!,Planning[[#This Row],[Tipo de Tarea y especialidad]])</f>
        <v>#REF!</v>
      </c>
      <c r="O1705" s="19">
        <f t="shared" si="52"/>
        <v>10</v>
      </c>
      <c r="P1705" s="19">
        <f t="shared" si="53"/>
        <v>2024</v>
      </c>
      <c r="Q17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05" s="19" t="str">
        <f>TEXT(Planning[[#This Row],[Mes]]*29,"mmmm")</f>
        <v>October</v>
      </c>
      <c r="S17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05" s="208"/>
      <c r="U1705" s="43">
        <f>IF(Planning[[#This Row],[Horas Planificadas]]&lt;&gt;0,+K1705/Planning[[#This Row],[Horas Planificadas]],0)</f>
        <v>0</v>
      </c>
      <c r="V1705" s="43">
        <f>IF(Planning[[#This Row],[Horas Planificadas]]&lt;&gt;0,Planning[[#This Row],[Horas utilizadas]]/Planning[[#This Row],[Horas Planificadas]],0)</f>
        <v>0</v>
      </c>
      <c r="W1705" s="44">
        <f>Planning[[#This Row],[Horas Planificadas]]+Planning[[#This Row],[Horas ajustadas adicionales]]</f>
        <v>0</v>
      </c>
      <c r="X1705" s="142"/>
    </row>
    <row r="1706" spans="1:24" ht="12.75" customHeight="1" x14ac:dyDescent="0.2">
      <c r="A1706" s="7" t="s">
        <v>294</v>
      </c>
      <c r="B1706" s="7" t="s">
        <v>288</v>
      </c>
      <c r="C1706" s="3"/>
      <c r="D1706" s="3" t="s">
        <v>405</v>
      </c>
      <c r="E1706" s="4"/>
      <c r="F1706" s="3" t="s">
        <v>131</v>
      </c>
      <c r="G1706" s="9"/>
      <c r="H1706" s="9">
        <v>100</v>
      </c>
      <c r="I1706" s="12"/>
      <c r="J1706" s="5" t="e">
        <f>SUM(SUMIFS(#REF!,#REF!,Planning[[#This Row],[Tipo de Tarea y especialidad]],#REF!,Planning[[#This Row],[Proyectos Reiwa]]),SUMIFS(#REF!,#REF!,Planning[[#This Row],[Tipo de Tarea y especialidad]],#REF!,Planning[[#This Row],[Proyectos]]))</f>
        <v>#REF!</v>
      </c>
      <c r="K1706" s="5" t="e">
        <f>Planning[[#This Row],[Horas Planificadas]]+Planning[[#This Row],[Horas ajustadas adicionales]]-Planning[[#This Row],[Horas utilizadas]]</f>
        <v>#REF!</v>
      </c>
      <c r="L1706" s="7">
        <v>0</v>
      </c>
      <c r="M1706" s="19" t="e">
        <f>Planning[[#This Row],[Saldo]]-Planning[[#This Row],[Saldo estimado]]</f>
        <v>#REF!</v>
      </c>
      <c r="N1706" s="60" t="e">
        <f>+SUMIFS(#REF!,#REF!,Planning[[#This Row],[Proyectos]],#REF!,Planning[[#This Row],[Tipo de Tarea y especialidad]])</f>
        <v>#REF!</v>
      </c>
      <c r="O1706" s="19">
        <f t="shared" si="52"/>
        <v>10</v>
      </c>
      <c r="P1706" s="19">
        <f t="shared" si="53"/>
        <v>2024</v>
      </c>
      <c r="Q17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06" s="19" t="str">
        <f>TEXT(Planning[[#This Row],[Mes]]*29,"mmmm")</f>
        <v>October</v>
      </c>
      <c r="S17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06" s="208"/>
      <c r="U1706" s="43" t="e">
        <f>IF(Planning[[#This Row],[Horas Planificadas]]&lt;&gt;0,+K1706/Planning[[#This Row],[Horas Planificadas]],0)</f>
        <v>#REF!</v>
      </c>
      <c r="V1706" s="43" t="e">
        <f>IF(Planning[[#This Row],[Horas Planificadas]]&lt;&gt;0,Planning[[#This Row],[Horas utilizadas]]/Planning[[#This Row],[Horas Planificadas]],0)</f>
        <v>#REF!</v>
      </c>
      <c r="W1706" s="44">
        <f>Planning[[#This Row],[Horas Planificadas]]+Planning[[#This Row],[Horas ajustadas adicionales]]</f>
        <v>100</v>
      </c>
      <c r="X1706" s="142"/>
    </row>
    <row r="1707" spans="1:24" ht="12.75" customHeight="1" x14ac:dyDescent="0.2">
      <c r="A1707" s="7"/>
      <c r="B1707" s="7" t="s">
        <v>393</v>
      </c>
      <c r="C1707" s="3"/>
      <c r="D1707" s="3" t="s">
        <v>407</v>
      </c>
      <c r="E1707" s="4" t="s">
        <v>28</v>
      </c>
      <c r="F1707" s="3"/>
      <c r="G1707" s="9">
        <v>0</v>
      </c>
      <c r="H1707" s="14">
        <f>SUM(H1708:H1709)</f>
        <v>0</v>
      </c>
      <c r="I1707" s="14"/>
      <c r="J1707" s="14" t="e">
        <f>SUM(J1708:J1709)</f>
        <v>#REF!</v>
      </c>
      <c r="K1707" s="15" t="e">
        <f>SUM(K1708:K1709)</f>
        <v>#REF!</v>
      </c>
      <c r="L1707" s="15">
        <f>SUM(L1708:L1709)</f>
        <v>0</v>
      </c>
      <c r="M1707" s="14" t="e">
        <f>SUM(M1708:M1709)</f>
        <v>#REF!</v>
      </c>
      <c r="N1707" s="66" t="e">
        <f>+SUMIFS(#REF!,#REF!,Planning[[#This Row],[Proyectos]],#REF!,Planning[[#This Row],[Tipo de Tarea y especialidad]])</f>
        <v>#REF!</v>
      </c>
      <c r="O1707" s="14">
        <f t="shared" si="52"/>
        <v>10</v>
      </c>
      <c r="P1707" s="14">
        <f t="shared" si="53"/>
        <v>2024</v>
      </c>
      <c r="Q1707" s="28" t="e">
        <f>SUM(Q1708:Q1709)</f>
        <v>#REF!</v>
      </c>
      <c r="R1707" s="28" t="str">
        <f>TEXT(Planning[[#This Row],[Mes]]*29,"mmmm")</f>
        <v>October</v>
      </c>
      <c r="S17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07" s="192" t="s">
        <v>408</v>
      </c>
      <c r="U1707" s="43">
        <f>IF(Planning[[#This Row],[Horas Planificadas]]&lt;&gt;0,+K1707/Planning[[#This Row],[Horas Planificadas]],0)</f>
        <v>0</v>
      </c>
      <c r="V1707" s="43">
        <f>IF(Planning[[#This Row],[Horas Planificadas]]&lt;&gt;0,Planning[[#This Row],[Horas utilizadas]]/Planning[[#This Row],[Horas Planificadas]],0)</f>
        <v>0</v>
      </c>
      <c r="W1707" s="44">
        <f>Planning[[#This Row],[Horas Planificadas]]+Planning[[#This Row],[Horas ajustadas adicionales]]</f>
        <v>0</v>
      </c>
      <c r="X1707" s="142"/>
    </row>
    <row r="1708" spans="1:24" ht="12.75" customHeight="1" x14ac:dyDescent="0.2">
      <c r="A1708" s="7"/>
      <c r="B1708" s="7" t="s">
        <v>393</v>
      </c>
      <c r="C1708" s="3"/>
      <c r="D1708" s="3" t="s">
        <v>407</v>
      </c>
      <c r="E1708" s="4"/>
      <c r="F1708" s="3" t="s">
        <v>120</v>
      </c>
      <c r="G1708" s="9"/>
      <c r="H1708" s="9"/>
      <c r="I1708" s="12"/>
      <c r="J1708" s="5" t="e">
        <f>SUM(SUMIFS(#REF!,#REF!,Planning[[#This Row],[Tipo de Tarea y especialidad]],#REF!,Planning[[#This Row],[Proyectos Reiwa]]),SUMIFS(#REF!,#REF!,Planning[[#This Row],[Tipo de Tarea y especialidad]],#REF!,Planning[[#This Row],[Proyectos]]))</f>
        <v>#REF!</v>
      </c>
      <c r="K1708" s="5" t="e">
        <f>Planning[[#This Row],[Horas Planificadas]]+Planning[[#This Row],[Horas ajustadas adicionales]]-Planning[[#This Row],[Horas utilizadas]]</f>
        <v>#REF!</v>
      </c>
      <c r="L1708" s="7"/>
      <c r="M1708" s="19" t="e">
        <f>Planning[[#This Row],[Saldo]]-Planning[[#This Row],[Saldo estimado]]</f>
        <v>#REF!</v>
      </c>
      <c r="N1708" s="60" t="e">
        <f>+SUMIFS(#REF!,#REF!,Planning[[#This Row],[Proyectos]],#REF!,Planning[[#This Row],[Tipo de Tarea y especialidad]])</f>
        <v>#REF!</v>
      </c>
      <c r="O1708" s="19">
        <f t="shared" si="52"/>
        <v>10</v>
      </c>
      <c r="P1708" s="19">
        <f t="shared" si="53"/>
        <v>2024</v>
      </c>
      <c r="Q17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08" s="19" t="str">
        <f>TEXT(Planning[[#This Row],[Mes]]*29,"mmmm")</f>
        <v>October</v>
      </c>
      <c r="S17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08" s="193"/>
      <c r="U1708" s="43">
        <f>IF(Planning[[#This Row],[Horas Planificadas]]&lt;&gt;0,+K1708/Planning[[#This Row],[Horas Planificadas]],0)</f>
        <v>0</v>
      </c>
      <c r="V1708" s="43">
        <f>IF(Planning[[#This Row],[Horas Planificadas]]&lt;&gt;0,Planning[[#This Row],[Horas utilizadas]]/Planning[[#This Row],[Horas Planificadas]],0)</f>
        <v>0</v>
      </c>
      <c r="W1708" s="44">
        <f>Planning[[#This Row],[Horas Planificadas]]+Planning[[#This Row],[Horas ajustadas adicionales]]</f>
        <v>0</v>
      </c>
      <c r="X1708" s="142"/>
    </row>
    <row r="1709" spans="1:24" ht="12.75" customHeight="1" x14ac:dyDescent="0.2">
      <c r="A1709" s="7"/>
      <c r="B1709" s="7" t="s">
        <v>393</v>
      </c>
      <c r="C1709" s="3"/>
      <c r="D1709" s="3" t="s">
        <v>407</v>
      </c>
      <c r="E1709" s="4"/>
      <c r="F1709" s="3" t="s">
        <v>121</v>
      </c>
      <c r="G1709" s="9"/>
      <c r="H1709" s="9"/>
      <c r="I1709" s="12"/>
      <c r="J1709" s="5" t="e">
        <f>SUM(SUMIFS(#REF!,#REF!,Planning[[#This Row],[Tipo de Tarea y especialidad]],#REF!,Planning[[#This Row],[Proyectos Reiwa]]),SUMIFS(#REF!,#REF!,Planning[[#This Row],[Tipo de Tarea y especialidad]],#REF!,Planning[[#This Row],[Proyectos]]))</f>
        <v>#REF!</v>
      </c>
      <c r="K1709" s="5" t="e">
        <f>Planning[[#This Row],[Horas Planificadas]]+Planning[[#This Row],[Horas ajustadas adicionales]]-Planning[[#This Row],[Horas utilizadas]]</f>
        <v>#REF!</v>
      </c>
      <c r="L1709" s="7"/>
      <c r="M1709" s="19" t="e">
        <f>Planning[[#This Row],[Saldo]]-Planning[[#This Row],[Saldo estimado]]</f>
        <v>#REF!</v>
      </c>
      <c r="N1709" s="60" t="e">
        <f>+SUMIFS(#REF!,#REF!,Planning[[#This Row],[Proyectos]],#REF!,Planning[[#This Row],[Tipo de Tarea y especialidad]])</f>
        <v>#REF!</v>
      </c>
      <c r="O1709" s="19">
        <f t="shared" si="52"/>
        <v>10</v>
      </c>
      <c r="P1709" s="19">
        <f t="shared" si="53"/>
        <v>2024</v>
      </c>
      <c r="Q17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09" s="19" t="str">
        <f>TEXT(Planning[[#This Row],[Mes]]*29,"mmmm")</f>
        <v>October</v>
      </c>
      <c r="S17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09" s="193"/>
      <c r="U1709" s="43">
        <f>IF(Planning[[#This Row],[Horas Planificadas]]&lt;&gt;0,+K1709/Planning[[#This Row],[Horas Planificadas]],0)</f>
        <v>0</v>
      </c>
      <c r="V1709" s="43">
        <f>IF(Planning[[#This Row],[Horas Planificadas]]&lt;&gt;0,Planning[[#This Row],[Horas utilizadas]]/Planning[[#This Row],[Horas Planificadas]],0)</f>
        <v>0</v>
      </c>
      <c r="W1709" s="44">
        <f>Planning[[#This Row],[Horas Planificadas]]+Planning[[#This Row],[Horas ajustadas adicionales]]</f>
        <v>0</v>
      </c>
      <c r="X1709" s="142"/>
    </row>
    <row r="1710" spans="1:24" ht="12.75" customHeight="1" x14ac:dyDescent="0.2">
      <c r="A1710" s="7"/>
      <c r="B1710" s="7" t="s">
        <v>393</v>
      </c>
      <c r="C1710" s="3"/>
      <c r="D1710" s="3" t="s">
        <v>407</v>
      </c>
      <c r="E1710" s="4" t="s">
        <v>30</v>
      </c>
      <c r="F1710" s="3"/>
      <c r="G1710" s="9">
        <v>0</v>
      </c>
      <c r="H1710" s="14">
        <f>SUM(H1711:H1717)</f>
        <v>50</v>
      </c>
      <c r="I1710" s="14"/>
      <c r="J1710" s="14" t="e">
        <f>SUM(J1711:J1717)</f>
        <v>#REF!</v>
      </c>
      <c r="K1710" s="15" t="e">
        <f>SUM(K1711:K1717)</f>
        <v>#REF!</v>
      </c>
      <c r="L1710" s="15">
        <f>SUM(L1711:L1717)</f>
        <v>-35</v>
      </c>
      <c r="M1710" s="16" t="e">
        <f>SUM(M1711:M1717)</f>
        <v>#REF!</v>
      </c>
      <c r="N1710" s="60" t="e">
        <f>+SUMIFS(#REF!,#REF!,Planning[[#This Row],[Proyectos]],#REF!,Planning[[#This Row],[Tipo de Tarea y especialidad]])</f>
        <v>#REF!</v>
      </c>
      <c r="O1710" s="16">
        <f t="shared" si="52"/>
        <v>10</v>
      </c>
      <c r="P1710" s="16">
        <f t="shared" si="53"/>
        <v>2024</v>
      </c>
      <c r="Q1710" s="16" t="e">
        <f>SUM(Q1711:Q1717)</f>
        <v>#REF!</v>
      </c>
      <c r="R1710" s="16" t="str">
        <f>TEXT(Planning[[#This Row],[Mes]]*29,"mmmm")</f>
        <v>October</v>
      </c>
      <c r="S17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10" s="193"/>
      <c r="U1710" s="43" t="e">
        <f>IF(Planning[[#This Row],[Horas Planificadas]]&lt;&gt;0,+K1710/Planning[[#This Row],[Horas Planificadas]],0)</f>
        <v>#REF!</v>
      </c>
      <c r="V1710" s="43" t="e">
        <f>IF(Planning[[#This Row],[Horas Planificadas]]&lt;&gt;0,Planning[[#This Row],[Horas utilizadas]]/Planning[[#This Row],[Horas Planificadas]],0)</f>
        <v>#REF!</v>
      </c>
      <c r="W1710" s="44">
        <f>Planning[[#This Row],[Horas Planificadas]]+Planning[[#This Row],[Horas ajustadas adicionales]]</f>
        <v>50</v>
      </c>
      <c r="X1710" s="142"/>
    </row>
    <row r="1711" spans="1:24" ht="12.75" customHeight="1" x14ac:dyDescent="0.2">
      <c r="A1711" s="7"/>
      <c r="B1711" s="7" t="s">
        <v>393</v>
      </c>
      <c r="C1711" s="3"/>
      <c r="D1711" s="3" t="s">
        <v>407</v>
      </c>
      <c r="E1711" s="4"/>
      <c r="F1711" s="3" t="s">
        <v>122</v>
      </c>
      <c r="G1711" s="9"/>
      <c r="H1711" s="9"/>
      <c r="I1711" s="12"/>
      <c r="J1711" s="5" t="e">
        <f>SUM(SUMIFS(#REF!,#REF!,Planning[[#This Row],[Tipo de Tarea y especialidad]],#REF!,Planning[[#This Row],[Proyectos Reiwa]]),SUMIFS(#REF!,#REF!,Planning[[#This Row],[Tipo de Tarea y especialidad]],#REF!,Planning[[#This Row],[Proyectos]]))</f>
        <v>#REF!</v>
      </c>
      <c r="K1711" s="5" t="e">
        <f>Planning[[#This Row],[Horas Planificadas]]+Planning[[#This Row],[Horas ajustadas adicionales]]-Planning[[#This Row],[Horas utilizadas]]</f>
        <v>#REF!</v>
      </c>
      <c r="L1711" s="7"/>
      <c r="M1711" s="19" t="e">
        <f>Planning[[#This Row],[Saldo]]-Planning[[#This Row],[Saldo estimado]]</f>
        <v>#REF!</v>
      </c>
      <c r="N1711" s="60" t="e">
        <f>+SUMIFS(#REF!,#REF!,Planning[[#This Row],[Proyectos]],#REF!,Planning[[#This Row],[Tipo de Tarea y especialidad]])</f>
        <v>#REF!</v>
      </c>
      <c r="O1711" s="19">
        <f t="shared" si="52"/>
        <v>10</v>
      </c>
      <c r="P1711" s="19">
        <f t="shared" si="53"/>
        <v>2024</v>
      </c>
      <c r="Q17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11" s="19" t="str">
        <f>TEXT(Planning[[#This Row],[Mes]]*29,"mmmm")</f>
        <v>October</v>
      </c>
      <c r="S17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11" s="193"/>
      <c r="U1711" s="43">
        <f>IF(Planning[[#This Row],[Horas Planificadas]]&lt;&gt;0,+K1711/Planning[[#This Row],[Horas Planificadas]],0)</f>
        <v>0</v>
      </c>
      <c r="V1711" s="43">
        <f>IF(Planning[[#This Row],[Horas Planificadas]]&lt;&gt;0,Planning[[#This Row],[Horas utilizadas]]/Planning[[#This Row],[Horas Planificadas]],0)</f>
        <v>0</v>
      </c>
      <c r="W1711" s="44">
        <f>Planning[[#This Row],[Horas Planificadas]]+Planning[[#This Row],[Horas ajustadas adicionales]]</f>
        <v>0</v>
      </c>
      <c r="X1711" s="142"/>
    </row>
    <row r="1712" spans="1:24" ht="12.75" customHeight="1" x14ac:dyDescent="0.2">
      <c r="A1712" s="7"/>
      <c r="B1712" s="7" t="s">
        <v>393</v>
      </c>
      <c r="C1712" s="3"/>
      <c r="D1712" s="3" t="s">
        <v>407</v>
      </c>
      <c r="E1712" s="4"/>
      <c r="F1712" s="3" t="s">
        <v>123</v>
      </c>
      <c r="G1712" s="9"/>
      <c r="H1712" s="9"/>
      <c r="I1712" s="12"/>
      <c r="J1712" s="5" t="e">
        <f>SUM(SUMIFS(#REF!,#REF!,Planning[[#This Row],[Tipo de Tarea y especialidad]],#REF!,Planning[[#This Row],[Proyectos Reiwa]]),SUMIFS(#REF!,#REF!,Planning[[#This Row],[Tipo de Tarea y especialidad]],#REF!,Planning[[#This Row],[Proyectos]]))</f>
        <v>#REF!</v>
      </c>
      <c r="K1712" s="5" t="e">
        <f>Planning[[#This Row],[Horas Planificadas]]+Planning[[#This Row],[Horas ajustadas adicionales]]-Planning[[#This Row],[Horas utilizadas]]</f>
        <v>#REF!</v>
      </c>
      <c r="L1712" s="7"/>
      <c r="M1712" s="19" t="e">
        <f>Planning[[#This Row],[Saldo]]-Planning[[#This Row],[Saldo estimado]]</f>
        <v>#REF!</v>
      </c>
      <c r="N1712" s="60" t="e">
        <f>+SUMIFS(#REF!,#REF!,Planning[[#This Row],[Proyectos]],#REF!,Planning[[#This Row],[Tipo de Tarea y especialidad]])</f>
        <v>#REF!</v>
      </c>
      <c r="O1712" s="19">
        <f t="shared" si="52"/>
        <v>10</v>
      </c>
      <c r="P1712" s="19">
        <f t="shared" si="53"/>
        <v>2024</v>
      </c>
      <c r="Q17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12" s="19" t="str">
        <f>TEXT(Planning[[#This Row],[Mes]]*29,"mmmm")</f>
        <v>October</v>
      </c>
      <c r="S17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12" s="193"/>
      <c r="U1712" s="43">
        <f>IF(Planning[[#This Row],[Horas Planificadas]]&lt;&gt;0,+K1712/Planning[[#This Row],[Horas Planificadas]],0)</f>
        <v>0</v>
      </c>
      <c r="V1712" s="43">
        <f>IF(Planning[[#This Row],[Horas Planificadas]]&lt;&gt;0,Planning[[#This Row],[Horas utilizadas]]/Planning[[#This Row],[Horas Planificadas]],0)</f>
        <v>0</v>
      </c>
      <c r="W1712" s="44">
        <f>Planning[[#This Row],[Horas Planificadas]]+Planning[[#This Row],[Horas ajustadas adicionales]]</f>
        <v>0</v>
      </c>
      <c r="X1712" s="142"/>
    </row>
    <row r="1713" spans="1:24" ht="12.75" customHeight="1" x14ac:dyDescent="0.2">
      <c r="A1713" s="7"/>
      <c r="B1713" s="7" t="s">
        <v>393</v>
      </c>
      <c r="C1713" s="3"/>
      <c r="D1713" s="3" t="s">
        <v>407</v>
      </c>
      <c r="E1713" s="4"/>
      <c r="F1713" s="3" t="s">
        <v>124</v>
      </c>
      <c r="G1713" s="9"/>
      <c r="H1713" s="9">
        <v>50</v>
      </c>
      <c r="I1713" s="12"/>
      <c r="J1713" s="5" t="e">
        <f>SUM(SUMIFS(#REF!,#REF!,Planning[[#This Row],[Tipo de Tarea y especialidad]],#REF!,Planning[[#This Row],[Proyectos Reiwa]]),SUMIFS(#REF!,#REF!,Planning[[#This Row],[Tipo de Tarea y especialidad]],#REF!,Planning[[#This Row],[Proyectos]]))</f>
        <v>#REF!</v>
      </c>
      <c r="K1713" s="5" t="e">
        <f>Planning[[#This Row],[Horas Planificadas]]+Planning[[#This Row],[Horas ajustadas adicionales]]-Planning[[#This Row],[Horas utilizadas]]</f>
        <v>#REF!</v>
      </c>
      <c r="L1713" s="7">
        <v>-35</v>
      </c>
      <c r="M1713" s="19" t="e">
        <f>Planning[[#This Row],[Saldo]]-Planning[[#This Row],[Saldo estimado]]</f>
        <v>#REF!</v>
      </c>
      <c r="N1713" s="60" t="e">
        <f>+SUMIFS(#REF!,#REF!,Planning[[#This Row],[Proyectos]],#REF!,Planning[[#This Row],[Tipo de Tarea y especialidad]])</f>
        <v>#REF!</v>
      </c>
      <c r="O1713" s="19">
        <f t="shared" si="52"/>
        <v>10</v>
      </c>
      <c r="P1713" s="19">
        <f t="shared" si="53"/>
        <v>2024</v>
      </c>
      <c r="Q17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13" s="19" t="str">
        <f>TEXT(Planning[[#This Row],[Mes]]*29,"mmmm")</f>
        <v>October</v>
      </c>
      <c r="S17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13" s="193"/>
      <c r="U1713" s="43" t="e">
        <f>IF(Planning[[#This Row],[Horas Planificadas]]&lt;&gt;0,+K1713/Planning[[#This Row],[Horas Planificadas]],0)</f>
        <v>#REF!</v>
      </c>
      <c r="V1713" s="43" t="e">
        <f>IF(Planning[[#This Row],[Horas Planificadas]]&lt;&gt;0,Planning[[#This Row],[Horas utilizadas]]/Planning[[#This Row],[Horas Planificadas]],0)</f>
        <v>#REF!</v>
      </c>
      <c r="W1713" s="44">
        <f>Planning[[#This Row],[Horas Planificadas]]+Planning[[#This Row],[Horas ajustadas adicionales]]</f>
        <v>50</v>
      </c>
      <c r="X1713" s="142"/>
    </row>
    <row r="1714" spans="1:24" ht="12.75" customHeight="1" x14ac:dyDescent="0.2">
      <c r="A1714" s="7"/>
      <c r="B1714" s="7" t="s">
        <v>393</v>
      </c>
      <c r="C1714" s="3"/>
      <c r="D1714" s="3" t="s">
        <v>407</v>
      </c>
      <c r="E1714" s="4"/>
      <c r="F1714" s="3" t="s">
        <v>125</v>
      </c>
      <c r="G1714" s="9"/>
      <c r="H1714" s="9"/>
      <c r="I1714" s="12"/>
      <c r="J1714" s="5" t="e">
        <f>SUM(SUMIFS(#REF!,#REF!,Planning[[#This Row],[Tipo de Tarea y especialidad]],#REF!,Planning[[#This Row],[Proyectos Reiwa]]),SUMIFS(#REF!,#REF!,Planning[[#This Row],[Tipo de Tarea y especialidad]],#REF!,Planning[[#This Row],[Proyectos]]))</f>
        <v>#REF!</v>
      </c>
      <c r="K1714" s="5" t="e">
        <f>Planning[[#This Row],[Horas Planificadas]]+Planning[[#This Row],[Horas ajustadas adicionales]]-Planning[[#This Row],[Horas utilizadas]]</f>
        <v>#REF!</v>
      </c>
      <c r="L1714" s="7"/>
      <c r="M1714" s="19" t="e">
        <f>Planning[[#This Row],[Saldo]]-Planning[[#This Row],[Saldo estimado]]</f>
        <v>#REF!</v>
      </c>
      <c r="N1714" s="60" t="e">
        <f>+SUMIFS(#REF!,#REF!,Planning[[#This Row],[Proyectos]],#REF!,Planning[[#This Row],[Tipo de Tarea y especialidad]])</f>
        <v>#REF!</v>
      </c>
      <c r="O1714" s="19">
        <f t="shared" si="52"/>
        <v>10</v>
      </c>
      <c r="P1714" s="19">
        <f t="shared" si="53"/>
        <v>2024</v>
      </c>
      <c r="Q17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14" s="19" t="str">
        <f>TEXT(Planning[[#This Row],[Mes]]*29,"mmmm")</f>
        <v>October</v>
      </c>
      <c r="S17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14" s="193"/>
      <c r="U1714" s="43">
        <f>IF(Planning[[#This Row],[Horas Planificadas]]&lt;&gt;0,+K1714/Planning[[#This Row],[Horas Planificadas]],0)</f>
        <v>0</v>
      </c>
      <c r="V1714" s="43">
        <f>IF(Planning[[#This Row],[Horas Planificadas]]&lt;&gt;0,Planning[[#This Row],[Horas utilizadas]]/Planning[[#This Row],[Horas Planificadas]],0)</f>
        <v>0</v>
      </c>
      <c r="W1714" s="44">
        <f>Planning[[#This Row],[Horas Planificadas]]+Planning[[#This Row],[Horas ajustadas adicionales]]</f>
        <v>0</v>
      </c>
      <c r="X1714" s="142"/>
    </row>
    <row r="1715" spans="1:24" ht="12.75" customHeight="1" x14ac:dyDescent="0.2">
      <c r="A1715" s="7"/>
      <c r="B1715" s="7" t="s">
        <v>393</v>
      </c>
      <c r="C1715" s="3"/>
      <c r="D1715" s="3" t="s">
        <v>407</v>
      </c>
      <c r="E1715" s="4"/>
      <c r="F1715" s="3" t="s">
        <v>126</v>
      </c>
      <c r="G1715" s="9"/>
      <c r="H1715" s="9"/>
      <c r="I1715" s="12"/>
      <c r="J1715" s="5" t="e">
        <f>SUM(SUMIFS(#REF!,#REF!,Planning[[#This Row],[Tipo de Tarea y especialidad]],#REF!,Planning[[#This Row],[Proyectos Reiwa]]),SUMIFS(#REF!,#REF!,Planning[[#This Row],[Tipo de Tarea y especialidad]],#REF!,Planning[[#This Row],[Proyectos]]))</f>
        <v>#REF!</v>
      </c>
      <c r="K1715" s="5" t="e">
        <f>Planning[[#This Row],[Horas Planificadas]]+Planning[[#This Row],[Horas ajustadas adicionales]]-Planning[[#This Row],[Horas utilizadas]]</f>
        <v>#REF!</v>
      </c>
      <c r="L1715" s="7"/>
      <c r="M1715" s="19" t="e">
        <f>Planning[[#This Row],[Saldo]]-Planning[[#This Row],[Saldo estimado]]</f>
        <v>#REF!</v>
      </c>
      <c r="N1715" s="60" t="e">
        <f>+SUMIFS(#REF!,#REF!,Planning[[#This Row],[Proyectos]],#REF!,Planning[[#This Row],[Tipo de Tarea y especialidad]])</f>
        <v>#REF!</v>
      </c>
      <c r="O1715" s="19">
        <f t="shared" si="52"/>
        <v>10</v>
      </c>
      <c r="P1715" s="19">
        <f t="shared" si="53"/>
        <v>2024</v>
      </c>
      <c r="Q17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15" s="19" t="str">
        <f>TEXT(Planning[[#This Row],[Mes]]*29,"mmmm")</f>
        <v>October</v>
      </c>
      <c r="S17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15" s="193"/>
      <c r="U1715" s="43">
        <f>IF(Planning[[#This Row],[Horas Planificadas]]&lt;&gt;0,+K1715/Planning[[#This Row],[Horas Planificadas]],0)</f>
        <v>0</v>
      </c>
      <c r="V1715" s="43">
        <f>IF(Planning[[#This Row],[Horas Planificadas]]&lt;&gt;0,Planning[[#This Row],[Horas utilizadas]]/Planning[[#This Row],[Horas Planificadas]],0)</f>
        <v>0</v>
      </c>
      <c r="W1715" s="44">
        <f>Planning[[#This Row],[Horas Planificadas]]+Planning[[#This Row],[Horas ajustadas adicionales]]</f>
        <v>0</v>
      </c>
      <c r="X1715" s="142"/>
    </row>
    <row r="1716" spans="1:24" ht="12.75" customHeight="1" x14ac:dyDescent="0.2">
      <c r="A1716" s="7"/>
      <c r="B1716" s="7" t="s">
        <v>393</v>
      </c>
      <c r="C1716" s="3"/>
      <c r="D1716" s="3" t="s">
        <v>407</v>
      </c>
      <c r="E1716" s="4"/>
      <c r="F1716" s="3" t="s">
        <v>127</v>
      </c>
      <c r="G1716" s="9"/>
      <c r="H1716" s="9"/>
      <c r="I1716" s="12"/>
      <c r="J1716" s="5" t="e">
        <f>SUM(SUMIFS(#REF!,#REF!,Planning[[#This Row],[Tipo de Tarea y especialidad]],#REF!,Planning[[#This Row],[Proyectos Reiwa]]),SUMIFS(#REF!,#REF!,Planning[[#This Row],[Tipo de Tarea y especialidad]],#REF!,Planning[[#This Row],[Proyectos]]))</f>
        <v>#REF!</v>
      </c>
      <c r="K1716" s="5" t="e">
        <f>Planning[[#This Row],[Horas Planificadas]]+Planning[[#This Row],[Horas ajustadas adicionales]]-Planning[[#This Row],[Horas utilizadas]]</f>
        <v>#REF!</v>
      </c>
      <c r="L1716" s="7"/>
      <c r="M1716" s="19" t="e">
        <f>Planning[[#This Row],[Saldo]]-Planning[[#This Row],[Saldo estimado]]</f>
        <v>#REF!</v>
      </c>
      <c r="N1716" s="60" t="e">
        <f>+SUMIFS(#REF!,#REF!,Planning[[#This Row],[Proyectos]],#REF!,Planning[[#This Row],[Tipo de Tarea y especialidad]])</f>
        <v>#REF!</v>
      </c>
      <c r="O1716" s="19">
        <f t="shared" si="52"/>
        <v>10</v>
      </c>
      <c r="P1716" s="19">
        <f t="shared" si="53"/>
        <v>2024</v>
      </c>
      <c r="Q17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16" s="19" t="str">
        <f>TEXT(Planning[[#This Row],[Mes]]*29,"mmmm")</f>
        <v>October</v>
      </c>
      <c r="S17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16" s="193"/>
      <c r="U1716" s="43">
        <f>IF(Planning[[#This Row],[Horas Planificadas]]&lt;&gt;0,+K1716/Planning[[#This Row],[Horas Planificadas]],0)</f>
        <v>0</v>
      </c>
      <c r="V1716" s="43">
        <f>IF(Planning[[#This Row],[Horas Planificadas]]&lt;&gt;0,Planning[[#This Row],[Horas utilizadas]]/Planning[[#This Row],[Horas Planificadas]],0)</f>
        <v>0</v>
      </c>
      <c r="W1716" s="44">
        <f>Planning[[#This Row],[Horas Planificadas]]+Planning[[#This Row],[Horas ajustadas adicionales]]</f>
        <v>0</v>
      </c>
      <c r="X1716" s="142"/>
    </row>
    <row r="1717" spans="1:24" ht="12.75" customHeight="1" x14ac:dyDescent="0.2">
      <c r="A1717" s="7"/>
      <c r="B1717" s="7" t="s">
        <v>393</v>
      </c>
      <c r="C1717" s="3"/>
      <c r="D1717" s="3" t="s">
        <v>407</v>
      </c>
      <c r="E1717" s="4"/>
      <c r="F1717" s="3" t="s">
        <v>128</v>
      </c>
      <c r="G1717" s="9"/>
      <c r="H1717" s="9"/>
      <c r="I1717" s="12"/>
      <c r="J1717" s="5" t="e">
        <f>SUM(SUMIFS(#REF!,#REF!,Planning[[#This Row],[Tipo de Tarea y especialidad]],#REF!,Planning[[#This Row],[Proyectos Reiwa]]),SUMIFS(#REF!,#REF!,Planning[[#This Row],[Tipo de Tarea y especialidad]],#REF!,Planning[[#This Row],[Proyectos]]))</f>
        <v>#REF!</v>
      </c>
      <c r="K1717" s="5" t="e">
        <f>Planning[[#This Row],[Horas Planificadas]]+Planning[[#This Row],[Horas ajustadas adicionales]]-Planning[[#This Row],[Horas utilizadas]]</f>
        <v>#REF!</v>
      </c>
      <c r="L1717" s="7"/>
      <c r="M1717" s="19" t="e">
        <f>Planning[[#This Row],[Saldo]]-Planning[[#This Row],[Saldo estimado]]</f>
        <v>#REF!</v>
      </c>
      <c r="N1717" s="60" t="e">
        <f>+SUMIFS(#REF!,#REF!,Planning[[#This Row],[Proyectos]],#REF!,Planning[[#This Row],[Tipo de Tarea y especialidad]])</f>
        <v>#REF!</v>
      </c>
      <c r="O1717" s="19">
        <f t="shared" si="52"/>
        <v>10</v>
      </c>
      <c r="P1717" s="19">
        <f t="shared" si="53"/>
        <v>2024</v>
      </c>
      <c r="Q17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17" s="19" t="str">
        <f>TEXT(Planning[[#This Row],[Mes]]*29,"mmmm")</f>
        <v>October</v>
      </c>
      <c r="S17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17" s="193"/>
      <c r="U1717" s="43">
        <f>IF(Planning[[#This Row],[Horas Planificadas]]&lt;&gt;0,+K1717/Planning[[#This Row],[Horas Planificadas]],0)</f>
        <v>0</v>
      </c>
      <c r="V1717" s="43">
        <f>IF(Planning[[#This Row],[Horas Planificadas]]&lt;&gt;0,Planning[[#This Row],[Horas utilizadas]]/Planning[[#This Row],[Horas Planificadas]],0)</f>
        <v>0</v>
      </c>
      <c r="W1717" s="44">
        <f>Planning[[#This Row],[Horas Planificadas]]+Planning[[#This Row],[Horas ajustadas adicionales]]</f>
        <v>0</v>
      </c>
      <c r="X1717" s="142"/>
    </row>
    <row r="1718" spans="1:24" ht="12.75" customHeight="1" x14ac:dyDescent="0.2">
      <c r="A1718" s="7"/>
      <c r="B1718" s="7" t="s">
        <v>393</v>
      </c>
      <c r="C1718" s="3"/>
      <c r="D1718" s="3" t="s">
        <v>407</v>
      </c>
      <c r="E1718" s="4" t="s">
        <v>31</v>
      </c>
      <c r="F1718" s="3" t="s">
        <v>31</v>
      </c>
      <c r="G1718" s="9">
        <v>18</v>
      </c>
      <c r="H1718" s="17">
        <v>18</v>
      </c>
      <c r="I1718" s="18"/>
      <c r="J1718" s="14" t="e">
        <f>+SUMIFS(#REF!,#REF!,Planning[[#This Row],[Tarifa]],#REF!,Planning[[#This Row],[Proyectos]])</f>
        <v>#REF!</v>
      </c>
      <c r="K1718" s="14" t="e">
        <f>Planning[[#This Row],[Horas Planificadas]]+Planning[[#This Row],[Horas ajustadas adicionales]]-Planning[[#This Row],[Horas utilizadas]]</f>
        <v>#REF!</v>
      </c>
      <c r="L1718" s="15">
        <v>0</v>
      </c>
      <c r="M1718" s="16" t="e">
        <f>Planning[[#This Row],[Saldo]]-Planning[[#This Row],[Saldo estimado]]</f>
        <v>#REF!</v>
      </c>
      <c r="N1718" s="60" t="e">
        <f>+SUMIFS(#REF!,#REF!,Planning[[#This Row],[Proyectos]],#REF!,Planning[[#This Row],[Tipo de Tarea y especialidad]])</f>
        <v>#REF!</v>
      </c>
      <c r="O1718" s="16">
        <f t="shared" si="52"/>
        <v>10</v>
      </c>
      <c r="P1718" s="16">
        <f t="shared" si="53"/>
        <v>2024</v>
      </c>
      <c r="Q1718" s="16" t="e">
        <f>+SUMIFS(#REF!,#REF!,Planning[[#This Row],[Tarifa]],#REF!,Planning[[#This Row],[Proyectos]],#REF!,Planning[[#This Row],[Mes]],#REF!,Planning[[#This Row],[Año]])</f>
        <v>#REF!</v>
      </c>
      <c r="R1718" s="16" t="str">
        <f>TEXT(Planning[[#This Row],[Mes]]*29,"mmmm")</f>
        <v>October</v>
      </c>
      <c r="S17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18" s="193"/>
      <c r="U1718" s="43" t="e">
        <f>IF(Planning[[#This Row],[Horas Planificadas]]&lt;&gt;0,+K1718/Planning[[#This Row],[Horas Planificadas]],0)</f>
        <v>#REF!</v>
      </c>
      <c r="V1718" s="43" t="e">
        <f>IF(Planning[[#This Row],[Horas Planificadas]]&lt;&gt;0,Planning[[#This Row],[Horas utilizadas]]/Planning[[#This Row],[Horas Planificadas]],0)</f>
        <v>#REF!</v>
      </c>
      <c r="W1718" s="44">
        <f>Planning[[#This Row],[Horas Planificadas]]+Planning[[#This Row],[Horas ajustadas adicionales]]</f>
        <v>18</v>
      </c>
      <c r="X1718" s="142"/>
    </row>
    <row r="1719" spans="1:24" ht="12.75" customHeight="1" x14ac:dyDescent="0.2">
      <c r="A1719" s="7"/>
      <c r="B1719" s="7" t="s">
        <v>393</v>
      </c>
      <c r="C1719" s="3"/>
      <c r="D1719" s="3" t="s">
        <v>407</v>
      </c>
      <c r="E1719" s="4" t="s">
        <v>32</v>
      </c>
      <c r="F1719" s="3"/>
      <c r="G1719" s="9">
        <v>50</v>
      </c>
      <c r="H1719" s="14">
        <f>SUM(H1720:H1722)</f>
        <v>50</v>
      </c>
      <c r="I1719" s="14"/>
      <c r="J1719" s="14" t="e">
        <f>SUM(J1720:J1722)</f>
        <v>#REF!</v>
      </c>
      <c r="K1719" s="15" t="e">
        <f>SUM(K1720:K1722)</f>
        <v>#REF!</v>
      </c>
      <c r="L1719" s="15">
        <f>SUM(L1720:L1722)</f>
        <v>-22</v>
      </c>
      <c r="M1719" s="16" t="e">
        <f>SUM(M1720:M1722)</f>
        <v>#REF!</v>
      </c>
      <c r="N1719" s="60" t="e">
        <f>+SUMIFS(#REF!,#REF!,Planning[[#This Row],[Proyectos]],#REF!,Planning[[#This Row],[Tipo de Tarea y especialidad]])</f>
        <v>#REF!</v>
      </c>
      <c r="O1719" s="16">
        <f t="shared" si="52"/>
        <v>10</v>
      </c>
      <c r="P1719" s="16">
        <f t="shared" si="53"/>
        <v>2024</v>
      </c>
      <c r="Q1719" s="16" t="e">
        <f>SUM(Q1720:Q1722)</f>
        <v>#REF!</v>
      </c>
      <c r="R1719" s="16" t="str">
        <f>TEXT(Planning[[#This Row],[Mes]]*29,"mmmm")</f>
        <v>October</v>
      </c>
      <c r="S17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19" s="193"/>
      <c r="U1719" s="43" t="e">
        <f>IF(Planning[[#This Row],[Horas Planificadas]]&lt;&gt;0,+K1719/Planning[[#This Row],[Horas Planificadas]],0)</f>
        <v>#REF!</v>
      </c>
      <c r="V1719" s="43" t="e">
        <f>IF(Planning[[#This Row],[Horas Planificadas]]&lt;&gt;0,Planning[[#This Row],[Horas utilizadas]]/Planning[[#This Row],[Horas Planificadas]],0)</f>
        <v>#REF!</v>
      </c>
      <c r="W1719" s="44">
        <f>Planning[[#This Row],[Horas Planificadas]]+Planning[[#This Row],[Horas ajustadas adicionales]]</f>
        <v>50</v>
      </c>
      <c r="X1719" s="142"/>
    </row>
    <row r="1720" spans="1:24" ht="12.75" customHeight="1" x14ac:dyDescent="0.2">
      <c r="A1720" s="7"/>
      <c r="B1720" s="7" t="s">
        <v>393</v>
      </c>
      <c r="C1720" s="3"/>
      <c r="D1720" s="3" t="s">
        <v>407</v>
      </c>
      <c r="E1720" s="4"/>
      <c r="F1720" s="3" t="s">
        <v>129</v>
      </c>
      <c r="G1720" s="9"/>
      <c r="H1720" s="9"/>
      <c r="I1720" s="12"/>
      <c r="J1720" s="5" t="e">
        <f>SUM(SUMIFS(#REF!,#REF!,Planning[[#This Row],[Tipo de Tarea y especialidad]],#REF!,Planning[[#This Row],[Proyectos Reiwa]]),SUMIFS(#REF!,#REF!,Planning[[#This Row],[Tipo de Tarea y especialidad]],#REF!,Planning[[#This Row],[Proyectos]]))</f>
        <v>#REF!</v>
      </c>
      <c r="K1720" s="5" t="e">
        <f>Planning[[#This Row],[Horas Planificadas]]+Planning[[#This Row],[Horas ajustadas adicionales]]-Planning[[#This Row],[Horas utilizadas]]</f>
        <v>#REF!</v>
      </c>
      <c r="L1720" s="7"/>
      <c r="M1720" s="19" t="e">
        <f>Planning[[#This Row],[Saldo]]-Planning[[#This Row],[Saldo estimado]]</f>
        <v>#REF!</v>
      </c>
      <c r="N1720" s="60" t="e">
        <f>+SUMIFS(#REF!,#REF!,Planning[[#This Row],[Proyectos]],#REF!,Planning[[#This Row],[Tipo de Tarea y especialidad]])</f>
        <v>#REF!</v>
      </c>
      <c r="O1720" s="19">
        <f t="shared" si="52"/>
        <v>10</v>
      </c>
      <c r="P1720" s="19">
        <f t="shared" si="53"/>
        <v>2024</v>
      </c>
      <c r="Q17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20" s="19" t="str">
        <f>TEXT(Planning[[#This Row],[Mes]]*29,"mmmm")</f>
        <v>October</v>
      </c>
      <c r="S17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20" s="193"/>
      <c r="U1720" s="43">
        <f>IF(Planning[[#This Row],[Horas Planificadas]]&lt;&gt;0,+K1720/Planning[[#This Row],[Horas Planificadas]],0)</f>
        <v>0</v>
      </c>
      <c r="V1720" s="43">
        <f>IF(Planning[[#This Row],[Horas Planificadas]]&lt;&gt;0,Planning[[#This Row],[Horas utilizadas]]/Planning[[#This Row],[Horas Planificadas]],0)</f>
        <v>0</v>
      </c>
      <c r="W1720" s="44">
        <f>Planning[[#This Row],[Horas Planificadas]]+Planning[[#This Row],[Horas ajustadas adicionales]]</f>
        <v>0</v>
      </c>
      <c r="X1720" s="142"/>
    </row>
    <row r="1721" spans="1:24" ht="12.75" customHeight="1" x14ac:dyDescent="0.2">
      <c r="A1721" s="7"/>
      <c r="B1721" s="7" t="s">
        <v>393</v>
      </c>
      <c r="C1721" s="3"/>
      <c r="D1721" s="3" t="s">
        <v>407</v>
      </c>
      <c r="E1721" s="4"/>
      <c r="F1721" s="3" t="s">
        <v>130</v>
      </c>
      <c r="G1721" s="9"/>
      <c r="H1721" s="9"/>
      <c r="I1721" s="12"/>
      <c r="J1721" s="5" t="e">
        <f>SUM(SUMIFS(#REF!,#REF!,Planning[[#This Row],[Tipo de Tarea y especialidad]],#REF!,Planning[[#This Row],[Proyectos Reiwa]]),SUMIFS(#REF!,#REF!,Planning[[#This Row],[Tipo de Tarea y especialidad]],#REF!,Planning[[#This Row],[Proyectos]]))</f>
        <v>#REF!</v>
      </c>
      <c r="K1721" s="5" t="e">
        <f>Planning[[#This Row],[Horas Planificadas]]+Planning[[#This Row],[Horas ajustadas adicionales]]-Planning[[#This Row],[Horas utilizadas]]</f>
        <v>#REF!</v>
      </c>
      <c r="L1721" s="7"/>
      <c r="M1721" s="19" t="e">
        <f>Planning[[#This Row],[Saldo]]-Planning[[#This Row],[Saldo estimado]]</f>
        <v>#REF!</v>
      </c>
      <c r="N1721" s="60" t="e">
        <f>+SUMIFS(#REF!,#REF!,Planning[[#This Row],[Proyectos]],#REF!,Planning[[#This Row],[Tipo de Tarea y especialidad]])</f>
        <v>#REF!</v>
      </c>
      <c r="O1721" s="19">
        <f t="shared" si="52"/>
        <v>10</v>
      </c>
      <c r="P1721" s="19">
        <f t="shared" si="53"/>
        <v>2024</v>
      </c>
      <c r="Q17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21" s="19" t="str">
        <f>TEXT(Planning[[#This Row],[Mes]]*29,"mmmm")</f>
        <v>October</v>
      </c>
      <c r="S17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21" s="193"/>
      <c r="U1721" s="43">
        <f>IF(Planning[[#This Row],[Horas Planificadas]]&lt;&gt;0,+K1721/Planning[[#This Row],[Horas Planificadas]],0)</f>
        <v>0</v>
      </c>
      <c r="V1721" s="43">
        <f>IF(Planning[[#This Row],[Horas Planificadas]]&lt;&gt;0,Planning[[#This Row],[Horas utilizadas]]/Planning[[#This Row],[Horas Planificadas]],0)</f>
        <v>0</v>
      </c>
      <c r="W1721" s="44">
        <f>Planning[[#This Row],[Horas Planificadas]]+Planning[[#This Row],[Horas ajustadas adicionales]]</f>
        <v>0</v>
      </c>
      <c r="X1721" s="142"/>
    </row>
    <row r="1722" spans="1:24" ht="12.75" customHeight="1" x14ac:dyDescent="0.2">
      <c r="A1722" s="7"/>
      <c r="B1722" s="7" t="s">
        <v>393</v>
      </c>
      <c r="C1722" s="3"/>
      <c r="D1722" s="3" t="s">
        <v>407</v>
      </c>
      <c r="E1722" s="4"/>
      <c r="F1722" s="3" t="s">
        <v>131</v>
      </c>
      <c r="G1722" s="9"/>
      <c r="H1722" s="9">
        <v>50</v>
      </c>
      <c r="I1722" s="12"/>
      <c r="J1722" s="5" t="e">
        <f>SUM(SUMIFS(#REF!,#REF!,Planning[[#This Row],[Tipo de Tarea y especialidad]],#REF!,Planning[[#This Row],[Proyectos Reiwa]]),SUMIFS(#REF!,#REF!,Planning[[#This Row],[Tipo de Tarea y especialidad]],#REF!,Planning[[#This Row],[Proyectos]]))</f>
        <v>#REF!</v>
      </c>
      <c r="K1722" s="5" t="e">
        <f>Planning[[#This Row],[Horas Planificadas]]+Planning[[#This Row],[Horas ajustadas adicionales]]-Planning[[#This Row],[Horas utilizadas]]</f>
        <v>#REF!</v>
      </c>
      <c r="L1722" s="7">
        <v>-22</v>
      </c>
      <c r="M1722" s="19" t="e">
        <f>Planning[[#This Row],[Saldo]]-Planning[[#This Row],[Saldo estimado]]</f>
        <v>#REF!</v>
      </c>
      <c r="N1722" s="60" t="e">
        <f>+SUMIFS(#REF!,#REF!,Planning[[#This Row],[Proyectos]],#REF!,Planning[[#This Row],[Tipo de Tarea y especialidad]])</f>
        <v>#REF!</v>
      </c>
      <c r="O1722" s="19">
        <f t="shared" si="52"/>
        <v>10</v>
      </c>
      <c r="P1722" s="19">
        <f t="shared" si="53"/>
        <v>2024</v>
      </c>
      <c r="Q17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22" s="19" t="str">
        <f>TEXT(Planning[[#This Row],[Mes]]*29,"mmmm")</f>
        <v>October</v>
      </c>
      <c r="S17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22" s="193"/>
      <c r="U1722" s="43" t="e">
        <f>IF(Planning[[#This Row],[Horas Planificadas]]&lt;&gt;0,+K1722/Planning[[#This Row],[Horas Planificadas]],0)</f>
        <v>#REF!</v>
      </c>
      <c r="V1722" s="43" t="e">
        <f>IF(Planning[[#This Row],[Horas Planificadas]]&lt;&gt;0,Planning[[#This Row],[Horas utilizadas]]/Planning[[#This Row],[Horas Planificadas]],0)</f>
        <v>#REF!</v>
      </c>
      <c r="W1722" s="44">
        <f>Planning[[#This Row],[Horas Planificadas]]+Planning[[#This Row],[Horas ajustadas adicionales]]</f>
        <v>50</v>
      </c>
      <c r="X1722" s="142"/>
    </row>
    <row r="1723" spans="1:24" ht="12.75" customHeight="1" x14ac:dyDescent="0.2">
      <c r="A1723" s="7" t="s">
        <v>168</v>
      </c>
      <c r="B1723" s="7" t="s">
        <v>169</v>
      </c>
      <c r="C1723" s="3"/>
      <c r="D1723" s="3" t="s">
        <v>409</v>
      </c>
      <c r="E1723" s="4" t="s">
        <v>28</v>
      </c>
      <c r="F1723" s="3"/>
      <c r="G1723" s="9">
        <v>522</v>
      </c>
      <c r="H1723" s="14">
        <f>SUM(H1724:H1725)</f>
        <v>522</v>
      </c>
      <c r="I1723" s="14"/>
      <c r="J1723" s="14" t="e">
        <f>SUM(J1724:J1725)</f>
        <v>#REF!</v>
      </c>
      <c r="K1723" s="15" t="e">
        <f>SUM(K1724:K1725)</f>
        <v>#REF!</v>
      </c>
      <c r="L1723" s="15">
        <f>SUM(L1724:L1725)</f>
        <v>0</v>
      </c>
      <c r="M1723" s="14" t="e">
        <f>SUM(M1724:M1725)</f>
        <v>#REF!</v>
      </c>
      <c r="N1723" s="66" t="e">
        <f>+SUMIFS(#REF!,#REF!,Planning[[#This Row],[Proyectos]],#REF!,Planning[[#This Row],[Tipo de Tarea y especialidad]])</f>
        <v>#REF!</v>
      </c>
      <c r="O1723" s="14">
        <f t="shared" si="52"/>
        <v>10</v>
      </c>
      <c r="P1723" s="14">
        <f t="shared" si="53"/>
        <v>2024</v>
      </c>
      <c r="Q1723" s="28" t="e">
        <f>SUM(Q1724:Q1725)</f>
        <v>#REF!</v>
      </c>
      <c r="R1723" s="28" t="str">
        <f>TEXT(Planning[[#This Row],[Mes]]*29,"mmmm")</f>
        <v>October</v>
      </c>
      <c r="S17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23" s="192" t="s">
        <v>410</v>
      </c>
      <c r="U1723" s="43" t="e">
        <f>IF(Planning[[#This Row],[Horas Planificadas]]&lt;&gt;0,+K1723/Planning[[#This Row],[Horas Planificadas]],0)</f>
        <v>#REF!</v>
      </c>
      <c r="V1723" s="43" t="e">
        <f>IF(Planning[[#This Row],[Horas Planificadas]]&lt;&gt;0,Planning[[#This Row],[Horas utilizadas]]/Planning[[#This Row],[Horas Planificadas]],0)</f>
        <v>#REF!</v>
      </c>
      <c r="W1723" s="44">
        <f>Planning[[#This Row],[Horas Planificadas]]+Planning[[#This Row],[Horas ajustadas adicionales]]</f>
        <v>522</v>
      </c>
      <c r="X1723" s="142"/>
    </row>
    <row r="1724" spans="1:24" ht="12.75" customHeight="1" x14ac:dyDescent="0.2">
      <c r="A1724" s="7" t="s">
        <v>168</v>
      </c>
      <c r="B1724" s="7" t="s">
        <v>169</v>
      </c>
      <c r="C1724" s="3"/>
      <c r="D1724" s="3" t="s">
        <v>409</v>
      </c>
      <c r="E1724" s="4"/>
      <c r="F1724" s="3" t="s">
        <v>120</v>
      </c>
      <c r="G1724" s="9"/>
      <c r="H1724" s="9"/>
      <c r="I1724" s="12"/>
      <c r="J1724" s="5" t="e">
        <f>SUM(SUMIFS(#REF!,#REF!,Planning[[#This Row],[Tipo de Tarea y especialidad]],#REF!,Planning[[#This Row],[Proyectos Reiwa]]),SUMIFS(#REF!,#REF!,Planning[[#This Row],[Tipo de Tarea y especialidad]],#REF!,Planning[[#This Row],[Proyectos]]))</f>
        <v>#REF!</v>
      </c>
      <c r="K1724" s="5" t="e">
        <f>Planning[[#This Row],[Horas Planificadas]]+Planning[[#This Row],[Horas ajustadas adicionales]]-Planning[[#This Row],[Horas utilizadas]]</f>
        <v>#REF!</v>
      </c>
      <c r="L1724" s="7">
        <v>0</v>
      </c>
      <c r="M1724" s="19" t="e">
        <f>Planning[[#This Row],[Saldo]]-Planning[[#This Row],[Saldo estimado]]</f>
        <v>#REF!</v>
      </c>
      <c r="N1724" s="60" t="e">
        <f>+SUMIFS(#REF!,#REF!,Planning[[#This Row],[Proyectos]],#REF!,Planning[[#This Row],[Tipo de Tarea y especialidad]])</f>
        <v>#REF!</v>
      </c>
      <c r="O1724" s="19">
        <f t="shared" si="52"/>
        <v>10</v>
      </c>
      <c r="P1724" s="19">
        <f t="shared" si="53"/>
        <v>2024</v>
      </c>
      <c r="Q17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24" s="19" t="str">
        <f>TEXT(Planning[[#This Row],[Mes]]*29,"mmmm")</f>
        <v>October</v>
      </c>
      <c r="S17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24" s="193"/>
      <c r="U1724" s="43">
        <f>IF(Planning[[#This Row],[Horas Planificadas]]&lt;&gt;0,+K1724/Planning[[#This Row],[Horas Planificadas]],0)</f>
        <v>0</v>
      </c>
      <c r="V1724" s="43">
        <f>IF(Planning[[#This Row],[Horas Planificadas]]&lt;&gt;0,Planning[[#This Row],[Horas utilizadas]]/Planning[[#This Row],[Horas Planificadas]],0)</f>
        <v>0</v>
      </c>
      <c r="W1724" s="44">
        <f>Planning[[#This Row],[Horas Planificadas]]+Planning[[#This Row],[Horas ajustadas adicionales]]</f>
        <v>0</v>
      </c>
      <c r="X1724" s="142"/>
    </row>
    <row r="1725" spans="1:24" ht="12.75" customHeight="1" x14ac:dyDescent="0.2">
      <c r="A1725" s="7" t="s">
        <v>168</v>
      </c>
      <c r="B1725" s="7" t="s">
        <v>169</v>
      </c>
      <c r="C1725" s="3"/>
      <c r="D1725" s="3" t="s">
        <v>409</v>
      </c>
      <c r="E1725" s="4"/>
      <c r="F1725" s="3" t="s">
        <v>121</v>
      </c>
      <c r="G1725" s="9"/>
      <c r="H1725" s="9">
        <v>522</v>
      </c>
      <c r="I1725" s="12"/>
      <c r="J1725" s="5" t="e">
        <f>SUM(SUMIFS(#REF!,#REF!,Planning[[#This Row],[Tipo de Tarea y especialidad]],#REF!,Planning[[#This Row],[Proyectos Reiwa]]),SUMIFS(#REF!,#REF!,Planning[[#This Row],[Tipo de Tarea y especialidad]],#REF!,Planning[[#This Row],[Proyectos]]))</f>
        <v>#REF!</v>
      </c>
      <c r="K1725" s="5" t="e">
        <f>Planning[[#This Row],[Horas Planificadas]]+Planning[[#This Row],[Horas ajustadas adicionales]]-Planning[[#This Row],[Horas utilizadas]]</f>
        <v>#REF!</v>
      </c>
      <c r="L1725" s="7">
        <v>0</v>
      </c>
      <c r="M1725" s="19" t="e">
        <f>Planning[[#This Row],[Saldo]]-Planning[[#This Row],[Saldo estimado]]</f>
        <v>#REF!</v>
      </c>
      <c r="N1725" s="60" t="e">
        <f>+SUMIFS(#REF!,#REF!,Planning[[#This Row],[Proyectos]],#REF!,Planning[[#This Row],[Tipo de Tarea y especialidad]])</f>
        <v>#REF!</v>
      </c>
      <c r="O1725" s="19">
        <f t="shared" si="52"/>
        <v>10</v>
      </c>
      <c r="P1725" s="19">
        <f t="shared" si="53"/>
        <v>2024</v>
      </c>
      <c r="Q17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25" s="19" t="str">
        <f>TEXT(Planning[[#This Row],[Mes]]*29,"mmmm")</f>
        <v>October</v>
      </c>
      <c r="S17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25" s="193"/>
      <c r="U1725" s="43" t="e">
        <f>IF(Planning[[#This Row],[Horas Planificadas]]&lt;&gt;0,+K1725/Planning[[#This Row],[Horas Planificadas]],0)</f>
        <v>#REF!</v>
      </c>
      <c r="V1725" s="43" t="e">
        <f>IF(Planning[[#This Row],[Horas Planificadas]]&lt;&gt;0,Planning[[#This Row],[Horas utilizadas]]/Planning[[#This Row],[Horas Planificadas]],0)</f>
        <v>#REF!</v>
      </c>
      <c r="W1725" s="44">
        <f>Planning[[#This Row],[Horas Planificadas]]+Planning[[#This Row],[Horas ajustadas adicionales]]</f>
        <v>522</v>
      </c>
      <c r="X1725" s="142"/>
    </row>
    <row r="1726" spans="1:24" ht="12.75" customHeight="1" x14ac:dyDescent="0.2">
      <c r="A1726" s="7" t="s">
        <v>168</v>
      </c>
      <c r="B1726" s="7" t="s">
        <v>169</v>
      </c>
      <c r="C1726" s="3"/>
      <c r="D1726" s="3" t="s">
        <v>409</v>
      </c>
      <c r="E1726" s="4" t="s">
        <v>30</v>
      </c>
      <c r="F1726" s="3"/>
      <c r="G1726" s="9">
        <v>1332</v>
      </c>
      <c r="H1726" s="14">
        <f>SUM(H1727:H1733)</f>
        <v>1332</v>
      </c>
      <c r="I1726" s="14"/>
      <c r="J1726" s="14" t="e">
        <f>SUM(J1727:J1733)</f>
        <v>#REF!</v>
      </c>
      <c r="K1726" s="15" t="e">
        <f>SUM(K1727:K1733)</f>
        <v>#REF!</v>
      </c>
      <c r="L1726" s="15">
        <f>SUM(L1727:L1733)</f>
        <v>0</v>
      </c>
      <c r="M1726" s="16" t="e">
        <f>SUM(M1727:M1733)</f>
        <v>#REF!</v>
      </c>
      <c r="N1726" s="60" t="e">
        <f>+SUMIFS(#REF!,#REF!,Planning[[#This Row],[Proyectos]],#REF!,Planning[[#This Row],[Tipo de Tarea y especialidad]])</f>
        <v>#REF!</v>
      </c>
      <c r="O1726" s="16">
        <f t="shared" si="52"/>
        <v>10</v>
      </c>
      <c r="P1726" s="16">
        <f t="shared" si="53"/>
        <v>2024</v>
      </c>
      <c r="Q1726" s="16" t="e">
        <f>SUM(Q1727:Q1733)</f>
        <v>#REF!</v>
      </c>
      <c r="R1726" s="16" t="str">
        <f>TEXT(Planning[[#This Row],[Mes]]*29,"mmmm")</f>
        <v>October</v>
      </c>
      <c r="S17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26" s="193"/>
      <c r="U1726" s="43" t="e">
        <f>IF(Planning[[#This Row],[Horas Planificadas]]&lt;&gt;0,+K1726/Planning[[#This Row],[Horas Planificadas]],0)</f>
        <v>#REF!</v>
      </c>
      <c r="V1726" s="43" t="e">
        <f>IF(Planning[[#This Row],[Horas Planificadas]]&lt;&gt;0,Planning[[#This Row],[Horas utilizadas]]/Planning[[#This Row],[Horas Planificadas]],0)</f>
        <v>#REF!</v>
      </c>
      <c r="W1726" s="44">
        <f>Planning[[#This Row],[Horas Planificadas]]+Planning[[#This Row],[Horas ajustadas adicionales]]</f>
        <v>1332</v>
      </c>
      <c r="X1726" s="142"/>
    </row>
    <row r="1727" spans="1:24" ht="12.75" customHeight="1" x14ac:dyDescent="0.2">
      <c r="A1727" s="7" t="s">
        <v>168</v>
      </c>
      <c r="B1727" s="7" t="s">
        <v>169</v>
      </c>
      <c r="C1727" s="3"/>
      <c r="D1727" s="3" t="s">
        <v>409</v>
      </c>
      <c r="E1727" s="4"/>
      <c r="F1727" s="3" t="s">
        <v>122</v>
      </c>
      <c r="G1727" s="9"/>
      <c r="H1727" s="9">
        <v>473</v>
      </c>
      <c r="I1727" s="12"/>
      <c r="J1727" s="5" t="e">
        <f>SUM(SUMIFS(#REF!,#REF!,Planning[[#This Row],[Tipo de Tarea y especialidad]],#REF!,Planning[[#This Row],[Proyectos Reiwa]]),SUMIFS(#REF!,#REF!,Planning[[#This Row],[Tipo de Tarea y especialidad]],#REF!,Planning[[#This Row],[Proyectos]]))</f>
        <v>#REF!</v>
      </c>
      <c r="K1727" s="5" t="e">
        <f>Planning[[#This Row],[Horas Planificadas]]+Planning[[#This Row],[Horas ajustadas adicionales]]-Planning[[#This Row],[Horas utilizadas]]</f>
        <v>#REF!</v>
      </c>
      <c r="L1727" s="7">
        <v>0</v>
      </c>
      <c r="M1727" s="19" t="e">
        <f>Planning[[#This Row],[Saldo]]-Planning[[#This Row],[Saldo estimado]]</f>
        <v>#REF!</v>
      </c>
      <c r="N1727" s="60" t="e">
        <f>+SUMIFS(#REF!,#REF!,Planning[[#This Row],[Proyectos]],#REF!,Planning[[#This Row],[Tipo de Tarea y especialidad]])</f>
        <v>#REF!</v>
      </c>
      <c r="O1727" s="19">
        <f t="shared" si="52"/>
        <v>10</v>
      </c>
      <c r="P1727" s="19">
        <f t="shared" si="53"/>
        <v>2024</v>
      </c>
      <c r="Q17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27" s="19" t="str">
        <f>TEXT(Planning[[#This Row],[Mes]]*29,"mmmm")</f>
        <v>October</v>
      </c>
      <c r="S17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27" s="193"/>
      <c r="U1727" s="43" t="e">
        <f>IF(Planning[[#This Row],[Horas Planificadas]]&lt;&gt;0,+K1727/Planning[[#This Row],[Horas Planificadas]],0)</f>
        <v>#REF!</v>
      </c>
      <c r="V1727" s="43" t="e">
        <f>IF(Planning[[#This Row],[Horas Planificadas]]&lt;&gt;0,Planning[[#This Row],[Horas utilizadas]]/Planning[[#This Row],[Horas Planificadas]],0)</f>
        <v>#REF!</v>
      </c>
      <c r="W1727" s="44">
        <f>Planning[[#This Row],[Horas Planificadas]]+Planning[[#This Row],[Horas ajustadas adicionales]]</f>
        <v>473</v>
      </c>
      <c r="X1727" s="142"/>
    </row>
    <row r="1728" spans="1:24" ht="12.75" customHeight="1" x14ac:dyDescent="0.2">
      <c r="A1728" s="7" t="s">
        <v>168</v>
      </c>
      <c r="B1728" s="7" t="s">
        <v>169</v>
      </c>
      <c r="C1728" s="3"/>
      <c r="D1728" s="3" t="s">
        <v>409</v>
      </c>
      <c r="E1728" s="4"/>
      <c r="F1728" s="3" t="s">
        <v>123</v>
      </c>
      <c r="G1728" s="9"/>
      <c r="H1728" s="9"/>
      <c r="I1728" s="12"/>
      <c r="J1728" s="5" t="e">
        <f>SUM(SUMIFS(#REF!,#REF!,Planning[[#This Row],[Tipo de Tarea y especialidad]],#REF!,Planning[[#This Row],[Proyectos Reiwa]]),SUMIFS(#REF!,#REF!,Planning[[#This Row],[Tipo de Tarea y especialidad]],#REF!,Planning[[#This Row],[Proyectos]]))</f>
        <v>#REF!</v>
      </c>
      <c r="K1728" s="5" t="e">
        <f>Planning[[#This Row],[Horas Planificadas]]+Planning[[#This Row],[Horas ajustadas adicionales]]-Planning[[#This Row],[Horas utilizadas]]</f>
        <v>#REF!</v>
      </c>
      <c r="L1728" s="7">
        <v>0</v>
      </c>
      <c r="M1728" s="19" t="e">
        <f>Planning[[#This Row],[Saldo]]-Planning[[#This Row],[Saldo estimado]]</f>
        <v>#REF!</v>
      </c>
      <c r="N1728" s="60" t="e">
        <f>+SUMIFS(#REF!,#REF!,Planning[[#This Row],[Proyectos]],#REF!,Planning[[#This Row],[Tipo de Tarea y especialidad]])</f>
        <v>#REF!</v>
      </c>
      <c r="O1728" s="19">
        <f t="shared" si="52"/>
        <v>10</v>
      </c>
      <c r="P1728" s="19">
        <f t="shared" si="53"/>
        <v>2024</v>
      </c>
      <c r="Q17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28" s="19" t="str">
        <f>TEXT(Planning[[#This Row],[Mes]]*29,"mmmm")</f>
        <v>October</v>
      </c>
      <c r="S17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28" s="193"/>
      <c r="U1728" s="43">
        <f>IF(Planning[[#This Row],[Horas Planificadas]]&lt;&gt;0,+K1728/Planning[[#This Row],[Horas Planificadas]],0)</f>
        <v>0</v>
      </c>
      <c r="V1728" s="43">
        <f>IF(Planning[[#This Row],[Horas Planificadas]]&lt;&gt;0,Planning[[#This Row],[Horas utilizadas]]/Planning[[#This Row],[Horas Planificadas]],0)</f>
        <v>0</v>
      </c>
      <c r="W1728" s="44">
        <f>Planning[[#This Row],[Horas Planificadas]]+Planning[[#This Row],[Horas ajustadas adicionales]]</f>
        <v>0</v>
      </c>
      <c r="X1728" s="142"/>
    </row>
    <row r="1729" spans="1:24" ht="12.75" customHeight="1" x14ac:dyDescent="0.2">
      <c r="A1729" s="7" t="s">
        <v>168</v>
      </c>
      <c r="B1729" s="7" t="s">
        <v>169</v>
      </c>
      <c r="C1729" s="3"/>
      <c r="D1729" s="3" t="s">
        <v>409</v>
      </c>
      <c r="E1729" s="4"/>
      <c r="F1729" s="3" t="s">
        <v>124</v>
      </c>
      <c r="G1729" s="9"/>
      <c r="H1729" s="9"/>
      <c r="I1729" s="12"/>
      <c r="J1729" s="5" t="e">
        <f>SUM(SUMIFS(#REF!,#REF!,Planning[[#This Row],[Tipo de Tarea y especialidad]],#REF!,Planning[[#This Row],[Proyectos Reiwa]]),SUMIFS(#REF!,#REF!,Planning[[#This Row],[Tipo de Tarea y especialidad]],#REF!,Planning[[#This Row],[Proyectos]]))</f>
        <v>#REF!</v>
      </c>
      <c r="K1729" s="5" t="e">
        <f>Planning[[#This Row],[Horas Planificadas]]+Planning[[#This Row],[Horas ajustadas adicionales]]-Planning[[#This Row],[Horas utilizadas]]</f>
        <v>#REF!</v>
      </c>
      <c r="L1729" s="7">
        <v>0</v>
      </c>
      <c r="M1729" s="19" t="e">
        <f>Planning[[#This Row],[Saldo]]-Planning[[#This Row],[Saldo estimado]]</f>
        <v>#REF!</v>
      </c>
      <c r="N1729" s="60" t="e">
        <f>+SUMIFS(#REF!,#REF!,Planning[[#This Row],[Proyectos]],#REF!,Planning[[#This Row],[Tipo de Tarea y especialidad]])</f>
        <v>#REF!</v>
      </c>
      <c r="O1729" s="19">
        <f t="shared" si="52"/>
        <v>10</v>
      </c>
      <c r="P1729" s="19">
        <f t="shared" si="53"/>
        <v>2024</v>
      </c>
      <c r="Q17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29" s="19" t="str">
        <f>TEXT(Planning[[#This Row],[Mes]]*29,"mmmm")</f>
        <v>October</v>
      </c>
      <c r="S17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29" s="193"/>
      <c r="U1729" s="43">
        <f>IF(Planning[[#This Row],[Horas Planificadas]]&lt;&gt;0,+K1729/Planning[[#This Row],[Horas Planificadas]],0)</f>
        <v>0</v>
      </c>
      <c r="V1729" s="43">
        <f>IF(Planning[[#This Row],[Horas Planificadas]]&lt;&gt;0,Planning[[#This Row],[Horas utilizadas]]/Planning[[#This Row],[Horas Planificadas]],0)</f>
        <v>0</v>
      </c>
      <c r="W1729" s="44">
        <f>Planning[[#This Row],[Horas Planificadas]]+Planning[[#This Row],[Horas ajustadas adicionales]]</f>
        <v>0</v>
      </c>
      <c r="X1729" s="142"/>
    </row>
    <row r="1730" spans="1:24" ht="12.75" customHeight="1" x14ac:dyDescent="0.2">
      <c r="A1730" s="7" t="s">
        <v>168</v>
      </c>
      <c r="B1730" s="7" t="s">
        <v>169</v>
      </c>
      <c r="C1730" s="3"/>
      <c r="D1730" s="3" t="s">
        <v>409</v>
      </c>
      <c r="E1730" s="4"/>
      <c r="F1730" s="3" t="s">
        <v>125</v>
      </c>
      <c r="G1730" s="9"/>
      <c r="H1730" s="9">
        <v>416</v>
      </c>
      <c r="I1730" s="12"/>
      <c r="J1730" s="5" t="e">
        <f>SUM(SUMIFS(#REF!,#REF!,Planning[[#This Row],[Tipo de Tarea y especialidad]],#REF!,Planning[[#This Row],[Proyectos Reiwa]]),SUMIFS(#REF!,#REF!,Planning[[#This Row],[Tipo de Tarea y especialidad]],#REF!,Planning[[#This Row],[Proyectos]]))</f>
        <v>#REF!</v>
      </c>
      <c r="K1730" s="5" t="e">
        <f>Planning[[#This Row],[Horas Planificadas]]+Planning[[#This Row],[Horas ajustadas adicionales]]-Planning[[#This Row],[Horas utilizadas]]</f>
        <v>#REF!</v>
      </c>
      <c r="L1730" s="7">
        <v>0</v>
      </c>
      <c r="M1730" s="19" t="e">
        <f>Planning[[#This Row],[Saldo]]-Planning[[#This Row],[Saldo estimado]]</f>
        <v>#REF!</v>
      </c>
      <c r="N1730" s="60" t="e">
        <f>+SUMIFS(#REF!,#REF!,Planning[[#This Row],[Proyectos]],#REF!,Planning[[#This Row],[Tipo de Tarea y especialidad]])</f>
        <v>#REF!</v>
      </c>
      <c r="O1730" s="19">
        <f t="shared" si="52"/>
        <v>10</v>
      </c>
      <c r="P1730" s="19">
        <f t="shared" si="53"/>
        <v>2024</v>
      </c>
      <c r="Q17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30" s="19" t="str">
        <f>TEXT(Planning[[#This Row],[Mes]]*29,"mmmm")</f>
        <v>October</v>
      </c>
      <c r="S17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30" s="193"/>
      <c r="U1730" s="43" t="e">
        <f>IF(Planning[[#This Row],[Horas Planificadas]]&lt;&gt;0,+K1730/Planning[[#This Row],[Horas Planificadas]],0)</f>
        <v>#REF!</v>
      </c>
      <c r="V1730" s="43" t="e">
        <f>IF(Planning[[#This Row],[Horas Planificadas]]&lt;&gt;0,Planning[[#This Row],[Horas utilizadas]]/Planning[[#This Row],[Horas Planificadas]],0)</f>
        <v>#REF!</v>
      </c>
      <c r="W1730" s="44">
        <f>Planning[[#This Row],[Horas Planificadas]]+Planning[[#This Row],[Horas ajustadas adicionales]]</f>
        <v>416</v>
      </c>
      <c r="X1730" s="142"/>
    </row>
    <row r="1731" spans="1:24" ht="12.75" customHeight="1" x14ac:dyDescent="0.2">
      <c r="A1731" s="7" t="s">
        <v>168</v>
      </c>
      <c r="B1731" s="7" t="s">
        <v>169</v>
      </c>
      <c r="C1731" s="3"/>
      <c r="D1731" s="3" t="s">
        <v>409</v>
      </c>
      <c r="E1731" s="4"/>
      <c r="F1731" s="3" t="s">
        <v>126</v>
      </c>
      <c r="G1731" s="9"/>
      <c r="H1731" s="9">
        <v>443</v>
      </c>
      <c r="I1731" s="12"/>
      <c r="J1731" s="5" t="e">
        <f>SUM(SUMIFS(#REF!,#REF!,Planning[[#This Row],[Tipo de Tarea y especialidad]],#REF!,Planning[[#This Row],[Proyectos Reiwa]]),SUMIFS(#REF!,#REF!,Planning[[#This Row],[Tipo de Tarea y especialidad]],#REF!,Planning[[#This Row],[Proyectos]]))</f>
        <v>#REF!</v>
      </c>
      <c r="K1731" s="5" t="e">
        <f>Planning[[#This Row],[Horas Planificadas]]+Planning[[#This Row],[Horas ajustadas adicionales]]-Planning[[#This Row],[Horas utilizadas]]</f>
        <v>#REF!</v>
      </c>
      <c r="L1731" s="7">
        <v>0</v>
      </c>
      <c r="M1731" s="19" t="e">
        <f>Planning[[#This Row],[Saldo]]-Planning[[#This Row],[Saldo estimado]]</f>
        <v>#REF!</v>
      </c>
      <c r="N1731" s="60" t="e">
        <f>+SUMIFS(#REF!,#REF!,Planning[[#This Row],[Proyectos]],#REF!,Planning[[#This Row],[Tipo de Tarea y especialidad]])</f>
        <v>#REF!</v>
      </c>
      <c r="O1731" s="19">
        <f t="shared" si="52"/>
        <v>10</v>
      </c>
      <c r="P1731" s="19">
        <f t="shared" si="53"/>
        <v>2024</v>
      </c>
      <c r="Q17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31" s="19" t="str">
        <f>TEXT(Planning[[#This Row],[Mes]]*29,"mmmm")</f>
        <v>October</v>
      </c>
      <c r="S17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31" s="193"/>
      <c r="U1731" s="43" t="e">
        <f>IF(Planning[[#This Row],[Horas Planificadas]]&lt;&gt;0,+K1731/Planning[[#This Row],[Horas Planificadas]],0)</f>
        <v>#REF!</v>
      </c>
      <c r="V1731" s="43" t="e">
        <f>IF(Planning[[#This Row],[Horas Planificadas]]&lt;&gt;0,Planning[[#This Row],[Horas utilizadas]]/Planning[[#This Row],[Horas Planificadas]],0)</f>
        <v>#REF!</v>
      </c>
      <c r="W1731" s="44">
        <f>Planning[[#This Row],[Horas Planificadas]]+Planning[[#This Row],[Horas ajustadas adicionales]]</f>
        <v>443</v>
      </c>
      <c r="X1731" s="142"/>
    </row>
    <row r="1732" spans="1:24" ht="12.75" customHeight="1" x14ac:dyDescent="0.2">
      <c r="A1732" s="7" t="s">
        <v>168</v>
      </c>
      <c r="B1732" s="7" t="s">
        <v>169</v>
      </c>
      <c r="C1732" s="3"/>
      <c r="D1732" s="3" t="s">
        <v>409</v>
      </c>
      <c r="E1732" s="4"/>
      <c r="F1732" s="3" t="s">
        <v>127</v>
      </c>
      <c r="G1732" s="9"/>
      <c r="H1732" s="9"/>
      <c r="I1732" s="12"/>
      <c r="J1732" s="5" t="e">
        <f>SUM(SUMIFS(#REF!,#REF!,Planning[[#This Row],[Tipo de Tarea y especialidad]],#REF!,Planning[[#This Row],[Proyectos Reiwa]]),SUMIFS(#REF!,#REF!,Planning[[#This Row],[Tipo de Tarea y especialidad]],#REF!,Planning[[#This Row],[Proyectos]]))</f>
        <v>#REF!</v>
      </c>
      <c r="K1732" s="5" t="e">
        <f>Planning[[#This Row],[Horas Planificadas]]+Planning[[#This Row],[Horas ajustadas adicionales]]-Planning[[#This Row],[Horas utilizadas]]</f>
        <v>#REF!</v>
      </c>
      <c r="L1732" s="7">
        <v>0</v>
      </c>
      <c r="M1732" s="19" t="e">
        <f>Planning[[#This Row],[Saldo]]-Planning[[#This Row],[Saldo estimado]]</f>
        <v>#REF!</v>
      </c>
      <c r="N1732" s="60" t="e">
        <f>+SUMIFS(#REF!,#REF!,Planning[[#This Row],[Proyectos]],#REF!,Planning[[#This Row],[Tipo de Tarea y especialidad]])</f>
        <v>#REF!</v>
      </c>
      <c r="O1732" s="19">
        <f t="shared" si="52"/>
        <v>10</v>
      </c>
      <c r="P1732" s="19">
        <f t="shared" si="53"/>
        <v>2024</v>
      </c>
      <c r="Q17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32" s="19" t="str">
        <f>TEXT(Planning[[#This Row],[Mes]]*29,"mmmm")</f>
        <v>October</v>
      </c>
      <c r="S17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32" s="193"/>
      <c r="U1732" s="43">
        <f>IF(Planning[[#This Row],[Horas Planificadas]]&lt;&gt;0,+K1732/Planning[[#This Row],[Horas Planificadas]],0)</f>
        <v>0</v>
      </c>
      <c r="V1732" s="43">
        <f>IF(Planning[[#This Row],[Horas Planificadas]]&lt;&gt;0,Planning[[#This Row],[Horas utilizadas]]/Planning[[#This Row],[Horas Planificadas]],0)</f>
        <v>0</v>
      </c>
      <c r="W1732" s="44">
        <f>Planning[[#This Row],[Horas Planificadas]]+Planning[[#This Row],[Horas ajustadas adicionales]]</f>
        <v>0</v>
      </c>
      <c r="X1732" s="142"/>
    </row>
    <row r="1733" spans="1:24" ht="12.75" customHeight="1" x14ac:dyDescent="0.2">
      <c r="A1733" s="7" t="s">
        <v>168</v>
      </c>
      <c r="B1733" s="7" t="s">
        <v>169</v>
      </c>
      <c r="C1733" s="3"/>
      <c r="D1733" s="3" t="s">
        <v>409</v>
      </c>
      <c r="E1733" s="4"/>
      <c r="F1733" s="3" t="s">
        <v>128</v>
      </c>
      <c r="G1733" s="9"/>
      <c r="H1733" s="9"/>
      <c r="I1733" s="12"/>
      <c r="J1733" s="5" t="e">
        <f>SUM(SUMIFS(#REF!,#REF!,Planning[[#This Row],[Tipo de Tarea y especialidad]],#REF!,Planning[[#This Row],[Proyectos Reiwa]]),SUMIFS(#REF!,#REF!,Planning[[#This Row],[Tipo de Tarea y especialidad]],#REF!,Planning[[#This Row],[Proyectos]]))</f>
        <v>#REF!</v>
      </c>
      <c r="K1733" s="5" t="e">
        <f>Planning[[#This Row],[Horas Planificadas]]+Planning[[#This Row],[Horas ajustadas adicionales]]-Planning[[#This Row],[Horas utilizadas]]</f>
        <v>#REF!</v>
      </c>
      <c r="L1733" s="7">
        <v>0</v>
      </c>
      <c r="M1733" s="19" t="e">
        <f>Planning[[#This Row],[Saldo]]-Planning[[#This Row],[Saldo estimado]]</f>
        <v>#REF!</v>
      </c>
      <c r="N1733" s="60" t="e">
        <f>+SUMIFS(#REF!,#REF!,Planning[[#This Row],[Proyectos]],#REF!,Planning[[#This Row],[Tipo de Tarea y especialidad]])</f>
        <v>#REF!</v>
      </c>
      <c r="O1733" s="19">
        <f t="shared" si="52"/>
        <v>10</v>
      </c>
      <c r="P1733" s="19">
        <f t="shared" si="53"/>
        <v>2024</v>
      </c>
      <c r="Q17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33" s="19" t="str">
        <f>TEXT(Planning[[#This Row],[Mes]]*29,"mmmm")</f>
        <v>October</v>
      </c>
      <c r="S17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33" s="193"/>
      <c r="U1733" s="43">
        <f>IF(Planning[[#This Row],[Horas Planificadas]]&lt;&gt;0,+K1733/Planning[[#This Row],[Horas Planificadas]],0)</f>
        <v>0</v>
      </c>
      <c r="V1733" s="43">
        <f>IF(Planning[[#This Row],[Horas Planificadas]]&lt;&gt;0,Planning[[#This Row],[Horas utilizadas]]/Planning[[#This Row],[Horas Planificadas]],0)</f>
        <v>0</v>
      </c>
      <c r="W1733" s="44">
        <f>Planning[[#This Row],[Horas Planificadas]]+Planning[[#This Row],[Horas ajustadas adicionales]]</f>
        <v>0</v>
      </c>
      <c r="X1733" s="142"/>
    </row>
    <row r="1734" spans="1:24" ht="12.75" customHeight="1" x14ac:dyDescent="0.2">
      <c r="A1734" s="7" t="s">
        <v>168</v>
      </c>
      <c r="B1734" s="7" t="s">
        <v>169</v>
      </c>
      <c r="C1734" s="3"/>
      <c r="D1734" s="3" t="s">
        <v>409</v>
      </c>
      <c r="E1734" s="4" t="s">
        <v>31</v>
      </c>
      <c r="F1734" s="3" t="s">
        <v>31</v>
      </c>
      <c r="G1734" s="9">
        <v>279</v>
      </c>
      <c r="H1734" s="17">
        <v>279</v>
      </c>
      <c r="I1734" s="18"/>
      <c r="J1734" s="14" t="e">
        <f>+SUMIFS(#REF!,#REF!,Planning[[#This Row],[Tarifa]],#REF!,Planning[[#This Row],[Proyectos]])</f>
        <v>#REF!</v>
      </c>
      <c r="K1734" s="14" t="e">
        <f>Planning[[#This Row],[Horas Planificadas]]+Planning[[#This Row],[Horas ajustadas adicionales]]-Planning[[#This Row],[Horas utilizadas]]</f>
        <v>#REF!</v>
      </c>
      <c r="L1734" s="15">
        <v>0</v>
      </c>
      <c r="M1734" s="16" t="e">
        <f>Planning[[#This Row],[Saldo]]-Planning[[#This Row],[Saldo estimado]]</f>
        <v>#REF!</v>
      </c>
      <c r="N1734" s="60" t="e">
        <f>+SUMIFS(#REF!,#REF!,Planning[[#This Row],[Proyectos]],#REF!,Planning[[#This Row],[Tipo de Tarea y especialidad]])</f>
        <v>#REF!</v>
      </c>
      <c r="O1734" s="16">
        <f t="shared" si="52"/>
        <v>10</v>
      </c>
      <c r="P1734" s="16">
        <f t="shared" si="53"/>
        <v>2024</v>
      </c>
      <c r="Q1734" s="16" t="e">
        <f>+SUMIFS(#REF!,#REF!,Planning[[#This Row],[Tarifa]],#REF!,Planning[[#This Row],[Proyectos]],#REF!,Planning[[#This Row],[Mes]],#REF!,Planning[[#This Row],[Año]])</f>
        <v>#REF!</v>
      </c>
      <c r="R1734" s="16" t="str">
        <f>TEXT(Planning[[#This Row],[Mes]]*29,"mmmm")</f>
        <v>October</v>
      </c>
      <c r="S17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34" s="193"/>
      <c r="U1734" s="43" t="e">
        <f>IF(Planning[[#This Row],[Horas Planificadas]]&lt;&gt;0,+K1734/Planning[[#This Row],[Horas Planificadas]],0)</f>
        <v>#REF!</v>
      </c>
      <c r="V1734" s="43" t="e">
        <f>IF(Planning[[#This Row],[Horas Planificadas]]&lt;&gt;0,Planning[[#This Row],[Horas utilizadas]]/Planning[[#This Row],[Horas Planificadas]],0)</f>
        <v>#REF!</v>
      </c>
      <c r="W1734" s="44">
        <f>Planning[[#This Row],[Horas Planificadas]]+Planning[[#This Row],[Horas ajustadas adicionales]]</f>
        <v>279</v>
      </c>
      <c r="X1734" s="142"/>
    </row>
    <row r="1735" spans="1:24" ht="12.75" customHeight="1" x14ac:dyDescent="0.2">
      <c r="A1735" s="7" t="s">
        <v>168</v>
      </c>
      <c r="B1735" s="7" t="s">
        <v>169</v>
      </c>
      <c r="C1735" s="3"/>
      <c r="D1735" s="3" t="s">
        <v>409</v>
      </c>
      <c r="E1735" s="4" t="s">
        <v>32</v>
      </c>
      <c r="F1735" s="3"/>
      <c r="G1735" s="9">
        <v>585</v>
      </c>
      <c r="H1735" s="14">
        <f>SUM(H1736:H1738)</f>
        <v>585</v>
      </c>
      <c r="I1735" s="14"/>
      <c r="J1735" s="14" t="e">
        <f>SUM(J1736:J1738)</f>
        <v>#REF!</v>
      </c>
      <c r="K1735" s="15" t="e">
        <f>SUM(K1736:K1738)</f>
        <v>#REF!</v>
      </c>
      <c r="L1735" s="15">
        <f>SUM(L1736:L1738)</f>
        <v>0</v>
      </c>
      <c r="M1735" s="16" t="e">
        <f>SUM(M1736:M1738)</f>
        <v>#REF!</v>
      </c>
      <c r="N1735" s="60" t="e">
        <f>+SUMIFS(#REF!,#REF!,Planning[[#This Row],[Proyectos]],#REF!,Planning[[#This Row],[Tipo de Tarea y especialidad]])</f>
        <v>#REF!</v>
      </c>
      <c r="O1735" s="16">
        <f t="shared" ref="O1735:O1798" si="54">$L$4</f>
        <v>10</v>
      </c>
      <c r="P1735" s="16">
        <f t="shared" ref="P1735:P1798" si="55">$M$4</f>
        <v>2024</v>
      </c>
      <c r="Q1735" s="16" t="e">
        <f>SUM(Q1736:Q1738)</f>
        <v>#REF!</v>
      </c>
      <c r="R1735" s="16" t="str">
        <f>TEXT(Planning[[#This Row],[Mes]]*29,"mmmm")</f>
        <v>October</v>
      </c>
      <c r="S17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35" s="193"/>
      <c r="U1735" s="43" t="e">
        <f>IF(Planning[[#This Row],[Horas Planificadas]]&lt;&gt;0,+K1735/Planning[[#This Row],[Horas Planificadas]],0)</f>
        <v>#REF!</v>
      </c>
      <c r="V1735" s="43" t="e">
        <f>IF(Planning[[#This Row],[Horas Planificadas]]&lt;&gt;0,Planning[[#This Row],[Horas utilizadas]]/Planning[[#This Row],[Horas Planificadas]],0)</f>
        <v>#REF!</v>
      </c>
      <c r="W1735" s="44">
        <f>Planning[[#This Row],[Horas Planificadas]]+Planning[[#This Row],[Horas ajustadas adicionales]]</f>
        <v>585</v>
      </c>
      <c r="X1735" s="142"/>
    </row>
    <row r="1736" spans="1:24" ht="12.75" customHeight="1" x14ac:dyDescent="0.2">
      <c r="A1736" s="7" t="s">
        <v>168</v>
      </c>
      <c r="B1736" s="7" t="s">
        <v>169</v>
      </c>
      <c r="C1736" s="3"/>
      <c r="D1736" s="3" t="s">
        <v>409</v>
      </c>
      <c r="E1736" s="4"/>
      <c r="F1736" s="3" t="s">
        <v>129</v>
      </c>
      <c r="G1736" s="9"/>
      <c r="H1736" s="9">
        <v>585</v>
      </c>
      <c r="I1736" s="12"/>
      <c r="J1736" s="5" t="e">
        <f>SUM(SUMIFS(#REF!,#REF!,Planning[[#This Row],[Tipo de Tarea y especialidad]],#REF!,Planning[[#This Row],[Proyectos Reiwa]]),SUMIFS(#REF!,#REF!,Planning[[#This Row],[Tipo de Tarea y especialidad]],#REF!,Planning[[#This Row],[Proyectos]]))</f>
        <v>#REF!</v>
      </c>
      <c r="K1736" s="5" t="e">
        <f>Planning[[#This Row],[Horas Planificadas]]+Planning[[#This Row],[Horas ajustadas adicionales]]-Planning[[#This Row],[Horas utilizadas]]</f>
        <v>#REF!</v>
      </c>
      <c r="L1736" s="7">
        <v>0</v>
      </c>
      <c r="M1736" s="19" t="e">
        <f>Planning[[#This Row],[Saldo]]-Planning[[#This Row],[Saldo estimado]]</f>
        <v>#REF!</v>
      </c>
      <c r="N1736" s="60" t="e">
        <f>+SUMIFS(#REF!,#REF!,Planning[[#This Row],[Proyectos]],#REF!,Planning[[#This Row],[Tipo de Tarea y especialidad]])</f>
        <v>#REF!</v>
      </c>
      <c r="O1736" s="19">
        <f t="shared" si="54"/>
        <v>10</v>
      </c>
      <c r="P1736" s="19">
        <f t="shared" si="55"/>
        <v>2024</v>
      </c>
      <c r="Q17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36" s="19" t="str">
        <f>TEXT(Planning[[#This Row],[Mes]]*29,"mmmm")</f>
        <v>October</v>
      </c>
      <c r="S17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36" s="193"/>
      <c r="U1736" s="43" t="e">
        <f>IF(Planning[[#This Row],[Horas Planificadas]]&lt;&gt;0,+K1736/Planning[[#This Row],[Horas Planificadas]],0)</f>
        <v>#REF!</v>
      </c>
      <c r="V1736" s="43" t="e">
        <f>IF(Planning[[#This Row],[Horas Planificadas]]&lt;&gt;0,Planning[[#This Row],[Horas utilizadas]]/Planning[[#This Row],[Horas Planificadas]],0)</f>
        <v>#REF!</v>
      </c>
      <c r="W1736" s="44">
        <f>Planning[[#This Row],[Horas Planificadas]]+Planning[[#This Row],[Horas ajustadas adicionales]]</f>
        <v>585</v>
      </c>
      <c r="X1736" s="142"/>
    </row>
    <row r="1737" spans="1:24" ht="12.75" customHeight="1" x14ac:dyDescent="0.2">
      <c r="A1737" s="7" t="s">
        <v>168</v>
      </c>
      <c r="B1737" s="7" t="s">
        <v>169</v>
      </c>
      <c r="C1737" s="3"/>
      <c r="D1737" s="3" t="s">
        <v>409</v>
      </c>
      <c r="E1737" s="4"/>
      <c r="F1737" s="3" t="s">
        <v>130</v>
      </c>
      <c r="G1737" s="9"/>
      <c r="H1737" s="9"/>
      <c r="I1737" s="12"/>
      <c r="J1737" s="5" t="e">
        <f>SUM(SUMIFS(#REF!,#REF!,Planning[[#This Row],[Tipo de Tarea y especialidad]],#REF!,Planning[[#This Row],[Proyectos Reiwa]]),SUMIFS(#REF!,#REF!,Planning[[#This Row],[Tipo de Tarea y especialidad]],#REF!,Planning[[#This Row],[Proyectos]]))</f>
        <v>#REF!</v>
      </c>
      <c r="K1737" s="5" t="e">
        <f>Planning[[#This Row],[Horas Planificadas]]+Planning[[#This Row],[Horas ajustadas adicionales]]-Planning[[#This Row],[Horas utilizadas]]</f>
        <v>#REF!</v>
      </c>
      <c r="L1737" s="7">
        <v>0</v>
      </c>
      <c r="M1737" s="19" t="e">
        <f>Planning[[#This Row],[Saldo]]-Planning[[#This Row],[Saldo estimado]]</f>
        <v>#REF!</v>
      </c>
      <c r="N1737" s="60" t="e">
        <f>+SUMIFS(#REF!,#REF!,Planning[[#This Row],[Proyectos]],#REF!,Planning[[#This Row],[Tipo de Tarea y especialidad]])</f>
        <v>#REF!</v>
      </c>
      <c r="O1737" s="19">
        <f t="shared" si="54"/>
        <v>10</v>
      </c>
      <c r="P1737" s="19">
        <f t="shared" si="55"/>
        <v>2024</v>
      </c>
      <c r="Q17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37" s="19" t="str">
        <f>TEXT(Planning[[#This Row],[Mes]]*29,"mmmm")</f>
        <v>October</v>
      </c>
      <c r="S17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37" s="193"/>
      <c r="U1737" s="43">
        <f>IF(Planning[[#This Row],[Horas Planificadas]]&lt;&gt;0,+K1737/Planning[[#This Row],[Horas Planificadas]],0)</f>
        <v>0</v>
      </c>
      <c r="V1737" s="43">
        <f>IF(Planning[[#This Row],[Horas Planificadas]]&lt;&gt;0,Planning[[#This Row],[Horas utilizadas]]/Planning[[#This Row],[Horas Planificadas]],0)</f>
        <v>0</v>
      </c>
      <c r="W1737" s="44">
        <f>Planning[[#This Row],[Horas Planificadas]]+Planning[[#This Row],[Horas ajustadas adicionales]]</f>
        <v>0</v>
      </c>
      <c r="X1737" s="142"/>
    </row>
    <row r="1738" spans="1:24" ht="12.75" customHeight="1" x14ac:dyDescent="0.2">
      <c r="A1738" s="7" t="s">
        <v>168</v>
      </c>
      <c r="B1738" s="7" t="s">
        <v>169</v>
      </c>
      <c r="C1738" s="3"/>
      <c r="D1738" s="3" t="s">
        <v>409</v>
      </c>
      <c r="E1738" s="4"/>
      <c r="F1738" s="3" t="s">
        <v>131</v>
      </c>
      <c r="G1738" s="9"/>
      <c r="H1738" s="9"/>
      <c r="I1738" s="12"/>
      <c r="J1738" s="5" t="e">
        <f>SUM(SUMIFS(#REF!,#REF!,Planning[[#This Row],[Tipo de Tarea y especialidad]],#REF!,Planning[[#This Row],[Proyectos Reiwa]]),SUMIFS(#REF!,#REF!,Planning[[#This Row],[Tipo de Tarea y especialidad]],#REF!,Planning[[#This Row],[Proyectos]]))</f>
        <v>#REF!</v>
      </c>
      <c r="K1738" s="5" t="e">
        <f>Planning[[#This Row],[Horas Planificadas]]+Planning[[#This Row],[Horas ajustadas adicionales]]-Planning[[#This Row],[Horas utilizadas]]</f>
        <v>#REF!</v>
      </c>
      <c r="L1738" s="7">
        <v>0</v>
      </c>
      <c r="M1738" s="19" t="e">
        <f>Planning[[#This Row],[Saldo]]-Planning[[#This Row],[Saldo estimado]]</f>
        <v>#REF!</v>
      </c>
      <c r="N1738" s="60" t="e">
        <f>+SUMIFS(#REF!,#REF!,Planning[[#This Row],[Proyectos]],#REF!,Planning[[#This Row],[Tipo de Tarea y especialidad]])</f>
        <v>#REF!</v>
      </c>
      <c r="O1738" s="19">
        <f t="shared" si="54"/>
        <v>10</v>
      </c>
      <c r="P1738" s="19">
        <f t="shared" si="55"/>
        <v>2024</v>
      </c>
      <c r="Q17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38" s="19" t="str">
        <f>TEXT(Planning[[#This Row],[Mes]]*29,"mmmm")</f>
        <v>October</v>
      </c>
      <c r="S17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38" s="193"/>
      <c r="U1738" s="43">
        <f>IF(Planning[[#This Row],[Horas Planificadas]]&lt;&gt;0,+K1738/Planning[[#This Row],[Horas Planificadas]],0)</f>
        <v>0</v>
      </c>
      <c r="V1738" s="43">
        <f>IF(Planning[[#This Row],[Horas Planificadas]]&lt;&gt;0,Planning[[#This Row],[Horas utilizadas]]/Planning[[#This Row],[Horas Planificadas]],0)</f>
        <v>0</v>
      </c>
      <c r="W1738" s="44">
        <f>Planning[[#This Row],[Horas Planificadas]]+Planning[[#This Row],[Horas ajustadas adicionales]]</f>
        <v>0</v>
      </c>
      <c r="X1738" s="142"/>
    </row>
    <row r="1739" spans="1:24" ht="12.75" customHeight="1" x14ac:dyDescent="0.2">
      <c r="A1739" s="7" t="s">
        <v>294</v>
      </c>
      <c r="B1739" s="7" t="s">
        <v>393</v>
      </c>
      <c r="C1739" s="3"/>
      <c r="D1739" s="3" t="s">
        <v>411</v>
      </c>
      <c r="E1739" s="4" t="s">
        <v>28</v>
      </c>
      <c r="F1739" s="3"/>
      <c r="G1739" s="9">
        <v>765</v>
      </c>
      <c r="H1739" s="14">
        <f>SUM(H1740:H1741)</f>
        <v>780</v>
      </c>
      <c r="I1739" s="14"/>
      <c r="J1739" s="14" t="e">
        <f>SUM(J1740:J1741)</f>
        <v>#REF!</v>
      </c>
      <c r="K1739" s="15" t="e">
        <f>SUM(K1740:K1741)</f>
        <v>#REF!</v>
      </c>
      <c r="L1739" s="15">
        <f>SUM(L1740:L1741)</f>
        <v>0</v>
      </c>
      <c r="M1739" s="14" t="e">
        <f>SUM(M1740:M1741)</f>
        <v>#REF!</v>
      </c>
      <c r="N1739" s="66" t="e">
        <f>+SUMIFS(#REF!,#REF!,Planning[[#This Row],[Proyectos]],#REF!,Planning[[#This Row],[Tipo de Tarea y especialidad]])</f>
        <v>#REF!</v>
      </c>
      <c r="O1739" s="14">
        <f t="shared" si="54"/>
        <v>10</v>
      </c>
      <c r="P1739" s="14">
        <f t="shared" si="55"/>
        <v>2024</v>
      </c>
      <c r="Q1739" s="28" t="e">
        <f>SUM(Q1740:Q1741)</f>
        <v>#REF!</v>
      </c>
      <c r="R1739" s="28" t="str">
        <f>TEXT(Planning[[#This Row],[Mes]]*29,"mmmm")</f>
        <v>October</v>
      </c>
      <c r="S17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39" s="192" t="s">
        <v>412</v>
      </c>
      <c r="U1739" s="43" t="e">
        <f>IF(Planning[[#This Row],[Horas Planificadas]]&lt;&gt;0,+K1739/Planning[[#This Row],[Horas Planificadas]],0)</f>
        <v>#REF!</v>
      </c>
      <c r="V1739" s="43" t="e">
        <f>IF(Planning[[#This Row],[Horas Planificadas]]&lt;&gt;0,Planning[[#This Row],[Horas utilizadas]]/Planning[[#This Row],[Horas Planificadas]],0)</f>
        <v>#REF!</v>
      </c>
      <c r="W1739" s="44">
        <f>Planning[[#This Row],[Horas Planificadas]]+Planning[[#This Row],[Horas ajustadas adicionales]]</f>
        <v>780</v>
      </c>
      <c r="X1739" s="142"/>
    </row>
    <row r="1740" spans="1:24" ht="12.75" customHeight="1" x14ac:dyDescent="0.2">
      <c r="A1740" s="7" t="s">
        <v>294</v>
      </c>
      <c r="B1740" s="7" t="s">
        <v>393</v>
      </c>
      <c r="C1740" s="3"/>
      <c r="D1740" s="3" t="s">
        <v>411</v>
      </c>
      <c r="E1740" s="4"/>
      <c r="F1740" s="3" t="s">
        <v>120</v>
      </c>
      <c r="G1740" s="9"/>
      <c r="H1740" s="9">
        <v>600</v>
      </c>
      <c r="I1740" s="12"/>
      <c r="J1740" s="5" t="e">
        <f>SUM(SUMIFS(#REF!,#REF!,Planning[[#This Row],[Tipo de Tarea y especialidad]],#REF!,Planning[[#This Row],[Proyectos Reiwa]]),SUMIFS(#REF!,#REF!,Planning[[#This Row],[Tipo de Tarea y especialidad]],#REF!,Planning[[#This Row],[Proyectos]]))</f>
        <v>#REF!</v>
      </c>
      <c r="K1740" s="5" t="e">
        <f>Planning[[#This Row],[Horas Planificadas]]+Planning[[#This Row],[Horas ajustadas adicionales]]-Planning[[#This Row],[Horas utilizadas]]</f>
        <v>#REF!</v>
      </c>
      <c r="L1740" s="7">
        <v>0</v>
      </c>
      <c r="M1740" s="19" t="e">
        <f>Planning[[#This Row],[Saldo]]-Planning[[#This Row],[Saldo estimado]]</f>
        <v>#REF!</v>
      </c>
      <c r="N1740" s="60" t="e">
        <f>+SUMIFS(#REF!,#REF!,Planning[[#This Row],[Proyectos]],#REF!,Planning[[#This Row],[Tipo de Tarea y especialidad]])</f>
        <v>#REF!</v>
      </c>
      <c r="O1740" s="19">
        <f t="shared" si="54"/>
        <v>10</v>
      </c>
      <c r="P1740" s="19">
        <f t="shared" si="55"/>
        <v>2024</v>
      </c>
      <c r="Q17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40" s="19" t="str">
        <f>TEXT(Planning[[#This Row],[Mes]]*29,"mmmm")</f>
        <v>October</v>
      </c>
      <c r="S17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40" s="193"/>
      <c r="U1740" s="43" t="e">
        <f>IF(Planning[[#This Row],[Horas Planificadas]]&lt;&gt;0,+K1740/Planning[[#This Row],[Horas Planificadas]],0)</f>
        <v>#REF!</v>
      </c>
      <c r="V1740" s="43" t="e">
        <f>IF(Planning[[#This Row],[Horas Planificadas]]&lt;&gt;0,Planning[[#This Row],[Horas utilizadas]]/Planning[[#This Row],[Horas Planificadas]],0)</f>
        <v>#REF!</v>
      </c>
      <c r="W1740" s="44">
        <f>Planning[[#This Row],[Horas Planificadas]]+Planning[[#This Row],[Horas ajustadas adicionales]]</f>
        <v>600</v>
      </c>
      <c r="X1740" s="142"/>
    </row>
    <row r="1741" spans="1:24" ht="12.75" customHeight="1" x14ac:dyDescent="0.2">
      <c r="A1741" s="7" t="s">
        <v>294</v>
      </c>
      <c r="B1741" s="7" t="s">
        <v>393</v>
      </c>
      <c r="C1741" s="3"/>
      <c r="D1741" s="3" t="s">
        <v>411</v>
      </c>
      <c r="E1741" s="4"/>
      <c r="F1741" s="3" t="s">
        <v>121</v>
      </c>
      <c r="G1741" s="9"/>
      <c r="H1741" s="9">
        <v>180</v>
      </c>
      <c r="I1741" s="12"/>
      <c r="J1741" s="5" t="e">
        <f>SUM(SUMIFS(#REF!,#REF!,Planning[[#This Row],[Tipo de Tarea y especialidad]],#REF!,Planning[[#This Row],[Proyectos Reiwa]]),SUMIFS(#REF!,#REF!,Planning[[#This Row],[Tipo de Tarea y especialidad]],#REF!,Planning[[#This Row],[Proyectos]]))</f>
        <v>#REF!</v>
      </c>
      <c r="K1741" s="5" t="e">
        <f>Planning[[#This Row],[Horas Planificadas]]+Planning[[#This Row],[Horas ajustadas adicionales]]-Planning[[#This Row],[Horas utilizadas]]</f>
        <v>#REF!</v>
      </c>
      <c r="L1741" s="7">
        <v>0</v>
      </c>
      <c r="M1741" s="19" t="e">
        <f>Planning[[#This Row],[Saldo]]-Planning[[#This Row],[Saldo estimado]]</f>
        <v>#REF!</v>
      </c>
      <c r="N1741" s="60" t="e">
        <f>+SUMIFS(#REF!,#REF!,Planning[[#This Row],[Proyectos]],#REF!,Planning[[#This Row],[Tipo de Tarea y especialidad]])</f>
        <v>#REF!</v>
      </c>
      <c r="O1741" s="19">
        <f t="shared" si="54"/>
        <v>10</v>
      </c>
      <c r="P1741" s="19">
        <f t="shared" si="55"/>
        <v>2024</v>
      </c>
      <c r="Q17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41" s="19" t="str">
        <f>TEXT(Planning[[#This Row],[Mes]]*29,"mmmm")</f>
        <v>October</v>
      </c>
      <c r="S17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41" s="193"/>
      <c r="U1741" s="43" t="e">
        <f>IF(Planning[[#This Row],[Horas Planificadas]]&lt;&gt;0,+K1741/Planning[[#This Row],[Horas Planificadas]],0)</f>
        <v>#REF!</v>
      </c>
      <c r="V1741" s="43" t="e">
        <f>IF(Planning[[#This Row],[Horas Planificadas]]&lt;&gt;0,Planning[[#This Row],[Horas utilizadas]]/Planning[[#This Row],[Horas Planificadas]],0)</f>
        <v>#REF!</v>
      </c>
      <c r="W1741" s="44">
        <f>Planning[[#This Row],[Horas Planificadas]]+Planning[[#This Row],[Horas ajustadas adicionales]]</f>
        <v>180</v>
      </c>
      <c r="X1741" s="142"/>
    </row>
    <row r="1742" spans="1:24" ht="12.75" customHeight="1" x14ac:dyDescent="0.2">
      <c r="A1742" s="7" t="s">
        <v>294</v>
      </c>
      <c r="B1742" s="7" t="s">
        <v>393</v>
      </c>
      <c r="C1742" s="3"/>
      <c r="D1742" s="3" t="s">
        <v>411</v>
      </c>
      <c r="E1742" s="4" t="s">
        <v>30</v>
      </c>
      <c r="F1742" s="3"/>
      <c r="G1742" s="9">
        <v>918</v>
      </c>
      <c r="H1742" s="14">
        <f>SUM(H1743:H1749)</f>
        <v>540</v>
      </c>
      <c r="I1742" s="14"/>
      <c r="J1742" s="14" t="e">
        <f>SUM(J1743:J1749)</f>
        <v>#REF!</v>
      </c>
      <c r="K1742" s="15" t="e">
        <f>SUM(K1743:K1749)</f>
        <v>#REF!</v>
      </c>
      <c r="L1742" s="15">
        <f>SUM(L1743:L1749)</f>
        <v>130</v>
      </c>
      <c r="M1742" s="16" t="e">
        <f>SUM(M1743:M1749)</f>
        <v>#REF!</v>
      </c>
      <c r="N1742" s="60" t="e">
        <f>+SUMIFS(#REF!,#REF!,Planning[[#This Row],[Proyectos]],#REF!,Planning[[#This Row],[Tipo de Tarea y especialidad]])</f>
        <v>#REF!</v>
      </c>
      <c r="O1742" s="16">
        <f t="shared" si="54"/>
        <v>10</v>
      </c>
      <c r="P1742" s="16">
        <f t="shared" si="55"/>
        <v>2024</v>
      </c>
      <c r="Q1742" s="16" t="e">
        <f>SUM(Q1743:Q1749)</f>
        <v>#REF!</v>
      </c>
      <c r="R1742" s="16" t="str">
        <f>TEXT(Planning[[#This Row],[Mes]]*29,"mmmm")</f>
        <v>October</v>
      </c>
      <c r="S17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42" s="193"/>
      <c r="U1742" s="43" t="e">
        <f>IF(Planning[[#This Row],[Horas Planificadas]]&lt;&gt;0,+K1742/Planning[[#This Row],[Horas Planificadas]],0)</f>
        <v>#REF!</v>
      </c>
      <c r="V1742" s="43" t="e">
        <f>IF(Planning[[#This Row],[Horas Planificadas]]&lt;&gt;0,Planning[[#This Row],[Horas utilizadas]]/Planning[[#This Row],[Horas Planificadas]],0)</f>
        <v>#REF!</v>
      </c>
      <c r="W1742" s="44">
        <f>Planning[[#This Row],[Horas Planificadas]]+Planning[[#This Row],[Horas ajustadas adicionales]]</f>
        <v>540</v>
      </c>
      <c r="X1742" s="142"/>
    </row>
    <row r="1743" spans="1:24" ht="12.75" customHeight="1" x14ac:dyDescent="0.2">
      <c r="A1743" s="7" t="s">
        <v>294</v>
      </c>
      <c r="B1743" s="7" t="s">
        <v>393</v>
      </c>
      <c r="C1743" s="3"/>
      <c r="D1743" s="3" t="s">
        <v>411</v>
      </c>
      <c r="E1743" s="4"/>
      <c r="F1743" s="3" t="s">
        <v>122</v>
      </c>
      <c r="G1743" s="9"/>
      <c r="H1743" s="9"/>
      <c r="I1743" s="12"/>
      <c r="J1743" s="5" t="e">
        <f>SUM(SUMIFS(#REF!,#REF!,Planning[[#This Row],[Tipo de Tarea y especialidad]],#REF!,Planning[[#This Row],[Proyectos Reiwa]]),SUMIFS(#REF!,#REF!,Planning[[#This Row],[Tipo de Tarea y especialidad]],#REF!,Planning[[#This Row],[Proyectos]]))</f>
        <v>#REF!</v>
      </c>
      <c r="K1743" s="5" t="e">
        <f>Planning[[#This Row],[Horas Planificadas]]+Planning[[#This Row],[Horas ajustadas adicionales]]-Planning[[#This Row],[Horas utilizadas]]</f>
        <v>#REF!</v>
      </c>
      <c r="L1743" s="7"/>
      <c r="M1743" s="19" t="e">
        <f>Planning[[#This Row],[Saldo]]-Planning[[#This Row],[Saldo estimado]]</f>
        <v>#REF!</v>
      </c>
      <c r="N1743" s="60" t="e">
        <f>+SUMIFS(#REF!,#REF!,Planning[[#This Row],[Proyectos]],#REF!,Planning[[#This Row],[Tipo de Tarea y especialidad]])</f>
        <v>#REF!</v>
      </c>
      <c r="O1743" s="19">
        <f t="shared" si="54"/>
        <v>10</v>
      </c>
      <c r="P1743" s="19">
        <f t="shared" si="55"/>
        <v>2024</v>
      </c>
      <c r="Q17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43" s="19" t="str">
        <f>TEXT(Planning[[#This Row],[Mes]]*29,"mmmm")</f>
        <v>October</v>
      </c>
      <c r="S17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43" s="193"/>
      <c r="U1743" s="43">
        <f>IF(Planning[[#This Row],[Horas Planificadas]]&lt;&gt;0,+K1743/Planning[[#This Row],[Horas Planificadas]],0)</f>
        <v>0</v>
      </c>
      <c r="V1743" s="43">
        <f>IF(Planning[[#This Row],[Horas Planificadas]]&lt;&gt;0,Planning[[#This Row],[Horas utilizadas]]/Planning[[#This Row],[Horas Planificadas]],0)</f>
        <v>0</v>
      </c>
      <c r="W1743" s="44">
        <f>Planning[[#This Row],[Horas Planificadas]]+Planning[[#This Row],[Horas ajustadas adicionales]]</f>
        <v>0</v>
      </c>
      <c r="X1743" s="142"/>
    </row>
    <row r="1744" spans="1:24" ht="12.75" customHeight="1" x14ac:dyDescent="0.2">
      <c r="A1744" s="7" t="s">
        <v>294</v>
      </c>
      <c r="B1744" s="7" t="s">
        <v>393</v>
      </c>
      <c r="C1744" s="3"/>
      <c r="D1744" s="3" t="s">
        <v>411</v>
      </c>
      <c r="E1744" s="4"/>
      <c r="F1744" s="3" t="s">
        <v>123</v>
      </c>
      <c r="G1744" s="9"/>
      <c r="H1744" s="9"/>
      <c r="I1744" s="12"/>
      <c r="J1744" s="5" t="e">
        <f>SUM(SUMIFS(#REF!,#REF!,Planning[[#This Row],[Tipo de Tarea y especialidad]],#REF!,Planning[[#This Row],[Proyectos Reiwa]]),SUMIFS(#REF!,#REF!,Planning[[#This Row],[Tipo de Tarea y especialidad]],#REF!,Planning[[#This Row],[Proyectos]]))</f>
        <v>#REF!</v>
      </c>
      <c r="K1744" s="5" t="e">
        <f>Planning[[#This Row],[Horas Planificadas]]+Planning[[#This Row],[Horas ajustadas adicionales]]-Planning[[#This Row],[Horas utilizadas]]</f>
        <v>#REF!</v>
      </c>
      <c r="L1744" s="7"/>
      <c r="M1744" s="19" t="e">
        <f>Planning[[#This Row],[Saldo]]-Planning[[#This Row],[Saldo estimado]]</f>
        <v>#REF!</v>
      </c>
      <c r="N1744" s="60" t="e">
        <f>+SUMIFS(#REF!,#REF!,Planning[[#This Row],[Proyectos]],#REF!,Planning[[#This Row],[Tipo de Tarea y especialidad]])</f>
        <v>#REF!</v>
      </c>
      <c r="O1744" s="19">
        <f t="shared" si="54"/>
        <v>10</v>
      </c>
      <c r="P1744" s="19">
        <f t="shared" si="55"/>
        <v>2024</v>
      </c>
      <c r="Q17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44" s="19" t="str">
        <f>TEXT(Planning[[#This Row],[Mes]]*29,"mmmm")</f>
        <v>October</v>
      </c>
      <c r="S17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44" s="193"/>
      <c r="U1744" s="43">
        <f>IF(Planning[[#This Row],[Horas Planificadas]]&lt;&gt;0,+K1744/Planning[[#This Row],[Horas Planificadas]],0)</f>
        <v>0</v>
      </c>
      <c r="V1744" s="43">
        <f>IF(Planning[[#This Row],[Horas Planificadas]]&lt;&gt;0,Planning[[#This Row],[Horas utilizadas]]/Planning[[#This Row],[Horas Planificadas]],0)</f>
        <v>0</v>
      </c>
      <c r="W1744" s="44">
        <f>Planning[[#This Row],[Horas Planificadas]]+Planning[[#This Row],[Horas ajustadas adicionales]]</f>
        <v>0</v>
      </c>
      <c r="X1744" s="142"/>
    </row>
    <row r="1745" spans="1:24" ht="12.75" customHeight="1" x14ac:dyDescent="0.2">
      <c r="A1745" s="7" t="s">
        <v>294</v>
      </c>
      <c r="B1745" s="7" t="s">
        <v>393</v>
      </c>
      <c r="C1745" s="3"/>
      <c r="D1745" s="3" t="s">
        <v>411</v>
      </c>
      <c r="E1745" s="4"/>
      <c r="F1745" s="3" t="s">
        <v>124</v>
      </c>
      <c r="G1745" s="9"/>
      <c r="H1745" s="9">
        <v>540</v>
      </c>
      <c r="I1745" s="12"/>
      <c r="J1745" s="5" t="e">
        <f>SUM(SUMIFS(#REF!,#REF!,Planning[[#This Row],[Tipo de Tarea y especialidad]],#REF!,Planning[[#This Row],[Proyectos Reiwa]]),SUMIFS(#REF!,#REF!,Planning[[#This Row],[Tipo de Tarea y especialidad]],#REF!,Planning[[#This Row],[Proyectos]]))</f>
        <v>#REF!</v>
      </c>
      <c r="K1745" s="5" t="e">
        <f>Planning[[#This Row],[Horas Planificadas]]+Planning[[#This Row],[Horas ajustadas adicionales]]-Planning[[#This Row],[Horas utilizadas]]</f>
        <v>#REF!</v>
      </c>
      <c r="L1745" s="7">
        <v>130</v>
      </c>
      <c r="M1745" s="19" t="e">
        <f>Planning[[#This Row],[Saldo]]-Planning[[#This Row],[Saldo estimado]]</f>
        <v>#REF!</v>
      </c>
      <c r="N1745" s="60" t="e">
        <f>+SUMIFS(#REF!,#REF!,Planning[[#This Row],[Proyectos]],#REF!,Planning[[#This Row],[Tipo de Tarea y especialidad]])</f>
        <v>#REF!</v>
      </c>
      <c r="O1745" s="19">
        <f t="shared" si="54"/>
        <v>10</v>
      </c>
      <c r="P1745" s="19">
        <f t="shared" si="55"/>
        <v>2024</v>
      </c>
      <c r="Q17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45" s="19" t="str">
        <f>TEXT(Planning[[#This Row],[Mes]]*29,"mmmm")</f>
        <v>October</v>
      </c>
      <c r="S17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45" s="193"/>
      <c r="U1745" s="43" t="e">
        <f>IF(Planning[[#This Row],[Horas Planificadas]]&lt;&gt;0,+K1745/Planning[[#This Row],[Horas Planificadas]],0)</f>
        <v>#REF!</v>
      </c>
      <c r="V1745" s="43" t="e">
        <f>IF(Planning[[#This Row],[Horas Planificadas]]&lt;&gt;0,Planning[[#This Row],[Horas utilizadas]]/Planning[[#This Row],[Horas Planificadas]],0)</f>
        <v>#REF!</v>
      </c>
      <c r="W1745" s="44">
        <f>Planning[[#This Row],[Horas Planificadas]]+Planning[[#This Row],[Horas ajustadas adicionales]]</f>
        <v>540</v>
      </c>
      <c r="X1745" s="142"/>
    </row>
    <row r="1746" spans="1:24" ht="12.75" customHeight="1" x14ac:dyDescent="0.2">
      <c r="A1746" s="7" t="s">
        <v>294</v>
      </c>
      <c r="B1746" s="7" t="s">
        <v>393</v>
      </c>
      <c r="C1746" s="3"/>
      <c r="D1746" s="3" t="s">
        <v>411</v>
      </c>
      <c r="E1746" s="4"/>
      <c r="F1746" s="3" t="s">
        <v>125</v>
      </c>
      <c r="G1746" s="9"/>
      <c r="H1746" s="9"/>
      <c r="I1746" s="12"/>
      <c r="J1746" s="5" t="e">
        <f>SUM(SUMIFS(#REF!,#REF!,Planning[[#This Row],[Tipo de Tarea y especialidad]],#REF!,Planning[[#This Row],[Proyectos Reiwa]]),SUMIFS(#REF!,#REF!,Planning[[#This Row],[Tipo de Tarea y especialidad]],#REF!,Planning[[#This Row],[Proyectos]]))</f>
        <v>#REF!</v>
      </c>
      <c r="K1746" s="5" t="e">
        <f>Planning[[#This Row],[Horas Planificadas]]+Planning[[#This Row],[Horas ajustadas adicionales]]-Planning[[#This Row],[Horas utilizadas]]</f>
        <v>#REF!</v>
      </c>
      <c r="L1746" s="7">
        <v>0</v>
      </c>
      <c r="M1746" s="19" t="e">
        <f>Planning[[#This Row],[Saldo]]-Planning[[#This Row],[Saldo estimado]]</f>
        <v>#REF!</v>
      </c>
      <c r="N1746" s="60" t="e">
        <f>+SUMIFS(#REF!,#REF!,Planning[[#This Row],[Proyectos]],#REF!,Planning[[#This Row],[Tipo de Tarea y especialidad]])</f>
        <v>#REF!</v>
      </c>
      <c r="O1746" s="19">
        <f t="shared" si="54"/>
        <v>10</v>
      </c>
      <c r="P1746" s="19">
        <f t="shared" si="55"/>
        <v>2024</v>
      </c>
      <c r="Q17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46" s="19" t="str">
        <f>TEXT(Planning[[#This Row],[Mes]]*29,"mmmm")</f>
        <v>October</v>
      </c>
      <c r="S17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46" s="193"/>
      <c r="U1746" s="43">
        <f>IF(Planning[[#This Row],[Horas Planificadas]]&lt;&gt;0,+K1746/Planning[[#This Row],[Horas Planificadas]],0)</f>
        <v>0</v>
      </c>
      <c r="V1746" s="43">
        <f>IF(Planning[[#This Row],[Horas Planificadas]]&lt;&gt;0,Planning[[#This Row],[Horas utilizadas]]/Planning[[#This Row],[Horas Planificadas]],0)</f>
        <v>0</v>
      </c>
      <c r="W1746" s="44">
        <f>Planning[[#This Row],[Horas Planificadas]]+Planning[[#This Row],[Horas ajustadas adicionales]]</f>
        <v>0</v>
      </c>
      <c r="X1746" s="142"/>
    </row>
    <row r="1747" spans="1:24" ht="12.75" customHeight="1" x14ac:dyDescent="0.2">
      <c r="A1747" s="7" t="s">
        <v>294</v>
      </c>
      <c r="B1747" s="7" t="s">
        <v>393</v>
      </c>
      <c r="C1747" s="3"/>
      <c r="D1747" s="3" t="s">
        <v>411</v>
      </c>
      <c r="E1747" s="4"/>
      <c r="F1747" s="3" t="s">
        <v>126</v>
      </c>
      <c r="G1747" s="9"/>
      <c r="H1747" s="9"/>
      <c r="I1747" s="12"/>
      <c r="J1747" s="5" t="e">
        <f>SUM(SUMIFS(#REF!,#REF!,Planning[[#This Row],[Tipo de Tarea y especialidad]],#REF!,Planning[[#This Row],[Proyectos Reiwa]]),SUMIFS(#REF!,#REF!,Planning[[#This Row],[Tipo de Tarea y especialidad]],#REF!,Planning[[#This Row],[Proyectos]]))</f>
        <v>#REF!</v>
      </c>
      <c r="K1747" s="5" t="e">
        <f>Planning[[#This Row],[Horas Planificadas]]+Planning[[#This Row],[Horas ajustadas adicionales]]-Planning[[#This Row],[Horas utilizadas]]</f>
        <v>#REF!</v>
      </c>
      <c r="L1747" s="7"/>
      <c r="M1747" s="19" t="e">
        <f>Planning[[#This Row],[Saldo]]-Planning[[#This Row],[Saldo estimado]]</f>
        <v>#REF!</v>
      </c>
      <c r="N1747" s="60" t="e">
        <f>+SUMIFS(#REF!,#REF!,Planning[[#This Row],[Proyectos]],#REF!,Planning[[#This Row],[Tipo de Tarea y especialidad]])</f>
        <v>#REF!</v>
      </c>
      <c r="O1747" s="19">
        <f t="shared" si="54"/>
        <v>10</v>
      </c>
      <c r="P1747" s="19">
        <f t="shared" si="55"/>
        <v>2024</v>
      </c>
      <c r="Q17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47" s="19" t="str">
        <f>TEXT(Planning[[#This Row],[Mes]]*29,"mmmm")</f>
        <v>October</v>
      </c>
      <c r="S17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47" s="193"/>
      <c r="U1747" s="43">
        <f>IF(Planning[[#This Row],[Horas Planificadas]]&lt;&gt;0,+K1747/Planning[[#This Row],[Horas Planificadas]],0)</f>
        <v>0</v>
      </c>
      <c r="V1747" s="43">
        <f>IF(Planning[[#This Row],[Horas Planificadas]]&lt;&gt;0,Planning[[#This Row],[Horas utilizadas]]/Planning[[#This Row],[Horas Planificadas]],0)</f>
        <v>0</v>
      </c>
      <c r="W1747" s="44">
        <f>Planning[[#This Row],[Horas Planificadas]]+Planning[[#This Row],[Horas ajustadas adicionales]]</f>
        <v>0</v>
      </c>
      <c r="X1747" s="142"/>
    </row>
    <row r="1748" spans="1:24" ht="12.75" customHeight="1" x14ac:dyDescent="0.2">
      <c r="A1748" s="7" t="s">
        <v>294</v>
      </c>
      <c r="B1748" s="7" t="s">
        <v>393</v>
      </c>
      <c r="C1748" s="3"/>
      <c r="D1748" s="3" t="s">
        <v>411</v>
      </c>
      <c r="E1748" s="4"/>
      <c r="F1748" s="3" t="s">
        <v>127</v>
      </c>
      <c r="G1748" s="9"/>
      <c r="H1748" s="9"/>
      <c r="I1748" s="12"/>
      <c r="J1748" s="5" t="e">
        <f>SUM(SUMIFS(#REF!,#REF!,Planning[[#This Row],[Tipo de Tarea y especialidad]],#REF!,Planning[[#This Row],[Proyectos Reiwa]]),SUMIFS(#REF!,#REF!,Planning[[#This Row],[Tipo de Tarea y especialidad]],#REF!,Planning[[#This Row],[Proyectos]]))</f>
        <v>#REF!</v>
      </c>
      <c r="K1748" s="5" t="e">
        <f>Planning[[#This Row],[Horas Planificadas]]+Planning[[#This Row],[Horas ajustadas adicionales]]-Planning[[#This Row],[Horas utilizadas]]</f>
        <v>#REF!</v>
      </c>
      <c r="L1748" s="7"/>
      <c r="M1748" s="19" t="e">
        <f>Planning[[#This Row],[Saldo]]-Planning[[#This Row],[Saldo estimado]]</f>
        <v>#REF!</v>
      </c>
      <c r="N1748" s="60" t="e">
        <f>+SUMIFS(#REF!,#REF!,Planning[[#This Row],[Proyectos]],#REF!,Planning[[#This Row],[Tipo de Tarea y especialidad]])</f>
        <v>#REF!</v>
      </c>
      <c r="O1748" s="19">
        <f t="shared" si="54"/>
        <v>10</v>
      </c>
      <c r="P1748" s="19">
        <f t="shared" si="55"/>
        <v>2024</v>
      </c>
      <c r="Q17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48" s="19" t="str">
        <f>TEXT(Planning[[#This Row],[Mes]]*29,"mmmm")</f>
        <v>October</v>
      </c>
      <c r="S17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48" s="193"/>
      <c r="U1748" s="43">
        <f>IF(Planning[[#This Row],[Horas Planificadas]]&lt;&gt;0,+K1748/Planning[[#This Row],[Horas Planificadas]],0)</f>
        <v>0</v>
      </c>
      <c r="V1748" s="43">
        <f>IF(Planning[[#This Row],[Horas Planificadas]]&lt;&gt;0,Planning[[#This Row],[Horas utilizadas]]/Planning[[#This Row],[Horas Planificadas]],0)</f>
        <v>0</v>
      </c>
      <c r="W1748" s="44">
        <f>Planning[[#This Row],[Horas Planificadas]]+Planning[[#This Row],[Horas ajustadas adicionales]]</f>
        <v>0</v>
      </c>
      <c r="X1748" s="142"/>
    </row>
    <row r="1749" spans="1:24" ht="12.75" customHeight="1" x14ac:dyDescent="0.2">
      <c r="A1749" s="7" t="s">
        <v>294</v>
      </c>
      <c r="B1749" s="7" t="s">
        <v>393</v>
      </c>
      <c r="C1749" s="3"/>
      <c r="D1749" s="3" t="s">
        <v>411</v>
      </c>
      <c r="E1749" s="4"/>
      <c r="F1749" s="3" t="s">
        <v>128</v>
      </c>
      <c r="G1749" s="9"/>
      <c r="H1749" s="9"/>
      <c r="I1749" s="12"/>
      <c r="J1749" s="5" t="e">
        <f>SUM(SUMIFS(#REF!,#REF!,Planning[[#This Row],[Tipo de Tarea y especialidad]],#REF!,Planning[[#This Row],[Proyectos Reiwa]]),SUMIFS(#REF!,#REF!,Planning[[#This Row],[Tipo de Tarea y especialidad]],#REF!,Planning[[#This Row],[Proyectos]]))</f>
        <v>#REF!</v>
      </c>
      <c r="K1749" s="5" t="e">
        <f>Planning[[#This Row],[Horas Planificadas]]+Planning[[#This Row],[Horas ajustadas adicionales]]-Planning[[#This Row],[Horas utilizadas]]</f>
        <v>#REF!</v>
      </c>
      <c r="L1749" s="7">
        <v>0</v>
      </c>
      <c r="M1749" s="19" t="e">
        <f>Planning[[#This Row],[Saldo]]-Planning[[#This Row],[Saldo estimado]]</f>
        <v>#REF!</v>
      </c>
      <c r="N1749" s="60" t="e">
        <f>+SUMIFS(#REF!,#REF!,Planning[[#This Row],[Proyectos]],#REF!,Planning[[#This Row],[Tipo de Tarea y especialidad]])</f>
        <v>#REF!</v>
      </c>
      <c r="O1749" s="19">
        <f t="shared" si="54"/>
        <v>10</v>
      </c>
      <c r="P1749" s="19">
        <f t="shared" si="55"/>
        <v>2024</v>
      </c>
      <c r="Q17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49" s="19" t="str">
        <f>TEXT(Planning[[#This Row],[Mes]]*29,"mmmm")</f>
        <v>October</v>
      </c>
      <c r="S17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49" s="193"/>
      <c r="U1749" s="43">
        <f>IF(Planning[[#This Row],[Horas Planificadas]]&lt;&gt;0,+K1749/Planning[[#This Row],[Horas Planificadas]],0)</f>
        <v>0</v>
      </c>
      <c r="V1749" s="43">
        <f>IF(Planning[[#This Row],[Horas Planificadas]]&lt;&gt;0,Planning[[#This Row],[Horas utilizadas]]/Planning[[#This Row],[Horas Planificadas]],0)</f>
        <v>0</v>
      </c>
      <c r="W1749" s="44">
        <f>Planning[[#This Row],[Horas Planificadas]]+Planning[[#This Row],[Horas ajustadas adicionales]]</f>
        <v>0</v>
      </c>
      <c r="X1749" s="142"/>
    </row>
    <row r="1750" spans="1:24" ht="12.75" customHeight="1" x14ac:dyDescent="0.2">
      <c r="A1750" s="7" t="s">
        <v>294</v>
      </c>
      <c r="B1750" s="7" t="s">
        <v>393</v>
      </c>
      <c r="C1750" s="3"/>
      <c r="D1750" s="3" t="s">
        <v>411</v>
      </c>
      <c r="E1750" s="4" t="s">
        <v>31</v>
      </c>
      <c r="F1750" s="3" t="s">
        <v>31</v>
      </c>
      <c r="G1750" s="9">
        <v>198</v>
      </c>
      <c r="H1750" s="17">
        <v>198</v>
      </c>
      <c r="I1750" s="18"/>
      <c r="J1750" s="14" t="e">
        <f>+SUMIFS(#REF!,#REF!,Planning[[#This Row],[Tarifa]],#REF!,Planning[[#This Row],[Proyectos]])</f>
        <v>#REF!</v>
      </c>
      <c r="K1750" s="14" t="e">
        <f>Planning[[#This Row],[Horas Planificadas]]+Planning[[#This Row],[Horas ajustadas adicionales]]-Planning[[#This Row],[Horas utilizadas]]</f>
        <v>#REF!</v>
      </c>
      <c r="L1750" s="15">
        <v>0</v>
      </c>
      <c r="M1750" s="16" t="e">
        <f>Planning[[#This Row],[Saldo]]-Planning[[#This Row],[Saldo estimado]]</f>
        <v>#REF!</v>
      </c>
      <c r="N1750" s="60" t="e">
        <f>+SUMIFS(#REF!,#REF!,Planning[[#This Row],[Proyectos]],#REF!,Planning[[#This Row],[Tipo de Tarea y especialidad]])</f>
        <v>#REF!</v>
      </c>
      <c r="O1750" s="16">
        <f t="shared" si="54"/>
        <v>10</v>
      </c>
      <c r="P1750" s="16">
        <f t="shared" si="55"/>
        <v>2024</v>
      </c>
      <c r="Q1750" s="16" t="e">
        <f>+SUMIFS(#REF!,#REF!,Planning[[#This Row],[Tarifa]],#REF!,Planning[[#This Row],[Proyectos]],#REF!,Planning[[#This Row],[Mes]],#REF!,Planning[[#This Row],[Año]])</f>
        <v>#REF!</v>
      </c>
      <c r="R1750" s="16" t="str">
        <f>TEXT(Planning[[#This Row],[Mes]]*29,"mmmm")</f>
        <v>October</v>
      </c>
      <c r="S17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50" s="193"/>
      <c r="U1750" s="43" t="e">
        <f>IF(Planning[[#This Row],[Horas Planificadas]]&lt;&gt;0,+K1750/Planning[[#This Row],[Horas Planificadas]],0)</f>
        <v>#REF!</v>
      </c>
      <c r="V1750" s="43" t="e">
        <f>IF(Planning[[#This Row],[Horas Planificadas]]&lt;&gt;0,Planning[[#This Row],[Horas utilizadas]]/Planning[[#This Row],[Horas Planificadas]],0)</f>
        <v>#REF!</v>
      </c>
      <c r="W1750" s="44">
        <f>Planning[[#This Row],[Horas Planificadas]]+Planning[[#This Row],[Horas ajustadas adicionales]]</f>
        <v>198</v>
      </c>
      <c r="X1750" s="142"/>
    </row>
    <row r="1751" spans="1:24" ht="12.75" customHeight="1" x14ac:dyDescent="0.2">
      <c r="A1751" s="7" t="s">
        <v>294</v>
      </c>
      <c r="B1751" s="7" t="s">
        <v>393</v>
      </c>
      <c r="C1751" s="3"/>
      <c r="D1751" s="3" t="s">
        <v>411</v>
      </c>
      <c r="E1751" s="4" t="s">
        <v>32</v>
      </c>
      <c r="F1751" s="3"/>
      <c r="G1751" s="9">
        <v>340</v>
      </c>
      <c r="H1751" s="14">
        <f>SUM(H1752:H1754)</f>
        <v>550</v>
      </c>
      <c r="I1751" s="14"/>
      <c r="J1751" s="14" t="e">
        <f>SUM(J1752:J1754)</f>
        <v>#REF!</v>
      </c>
      <c r="K1751" s="15" t="e">
        <f>SUM(K1752:K1754)</f>
        <v>#REF!</v>
      </c>
      <c r="L1751" s="15">
        <f>SUM(L1752:L1754)</f>
        <v>450</v>
      </c>
      <c r="M1751" s="16" t="e">
        <f>SUM(M1752:M1754)</f>
        <v>#REF!</v>
      </c>
      <c r="N1751" s="60" t="e">
        <f>+SUMIFS(#REF!,#REF!,Planning[[#This Row],[Proyectos]],#REF!,Planning[[#This Row],[Tipo de Tarea y especialidad]])</f>
        <v>#REF!</v>
      </c>
      <c r="O1751" s="16">
        <f t="shared" si="54"/>
        <v>10</v>
      </c>
      <c r="P1751" s="16">
        <f t="shared" si="55"/>
        <v>2024</v>
      </c>
      <c r="Q1751" s="16" t="e">
        <f>SUM(Q1752:Q1754)</f>
        <v>#REF!</v>
      </c>
      <c r="R1751" s="16" t="str">
        <f>TEXT(Planning[[#This Row],[Mes]]*29,"mmmm")</f>
        <v>October</v>
      </c>
      <c r="S17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51" s="193"/>
      <c r="U1751" s="43" t="e">
        <f>IF(Planning[[#This Row],[Horas Planificadas]]&lt;&gt;0,+K1751/Planning[[#This Row],[Horas Planificadas]],0)</f>
        <v>#REF!</v>
      </c>
      <c r="V1751" s="43" t="e">
        <f>IF(Planning[[#This Row],[Horas Planificadas]]&lt;&gt;0,Planning[[#This Row],[Horas utilizadas]]/Planning[[#This Row],[Horas Planificadas]],0)</f>
        <v>#REF!</v>
      </c>
      <c r="W1751" s="44">
        <f>Planning[[#This Row],[Horas Planificadas]]+Planning[[#This Row],[Horas ajustadas adicionales]]</f>
        <v>550</v>
      </c>
      <c r="X1751" s="142"/>
    </row>
    <row r="1752" spans="1:24" ht="12.75" customHeight="1" x14ac:dyDescent="0.2">
      <c r="A1752" s="7" t="s">
        <v>294</v>
      </c>
      <c r="B1752" s="7" t="s">
        <v>393</v>
      </c>
      <c r="C1752" s="3"/>
      <c r="D1752" s="3" t="s">
        <v>411</v>
      </c>
      <c r="E1752" s="4"/>
      <c r="F1752" s="3" t="s">
        <v>129</v>
      </c>
      <c r="G1752" s="9"/>
      <c r="H1752" s="9"/>
      <c r="I1752" s="12"/>
      <c r="J1752" s="5" t="e">
        <f>SUM(SUMIFS(#REF!,#REF!,Planning[[#This Row],[Tipo de Tarea y especialidad]],#REF!,Planning[[#This Row],[Proyectos Reiwa]]),SUMIFS(#REF!,#REF!,Planning[[#This Row],[Tipo de Tarea y especialidad]],#REF!,Planning[[#This Row],[Proyectos]]))</f>
        <v>#REF!</v>
      </c>
      <c r="K1752" s="5" t="e">
        <f>Planning[[#This Row],[Horas Planificadas]]+Planning[[#This Row],[Horas ajustadas adicionales]]-Planning[[#This Row],[Horas utilizadas]]</f>
        <v>#REF!</v>
      </c>
      <c r="L1752" s="7"/>
      <c r="M1752" s="19" t="e">
        <f>Planning[[#This Row],[Saldo]]-Planning[[#This Row],[Saldo estimado]]</f>
        <v>#REF!</v>
      </c>
      <c r="N1752" s="60" t="e">
        <f>+SUMIFS(#REF!,#REF!,Planning[[#This Row],[Proyectos]],#REF!,Planning[[#This Row],[Tipo de Tarea y especialidad]])</f>
        <v>#REF!</v>
      </c>
      <c r="O1752" s="19">
        <f t="shared" si="54"/>
        <v>10</v>
      </c>
      <c r="P1752" s="19">
        <f t="shared" si="55"/>
        <v>2024</v>
      </c>
      <c r="Q17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52" s="19" t="str">
        <f>TEXT(Planning[[#This Row],[Mes]]*29,"mmmm")</f>
        <v>October</v>
      </c>
      <c r="S17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52" s="193"/>
      <c r="U1752" s="43">
        <f>IF(Planning[[#This Row],[Horas Planificadas]]&lt;&gt;0,+K1752/Planning[[#This Row],[Horas Planificadas]],0)</f>
        <v>0</v>
      </c>
      <c r="V1752" s="43">
        <f>IF(Planning[[#This Row],[Horas Planificadas]]&lt;&gt;0,Planning[[#This Row],[Horas utilizadas]]/Planning[[#This Row],[Horas Planificadas]],0)</f>
        <v>0</v>
      </c>
      <c r="W1752" s="44">
        <f>Planning[[#This Row],[Horas Planificadas]]+Planning[[#This Row],[Horas ajustadas adicionales]]</f>
        <v>0</v>
      </c>
      <c r="X1752" s="142"/>
    </row>
    <row r="1753" spans="1:24" ht="12.75" customHeight="1" x14ac:dyDescent="0.2">
      <c r="A1753" s="7" t="s">
        <v>294</v>
      </c>
      <c r="B1753" s="7" t="s">
        <v>393</v>
      </c>
      <c r="C1753" s="3"/>
      <c r="D1753" s="3" t="s">
        <v>411</v>
      </c>
      <c r="E1753" s="4"/>
      <c r="F1753" s="3" t="s">
        <v>130</v>
      </c>
      <c r="G1753" s="9"/>
      <c r="H1753" s="9"/>
      <c r="I1753" s="12"/>
      <c r="J1753" s="5" t="e">
        <f>SUM(SUMIFS(#REF!,#REF!,Planning[[#This Row],[Tipo de Tarea y especialidad]],#REF!,Planning[[#This Row],[Proyectos Reiwa]]),SUMIFS(#REF!,#REF!,Planning[[#This Row],[Tipo de Tarea y especialidad]],#REF!,Planning[[#This Row],[Proyectos]]))</f>
        <v>#REF!</v>
      </c>
      <c r="K1753" s="5" t="e">
        <f>Planning[[#This Row],[Horas Planificadas]]+Planning[[#This Row],[Horas ajustadas adicionales]]-Planning[[#This Row],[Horas utilizadas]]</f>
        <v>#REF!</v>
      </c>
      <c r="L1753" s="7"/>
      <c r="M1753" s="19" t="e">
        <f>Planning[[#This Row],[Saldo]]-Planning[[#This Row],[Saldo estimado]]</f>
        <v>#REF!</v>
      </c>
      <c r="N1753" s="60" t="e">
        <f>+SUMIFS(#REF!,#REF!,Planning[[#This Row],[Proyectos]],#REF!,Planning[[#This Row],[Tipo de Tarea y especialidad]])</f>
        <v>#REF!</v>
      </c>
      <c r="O1753" s="19">
        <f t="shared" si="54"/>
        <v>10</v>
      </c>
      <c r="P1753" s="19">
        <f t="shared" si="55"/>
        <v>2024</v>
      </c>
      <c r="Q17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53" s="19" t="str">
        <f>TEXT(Planning[[#This Row],[Mes]]*29,"mmmm")</f>
        <v>October</v>
      </c>
      <c r="S17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53" s="193"/>
      <c r="U1753" s="43">
        <f>IF(Planning[[#This Row],[Horas Planificadas]]&lt;&gt;0,+K1753/Planning[[#This Row],[Horas Planificadas]],0)</f>
        <v>0</v>
      </c>
      <c r="V1753" s="43">
        <f>IF(Planning[[#This Row],[Horas Planificadas]]&lt;&gt;0,Planning[[#This Row],[Horas utilizadas]]/Planning[[#This Row],[Horas Planificadas]],0)</f>
        <v>0</v>
      </c>
      <c r="W1753" s="44">
        <f>Planning[[#This Row],[Horas Planificadas]]+Planning[[#This Row],[Horas ajustadas adicionales]]</f>
        <v>0</v>
      </c>
      <c r="X1753" s="142"/>
    </row>
    <row r="1754" spans="1:24" ht="12.75" customHeight="1" x14ac:dyDescent="0.2">
      <c r="A1754" s="7" t="s">
        <v>294</v>
      </c>
      <c r="B1754" s="7" t="s">
        <v>393</v>
      </c>
      <c r="C1754" s="3"/>
      <c r="D1754" s="3" t="s">
        <v>411</v>
      </c>
      <c r="E1754" s="4"/>
      <c r="F1754" s="3" t="s">
        <v>131</v>
      </c>
      <c r="G1754" s="9"/>
      <c r="H1754" s="9">
        <v>550</v>
      </c>
      <c r="I1754" s="12"/>
      <c r="J1754" s="5" t="e">
        <f>SUM(SUMIFS(#REF!,#REF!,Planning[[#This Row],[Tipo de Tarea y especialidad]],#REF!,Planning[[#This Row],[Proyectos Reiwa]]),SUMIFS(#REF!,#REF!,Planning[[#This Row],[Tipo de Tarea y especialidad]],#REF!,Planning[[#This Row],[Proyectos]]))</f>
        <v>#REF!</v>
      </c>
      <c r="K1754" s="5" t="e">
        <f>Planning[[#This Row],[Horas Planificadas]]+Planning[[#This Row],[Horas ajustadas adicionales]]-Planning[[#This Row],[Horas utilizadas]]</f>
        <v>#REF!</v>
      </c>
      <c r="L1754" s="7">
        <v>450</v>
      </c>
      <c r="M1754" s="19" t="e">
        <f>Planning[[#This Row],[Saldo]]-Planning[[#This Row],[Saldo estimado]]</f>
        <v>#REF!</v>
      </c>
      <c r="N1754" s="60" t="e">
        <f>+SUMIFS(#REF!,#REF!,Planning[[#This Row],[Proyectos]],#REF!,Planning[[#This Row],[Tipo de Tarea y especialidad]])</f>
        <v>#REF!</v>
      </c>
      <c r="O1754" s="19">
        <f t="shared" si="54"/>
        <v>10</v>
      </c>
      <c r="P1754" s="19">
        <f t="shared" si="55"/>
        <v>2024</v>
      </c>
      <c r="Q17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54" s="19" t="str">
        <f>TEXT(Planning[[#This Row],[Mes]]*29,"mmmm")</f>
        <v>October</v>
      </c>
      <c r="S17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54" s="193"/>
      <c r="U1754" s="43" t="e">
        <f>IF(Planning[[#This Row],[Horas Planificadas]]&lt;&gt;0,+K1754/Planning[[#This Row],[Horas Planificadas]],0)</f>
        <v>#REF!</v>
      </c>
      <c r="V1754" s="43" t="e">
        <f>IF(Planning[[#This Row],[Horas Planificadas]]&lt;&gt;0,Planning[[#This Row],[Horas utilizadas]]/Planning[[#This Row],[Horas Planificadas]],0)</f>
        <v>#REF!</v>
      </c>
      <c r="W1754" s="44">
        <f>Planning[[#This Row],[Horas Planificadas]]+Planning[[#This Row],[Horas ajustadas adicionales]]</f>
        <v>550</v>
      </c>
      <c r="X1754" s="142"/>
    </row>
    <row r="1755" spans="1:24" ht="12.75" customHeight="1" x14ac:dyDescent="0.2">
      <c r="A1755" s="7" t="s">
        <v>294</v>
      </c>
      <c r="B1755" s="7" t="s">
        <v>393</v>
      </c>
      <c r="C1755" s="3"/>
      <c r="D1755" s="3" t="s">
        <v>413</v>
      </c>
      <c r="E1755" s="33" t="s">
        <v>28</v>
      </c>
      <c r="F1755" s="36"/>
      <c r="G1755" s="7">
        <v>405</v>
      </c>
      <c r="H1755" s="24">
        <f>SUM(H1756:H1757)</f>
        <v>356</v>
      </c>
      <c r="I1755" s="14"/>
      <c r="J1755" s="14" t="e">
        <f>SUM(J1756:J1757)</f>
        <v>#REF!</v>
      </c>
      <c r="K1755" s="18" t="e">
        <f>SUM(K1756:K1757)</f>
        <v>#REF!</v>
      </c>
      <c r="L1755" s="15">
        <f>SUM(L1756:L1757)</f>
        <v>71</v>
      </c>
      <c r="M1755" s="28" t="e">
        <f>SUM(M1756:M1757)</f>
        <v>#REF!</v>
      </c>
      <c r="N1755" s="61" t="e">
        <f>+SUMIFS(#REF!,#REF!,Planning[[#This Row],[Proyectos]],#REF!,Planning[[#This Row],[Tipo de Tarea y especialidad]])</f>
        <v>#REF!</v>
      </c>
      <c r="O1755" s="28">
        <f t="shared" si="54"/>
        <v>10</v>
      </c>
      <c r="P1755" s="28">
        <f t="shared" si="55"/>
        <v>2024</v>
      </c>
      <c r="Q1755" s="28" t="e">
        <f>SUM(Q1756:Q1757)</f>
        <v>#REF!</v>
      </c>
      <c r="R1755" s="28" t="str">
        <f>TEXT(Planning[[#This Row],[Mes]]*29,"mmmm")</f>
        <v>October</v>
      </c>
      <c r="S17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55" s="192" t="s">
        <v>414</v>
      </c>
      <c r="U1755" s="43" t="e">
        <f>IF(Planning[[#This Row],[Horas Planificadas]]&lt;&gt;0,+K1755/Planning[[#This Row],[Horas Planificadas]],0)</f>
        <v>#REF!</v>
      </c>
      <c r="V1755" s="43" t="e">
        <f>IF(Planning[[#This Row],[Horas Planificadas]]&lt;&gt;0,Planning[[#This Row],[Horas utilizadas]]/Planning[[#This Row],[Horas Planificadas]],0)</f>
        <v>#REF!</v>
      </c>
      <c r="W1755" s="44">
        <f>Planning[[#This Row],[Horas Planificadas]]+Planning[[#This Row],[Horas ajustadas adicionales]]</f>
        <v>356</v>
      </c>
      <c r="X1755" s="142"/>
    </row>
    <row r="1756" spans="1:24" ht="12.75" customHeight="1" x14ac:dyDescent="0.2">
      <c r="A1756" s="7" t="s">
        <v>294</v>
      </c>
      <c r="B1756" s="7" t="s">
        <v>393</v>
      </c>
      <c r="C1756" s="3"/>
      <c r="D1756" s="3" t="s">
        <v>413</v>
      </c>
      <c r="E1756" s="33"/>
      <c r="F1756" s="36" t="s">
        <v>120</v>
      </c>
      <c r="G1756" s="7"/>
      <c r="H1756" s="7">
        <v>270</v>
      </c>
      <c r="I1756" s="12"/>
      <c r="J1756" s="5" t="e">
        <f>SUM(SUMIFS(#REF!,#REF!,Planning[[#This Row],[Tipo de Tarea y especialidad]],#REF!,Planning[[#This Row],[Proyectos Reiwa]]),SUMIFS(#REF!,#REF!,Planning[[#This Row],[Tipo de Tarea y especialidad]],#REF!,Planning[[#This Row],[Proyectos]]))</f>
        <v>#REF!</v>
      </c>
      <c r="K1756" s="5" t="e">
        <f>Planning[[#This Row],[Horas Planificadas]]+Planning[[#This Row],[Horas ajustadas adicionales]]-Planning[[#This Row],[Horas utilizadas]]</f>
        <v>#REF!</v>
      </c>
      <c r="L1756" s="7">
        <v>30</v>
      </c>
      <c r="M1756" s="19" t="e">
        <f>Planning[[#This Row],[Saldo]]-Planning[[#This Row],[Saldo estimado]]</f>
        <v>#REF!</v>
      </c>
      <c r="N1756" s="60" t="e">
        <f>+SUMIFS(#REF!,#REF!,Planning[[#This Row],[Proyectos]],#REF!,Planning[[#This Row],[Tipo de Tarea y especialidad]])</f>
        <v>#REF!</v>
      </c>
      <c r="O1756" s="19">
        <f t="shared" si="54"/>
        <v>10</v>
      </c>
      <c r="P1756" s="19">
        <f t="shared" si="55"/>
        <v>2024</v>
      </c>
      <c r="Q17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56" s="19" t="str">
        <f>TEXT(Planning[[#This Row],[Mes]]*29,"mmmm")</f>
        <v>October</v>
      </c>
      <c r="S17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56" s="193"/>
      <c r="U1756" s="43" t="e">
        <f>IF(Planning[[#This Row],[Horas Planificadas]]&lt;&gt;0,+K1756/Planning[[#This Row],[Horas Planificadas]],0)</f>
        <v>#REF!</v>
      </c>
      <c r="V1756" s="43" t="e">
        <f>IF(Planning[[#This Row],[Horas Planificadas]]&lt;&gt;0,Planning[[#This Row],[Horas utilizadas]]/Planning[[#This Row],[Horas Planificadas]],0)</f>
        <v>#REF!</v>
      </c>
      <c r="W1756" s="44">
        <f>Planning[[#This Row],[Horas Planificadas]]+Planning[[#This Row],[Horas ajustadas adicionales]]</f>
        <v>270</v>
      </c>
      <c r="X1756" s="142"/>
    </row>
    <row r="1757" spans="1:24" ht="12.75" customHeight="1" x14ac:dyDescent="0.2">
      <c r="A1757" s="7" t="s">
        <v>294</v>
      </c>
      <c r="B1757" s="7" t="s">
        <v>393</v>
      </c>
      <c r="C1757" s="3"/>
      <c r="D1757" s="3" t="s">
        <v>413</v>
      </c>
      <c r="E1757" s="33"/>
      <c r="F1757" s="36" t="s">
        <v>121</v>
      </c>
      <c r="G1757" s="7"/>
      <c r="H1757" s="7">
        <v>86</v>
      </c>
      <c r="I1757" s="12"/>
      <c r="J1757" s="5" t="e">
        <f>SUM(SUMIFS(#REF!,#REF!,Planning[[#This Row],[Tipo de Tarea y especialidad]],#REF!,Planning[[#This Row],[Proyectos Reiwa]]),SUMIFS(#REF!,#REF!,Planning[[#This Row],[Tipo de Tarea y especialidad]],#REF!,Planning[[#This Row],[Proyectos]]))</f>
        <v>#REF!</v>
      </c>
      <c r="K1757" s="5" t="e">
        <f>Planning[[#This Row],[Horas Planificadas]]+Planning[[#This Row],[Horas ajustadas adicionales]]-Planning[[#This Row],[Horas utilizadas]]</f>
        <v>#REF!</v>
      </c>
      <c r="L1757" s="7">
        <v>41</v>
      </c>
      <c r="M1757" s="19" t="e">
        <f>Planning[[#This Row],[Saldo]]-Planning[[#This Row],[Saldo estimado]]</f>
        <v>#REF!</v>
      </c>
      <c r="N1757" s="60" t="e">
        <f>+SUMIFS(#REF!,#REF!,Planning[[#This Row],[Proyectos]],#REF!,Planning[[#This Row],[Tipo de Tarea y especialidad]])</f>
        <v>#REF!</v>
      </c>
      <c r="O1757" s="19">
        <f t="shared" si="54"/>
        <v>10</v>
      </c>
      <c r="P1757" s="19">
        <f t="shared" si="55"/>
        <v>2024</v>
      </c>
      <c r="Q17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57" s="19" t="str">
        <f>TEXT(Planning[[#This Row],[Mes]]*29,"mmmm")</f>
        <v>October</v>
      </c>
      <c r="S17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57" s="193"/>
      <c r="U1757" s="43" t="e">
        <f>IF(Planning[[#This Row],[Horas Planificadas]]&lt;&gt;0,+K1757/Planning[[#This Row],[Horas Planificadas]],0)</f>
        <v>#REF!</v>
      </c>
      <c r="V1757" s="43" t="e">
        <f>IF(Planning[[#This Row],[Horas Planificadas]]&lt;&gt;0,Planning[[#This Row],[Horas utilizadas]]/Planning[[#This Row],[Horas Planificadas]],0)</f>
        <v>#REF!</v>
      </c>
      <c r="W1757" s="44">
        <f>Planning[[#This Row],[Horas Planificadas]]+Planning[[#This Row],[Horas ajustadas adicionales]]</f>
        <v>86</v>
      </c>
      <c r="X1757" s="142"/>
    </row>
    <row r="1758" spans="1:24" ht="12.75" customHeight="1" x14ac:dyDescent="0.2">
      <c r="A1758" s="7" t="s">
        <v>294</v>
      </c>
      <c r="B1758" s="7" t="s">
        <v>393</v>
      </c>
      <c r="C1758" s="3"/>
      <c r="D1758" s="3" t="s">
        <v>413</v>
      </c>
      <c r="E1758" s="33" t="s">
        <v>30</v>
      </c>
      <c r="F1758" s="36"/>
      <c r="G1758" s="7">
        <v>450</v>
      </c>
      <c r="H1758" s="24">
        <f>SUM(H1759:H1765)</f>
        <v>320</v>
      </c>
      <c r="I1758" s="14"/>
      <c r="J1758" s="14" t="e">
        <f>SUM(J1759:J1765)</f>
        <v>#REF!</v>
      </c>
      <c r="K1758" s="18" t="e">
        <f>SUM(K1759:K1765)</f>
        <v>#REF!</v>
      </c>
      <c r="L1758" s="15">
        <f>SUM(L1759:L1765)</f>
        <v>122</v>
      </c>
      <c r="M1758" s="16" t="e">
        <f>SUM(M1759:M1765)</f>
        <v>#REF!</v>
      </c>
      <c r="N1758" s="60" t="e">
        <f>+SUMIFS(#REF!,#REF!,Planning[[#This Row],[Proyectos]],#REF!,Planning[[#This Row],[Tipo de Tarea y especialidad]])</f>
        <v>#REF!</v>
      </c>
      <c r="O1758" s="16">
        <f t="shared" si="54"/>
        <v>10</v>
      </c>
      <c r="P1758" s="16">
        <f t="shared" si="55"/>
        <v>2024</v>
      </c>
      <c r="Q1758" s="16" t="e">
        <f>SUM(Q1759:Q1765)</f>
        <v>#REF!</v>
      </c>
      <c r="R1758" s="16" t="str">
        <f>TEXT(Planning[[#This Row],[Mes]]*29,"mmmm")</f>
        <v>October</v>
      </c>
      <c r="S17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58" s="193"/>
      <c r="U1758" s="43" t="e">
        <f>IF(Planning[[#This Row],[Horas Planificadas]]&lt;&gt;0,+K1758/Planning[[#This Row],[Horas Planificadas]],0)</f>
        <v>#REF!</v>
      </c>
      <c r="V1758" s="43" t="e">
        <f>IF(Planning[[#This Row],[Horas Planificadas]]&lt;&gt;0,Planning[[#This Row],[Horas utilizadas]]/Planning[[#This Row],[Horas Planificadas]],0)</f>
        <v>#REF!</v>
      </c>
      <c r="W1758" s="44">
        <f>Planning[[#This Row],[Horas Planificadas]]+Planning[[#This Row],[Horas ajustadas adicionales]]</f>
        <v>320</v>
      </c>
      <c r="X1758" s="142"/>
    </row>
    <row r="1759" spans="1:24" ht="12.75" customHeight="1" x14ac:dyDescent="0.2">
      <c r="A1759" s="7" t="s">
        <v>294</v>
      </c>
      <c r="B1759" s="7" t="s">
        <v>393</v>
      </c>
      <c r="C1759" s="3"/>
      <c r="D1759" s="3" t="s">
        <v>413</v>
      </c>
      <c r="E1759" s="4"/>
      <c r="F1759" s="3" t="s">
        <v>122</v>
      </c>
      <c r="G1759" s="9"/>
      <c r="H1759" s="12"/>
      <c r="I1759" s="12"/>
      <c r="J1759" s="5" t="e">
        <f>SUM(SUMIFS(#REF!,#REF!,Planning[[#This Row],[Tipo de Tarea y especialidad]],#REF!,Planning[[#This Row],[Proyectos Reiwa]]),SUMIFS(#REF!,#REF!,Planning[[#This Row],[Tipo de Tarea y especialidad]],#REF!,Planning[[#This Row],[Proyectos]]))</f>
        <v>#REF!</v>
      </c>
      <c r="K1759" s="27" t="e">
        <f>Planning[[#This Row],[Horas Planificadas]]+Planning[[#This Row],[Horas ajustadas adicionales]]-Planning[[#This Row],[Horas utilizadas]]</f>
        <v>#REF!</v>
      </c>
      <c r="L1759" s="7"/>
      <c r="M1759" s="34" t="e">
        <f>Planning[[#This Row],[Saldo]]-Planning[[#This Row],[Saldo estimado]]</f>
        <v>#REF!</v>
      </c>
      <c r="N1759" s="62" t="e">
        <f>+SUMIFS(#REF!,#REF!,Planning[[#This Row],[Proyectos]],#REF!,Planning[[#This Row],[Tipo de Tarea y especialidad]])</f>
        <v>#REF!</v>
      </c>
      <c r="O1759" s="34">
        <f t="shared" si="54"/>
        <v>10</v>
      </c>
      <c r="P1759" s="34">
        <f t="shared" si="55"/>
        <v>2024</v>
      </c>
      <c r="Q17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59" s="19" t="str">
        <f>TEXT(Planning[[#This Row],[Mes]]*29,"mmmm")</f>
        <v>October</v>
      </c>
      <c r="S17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59" s="193"/>
      <c r="U1759" s="43">
        <f>IF(Planning[[#This Row],[Horas Planificadas]]&lt;&gt;0,+K1759/Planning[[#This Row],[Horas Planificadas]],0)</f>
        <v>0</v>
      </c>
      <c r="V1759" s="43">
        <f>IF(Planning[[#This Row],[Horas Planificadas]]&lt;&gt;0,Planning[[#This Row],[Horas utilizadas]]/Planning[[#This Row],[Horas Planificadas]],0)</f>
        <v>0</v>
      </c>
      <c r="W1759" s="44">
        <f>Planning[[#This Row],[Horas Planificadas]]+Planning[[#This Row],[Horas ajustadas adicionales]]</f>
        <v>0</v>
      </c>
      <c r="X1759" s="142"/>
    </row>
    <row r="1760" spans="1:24" ht="12.75" customHeight="1" x14ac:dyDescent="0.2">
      <c r="A1760" s="7" t="s">
        <v>294</v>
      </c>
      <c r="B1760" s="7" t="s">
        <v>393</v>
      </c>
      <c r="C1760" s="3"/>
      <c r="D1760" s="3" t="s">
        <v>413</v>
      </c>
      <c r="E1760" s="4"/>
      <c r="F1760" s="3" t="s">
        <v>123</v>
      </c>
      <c r="G1760" s="9"/>
      <c r="H1760" s="9"/>
      <c r="I1760" s="12"/>
      <c r="J1760" s="5" t="e">
        <f>SUM(SUMIFS(#REF!,#REF!,Planning[[#This Row],[Tipo de Tarea y especialidad]],#REF!,Planning[[#This Row],[Proyectos Reiwa]]),SUMIFS(#REF!,#REF!,Planning[[#This Row],[Tipo de Tarea y especialidad]],#REF!,Planning[[#This Row],[Proyectos]]))</f>
        <v>#REF!</v>
      </c>
      <c r="K1760" s="5" t="e">
        <f>Planning[[#This Row],[Horas Planificadas]]+Planning[[#This Row],[Horas ajustadas adicionales]]-Planning[[#This Row],[Horas utilizadas]]</f>
        <v>#REF!</v>
      </c>
      <c r="L1760" s="7"/>
      <c r="M1760" s="19" t="e">
        <f>Planning[[#This Row],[Saldo]]-Planning[[#This Row],[Saldo estimado]]</f>
        <v>#REF!</v>
      </c>
      <c r="N1760" s="60" t="e">
        <f>+SUMIFS(#REF!,#REF!,Planning[[#This Row],[Proyectos]],#REF!,Planning[[#This Row],[Tipo de Tarea y especialidad]])</f>
        <v>#REF!</v>
      </c>
      <c r="O1760" s="19">
        <f t="shared" si="54"/>
        <v>10</v>
      </c>
      <c r="P1760" s="19">
        <f t="shared" si="55"/>
        <v>2024</v>
      </c>
      <c r="Q17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60" s="19" t="str">
        <f>TEXT(Planning[[#This Row],[Mes]]*29,"mmmm")</f>
        <v>October</v>
      </c>
      <c r="S17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60" s="193"/>
      <c r="U1760" s="43">
        <f>IF(Planning[[#This Row],[Horas Planificadas]]&lt;&gt;0,+K1760/Planning[[#This Row],[Horas Planificadas]],0)</f>
        <v>0</v>
      </c>
      <c r="V1760" s="43">
        <f>IF(Planning[[#This Row],[Horas Planificadas]]&lt;&gt;0,Planning[[#This Row],[Horas utilizadas]]/Planning[[#This Row],[Horas Planificadas]],0)</f>
        <v>0</v>
      </c>
      <c r="W1760" s="44">
        <f>Planning[[#This Row],[Horas Planificadas]]+Planning[[#This Row],[Horas ajustadas adicionales]]</f>
        <v>0</v>
      </c>
      <c r="X1760" s="142"/>
    </row>
    <row r="1761" spans="1:24" ht="12.75" customHeight="1" x14ac:dyDescent="0.2">
      <c r="A1761" s="7" t="s">
        <v>294</v>
      </c>
      <c r="B1761" s="7" t="s">
        <v>393</v>
      </c>
      <c r="C1761" s="3"/>
      <c r="D1761" s="3" t="s">
        <v>413</v>
      </c>
      <c r="E1761" s="4"/>
      <c r="F1761" s="3" t="s">
        <v>124</v>
      </c>
      <c r="G1761" s="9"/>
      <c r="H1761" s="9">
        <v>320</v>
      </c>
      <c r="I1761" s="12"/>
      <c r="J1761" s="5" t="e">
        <f>SUM(SUMIFS(#REF!,#REF!,Planning[[#This Row],[Tipo de Tarea y especialidad]],#REF!,Planning[[#This Row],[Proyectos Reiwa]]),SUMIFS(#REF!,#REF!,Planning[[#This Row],[Tipo de Tarea y especialidad]],#REF!,Planning[[#This Row],[Proyectos]]))</f>
        <v>#REF!</v>
      </c>
      <c r="K1761" s="5" t="e">
        <f>Planning[[#This Row],[Horas Planificadas]]+Planning[[#This Row],[Horas ajustadas adicionales]]-Planning[[#This Row],[Horas utilizadas]]</f>
        <v>#REF!</v>
      </c>
      <c r="L1761" s="7">
        <v>122</v>
      </c>
      <c r="M1761" s="19" t="e">
        <f>Planning[[#This Row],[Saldo]]-Planning[[#This Row],[Saldo estimado]]</f>
        <v>#REF!</v>
      </c>
      <c r="N1761" s="60" t="e">
        <f>+SUMIFS(#REF!,#REF!,Planning[[#This Row],[Proyectos]],#REF!,Planning[[#This Row],[Tipo de Tarea y especialidad]])</f>
        <v>#REF!</v>
      </c>
      <c r="O1761" s="19">
        <f t="shared" si="54"/>
        <v>10</v>
      </c>
      <c r="P1761" s="19">
        <f t="shared" si="55"/>
        <v>2024</v>
      </c>
      <c r="Q17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61" s="19" t="str">
        <f>TEXT(Planning[[#This Row],[Mes]]*29,"mmmm")</f>
        <v>October</v>
      </c>
      <c r="S17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61" s="193"/>
      <c r="U1761" s="43" t="e">
        <f>IF(Planning[[#This Row],[Horas Planificadas]]&lt;&gt;0,+K1761/Planning[[#This Row],[Horas Planificadas]],0)</f>
        <v>#REF!</v>
      </c>
      <c r="V1761" s="43" t="e">
        <f>IF(Planning[[#This Row],[Horas Planificadas]]&lt;&gt;0,Planning[[#This Row],[Horas utilizadas]]/Planning[[#This Row],[Horas Planificadas]],0)</f>
        <v>#REF!</v>
      </c>
      <c r="W1761" s="44">
        <f>Planning[[#This Row],[Horas Planificadas]]+Planning[[#This Row],[Horas ajustadas adicionales]]</f>
        <v>320</v>
      </c>
      <c r="X1761" s="142"/>
    </row>
    <row r="1762" spans="1:24" ht="12.75" customHeight="1" x14ac:dyDescent="0.2">
      <c r="A1762" s="7" t="s">
        <v>294</v>
      </c>
      <c r="B1762" s="7" t="s">
        <v>393</v>
      </c>
      <c r="C1762" s="3"/>
      <c r="D1762" s="3" t="s">
        <v>413</v>
      </c>
      <c r="E1762" s="4"/>
      <c r="F1762" s="3" t="s">
        <v>125</v>
      </c>
      <c r="G1762" s="9"/>
      <c r="H1762" s="12"/>
      <c r="I1762" s="12"/>
      <c r="J1762" s="5" t="e">
        <f>SUM(SUMIFS(#REF!,#REF!,Planning[[#This Row],[Tipo de Tarea y especialidad]],#REF!,Planning[[#This Row],[Proyectos Reiwa]]),SUMIFS(#REF!,#REF!,Planning[[#This Row],[Tipo de Tarea y especialidad]],#REF!,Planning[[#This Row],[Proyectos]]))</f>
        <v>#REF!</v>
      </c>
      <c r="K1762" s="27" t="e">
        <f>Planning[[#This Row],[Horas Planificadas]]+Planning[[#This Row],[Horas ajustadas adicionales]]-Planning[[#This Row],[Horas utilizadas]]</f>
        <v>#REF!</v>
      </c>
      <c r="L1762" s="7">
        <v>0</v>
      </c>
      <c r="M1762" s="19" t="e">
        <f>Planning[[#This Row],[Saldo]]-Planning[[#This Row],[Saldo estimado]]</f>
        <v>#REF!</v>
      </c>
      <c r="N1762" s="60" t="e">
        <f>+SUMIFS(#REF!,#REF!,Planning[[#This Row],[Proyectos]],#REF!,Planning[[#This Row],[Tipo de Tarea y especialidad]])</f>
        <v>#REF!</v>
      </c>
      <c r="O1762" s="19">
        <f t="shared" si="54"/>
        <v>10</v>
      </c>
      <c r="P1762" s="19">
        <f t="shared" si="55"/>
        <v>2024</v>
      </c>
      <c r="Q17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62" s="19" t="str">
        <f>TEXT(Planning[[#This Row],[Mes]]*29,"mmmm")</f>
        <v>October</v>
      </c>
      <c r="S17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62" s="193"/>
      <c r="U1762" s="43">
        <f>IF(Planning[[#This Row],[Horas Planificadas]]&lt;&gt;0,+K1762/Planning[[#This Row],[Horas Planificadas]],0)</f>
        <v>0</v>
      </c>
      <c r="V1762" s="43">
        <f>IF(Planning[[#This Row],[Horas Planificadas]]&lt;&gt;0,Planning[[#This Row],[Horas utilizadas]]/Planning[[#This Row],[Horas Planificadas]],0)</f>
        <v>0</v>
      </c>
      <c r="W1762" s="44">
        <f>Planning[[#This Row],[Horas Planificadas]]+Planning[[#This Row],[Horas ajustadas adicionales]]</f>
        <v>0</v>
      </c>
      <c r="X1762" s="142"/>
    </row>
    <row r="1763" spans="1:24" ht="12.75" customHeight="1" x14ac:dyDescent="0.2">
      <c r="A1763" s="7" t="s">
        <v>294</v>
      </c>
      <c r="B1763" s="7" t="s">
        <v>393</v>
      </c>
      <c r="C1763" s="3"/>
      <c r="D1763" s="3" t="s">
        <v>413</v>
      </c>
      <c r="E1763" s="4"/>
      <c r="F1763" s="3" t="s">
        <v>126</v>
      </c>
      <c r="G1763" s="9"/>
      <c r="H1763" s="9"/>
      <c r="I1763" s="12"/>
      <c r="J1763" s="5" t="e">
        <f>SUM(SUMIFS(#REF!,#REF!,Planning[[#This Row],[Tipo de Tarea y especialidad]],#REF!,Planning[[#This Row],[Proyectos Reiwa]]),SUMIFS(#REF!,#REF!,Planning[[#This Row],[Tipo de Tarea y especialidad]],#REF!,Planning[[#This Row],[Proyectos]]))</f>
        <v>#REF!</v>
      </c>
      <c r="K1763" s="5" t="e">
        <f>Planning[[#This Row],[Horas Planificadas]]+Planning[[#This Row],[Horas ajustadas adicionales]]-Planning[[#This Row],[Horas utilizadas]]</f>
        <v>#REF!</v>
      </c>
      <c r="L1763" s="7"/>
      <c r="M1763" s="19" t="e">
        <f>Planning[[#This Row],[Saldo]]-Planning[[#This Row],[Saldo estimado]]</f>
        <v>#REF!</v>
      </c>
      <c r="N1763" s="60" t="e">
        <f>+SUMIFS(#REF!,#REF!,Planning[[#This Row],[Proyectos]],#REF!,Planning[[#This Row],[Tipo de Tarea y especialidad]])</f>
        <v>#REF!</v>
      </c>
      <c r="O1763" s="19">
        <f t="shared" si="54"/>
        <v>10</v>
      </c>
      <c r="P1763" s="19">
        <f t="shared" si="55"/>
        <v>2024</v>
      </c>
      <c r="Q17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63" s="19" t="str">
        <f>TEXT(Planning[[#This Row],[Mes]]*29,"mmmm")</f>
        <v>October</v>
      </c>
      <c r="S17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63" s="193"/>
      <c r="U1763" s="43">
        <f>IF(Planning[[#This Row],[Horas Planificadas]]&lt;&gt;0,+K1763/Planning[[#This Row],[Horas Planificadas]],0)</f>
        <v>0</v>
      </c>
      <c r="V1763" s="43">
        <f>IF(Planning[[#This Row],[Horas Planificadas]]&lt;&gt;0,Planning[[#This Row],[Horas utilizadas]]/Planning[[#This Row],[Horas Planificadas]],0)</f>
        <v>0</v>
      </c>
      <c r="W1763" s="44">
        <f>Planning[[#This Row],[Horas Planificadas]]+Planning[[#This Row],[Horas ajustadas adicionales]]</f>
        <v>0</v>
      </c>
      <c r="X1763" s="142"/>
    </row>
    <row r="1764" spans="1:24" ht="12.75" customHeight="1" x14ac:dyDescent="0.2">
      <c r="A1764" s="7" t="s">
        <v>294</v>
      </c>
      <c r="B1764" s="7" t="s">
        <v>393</v>
      </c>
      <c r="C1764" s="3"/>
      <c r="D1764" s="3" t="s">
        <v>413</v>
      </c>
      <c r="E1764" s="4"/>
      <c r="F1764" s="3" t="s">
        <v>127</v>
      </c>
      <c r="G1764" s="9"/>
      <c r="H1764" s="9"/>
      <c r="I1764" s="12"/>
      <c r="J1764" s="5" t="e">
        <f>SUM(SUMIFS(#REF!,#REF!,Planning[[#This Row],[Tipo de Tarea y especialidad]],#REF!,Planning[[#This Row],[Proyectos Reiwa]]),SUMIFS(#REF!,#REF!,Planning[[#This Row],[Tipo de Tarea y especialidad]],#REF!,Planning[[#This Row],[Proyectos]]))</f>
        <v>#REF!</v>
      </c>
      <c r="K1764" s="5" t="e">
        <f>Planning[[#This Row],[Horas Planificadas]]+Planning[[#This Row],[Horas ajustadas adicionales]]-Planning[[#This Row],[Horas utilizadas]]</f>
        <v>#REF!</v>
      </c>
      <c r="L1764" s="7"/>
      <c r="M1764" s="19" t="e">
        <f>Planning[[#This Row],[Saldo]]-Planning[[#This Row],[Saldo estimado]]</f>
        <v>#REF!</v>
      </c>
      <c r="N1764" s="60" t="e">
        <f>+SUMIFS(#REF!,#REF!,Planning[[#This Row],[Proyectos]],#REF!,Planning[[#This Row],[Tipo de Tarea y especialidad]])</f>
        <v>#REF!</v>
      </c>
      <c r="O1764" s="19">
        <f t="shared" si="54"/>
        <v>10</v>
      </c>
      <c r="P1764" s="19">
        <f t="shared" si="55"/>
        <v>2024</v>
      </c>
      <c r="Q17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64" s="19" t="str">
        <f>TEXT(Planning[[#This Row],[Mes]]*29,"mmmm")</f>
        <v>October</v>
      </c>
      <c r="S17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64" s="193"/>
      <c r="U1764" s="43">
        <f>IF(Planning[[#This Row],[Horas Planificadas]]&lt;&gt;0,+K1764/Planning[[#This Row],[Horas Planificadas]],0)</f>
        <v>0</v>
      </c>
      <c r="V1764" s="43">
        <f>IF(Planning[[#This Row],[Horas Planificadas]]&lt;&gt;0,Planning[[#This Row],[Horas utilizadas]]/Planning[[#This Row],[Horas Planificadas]],0)</f>
        <v>0</v>
      </c>
      <c r="W1764" s="44">
        <f>Planning[[#This Row],[Horas Planificadas]]+Planning[[#This Row],[Horas ajustadas adicionales]]</f>
        <v>0</v>
      </c>
      <c r="X1764" s="142"/>
    </row>
    <row r="1765" spans="1:24" ht="12.75" customHeight="1" x14ac:dyDescent="0.2">
      <c r="A1765" s="7" t="s">
        <v>294</v>
      </c>
      <c r="B1765" s="7" t="s">
        <v>393</v>
      </c>
      <c r="C1765" s="3"/>
      <c r="D1765" s="3" t="s">
        <v>413</v>
      </c>
      <c r="E1765" s="4"/>
      <c r="F1765" s="3" t="s">
        <v>128</v>
      </c>
      <c r="G1765" s="9"/>
      <c r="H1765" s="9"/>
      <c r="I1765" s="12"/>
      <c r="J1765" s="5" t="e">
        <f>SUM(SUMIFS(#REF!,#REF!,Planning[[#This Row],[Tipo de Tarea y especialidad]],#REF!,Planning[[#This Row],[Proyectos Reiwa]]),SUMIFS(#REF!,#REF!,Planning[[#This Row],[Tipo de Tarea y especialidad]],#REF!,Planning[[#This Row],[Proyectos]]))</f>
        <v>#REF!</v>
      </c>
      <c r="K1765" s="5" t="e">
        <f>Planning[[#This Row],[Horas Planificadas]]+Planning[[#This Row],[Horas ajustadas adicionales]]-Planning[[#This Row],[Horas utilizadas]]</f>
        <v>#REF!</v>
      </c>
      <c r="L1765" s="7">
        <v>0</v>
      </c>
      <c r="M1765" s="19" t="e">
        <f>Planning[[#This Row],[Saldo]]-Planning[[#This Row],[Saldo estimado]]</f>
        <v>#REF!</v>
      </c>
      <c r="N1765" s="60" t="e">
        <f>+SUMIFS(#REF!,#REF!,Planning[[#This Row],[Proyectos]],#REF!,Planning[[#This Row],[Tipo de Tarea y especialidad]])</f>
        <v>#REF!</v>
      </c>
      <c r="O1765" s="19">
        <f t="shared" si="54"/>
        <v>10</v>
      </c>
      <c r="P1765" s="19">
        <f t="shared" si="55"/>
        <v>2024</v>
      </c>
      <c r="Q17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65" s="19" t="str">
        <f>TEXT(Planning[[#This Row],[Mes]]*29,"mmmm")</f>
        <v>October</v>
      </c>
      <c r="S17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65" s="193"/>
      <c r="U1765" s="43">
        <f>IF(Planning[[#This Row],[Horas Planificadas]]&lt;&gt;0,+K1765/Planning[[#This Row],[Horas Planificadas]],0)</f>
        <v>0</v>
      </c>
      <c r="V1765" s="43">
        <f>IF(Planning[[#This Row],[Horas Planificadas]]&lt;&gt;0,Planning[[#This Row],[Horas utilizadas]]/Planning[[#This Row],[Horas Planificadas]],0)</f>
        <v>0</v>
      </c>
      <c r="W1765" s="44">
        <f>Planning[[#This Row],[Horas Planificadas]]+Planning[[#This Row],[Horas ajustadas adicionales]]</f>
        <v>0</v>
      </c>
      <c r="X1765" s="142"/>
    </row>
    <row r="1766" spans="1:24" ht="12.75" customHeight="1" x14ac:dyDescent="0.2">
      <c r="A1766" s="7" t="s">
        <v>294</v>
      </c>
      <c r="B1766" s="7" t="s">
        <v>393</v>
      </c>
      <c r="C1766" s="3"/>
      <c r="D1766" s="3" t="s">
        <v>413</v>
      </c>
      <c r="E1766" s="4" t="s">
        <v>31</v>
      </c>
      <c r="F1766" s="3" t="s">
        <v>31</v>
      </c>
      <c r="G1766" s="9">
        <v>189</v>
      </c>
      <c r="H1766" s="17">
        <v>189</v>
      </c>
      <c r="I1766" s="18"/>
      <c r="J1766" s="14" t="e">
        <f>+SUMIFS(#REF!,#REF!,Planning[[#This Row],[Tarifa]],#REF!,Planning[[#This Row],[Proyectos]])</f>
        <v>#REF!</v>
      </c>
      <c r="K1766" s="14" t="e">
        <f>Planning[[#This Row],[Horas Planificadas]]+Planning[[#This Row],[Horas ajustadas adicionales]]-Planning[[#This Row],[Horas utilizadas]]</f>
        <v>#REF!</v>
      </c>
      <c r="L1766" s="15">
        <v>0</v>
      </c>
      <c r="M1766" s="16" t="e">
        <f>Planning[[#This Row],[Saldo]]-Planning[[#This Row],[Saldo estimado]]</f>
        <v>#REF!</v>
      </c>
      <c r="N1766" s="60" t="e">
        <f>+SUMIFS(#REF!,#REF!,Planning[[#This Row],[Proyectos]],#REF!,Planning[[#This Row],[Tipo de Tarea y especialidad]])</f>
        <v>#REF!</v>
      </c>
      <c r="O1766" s="16">
        <f t="shared" si="54"/>
        <v>10</v>
      </c>
      <c r="P1766" s="16">
        <f t="shared" si="55"/>
        <v>2024</v>
      </c>
      <c r="Q1766" s="16" t="e">
        <f>+SUMIFS(#REF!,#REF!,Planning[[#This Row],[Tarifa]],#REF!,Planning[[#This Row],[Proyectos]],#REF!,Planning[[#This Row],[Mes]],#REF!,Planning[[#This Row],[Año]])</f>
        <v>#REF!</v>
      </c>
      <c r="R1766" s="16" t="str">
        <f>TEXT(Planning[[#This Row],[Mes]]*29,"mmmm")</f>
        <v>October</v>
      </c>
      <c r="S17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66" s="193"/>
      <c r="U1766" s="43" t="e">
        <f>IF(Planning[[#This Row],[Horas Planificadas]]&lt;&gt;0,+K1766/Planning[[#This Row],[Horas Planificadas]],0)</f>
        <v>#REF!</v>
      </c>
      <c r="V1766" s="43" t="e">
        <f>IF(Planning[[#This Row],[Horas Planificadas]]&lt;&gt;0,Planning[[#This Row],[Horas utilizadas]]/Planning[[#This Row],[Horas Planificadas]],0)</f>
        <v>#REF!</v>
      </c>
      <c r="W1766" s="44">
        <f>Planning[[#This Row],[Horas Planificadas]]+Planning[[#This Row],[Horas ajustadas adicionales]]</f>
        <v>189</v>
      </c>
      <c r="X1766" s="142"/>
    </row>
    <row r="1767" spans="1:24" ht="12.75" customHeight="1" x14ac:dyDescent="0.2">
      <c r="A1767" s="7" t="s">
        <v>294</v>
      </c>
      <c r="B1767" s="7" t="s">
        <v>393</v>
      </c>
      <c r="C1767" s="3"/>
      <c r="D1767" s="3" t="s">
        <v>413</v>
      </c>
      <c r="E1767" s="4" t="s">
        <v>32</v>
      </c>
      <c r="F1767" s="3"/>
      <c r="G1767" s="9">
        <v>200</v>
      </c>
      <c r="H1767" s="25">
        <f>SUM(H1768:H1770)</f>
        <v>300</v>
      </c>
      <c r="I1767" s="14"/>
      <c r="J1767" s="14" t="e">
        <f>SUM(J1768:J1770)</f>
        <v>#REF!</v>
      </c>
      <c r="K1767" s="18" t="e">
        <f>SUM(K1768:K1770)</f>
        <v>#REF!</v>
      </c>
      <c r="L1767" s="15">
        <f>SUM(L1768:L1770)</f>
        <v>84</v>
      </c>
      <c r="M1767" s="16" t="e">
        <f>SUM(M1768:M1770)</f>
        <v>#REF!</v>
      </c>
      <c r="N1767" s="60" t="e">
        <f>+SUMIFS(#REF!,#REF!,Planning[[#This Row],[Proyectos]],#REF!,Planning[[#This Row],[Tipo de Tarea y especialidad]])</f>
        <v>#REF!</v>
      </c>
      <c r="O1767" s="16">
        <f t="shared" si="54"/>
        <v>10</v>
      </c>
      <c r="P1767" s="16">
        <f t="shared" si="55"/>
        <v>2024</v>
      </c>
      <c r="Q1767" s="16" t="e">
        <f>SUM(Q1768:Q1770)</f>
        <v>#REF!</v>
      </c>
      <c r="R1767" s="16" t="str">
        <f>TEXT(Planning[[#This Row],[Mes]]*29,"mmmm")</f>
        <v>October</v>
      </c>
      <c r="S17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67" s="193"/>
      <c r="U1767" s="43" t="e">
        <f>IF(Planning[[#This Row],[Horas Planificadas]]&lt;&gt;0,+K1767/Planning[[#This Row],[Horas Planificadas]],0)</f>
        <v>#REF!</v>
      </c>
      <c r="V1767" s="43" t="e">
        <f>IF(Planning[[#This Row],[Horas Planificadas]]&lt;&gt;0,Planning[[#This Row],[Horas utilizadas]]/Planning[[#This Row],[Horas Planificadas]],0)</f>
        <v>#REF!</v>
      </c>
      <c r="W1767" s="44">
        <f>Planning[[#This Row],[Horas Planificadas]]+Planning[[#This Row],[Horas ajustadas adicionales]]</f>
        <v>300</v>
      </c>
      <c r="X1767" s="142"/>
    </row>
    <row r="1768" spans="1:24" ht="12.75" customHeight="1" x14ac:dyDescent="0.2">
      <c r="A1768" s="7" t="s">
        <v>294</v>
      </c>
      <c r="B1768" s="7" t="s">
        <v>393</v>
      </c>
      <c r="C1768" s="3"/>
      <c r="D1768" s="3" t="s">
        <v>413</v>
      </c>
      <c r="E1768" s="4"/>
      <c r="F1768" s="3" t="s">
        <v>129</v>
      </c>
      <c r="G1768" s="9"/>
      <c r="H1768" s="9"/>
      <c r="I1768" s="12"/>
      <c r="J1768" s="5" t="e">
        <f>SUM(SUMIFS(#REF!,#REF!,Planning[[#This Row],[Tipo de Tarea y especialidad]],#REF!,Planning[[#This Row],[Proyectos Reiwa]]),SUMIFS(#REF!,#REF!,Planning[[#This Row],[Tipo de Tarea y especialidad]],#REF!,Planning[[#This Row],[Proyectos]]))</f>
        <v>#REF!</v>
      </c>
      <c r="K1768" s="5" t="e">
        <f>Planning[[#This Row],[Horas Planificadas]]+Planning[[#This Row],[Horas ajustadas adicionales]]-Planning[[#This Row],[Horas utilizadas]]</f>
        <v>#REF!</v>
      </c>
      <c r="L1768" s="7"/>
      <c r="M1768" s="19" t="e">
        <f>Planning[[#This Row],[Saldo]]-Planning[[#This Row],[Saldo estimado]]</f>
        <v>#REF!</v>
      </c>
      <c r="N1768" s="60" t="e">
        <f>+SUMIFS(#REF!,#REF!,Planning[[#This Row],[Proyectos]],#REF!,Planning[[#This Row],[Tipo de Tarea y especialidad]])</f>
        <v>#REF!</v>
      </c>
      <c r="O1768" s="19">
        <f t="shared" si="54"/>
        <v>10</v>
      </c>
      <c r="P1768" s="19">
        <f t="shared" si="55"/>
        <v>2024</v>
      </c>
      <c r="Q17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68" s="19" t="str">
        <f>TEXT(Planning[[#This Row],[Mes]]*29,"mmmm")</f>
        <v>October</v>
      </c>
      <c r="S17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68" s="193"/>
      <c r="U1768" s="43">
        <f>IF(Planning[[#This Row],[Horas Planificadas]]&lt;&gt;0,+K1768/Planning[[#This Row],[Horas Planificadas]],0)</f>
        <v>0</v>
      </c>
      <c r="V1768" s="43">
        <f>IF(Planning[[#This Row],[Horas Planificadas]]&lt;&gt;0,Planning[[#This Row],[Horas utilizadas]]/Planning[[#This Row],[Horas Planificadas]],0)</f>
        <v>0</v>
      </c>
      <c r="W1768" s="44">
        <f>Planning[[#This Row],[Horas Planificadas]]+Planning[[#This Row],[Horas ajustadas adicionales]]</f>
        <v>0</v>
      </c>
      <c r="X1768" s="142"/>
    </row>
    <row r="1769" spans="1:24" ht="12.75" customHeight="1" x14ac:dyDescent="0.2">
      <c r="A1769" s="7" t="s">
        <v>294</v>
      </c>
      <c r="B1769" s="7" t="s">
        <v>393</v>
      </c>
      <c r="C1769" s="3"/>
      <c r="D1769" s="3" t="s">
        <v>413</v>
      </c>
      <c r="E1769" s="4"/>
      <c r="F1769" s="3" t="s">
        <v>130</v>
      </c>
      <c r="G1769" s="9"/>
      <c r="H1769" s="9"/>
      <c r="I1769" s="12"/>
      <c r="J1769" s="5" t="e">
        <f>SUM(SUMIFS(#REF!,#REF!,Planning[[#This Row],[Tipo de Tarea y especialidad]],#REF!,Planning[[#This Row],[Proyectos Reiwa]]),SUMIFS(#REF!,#REF!,Planning[[#This Row],[Tipo de Tarea y especialidad]],#REF!,Planning[[#This Row],[Proyectos]]))</f>
        <v>#REF!</v>
      </c>
      <c r="K1769" s="5" t="e">
        <f>Planning[[#This Row],[Horas Planificadas]]+Planning[[#This Row],[Horas ajustadas adicionales]]-Planning[[#This Row],[Horas utilizadas]]</f>
        <v>#REF!</v>
      </c>
      <c r="L1769" s="7"/>
      <c r="M1769" s="19" t="e">
        <f>Planning[[#This Row],[Saldo]]-Planning[[#This Row],[Saldo estimado]]</f>
        <v>#REF!</v>
      </c>
      <c r="N1769" s="60" t="e">
        <f>+SUMIFS(#REF!,#REF!,Planning[[#This Row],[Proyectos]],#REF!,Planning[[#This Row],[Tipo de Tarea y especialidad]])</f>
        <v>#REF!</v>
      </c>
      <c r="O1769" s="19">
        <f t="shared" si="54"/>
        <v>10</v>
      </c>
      <c r="P1769" s="19">
        <f t="shared" si="55"/>
        <v>2024</v>
      </c>
      <c r="Q17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69" s="19" t="str">
        <f>TEXT(Planning[[#This Row],[Mes]]*29,"mmmm")</f>
        <v>October</v>
      </c>
      <c r="S17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69" s="193"/>
      <c r="U1769" s="43">
        <f>IF(Planning[[#This Row],[Horas Planificadas]]&lt;&gt;0,+K1769/Planning[[#This Row],[Horas Planificadas]],0)</f>
        <v>0</v>
      </c>
      <c r="V1769" s="43">
        <f>IF(Planning[[#This Row],[Horas Planificadas]]&lt;&gt;0,Planning[[#This Row],[Horas utilizadas]]/Planning[[#This Row],[Horas Planificadas]],0)</f>
        <v>0</v>
      </c>
      <c r="W1769" s="44">
        <f>Planning[[#This Row],[Horas Planificadas]]+Planning[[#This Row],[Horas ajustadas adicionales]]</f>
        <v>0</v>
      </c>
      <c r="X1769" s="142"/>
    </row>
    <row r="1770" spans="1:24" ht="12.75" customHeight="1" x14ac:dyDescent="0.2">
      <c r="A1770" s="7" t="s">
        <v>294</v>
      </c>
      <c r="B1770" s="7" t="s">
        <v>393</v>
      </c>
      <c r="C1770" s="3"/>
      <c r="D1770" s="3" t="s">
        <v>413</v>
      </c>
      <c r="E1770" s="4"/>
      <c r="F1770" s="3" t="s">
        <v>131</v>
      </c>
      <c r="G1770" s="9"/>
      <c r="H1770" s="9">
        <v>300</v>
      </c>
      <c r="I1770" s="12"/>
      <c r="J1770" s="5" t="e">
        <f>SUM(SUMIFS(#REF!,#REF!,Planning[[#This Row],[Tipo de Tarea y especialidad]],#REF!,Planning[[#This Row],[Proyectos Reiwa]]),SUMIFS(#REF!,#REF!,Planning[[#This Row],[Tipo de Tarea y especialidad]],#REF!,Planning[[#This Row],[Proyectos]]))</f>
        <v>#REF!</v>
      </c>
      <c r="K1770" s="5" t="e">
        <f>Planning[[#This Row],[Horas Planificadas]]+Planning[[#This Row],[Horas ajustadas adicionales]]-Planning[[#This Row],[Horas utilizadas]]</f>
        <v>#REF!</v>
      </c>
      <c r="L1770" s="7">
        <v>84</v>
      </c>
      <c r="M1770" s="19" t="e">
        <f>Planning[[#This Row],[Saldo]]-Planning[[#This Row],[Saldo estimado]]</f>
        <v>#REF!</v>
      </c>
      <c r="N1770" s="60" t="e">
        <f>+SUMIFS(#REF!,#REF!,Planning[[#This Row],[Proyectos]],#REF!,Planning[[#This Row],[Tipo de Tarea y especialidad]])</f>
        <v>#REF!</v>
      </c>
      <c r="O1770" s="19">
        <f t="shared" si="54"/>
        <v>10</v>
      </c>
      <c r="P1770" s="19">
        <f t="shared" si="55"/>
        <v>2024</v>
      </c>
      <c r="Q17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70" s="19" t="str">
        <f>TEXT(Planning[[#This Row],[Mes]]*29,"mmmm")</f>
        <v>October</v>
      </c>
      <c r="S17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70" s="193"/>
      <c r="U1770" s="43" t="e">
        <f>IF(Planning[[#This Row],[Horas Planificadas]]&lt;&gt;0,+K1770/Planning[[#This Row],[Horas Planificadas]],0)</f>
        <v>#REF!</v>
      </c>
      <c r="V1770" s="43" t="e">
        <f>IF(Planning[[#This Row],[Horas Planificadas]]&lt;&gt;0,Planning[[#This Row],[Horas utilizadas]]/Planning[[#This Row],[Horas Planificadas]],0)</f>
        <v>#REF!</v>
      </c>
      <c r="W1770" s="44">
        <f>Planning[[#This Row],[Horas Planificadas]]+Planning[[#This Row],[Horas ajustadas adicionales]]</f>
        <v>300</v>
      </c>
      <c r="X1770" s="142"/>
    </row>
    <row r="1771" spans="1:24" ht="12.75" customHeight="1" x14ac:dyDescent="0.2">
      <c r="A1771" s="7" t="s">
        <v>177</v>
      </c>
      <c r="B1771" s="7" t="s">
        <v>205</v>
      </c>
      <c r="C1771" s="3"/>
      <c r="D1771" s="3" t="s">
        <v>415</v>
      </c>
      <c r="E1771" s="4" t="s">
        <v>28</v>
      </c>
      <c r="F1771" s="3"/>
      <c r="G1771" s="9">
        <v>57</v>
      </c>
      <c r="H1771" s="14">
        <f>SUM(H1772:H1773)</f>
        <v>57</v>
      </c>
      <c r="I1771" s="14"/>
      <c r="J1771" s="14" t="e">
        <f>SUM(J1772:J1773)</f>
        <v>#REF!</v>
      </c>
      <c r="K1771" s="15" t="e">
        <f>SUM(K1772:K1773)</f>
        <v>#REF!</v>
      </c>
      <c r="L1771" s="15">
        <f>SUM(L1772:L1773)</f>
        <v>9</v>
      </c>
      <c r="M1771" s="28" t="e">
        <f>SUM(M1772:M1773)</f>
        <v>#REF!</v>
      </c>
      <c r="N1771" s="61" t="e">
        <f>+SUMIFS(#REF!,#REF!,Planning[[#This Row],[Proyectos]],#REF!,Planning[[#This Row],[Tipo de Tarea y especialidad]])</f>
        <v>#REF!</v>
      </c>
      <c r="O1771" s="28">
        <f t="shared" si="54"/>
        <v>10</v>
      </c>
      <c r="P1771" s="28">
        <f t="shared" si="55"/>
        <v>2024</v>
      </c>
      <c r="Q1771" s="28" t="e">
        <f>SUM(Q1772:Q1773)</f>
        <v>#REF!</v>
      </c>
      <c r="R1771" s="28" t="str">
        <f>TEXT(Planning[[#This Row],[Mes]]*29,"mmmm")</f>
        <v>October</v>
      </c>
      <c r="S17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71" s="192" t="s">
        <v>416</v>
      </c>
      <c r="U1771" s="43" t="e">
        <f>IF(Planning[[#This Row],[Horas Planificadas]]&lt;&gt;0,+K1771/Planning[[#This Row],[Horas Planificadas]],0)</f>
        <v>#REF!</v>
      </c>
      <c r="V1771" s="43" t="e">
        <f>IF(Planning[[#This Row],[Horas Planificadas]]&lt;&gt;0,Planning[[#This Row],[Horas utilizadas]]/Planning[[#This Row],[Horas Planificadas]],0)</f>
        <v>#REF!</v>
      </c>
      <c r="W1771" s="44">
        <f>Planning[[#This Row],[Horas Planificadas]]+Planning[[#This Row],[Horas ajustadas adicionales]]</f>
        <v>57</v>
      </c>
      <c r="X1771" s="142"/>
    </row>
    <row r="1772" spans="1:24" ht="12.75" customHeight="1" x14ac:dyDescent="0.2">
      <c r="A1772" s="7" t="s">
        <v>177</v>
      </c>
      <c r="B1772" s="7" t="s">
        <v>205</v>
      </c>
      <c r="C1772" s="3"/>
      <c r="D1772" s="3" t="s">
        <v>415</v>
      </c>
      <c r="E1772" s="4"/>
      <c r="F1772" s="3" t="s">
        <v>120</v>
      </c>
      <c r="G1772" s="9"/>
      <c r="H1772" s="9">
        <v>30</v>
      </c>
      <c r="I1772" s="12"/>
      <c r="J1772" s="5" t="e">
        <f>SUM(SUMIFS(#REF!,#REF!,Planning[[#This Row],[Tipo de Tarea y especialidad]],#REF!,Planning[[#This Row],[Proyectos Reiwa]]),SUMIFS(#REF!,#REF!,Planning[[#This Row],[Tipo de Tarea y especialidad]],#REF!,Planning[[#This Row],[Proyectos]]))</f>
        <v>#REF!</v>
      </c>
      <c r="K1772" s="5" t="e">
        <f>Planning[[#This Row],[Horas Planificadas]]+Planning[[#This Row],[Horas ajustadas adicionales]]-Planning[[#This Row],[Horas utilizadas]]</f>
        <v>#REF!</v>
      </c>
      <c r="L1772" s="7">
        <v>0</v>
      </c>
      <c r="M1772" s="19" t="e">
        <f>Planning[[#This Row],[Saldo]]-Planning[[#This Row],[Saldo estimado]]</f>
        <v>#REF!</v>
      </c>
      <c r="N1772" s="60" t="e">
        <f>+SUMIFS(#REF!,#REF!,Planning[[#This Row],[Proyectos]],#REF!,Planning[[#This Row],[Tipo de Tarea y especialidad]])</f>
        <v>#REF!</v>
      </c>
      <c r="O1772" s="19">
        <f t="shared" si="54"/>
        <v>10</v>
      </c>
      <c r="P1772" s="19">
        <f t="shared" si="55"/>
        <v>2024</v>
      </c>
      <c r="Q17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72" s="19" t="str">
        <f>TEXT(Planning[[#This Row],[Mes]]*29,"mmmm")</f>
        <v>October</v>
      </c>
      <c r="S17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72" s="193"/>
      <c r="U1772" s="43" t="e">
        <f>IF(Planning[[#This Row],[Horas Planificadas]]&lt;&gt;0,+K1772/Planning[[#This Row],[Horas Planificadas]],0)</f>
        <v>#REF!</v>
      </c>
      <c r="V1772" s="43" t="e">
        <f>IF(Planning[[#This Row],[Horas Planificadas]]&lt;&gt;0,Planning[[#This Row],[Horas utilizadas]]/Planning[[#This Row],[Horas Planificadas]],0)</f>
        <v>#REF!</v>
      </c>
      <c r="W1772" s="44">
        <f>Planning[[#This Row],[Horas Planificadas]]+Planning[[#This Row],[Horas ajustadas adicionales]]</f>
        <v>30</v>
      </c>
      <c r="X1772" s="142"/>
    </row>
    <row r="1773" spans="1:24" ht="12.75" customHeight="1" x14ac:dyDescent="0.2">
      <c r="A1773" s="7" t="s">
        <v>177</v>
      </c>
      <c r="B1773" s="7" t="s">
        <v>205</v>
      </c>
      <c r="C1773" s="3"/>
      <c r="D1773" s="3" t="s">
        <v>415</v>
      </c>
      <c r="E1773" s="4"/>
      <c r="F1773" s="3" t="s">
        <v>121</v>
      </c>
      <c r="G1773" s="9"/>
      <c r="H1773" s="9">
        <v>27</v>
      </c>
      <c r="I1773" s="12"/>
      <c r="J1773" s="5" t="e">
        <f>SUM(SUMIFS(#REF!,#REF!,Planning[[#This Row],[Tipo de Tarea y especialidad]],#REF!,Planning[[#This Row],[Proyectos Reiwa]]),SUMIFS(#REF!,#REF!,Planning[[#This Row],[Tipo de Tarea y especialidad]],#REF!,Planning[[#This Row],[Proyectos]]))</f>
        <v>#REF!</v>
      </c>
      <c r="K1773" s="5" t="e">
        <f>Planning[[#This Row],[Horas Planificadas]]+Planning[[#This Row],[Horas ajustadas adicionales]]-Planning[[#This Row],[Horas utilizadas]]</f>
        <v>#REF!</v>
      </c>
      <c r="L1773" s="7">
        <v>9</v>
      </c>
      <c r="M1773" s="19" t="e">
        <f>Planning[[#This Row],[Saldo]]-Planning[[#This Row],[Saldo estimado]]</f>
        <v>#REF!</v>
      </c>
      <c r="N1773" s="60" t="e">
        <f>+SUMIFS(#REF!,#REF!,Planning[[#This Row],[Proyectos]],#REF!,Planning[[#This Row],[Tipo de Tarea y especialidad]])</f>
        <v>#REF!</v>
      </c>
      <c r="O1773" s="19">
        <f t="shared" si="54"/>
        <v>10</v>
      </c>
      <c r="P1773" s="19">
        <f t="shared" si="55"/>
        <v>2024</v>
      </c>
      <c r="Q17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73" s="19" t="str">
        <f>TEXT(Planning[[#This Row],[Mes]]*29,"mmmm")</f>
        <v>October</v>
      </c>
      <c r="S17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73" s="193"/>
      <c r="U1773" s="43" t="e">
        <f>IF(Planning[[#This Row],[Horas Planificadas]]&lt;&gt;0,+K1773/Planning[[#This Row],[Horas Planificadas]],0)</f>
        <v>#REF!</v>
      </c>
      <c r="V1773" s="43" t="e">
        <f>IF(Planning[[#This Row],[Horas Planificadas]]&lt;&gt;0,Planning[[#This Row],[Horas utilizadas]]/Planning[[#This Row],[Horas Planificadas]],0)</f>
        <v>#REF!</v>
      </c>
      <c r="W1773" s="44">
        <f>Planning[[#This Row],[Horas Planificadas]]+Planning[[#This Row],[Horas ajustadas adicionales]]</f>
        <v>27</v>
      </c>
      <c r="X1773" s="142"/>
    </row>
    <row r="1774" spans="1:24" ht="12.75" customHeight="1" x14ac:dyDescent="0.2">
      <c r="A1774" s="7" t="s">
        <v>177</v>
      </c>
      <c r="B1774" s="7" t="s">
        <v>205</v>
      </c>
      <c r="C1774" s="3"/>
      <c r="D1774" s="3" t="s">
        <v>415</v>
      </c>
      <c r="E1774" s="4" t="s">
        <v>30</v>
      </c>
      <c r="F1774" s="3"/>
      <c r="G1774" s="9">
        <v>387</v>
      </c>
      <c r="H1774" s="25">
        <f>SUM(H1775:H1781)</f>
        <v>614</v>
      </c>
      <c r="I1774" s="14"/>
      <c r="J1774" s="14" t="e">
        <f>SUM(J1775:J1781)</f>
        <v>#REF!</v>
      </c>
      <c r="K1774" s="18" t="e">
        <f>SUM(K1775:K1781)</f>
        <v>#REF!</v>
      </c>
      <c r="L1774" s="15">
        <f>SUM(L1775:L1781)</f>
        <v>0</v>
      </c>
      <c r="M1774" s="16" t="e">
        <f>SUM(M1775:M1781)</f>
        <v>#REF!</v>
      </c>
      <c r="N1774" s="60" t="e">
        <f>+SUMIFS(#REF!,#REF!,Planning[[#This Row],[Proyectos]],#REF!,Planning[[#This Row],[Tipo de Tarea y especialidad]])</f>
        <v>#REF!</v>
      </c>
      <c r="O1774" s="16">
        <f t="shared" si="54"/>
        <v>10</v>
      </c>
      <c r="P1774" s="16">
        <f t="shared" si="55"/>
        <v>2024</v>
      </c>
      <c r="Q1774" s="16" t="e">
        <f>SUM(Q1775:Q1781)</f>
        <v>#REF!</v>
      </c>
      <c r="R1774" s="16" t="str">
        <f>TEXT(Planning[[#This Row],[Mes]]*29,"mmmm")</f>
        <v>October</v>
      </c>
      <c r="S17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74" s="193"/>
      <c r="U1774" s="43" t="e">
        <f>IF(Planning[[#This Row],[Horas Planificadas]]&lt;&gt;0,+K1774/Planning[[#This Row],[Horas Planificadas]],0)</f>
        <v>#REF!</v>
      </c>
      <c r="V1774" s="43" t="e">
        <f>IF(Planning[[#This Row],[Horas Planificadas]]&lt;&gt;0,Planning[[#This Row],[Horas utilizadas]]/Planning[[#This Row],[Horas Planificadas]],0)</f>
        <v>#REF!</v>
      </c>
      <c r="W1774" s="44">
        <f>Planning[[#This Row],[Horas Planificadas]]+Planning[[#This Row],[Horas ajustadas adicionales]]</f>
        <v>614</v>
      </c>
      <c r="X1774" s="142"/>
    </row>
    <row r="1775" spans="1:24" ht="12.75" customHeight="1" x14ac:dyDescent="0.2">
      <c r="A1775" s="7" t="s">
        <v>177</v>
      </c>
      <c r="B1775" s="7" t="s">
        <v>205</v>
      </c>
      <c r="C1775" s="3"/>
      <c r="D1775" s="3" t="s">
        <v>415</v>
      </c>
      <c r="E1775" s="33"/>
      <c r="F1775" s="36" t="s">
        <v>122</v>
      </c>
      <c r="G1775" s="7"/>
      <c r="H1775" s="7">
        <v>27</v>
      </c>
      <c r="I1775" s="12"/>
      <c r="J1775" s="5" t="e">
        <f>SUM(SUMIFS(#REF!,#REF!,Planning[[#This Row],[Tipo de Tarea y especialidad]],#REF!,Planning[[#This Row],[Proyectos Reiwa]]),SUMIFS(#REF!,#REF!,Planning[[#This Row],[Tipo de Tarea y especialidad]],#REF!,Planning[[#This Row],[Proyectos]]))</f>
        <v>#REF!</v>
      </c>
      <c r="K1775" s="5" t="e">
        <f>Planning[[#This Row],[Horas Planificadas]]+Planning[[#This Row],[Horas ajustadas adicionales]]-Planning[[#This Row],[Horas utilizadas]]</f>
        <v>#REF!</v>
      </c>
      <c r="L1775" s="7">
        <v>0</v>
      </c>
      <c r="M1775" s="19" t="e">
        <f>Planning[[#This Row],[Saldo]]-Planning[[#This Row],[Saldo estimado]]</f>
        <v>#REF!</v>
      </c>
      <c r="N1775" s="60" t="e">
        <f>+SUMIFS(#REF!,#REF!,Planning[[#This Row],[Proyectos]],#REF!,Planning[[#This Row],[Tipo de Tarea y especialidad]])</f>
        <v>#REF!</v>
      </c>
      <c r="O1775" s="19">
        <f t="shared" si="54"/>
        <v>10</v>
      </c>
      <c r="P1775" s="19">
        <f t="shared" si="55"/>
        <v>2024</v>
      </c>
      <c r="Q17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75" s="19" t="str">
        <f>TEXT(Planning[[#This Row],[Mes]]*29,"mmmm")</f>
        <v>October</v>
      </c>
      <c r="S17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75" s="193"/>
      <c r="U1775" s="43" t="e">
        <f>IF(Planning[[#This Row],[Horas Planificadas]]&lt;&gt;0,+K1775/Planning[[#This Row],[Horas Planificadas]],0)</f>
        <v>#REF!</v>
      </c>
      <c r="V1775" s="43" t="e">
        <f>IF(Planning[[#This Row],[Horas Planificadas]]&lt;&gt;0,Planning[[#This Row],[Horas utilizadas]]/Planning[[#This Row],[Horas Planificadas]],0)</f>
        <v>#REF!</v>
      </c>
      <c r="W1775" s="44">
        <f>Planning[[#This Row],[Horas Planificadas]]+Planning[[#This Row],[Horas ajustadas adicionales]]</f>
        <v>27</v>
      </c>
      <c r="X1775" s="142"/>
    </row>
    <row r="1776" spans="1:24" ht="12.75" customHeight="1" x14ac:dyDescent="0.2">
      <c r="A1776" s="7" t="s">
        <v>177</v>
      </c>
      <c r="B1776" s="7" t="s">
        <v>205</v>
      </c>
      <c r="C1776" s="3"/>
      <c r="D1776" s="3" t="s">
        <v>415</v>
      </c>
      <c r="E1776" s="33"/>
      <c r="F1776" s="36" t="s">
        <v>123</v>
      </c>
      <c r="G1776" s="7"/>
      <c r="H1776" s="7">
        <v>306</v>
      </c>
      <c r="I1776" s="12"/>
      <c r="J1776" s="5" t="e">
        <f>SUM(SUMIFS(#REF!,#REF!,Planning[[#This Row],[Tipo de Tarea y especialidad]],#REF!,Planning[[#This Row],[Proyectos Reiwa]]),SUMIFS(#REF!,#REF!,Planning[[#This Row],[Tipo de Tarea y especialidad]],#REF!,Planning[[#This Row],[Proyectos]]))</f>
        <v>#REF!</v>
      </c>
      <c r="K1776" s="5" t="e">
        <f>Planning[[#This Row],[Horas Planificadas]]+Planning[[#This Row],[Horas ajustadas adicionales]]-Planning[[#This Row],[Horas utilizadas]]</f>
        <v>#REF!</v>
      </c>
      <c r="L1776" s="7">
        <v>0</v>
      </c>
      <c r="M1776" s="19" t="e">
        <f>Planning[[#This Row],[Saldo]]-Planning[[#This Row],[Saldo estimado]]</f>
        <v>#REF!</v>
      </c>
      <c r="N1776" s="60" t="e">
        <f>+SUMIFS(#REF!,#REF!,Planning[[#This Row],[Proyectos]],#REF!,Planning[[#This Row],[Tipo de Tarea y especialidad]])</f>
        <v>#REF!</v>
      </c>
      <c r="O1776" s="19">
        <f t="shared" si="54"/>
        <v>10</v>
      </c>
      <c r="P1776" s="19">
        <f t="shared" si="55"/>
        <v>2024</v>
      </c>
      <c r="Q17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76" s="19" t="str">
        <f>TEXT(Planning[[#This Row],[Mes]]*29,"mmmm")</f>
        <v>October</v>
      </c>
      <c r="S17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76" s="193"/>
      <c r="U1776" s="43" t="e">
        <f>IF(Planning[[#This Row],[Horas Planificadas]]&lt;&gt;0,+K1776/Planning[[#This Row],[Horas Planificadas]],0)</f>
        <v>#REF!</v>
      </c>
      <c r="V1776" s="43" t="e">
        <f>IF(Planning[[#This Row],[Horas Planificadas]]&lt;&gt;0,Planning[[#This Row],[Horas utilizadas]]/Planning[[#This Row],[Horas Planificadas]],0)</f>
        <v>#REF!</v>
      </c>
      <c r="W1776" s="44">
        <f>Planning[[#This Row],[Horas Planificadas]]+Planning[[#This Row],[Horas ajustadas adicionales]]</f>
        <v>306</v>
      </c>
      <c r="X1776" s="142"/>
    </row>
    <row r="1777" spans="1:24" ht="12.75" customHeight="1" x14ac:dyDescent="0.2">
      <c r="A1777" s="7" t="s">
        <v>177</v>
      </c>
      <c r="B1777" s="7" t="s">
        <v>205</v>
      </c>
      <c r="C1777" s="3"/>
      <c r="D1777" s="3" t="s">
        <v>415</v>
      </c>
      <c r="E1777" s="33"/>
      <c r="F1777" s="36" t="s">
        <v>124</v>
      </c>
      <c r="G1777" s="7"/>
      <c r="H1777" s="7"/>
      <c r="I1777" s="12"/>
      <c r="J1777" s="5" t="e">
        <f>SUM(SUMIFS(#REF!,#REF!,Planning[[#This Row],[Tipo de Tarea y especialidad]],#REF!,Planning[[#This Row],[Proyectos Reiwa]]),SUMIFS(#REF!,#REF!,Planning[[#This Row],[Tipo de Tarea y especialidad]],#REF!,Planning[[#This Row],[Proyectos]]))</f>
        <v>#REF!</v>
      </c>
      <c r="K1777" s="5" t="e">
        <f>Planning[[#This Row],[Horas Planificadas]]+Planning[[#This Row],[Horas ajustadas adicionales]]-Planning[[#This Row],[Horas utilizadas]]</f>
        <v>#REF!</v>
      </c>
      <c r="L1777" s="7"/>
      <c r="M1777" s="19" t="e">
        <f>Planning[[#This Row],[Saldo]]-Planning[[#This Row],[Saldo estimado]]</f>
        <v>#REF!</v>
      </c>
      <c r="N1777" s="60" t="e">
        <f>+SUMIFS(#REF!,#REF!,Planning[[#This Row],[Proyectos]],#REF!,Planning[[#This Row],[Tipo de Tarea y especialidad]])</f>
        <v>#REF!</v>
      </c>
      <c r="O1777" s="19">
        <f t="shared" si="54"/>
        <v>10</v>
      </c>
      <c r="P1777" s="19">
        <f t="shared" si="55"/>
        <v>2024</v>
      </c>
      <c r="Q17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77" s="19" t="str">
        <f>TEXT(Planning[[#This Row],[Mes]]*29,"mmmm")</f>
        <v>October</v>
      </c>
      <c r="S17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77" s="193"/>
      <c r="U1777" s="43">
        <f>IF(Planning[[#This Row],[Horas Planificadas]]&lt;&gt;0,+K1777/Planning[[#This Row],[Horas Planificadas]],0)</f>
        <v>0</v>
      </c>
      <c r="V1777" s="43">
        <f>IF(Planning[[#This Row],[Horas Planificadas]]&lt;&gt;0,Planning[[#This Row],[Horas utilizadas]]/Planning[[#This Row],[Horas Planificadas]],0)</f>
        <v>0</v>
      </c>
      <c r="W1777" s="44">
        <f>Planning[[#This Row],[Horas Planificadas]]+Planning[[#This Row],[Horas ajustadas adicionales]]</f>
        <v>0</v>
      </c>
      <c r="X1777" s="142"/>
    </row>
    <row r="1778" spans="1:24" ht="12.75" customHeight="1" x14ac:dyDescent="0.2">
      <c r="A1778" s="7" t="s">
        <v>177</v>
      </c>
      <c r="B1778" s="7" t="s">
        <v>205</v>
      </c>
      <c r="C1778" s="3"/>
      <c r="D1778" s="3" t="s">
        <v>415</v>
      </c>
      <c r="E1778" s="33"/>
      <c r="F1778" s="36" t="s">
        <v>125</v>
      </c>
      <c r="G1778" s="7"/>
      <c r="H1778" s="7">
        <v>140</v>
      </c>
      <c r="I1778" s="12"/>
      <c r="J1778" s="5" t="e">
        <f>SUM(SUMIFS(#REF!,#REF!,Planning[[#This Row],[Tipo de Tarea y especialidad]],#REF!,Planning[[#This Row],[Proyectos Reiwa]]),SUMIFS(#REF!,#REF!,Planning[[#This Row],[Tipo de Tarea y especialidad]],#REF!,Planning[[#This Row],[Proyectos]]))</f>
        <v>#REF!</v>
      </c>
      <c r="K1778" s="5" t="e">
        <f>Planning[[#This Row],[Horas Planificadas]]+Planning[[#This Row],[Horas ajustadas adicionales]]-Planning[[#This Row],[Horas utilizadas]]</f>
        <v>#REF!</v>
      </c>
      <c r="L1778" s="7">
        <v>0</v>
      </c>
      <c r="M1778" s="19" t="e">
        <f>Planning[[#This Row],[Saldo]]-Planning[[#This Row],[Saldo estimado]]</f>
        <v>#REF!</v>
      </c>
      <c r="N1778" s="60" t="e">
        <f>+SUMIFS(#REF!,#REF!,Planning[[#This Row],[Proyectos]],#REF!,Planning[[#This Row],[Tipo de Tarea y especialidad]])</f>
        <v>#REF!</v>
      </c>
      <c r="O1778" s="19">
        <f t="shared" si="54"/>
        <v>10</v>
      </c>
      <c r="P1778" s="19">
        <f t="shared" si="55"/>
        <v>2024</v>
      </c>
      <c r="Q17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78" s="19" t="str">
        <f>TEXT(Planning[[#This Row],[Mes]]*29,"mmmm")</f>
        <v>October</v>
      </c>
      <c r="S17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78" s="193"/>
      <c r="U1778" s="43" t="e">
        <f>IF(Planning[[#This Row],[Horas Planificadas]]&lt;&gt;0,+K1778/Planning[[#This Row],[Horas Planificadas]],0)</f>
        <v>#REF!</v>
      </c>
      <c r="V1778" s="43" t="e">
        <f>IF(Planning[[#This Row],[Horas Planificadas]]&lt;&gt;0,Planning[[#This Row],[Horas utilizadas]]/Planning[[#This Row],[Horas Planificadas]],0)</f>
        <v>#REF!</v>
      </c>
      <c r="W1778" s="44">
        <f>Planning[[#This Row],[Horas Planificadas]]+Planning[[#This Row],[Horas ajustadas adicionales]]</f>
        <v>140</v>
      </c>
      <c r="X1778" s="142"/>
    </row>
    <row r="1779" spans="1:24" ht="12.75" customHeight="1" x14ac:dyDescent="0.2">
      <c r="A1779" s="7" t="s">
        <v>177</v>
      </c>
      <c r="B1779" s="7" t="s">
        <v>205</v>
      </c>
      <c r="C1779" s="3"/>
      <c r="D1779" s="3" t="s">
        <v>415</v>
      </c>
      <c r="E1779" s="4"/>
      <c r="F1779" s="3" t="s">
        <v>126</v>
      </c>
      <c r="G1779" s="9"/>
      <c r="H1779" s="12">
        <v>69</v>
      </c>
      <c r="I1779" s="12"/>
      <c r="J1779" s="5" t="e">
        <f>SUM(SUMIFS(#REF!,#REF!,Planning[[#This Row],[Tipo de Tarea y especialidad]],#REF!,Planning[[#This Row],[Proyectos Reiwa]]),SUMIFS(#REF!,#REF!,Planning[[#This Row],[Tipo de Tarea y especialidad]],#REF!,Planning[[#This Row],[Proyectos]]))</f>
        <v>#REF!</v>
      </c>
      <c r="K1779" s="27" t="e">
        <f>Planning[[#This Row],[Horas Planificadas]]+Planning[[#This Row],[Horas ajustadas adicionales]]-Planning[[#This Row],[Horas utilizadas]]</f>
        <v>#REF!</v>
      </c>
      <c r="L1779" s="7">
        <v>0</v>
      </c>
      <c r="M1779" s="34" t="e">
        <f>Planning[[#This Row],[Saldo]]-Planning[[#This Row],[Saldo estimado]]</f>
        <v>#REF!</v>
      </c>
      <c r="N1779" s="62" t="e">
        <f>+SUMIFS(#REF!,#REF!,Planning[[#This Row],[Proyectos]],#REF!,Planning[[#This Row],[Tipo de Tarea y especialidad]])</f>
        <v>#REF!</v>
      </c>
      <c r="O1779" s="34">
        <f t="shared" si="54"/>
        <v>10</v>
      </c>
      <c r="P1779" s="34">
        <f t="shared" si="55"/>
        <v>2024</v>
      </c>
      <c r="Q17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79" s="19" t="str">
        <f>TEXT(Planning[[#This Row],[Mes]]*29,"mmmm")</f>
        <v>October</v>
      </c>
      <c r="S17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79" s="193"/>
      <c r="U1779" s="43" t="e">
        <f>IF(Planning[[#This Row],[Horas Planificadas]]&lt;&gt;0,+K1779/Planning[[#This Row],[Horas Planificadas]],0)</f>
        <v>#REF!</v>
      </c>
      <c r="V1779" s="43" t="e">
        <f>IF(Planning[[#This Row],[Horas Planificadas]]&lt;&gt;0,Planning[[#This Row],[Horas utilizadas]]/Planning[[#This Row],[Horas Planificadas]],0)</f>
        <v>#REF!</v>
      </c>
      <c r="W1779" s="44">
        <f>Planning[[#This Row],[Horas Planificadas]]+Planning[[#This Row],[Horas ajustadas adicionales]]</f>
        <v>69</v>
      </c>
      <c r="X1779" s="142"/>
    </row>
    <row r="1780" spans="1:24" ht="12.75" customHeight="1" x14ac:dyDescent="0.2">
      <c r="A1780" s="7" t="s">
        <v>177</v>
      </c>
      <c r="B1780" s="7" t="s">
        <v>205</v>
      </c>
      <c r="C1780" s="3"/>
      <c r="D1780" s="3" t="s">
        <v>415</v>
      </c>
      <c r="E1780" s="4"/>
      <c r="F1780" s="3" t="s">
        <v>127</v>
      </c>
      <c r="G1780" s="9"/>
      <c r="H1780" s="9">
        <v>72</v>
      </c>
      <c r="I1780" s="12"/>
      <c r="J1780" s="5" t="e">
        <f>SUM(SUMIFS(#REF!,#REF!,Planning[[#This Row],[Tipo de Tarea y especialidad]],#REF!,Planning[[#This Row],[Proyectos Reiwa]]),SUMIFS(#REF!,#REF!,Planning[[#This Row],[Tipo de Tarea y especialidad]],#REF!,Planning[[#This Row],[Proyectos]]))</f>
        <v>#REF!</v>
      </c>
      <c r="K1780" s="5" t="e">
        <f>Planning[[#This Row],[Horas Planificadas]]+Planning[[#This Row],[Horas ajustadas adicionales]]-Planning[[#This Row],[Horas utilizadas]]</f>
        <v>#REF!</v>
      </c>
      <c r="L1780" s="7">
        <v>0</v>
      </c>
      <c r="M1780" s="19" t="e">
        <f>Planning[[#This Row],[Saldo]]-Planning[[#This Row],[Saldo estimado]]</f>
        <v>#REF!</v>
      </c>
      <c r="N1780" s="60" t="e">
        <f>+SUMIFS(#REF!,#REF!,Planning[[#This Row],[Proyectos]],#REF!,Planning[[#This Row],[Tipo de Tarea y especialidad]])</f>
        <v>#REF!</v>
      </c>
      <c r="O1780" s="19">
        <f t="shared" si="54"/>
        <v>10</v>
      </c>
      <c r="P1780" s="19">
        <f t="shared" si="55"/>
        <v>2024</v>
      </c>
      <c r="Q17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80" s="19" t="str">
        <f>TEXT(Planning[[#This Row],[Mes]]*29,"mmmm")</f>
        <v>October</v>
      </c>
      <c r="S17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80" s="193"/>
      <c r="U1780" s="43" t="e">
        <f>IF(Planning[[#This Row],[Horas Planificadas]]&lt;&gt;0,+K1780/Planning[[#This Row],[Horas Planificadas]],0)</f>
        <v>#REF!</v>
      </c>
      <c r="V1780" s="43" t="e">
        <f>IF(Planning[[#This Row],[Horas Planificadas]]&lt;&gt;0,Planning[[#This Row],[Horas utilizadas]]/Planning[[#This Row],[Horas Planificadas]],0)</f>
        <v>#REF!</v>
      </c>
      <c r="W1780" s="44">
        <f>Planning[[#This Row],[Horas Planificadas]]+Planning[[#This Row],[Horas ajustadas adicionales]]</f>
        <v>72</v>
      </c>
      <c r="X1780" s="142"/>
    </row>
    <row r="1781" spans="1:24" ht="12.75" customHeight="1" x14ac:dyDescent="0.2">
      <c r="A1781" s="7" t="s">
        <v>177</v>
      </c>
      <c r="B1781" s="7" t="s">
        <v>205</v>
      </c>
      <c r="C1781" s="3"/>
      <c r="D1781" s="3" t="s">
        <v>415</v>
      </c>
      <c r="E1781" s="4"/>
      <c r="F1781" s="3" t="s">
        <v>128</v>
      </c>
      <c r="G1781" s="9"/>
      <c r="H1781" s="9"/>
      <c r="I1781" s="12"/>
      <c r="J1781" s="5" t="e">
        <f>SUM(SUMIFS(#REF!,#REF!,Planning[[#This Row],[Tipo de Tarea y especialidad]],#REF!,Planning[[#This Row],[Proyectos Reiwa]]),SUMIFS(#REF!,#REF!,Planning[[#This Row],[Tipo de Tarea y especialidad]],#REF!,Planning[[#This Row],[Proyectos]]))</f>
        <v>#REF!</v>
      </c>
      <c r="K1781" s="5" t="e">
        <f>Planning[[#This Row],[Horas Planificadas]]+Planning[[#This Row],[Horas ajustadas adicionales]]-Planning[[#This Row],[Horas utilizadas]]</f>
        <v>#REF!</v>
      </c>
      <c r="L1781" s="7"/>
      <c r="M1781" s="19" t="e">
        <f>Planning[[#This Row],[Saldo]]-Planning[[#This Row],[Saldo estimado]]</f>
        <v>#REF!</v>
      </c>
      <c r="N1781" s="60" t="e">
        <f>+SUMIFS(#REF!,#REF!,Planning[[#This Row],[Proyectos]],#REF!,Planning[[#This Row],[Tipo de Tarea y especialidad]])</f>
        <v>#REF!</v>
      </c>
      <c r="O1781" s="19">
        <f t="shared" si="54"/>
        <v>10</v>
      </c>
      <c r="P1781" s="19">
        <f t="shared" si="55"/>
        <v>2024</v>
      </c>
      <c r="Q17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81" s="19" t="str">
        <f>TEXT(Planning[[#This Row],[Mes]]*29,"mmmm")</f>
        <v>October</v>
      </c>
      <c r="S17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81" s="193"/>
      <c r="U1781" s="43">
        <f>IF(Planning[[#This Row],[Horas Planificadas]]&lt;&gt;0,+K1781/Planning[[#This Row],[Horas Planificadas]],0)</f>
        <v>0</v>
      </c>
      <c r="V1781" s="43">
        <f>IF(Planning[[#This Row],[Horas Planificadas]]&lt;&gt;0,Planning[[#This Row],[Horas utilizadas]]/Planning[[#This Row],[Horas Planificadas]],0)</f>
        <v>0</v>
      </c>
      <c r="W1781" s="44">
        <f>Planning[[#This Row],[Horas Planificadas]]+Planning[[#This Row],[Horas ajustadas adicionales]]</f>
        <v>0</v>
      </c>
      <c r="X1781" s="142"/>
    </row>
    <row r="1782" spans="1:24" ht="12.75" customHeight="1" x14ac:dyDescent="0.2">
      <c r="A1782" s="7" t="s">
        <v>177</v>
      </c>
      <c r="B1782" s="7" t="s">
        <v>205</v>
      </c>
      <c r="C1782" s="3"/>
      <c r="D1782" s="3" t="s">
        <v>415</v>
      </c>
      <c r="E1782" s="4" t="s">
        <v>31</v>
      </c>
      <c r="F1782" s="3" t="s">
        <v>31</v>
      </c>
      <c r="G1782" s="9">
        <v>90</v>
      </c>
      <c r="H1782" s="18">
        <v>117</v>
      </c>
      <c r="I1782" s="18"/>
      <c r="J1782" s="14" t="e">
        <f>+SUMIFS(#REF!,#REF!,Planning[[#This Row],[Tarifa]],#REF!,Planning[[#This Row],[Proyectos]])</f>
        <v>#REF!</v>
      </c>
      <c r="K1782" s="24" t="e">
        <f>Planning[[#This Row],[Horas Planificadas]]+Planning[[#This Row],[Horas ajustadas adicionales]]-Planning[[#This Row],[Horas utilizadas]]</f>
        <v>#REF!</v>
      </c>
      <c r="L1782" s="15">
        <v>0</v>
      </c>
      <c r="M1782" s="16" t="e">
        <f>Planning[[#This Row],[Saldo]]-Planning[[#This Row],[Saldo estimado]]</f>
        <v>#REF!</v>
      </c>
      <c r="N1782" s="60" t="e">
        <f>+SUMIFS(#REF!,#REF!,Planning[[#This Row],[Proyectos]],#REF!,Planning[[#This Row],[Tipo de Tarea y especialidad]])</f>
        <v>#REF!</v>
      </c>
      <c r="O1782" s="16">
        <f t="shared" si="54"/>
        <v>10</v>
      </c>
      <c r="P1782" s="16">
        <f t="shared" si="55"/>
        <v>2024</v>
      </c>
      <c r="Q1782" s="16" t="e">
        <f>+SUMIFS(#REF!,#REF!,Planning[[#This Row],[Tarifa]],#REF!,Planning[[#This Row],[Proyectos]],#REF!,Planning[[#This Row],[Mes]],#REF!,Planning[[#This Row],[Año]])</f>
        <v>#REF!</v>
      </c>
      <c r="R1782" s="16" t="str">
        <f>TEXT(Planning[[#This Row],[Mes]]*29,"mmmm")</f>
        <v>October</v>
      </c>
      <c r="S17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82" s="193"/>
      <c r="U1782" s="43" t="e">
        <f>IF(Planning[[#This Row],[Horas Planificadas]]&lt;&gt;0,+K1782/Planning[[#This Row],[Horas Planificadas]],0)</f>
        <v>#REF!</v>
      </c>
      <c r="V1782" s="43" t="e">
        <f>IF(Planning[[#This Row],[Horas Planificadas]]&lt;&gt;0,Planning[[#This Row],[Horas utilizadas]]/Planning[[#This Row],[Horas Planificadas]],0)</f>
        <v>#REF!</v>
      </c>
      <c r="W1782" s="44">
        <f>Planning[[#This Row],[Horas Planificadas]]+Planning[[#This Row],[Horas ajustadas adicionales]]</f>
        <v>117</v>
      </c>
      <c r="X1782" s="142"/>
    </row>
    <row r="1783" spans="1:24" ht="12.75" customHeight="1" x14ac:dyDescent="0.2">
      <c r="A1783" s="7" t="s">
        <v>177</v>
      </c>
      <c r="B1783" s="7" t="s">
        <v>205</v>
      </c>
      <c r="C1783" s="3"/>
      <c r="D1783" s="3" t="s">
        <v>415</v>
      </c>
      <c r="E1783" s="4" t="s">
        <v>32</v>
      </c>
      <c r="F1783" s="3"/>
      <c r="G1783" s="9">
        <v>191</v>
      </c>
      <c r="H1783" s="25">
        <f>SUM(H1784:H1786)</f>
        <v>299</v>
      </c>
      <c r="I1783" s="14"/>
      <c r="J1783" s="14" t="e">
        <f>SUM(J1784:J1786)</f>
        <v>#REF!</v>
      </c>
      <c r="K1783" s="18" t="e">
        <f>SUM(K1784:K1786)</f>
        <v>#REF!</v>
      </c>
      <c r="L1783" s="15">
        <f>SUM(L1784:L1786)</f>
        <v>0</v>
      </c>
      <c r="M1783" s="16" t="e">
        <f>SUM(M1784:M1786)</f>
        <v>#REF!</v>
      </c>
      <c r="N1783" s="60" t="e">
        <f>+SUMIFS(#REF!,#REF!,Planning[[#This Row],[Proyectos]],#REF!,Planning[[#This Row],[Tipo de Tarea y especialidad]])</f>
        <v>#REF!</v>
      </c>
      <c r="O1783" s="16">
        <f t="shared" si="54"/>
        <v>10</v>
      </c>
      <c r="P1783" s="16">
        <f t="shared" si="55"/>
        <v>2024</v>
      </c>
      <c r="Q1783" s="16" t="e">
        <f>SUM(Q1784:Q1786)</f>
        <v>#REF!</v>
      </c>
      <c r="R1783" s="16" t="str">
        <f>TEXT(Planning[[#This Row],[Mes]]*29,"mmmm")</f>
        <v>October</v>
      </c>
      <c r="S17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83" s="193"/>
      <c r="U1783" s="43" t="e">
        <f>IF(Planning[[#This Row],[Horas Planificadas]]&lt;&gt;0,+K1783/Planning[[#This Row],[Horas Planificadas]],0)</f>
        <v>#REF!</v>
      </c>
      <c r="V1783" s="43" t="e">
        <f>IF(Planning[[#This Row],[Horas Planificadas]]&lt;&gt;0,Planning[[#This Row],[Horas utilizadas]]/Planning[[#This Row],[Horas Planificadas]],0)</f>
        <v>#REF!</v>
      </c>
      <c r="W1783" s="44">
        <f>Planning[[#This Row],[Horas Planificadas]]+Planning[[#This Row],[Horas ajustadas adicionales]]</f>
        <v>299</v>
      </c>
      <c r="X1783" s="142"/>
    </row>
    <row r="1784" spans="1:24" ht="12.75" customHeight="1" x14ac:dyDescent="0.2">
      <c r="A1784" s="7" t="s">
        <v>177</v>
      </c>
      <c r="B1784" s="7" t="s">
        <v>205</v>
      </c>
      <c r="C1784" s="3"/>
      <c r="D1784" s="3" t="s">
        <v>415</v>
      </c>
      <c r="E1784" s="4"/>
      <c r="F1784" s="3" t="s">
        <v>129</v>
      </c>
      <c r="G1784" s="9"/>
      <c r="H1784" s="9">
        <v>150</v>
      </c>
      <c r="I1784" s="12"/>
      <c r="J1784" s="5" t="e">
        <f>SUM(SUMIFS(#REF!,#REF!,Planning[[#This Row],[Tipo de Tarea y especialidad]],#REF!,Planning[[#This Row],[Proyectos Reiwa]]),SUMIFS(#REF!,#REF!,Planning[[#This Row],[Tipo de Tarea y especialidad]],#REF!,Planning[[#This Row],[Proyectos]]))</f>
        <v>#REF!</v>
      </c>
      <c r="K1784" s="5" t="e">
        <f>Planning[[#This Row],[Horas Planificadas]]+Planning[[#This Row],[Horas ajustadas adicionales]]-Planning[[#This Row],[Horas utilizadas]]</f>
        <v>#REF!</v>
      </c>
      <c r="L1784" s="7">
        <v>0</v>
      </c>
      <c r="M1784" s="19" t="e">
        <f>Planning[[#This Row],[Saldo]]-Planning[[#This Row],[Saldo estimado]]</f>
        <v>#REF!</v>
      </c>
      <c r="N1784" s="60" t="e">
        <f>+SUMIFS(#REF!,#REF!,Planning[[#This Row],[Proyectos]],#REF!,Planning[[#This Row],[Tipo de Tarea y especialidad]])</f>
        <v>#REF!</v>
      </c>
      <c r="O1784" s="19">
        <f t="shared" si="54"/>
        <v>10</v>
      </c>
      <c r="P1784" s="19">
        <f t="shared" si="55"/>
        <v>2024</v>
      </c>
      <c r="Q17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84" s="19" t="str">
        <f>TEXT(Planning[[#This Row],[Mes]]*29,"mmmm")</f>
        <v>October</v>
      </c>
      <c r="S17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84" s="193"/>
      <c r="U1784" s="43" t="e">
        <f>IF(Planning[[#This Row],[Horas Planificadas]]&lt;&gt;0,+K1784/Planning[[#This Row],[Horas Planificadas]],0)</f>
        <v>#REF!</v>
      </c>
      <c r="V1784" s="43" t="e">
        <f>IF(Planning[[#This Row],[Horas Planificadas]]&lt;&gt;0,Planning[[#This Row],[Horas utilizadas]]/Planning[[#This Row],[Horas Planificadas]],0)</f>
        <v>#REF!</v>
      </c>
      <c r="W1784" s="44">
        <f>Planning[[#This Row],[Horas Planificadas]]+Planning[[#This Row],[Horas ajustadas adicionales]]</f>
        <v>150</v>
      </c>
      <c r="X1784" s="142"/>
    </row>
    <row r="1785" spans="1:24" ht="12.75" customHeight="1" x14ac:dyDescent="0.2">
      <c r="A1785" s="7" t="s">
        <v>177</v>
      </c>
      <c r="B1785" s="7" t="s">
        <v>205</v>
      </c>
      <c r="C1785" s="3"/>
      <c r="D1785" s="3" t="s">
        <v>415</v>
      </c>
      <c r="E1785" s="4"/>
      <c r="F1785" s="3" t="s">
        <v>130</v>
      </c>
      <c r="G1785" s="9"/>
      <c r="H1785" s="9">
        <v>149</v>
      </c>
      <c r="I1785" s="12"/>
      <c r="J1785" s="5" t="e">
        <f>SUM(SUMIFS(#REF!,#REF!,Planning[[#This Row],[Tipo de Tarea y especialidad]],#REF!,Planning[[#This Row],[Proyectos Reiwa]]),SUMIFS(#REF!,#REF!,Planning[[#This Row],[Tipo de Tarea y especialidad]],#REF!,Planning[[#This Row],[Proyectos]]))</f>
        <v>#REF!</v>
      </c>
      <c r="K1785" s="5" t="e">
        <f>Planning[[#This Row],[Horas Planificadas]]+Planning[[#This Row],[Horas ajustadas adicionales]]-Planning[[#This Row],[Horas utilizadas]]</f>
        <v>#REF!</v>
      </c>
      <c r="L1785" s="7">
        <v>0</v>
      </c>
      <c r="M1785" s="19" t="e">
        <f>Planning[[#This Row],[Saldo]]-Planning[[#This Row],[Saldo estimado]]</f>
        <v>#REF!</v>
      </c>
      <c r="N1785" s="60" t="e">
        <f>+SUMIFS(#REF!,#REF!,Planning[[#This Row],[Proyectos]],#REF!,Planning[[#This Row],[Tipo de Tarea y especialidad]])</f>
        <v>#REF!</v>
      </c>
      <c r="O1785" s="19">
        <f t="shared" si="54"/>
        <v>10</v>
      </c>
      <c r="P1785" s="19">
        <f t="shared" si="55"/>
        <v>2024</v>
      </c>
      <c r="Q17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85" s="19" t="str">
        <f>TEXT(Planning[[#This Row],[Mes]]*29,"mmmm")</f>
        <v>October</v>
      </c>
      <c r="S17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85" s="193"/>
      <c r="U1785" s="43" t="e">
        <f>IF(Planning[[#This Row],[Horas Planificadas]]&lt;&gt;0,+K1785/Planning[[#This Row],[Horas Planificadas]],0)</f>
        <v>#REF!</v>
      </c>
      <c r="V1785" s="43" t="e">
        <f>IF(Planning[[#This Row],[Horas Planificadas]]&lt;&gt;0,Planning[[#This Row],[Horas utilizadas]]/Planning[[#This Row],[Horas Planificadas]],0)</f>
        <v>#REF!</v>
      </c>
      <c r="W1785" s="44">
        <f>Planning[[#This Row],[Horas Planificadas]]+Planning[[#This Row],[Horas ajustadas adicionales]]</f>
        <v>149</v>
      </c>
      <c r="X1785" s="142"/>
    </row>
    <row r="1786" spans="1:24" ht="12.75" customHeight="1" x14ac:dyDescent="0.2">
      <c r="A1786" s="7" t="s">
        <v>177</v>
      </c>
      <c r="B1786" s="7" t="s">
        <v>205</v>
      </c>
      <c r="C1786" s="3"/>
      <c r="D1786" s="3" t="s">
        <v>415</v>
      </c>
      <c r="E1786" s="4"/>
      <c r="F1786" s="3" t="s">
        <v>131</v>
      </c>
      <c r="G1786" s="9"/>
      <c r="H1786" s="9"/>
      <c r="I1786" s="12"/>
      <c r="J1786" s="5" t="e">
        <f>SUM(SUMIFS(#REF!,#REF!,Planning[[#This Row],[Tipo de Tarea y especialidad]],#REF!,Planning[[#This Row],[Proyectos Reiwa]]),SUMIFS(#REF!,#REF!,Planning[[#This Row],[Tipo de Tarea y especialidad]],#REF!,Planning[[#This Row],[Proyectos]]))</f>
        <v>#REF!</v>
      </c>
      <c r="K1786" s="5" t="e">
        <f>Planning[[#This Row],[Horas Planificadas]]+Planning[[#This Row],[Horas ajustadas adicionales]]-Planning[[#This Row],[Horas utilizadas]]</f>
        <v>#REF!</v>
      </c>
      <c r="L1786" s="7"/>
      <c r="M1786" s="19" t="e">
        <f>Planning[[#This Row],[Saldo]]-Planning[[#This Row],[Saldo estimado]]</f>
        <v>#REF!</v>
      </c>
      <c r="N1786" s="60" t="e">
        <f>+SUMIFS(#REF!,#REF!,Planning[[#This Row],[Proyectos]],#REF!,Planning[[#This Row],[Tipo de Tarea y especialidad]])</f>
        <v>#REF!</v>
      </c>
      <c r="O1786" s="19">
        <f t="shared" si="54"/>
        <v>10</v>
      </c>
      <c r="P1786" s="19">
        <f t="shared" si="55"/>
        <v>2024</v>
      </c>
      <c r="Q17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86" s="19" t="str">
        <f>TEXT(Planning[[#This Row],[Mes]]*29,"mmmm")</f>
        <v>October</v>
      </c>
      <c r="S17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86" s="193"/>
      <c r="U1786" s="43">
        <f>IF(Planning[[#This Row],[Horas Planificadas]]&lt;&gt;0,+K1786/Planning[[#This Row],[Horas Planificadas]],0)</f>
        <v>0</v>
      </c>
      <c r="V1786" s="43">
        <f>IF(Planning[[#This Row],[Horas Planificadas]]&lt;&gt;0,Planning[[#This Row],[Horas utilizadas]]/Planning[[#This Row],[Horas Planificadas]],0)</f>
        <v>0</v>
      </c>
      <c r="W1786" s="44">
        <f>Planning[[#This Row],[Horas Planificadas]]+Planning[[#This Row],[Horas ajustadas adicionales]]</f>
        <v>0</v>
      </c>
      <c r="X1786" s="142"/>
    </row>
    <row r="1787" spans="1:24" ht="12.75" customHeight="1" x14ac:dyDescent="0.2">
      <c r="A1787" s="7"/>
      <c r="B1787" s="7"/>
      <c r="C1787" s="3"/>
      <c r="D1787" s="3" t="s">
        <v>417</v>
      </c>
      <c r="E1787" s="4" t="s">
        <v>28</v>
      </c>
      <c r="F1787" s="3"/>
      <c r="G1787" s="9"/>
      <c r="H1787" s="9">
        <v>8</v>
      </c>
      <c r="I1787" s="12"/>
      <c r="J1787" s="5" t="e">
        <f>+SUMIFS(#REF!,#REF!,Planning[[#This Row],[Tarifa]],#REF!,Planning[[#This Row],[Proyectos]])</f>
        <v>#REF!</v>
      </c>
      <c r="K1787" s="5" t="e">
        <f>Planning[[#This Row],[Horas Planificadas]]+Planning[[#This Row],[Horas ajustadas adicionales]]-Planning[[#This Row],[Horas utilizadas]]</f>
        <v>#REF!</v>
      </c>
      <c r="L1787" s="7"/>
      <c r="M1787" s="19" t="e">
        <f>Planning[[#This Row],[Saldo]]-Planning[[#This Row],[Saldo estimado]]</f>
        <v>#REF!</v>
      </c>
      <c r="N1787" s="60" t="e">
        <f>+SUMIFS(#REF!,#REF!,Planning[[#This Row],[Proyectos]],#REF!,Planning[[#This Row],[Tipo de Tarea y especialidad]])</f>
        <v>#REF!</v>
      </c>
      <c r="O1787" s="19">
        <f t="shared" si="54"/>
        <v>10</v>
      </c>
      <c r="P1787" s="19">
        <f t="shared" si="55"/>
        <v>2024</v>
      </c>
      <c r="Q1787" s="19" t="e">
        <f>+SUMIFS(#REF!,#REF!,Planning[[#This Row],[Tarifa]],#REF!,Planning[[#This Row],[Proyectos]],#REF!,Planning[[#This Row],[Mes]],#REF!,Planning[[#This Row],[Año]])</f>
        <v>#REF!</v>
      </c>
      <c r="R1787" s="19" t="str">
        <f>TEXT(Planning[[#This Row],[Mes]]*29,"mmmm")</f>
        <v>October</v>
      </c>
      <c r="S17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87" s="228"/>
      <c r="U1787" s="43" t="e">
        <f>IF(Planning[[#This Row],[Horas Planificadas]]&lt;&gt;0,+K1787/Planning[[#This Row],[Horas Planificadas]],0)</f>
        <v>#REF!</v>
      </c>
      <c r="V1787" s="43" t="e">
        <f>IF(Planning[[#This Row],[Horas Planificadas]]&lt;&gt;0,Planning[[#This Row],[Horas utilizadas]]/Planning[[#This Row],[Horas Planificadas]],0)</f>
        <v>#REF!</v>
      </c>
      <c r="W1787" s="44">
        <f>Planning[[#This Row],[Horas Planificadas]]+Planning[[#This Row],[Horas ajustadas adicionales]]</f>
        <v>8</v>
      </c>
      <c r="X1787" s="142"/>
    </row>
    <row r="1788" spans="1:24" ht="12.75" customHeight="1" x14ac:dyDescent="0.2">
      <c r="A1788" s="7"/>
      <c r="B1788" s="7"/>
      <c r="C1788" s="3"/>
      <c r="D1788" s="3" t="s">
        <v>417</v>
      </c>
      <c r="E1788" s="4" t="s">
        <v>30</v>
      </c>
      <c r="F1788" s="3"/>
      <c r="G1788" s="9"/>
      <c r="H1788" s="9">
        <v>24</v>
      </c>
      <c r="I1788" s="12"/>
      <c r="J1788" s="5" t="e">
        <f>+SUMIFS(#REF!,#REF!,Planning[[#This Row],[Tarifa]],#REF!,Planning[[#This Row],[Proyectos]])</f>
        <v>#REF!</v>
      </c>
      <c r="K1788" s="5" t="e">
        <f>Planning[[#This Row],[Horas Planificadas]]+Planning[[#This Row],[Horas ajustadas adicionales]]-Planning[[#This Row],[Horas utilizadas]]</f>
        <v>#REF!</v>
      </c>
      <c r="L1788" s="7"/>
      <c r="M1788" s="19" t="e">
        <f>Planning[[#This Row],[Saldo]]-Planning[[#This Row],[Saldo estimado]]</f>
        <v>#REF!</v>
      </c>
      <c r="N1788" s="60" t="e">
        <f>+SUMIFS(#REF!,#REF!,Planning[[#This Row],[Proyectos]],#REF!,Planning[[#This Row],[Tipo de Tarea y especialidad]])</f>
        <v>#REF!</v>
      </c>
      <c r="O1788" s="19">
        <f t="shared" si="54"/>
        <v>10</v>
      </c>
      <c r="P1788" s="19">
        <f t="shared" si="55"/>
        <v>2024</v>
      </c>
      <c r="Q1788" s="19" t="e">
        <f>+SUMIFS(#REF!,#REF!,Planning[[#This Row],[Tarifa]],#REF!,Planning[[#This Row],[Proyectos]],#REF!,Planning[[#This Row],[Mes]],#REF!,Planning[[#This Row],[Año]])</f>
        <v>#REF!</v>
      </c>
      <c r="R1788" s="19" t="str">
        <f>TEXT(Planning[[#This Row],[Mes]]*29,"mmmm")</f>
        <v>October</v>
      </c>
      <c r="S17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88" s="228"/>
      <c r="U1788" s="43" t="e">
        <f>IF(Planning[[#This Row],[Horas Planificadas]]&lt;&gt;0,+K1788/Planning[[#This Row],[Horas Planificadas]],0)</f>
        <v>#REF!</v>
      </c>
      <c r="V1788" s="43" t="e">
        <f>IF(Planning[[#This Row],[Horas Planificadas]]&lt;&gt;0,Planning[[#This Row],[Horas utilizadas]]/Planning[[#This Row],[Horas Planificadas]],0)</f>
        <v>#REF!</v>
      </c>
      <c r="W1788" s="44">
        <f>Planning[[#This Row],[Horas Planificadas]]+Planning[[#This Row],[Horas ajustadas adicionales]]</f>
        <v>24</v>
      </c>
      <c r="X1788" s="142"/>
    </row>
    <row r="1789" spans="1:24" ht="12.75" customHeight="1" x14ac:dyDescent="0.2">
      <c r="A1789" s="7"/>
      <c r="B1789" s="7"/>
      <c r="C1789" s="3"/>
      <c r="D1789" s="3" t="s">
        <v>417</v>
      </c>
      <c r="E1789" s="4" t="s">
        <v>31</v>
      </c>
      <c r="F1789" s="3"/>
      <c r="G1789" s="9"/>
      <c r="H1789" s="9">
        <v>24</v>
      </c>
      <c r="I1789" s="12"/>
      <c r="J1789" s="5" t="e">
        <f>+SUMIFS(#REF!,#REF!,Planning[[#This Row],[Tarifa]],#REF!,Planning[[#This Row],[Proyectos]])</f>
        <v>#REF!</v>
      </c>
      <c r="K1789" s="5" t="e">
        <f>Planning[[#This Row],[Horas Planificadas]]+Planning[[#This Row],[Horas ajustadas adicionales]]-Planning[[#This Row],[Horas utilizadas]]</f>
        <v>#REF!</v>
      </c>
      <c r="L1789" s="7"/>
      <c r="M1789" s="19" t="e">
        <f>Planning[[#This Row],[Saldo]]-Planning[[#This Row],[Saldo estimado]]</f>
        <v>#REF!</v>
      </c>
      <c r="N1789" s="60" t="e">
        <f>+SUMIFS(#REF!,#REF!,Planning[[#This Row],[Proyectos]],#REF!,Planning[[#This Row],[Tipo de Tarea y especialidad]])</f>
        <v>#REF!</v>
      </c>
      <c r="O1789" s="19">
        <f t="shared" si="54"/>
        <v>10</v>
      </c>
      <c r="P1789" s="19">
        <f t="shared" si="55"/>
        <v>2024</v>
      </c>
      <c r="Q1789" s="19" t="e">
        <f>+SUMIFS(#REF!,#REF!,Planning[[#This Row],[Tarifa]],#REF!,Planning[[#This Row],[Proyectos]],#REF!,Planning[[#This Row],[Mes]],#REF!,Planning[[#This Row],[Año]])</f>
        <v>#REF!</v>
      </c>
      <c r="R1789" s="19" t="str">
        <f>TEXT(Planning[[#This Row],[Mes]]*29,"mmmm")</f>
        <v>October</v>
      </c>
      <c r="S17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89" s="228"/>
      <c r="U1789" s="43" t="e">
        <f>IF(Planning[[#This Row],[Horas Planificadas]]&lt;&gt;0,+K1789/Planning[[#This Row],[Horas Planificadas]],0)</f>
        <v>#REF!</v>
      </c>
      <c r="V1789" s="43" t="e">
        <f>IF(Planning[[#This Row],[Horas Planificadas]]&lt;&gt;0,Planning[[#This Row],[Horas utilizadas]]/Planning[[#This Row],[Horas Planificadas]],0)</f>
        <v>#REF!</v>
      </c>
      <c r="W1789" s="44">
        <f>Planning[[#This Row],[Horas Planificadas]]+Planning[[#This Row],[Horas ajustadas adicionales]]</f>
        <v>24</v>
      </c>
      <c r="X1789" s="142"/>
    </row>
    <row r="1790" spans="1:24" ht="12.75" customHeight="1" x14ac:dyDescent="0.2">
      <c r="A1790" s="7"/>
      <c r="B1790" s="7"/>
      <c r="C1790" s="3"/>
      <c r="D1790" s="3" t="s">
        <v>417</v>
      </c>
      <c r="E1790" s="4" t="s">
        <v>32</v>
      </c>
      <c r="F1790" s="3"/>
      <c r="G1790" s="9"/>
      <c r="H1790" s="9">
        <v>8</v>
      </c>
      <c r="I1790" s="12"/>
      <c r="J1790" s="5" t="e">
        <f>+SUMIFS(#REF!,#REF!,Planning[[#This Row],[Tarifa]],#REF!,Planning[[#This Row],[Proyectos]])</f>
        <v>#REF!</v>
      </c>
      <c r="K1790" s="5" t="e">
        <f>Planning[[#This Row],[Horas Planificadas]]+Planning[[#This Row],[Horas ajustadas adicionales]]-Planning[[#This Row],[Horas utilizadas]]</f>
        <v>#REF!</v>
      </c>
      <c r="L1790" s="7"/>
      <c r="M1790" s="19" t="e">
        <f>Planning[[#This Row],[Saldo]]-Planning[[#This Row],[Saldo estimado]]</f>
        <v>#REF!</v>
      </c>
      <c r="N1790" s="60" t="e">
        <f>+SUMIFS(#REF!,#REF!,Planning[[#This Row],[Proyectos]],#REF!,Planning[[#This Row],[Tipo de Tarea y especialidad]])</f>
        <v>#REF!</v>
      </c>
      <c r="O1790" s="19">
        <f t="shared" si="54"/>
        <v>10</v>
      </c>
      <c r="P1790" s="19">
        <f t="shared" si="55"/>
        <v>2024</v>
      </c>
      <c r="Q1790" s="19" t="e">
        <f>+SUMIFS(#REF!,#REF!,Planning[[#This Row],[Tarifa]],#REF!,Planning[[#This Row],[Proyectos]],#REF!,Planning[[#This Row],[Mes]],#REF!,Planning[[#This Row],[Año]])</f>
        <v>#REF!</v>
      </c>
      <c r="R1790" s="19" t="str">
        <f>TEXT(Planning[[#This Row],[Mes]]*29,"mmmm")</f>
        <v>October</v>
      </c>
      <c r="S17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90" s="228"/>
      <c r="U1790" s="43" t="e">
        <f>IF(Planning[[#This Row],[Horas Planificadas]]&lt;&gt;0,+K1790/Planning[[#This Row],[Horas Planificadas]],0)</f>
        <v>#REF!</v>
      </c>
      <c r="V1790" s="43" t="e">
        <f>IF(Planning[[#This Row],[Horas Planificadas]]&lt;&gt;0,Planning[[#This Row],[Horas utilizadas]]/Planning[[#This Row],[Horas Planificadas]],0)</f>
        <v>#REF!</v>
      </c>
      <c r="W1790" s="44">
        <f>Planning[[#This Row],[Horas Planificadas]]+Planning[[#This Row],[Horas ajustadas adicionales]]</f>
        <v>8</v>
      </c>
      <c r="X1790" s="142"/>
    </row>
    <row r="1791" spans="1:24" ht="12.75" customHeight="1" x14ac:dyDescent="0.2">
      <c r="A1791" s="7" t="s">
        <v>389</v>
      </c>
      <c r="B1791" s="7" t="s">
        <v>220</v>
      </c>
      <c r="C1791" s="3"/>
      <c r="D1791" s="3" t="s">
        <v>418</v>
      </c>
      <c r="E1791" s="4" t="s">
        <v>28</v>
      </c>
      <c r="F1791" s="3"/>
      <c r="G1791" s="9">
        <v>2771</v>
      </c>
      <c r="H1791" s="14">
        <f>SUM(H1792:H1793)</f>
        <v>2765</v>
      </c>
      <c r="I1791" s="14"/>
      <c r="J1791" s="14" t="e">
        <f>SUM(J1792:J1793)</f>
        <v>#REF!</v>
      </c>
      <c r="K1791" s="15" t="e">
        <f>SUM(K1792:K1793)</f>
        <v>#REF!</v>
      </c>
      <c r="L1791" s="15">
        <f>SUM(L1792:L1793)</f>
        <v>0</v>
      </c>
      <c r="M1791" s="28" t="e">
        <f>SUM(M1792:M1793)</f>
        <v>#REF!</v>
      </c>
      <c r="N1791" s="61" t="e">
        <f>+SUMIFS(#REF!,#REF!,Planning[[#This Row],[Proyectos]],#REF!,Planning[[#This Row],[Tipo de Tarea y especialidad]])</f>
        <v>#REF!</v>
      </c>
      <c r="O1791" s="28">
        <f t="shared" si="54"/>
        <v>10</v>
      </c>
      <c r="P1791" s="28">
        <f t="shared" si="55"/>
        <v>2024</v>
      </c>
      <c r="Q1791" s="28" t="e">
        <f>SUM(Q1792:Q1793)</f>
        <v>#REF!</v>
      </c>
      <c r="R1791" s="28" t="str">
        <f>TEXT(Planning[[#This Row],[Mes]]*29,"mmmm")</f>
        <v>October</v>
      </c>
      <c r="S17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91" s="235" t="s">
        <v>419</v>
      </c>
      <c r="U1791" s="43" t="e">
        <f>IF(Planning[[#This Row],[Horas Planificadas]]&lt;&gt;0,+K1791/Planning[[#This Row],[Horas Planificadas]],0)</f>
        <v>#REF!</v>
      </c>
      <c r="V1791" s="43" t="e">
        <f>IF(Planning[[#This Row],[Horas Planificadas]]&lt;&gt;0,Planning[[#This Row],[Horas utilizadas]]/Planning[[#This Row],[Horas Planificadas]],0)</f>
        <v>#REF!</v>
      </c>
      <c r="W1791" s="44">
        <f>Planning[[#This Row],[Horas Planificadas]]+Planning[[#This Row],[Horas ajustadas adicionales]]</f>
        <v>2765</v>
      </c>
      <c r="X1791" s="142"/>
    </row>
    <row r="1792" spans="1:24" ht="12.75" customHeight="1" x14ac:dyDescent="0.2">
      <c r="A1792" s="7" t="s">
        <v>389</v>
      </c>
      <c r="B1792" s="7" t="s">
        <v>220</v>
      </c>
      <c r="C1792" s="3"/>
      <c r="D1792" s="3" t="s">
        <v>418</v>
      </c>
      <c r="E1792" s="4"/>
      <c r="F1792" s="3" t="s">
        <v>120</v>
      </c>
      <c r="G1792" s="9"/>
      <c r="H1792" s="9">
        <v>1805</v>
      </c>
      <c r="I1792" s="12"/>
      <c r="J1792" s="5" t="e">
        <f>SUM(SUMIFS(#REF!,#REF!,Planning[[#This Row],[Tipo de Tarea y especialidad]],#REF!,Planning[[#This Row],[Proyectos Reiwa]]),SUMIFS(#REF!,#REF!,Planning[[#This Row],[Tipo de Tarea y especialidad]],#REF!,Planning[[#This Row],[Proyectos]]))</f>
        <v>#REF!</v>
      </c>
      <c r="K1792" s="5" t="e">
        <f>Planning[[#This Row],[Horas Planificadas]]+Planning[[#This Row],[Horas ajustadas adicionales]]-Planning[[#This Row],[Horas utilizadas]]</f>
        <v>#REF!</v>
      </c>
      <c r="L1792" s="7">
        <v>0</v>
      </c>
      <c r="M1792" s="19" t="e">
        <f>Planning[[#This Row],[Saldo]]-Planning[[#This Row],[Saldo estimado]]</f>
        <v>#REF!</v>
      </c>
      <c r="N1792" s="60" t="e">
        <f>+SUMIFS(#REF!,#REF!,Planning[[#This Row],[Proyectos]],#REF!,Planning[[#This Row],[Tipo de Tarea y especialidad]])</f>
        <v>#REF!</v>
      </c>
      <c r="O1792" s="19">
        <f t="shared" si="54"/>
        <v>10</v>
      </c>
      <c r="P1792" s="19">
        <f t="shared" si="55"/>
        <v>2024</v>
      </c>
      <c r="Q17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92" s="19" t="str">
        <f>TEXT(Planning[[#This Row],[Mes]]*29,"mmmm")</f>
        <v>October</v>
      </c>
      <c r="S17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92" s="239"/>
      <c r="U1792" s="43" t="e">
        <f>IF(Planning[[#This Row],[Horas Planificadas]]&lt;&gt;0,+K1792/Planning[[#This Row],[Horas Planificadas]],0)</f>
        <v>#REF!</v>
      </c>
      <c r="V1792" s="43" t="e">
        <f>IF(Planning[[#This Row],[Horas Planificadas]]&lt;&gt;0,Planning[[#This Row],[Horas utilizadas]]/Planning[[#This Row],[Horas Planificadas]],0)</f>
        <v>#REF!</v>
      </c>
      <c r="W1792" s="44">
        <f>Planning[[#This Row],[Horas Planificadas]]+Planning[[#This Row],[Horas ajustadas adicionales]]</f>
        <v>1805</v>
      </c>
      <c r="X1792" s="142"/>
    </row>
    <row r="1793" spans="1:24" ht="12.75" customHeight="1" x14ac:dyDescent="0.2">
      <c r="A1793" s="7" t="s">
        <v>389</v>
      </c>
      <c r="B1793" s="7" t="s">
        <v>220</v>
      </c>
      <c r="C1793" s="3"/>
      <c r="D1793" s="3" t="s">
        <v>418</v>
      </c>
      <c r="E1793" s="4"/>
      <c r="F1793" s="3" t="s">
        <v>121</v>
      </c>
      <c r="G1793" s="9"/>
      <c r="H1793" s="9">
        <v>960</v>
      </c>
      <c r="I1793" s="12"/>
      <c r="J1793" s="5" t="e">
        <f>SUM(SUMIFS(#REF!,#REF!,Planning[[#This Row],[Tipo de Tarea y especialidad]],#REF!,Planning[[#This Row],[Proyectos Reiwa]]),SUMIFS(#REF!,#REF!,Planning[[#This Row],[Tipo de Tarea y especialidad]],#REF!,Planning[[#This Row],[Proyectos]]))</f>
        <v>#REF!</v>
      </c>
      <c r="K1793" s="5" t="e">
        <f>Planning[[#This Row],[Horas Planificadas]]+Planning[[#This Row],[Horas ajustadas adicionales]]-Planning[[#This Row],[Horas utilizadas]]</f>
        <v>#REF!</v>
      </c>
      <c r="L1793" s="7">
        <v>0</v>
      </c>
      <c r="M1793" s="19" t="e">
        <f>Planning[[#This Row],[Saldo]]-Planning[[#This Row],[Saldo estimado]]</f>
        <v>#REF!</v>
      </c>
      <c r="N1793" s="60" t="e">
        <f>+SUMIFS(#REF!,#REF!,Planning[[#This Row],[Proyectos]],#REF!,Planning[[#This Row],[Tipo de Tarea y especialidad]])</f>
        <v>#REF!</v>
      </c>
      <c r="O1793" s="19">
        <f t="shared" si="54"/>
        <v>10</v>
      </c>
      <c r="P1793" s="19">
        <f t="shared" si="55"/>
        <v>2024</v>
      </c>
      <c r="Q17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93" s="19" t="str">
        <f>TEXT(Planning[[#This Row],[Mes]]*29,"mmmm")</f>
        <v>October</v>
      </c>
      <c r="S17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93" s="239"/>
      <c r="U1793" s="43" t="e">
        <f>IF(Planning[[#This Row],[Horas Planificadas]]&lt;&gt;0,+K1793/Planning[[#This Row],[Horas Planificadas]],0)</f>
        <v>#REF!</v>
      </c>
      <c r="V1793" s="43" t="e">
        <f>IF(Planning[[#This Row],[Horas Planificadas]]&lt;&gt;0,Planning[[#This Row],[Horas utilizadas]]/Planning[[#This Row],[Horas Planificadas]],0)</f>
        <v>#REF!</v>
      </c>
      <c r="W1793" s="44">
        <f>Planning[[#This Row],[Horas Planificadas]]+Planning[[#This Row],[Horas ajustadas adicionales]]</f>
        <v>960</v>
      </c>
      <c r="X1793" s="142"/>
    </row>
    <row r="1794" spans="1:24" ht="12.75" customHeight="1" x14ac:dyDescent="0.2">
      <c r="A1794" s="7" t="s">
        <v>389</v>
      </c>
      <c r="B1794" s="7" t="s">
        <v>220</v>
      </c>
      <c r="C1794" s="3"/>
      <c r="D1794" s="3" t="s">
        <v>418</v>
      </c>
      <c r="E1794" s="4" t="s">
        <v>30</v>
      </c>
      <c r="F1794" s="3"/>
      <c r="G1794" s="9">
        <v>3484</v>
      </c>
      <c r="H1794" s="25">
        <f>SUM(H1795:H1801)</f>
        <v>3702</v>
      </c>
      <c r="I1794" s="14"/>
      <c r="J1794" s="14" t="e">
        <f>SUM(J1795:J1801)</f>
        <v>#REF!</v>
      </c>
      <c r="K1794" s="18" t="e">
        <f>SUM(K1795:K1801)</f>
        <v>#REF!</v>
      </c>
      <c r="L1794" s="15">
        <f>SUM(L1795:L1801)</f>
        <v>0</v>
      </c>
      <c r="M1794" s="16" t="e">
        <f>SUM(M1795:M1801)</f>
        <v>#REF!</v>
      </c>
      <c r="N1794" s="60" t="e">
        <f>+SUMIFS(#REF!,#REF!,Planning[[#This Row],[Proyectos]],#REF!,Planning[[#This Row],[Tipo de Tarea y especialidad]])</f>
        <v>#REF!</v>
      </c>
      <c r="O1794" s="16">
        <f t="shared" si="54"/>
        <v>10</v>
      </c>
      <c r="P1794" s="16">
        <f t="shared" si="55"/>
        <v>2024</v>
      </c>
      <c r="Q1794" s="16" t="e">
        <f>SUM(Q1795:Q1801)</f>
        <v>#REF!</v>
      </c>
      <c r="R1794" s="16" t="str">
        <f>TEXT(Planning[[#This Row],[Mes]]*29,"mmmm")</f>
        <v>October</v>
      </c>
      <c r="S17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94" s="239"/>
      <c r="U1794" s="43" t="e">
        <f>IF(Planning[[#This Row],[Horas Planificadas]]&lt;&gt;0,+K1794/Planning[[#This Row],[Horas Planificadas]],0)</f>
        <v>#REF!</v>
      </c>
      <c r="V1794" s="43" t="e">
        <f>IF(Planning[[#This Row],[Horas Planificadas]]&lt;&gt;0,Planning[[#This Row],[Horas utilizadas]]/Planning[[#This Row],[Horas Planificadas]],0)</f>
        <v>#REF!</v>
      </c>
      <c r="W1794" s="44">
        <f>Planning[[#This Row],[Horas Planificadas]]+Planning[[#This Row],[Horas ajustadas adicionales]]</f>
        <v>3702</v>
      </c>
      <c r="X1794" s="142"/>
    </row>
    <row r="1795" spans="1:24" x14ac:dyDescent="0.2">
      <c r="A1795" s="7" t="s">
        <v>389</v>
      </c>
      <c r="B1795" s="7" t="s">
        <v>220</v>
      </c>
      <c r="C1795" s="3"/>
      <c r="D1795" s="3" t="s">
        <v>418</v>
      </c>
      <c r="E1795" s="4"/>
      <c r="F1795" s="3" t="s">
        <v>122</v>
      </c>
      <c r="G1795" s="9"/>
      <c r="H1795" s="12">
        <v>1413</v>
      </c>
      <c r="I1795" s="12"/>
      <c r="J1795" s="5" t="e">
        <f>SUM(SUMIFS(#REF!,#REF!,Planning[[#This Row],[Tipo de Tarea y especialidad]],#REF!,Planning[[#This Row],[Proyectos Reiwa]]),SUMIFS(#REF!,#REF!,Planning[[#This Row],[Tipo de Tarea y especialidad]],#REF!,Planning[[#This Row],[Proyectos]]))</f>
        <v>#REF!</v>
      </c>
      <c r="K1795" s="27" t="e">
        <f>Planning[[#This Row],[Horas Planificadas]]+Planning[[#This Row],[Horas ajustadas adicionales]]-Planning[[#This Row],[Horas utilizadas]]</f>
        <v>#REF!</v>
      </c>
      <c r="L1795" s="7">
        <v>0</v>
      </c>
      <c r="M1795" s="34" t="e">
        <f>Planning[[#This Row],[Saldo]]-Planning[[#This Row],[Saldo estimado]]</f>
        <v>#REF!</v>
      </c>
      <c r="N1795" s="62" t="e">
        <f>+SUMIFS(#REF!,#REF!,Planning[[#This Row],[Proyectos]],#REF!,Planning[[#This Row],[Tipo de Tarea y especialidad]])</f>
        <v>#REF!</v>
      </c>
      <c r="O1795" s="34">
        <f t="shared" si="54"/>
        <v>10</v>
      </c>
      <c r="P1795" s="34">
        <f t="shared" si="55"/>
        <v>2024</v>
      </c>
      <c r="Q17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95" s="19" t="str">
        <f>TEXT(Planning[[#This Row],[Mes]]*29,"mmmm")</f>
        <v>October</v>
      </c>
      <c r="S17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95" s="239"/>
      <c r="U1795" s="43" t="e">
        <f>IF(Planning[[#This Row],[Horas Planificadas]]&lt;&gt;0,+K1795/Planning[[#This Row],[Horas Planificadas]],0)</f>
        <v>#REF!</v>
      </c>
      <c r="V1795" s="43" t="e">
        <f>IF(Planning[[#This Row],[Horas Planificadas]]&lt;&gt;0,Planning[[#This Row],[Horas utilizadas]]/Planning[[#This Row],[Horas Planificadas]],0)</f>
        <v>#REF!</v>
      </c>
      <c r="W1795" s="44">
        <f>Planning[[#This Row],[Horas Planificadas]]+Planning[[#This Row],[Horas ajustadas adicionales]]</f>
        <v>1413</v>
      </c>
      <c r="X1795" s="142"/>
    </row>
    <row r="1796" spans="1:24" x14ac:dyDescent="0.2">
      <c r="A1796" s="7" t="s">
        <v>389</v>
      </c>
      <c r="B1796" s="7" t="s">
        <v>220</v>
      </c>
      <c r="C1796" s="3"/>
      <c r="D1796" s="3" t="s">
        <v>418</v>
      </c>
      <c r="E1796" s="4"/>
      <c r="F1796" s="3" t="s">
        <v>123</v>
      </c>
      <c r="G1796" s="9"/>
      <c r="H1796" s="9">
        <v>1742</v>
      </c>
      <c r="I1796" s="12"/>
      <c r="J1796" s="5" t="e">
        <f>SUM(SUMIFS(#REF!,#REF!,Planning[[#This Row],[Tipo de Tarea y especialidad]],#REF!,Planning[[#This Row],[Proyectos Reiwa]]),SUMIFS(#REF!,#REF!,Planning[[#This Row],[Tipo de Tarea y especialidad]],#REF!,Planning[[#This Row],[Proyectos]]))</f>
        <v>#REF!</v>
      </c>
      <c r="K1796" s="5" t="e">
        <f>Planning[[#This Row],[Horas Planificadas]]+Planning[[#This Row],[Horas ajustadas adicionales]]-Planning[[#This Row],[Horas utilizadas]]</f>
        <v>#REF!</v>
      </c>
      <c r="L1796" s="7">
        <v>0</v>
      </c>
      <c r="M1796" s="19" t="e">
        <f>Planning[[#This Row],[Saldo]]-Planning[[#This Row],[Saldo estimado]]</f>
        <v>#REF!</v>
      </c>
      <c r="N1796" s="60" t="e">
        <f>+SUMIFS(#REF!,#REF!,Planning[[#This Row],[Proyectos]],#REF!,Planning[[#This Row],[Tipo de Tarea y especialidad]])</f>
        <v>#REF!</v>
      </c>
      <c r="O1796" s="19">
        <f t="shared" si="54"/>
        <v>10</v>
      </c>
      <c r="P1796" s="19">
        <f t="shared" si="55"/>
        <v>2024</v>
      </c>
      <c r="Q17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96" s="19" t="str">
        <f>TEXT(Planning[[#This Row],[Mes]]*29,"mmmm")</f>
        <v>October</v>
      </c>
      <c r="S17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96" s="239"/>
      <c r="U1796" s="43" t="e">
        <f>IF(Planning[[#This Row],[Horas Planificadas]]&lt;&gt;0,+K1796/Planning[[#This Row],[Horas Planificadas]],0)</f>
        <v>#REF!</v>
      </c>
      <c r="V1796" s="43" t="e">
        <f>IF(Planning[[#This Row],[Horas Planificadas]]&lt;&gt;0,Planning[[#This Row],[Horas utilizadas]]/Planning[[#This Row],[Horas Planificadas]],0)</f>
        <v>#REF!</v>
      </c>
      <c r="W1796" s="44">
        <f>Planning[[#This Row],[Horas Planificadas]]+Planning[[#This Row],[Horas ajustadas adicionales]]</f>
        <v>1742</v>
      </c>
      <c r="X1796" s="142"/>
    </row>
    <row r="1797" spans="1:24" x14ac:dyDescent="0.2">
      <c r="A1797" s="7" t="s">
        <v>389</v>
      </c>
      <c r="B1797" s="7" t="s">
        <v>220</v>
      </c>
      <c r="C1797" s="3"/>
      <c r="D1797" s="3" t="s">
        <v>418</v>
      </c>
      <c r="E1797" s="4"/>
      <c r="F1797" s="3" t="s">
        <v>124</v>
      </c>
      <c r="G1797" s="9"/>
      <c r="H1797" s="9">
        <v>547</v>
      </c>
      <c r="I1797" s="12"/>
      <c r="J1797" s="5" t="e">
        <f>SUM(SUMIFS(#REF!,#REF!,Planning[[#This Row],[Tipo de Tarea y especialidad]],#REF!,Planning[[#This Row],[Proyectos Reiwa]]),SUMIFS(#REF!,#REF!,Planning[[#This Row],[Tipo de Tarea y especialidad]],#REF!,Planning[[#This Row],[Proyectos]]))</f>
        <v>#REF!</v>
      </c>
      <c r="K1797" s="5" t="e">
        <f>Planning[[#This Row],[Horas Planificadas]]+Planning[[#This Row],[Horas ajustadas adicionales]]-Planning[[#This Row],[Horas utilizadas]]</f>
        <v>#REF!</v>
      </c>
      <c r="L1797" s="7">
        <v>0</v>
      </c>
      <c r="M1797" s="19" t="e">
        <f>Planning[[#This Row],[Saldo]]-Planning[[#This Row],[Saldo estimado]]</f>
        <v>#REF!</v>
      </c>
      <c r="N1797" s="60" t="e">
        <f>+SUMIFS(#REF!,#REF!,Planning[[#This Row],[Proyectos]],#REF!,Planning[[#This Row],[Tipo de Tarea y especialidad]])</f>
        <v>#REF!</v>
      </c>
      <c r="O1797" s="19">
        <f t="shared" si="54"/>
        <v>10</v>
      </c>
      <c r="P1797" s="19">
        <f t="shared" si="55"/>
        <v>2024</v>
      </c>
      <c r="Q17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97" s="19" t="str">
        <f>TEXT(Planning[[#This Row],[Mes]]*29,"mmmm")</f>
        <v>October</v>
      </c>
      <c r="S17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97" s="239"/>
      <c r="U1797" s="43" t="e">
        <f>IF(Planning[[#This Row],[Horas Planificadas]]&lt;&gt;0,+K1797/Planning[[#This Row],[Horas Planificadas]],0)</f>
        <v>#REF!</v>
      </c>
      <c r="V1797" s="43" t="e">
        <f>IF(Planning[[#This Row],[Horas Planificadas]]&lt;&gt;0,Planning[[#This Row],[Horas utilizadas]]/Planning[[#This Row],[Horas Planificadas]],0)</f>
        <v>#REF!</v>
      </c>
      <c r="W1797" s="44">
        <f>Planning[[#This Row],[Horas Planificadas]]+Planning[[#This Row],[Horas ajustadas adicionales]]</f>
        <v>547</v>
      </c>
      <c r="X1797" s="142"/>
    </row>
    <row r="1798" spans="1:24" x14ac:dyDescent="0.2">
      <c r="A1798" s="7" t="s">
        <v>389</v>
      </c>
      <c r="B1798" s="7" t="s">
        <v>220</v>
      </c>
      <c r="C1798" s="3"/>
      <c r="D1798" s="3" t="s">
        <v>418</v>
      </c>
      <c r="E1798" s="4"/>
      <c r="F1798" s="3" t="s">
        <v>125</v>
      </c>
      <c r="G1798" s="9"/>
      <c r="H1798" s="12"/>
      <c r="I1798" s="12"/>
      <c r="J1798" s="5" t="e">
        <f>SUM(SUMIFS(#REF!,#REF!,Planning[[#This Row],[Tipo de Tarea y especialidad]],#REF!,Planning[[#This Row],[Proyectos Reiwa]]),SUMIFS(#REF!,#REF!,Planning[[#This Row],[Tipo de Tarea y especialidad]],#REF!,Planning[[#This Row],[Proyectos]]))</f>
        <v>#REF!</v>
      </c>
      <c r="K1798" s="27" t="e">
        <f>Planning[[#This Row],[Horas Planificadas]]+Planning[[#This Row],[Horas ajustadas adicionales]]-Planning[[#This Row],[Horas utilizadas]]</f>
        <v>#REF!</v>
      </c>
      <c r="L1798" s="7">
        <v>0</v>
      </c>
      <c r="M1798" s="19" t="e">
        <f>Planning[[#This Row],[Saldo]]-Planning[[#This Row],[Saldo estimado]]</f>
        <v>#REF!</v>
      </c>
      <c r="N1798" s="60" t="e">
        <f>+SUMIFS(#REF!,#REF!,Planning[[#This Row],[Proyectos]],#REF!,Planning[[#This Row],[Tipo de Tarea y especialidad]])</f>
        <v>#REF!</v>
      </c>
      <c r="O1798" s="19">
        <f t="shared" si="54"/>
        <v>10</v>
      </c>
      <c r="P1798" s="19">
        <f t="shared" si="55"/>
        <v>2024</v>
      </c>
      <c r="Q17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98" s="19" t="str">
        <f>TEXT(Planning[[#This Row],[Mes]]*29,"mmmm")</f>
        <v>October</v>
      </c>
      <c r="S17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98" s="239"/>
      <c r="U1798" s="43">
        <f>IF(Planning[[#This Row],[Horas Planificadas]]&lt;&gt;0,+K1798/Planning[[#This Row],[Horas Planificadas]],0)</f>
        <v>0</v>
      </c>
      <c r="V1798" s="43">
        <f>IF(Planning[[#This Row],[Horas Planificadas]]&lt;&gt;0,Planning[[#This Row],[Horas utilizadas]]/Planning[[#This Row],[Horas Planificadas]],0)</f>
        <v>0</v>
      </c>
      <c r="W1798" s="44">
        <f>Planning[[#This Row],[Horas Planificadas]]+Planning[[#This Row],[Horas ajustadas adicionales]]</f>
        <v>0</v>
      </c>
      <c r="X1798" s="142"/>
    </row>
    <row r="1799" spans="1:24" x14ac:dyDescent="0.2">
      <c r="A1799" s="7" t="s">
        <v>389</v>
      </c>
      <c r="B1799" s="7" t="s">
        <v>220</v>
      </c>
      <c r="C1799" s="3"/>
      <c r="D1799" s="3" t="s">
        <v>418</v>
      </c>
      <c r="E1799" s="4"/>
      <c r="F1799" s="3" t="s">
        <v>126</v>
      </c>
      <c r="G1799" s="9"/>
      <c r="H1799" s="9"/>
      <c r="I1799" s="12"/>
      <c r="J1799" s="5" t="e">
        <f>SUM(SUMIFS(#REF!,#REF!,Planning[[#This Row],[Tipo de Tarea y especialidad]],#REF!,Planning[[#This Row],[Proyectos Reiwa]]),SUMIFS(#REF!,#REF!,Planning[[#This Row],[Tipo de Tarea y especialidad]],#REF!,Planning[[#This Row],[Proyectos]]))</f>
        <v>#REF!</v>
      </c>
      <c r="K1799" s="5" t="e">
        <f>Planning[[#This Row],[Horas Planificadas]]+Planning[[#This Row],[Horas ajustadas adicionales]]-Planning[[#This Row],[Horas utilizadas]]</f>
        <v>#REF!</v>
      </c>
      <c r="L1799" s="7">
        <v>0</v>
      </c>
      <c r="M1799" s="19" t="e">
        <f>Planning[[#This Row],[Saldo]]-Planning[[#This Row],[Saldo estimado]]</f>
        <v>#REF!</v>
      </c>
      <c r="N1799" s="60" t="e">
        <f>+SUMIFS(#REF!,#REF!,Planning[[#This Row],[Proyectos]],#REF!,Planning[[#This Row],[Tipo de Tarea y especialidad]])</f>
        <v>#REF!</v>
      </c>
      <c r="O1799" s="19">
        <f t="shared" ref="O1799:O1862" si="56">$L$4</f>
        <v>10</v>
      </c>
      <c r="P1799" s="19">
        <f t="shared" ref="P1799:P1862" si="57">$M$4</f>
        <v>2024</v>
      </c>
      <c r="Q17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799" s="19" t="str">
        <f>TEXT(Planning[[#This Row],[Mes]]*29,"mmmm")</f>
        <v>October</v>
      </c>
      <c r="S17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799" s="239"/>
      <c r="U1799" s="43">
        <f>IF(Planning[[#This Row],[Horas Planificadas]]&lt;&gt;0,+K1799/Planning[[#This Row],[Horas Planificadas]],0)</f>
        <v>0</v>
      </c>
      <c r="V1799" s="43">
        <f>IF(Planning[[#This Row],[Horas Planificadas]]&lt;&gt;0,Planning[[#This Row],[Horas utilizadas]]/Planning[[#This Row],[Horas Planificadas]],0)</f>
        <v>0</v>
      </c>
      <c r="W1799" s="44">
        <f>Planning[[#This Row],[Horas Planificadas]]+Planning[[#This Row],[Horas ajustadas adicionales]]</f>
        <v>0</v>
      </c>
      <c r="X1799" s="142"/>
    </row>
    <row r="1800" spans="1:24" x14ac:dyDescent="0.2">
      <c r="A1800" s="7" t="s">
        <v>389</v>
      </c>
      <c r="B1800" s="7" t="s">
        <v>220</v>
      </c>
      <c r="C1800" s="3"/>
      <c r="D1800" s="3" t="s">
        <v>418</v>
      </c>
      <c r="E1800" s="4"/>
      <c r="F1800" s="3" t="s">
        <v>127</v>
      </c>
      <c r="G1800" s="9"/>
      <c r="H1800" s="9"/>
      <c r="I1800" s="12"/>
      <c r="J1800" s="5" t="e">
        <f>SUM(SUMIFS(#REF!,#REF!,Planning[[#This Row],[Tipo de Tarea y especialidad]],#REF!,Planning[[#This Row],[Proyectos Reiwa]]),SUMIFS(#REF!,#REF!,Planning[[#This Row],[Tipo de Tarea y especialidad]],#REF!,Planning[[#This Row],[Proyectos]]))</f>
        <v>#REF!</v>
      </c>
      <c r="K1800" s="5" t="e">
        <f>Planning[[#This Row],[Horas Planificadas]]+Planning[[#This Row],[Horas ajustadas adicionales]]-Planning[[#This Row],[Horas utilizadas]]</f>
        <v>#REF!</v>
      </c>
      <c r="L1800" s="7">
        <v>0</v>
      </c>
      <c r="M1800" s="19" t="e">
        <f>Planning[[#This Row],[Saldo]]-Planning[[#This Row],[Saldo estimado]]</f>
        <v>#REF!</v>
      </c>
      <c r="N1800" s="60" t="e">
        <f>+SUMIFS(#REF!,#REF!,Planning[[#This Row],[Proyectos]],#REF!,Planning[[#This Row],[Tipo de Tarea y especialidad]])</f>
        <v>#REF!</v>
      </c>
      <c r="O1800" s="19">
        <f t="shared" si="56"/>
        <v>10</v>
      </c>
      <c r="P1800" s="19">
        <f t="shared" si="57"/>
        <v>2024</v>
      </c>
      <c r="Q18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00" s="19" t="str">
        <f>TEXT(Planning[[#This Row],[Mes]]*29,"mmmm")</f>
        <v>October</v>
      </c>
      <c r="S18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00" s="239"/>
      <c r="U1800" s="43">
        <f>IF(Planning[[#This Row],[Horas Planificadas]]&lt;&gt;0,+K1800/Planning[[#This Row],[Horas Planificadas]],0)</f>
        <v>0</v>
      </c>
      <c r="V1800" s="43">
        <f>IF(Planning[[#This Row],[Horas Planificadas]]&lt;&gt;0,Planning[[#This Row],[Horas utilizadas]]/Planning[[#This Row],[Horas Planificadas]],0)</f>
        <v>0</v>
      </c>
      <c r="W1800" s="44">
        <f>Planning[[#This Row],[Horas Planificadas]]+Planning[[#This Row],[Horas ajustadas adicionales]]</f>
        <v>0</v>
      </c>
      <c r="X1800" s="142"/>
    </row>
    <row r="1801" spans="1:24" x14ac:dyDescent="0.2">
      <c r="A1801" s="7" t="s">
        <v>389</v>
      </c>
      <c r="B1801" s="7" t="s">
        <v>220</v>
      </c>
      <c r="C1801" s="3"/>
      <c r="D1801" s="3" t="s">
        <v>418</v>
      </c>
      <c r="E1801" s="4"/>
      <c r="F1801" s="3" t="s">
        <v>128</v>
      </c>
      <c r="G1801" s="9"/>
      <c r="H1801" s="9"/>
      <c r="I1801" s="12"/>
      <c r="J1801" s="5" t="e">
        <f>SUM(SUMIFS(#REF!,#REF!,Planning[[#This Row],[Tipo de Tarea y especialidad]],#REF!,Planning[[#This Row],[Proyectos Reiwa]]),SUMIFS(#REF!,#REF!,Planning[[#This Row],[Tipo de Tarea y especialidad]],#REF!,Planning[[#This Row],[Proyectos]]))</f>
        <v>#REF!</v>
      </c>
      <c r="K1801" s="5" t="e">
        <f>Planning[[#This Row],[Horas Planificadas]]+Planning[[#This Row],[Horas ajustadas adicionales]]-Planning[[#This Row],[Horas utilizadas]]</f>
        <v>#REF!</v>
      </c>
      <c r="L1801" s="7">
        <v>0</v>
      </c>
      <c r="M1801" s="19" t="e">
        <f>Planning[[#This Row],[Saldo]]-Planning[[#This Row],[Saldo estimado]]</f>
        <v>#REF!</v>
      </c>
      <c r="N1801" s="60" t="e">
        <f>+SUMIFS(#REF!,#REF!,Planning[[#This Row],[Proyectos]],#REF!,Planning[[#This Row],[Tipo de Tarea y especialidad]])</f>
        <v>#REF!</v>
      </c>
      <c r="O1801" s="19">
        <f t="shared" si="56"/>
        <v>10</v>
      </c>
      <c r="P1801" s="19">
        <f t="shared" si="57"/>
        <v>2024</v>
      </c>
      <c r="Q18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01" s="19" t="str">
        <f>TEXT(Planning[[#This Row],[Mes]]*29,"mmmm")</f>
        <v>October</v>
      </c>
      <c r="S18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01" s="239"/>
      <c r="U1801" s="43">
        <f>IF(Planning[[#This Row],[Horas Planificadas]]&lt;&gt;0,+K1801/Planning[[#This Row],[Horas Planificadas]],0)</f>
        <v>0</v>
      </c>
      <c r="V1801" s="43">
        <f>IF(Planning[[#This Row],[Horas Planificadas]]&lt;&gt;0,Planning[[#This Row],[Horas utilizadas]]/Planning[[#This Row],[Horas Planificadas]],0)</f>
        <v>0</v>
      </c>
      <c r="W1801" s="44">
        <f>Planning[[#This Row],[Horas Planificadas]]+Planning[[#This Row],[Horas ajustadas adicionales]]</f>
        <v>0</v>
      </c>
      <c r="X1801" s="142"/>
    </row>
    <row r="1802" spans="1:24" x14ac:dyDescent="0.2">
      <c r="A1802" s="7" t="s">
        <v>389</v>
      </c>
      <c r="B1802" s="7" t="s">
        <v>220</v>
      </c>
      <c r="C1802" s="3"/>
      <c r="D1802" s="3" t="s">
        <v>418</v>
      </c>
      <c r="E1802" s="4" t="s">
        <v>31</v>
      </c>
      <c r="F1802" s="3" t="s">
        <v>31</v>
      </c>
      <c r="G1802" s="9">
        <v>552</v>
      </c>
      <c r="H1802" s="17">
        <v>552</v>
      </c>
      <c r="I1802" s="18"/>
      <c r="J1802" s="14" t="e">
        <f>+SUMIFS(#REF!,#REF!,Planning[[#This Row],[Tarifa]],#REF!,Planning[[#This Row],[Proyectos]])</f>
        <v>#REF!</v>
      </c>
      <c r="K1802" s="14" t="e">
        <f>Planning[[#This Row],[Horas Planificadas]]+Planning[[#This Row],[Horas ajustadas adicionales]]-Planning[[#This Row],[Horas utilizadas]]</f>
        <v>#REF!</v>
      </c>
      <c r="L1802" s="15"/>
      <c r="M1802" s="16" t="e">
        <f>Planning[[#This Row],[Saldo]]-Planning[[#This Row],[Saldo estimado]]</f>
        <v>#REF!</v>
      </c>
      <c r="N1802" s="60" t="e">
        <f>+SUMIFS(#REF!,#REF!,Planning[[#This Row],[Proyectos]],#REF!,Planning[[#This Row],[Tipo de Tarea y especialidad]])</f>
        <v>#REF!</v>
      </c>
      <c r="O1802" s="16">
        <f t="shared" si="56"/>
        <v>10</v>
      </c>
      <c r="P1802" s="16">
        <f t="shared" si="57"/>
        <v>2024</v>
      </c>
      <c r="Q1802" s="16" t="e">
        <f>+SUMIFS(#REF!,#REF!,Planning[[#This Row],[Tarifa]],#REF!,Planning[[#This Row],[Proyectos]],#REF!,Planning[[#This Row],[Mes]],#REF!,Planning[[#This Row],[Año]])</f>
        <v>#REF!</v>
      </c>
      <c r="R1802" s="16" t="str">
        <f>TEXT(Planning[[#This Row],[Mes]]*29,"mmmm")</f>
        <v>October</v>
      </c>
      <c r="S18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02" s="239"/>
      <c r="U1802" s="43" t="e">
        <f>IF(Planning[[#This Row],[Horas Planificadas]]&lt;&gt;0,+K1802/Planning[[#This Row],[Horas Planificadas]],0)</f>
        <v>#REF!</v>
      </c>
      <c r="V1802" s="43" t="e">
        <f>IF(Planning[[#This Row],[Horas Planificadas]]&lt;&gt;0,Planning[[#This Row],[Horas utilizadas]]/Planning[[#This Row],[Horas Planificadas]],0)</f>
        <v>#REF!</v>
      </c>
      <c r="W1802" s="44">
        <f>Planning[[#This Row],[Horas Planificadas]]+Planning[[#This Row],[Horas ajustadas adicionales]]</f>
        <v>552</v>
      </c>
      <c r="X1802" s="142"/>
    </row>
    <row r="1803" spans="1:24" ht="22.5" x14ac:dyDescent="0.2">
      <c r="A1803" s="7" t="s">
        <v>389</v>
      </c>
      <c r="B1803" s="7" t="s">
        <v>220</v>
      </c>
      <c r="C1803" s="3"/>
      <c r="D1803" s="3" t="s">
        <v>418</v>
      </c>
      <c r="E1803" s="4" t="s">
        <v>32</v>
      </c>
      <c r="F1803" s="3"/>
      <c r="G1803" s="9">
        <v>1921</v>
      </c>
      <c r="H1803" s="25">
        <f>SUM(H1804:H1806)</f>
        <v>1939</v>
      </c>
      <c r="I1803" s="14"/>
      <c r="J1803" s="14" t="e">
        <f>SUM(J1804:J1806)</f>
        <v>#REF!</v>
      </c>
      <c r="K1803" s="18" t="e">
        <f>SUM(K1804:K1806)</f>
        <v>#REF!</v>
      </c>
      <c r="L1803" s="15">
        <f>SUM(L1804:L1806)</f>
        <v>0</v>
      </c>
      <c r="M1803" s="16" t="e">
        <f>SUM(M1804:M1806)</f>
        <v>#REF!</v>
      </c>
      <c r="N1803" s="60" t="e">
        <f>+SUMIFS(#REF!,#REF!,Planning[[#This Row],[Proyectos]],#REF!,Planning[[#This Row],[Tipo de Tarea y especialidad]])</f>
        <v>#REF!</v>
      </c>
      <c r="O1803" s="16">
        <f t="shared" si="56"/>
        <v>10</v>
      </c>
      <c r="P1803" s="16">
        <f t="shared" si="57"/>
        <v>2024</v>
      </c>
      <c r="Q1803" s="16" t="e">
        <f>SUM(Q1804:Q1806)</f>
        <v>#REF!</v>
      </c>
      <c r="R1803" s="16" t="str">
        <f>TEXT(Planning[[#This Row],[Mes]]*29,"mmmm")</f>
        <v>October</v>
      </c>
      <c r="S18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03" s="239"/>
      <c r="U1803" s="43" t="e">
        <f>IF(Planning[[#This Row],[Horas Planificadas]]&lt;&gt;0,+K1803/Planning[[#This Row],[Horas Planificadas]],0)</f>
        <v>#REF!</v>
      </c>
      <c r="V1803" s="43" t="e">
        <f>IF(Planning[[#This Row],[Horas Planificadas]]&lt;&gt;0,Planning[[#This Row],[Horas utilizadas]]/Planning[[#This Row],[Horas Planificadas]],0)</f>
        <v>#REF!</v>
      </c>
      <c r="W1803" s="44">
        <f>Planning[[#This Row],[Horas Planificadas]]+Planning[[#This Row],[Horas ajustadas adicionales]]</f>
        <v>1939</v>
      </c>
      <c r="X1803" s="142"/>
    </row>
    <row r="1804" spans="1:24" x14ac:dyDescent="0.2">
      <c r="A1804" s="7" t="s">
        <v>389</v>
      </c>
      <c r="B1804" s="7" t="s">
        <v>220</v>
      </c>
      <c r="C1804" s="3"/>
      <c r="D1804" s="3" t="s">
        <v>418</v>
      </c>
      <c r="E1804" s="4"/>
      <c r="F1804" s="3" t="s">
        <v>129</v>
      </c>
      <c r="G1804" s="9"/>
      <c r="H1804" s="9">
        <v>413</v>
      </c>
      <c r="I1804" s="12"/>
      <c r="J1804" s="5" t="e">
        <f>SUM(SUMIFS(#REF!,#REF!,Planning[[#This Row],[Tipo de Tarea y especialidad]],#REF!,Planning[[#This Row],[Proyectos Reiwa]]),SUMIFS(#REF!,#REF!,Planning[[#This Row],[Tipo de Tarea y especialidad]],#REF!,Planning[[#This Row],[Proyectos]]))</f>
        <v>#REF!</v>
      </c>
      <c r="K1804" s="5" t="e">
        <f>Planning[[#This Row],[Horas Planificadas]]+Planning[[#This Row],[Horas ajustadas adicionales]]-Planning[[#This Row],[Horas utilizadas]]</f>
        <v>#REF!</v>
      </c>
      <c r="L1804" s="7">
        <v>0</v>
      </c>
      <c r="M1804" s="19" t="e">
        <f>Planning[[#This Row],[Saldo]]-Planning[[#This Row],[Saldo estimado]]</f>
        <v>#REF!</v>
      </c>
      <c r="N1804" s="60" t="e">
        <f>+SUMIFS(#REF!,#REF!,Planning[[#This Row],[Proyectos]],#REF!,Planning[[#This Row],[Tipo de Tarea y especialidad]])</f>
        <v>#REF!</v>
      </c>
      <c r="O1804" s="19">
        <f t="shared" si="56"/>
        <v>10</v>
      </c>
      <c r="P1804" s="19">
        <f t="shared" si="57"/>
        <v>2024</v>
      </c>
      <c r="Q18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04" s="19" t="str">
        <f>TEXT(Planning[[#This Row],[Mes]]*29,"mmmm")</f>
        <v>October</v>
      </c>
      <c r="S18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04" s="239"/>
      <c r="U1804" s="43" t="e">
        <f>IF(Planning[[#This Row],[Horas Planificadas]]&lt;&gt;0,+K1804/Planning[[#This Row],[Horas Planificadas]],0)</f>
        <v>#REF!</v>
      </c>
      <c r="V1804" s="43" t="e">
        <f>IF(Planning[[#This Row],[Horas Planificadas]]&lt;&gt;0,Planning[[#This Row],[Horas utilizadas]]/Planning[[#This Row],[Horas Planificadas]],0)</f>
        <v>#REF!</v>
      </c>
      <c r="W1804" s="44">
        <f>Planning[[#This Row],[Horas Planificadas]]+Planning[[#This Row],[Horas ajustadas adicionales]]</f>
        <v>413</v>
      </c>
      <c r="X1804" s="142"/>
    </row>
    <row r="1805" spans="1:24" x14ac:dyDescent="0.2">
      <c r="A1805" s="7" t="s">
        <v>389</v>
      </c>
      <c r="B1805" s="7" t="s">
        <v>220</v>
      </c>
      <c r="C1805" s="3"/>
      <c r="D1805" s="3" t="s">
        <v>418</v>
      </c>
      <c r="E1805" s="4"/>
      <c r="F1805" s="3" t="s">
        <v>130</v>
      </c>
      <c r="G1805" s="9"/>
      <c r="H1805" s="9">
        <v>517</v>
      </c>
      <c r="I1805" s="12"/>
      <c r="J1805" s="5" t="e">
        <f>SUM(SUMIFS(#REF!,#REF!,Planning[[#This Row],[Tipo de Tarea y especialidad]],#REF!,Planning[[#This Row],[Proyectos Reiwa]]),SUMIFS(#REF!,#REF!,Planning[[#This Row],[Tipo de Tarea y especialidad]],#REF!,Planning[[#This Row],[Proyectos]]))</f>
        <v>#REF!</v>
      </c>
      <c r="K1805" s="5" t="e">
        <f>Planning[[#This Row],[Horas Planificadas]]+Planning[[#This Row],[Horas ajustadas adicionales]]-Planning[[#This Row],[Horas utilizadas]]</f>
        <v>#REF!</v>
      </c>
      <c r="L1805" s="7">
        <v>0</v>
      </c>
      <c r="M1805" s="19" t="e">
        <f>Planning[[#This Row],[Saldo]]-Planning[[#This Row],[Saldo estimado]]</f>
        <v>#REF!</v>
      </c>
      <c r="N1805" s="60" t="e">
        <f>+SUMIFS(#REF!,#REF!,Planning[[#This Row],[Proyectos]],#REF!,Planning[[#This Row],[Tipo de Tarea y especialidad]])</f>
        <v>#REF!</v>
      </c>
      <c r="O1805" s="19">
        <f t="shared" si="56"/>
        <v>10</v>
      </c>
      <c r="P1805" s="19">
        <f t="shared" si="57"/>
        <v>2024</v>
      </c>
      <c r="Q18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05" s="19" t="str">
        <f>TEXT(Planning[[#This Row],[Mes]]*29,"mmmm")</f>
        <v>October</v>
      </c>
      <c r="S18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05" s="239"/>
      <c r="U1805" s="43" t="e">
        <f>IF(Planning[[#This Row],[Horas Planificadas]]&lt;&gt;0,+K1805/Planning[[#This Row],[Horas Planificadas]],0)</f>
        <v>#REF!</v>
      </c>
      <c r="V1805" s="43" t="e">
        <f>IF(Planning[[#This Row],[Horas Planificadas]]&lt;&gt;0,Planning[[#This Row],[Horas utilizadas]]/Planning[[#This Row],[Horas Planificadas]],0)</f>
        <v>#REF!</v>
      </c>
      <c r="W1805" s="44">
        <f>Planning[[#This Row],[Horas Planificadas]]+Planning[[#This Row],[Horas ajustadas adicionales]]</f>
        <v>517</v>
      </c>
      <c r="X1805" s="142"/>
    </row>
    <row r="1806" spans="1:24" x14ac:dyDescent="0.2">
      <c r="A1806" s="7" t="s">
        <v>389</v>
      </c>
      <c r="B1806" s="7" t="s">
        <v>220</v>
      </c>
      <c r="C1806" s="3"/>
      <c r="D1806" s="3" t="s">
        <v>418</v>
      </c>
      <c r="E1806" s="4"/>
      <c r="F1806" s="3" t="s">
        <v>131</v>
      </c>
      <c r="G1806" s="9"/>
      <c r="H1806" s="9">
        <v>1009</v>
      </c>
      <c r="I1806" s="12"/>
      <c r="J1806" s="5" t="e">
        <f>SUM(SUMIFS(#REF!,#REF!,Planning[[#This Row],[Tipo de Tarea y especialidad]],#REF!,Planning[[#This Row],[Proyectos Reiwa]]),SUMIFS(#REF!,#REF!,Planning[[#This Row],[Tipo de Tarea y especialidad]],#REF!,Planning[[#This Row],[Proyectos]]))</f>
        <v>#REF!</v>
      </c>
      <c r="K1806" s="5" t="e">
        <f>Planning[[#This Row],[Horas Planificadas]]+Planning[[#This Row],[Horas ajustadas adicionales]]-Planning[[#This Row],[Horas utilizadas]]</f>
        <v>#REF!</v>
      </c>
      <c r="L1806" s="7">
        <v>0</v>
      </c>
      <c r="M1806" s="19" t="e">
        <f>Planning[[#This Row],[Saldo]]-Planning[[#This Row],[Saldo estimado]]</f>
        <v>#REF!</v>
      </c>
      <c r="N1806" s="60" t="e">
        <f>+SUMIFS(#REF!,#REF!,Planning[[#This Row],[Proyectos]],#REF!,Planning[[#This Row],[Tipo de Tarea y especialidad]])</f>
        <v>#REF!</v>
      </c>
      <c r="O1806" s="19">
        <f t="shared" si="56"/>
        <v>10</v>
      </c>
      <c r="P1806" s="19">
        <f t="shared" si="57"/>
        <v>2024</v>
      </c>
      <c r="Q18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06" s="19" t="str">
        <f>TEXT(Planning[[#This Row],[Mes]]*29,"mmmm")</f>
        <v>October</v>
      </c>
      <c r="S18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06" s="239"/>
      <c r="U1806" s="43" t="e">
        <f>IF(Planning[[#This Row],[Horas Planificadas]]&lt;&gt;0,+K1806/Planning[[#This Row],[Horas Planificadas]],0)</f>
        <v>#REF!</v>
      </c>
      <c r="V1806" s="43" t="e">
        <f>IF(Planning[[#This Row],[Horas Planificadas]]&lt;&gt;0,Planning[[#This Row],[Horas utilizadas]]/Planning[[#This Row],[Horas Planificadas]],0)</f>
        <v>#REF!</v>
      </c>
      <c r="W1806" s="44">
        <f>Planning[[#This Row],[Horas Planificadas]]+Planning[[#This Row],[Horas ajustadas adicionales]]</f>
        <v>1009</v>
      </c>
      <c r="X1806" s="142"/>
    </row>
    <row r="1807" spans="1:24" ht="22.5" x14ac:dyDescent="0.2">
      <c r="A1807" s="7" t="s">
        <v>389</v>
      </c>
      <c r="B1807" s="7" t="s">
        <v>393</v>
      </c>
      <c r="C1807" s="3"/>
      <c r="D1807" s="3" t="s">
        <v>418</v>
      </c>
      <c r="E1807" s="4" t="s">
        <v>28</v>
      </c>
      <c r="F1807" s="3"/>
      <c r="G1807" s="9">
        <v>325</v>
      </c>
      <c r="H1807" s="14">
        <f>SUM(H1808:H1809)</f>
        <v>535</v>
      </c>
      <c r="I1807" s="14"/>
      <c r="J1807" s="14" t="e">
        <f>SUM(J1808:J1809)</f>
        <v>#REF!</v>
      </c>
      <c r="K1807" s="15" t="e">
        <f>SUM(K1808:K1809)</f>
        <v>#REF!</v>
      </c>
      <c r="L1807" s="15">
        <f>SUM(L1808:L1809)</f>
        <v>30</v>
      </c>
      <c r="M1807" s="28" t="e">
        <f>SUM(M1808:M1809)</f>
        <v>#REF!</v>
      </c>
      <c r="N1807" s="61" t="e">
        <f>+SUMIFS(#REF!,#REF!,Planning[[#This Row],[Proyectos]],#REF!,Planning[[#This Row],[Tipo de Tarea y especialidad]])</f>
        <v>#REF!</v>
      </c>
      <c r="O1807" s="28">
        <f t="shared" si="56"/>
        <v>10</v>
      </c>
      <c r="P1807" s="28">
        <f t="shared" si="57"/>
        <v>2024</v>
      </c>
      <c r="Q1807" s="28" t="e">
        <f>SUM(Q1808:Q1809)</f>
        <v>#REF!</v>
      </c>
      <c r="R1807" s="28" t="str">
        <f>TEXT(Planning[[#This Row],[Mes]]*29,"mmmm")</f>
        <v>October</v>
      </c>
      <c r="S18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07" s="192" t="s">
        <v>420</v>
      </c>
      <c r="U1807" s="43" t="e">
        <f>IF(Planning[[#This Row],[Horas Planificadas]]&lt;&gt;0,+K1807/Planning[[#This Row],[Horas Planificadas]],0)</f>
        <v>#REF!</v>
      </c>
      <c r="V1807" s="43" t="e">
        <f>IF(Planning[[#This Row],[Horas Planificadas]]&lt;&gt;0,Planning[[#This Row],[Horas utilizadas]]/Planning[[#This Row],[Horas Planificadas]],0)</f>
        <v>#REF!</v>
      </c>
      <c r="W1807" s="44">
        <f>Planning[[#This Row],[Horas Planificadas]]+Planning[[#This Row],[Horas ajustadas adicionales]]</f>
        <v>535</v>
      </c>
      <c r="X1807" s="142"/>
    </row>
    <row r="1808" spans="1:24" x14ac:dyDescent="0.2">
      <c r="A1808" s="7" t="s">
        <v>389</v>
      </c>
      <c r="B1808" s="7" t="s">
        <v>393</v>
      </c>
      <c r="C1808" s="3"/>
      <c r="D1808" s="3" t="s">
        <v>418</v>
      </c>
      <c r="E1808" s="4"/>
      <c r="F1808" s="3" t="s">
        <v>120</v>
      </c>
      <c r="G1808" s="9"/>
      <c r="H1808" s="9">
        <v>415</v>
      </c>
      <c r="I1808" s="12"/>
      <c r="J1808" s="5" t="e">
        <f>SUM(SUMIFS(#REF!,#REF!,Planning[[#This Row],[Tipo de Tarea y especialidad]],#REF!,Planning[[#This Row],[Proyectos Reiwa]]),SUMIFS(#REF!,#REF!,Planning[[#This Row],[Tipo de Tarea y especialidad]],#REF!,Planning[[#This Row],[Proyectos]]))</f>
        <v>#REF!</v>
      </c>
      <c r="K1808" s="5" t="e">
        <f>Planning[[#This Row],[Horas Planificadas]]+Planning[[#This Row],[Horas ajustadas adicionales]]-Planning[[#This Row],[Horas utilizadas]]</f>
        <v>#REF!</v>
      </c>
      <c r="L1808" s="7">
        <v>0</v>
      </c>
      <c r="M1808" s="19" t="e">
        <f>Planning[[#This Row],[Saldo]]-Planning[[#This Row],[Saldo estimado]]</f>
        <v>#REF!</v>
      </c>
      <c r="N1808" s="60" t="e">
        <f>+SUMIFS(#REF!,#REF!,Planning[[#This Row],[Proyectos]],#REF!,Planning[[#This Row],[Tipo de Tarea y especialidad]])</f>
        <v>#REF!</v>
      </c>
      <c r="O1808" s="19">
        <f t="shared" si="56"/>
        <v>10</v>
      </c>
      <c r="P1808" s="19">
        <f t="shared" si="57"/>
        <v>2024</v>
      </c>
      <c r="Q18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08" s="19" t="str">
        <f>TEXT(Planning[[#This Row],[Mes]]*29,"mmmm")</f>
        <v>October</v>
      </c>
      <c r="S18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08" s="193"/>
      <c r="U1808" s="43" t="e">
        <f>IF(Planning[[#This Row],[Horas Planificadas]]&lt;&gt;0,+K1808/Planning[[#This Row],[Horas Planificadas]],0)</f>
        <v>#REF!</v>
      </c>
      <c r="V1808" s="43" t="e">
        <f>IF(Planning[[#This Row],[Horas Planificadas]]&lt;&gt;0,Planning[[#This Row],[Horas utilizadas]]/Planning[[#This Row],[Horas Planificadas]],0)</f>
        <v>#REF!</v>
      </c>
      <c r="W1808" s="44">
        <f>Planning[[#This Row],[Horas Planificadas]]+Planning[[#This Row],[Horas ajustadas adicionales]]</f>
        <v>415</v>
      </c>
      <c r="X1808" s="142"/>
    </row>
    <row r="1809" spans="1:24" x14ac:dyDescent="0.2">
      <c r="A1809" s="7" t="s">
        <v>389</v>
      </c>
      <c r="B1809" s="7" t="s">
        <v>393</v>
      </c>
      <c r="C1809" s="3"/>
      <c r="D1809" s="3" t="s">
        <v>418</v>
      </c>
      <c r="E1809" s="4"/>
      <c r="F1809" s="3" t="s">
        <v>121</v>
      </c>
      <c r="G1809" s="9"/>
      <c r="H1809" s="9">
        <v>120</v>
      </c>
      <c r="I1809" s="12"/>
      <c r="J1809" s="5" t="e">
        <f>SUM(SUMIFS(#REF!,#REF!,Planning[[#This Row],[Tipo de Tarea y especialidad]],#REF!,Planning[[#This Row],[Proyectos Reiwa]]),SUMIFS(#REF!,#REF!,Planning[[#This Row],[Tipo de Tarea y especialidad]],#REF!,Planning[[#This Row],[Proyectos]]))</f>
        <v>#REF!</v>
      </c>
      <c r="K1809" s="5" t="e">
        <f>Planning[[#This Row],[Horas Planificadas]]+Planning[[#This Row],[Horas ajustadas adicionales]]-Planning[[#This Row],[Horas utilizadas]]</f>
        <v>#REF!</v>
      </c>
      <c r="L1809" s="7">
        <v>30</v>
      </c>
      <c r="M1809" s="19" t="e">
        <f>Planning[[#This Row],[Saldo]]-Planning[[#This Row],[Saldo estimado]]</f>
        <v>#REF!</v>
      </c>
      <c r="N1809" s="60" t="e">
        <f>+SUMIFS(#REF!,#REF!,Planning[[#This Row],[Proyectos]],#REF!,Planning[[#This Row],[Tipo de Tarea y especialidad]])</f>
        <v>#REF!</v>
      </c>
      <c r="O1809" s="19">
        <f t="shared" si="56"/>
        <v>10</v>
      </c>
      <c r="P1809" s="19">
        <f t="shared" si="57"/>
        <v>2024</v>
      </c>
      <c r="Q18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09" s="19" t="str">
        <f>TEXT(Planning[[#This Row],[Mes]]*29,"mmmm")</f>
        <v>October</v>
      </c>
      <c r="S18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09" s="193"/>
      <c r="U1809" s="43" t="e">
        <f>IF(Planning[[#This Row],[Horas Planificadas]]&lt;&gt;0,+K1809/Planning[[#This Row],[Horas Planificadas]],0)</f>
        <v>#REF!</v>
      </c>
      <c r="V1809" s="43" t="e">
        <f>IF(Planning[[#This Row],[Horas Planificadas]]&lt;&gt;0,Planning[[#This Row],[Horas utilizadas]]/Planning[[#This Row],[Horas Planificadas]],0)</f>
        <v>#REF!</v>
      </c>
      <c r="W1809" s="44">
        <f>Planning[[#This Row],[Horas Planificadas]]+Planning[[#This Row],[Horas ajustadas adicionales]]</f>
        <v>120</v>
      </c>
      <c r="X1809" s="142"/>
    </row>
    <row r="1810" spans="1:24" x14ac:dyDescent="0.2">
      <c r="A1810" s="7" t="s">
        <v>389</v>
      </c>
      <c r="B1810" s="7" t="s">
        <v>393</v>
      </c>
      <c r="C1810" s="3"/>
      <c r="D1810" s="3" t="s">
        <v>418</v>
      </c>
      <c r="E1810" s="4" t="s">
        <v>30</v>
      </c>
      <c r="F1810" s="3"/>
      <c r="G1810" s="9">
        <v>547</v>
      </c>
      <c r="H1810" s="25">
        <f>SUM(H1811:H1817)</f>
        <v>450</v>
      </c>
      <c r="I1810" s="14"/>
      <c r="J1810" s="14" t="e">
        <f>SUM(J1811:J1817)</f>
        <v>#REF!</v>
      </c>
      <c r="K1810" s="18" t="e">
        <f>SUM(K1811:K1817)</f>
        <v>#REF!</v>
      </c>
      <c r="L1810" s="15">
        <f>SUM(L1811:L1817)</f>
        <v>0</v>
      </c>
      <c r="M1810" s="16" t="e">
        <f>SUM(M1811:M1817)</f>
        <v>#REF!</v>
      </c>
      <c r="N1810" s="60" t="e">
        <f>+SUMIFS(#REF!,#REF!,Planning[[#This Row],[Proyectos]],#REF!,Planning[[#This Row],[Tipo de Tarea y especialidad]])</f>
        <v>#REF!</v>
      </c>
      <c r="O1810" s="16">
        <f t="shared" si="56"/>
        <v>10</v>
      </c>
      <c r="P1810" s="16">
        <f t="shared" si="57"/>
        <v>2024</v>
      </c>
      <c r="Q1810" s="16" t="e">
        <f>SUM(Q1811:Q1817)</f>
        <v>#REF!</v>
      </c>
      <c r="R1810" s="16" t="str">
        <f>TEXT(Planning[[#This Row],[Mes]]*29,"mmmm")</f>
        <v>October</v>
      </c>
      <c r="S18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10" s="193"/>
      <c r="U1810" s="43" t="e">
        <f>IF(Planning[[#This Row],[Horas Planificadas]]&lt;&gt;0,+K1810/Planning[[#This Row],[Horas Planificadas]],0)</f>
        <v>#REF!</v>
      </c>
      <c r="V1810" s="43" t="e">
        <f>IF(Planning[[#This Row],[Horas Planificadas]]&lt;&gt;0,Planning[[#This Row],[Horas utilizadas]]/Planning[[#This Row],[Horas Planificadas]],0)</f>
        <v>#REF!</v>
      </c>
      <c r="W1810" s="44">
        <f>Planning[[#This Row],[Horas Planificadas]]+Planning[[#This Row],[Horas ajustadas adicionales]]</f>
        <v>450</v>
      </c>
      <c r="X1810" s="142"/>
    </row>
    <row r="1811" spans="1:24" x14ac:dyDescent="0.2">
      <c r="A1811" s="7" t="s">
        <v>389</v>
      </c>
      <c r="B1811" s="7" t="s">
        <v>393</v>
      </c>
      <c r="C1811" s="3"/>
      <c r="D1811" s="3" t="s">
        <v>418</v>
      </c>
      <c r="E1811" s="4"/>
      <c r="F1811" s="3" t="s">
        <v>122</v>
      </c>
      <c r="G1811" s="9"/>
      <c r="H1811" s="12"/>
      <c r="I1811" s="12"/>
      <c r="J1811" s="5" t="e">
        <f>SUM(SUMIFS(#REF!,#REF!,Planning[[#This Row],[Tipo de Tarea y especialidad]],#REF!,Planning[[#This Row],[Proyectos Reiwa]]),SUMIFS(#REF!,#REF!,Planning[[#This Row],[Tipo de Tarea y especialidad]],#REF!,Planning[[#This Row],[Proyectos]]))</f>
        <v>#REF!</v>
      </c>
      <c r="K1811" s="27" t="e">
        <f>Planning[[#This Row],[Horas Planificadas]]+Planning[[#This Row],[Horas ajustadas adicionales]]-Planning[[#This Row],[Horas utilizadas]]</f>
        <v>#REF!</v>
      </c>
      <c r="L1811" s="7"/>
      <c r="M1811" s="34" t="e">
        <f>Planning[[#This Row],[Saldo]]-Planning[[#This Row],[Saldo estimado]]</f>
        <v>#REF!</v>
      </c>
      <c r="N1811" s="62" t="e">
        <f>+SUMIFS(#REF!,#REF!,Planning[[#This Row],[Proyectos]],#REF!,Planning[[#This Row],[Tipo de Tarea y especialidad]])</f>
        <v>#REF!</v>
      </c>
      <c r="O1811" s="34">
        <f t="shared" si="56"/>
        <v>10</v>
      </c>
      <c r="P1811" s="34">
        <f t="shared" si="57"/>
        <v>2024</v>
      </c>
      <c r="Q18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11" s="19" t="str">
        <f>TEXT(Planning[[#This Row],[Mes]]*29,"mmmm")</f>
        <v>October</v>
      </c>
      <c r="S18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11" s="193"/>
      <c r="U1811" s="43">
        <f>IF(Planning[[#This Row],[Horas Planificadas]]&lt;&gt;0,+K1811/Planning[[#This Row],[Horas Planificadas]],0)</f>
        <v>0</v>
      </c>
      <c r="V1811" s="43">
        <f>IF(Planning[[#This Row],[Horas Planificadas]]&lt;&gt;0,Planning[[#This Row],[Horas utilizadas]]/Planning[[#This Row],[Horas Planificadas]],0)</f>
        <v>0</v>
      </c>
      <c r="W1811" s="44">
        <f>Planning[[#This Row],[Horas Planificadas]]+Planning[[#This Row],[Horas ajustadas adicionales]]</f>
        <v>0</v>
      </c>
      <c r="X1811" s="142"/>
    </row>
    <row r="1812" spans="1:24" x14ac:dyDescent="0.2">
      <c r="A1812" s="7" t="s">
        <v>389</v>
      </c>
      <c r="B1812" s="7" t="s">
        <v>393</v>
      </c>
      <c r="C1812" s="3"/>
      <c r="D1812" s="3" t="s">
        <v>418</v>
      </c>
      <c r="E1812" s="4"/>
      <c r="F1812" s="3" t="s">
        <v>123</v>
      </c>
      <c r="G1812" s="9"/>
      <c r="H1812" s="9"/>
      <c r="I1812" s="12"/>
      <c r="J1812" s="5" t="e">
        <f>SUM(SUMIFS(#REF!,#REF!,Planning[[#This Row],[Tipo de Tarea y especialidad]],#REF!,Planning[[#This Row],[Proyectos Reiwa]]),SUMIFS(#REF!,#REF!,Planning[[#This Row],[Tipo de Tarea y especialidad]],#REF!,Planning[[#This Row],[Proyectos]]))</f>
        <v>#REF!</v>
      </c>
      <c r="K1812" s="5" t="e">
        <f>Planning[[#This Row],[Horas Planificadas]]+Planning[[#This Row],[Horas ajustadas adicionales]]-Planning[[#This Row],[Horas utilizadas]]</f>
        <v>#REF!</v>
      </c>
      <c r="L1812" s="7"/>
      <c r="M1812" s="19" t="e">
        <f>Planning[[#This Row],[Saldo]]-Planning[[#This Row],[Saldo estimado]]</f>
        <v>#REF!</v>
      </c>
      <c r="N1812" s="60" t="e">
        <f>+SUMIFS(#REF!,#REF!,Planning[[#This Row],[Proyectos]],#REF!,Planning[[#This Row],[Tipo de Tarea y especialidad]])</f>
        <v>#REF!</v>
      </c>
      <c r="O1812" s="19">
        <f t="shared" si="56"/>
        <v>10</v>
      </c>
      <c r="P1812" s="19">
        <f t="shared" si="57"/>
        <v>2024</v>
      </c>
      <c r="Q18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12" s="19" t="str">
        <f>TEXT(Planning[[#This Row],[Mes]]*29,"mmmm")</f>
        <v>October</v>
      </c>
      <c r="S18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12" s="193"/>
      <c r="U1812" s="43">
        <f>IF(Planning[[#This Row],[Horas Planificadas]]&lt;&gt;0,+K1812/Planning[[#This Row],[Horas Planificadas]],0)</f>
        <v>0</v>
      </c>
      <c r="V1812" s="43">
        <f>IF(Planning[[#This Row],[Horas Planificadas]]&lt;&gt;0,Planning[[#This Row],[Horas utilizadas]]/Planning[[#This Row],[Horas Planificadas]],0)</f>
        <v>0</v>
      </c>
      <c r="W1812" s="44">
        <f>Planning[[#This Row],[Horas Planificadas]]+Planning[[#This Row],[Horas ajustadas adicionales]]</f>
        <v>0</v>
      </c>
      <c r="X1812" s="142"/>
    </row>
    <row r="1813" spans="1:24" x14ac:dyDescent="0.2">
      <c r="A1813" s="7" t="s">
        <v>389</v>
      </c>
      <c r="B1813" s="7" t="s">
        <v>393</v>
      </c>
      <c r="C1813" s="3"/>
      <c r="D1813" s="3" t="s">
        <v>418</v>
      </c>
      <c r="E1813" s="4"/>
      <c r="F1813" s="3" t="s">
        <v>124</v>
      </c>
      <c r="G1813" s="9"/>
      <c r="H1813" s="9">
        <v>450</v>
      </c>
      <c r="I1813" s="12"/>
      <c r="J1813" s="5" t="e">
        <f>SUM(SUMIFS(#REF!,#REF!,Planning[[#This Row],[Tipo de Tarea y especialidad]],#REF!,Planning[[#This Row],[Proyectos Reiwa]]),SUMIFS(#REF!,#REF!,Planning[[#This Row],[Tipo de Tarea y especialidad]],#REF!,Planning[[#This Row],[Proyectos]]))</f>
        <v>#REF!</v>
      </c>
      <c r="K1813" s="5" t="e">
        <f>Planning[[#This Row],[Horas Planificadas]]+Planning[[#This Row],[Horas ajustadas adicionales]]-Planning[[#This Row],[Horas utilizadas]]</f>
        <v>#REF!</v>
      </c>
      <c r="L1813" s="7">
        <v>0</v>
      </c>
      <c r="M1813" s="19" t="e">
        <f>Planning[[#This Row],[Saldo]]-Planning[[#This Row],[Saldo estimado]]</f>
        <v>#REF!</v>
      </c>
      <c r="N1813" s="60" t="e">
        <f>+SUMIFS(#REF!,#REF!,Planning[[#This Row],[Proyectos]],#REF!,Planning[[#This Row],[Tipo de Tarea y especialidad]])</f>
        <v>#REF!</v>
      </c>
      <c r="O1813" s="19">
        <f t="shared" si="56"/>
        <v>10</v>
      </c>
      <c r="P1813" s="19">
        <f t="shared" si="57"/>
        <v>2024</v>
      </c>
      <c r="Q18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13" s="19" t="str">
        <f>TEXT(Planning[[#This Row],[Mes]]*29,"mmmm")</f>
        <v>October</v>
      </c>
      <c r="S18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13" s="193"/>
      <c r="U1813" s="43" t="e">
        <f>IF(Planning[[#This Row],[Horas Planificadas]]&lt;&gt;0,+K1813/Planning[[#This Row],[Horas Planificadas]],0)</f>
        <v>#REF!</v>
      </c>
      <c r="V1813" s="43" t="e">
        <f>IF(Planning[[#This Row],[Horas Planificadas]]&lt;&gt;0,Planning[[#This Row],[Horas utilizadas]]/Planning[[#This Row],[Horas Planificadas]],0)</f>
        <v>#REF!</v>
      </c>
      <c r="W1813" s="44">
        <f>Planning[[#This Row],[Horas Planificadas]]+Planning[[#This Row],[Horas ajustadas adicionales]]</f>
        <v>450</v>
      </c>
      <c r="X1813" s="142"/>
    </row>
    <row r="1814" spans="1:24" x14ac:dyDescent="0.2">
      <c r="A1814" s="7" t="s">
        <v>389</v>
      </c>
      <c r="B1814" s="7" t="s">
        <v>393</v>
      </c>
      <c r="C1814" s="3"/>
      <c r="D1814" s="3" t="s">
        <v>418</v>
      </c>
      <c r="E1814" s="4"/>
      <c r="F1814" s="3" t="s">
        <v>125</v>
      </c>
      <c r="G1814" s="9"/>
      <c r="H1814" s="12"/>
      <c r="I1814" s="12"/>
      <c r="J1814" s="5" t="e">
        <f>SUM(SUMIFS(#REF!,#REF!,Planning[[#This Row],[Tipo de Tarea y especialidad]],#REF!,Planning[[#This Row],[Proyectos Reiwa]]),SUMIFS(#REF!,#REF!,Planning[[#This Row],[Tipo de Tarea y especialidad]],#REF!,Planning[[#This Row],[Proyectos]]))</f>
        <v>#REF!</v>
      </c>
      <c r="K1814" s="27" t="e">
        <f>Planning[[#This Row],[Horas Planificadas]]+Planning[[#This Row],[Horas ajustadas adicionales]]-Planning[[#This Row],[Horas utilizadas]]</f>
        <v>#REF!</v>
      </c>
      <c r="L1814" s="7"/>
      <c r="M1814" s="19" t="e">
        <f>Planning[[#This Row],[Saldo]]-Planning[[#This Row],[Saldo estimado]]</f>
        <v>#REF!</v>
      </c>
      <c r="N1814" s="60" t="e">
        <f>+SUMIFS(#REF!,#REF!,Planning[[#This Row],[Proyectos]],#REF!,Planning[[#This Row],[Tipo de Tarea y especialidad]])</f>
        <v>#REF!</v>
      </c>
      <c r="O1814" s="19">
        <f t="shared" si="56"/>
        <v>10</v>
      </c>
      <c r="P1814" s="19">
        <f t="shared" si="57"/>
        <v>2024</v>
      </c>
      <c r="Q18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14" s="19" t="str">
        <f>TEXT(Planning[[#This Row],[Mes]]*29,"mmmm")</f>
        <v>October</v>
      </c>
      <c r="S18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14" s="193"/>
      <c r="U1814" s="43">
        <f>IF(Planning[[#This Row],[Horas Planificadas]]&lt;&gt;0,+K1814/Planning[[#This Row],[Horas Planificadas]],0)</f>
        <v>0</v>
      </c>
      <c r="V1814" s="43">
        <f>IF(Planning[[#This Row],[Horas Planificadas]]&lt;&gt;0,Planning[[#This Row],[Horas utilizadas]]/Planning[[#This Row],[Horas Planificadas]],0)</f>
        <v>0</v>
      </c>
      <c r="W1814" s="44">
        <f>Planning[[#This Row],[Horas Planificadas]]+Planning[[#This Row],[Horas ajustadas adicionales]]</f>
        <v>0</v>
      </c>
      <c r="X1814" s="142"/>
    </row>
    <row r="1815" spans="1:24" x14ac:dyDescent="0.2">
      <c r="A1815" s="7" t="s">
        <v>389</v>
      </c>
      <c r="B1815" s="7" t="s">
        <v>393</v>
      </c>
      <c r="C1815" s="3"/>
      <c r="D1815" s="3" t="s">
        <v>418</v>
      </c>
      <c r="E1815" s="4"/>
      <c r="F1815" s="3" t="s">
        <v>126</v>
      </c>
      <c r="G1815" s="9"/>
      <c r="H1815" s="9"/>
      <c r="I1815" s="12"/>
      <c r="J1815" s="5" t="e">
        <f>SUM(SUMIFS(#REF!,#REF!,Planning[[#This Row],[Tipo de Tarea y especialidad]],#REF!,Planning[[#This Row],[Proyectos Reiwa]]),SUMIFS(#REF!,#REF!,Planning[[#This Row],[Tipo de Tarea y especialidad]],#REF!,Planning[[#This Row],[Proyectos]]))</f>
        <v>#REF!</v>
      </c>
      <c r="K1815" s="5" t="e">
        <f>Planning[[#This Row],[Horas Planificadas]]+Planning[[#This Row],[Horas ajustadas adicionales]]-Planning[[#This Row],[Horas utilizadas]]</f>
        <v>#REF!</v>
      </c>
      <c r="L1815" s="7"/>
      <c r="M1815" s="19" t="e">
        <f>Planning[[#This Row],[Saldo]]-Planning[[#This Row],[Saldo estimado]]</f>
        <v>#REF!</v>
      </c>
      <c r="N1815" s="60" t="e">
        <f>+SUMIFS(#REF!,#REF!,Planning[[#This Row],[Proyectos]],#REF!,Planning[[#This Row],[Tipo de Tarea y especialidad]])</f>
        <v>#REF!</v>
      </c>
      <c r="O1815" s="19">
        <f t="shared" si="56"/>
        <v>10</v>
      </c>
      <c r="P1815" s="19">
        <f t="shared" si="57"/>
        <v>2024</v>
      </c>
      <c r="Q18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15" s="19" t="str">
        <f>TEXT(Planning[[#This Row],[Mes]]*29,"mmmm")</f>
        <v>October</v>
      </c>
      <c r="S18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15" s="193"/>
      <c r="U1815" s="43">
        <f>IF(Planning[[#This Row],[Horas Planificadas]]&lt;&gt;0,+K1815/Planning[[#This Row],[Horas Planificadas]],0)</f>
        <v>0</v>
      </c>
      <c r="V1815" s="43">
        <f>IF(Planning[[#This Row],[Horas Planificadas]]&lt;&gt;0,Planning[[#This Row],[Horas utilizadas]]/Planning[[#This Row],[Horas Planificadas]],0)</f>
        <v>0</v>
      </c>
      <c r="W1815" s="44">
        <f>Planning[[#This Row],[Horas Planificadas]]+Planning[[#This Row],[Horas ajustadas adicionales]]</f>
        <v>0</v>
      </c>
      <c r="X1815" s="142"/>
    </row>
    <row r="1816" spans="1:24" x14ac:dyDescent="0.2">
      <c r="A1816" s="7" t="s">
        <v>389</v>
      </c>
      <c r="B1816" s="7" t="s">
        <v>393</v>
      </c>
      <c r="C1816" s="3"/>
      <c r="D1816" s="3" t="s">
        <v>418</v>
      </c>
      <c r="E1816" s="4"/>
      <c r="F1816" s="3" t="s">
        <v>127</v>
      </c>
      <c r="G1816" s="9"/>
      <c r="H1816" s="9"/>
      <c r="I1816" s="12"/>
      <c r="J1816" s="5" t="e">
        <f>SUM(SUMIFS(#REF!,#REF!,Planning[[#This Row],[Tipo de Tarea y especialidad]],#REF!,Planning[[#This Row],[Proyectos Reiwa]]),SUMIFS(#REF!,#REF!,Planning[[#This Row],[Tipo de Tarea y especialidad]],#REF!,Planning[[#This Row],[Proyectos]]))</f>
        <v>#REF!</v>
      </c>
      <c r="K1816" s="5" t="e">
        <f>Planning[[#This Row],[Horas Planificadas]]+Planning[[#This Row],[Horas ajustadas adicionales]]-Planning[[#This Row],[Horas utilizadas]]</f>
        <v>#REF!</v>
      </c>
      <c r="L1816" s="7"/>
      <c r="M1816" s="19" t="e">
        <f>Planning[[#This Row],[Saldo]]-Planning[[#This Row],[Saldo estimado]]</f>
        <v>#REF!</v>
      </c>
      <c r="N1816" s="60" t="e">
        <f>+SUMIFS(#REF!,#REF!,Planning[[#This Row],[Proyectos]],#REF!,Planning[[#This Row],[Tipo de Tarea y especialidad]])</f>
        <v>#REF!</v>
      </c>
      <c r="O1816" s="19">
        <f t="shared" si="56"/>
        <v>10</v>
      </c>
      <c r="P1816" s="19">
        <f t="shared" si="57"/>
        <v>2024</v>
      </c>
      <c r="Q18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16" s="19" t="str">
        <f>TEXT(Planning[[#This Row],[Mes]]*29,"mmmm")</f>
        <v>October</v>
      </c>
      <c r="S18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16" s="193"/>
      <c r="U1816" s="43">
        <f>IF(Planning[[#This Row],[Horas Planificadas]]&lt;&gt;0,+K1816/Planning[[#This Row],[Horas Planificadas]],0)</f>
        <v>0</v>
      </c>
      <c r="V1816" s="43">
        <f>IF(Planning[[#This Row],[Horas Planificadas]]&lt;&gt;0,Planning[[#This Row],[Horas utilizadas]]/Planning[[#This Row],[Horas Planificadas]],0)</f>
        <v>0</v>
      </c>
      <c r="W1816" s="44">
        <f>Planning[[#This Row],[Horas Planificadas]]+Planning[[#This Row],[Horas ajustadas adicionales]]</f>
        <v>0</v>
      </c>
      <c r="X1816" s="142"/>
    </row>
    <row r="1817" spans="1:24" x14ac:dyDescent="0.2">
      <c r="A1817" s="7" t="s">
        <v>389</v>
      </c>
      <c r="B1817" s="7" t="s">
        <v>393</v>
      </c>
      <c r="C1817" s="3"/>
      <c r="D1817" s="3" t="s">
        <v>418</v>
      </c>
      <c r="E1817" s="4"/>
      <c r="F1817" s="3" t="s">
        <v>128</v>
      </c>
      <c r="G1817" s="9"/>
      <c r="H1817" s="9"/>
      <c r="I1817" s="12"/>
      <c r="J1817" s="5" t="e">
        <f>SUM(SUMIFS(#REF!,#REF!,Planning[[#This Row],[Tipo de Tarea y especialidad]],#REF!,Planning[[#This Row],[Proyectos Reiwa]]),SUMIFS(#REF!,#REF!,Planning[[#This Row],[Tipo de Tarea y especialidad]],#REF!,Planning[[#This Row],[Proyectos]]))</f>
        <v>#REF!</v>
      </c>
      <c r="K1817" s="5" t="e">
        <f>Planning[[#This Row],[Horas Planificadas]]+Planning[[#This Row],[Horas ajustadas adicionales]]-Planning[[#This Row],[Horas utilizadas]]</f>
        <v>#REF!</v>
      </c>
      <c r="L1817" s="7"/>
      <c r="M1817" s="19" t="e">
        <f>Planning[[#This Row],[Saldo]]-Planning[[#This Row],[Saldo estimado]]</f>
        <v>#REF!</v>
      </c>
      <c r="N1817" s="60" t="e">
        <f>+SUMIFS(#REF!,#REF!,Planning[[#This Row],[Proyectos]],#REF!,Planning[[#This Row],[Tipo de Tarea y especialidad]])</f>
        <v>#REF!</v>
      </c>
      <c r="O1817" s="19">
        <f t="shared" si="56"/>
        <v>10</v>
      </c>
      <c r="P1817" s="19">
        <f t="shared" si="57"/>
        <v>2024</v>
      </c>
      <c r="Q18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17" s="19" t="str">
        <f>TEXT(Planning[[#This Row],[Mes]]*29,"mmmm")</f>
        <v>October</v>
      </c>
      <c r="S18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17" s="193"/>
      <c r="U1817" s="43">
        <f>IF(Planning[[#This Row],[Horas Planificadas]]&lt;&gt;0,+K1817/Planning[[#This Row],[Horas Planificadas]],0)</f>
        <v>0</v>
      </c>
      <c r="V1817" s="43">
        <f>IF(Planning[[#This Row],[Horas Planificadas]]&lt;&gt;0,Planning[[#This Row],[Horas utilizadas]]/Planning[[#This Row],[Horas Planificadas]],0)</f>
        <v>0</v>
      </c>
      <c r="W1817" s="44">
        <f>Planning[[#This Row],[Horas Planificadas]]+Planning[[#This Row],[Horas ajustadas adicionales]]</f>
        <v>0</v>
      </c>
      <c r="X1817" s="142"/>
    </row>
    <row r="1818" spans="1:24" x14ac:dyDescent="0.2">
      <c r="A1818" s="7" t="s">
        <v>389</v>
      </c>
      <c r="B1818" s="7" t="s">
        <v>393</v>
      </c>
      <c r="C1818" s="3"/>
      <c r="D1818" s="3" t="s">
        <v>418</v>
      </c>
      <c r="E1818" s="4" t="s">
        <v>31</v>
      </c>
      <c r="F1818" s="3" t="s">
        <v>31</v>
      </c>
      <c r="G1818" s="9"/>
      <c r="H1818" s="17">
        <f>Planning[[#This Row],[Horas Precálculo]]</f>
        <v>0</v>
      </c>
      <c r="I1818" s="18"/>
      <c r="J1818" s="14" t="e">
        <f>+SUMIFS(#REF!,#REF!,Planning[[#This Row],[Tarifa]],#REF!,Planning[[#This Row],[Proyectos]])</f>
        <v>#REF!</v>
      </c>
      <c r="K1818" s="14" t="e">
        <f>Planning[[#This Row],[Horas Planificadas]]+Planning[[#This Row],[Horas ajustadas adicionales]]-Planning[[#This Row],[Horas utilizadas]]</f>
        <v>#REF!</v>
      </c>
      <c r="L1818" s="15">
        <v>0</v>
      </c>
      <c r="M1818" s="16" t="e">
        <f>Planning[[#This Row],[Saldo]]-Planning[[#This Row],[Saldo estimado]]</f>
        <v>#REF!</v>
      </c>
      <c r="N1818" s="60" t="e">
        <f>+SUMIFS(#REF!,#REF!,Planning[[#This Row],[Proyectos]],#REF!,Planning[[#This Row],[Tipo de Tarea y especialidad]])</f>
        <v>#REF!</v>
      </c>
      <c r="O1818" s="16">
        <f t="shared" si="56"/>
        <v>10</v>
      </c>
      <c r="P1818" s="16">
        <f t="shared" si="57"/>
        <v>2024</v>
      </c>
      <c r="Q1818" s="16" t="e">
        <f>+SUMIFS(#REF!,#REF!,Planning[[#This Row],[Tarifa]],#REF!,Planning[[#This Row],[Proyectos]],#REF!,Planning[[#This Row],[Mes]],#REF!,Planning[[#This Row],[Año]])</f>
        <v>#REF!</v>
      </c>
      <c r="R1818" s="16" t="str">
        <f>TEXT(Planning[[#This Row],[Mes]]*29,"mmmm")</f>
        <v>October</v>
      </c>
      <c r="S18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18" s="193"/>
      <c r="U1818" s="43">
        <f>IF(Planning[[#This Row],[Horas Planificadas]]&lt;&gt;0,+K1818/Planning[[#This Row],[Horas Planificadas]],0)</f>
        <v>0</v>
      </c>
      <c r="V1818" s="43">
        <f>IF(Planning[[#This Row],[Horas Planificadas]]&lt;&gt;0,Planning[[#This Row],[Horas utilizadas]]/Planning[[#This Row],[Horas Planificadas]],0)</f>
        <v>0</v>
      </c>
      <c r="W1818" s="44">
        <f>Planning[[#This Row],[Horas Planificadas]]+Planning[[#This Row],[Horas ajustadas adicionales]]</f>
        <v>0</v>
      </c>
      <c r="X1818" s="142"/>
    </row>
    <row r="1819" spans="1:24" ht="22.5" x14ac:dyDescent="0.2">
      <c r="A1819" s="7" t="s">
        <v>389</v>
      </c>
      <c r="B1819" s="7" t="s">
        <v>393</v>
      </c>
      <c r="C1819" s="3"/>
      <c r="D1819" s="3" t="s">
        <v>418</v>
      </c>
      <c r="E1819" s="4" t="s">
        <v>32</v>
      </c>
      <c r="F1819" s="3"/>
      <c r="G1819" s="9">
        <v>1009</v>
      </c>
      <c r="H1819" s="25">
        <f>SUM(H1820:H1822)</f>
        <v>896</v>
      </c>
      <c r="I1819" s="14"/>
      <c r="J1819" s="14" t="e">
        <f>SUM(J1820:J1822)</f>
        <v>#REF!</v>
      </c>
      <c r="K1819" s="18" t="e">
        <f>SUM(K1820:K1822)</f>
        <v>#REF!</v>
      </c>
      <c r="L1819" s="15">
        <f>SUM(L1820:L1822)</f>
        <v>0</v>
      </c>
      <c r="M1819" s="16" t="e">
        <f>SUM(M1820:M1822)</f>
        <v>#REF!</v>
      </c>
      <c r="N1819" s="60" t="e">
        <f>+SUMIFS(#REF!,#REF!,Planning[[#This Row],[Proyectos]],#REF!,Planning[[#This Row],[Tipo de Tarea y especialidad]])</f>
        <v>#REF!</v>
      </c>
      <c r="O1819" s="16">
        <f t="shared" si="56"/>
        <v>10</v>
      </c>
      <c r="P1819" s="16">
        <f t="shared" si="57"/>
        <v>2024</v>
      </c>
      <c r="Q1819" s="16" t="e">
        <f>SUM(Q1820:Q1822)</f>
        <v>#REF!</v>
      </c>
      <c r="R1819" s="16" t="str">
        <f>TEXT(Planning[[#This Row],[Mes]]*29,"mmmm")</f>
        <v>October</v>
      </c>
      <c r="S18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19" s="193"/>
      <c r="U1819" s="43" t="e">
        <f>IF(Planning[[#This Row],[Horas Planificadas]]&lt;&gt;0,+K1819/Planning[[#This Row],[Horas Planificadas]],0)</f>
        <v>#REF!</v>
      </c>
      <c r="V1819" s="43" t="e">
        <f>IF(Planning[[#This Row],[Horas Planificadas]]&lt;&gt;0,Planning[[#This Row],[Horas utilizadas]]/Planning[[#This Row],[Horas Planificadas]],0)</f>
        <v>#REF!</v>
      </c>
      <c r="W1819" s="44">
        <f>Planning[[#This Row],[Horas Planificadas]]+Planning[[#This Row],[Horas ajustadas adicionales]]</f>
        <v>896</v>
      </c>
      <c r="X1819" s="142"/>
    </row>
    <row r="1820" spans="1:24" x14ac:dyDescent="0.2">
      <c r="A1820" s="7" t="s">
        <v>389</v>
      </c>
      <c r="B1820" s="7" t="s">
        <v>393</v>
      </c>
      <c r="C1820" s="3"/>
      <c r="D1820" s="3" t="s">
        <v>418</v>
      </c>
      <c r="E1820" s="4"/>
      <c r="F1820" s="3" t="s">
        <v>129</v>
      </c>
      <c r="G1820" s="9"/>
      <c r="H1820" s="9"/>
      <c r="I1820" s="12"/>
      <c r="J1820" s="5" t="e">
        <f>SUM(SUMIFS(#REF!,#REF!,Planning[[#This Row],[Tipo de Tarea y especialidad]],#REF!,Planning[[#This Row],[Proyectos Reiwa]]),SUMIFS(#REF!,#REF!,Planning[[#This Row],[Tipo de Tarea y especialidad]],#REF!,Planning[[#This Row],[Proyectos]]))</f>
        <v>#REF!</v>
      </c>
      <c r="K1820" s="5" t="e">
        <f>Planning[[#This Row],[Horas Planificadas]]+Planning[[#This Row],[Horas ajustadas adicionales]]-Planning[[#This Row],[Horas utilizadas]]</f>
        <v>#REF!</v>
      </c>
      <c r="L1820" s="7"/>
      <c r="M1820" s="19" t="e">
        <f>Planning[[#This Row],[Saldo]]-Planning[[#This Row],[Saldo estimado]]</f>
        <v>#REF!</v>
      </c>
      <c r="N1820" s="60" t="e">
        <f>+SUMIFS(#REF!,#REF!,Planning[[#This Row],[Proyectos]],#REF!,Planning[[#This Row],[Tipo de Tarea y especialidad]])</f>
        <v>#REF!</v>
      </c>
      <c r="O1820" s="19">
        <f t="shared" si="56"/>
        <v>10</v>
      </c>
      <c r="P1820" s="19">
        <f t="shared" si="57"/>
        <v>2024</v>
      </c>
      <c r="Q18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20" s="19" t="str">
        <f>TEXT(Planning[[#This Row],[Mes]]*29,"mmmm")</f>
        <v>October</v>
      </c>
      <c r="S18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20" s="193"/>
      <c r="U1820" s="43">
        <f>IF(Planning[[#This Row],[Horas Planificadas]]&lt;&gt;0,+K1820/Planning[[#This Row],[Horas Planificadas]],0)</f>
        <v>0</v>
      </c>
      <c r="V1820" s="43">
        <f>IF(Planning[[#This Row],[Horas Planificadas]]&lt;&gt;0,Planning[[#This Row],[Horas utilizadas]]/Planning[[#This Row],[Horas Planificadas]],0)</f>
        <v>0</v>
      </c>
      <c r="W1820" s="44">
        <f>Planning[[#This Row],[Horas Planificadas]]+Planning[[#This Row],[Horas ajustadas adicionales]]</f>
        <v>0</v>
      </c>
      <c r="X1820" s="142"/>
    </row>
    <row r="1821" spans="1:24" x14ac:dyDescent="0.2">
      <c r="A1821" s="7" t="s">
        <v>389</v>
      </c>
      <c r="B1821" s="7" t="s">
        <v>393</v>
      </c>
      <c r="C1821" s="3"/>
      <c r="D1821" s="3" t="s">
        <v>418</v>
      </c>
      <c r="E1821" s="4"/>
      <c r="F1821" s="3" t="s">
        <v>130</v>
      </c>
      <c r="G1821" s="9"/>
      <c r="H1821" s="9"/>
      <c r="I1821" s="12"/>
      <c r="J1821" s="5" t="e">
        <f>SUM(SUMIFS(#REF!,#REF!,Planning[[#This Row],[Tipo de Tarea y especialidad]],#REF!,Planning[[#This Row],[Proyectos Reiwa]]),SUMIFS(#REF!,#REF!,Planning[[#This Row],[Tipo de Tarea y especialidad]],#REF!,Planning[[#This Row],[Proyectos]]))</f>
        <v>#REF!</v>
      </c>
      <c r="K1821" s="5" t="e">
        <f>Planning[[#This Row],[Horas Planificadas]]+Planning[[#This Row],[Horas ajustadas adicionales]]-Planning[[#This Row],[Horas utilizadas]]</f>
        <v>#REF!</v>
      </c>
      <c r="L1821" s="7"/>
      <c r="M1821" s="19" t="e">
        <f>Planning[[#This Row],[Saldo]]-Planning[[#This Row],[Saldo estimado]]</f>
        <v>#REF!</v>
      </c>
      <c r="N1821" s="60" t="e">
        <f>+SUMIFS(#REF!,#REF!,Planning[[#This Row],[Proyectos]],#REF!,Planning[[#This Row],[Tipo de Tarea y especialidad]])</f>
        <v>#REF!</v>
      </c>
      <c r="O1821" s="19">
        <f t="shared" si="56"/>
        <v>10</v>
      </c>
      <c r="P1821" s="19">
        <f t="shared" si="57"/>
        <v>2024</v>
      </c>
      <c r="Q18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21" s="19" t="str">
        <f>TEXT(Planning[[#This Row],[Mes]]*29,"mmmm")</f>
        <v>October</v>
      </c>
      <c r="S18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21" s="193"/>
      <c r="U1821" s="43">
        <f>IF(Planning[[#This Row],[Horas Planificadas]]&lt;&gt;0,+K1821/Planning[[#This Row],[Horas Planificadas]],0)</f>
        <v>0</v>
      </c>
      <c r="V1821" s="43">
        <f>IF(Planning[[#This Row],[Horas Planificadas]]&lt;&gt;0,Planning[[#This Row],[Horas utilizadas]]/Planning[[#This Row],[Horas Planificadas]],0)</f>
        <v>0</v>
      </c>
      <c r="W1821" s="44">
        <f>Planning[[#This Row],[Horas Planificadas]]+Planning[[#This Row],[Horas ajustadas adicionales]]</f>
        <v>0</v>
      </c>
      <c r="X1821" s="142"/>
    </row>
    <row r="1822" spans="1:24" x14ac:dyDescent="0.2">
      <c r="A1822" s="7" t="s">
        <v>389</v>
      </c>
      <c r="B1822" s="7" t="s">
        <v>393</v>
      </c>
      <c r="C1822" s="3"/>
      <c r="D1822" s="3" t="s">
        <v>418</v>
      </c>
      <c r="E1822" s="4"/>
      <c r="F1822" s="3" t="s">
        <v>131</v>
      </c>
      <c r="G1822" s="9"/>
      <c r="H1822" s="9">
        <v>896</v>
      </c>
      <c r="I1822" s="12"/>
      <c r="J1822" s="5" t="e">
        <f>SUM(SUMIFS(#REF!,#REF!,Planning[[#This Row],[Tipo de Tarea y especialidad]],#REF!,Planning[[#This Row],[Proyectos Reiwa]]),SUMIFS(#REF!,#REF!,Planning[[#This Row],[Tipo de Tarea y especialidad]],#REF!,Planning[[#This Row],[Proyectos]]))</f>
        <v>#REF!</v>
      </c>
      <c r="K1822" s="5" t="e">
        <f>Planning[[#This Row],[Horas Planificadas]]+Planning[[#This Row],[Horas ajustadas adicionales]]-Planning[[#This Row],[Horas utilizadas]]</f>
        <v>#REF!</v>
      </c>
      <c r="L1822" s="7">
        <v>0</v>
      </c>
      <c r="M1822" s="19" t="e">
        <f>Planning[[#This Row],[Saldo]]-Planning[[#This Row],[Saldo estimado]]</f>
        <v>#REF!</v>
      </c>
      <c r="N1822" s="60" t="e">
        <f>+SUMIFS(#REF!,#REF!,Planning[[#This Row],[Proyectos]],#REF!,Planning[[#This Row],[Tipo de Tarea y especialidad]])</f>
        <v>#REF!</v>
      </c>
      <c r="O1822" s="19">
        <f t="shared" si="56"/>
        <v>10</v>
      </c>
      <c r="P1822" s="19">
        <f t="shared" si="57"/>
        <v>2024</v>
      </c>
      <c r="Q18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22" s="19" t="str">
        <f>TEXT(Planning[[#This Row],[Mes]]*29,"mmmm")</f>
        <v>October</v>
      </c>
      <c r="S18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22" s="193"/>
      <c r="U1822" s="43" t="e">
        <f>IF(Planning[[#This Row],[Horas Planificadas]]&lt;&gt;0,+K1822/Planning[[#This Row],[Horas Planificadas]],0)</f>
        <v>#REF!</v>
      </c>
      <c r="V1822" s="43" t="e">
        <f>IF(Planning[[#This Row],[Horas Planificadas]]&lt;&gt;0,Planning[[#This Row],[Horas utilizadas]]/Planning[[#This Row],[Horas Planificadas]],0)</f>
        <v>#REF!</v>
      </c>
      <c r="W1822" s="44">
        <f>Planning[[#This Row],[Horas Planificadas]]+Planning[[#This Row],[Horas ajustadas adicionales]]</f>
        <v>896</v>
      </c>
      <c r="X1822" s="142"/>
    </row>
    <row r="1823" spans="1:24" ht="22.5" x14ac:dyDescent="0.2">
      <c r="A1823" s="7"/>
      <c r="B1823" s="7"/>
      <c r="C1823" s="3"/>
      <c r="D1823" s="3" t="s">
        <v>421</v>
      </c>
      <c r="E1823" s="4" t="s">
        <v>28</v>
      </c>
      <c r="F1823" s="3"/>
      <c r="G1823" s="9"/>
      <c r="H1823" s="12">
        <v>0</v>
      </c>
      <c r="I1823" s="12"/>
      <c r="J1823" s="5" t="e">
        <f>+SUMIFS(#REF!,#REF!,Planning[[#This Row],[Tarifa]],#REF!,Planning[[#This Row],[Proyectos]])</f>
        <v>#REF!</v>
      </c>
      <c r="K1823" s="27" t="e">
        <f>Planning[[#This Row],[Horas Planificadas]]+Planning[[#This Row],[Horas ajustadas adicionales]]-Planning[[#This Row],[Horas utilizadas]]</f>
        <v>#REF!</v>
      </c>
      <c r="L1823" s="7"/>
      <c r="M1823" s="19" t="e">
        <f>Planning[[#This Row],[Saldo]]-Planning[[#This Row],[Saldo estimado]]</f>
        <v>#REF!</v>
      </c>
      <c r="N1823" s="60" t="e">
        <f>+SUMIFS(#REF!,#REF!,Planning[[#This Row],[Proyectos]],#REF!,Planning[[#This Row],[Tipo de Tarea y especialidad]])</f>
        <v>#REF!</v>
      </c>
      <c r="O1823" s="19">
        <f t="shared" si="56"/>
        <v>10</v>
      </c>
      <c r="P1823" s="19">
        <f t="shared" si="57"/>
        <v>2024</v>
      </c>
      <c r="Q1823" s="19" t="e">
        <f>+SUMIFS(#REF!,#REF!,Planning[[#This Row],[Tarifa]],#REF!,Planning[[#This Row],[Proyectos]],#REF!,Planning[[#This Row],[Mes]],#REF!,Planning[[#This Row],[Año]])</f>
        <v>#REF!</v>
      </c>
      <c r="R1823" s="19" t="str">
        <f>TEXT(Planning[[#This Row],[Mes]]*29,"mmmm")</f>
        <v>October</v>
      </c>
      <c r="S18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23" s="228"/>
      <c r="U1823" s="43">
        <f>IF(Planning[[#This Row],[Horas Planificadas]]&lt;&gt;0,+K1823/Planning[[#This Row],[Horas Planificadas]],0)</f>
        <v>0</v>
      </c>
      <c r="V1823" s="43">
        <f>IF(Planning[[#This Row],[Horas Planificadas]]&lt;&gt;0,Planning[[#This Row],[Horas utilizadas]]/Planning[[#This Row],[Horas Planificadas]],0)</f>
        <v>0</v>
      </c>
      <c r="W1823" s="44">
        <f>Planning[[#This Row],[Horas Planificadas]]+Planning[[#This Row],[Horas ajustadas adicionales]]</f>
        <v>0</v>
      </c>
      <c r="X1823" s="142"/>
    </row>
    <row r="1824" spans="1:24" x14ac:dyDescent="0.2">
      <c r="A1824" s="7"/>
      <c r="B1824" s="7"/>
      <c r="C1824" s="3"/>
      <c r="D1824" s="3" t="s">
        <v>421</v>
      </c>
      <c r="E1824" s="4" t="s">
        <v>30</v>
      </c>
      <c r="F1824" s="3"/>
      <c r="G1824" s="9"/>
      <c r="H1824" s="9">
        <v>108</v>
      </c>
      <c r="I1824" s="12"/>
      <c r="J1824" s="5" t="e">
        <f>+SUMIFS(#REF!,#REF!,Planning[[#This Row],[Tarifa]],#REF!,Planning[[#This Row],[Proyectos]])</f>
        <v>#REF!</v>
      </c>
      <c r="K1824" s="5" t="e">
        <f>Planning[[#This Row],[Horas Planificadas]]+Planning[[#This Row],[Horas ajustadas adicionales]]-Planning[[#This Row],[Horas utilizadas]]</f>
        <v>#REF!</v>
      </c>
      <c r="L1824" s="7"/>
      <c r="M1824" s="19" t="e">
        <f>Planning[[#This Row],[Saldo]]-Planning[[#This Row],[Saldo estimado]]</f>
        <v>#REF!</v>
      </c>
      <c r="N1824" s="60" t="e">
        <f>+SUMIFS(#REF!,#REF!,Planning[[#This Row],[Proyectos]],#REF!,Planning[[#This Row],[Tipo de Tarea y especialidad]])</f>
        <v>#REF!</v>
      </c>
      <c r="O1824" s="19">
        <f t="shared" si="56"/>
        <v>10</v>
      </c>
      <c r="P1824" s="19">
        <f t="shared" si="57"/>
        <v>2024</v>
      </c>
      <c r="Q1824" s="19" t="e">
        <f>+SUMIFS(#REF!,#REF!,Planning[[#This Row],[Tarifa]],#REF!,Planning[[#This Row],[Proyectos]],#REF!,Planning[[#This Row],[Mes]],#REF!,Planning[[#This Row],[Año]])</f>
        <v>#REF!</v>
      </c>
      <c r="R1824" s="19" t="str">
        <f>TEXT(Planning[[#This Row],[Mes]]*29,"mmmm")</f>
        <v>October</v>
      </c>
      <c r="S18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24" s="228"/>
      <c r="U1824" s="43" t="e">
        <f>IF(Planning[[#This Row],[Horas Planificadas]]&lt;&gt;0,+K1824/Planning[[#This Row],[Horas Planificadas]],0)</f>
        <v>#REF!</v>
      </c>
      <c r="V1824" s="43" t="e">
        <f>IF(Planning[[#This Row],[Horas Planificadas]]&lt;&gt;0,Planning[[#This Row],[Horas utilizadas]]/Planning[[#This Row],[Horas Planificadas]],0)</f>
        <v>#REF!</v>
      </c>
      <c r="W1824" s="44">
        <f>Planning[[#This Row],[Horas Planificadas]]+Planning[[#This Row],[Horas ajustadas adicionales]]</f>
        <v>108</v>
      </c>
      <c r="X1824" s="142"/>
    </row>
    <row r="1825" spans="1:24" x14ac:dyDescent="0.2">
      <c r="A1825" s="7"/>
      <c r="B1825" s="7"/>
      <c r="C1825" s="3"/>
      <c r="D1825" s="3" t="s">
        <v>421</v>
      </c>
      <c r="E1825" s="4" t="s">
        <v>31</v>
      </c>
      <c r="F1825" s="3"/>
      <c r="G1825" s="9"/>
      <c r="H1825" s="9">
        <v>80</v>
      </c>
      <c r="I1825" s="12"/>
      <c r="J1825" s="5" t="e">
        <f>+SUMIFS(#REF!,#REF!,Planning[[#This Row],[Tarifa]],#REF!,Planning[[#This Row],[Proyectos]])</f>
        <v>#REF!</v>
      </c>
      <c r="K1825" s="5" t="e">
        <f>Planning[[#This Row],[Horas Planificadas]]+Planning[[#This Row],[Horas ajustadas adicionales]]-Planning[[#This Row],[Horas utilizadas]]</f>
        <v>#REF!</v>
      </c>
      <c r="L1825" s="7"/>
      <c r="M1825" s="19" t="e">
        <f>Planning[[#This Row],[Saldo]]-Planning[[#This Row],[Saldo estimado]]</f>
        <v>#REF!</v>
      </c>
      <c r="N1825" s="60" t="e">
        <f>+SUMIFS(#REF!,#REF!,Planning[[#This Row],[Proyectos]],#REF!,Planning[[#This Row],[Tipo de Tarea y especialidad]])</f>
        <v>#REF!</v>
      </c>
      <c r="O1825" s="19">
        <f t="shared" si="56"/>
        <v>10</v>
      </c>
      <c r="P1825" s="19">
        <f t="shared" si="57"/>
        <v>2024</v>
      </c>
      <c r="Q1825" s="19" t="e">
        <f>+SUMIFS(#REF!,#REF!,Planning[[#This Row],[Tarifa]],#REF!,Planning[[#This Row],[Proyectos]],#REF!,Planning[[#This Row],[Mes]],#REF!,Planning[[#This Row],[Año]])</f>
        <v>#REF!</v>
      </c>
      <c r="R1825" s="19" t="str">
        <f>TEXT(Planning[[#This Row],[Mes]]*29,"mmmm")</f>
        <v>October</v>
      </c>
      <c r="S18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25" s="228"/>
      <c r="U1825" s="43" t="e">
        <f>IF(Planning[[#This Row],[Horas Planificadas]]&lt;&gt;0,+K1825/Planning[[#This Row],[Horas Planificadas]],0)</f>
        <v>#REF!</v>
      </c>
      <c r="V1825" s="43" t="e">
        <f>IF(Planning[[#This Row],[Horas Planificadas]]&lt;&gt;0,Planning[[#This Row],[Horas utilizadas]]/Planning[[#This Row],[Horas Planificadas]],0)</f>
        <v>#REF!</v>
      </c>
      <c r="W1825" s="44">
        <f>Planning[[#This Row],[Horas Planificadas]]+Planning[[#This Row],[Horas ajustadas adicionales]]</f>
        <v>80</v>
      </c>
      <c r="X1825" s="142"/>
    </row>
    <row r="1826" spans="1:24" ht="22.5" x14ac:dyDescent="0.2">
      <c r="A1826" s="7"/>
      <c r="B1826" s="7"/>
      <c r="C1826" s="3"/>
      <c r="D1826" s="3" t="s">
        <v>421</v>
      </c>
      <c r="E1826" s="4" t="s">
        <v>32</v>
      </c>
      <c r="F1826" s="3"/>
      <c r="G1826" s="9"/>
      <c r="H1826" s="9">
        <v>90</v>
      </c>
      <c r="I1826" s="12"/>
      <c r="J1826" s="5" t="e">
        <f>+SUMIFS(#REF!,#REF!,Planning[[#This Row],[Tarifa]],#REF!,Planning[[#This Row],[Proyectos]])</f>
        <v>#REF!</v>
      </c>
      <c r="K1826" s="5" t="e">
        <f>Planning[[#This Row],[Horas Planificadas]]+Planning[[#This Row],[Horas ajustadas adicionales]]-Planning[[#This Row],[Horas utilizadas]]</f>
        <v>#REF!</v>
      </c>
      <c r="L1826" s="7"/>
      <c r="M1826" s="19" t="e">
        <f>Planning[[#This Row],[Saldo]]-Planning[[#This Row],[Saldo estimado]]</f>
        <v>#REF!</v>
      </c>
      <c r="N1826" s="60" t="e">
        <f>+SUMIFS(#REF!,#REF!,Planning[[#This Row],[Proyectos]],#REF!,Planning[[#This Row],[Tipo de Tarea y especialidad]])</f>
        <v>#REF!</v>
      </c>
      <c r="O1826" s="19">
        <f t="shared" si="56"/>
        <v>10</v>
      </c>
      <c r="P1826" s="19">
        <f t="shared" si="57"/>
        <v>2024</v>
      </c>
      <c r="Q1826" s="19" t="e">
        <f>+SUMIFS(#REF!,#REF!,Planning[[#This Row],[Tarifa]],#REF!,Planning[[#This Row],[Proyectos]],#REF!,Planning[[#This Row],[Mes]],#REF!,Planning[[#This Row],[Año]])</f>
        <v>#REF!</v>
      </c>
      <c r="R1826" s="19" t="str">
        <f>TEXT(Planning[[#This Row],[Mes]]*29,"mmmm")</f>
        <v>October</v>
      </c>
      <c r="S18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26" s="228"/>
      <c r="U1826" s="43" t="e">
        <f>IF(Planning[[#This Row],[Horas Planificadas]]&lt;&gt;0,+K1826/Planning[[#This Row],[Horas Planificadas]],0)</f>
        <v>#REF!</v>
      </c>
      <c r="V1826" s="43" t="e">
        <f>IF(Planning[[#This Row],[Horas Planificadas]]&lt;&gt;0,Planning[[#This Row],[Horas utilizadas]]/Planning[[#This Row],[Horas Planificadas]],0)</f>
        <v>#REF!</v>
      </c>
      <c r="W1826" s="44">
        <f>Planning[[#This Row],[Horas Planificadas]]+Planning[[#This Row],[Horas ajustadas adicionales]]</f>
        <v>90</v>
      </c>
      <c r="X1826" s="142"/>
    </row>
    <row r="1827" spans="1:24" ht="22.5" x14ac:dyDescent="0.2">
      <c r="A1827" s="7"/>
      <c r="B1827" s="7" t="s">
        <v>178</v>
      </c>
      <c r="C1827" s="3"/>
      <c r="D1827" s="3" t="s">
        <v>422</v>
      </c>
      <c r="E1827" s="4" t="s">
        <v>28</v>
      </c>
      <c r="F1827" s="3"/>
      <c r="G1827" s="9">
        <v>0</v>
      </c>
      <c r="H1827" s="14">
        <f>SUM(H1828:H1829)</f>
        <v>0</v>
      </c>
      <c r="I1827" s="14"/>
      <c r="J1827" s="14" t="e">
        <f>SUM(J1828:J1829)</f>
        <v>#REF!</v>
      </c>
      <c r="K1827" s="15" t="e">
        <f>SUM(K1828:K1829)</f>
        <v>#REF!</v>
      </c>
      <c r="L1827" s="15">
        <f>SUM(L1828:L1829)</f>
        <v>0</v>
      </c>
      <c r="M1827" s="14" t="e">
        <f>SUM(M1828:M1829)</f>
        <v>#REF!</v>
      </c>
      <c r="N1827" s="66" t="e">
        <f>+SUMIFS(#REF!,#REF!,Planning[[#This Row],[Proyectos]],#REF!,Planning[[#This Row],[Tipo de Tarea y especialidad]])</f>
        <v>#REF!</v>
      </c>
      <c r="O1827" s="14">
        <f t="shared" si="56"/>
        <v>10</v>
      </c>
      <c r="P1827" s="14">
        <f t="shared" si="57"/>
        <v>2024</v>
      </c>
      <c r="Q1827" s="28" t="e">
        <f>SUM(Q1828:Q1829)</f>
        <v>#REF!</v>
      </c>
      <c r="R1827" s="28" t="str">
        <f>TEXT(Planning[[#This Row],[Mes]]*29,"mmmm")</f>
        <v>October</v>
      </c>
      <c r="S18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27" s="192" t="s">
        <v>423</v>
      </c>
      <c r="U1827" s="43">
        <f>IF(Planning[[#This Row],[Horas Planificadas]]&lt;&gt;0,+K1827/Planning[[#This Row],[Horas Planificadas]],0)</f>
        <v>0</v>
      </c>
      <c r="V1827" s="43">
        <f>IF(Planning[[#This Row],[Horas Planificadas]]&lt;&gt;0,Planning[[#This Row],[Horas utilizadas]]/Planning[[#This Row],[Horas Planificadas]],0)</f>
        <v>0</v>
      </c>
      <c r="W1827" s="44">
        <f>Planning[[#This Row],[Horas Planificadas]]+Planning[[#This Row],[Horas ajustadas adicionales]]</f>
        <v>0</v>
      </c>
      <c r="X1827" s="142"/>
    </row>
    <row r="1828" spans="1:24" x14ac:dyDescent="0.2">
      <c r="A1828" s="7"/>
      <c r="B1828" s="7" t="s">
        <v>178</v>
      </c>
      <c r="C1828" s="3"/>
      <c r="D1828" s="3" t="s">
        <v>422</v>
      </c>
      <c r="E1828" s="4"/>
      <c r="F1828" s="3" t="s">
        <v>120</v>
      </c>
      <c r="G1828" s="9"/>
      <c r="H1828" s="9"/>
      <c r="I1828" s="12"/>
      <c r="J1828" s="5" t="e">
        <f>SUM(SUMIFS(#REF!,#REF!,Planning[[#This Row],[Tipo de Tarea y especialidad]],#REF!,Planning[[#This Row],[Proyectos Reiwa]]),SUMIFS(#REF!,#REF!,Planning[[#This Row],[Tipo de Tarea y especialidad]],#REF!,Planning[[#This Row],[Proyectos]]))</f>
        <v>#REF!</v>
      </c>
      <c r="K1828" s="5" t="e">
        <f>Planning[[#This Row],[Horas Planificadas]]+Planning[[#This Row],[Horas ajustadas adicionales]]-Planning[[#This Row],[Horas utilizadas]]</f>
        <v>#REF!</v>
      </c>
      <c r="L1828" s="7"/>
      <c r="M1828" s="19" t="e">
        <f>Planning[[#This Row],[Saldo]]-Planning[[#This Row],[Saldo estimado]]</f>
        <v>#REF!</v>
      </c>
      <c r="N1828" s="60" t="e">
        <f>+SUMIFS(#REF!,#REF!,Planning[[#This Row],[Proyectos]],#REF!,Planning[[#This Row],[Tipo de Tarea y especialidad]])</f>
        <v>#REF!</v>
      </c>
      <c r="O1828" s="19">
        <f t="shared" si="56"/>
        <v>10</v>
      </c>
      <c r="P1828" s="19">
        <f t="shared" si="57"/>
        <v>2024</v>
      </c>
      <c r="Q18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28" s="19" t="str">
        <f>TEXT(Planning[[#This Row],[Mes]]*29,"mmmm")</f>
        <v>October</v>
      </c>
      <c r="S18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28" s="193"/>
      <c r="U1828" s="43">
        <f>IF(Planning[[#This Row],[Horas Planificadas]]&lt;&gt;0,+K1828/Planning[[#This Row],[Horas Planificadas]],0)</f>
        <v>0</v>
      </c>
      <c r="V1828" s="43">
        <f>IF(Planning[[#This Row],[Horas Planificadas]]&lt;&gt;0,Planning[[#This Row],[Horas utilizadas]]/Planning[[#This Row],[Horas Planificadas]],0)</f>
        <v>0</v>
      </c>
      <c r="W1828" s="44">
        <f>Planning[[#This Row],[Horas Planificadas]]+Planning[[#This Row],[Horas ajustadas adicionales]]</f>
        <v>0</v>
      </c>
      <c r="X1828" s="142"/>
    </row>
    <row r="1829" spans="1:24" x14ac:dyDescent="0.2">
      <c r="A1829" s="7"/>
      <c r="B1829" s="7" t="s">
        <v>178</v>
      </c>
      <c r="C1829" s="3"/>
      <c r="D1829" s="3" t="s">
        <v>422</v>
      </c>
      <c r="E1829" s="4"/>
      <c r="F1829" s="3" t="s">
        <v>121</v>
      </c>
      <c r="G1829" s="9"/>
      <c r="H1829" s="9"/>
      <c r="I1829" s="12"/>
      <c r="J1829" s="5" t="e">
        <f>SUM(SUMIFS(#REF!,#REF!,Planning[[#This Row],[Tipo de Tarea y especialidad]],#REF!,Planning[[#This Row],[Proyectos Reiwa]]),SUMIFS(#REF!,#REF!,Planning[[#This Row],[Tipo de Tarea y especialidad]],#REF!,Planning[[#This Row],[Proyectos]]))</f>
        <v>#REF!</v>
      </c>
      <c r="K1829" s="5" t="e">
        <f>Planning[[#This Row],[Horas Planificadas]]+Planning[[#This Row],[Horas ajustadas adicionales]]-Planning[[#This Row],[Horas utilizadas]]</f>
        <v>#REF!</v>
      </c>
      <c r="L1829" s="7"/>
      <c r="M1829" s="19" t="e">
        <f>Planning[[#This Row],[Saldo]]-Planning[[#This Row],[Saldo estimado]]</f>
        <v>#REF!</v>
      </c>
      <c r="N1829" s="60" t="e">
        <f>+SUMIFS(#REF!,#REF!,Planning[[#This Row],[Proyectos]],#REF!,Planning[[#This Row],[Tipo de Tarea y especialidad]])</f>
        <v>#REF!</v>
      </c>
      <c r="O1829" s="19">
        <f t="shared" si="56"/>
        <v>10</v>
      </c>
      <c r="P1829" s="19">
        <f t="shared" si="57"/>
        <v>2024</v>
      </c>
      <c r="Q18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29" s="19" t="str">
        <f>TEXT(Planning[[#This Row],[Mes]]*29,"mmmm")</f>
        <v>October</v>
      </c>
      <c r="S18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29" s="193"/>
      <c r="U1829" s="43">
        <f>IF(Planning[[#This Row],[Horas Planificadas]]&lt;&gt;0,+K1829/Planning[[#This Row],[Horas Planificadas]],0)</f>
        <v>0</v>
      </c>
      <c r="V1829" s="43">
        <f>IF(Planning[[#This Row],[Horas Planificadas]]&lt;&gt;0,Planning[[#This Row],[Horas utilizadas]]/Planning[[#This Row],[Horas Planificadas]],0)</f>
        <v>0</v>
      </c>
      <c r="W1829" s="44">
        <f>Planning[[#This Row],[Horas Planificadas]]+Planning[[#This Row],[Horas ajustadas adicionales]]</f>
        <v>0</v>
      </c>
      <c r="X1829" s="142"/>
    </row>
    <row r="1830" spans="1:24" x14ac:dyDescent="0.2">
      <c r="A1830" s="7"/>
      <c r="B1830" s="7" t="s">
        <v>178</v>
      </c>
      <c r="C1830" s="3"/>
      <c r="D1830" s="3" t="s">
        <v>422</v>
      </c>
      <c r="E1830" s="4" t="s">
        <v>30</v>
      </c>
      <c r="F1830" s="3"/>
      <c r="G1830" s="9">
        <v>46</v>
      </c>
      <c r="H1830" s="14">
        <f>SUM(H1831:H1837)</f>
        <v>46</v>
      </c>
      <c r="I1830" s="14"/>
      <c r="J1830" s="14" t="e">
        <f>SUM(J1831:J1837)</f>
        <v>#REF!</v>
      </c>
      <c r="K1830" s="15" t="e">
        <f>SUM(K1831:K1837)</f>
        <v>#REF!</v>
      </c>
      <c r="L1830" s="15">
        <f>SUM(L1831:L1837)</f>
        <v>0</v>
      </c>
      <c r="M1830" s="16" t="e">
        <f>SUM(M1831:M1837)</f>
        <v>#REF!</v>
      </c>
      <c r="N1830" s="60" t="e">
        <f>+SUMIFS(#REF!,#REF!,Planning[[#This Row],[Proyectos]],#REF!,Planning[[#This Row],[Tipo de Tarea y especialidad]])</f>
        <v>#REF!</v>
      </c>
      <c r="O1830" s="16">
        <f t="shared" si="56"/>
        <v>10</v>
      </c>
      <c r="P1830" s="16">
        <f t="shared" si="57"/>
        <v>2024</v>
      </c>
      <c r="Q1830" s="16" t="e">
        <f>SUM(Q1831:Q1837)</f>
        <v>#REF!</v>
      </c>
      <c r="R1830" s="16" t="str">
        <f>TEXT(Planning[[#This Row],[Mes]]*29,"mmmm")</f>
        <v>October</v>
      </c>
      <c r="S18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30" s="193"/>
      <c r="U1830" s="43" t="e">
        <f>IF(Planning[[#This Row],[Horas Planificadas]]&lt;&gt;0,+K1830/Planning[[#This Row],[Horas Planificadas]],0)</f>
        <v>#REF!</v>
      </c>
      <c r="V1830" s="43" t="e">
        <f>IF(Planning[[#This Row],[Horas Planificadas]]&lt;&gt;0,Planning[[#This Row],[Horas utilizadas]]/Planning[[#This Row],[Horas Planificadas]],0)</f>
        <v>#REF!</v>
      </c>
      <c r="W1830" s="44">
        <f>Planning[[#This Row],[Horas Planificadas]]+Planning[[#This Row],[Horas ajustadas adicionales]]</f>
        <v>46</v>
      </c>
      <c r="X1830" s="142"/>
    </row>
    <row r="1831" spans="1:24" x14ac:dyDescent="0.2">
      <c r="A1831" s="7"/>
      <c r="B1831" s="7" t="s">
        <v>178</v>
      </c>
      <c r="C1831" s="3"/>
      <c r="D1831" s="3" t="s">
        <v>422</v>
      </c>
      <c r="E1831" s="4"/>
      <c r="F1831" s="3" t="s">
        <v>122</v>
      </c>
      <c r="G1831" s="9"/>
      <c r="H1831" s="9"/>
      <c r="I1831" s="12"/>
      <c r="J1831" s="5" t="e">
        <f>SUM(SUMIFS(#REF!,#REF!,Planning[[#This Row],[Tipo de Tarea y especialidad]],#REF!,Planning[[#This Row],[Proyectos Reiwa]]),SUMIFS(#REF!,#REF!,Planning[[#This Row],[Tipo de Tarea y especialidad]],#REF!,Planning[[#This Row],[Proyectos]]))</f>
        <v>#REF!</v>
      </c>
      <c r="K1831" s="5" t="e">
        <f>Planning[[#This Row],[Horas Planificadas]]+Planning[[#This Row],[Horas ajustadas adicionales]]-Planning[[#This Row],[Horas utilizadas]]</f>
        <v>#REF!</v>
      </c>
      <c r="L1831" s="7"/>
      <c r="M1831" s="19" t="e">
        <f>Planning[[#This Row],[Saldo]]-Planning[[#This Row],[Saldo estimado]]</f>
        <v>#REF!</v>
      </c>
      <c r="N1831" s="60" t="e">
        <f>+SUMIFS(#REF!,#REF!,Planning[[#This Row],[Proyectos]],#REF!,Planning[[#This Row],[Tipo de Tarea y especialidad]])</f>
        <v>#REF!</v>
      </c>
      <c r="O1831" s="19">
        <f t="shared" si="56"/>
        <v>10</v>
      </c>
      <c r="P1831" s="19">
        <f t="shared" si="57"/>
        <v>2024</v>
      </c>
      <c r="Q18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31" s="19" t="str">
        <f>TEXT(Planning[[#This Row],[Mes]]*29,"mmmm")</f>
        <v>October</v>
      </c>
      <c r="S18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31" s="193"/>
      <c r="U1831" s="43">
        <f>IF(Planning[[#This Row],[Horas Planificadas]]&lt;&gt;0,+K1831/Planning[[#This Row],[Horas Planificadas]],0)</f>
        <v>0</v>
      </c>
      <c r="V1831" s="43">
        <f>IF(Planning[[#This Row],[Horas Planificadas]]&lt;&gt;0,Planning[[#This Row],[Horas utilizadas]]/Planning[[#This Row],[Horas Planificadas]],0)</f>
        <v>0</v>
      </c>
      <c r="W1831" s="44">
        <f>Planning[[#This Row],[Horas Planificadas]]+Planning[[#This Row],[Horas ajustadas adicionales]]</f>
        <v>0</v>
      </c>
      <c r="X1831" s="142"/>
    </row>
    <row r="1832" spans="1:24" x14ac:dyDescent="0.2">
      <c r="A1832" s="7"/>
      <c r="B1832" s="7" t="s">
        <v>178</v>
      </c>
      <c r="C1832" s="3"/>
      <c r="D1832" s="3" t="s">
        <v>422</v>
      </c>
      <c r="E1832" s="4"/>
      <c r="F1832" s="3" t="s">
        <v>123</v>
      </c>
      <c r="G1832" s="9"/>
      <c r="H1832" s="9">
        <v>46</v>
      </c>
      <c r="I1832" s="12"/>
      <c r="J1832" s="5" t="e">
        <f>SUM(SUMIFS(#REF!,#REF!,Planning[[#This Row],[Tipo de Tarea y especialidad]],#REF!,Planning[[#This Row],[Proyectos Reiwa]]),SUMIFS(#REF!,#REF!,Planning[[#This Row],[Tipo de Tarea y especialidad]],#REF!,Planning[[#This Row],[Proyectos]]))</f>
        <v>#REF!</v>
      </c>
      <c r="K1832" s="5" t="e">
        <f>Planning[[#This Row],[Horas Planificadas]]+Planning[[#This Row],[Horas ajustadas adicionales]]-Planning[[#This Row],[Horas utilizadas]]</f>
        <v>#REF!</v>
      </c>
      <c r="L1832" s="7">
        <v>0</v>
      </c>
      <c r="M1832" s="19" t="e">
        <f>Planning[[#This Row],[Saldo]]-Planning[[#This Row],[Saldo estimado]]</f>
        <v>#REF!</v>
      </c>
      <c r="N1832" s="60" t="e">
        <f>+SUMIFS(#REF!,#REF!,Planning[[#This Row],[Proyectos]],#REF!,Planning[[#This Row],[Tipo de Tarea y especialidad]])</f>
        <v>#REF!</v>
      </c>
      <c r="O1832" s="19">
        <f t="shared" si="56"/>
        <v>10</v>
      </c>
      <c r="P1832" s="19">
        <f t="shared" si="57"/>
        <v>2024</v>
      </c>
      <c r="Q18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32" s="19" t="str">
        <f>TEXT(Planning[[#This Row],[Mes]]*29,"mmmm")</f>
        <v>October</v>
      </c>
      <c r="S18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32" s="193"/>
      <c r="U1832" s="43" t="e">
        <f>IF(Planning[[#This Row],[Horas Planificadas]]&lt;&gt;0,+K1832/Planning[[#This Row],[Horas Planificadas]],0)</f>
        <v>#REF!</v>
      </c>
      <c r="V1832" s="43" t="e">
        <f>IF(Planning[[#This Row],[Horas Planificadas]]&lt;&gt;0,Planning[[#This Row],[Horas utilizadas]]/Planning[[#This Row],[Horas Planificadas]],0)</f>
        <v>#REF!</v>
      </c>
      <c r="W1832" s="44">
        <f>Planning[[#This Row],[Horas Planificadas]]+Planning[[#This Row],[Horas ajustadas adicionales]]</f>
        <v>46</v>
      </c>
      <c r="X1832" s="142"/>
    </row>
    <row r="1833" spans="1:24" x14ac:dyDescent="0.2">
      <c r="A1833" s="7"/>
      <c r="B1833" s="7" t="s">
        <v>178</v>
      </c>
      <c r="C1833" s="3"/>
      <c r="D1833" s="3" t="s">
        <v>422</v>
      </c>
      <c r="E1833" s="4"/>
      <c r="F1833" s="3" t="s">
        <v>124</v>
      </c>
      <c r="G1833" s="9"/>
      <c r="H1833" s="9"/>
      <c r="I1833" s="12"/>
      <c r="J1833" s="5" t="e">
        <f>SUM(SUMIFS(#REF!,#REF!,Planning[[#This Row],[Tipo de Tarea y especialidad]],#REF!,Planning[[#This Row],[Proyectos Reiwa]]),SUMIFS(#REF!,#REF!,Planning[[#This Row],[Tipo de Tarea y especialidad]],#REF!,Planning[[#This Row],[Proyectos]]))</f>
        <v>#REF!</v>
      </c>
      <c r="K1833" s="5" t="e">
        <f>Planning[[#This Row],[Horas Planificadas]]+Planning[[#This Row],[Horas ajustadas adicionales]]-Planning[[#This Row],[Horas utilizadas]]</f>
        <v>#REF!</v>
      </c>
      <c r="L1833" s="7"/>
      <c r="M1833" s="19" t="e">
        <f>Planning[[#This Row],[Saldo]]-Planning[[#This Row],[Saldo estimado]]</f>
        <v>#REF!</v>
      </c>
      <c r="N1833" s="60" t="e">
        <f>+SUMIFS(#REF!,#REF!,Planning[[#This Row],[Proyectos]],#REF!,Planning[[#This Row],[Tipo de Tarea y especialidad]])</f>
        <v>#REF!</v>
      </c>
      <c r="O1833" s="19">
        <f t="shared" si="56"/>
        <v>10</v>
      </c>
      <c r="P1833" s="19">
        <f t="shared" si="57"/>
        <v>2024</v>
      </c>
      <c r="Q18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33" s="19" t="str">
        <f>TEXT(Planning[[#This Row],[Mes]]*29,"mmmm")</f>
        <v>October</v>
      </c>
      <c r="S18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33" s="193"/>
      <c r="U1833" s="43">
        <f>IF(Planning[[#This Row],[Horas Planificadas]]&lt;&gt;0,+K1833/Planning[[#This Row],[Horas Planificadas]],0)</f>
        <v>0</v>
      </c>
      <c r="V1833" s="43">
        <f>IF(Planning[[#This Row],[Horas Planificadas]]&lt;&gt;0,Planning[[#This Row],[Horas utilizadas]]/Planning[[#This Row],[Horas Planificadas]],0)</f>
        <v>0</v>
      </c>
      <c r="W1833" s="44">
        <f>Planning[[#This Row],[Horas Planificadas]]+Planning[[#This Row],[Horas ajustadas adicionales]]</f>
        <v>0</v>
      </c>
      <c r="X1833" s="142"/>
    </row>
    <row r="1834" spans="1:24" x14ac:dyDescent="0.2">
      <c r="A1834" s="7"/>
      <c r="B1834" s="7" t="s">
        <v>178</v>
      </c>
      <c r="C1834" s="3"/>
      <c r="D1834" s="3" t="s">
        <v>422</v>
      </c>
      <c r="E1834" s="4"/>
      <c r="F1834" s="3" t="s">
        <v>125</v>
      </c>
      <c r="G1834" s="9"/>
      <c r="H1834" s="9"/>
      <c r="I1834" s="12"/>
      <c r="J1834" s="5" t="e">
        <f>SUM(SUMIFS(#REF!,#REF!,Planning[[#This Row],[Tipo de Tarea y especialidad]],#REF!,Planning[[#This Row],[Proyectos Reiwa]]),SUMIFS(#REF!,#REF!,Planning[[#This Row],[Tipo de Tarea y especialidad]],#REF!,Planning[[#This Row],[Proyectos]]))</f>
        <v>#REF!</v>
      </c>
      <c r="K1834" s="5" t="e">
        <f>Planning[[#This Row],[Horas Planificadas]]+Planning[[#This Row],[Horas ajustadas adicionales]]-Planning[[#This Row],[Horas utilizadas]]</f>
        <v>#REF!</v>
      </c>
      <c r="L1834" s="7">
        <v>0</v>
      </c>
      <c r="M1834" s="19" t="e">
        <f>Planning[[#This Row],[Saldo]]-Planning[[#This Row],[Saldo estimado]]</f>
        <v>#REF!</v>
      </c>
      <c r="N1834" s="60" t="e">
        <f>+SUMIFS(#REF!,#REF!,Planning[[#This Row],[Proyectos]],#REF!,Planning[[#This Row],[Tipo de Tarea y especialidad]])</f>
        <v>#REF!</v>
      </c>
      <c r="O1834" s="19">
        <f t="shared" si="56"/>
        <v>10</v>
      </c>
      <c r="P1834" s="19">
        <f t="shared" si="57"/>
        <v>2024</v>
      </c>
      <c r="Q18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34" s="19" t="str">
        <f>TEXT(Planning[[#This Row],[Mes]]*29,"mmmm")</f>
        <v>October</v>
      </c>
      <c r="S18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34" s="193"/>
      <c r="U1834" s="43">
        <f>IF(Planning[[#This Row],[Horas Planificadas]]&lt;&gt;0,+K1834/Planning[[#This Row],[Horas Planificadas]],0)</f>
        <v>0</v>
      </c>
      <c r="V1834" s="43">
        <f>IF(Planning[[#This Row],[Horas Planificadas]]&lt;&gt;0,Planning[[#This Row],[Horas utilizadas]]/Planning[[#This Row],[Horas Planificadas]],0)</f>
        <v>0</v>
      </c>
      <c r="W1834" s="44">
        <f>Planning[[#This Row],[Horas Planificadas]]+Planning[[#This Row],[Horas ajustadas adicionales]]</f>
        <v>0</v>
      </c>
      <c r="X1834" s="142"/>
    </row>
    <row r="1835" spans="1:24" x14ac:dyDescent="0.2">
      <c r="A1835" s="7"/>
      <c r="B1835" s="7" t="s">
        <v>178</v>
      </c>
      <c r="C1835" s="3"/>
      <c r="D1835" s="3" t="s">
        <v>422</v>
      </c>
      <c r="E1835" s="4"/>
      <c r="F1835" s="3" t="s">
        <v>126</v>
      </c>
      <c r="G1835" s="9"/>
      <c r="H1835" s="9"/>
      <c r="I1835" s="12"/>
      <c r="J1835" s="5" t="e">
        <f>SUM(SUMIFS(#REF!,#REF!,Planning[[#This Row],[Tipo de Tarea y especialidad]],#REF!,Planning[[#This Row],[Proyectos Reiwa]]),SUMIFS(#REF!,#REF!,Planning[[#This Row],[Tipo de Tarea y especialidad]],#REF!,Planning[[#This Row],[Proyectos]]))</f>
        <v>#REF!</v>
      </c>
      <c r="K1835" s="5" t="e">
        <f>Planning[[#This Row],[Horas Planificadas]]+Planning[[#This Row],[Horas ajustadas adicionales]]-Planning[[#This Row],[Horas utilizadas]]</f>
        <v>#REF!</v>
      </c>
      <c r="L1835" s="7"/>
      <c r="M1835" s="19" t="e">
        <f>Planning[[#This Row],[Saldo]]-Planning[[#This Row],[Saldo estimado]]</f>
        <v>#REF!</v>
      </c>
      <c r="N1835" s="60" t="e">
        <f>+SUMIFS(#REF!,#REF!,Planning[[#This Row],[Proyectos]],#REF!,Planning[[#This Row],[Tipo de Tarea y especialidad]])</f>
        <v>#REF!</v>
      </c>
      <c r="O1835" s="19">
        <f t="shared" si="56"/>
        <v>10</v>
      </c>
      <c r="P1835" s="19">
        <f t="shared" si="57"/>
        <v>2024</v>
      </c>
      <c r="Q18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35" s="19" t="str">
        <f>TEXT(Planning[[#This Row],[Mes]]*29,"mmmm")</f>
        <v>October</v>
      </c>
      <c r="S18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35" s="193"/>
      <c r="U1835" s="43">
        <f>IF(Planning[[#This Row],[Horas Planificadas]]&lt;&gt;0,+K1835/Planning[[#This Row],[Horas Planificadas]],0)</f>
        <v>0</v>
      </c>
      <c r="V1835" s="43">
        <f>IF(Planning[[#This Row],[Horas Planificadas]]&lt;&gt;0,Planning[[#This Row],[Horas utilizadas]]/Planning[[#This Row],[Horas Planificadas]],0)</f>
        <v>0</v>
      </c>
      <c r="W1835" s="44">
        <f>Planning[[#This Row],[Horas Planificadas]]+Planning[[#This Row],[Horas ajustadas adicionales]]</f>
        <v>0</v>
      </c>
      <c r="X1835" s="142"/>
    </row>
    <row r="1836" spans="1:24" x14ac:dyDescent="0.2">
      <c r="A1836" s="7"/>
      <c r="B1836" s="7" t="s">
        <v>178</v>
      </c>
      <c r="C1836" s="3"/>
      <c r="D1836" s="3" t="s">
        <v>422</v>
      </c>
      <c r="E1836" s="4"/>
      <c r="F1836" s="3" t="s">
        <v>127</v>
      </c>
      <c r="G1836" s="9"/>
      <c r="H1836" s="9"/>
      <c r="I1836" s="12"/>
      <c r="J1836" s="5" t="e">
        <f>SUM(SUMIFS(#REF!,#REF!,Planning[[#This Row],[Tipo de Tarea y especialidad]],#REF!,Planning[[#This Row],[Proyectos Reiwa]]),SUMIFS(#REF!,#REF!,Planning[[#This Row],[Tipo de Tarea y especialidad]],#REF!,Planning[[#This Row],[Proyectos]]))</f>
        <v>#REF!</v>
      </c>
      <c r="K1836" s="5" t="e">
        <f>Planning[[#This Row],[Horas Planificadas]]+Planning[[#This Row],[Horas ajustadas adicionales]]-Planning[[#This Row],[Horas utilizadas]]</f>
        <v>#REF!</v>
      </c>
      <c r="L1836" s="7">
        <v>0</v>
      </c>
      <c r="M1836" s="19" t="e">
        <f>Planning[[#This Row],[Saldo]]-Planning[[#This Row],[Saldo estimado]]</f>
        <v>#REF!</v>
      </c>
      <c r="N1836" s="60" t="e">
        <f>+SUMIFS(#REF!,#REF!,Planning[[#This Row],[Proyectos]],#REF!,Planning[[#This Row],[Tipo de Tarea y especialidad]])</f>
        <v>#REF!</v>
      </c>
      <c r="O1836" s="19">
        <f t="shared" si="56"/>
        <v>10</v>
      </c>
      <c r="P1836" s="19">
        <f t="shared" si="57"/>
        <v>2024</v>
      </c>
      <c r="Q18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36" s="19" t="str">
        <f>TEXT(Planning[[#This Row],[Mes]]*29,"mmmm")</f>
        <v>October</v>
      </c>
      <c r="S18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36" s="193"/>
      <c r="U1836" s="43">
        <f>IF(Planning[[#This Row],[Horas Planificadas]]&lt;&gt;0,+K1836/Planning[[#This Row],[Horas Planificadas]],0)</f>
        <v>0</v>
      </c>
      <c r="V1836" s="43">
        <f>IF(Planning[[#This Row],[Horas Planificadas]]&lt;&gt;0,Planning[[#This Row],[Horas utilizadas]]/Planning[[#This Row],[Horas Planificadas]],0)</f>
        <v>0</v>
      </c>
      <c r="W1836" s="44">
        <f>Planning[[#This Row],[Horas Planificadas]]+Planning[[#This Row],[Horas ajustadas adicionales]]</f>
        <v>0</v>
      </c>
      <c r="X1836" s="142"/>
    </row>
    <row r="1837" spans="1:24" x14ac:dyDescent="0.2">
      <c r="A1837" s="7"/>
      <c r="B1837" s="7" t="s">
        <v>178</v>
      </c>
      <c r="C1837" s="3"/>
      <c r="D1837" s="3" t="s">
        <v>422</v>
      </c>
      <c r="E1837" s="4"/>
      <c r="F1837" s="3" t="s">
        <v>128</v>
      </c>
      <c r="G1837" s="9"/>
      <c r="H1837" s="9"/>
      <c r="I1837" s="12"/>
      <c r="J1837" s="5" t="e">
        <f>SUM(SUMIFS(#REF!,#REF!,Planning[[#This Row],[Tipo de Tarea y especialidad]],#REF!,Planning[[#This Row],[Proyectos Reiwa]]),SUMIFS(#REF!,#REF!,Planning[[#This Row],[Tipo de Tarea y especialidad]],#REF!,Planning[[#This Row],[Proyectos]]))</f>
        <v>#REF!</v>
      </c>
      <c r="K1837" s="5" t="e">
        <f>Planning[[#This Row],[Horas Planificadas]]+Planning[[#This Row],[Horas ajustadas adicionales]]-Planning[[#This Row],[Horas utilizadas]]</f>
        <v>#REF!</v>
      </c>
      <c r="L1837" s="7"/>
      <c r="M1837" s="19" t="e">
        <f>Planning[[#This Row],[Saldo]]-Planning[[#This Row],[Saldo estimado]]</f>
        <v>#REF!</v>
      </c>
      <c r="N1837" s="60" t="e">
        <f>+SUMIFS(#REF!,#REF!,Planning[[#This Row],[Proyectos]],#REF!,Planning[[#This Row],[Tipo de Tarea y especialidad]])</f>
        <v>#REF!</v>
      </c>
      <c r="O1837" s="19">
        <f t="shared" si="56"/>
        <v>10</v>
      </c>
      <c r="P1837" s="19">
        <f t="shared" si="57"/>
        <v>2024</v>
      </c>
      <c r="Q18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37" s="19" t="str">
        <f>TEXT(Planning[[#This Row],[Mes]]*29,"mmmm")</f>
        <v>October</v>
      </c>
      <c r="S18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37" s="193"/>
      <c r="U1837" s="43">
        <f>IF(Planning[[#This Row],[Horas Planificadas]]&lt;&gt;0,+K1837/Planning[[#This Row],[Horas Planificadas]],0)</f>
        <v>0</v>
      </c>
      <c r="V1837" s="43">
        <f>IF(Planning[[#This Row],[Horas Planificadas]]&lt;&gt;0,Planning[[#This Row],[Horas utilizadas]]/Planning[[#This Row],[Horas Planificadas]],0)</f>
        <v>0</v>
      </c>
      <c r="W1837" s="44">
        <f>Planning[[#This Row],[Horas Planificadas]]+Planning[[#This Row],[Horas ajustadas adicionales]]</f>
        <v>0</v>
      </c>
      <c r="X1837" s="142"/>
    </row>
    <row r="1838" spans="1:24" x14ac:dyDescent="0.2">
      <c r="A1838" s="7"/>
      <c r="B1838" s="7" t="s">
        <v>178</v>
      </c>
      <c r="C1838" s="3"/>
      <c r="D1838" s="3" t="s">
        <v>422</v>
      </c>
      <c r="E1838" s="4" t="s">
        <v>31</v>
      </c>
      <c r="F1838" s="3" t="s">
        <v>31</v>
      </c>
      <c r="G1838" s="9">
        <v>14</v>
      </c>
      <c r="H1838" s="17">
        <v>14</v>
      </c>
      <c r="I1838" s="18"/>
      <c r="J1838" s="14" t="e">
        <f>+SUMIFS(#REF!,#REF!,Planning[[#This Row],[Tarifa]],#REF!,Planning[[#This Row],[Proyectos]])</f>
        <v>#REF!</v>
      </c>
      <c r="K1838" s="14" t="e">
        <f>Planning[[#This Row],[Horas Planificadas]]+Planning[[#This Row],[Horas ajustadas adicionales]]-Planning[[#This Row],[Horas utilizadas]]</f>
        <v>#REF!</v>
      </c>
      <c r="L1838" s="15">
        <v>0</v>
      </c>
      <c r="M1838" s="16" t="e">
        <f>Planning[[#This Row],[Saldo]]-Planning[[#This Row],[Saldo estimado]]</f>
        <v>#REF!</v>
      </c>
      <c r="N1838" s="60" t="e">
        <f>+SUMIFS(#REF!,#REF!,Planning[[#This Row],[Proyectos]],#REF!,Planning[[#This Row],[Tipo de Tarea y especialidad]])</f>
        <v>#REF!</v>
      </c>
      <c r="O1838" s="16">
        <f t="shared" si="56"/>
        <v>10</v>
      </c>
      <c r="P1838" s="16">
        <f t="shared" si="57"/>
        <v>2024</v>
      </c>
      <c r="Q1838" s="16" t="e">
        <f>+SUMIFS(#REF!,#REF!,Planning[[#This Row],[Tarifa]],#REF!,Planning[[#This Row],[Proyectos]],#REF!,Planning[[#This Row],[Mes]],#REF!,Planning[[#This Row],[Año]])</f>
        <v>#REF!</v>
      </c>
      <c r="R1838" s="16" t="str">
        <f>TEXT(Planning[[#This Row],[Mes]]*29,"mmmm")</f>
        <v>October</v>
      </c>
      <c r="S18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38" s="193"/>
      <c r="U1838" s="43" t="e">
        <f>IF(Planning[[#This Row],[Horas Planificadas]]&lt;&gt;0,+K1838/Planning[[#This Row],[Horas Planificadas]],0)</f>
        <v>#REF!</v>
      </c>
      <c r="V1838" s="43" t="e">
        <f>IF(Planning[[#This Row],[Horas Planificadas]]&lt;&gt;0,Planning[[#This Row],[Horas utilizadas]]/Planning[[#This Row],[Horas Planificadas]],0)</f>
        <v>#REF!</v>
      </c>
      <c r="W1838" s="44">
        <f>Planning[[#This Row],[Horas Planificadas]]+Planning[[#This Row],[Horas ajustadas adicionales]]</f>
        <v>14</v>
      </c>
      <c r="X1838" s="142"/>
    </row>
    <row r="1839" spans="1:24" ht="22.5" x14ac:dyDescent="0.2">
      <c r="A1839" s="7"/>
      <c r="B1839" s="7" t="s">
        <v>178</v>
      </c>
      <c r="C1839" s="3"/>
      <c r="D1839" s="3" t="s">
        <v>422</v>
      </c>
      <c r="E1839" s="4" t="s">
        <v>32</v>
      </c>
      <c r="F1839" s="3"/>
      <c r="G1839" s="9">
        <v>20</v>
      </c>
      <c r="H1839" s="14">
        <f>SUM(H1840:H1842)</f>
        <v>20</v>
      </c>
      <c r="I1839" s="14"/>
      <c r="J1839" s="14" t="e">
        <f>SUM(J1840:J1842)</f>
        <v>#REF!</v>
      </c>
      <c r="K1839" s="15" t="e">
        <f>SUM(K1840:K1842)</f>
        <v>#REF!</v>
      </c>
      <c r="L1839" s="15">
        <f>SUM(L1840:L1842)</f>
        <v>0</v>
      </c>
      <c r="M1839" s="16" t="e">
        <f>SUM(M1840:M1842)</f>
        <v>#REF!</v>
      </c>
      <c r="N1839" s="60" t="e">
        <f>+SUMIFS(#REF!,#REF!,Planning[[#This Row],[Proyectos]],#REF!,Planning[[#This Row],[Tipo de Tarea y especialidad]])</f>
        <v>#REF!</v>
      </c>
      <c r="O1839" s="16">
        <f t="shared" si="56"/>
        <v>10</v>
      </c>
      <c r="P1839" s="16">
        <f t="shared" si="57"/>
        <v>2024</v>
      </c>
      <c r="Q1839" s="16" t="e">
        <f>SUM(Q1840:Q1842)</f>
        <v>#REF!</v>
      </c>
      <c r="R1839" s="16" t="str">
        <f>TEXT(Planning[[#This Row],[Mes]]*29,"mmmm")</f>
        <v>October</v>
      </c>
      <c r="S18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39" s="193"/>
      <c r="U1839" s="43" t="e">
        <f>IF(Planning[[#This Row],[Horas Planificadas]]&lt;&gt;0,+K1839/Planning[[#This Row],[Horas Planificadas]],0)</f>
        <v>#REF!</v>
      </c>
      <c r="V1839" s="43" t="e">
        <f>IF(Planning[[#This Row],[Horas Planificadas]]&lt;&gt;0,Planning[[#This Row],[Horas utilizadas]]/Planning[[#This Row],[Horas Planificadas]],0)</f>
        <v>#REF!</v>
      </c>
      <c r="W1839" s="44">
        <f>Planning[[#This Row],[Horas Planificadas]]+Planning[[#This Row],[Horas ajustadas adicionales]]</f>
        <v>20</v>
      </c>
      <c r="X1839" s="142"/>
    </row>
    <row r="1840" spans="1:24" x14ac:dyDescent="0.2">
      <c r="A1840" s="7"/>
      <c r="B1840" s="7" t="s">
        <v>178</v>
      </c>
      <c r="C1840" s="3"/>
      <c r="D1840" s="3" t="s">
        <v>422</v>
      </c>
      <c r="E1840" s="4"/>
      <c r="F1840" s="3" t="s">
        <v>129</v>
      </c>
      <c r="G1840" s="9"/>
      <c r="H1840" s="9"/>
      <c r="I1840" s="12"/>
      <c r="J1840" s="5" t="e">
        <f>SUM(SUMIFS(#REF!,#REF!,Planning[[#This Row],[Tipo de Tarea y especialidad]],#REF!,Planning[[#This Row],[Proyectos Reiwa]]),SUMIFS(#REF!,#REF!,Planning[[#This Row],[Tipo de Tarea y especialidad]],#REF!,Planning[[#This Row],[Proyectos]]))</f>
        <v>#REF!</v>
      </c>
      <c r="K1840" s="5" t="e">
        <f>Planning[[#This Row],[Horas Planificadas]]+Planning[[#This Row],[Horas ajustadas adicionales]]-Planning[[#This Row],[Horas utilizadas]]</f>
        <v>#REF!</v>
      </c>
      <c r="L1840" s="7"/>
      <c r="M1840" s="19" t="e">
        <f>Planning[[#This Row],[Saldo]]-Planning[[#This Row],[Saldo estimado]]</f>
        <v>#REF!</v>
      </c>
      <c r="N1840" s="60" t="e">
        <f>+SUMIFS(#REF!,#REF!,Planning[[#This Row],[Proyectos]],#REF!,Planning[[#This Row],[Tipo de Tarea y especialidad]])</f>
        <v>#REF!</v>
      </c>
      <c r="O1840" s="19">
        <f t="shared" si="56"/>
        <v>10</v>
      </c>
      <c r="P1840" s="19">
        <f t="shared" si="57"/>
        <v>2024</v>
      </c>
      <c r="Q18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40" s="19" t="str">
        <f>TEXT(Planning[[#This Row],[Mes]]*29,"mmmm")</f>
        <v>October</v>
      </c>
      <c r="S18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40" s="193"/>
      <c r="U1840" s="43">
        <f>IF(Planning[[#This Row],[Horas Planificadas]]&lt;&gt;0,+K1840/Planning[[#This Row],[Horas Planificadas]],0)</f>
        <v>0</v>
      </c>
      <c r="V1840" s="43">
        <f>IF(Planning[[#This Row],[Horas Planificadas]]&lt;&gt;0,Planning[[#This Row],[Horas utilizadas]]/Planning[[#This Row],[Horas Planificadas]],0)</f>
        <v>0</v>
      </c>
      <c r="W1840" s="44">
        <f>Planning[[#This Row],[Horas Planificadas]]+Planning[[#This Row],[Horas ajustadas adicionales]]</f>
        <v>0</v>
      </c>
      <c r="X1840" s="142"/>
    </row>
    <row r="1841" spans="1:24" x14ac:dyDescent="0.2">
      <c r="A1841" s="7"/>
      <c r="B1841" s="7" t="s">
        <v>178</v>
      </c>
      <c r="C1841" s="3"/>
      <c r="D1841" s="3" t="s">
        <v>422</v>
      </c>
      <c r="E1841" s="4"/>
      <c r="F1841" s="3" t="s">
        <v>130</v>
      </c>
      <c r="G1841" s="9"/>
      <c r="H1841" s="9">
        <v>20</v>
      </c>
      <c r="I1841" s="12"/>
      <c r="J1841" s="5" t="e">
        <f>SUM(SUMIFS(#REF!,#REF!,Planning[[#This Row],[Tipo de Tarea y especialidad]],#REF!,Planning[[#This Row],[Proyectos Reiwa]]),SUMIFS(#REF!,#REF!,Planning[[#This Row],[Tipo de Tarea y especialidad]],#REF!,Planning[[#This Row],[Proyectos]]))</f>
        <v>#REF!</v>
      </c>
      <c r="K1841" s="5" t="e">
        <f>Planning[[#This Row],[Horas Planificadas]]+Planning[[#This Row],[Horas ajustadas adicionales]]-Planning[[#This Row],[Horas utilizadas]]</f>
        <v>#REF!</v>
      </c>
      <c r="L1841" s="7">
        <v>0</v>
      </c>
      <c r="M1841" s="19" t="e">
        <f>Planning[[#This Row],[Saldo]]-Planning[[#This Row],[Saldo estimado]]</f>
        <v>#REF!</v>
      </c>
      <c r="N1841" s="60" t="e">
        <f>+SUMIFS(#REF!,#REF!,Planning[[#This Row],[Proyectos]],#REF!,Planning[[#This Row],[Tipo de Tarea y especialidad]])</f>
        <v>#REF!</v>
      </c>
      <c r="O1841" s="19">
        <f t="shared" si="56"/>
        <v>10</v>
      </c>
      <c r="P1841" s="19">
        <f t="shared" si="57"/>
        <v>2024</v>
      </c>
      <c r="Q18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41" s="19" t="str">
        <f>TEXT(Planning[[#This Row],[Mes]]*29,"mmmm")</f>
        <v>October</v>
      </c>
      <c r="S18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41" s="193"/>
      <c r="U1841" s="43" t="e">
        <f>IF(Planning[[#This Row],[Horas Planificadas]]&lt;&gt;0,+K1841/Planning[[#This Row],[Horas Planificadas]],0)</f>
        <v>#REF!</v>
      </c>
      <c r="V1841" s="43" t="e">
        <f>IF(Planning[[#This Row],[Horas Planificadas]]&lt;&gt;0,Planning[[#This Row],[Horas utilizadas]]/Planning[[#This Row],[Horas Planificadas]],0)</f>
        <v>#REF!</v>
      </c>
      <c r="W1841" s="44">
        <f>Planning[[#This Row],[Horas Planificadas]]+Planning[[#This Row],[Horas ajustadas adicionales]]</f>
        <v>20</v>
      </c>
      <c r="X1841" s="142"/>
    </row>
    <row r="1842" spans="1:24" x14ac:dyDescent="0.2">
      <c r="A1842" s="7"/>
      <c r="B1842" s="7" t="s">
        <v>178</v>
      </c>
      <c r="C1842" s="3"/>
      <c r="D1842" s="3" t="s">
        <v>422</v>
      </c>
      <c r="E1842" s="4"/>
      <c r="F1842" s="3" t="s">
        <v>131</v>
      </c>
      <c r="G1842" s="9"/>
      <c r="H1842" s="9"/>
      <c r="I1842" s="12"/>
      <c r="J1842" s="5" t="e">
        <f>SUM(SUMIFS(#REF!,#REF!,Planning[[#This Row],[Tipo de Tarea y especialidad]],#REF!,Planning[[#This Row],[Proyectos Reiwa]]),SUMIFS(#REF!,#REF!,Planning[[#This Row],[Tipo de Tarea y especialidad]],#REF!,Planning[[#This Row],[Proyectos]]))</f>
        <v>#REF!</v>
      </c>
      <c r="K1842" s="5" t="e">
        <f>Planning[[#This Row],[Horas Planificadas]]+Planning[[#This Row],[Horas ajustadas adicionales]]-Planning[[#This Row],[Horas utilizadas]]</f>
        <v>#REF!</v>
      </c>
      <c r="L1842" s="7"/>
      <c r="M1842" s="19" t="e">
        <f>Planning[[#This Row],[Saldo]]-Planning[[#This Row],[Saldo estimado]]</f>
        <v>#REF!</v>
      </c>
      <c r="N1842" s="60" t="e">
        <f>+SUMIFS(#REF!,#REF!,Planning[[#This Row],[Proyectos]],#REF!,Planning[[#This Row],[Tipo de Tarea y especialidad]])</f>
        <v>#REF!</v>
      </c>
      <c r="O1842" s="19">
        <f t="shared" si="56"/>
        <v>10</v>
      </c>
      <c r="P1842" s="19">
        <f t="shared" si="57"/>
        <v>2024</v>
      </c>
      <c r="Q18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42" s="19" t="str">
        <f>TEXT(Planning[[#This Row],[Mes]]*29,"mmmm")</f>
        <v>October</v>
      </c>
      <c r="S18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42" s="193"/>
      <c r="U1842" s="43">
        <f>IF(Planning[[#This Row],[Horas Planificadas]]&lt;&gt;0,+K1842/Planning[[#This Row],[Horas Planificadas]],0)</f>
        <v>0</v>
      </c>
      <c r="V1842" s="43">
        <f>IF(Planning[[#This Row],[Horas Planificadas]]&lt;&gt;0,Planning[[#This Row],[Horas utilizadas]]/Planning[[#This Row],[Horas Planificadas]],0)</f>
        <v>0</v>
      </c>
      <c r="W1842" s="44">
        <f>Planning[[#This Row],[Horas Planificadas]]+Planning[[#This Row],[Horas ajustadas adicionales]]</f>
        <v>0</v>
      </c>
      <c r="X1842" s="142"/>
    </row>
    <row r="1843" spans="1:24" ht="22.5" x14ac:dyDescent="0.2">
      <c r="A1843" s="7" t="s">
        <v>168</v>
      </c>
      <c r="B1843" s="7" t="s">
        <v>169</v>
      </c>
      <c r="C1843" s="3"/>
      <c r="D1843" s="3" t="s">
        <v>424</v>
      </c>
      <c r="E1843" s="33" t="s">
        <v>28</v>
      </c>
      <c r="F1843" s="36"/>
      <c r="G1843" s="7">
        <v>1439</v>
      </c>
      <c r="H1843" s="24">
        <f>SUM(H1844:H1845)</f>
        <v>1531</v>
      </c>
      <c r="I1843" s="14"/>
      <c r="J1843" s="14" t="e">
        <f>SUM(J1844:J1845)</f>
        <v>#REF!</v>
      </c>
      <c r="K1843" s="18" t="e">
        <f>SUM(K1844:K1845)</f>
        <v>#REF!</v>
      </c>
      <c r="L1843" s="15">
        <f>SUM(L1844:L1845)</f>
        <v>18</v>
      </c>
      <c r="M1843" s="28" t="e">
        <f>SUM(M1844:M1845)</f>
        <v>#REF!</v>
      </c>
      <c r="N1843" s="61" t="e">
        <f>+SUMIFS(#REF!,#REF!,Planning[[#This Row],[Proyectos]],#REF!,Planning[[#This Row],[Tipo de Tarea y especialidad]])</f>
        <v>#REF!</v>
      </c>
      <c r="O1843" s="28">
        <f t="shared" si="56"/>
        <v>10</v>
      </c>
      <c r="P1843" s="28">
        <f t="shared" si="57"/>
        <v>2024</v>
      </c>
      <c r="Q1843" s="28" t="e">
        <f>SUM(Q1844:Q1845)</f>
        <v>#REF!</v>
      </c>
      <c r="R1843" s="28" t="str">
        <f>TEXT(Planning[[#This Row],[Mes]]*29,"mmmm")</f>
        <v>October</v>
      </c>
      <c r="S18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43" s="192" t="s">
        <v>425</v>
      </c>
      <c r="U1843" s="43" t="e">
        <f>IF(Planning[[#This Row],[Horas Planificadas]]&lt;&gt;0,+K1843/Planning[[#This Row],[Horas Planificadas]],0)</f>
        <v>#REF!</v>
      </c>
      <c r="V1843" s="43" t="e">
        <f>IF(Planning[[#This Row],[Horas Planificadas]]&lt;&gt;0,Planning[[#This Row],[Horas utilizadas]]/Planning[[#This Row],[Horas Planificadas]],0)</f>
        <v>#REF!</v>
      </c>
      <c r="W1843" s="44">
        <f>Planning[[#This Row],[Horas Planificadas]]+Planning[[#This Row],[Horas ajustadas adicionales]]</f>
        <v>1531</v>
      </c>
      <c r="X1843" s="142"/>
    </row>
    <row r="1844" spans="1:24" x14ac:dyDescent="0.2">
      <c r="A1844" s="7" t="s">
        <v>168</v>
      </c>
      <c r="B1844" s="7" t="s">
        <v>169</v>
      </c>
      <c r="C1844" s="3"/>
      <c r="D1844" s="3" t="s">
        <v>424</v>
      </c>
      <c r="E1844" s="33"/>
      <c r="F1844" s="36" t="s">
        <v>120</v>
      </c>
      <c r="G1844" s="7"/>
      <c r="H1844" s="7">
        <v>1000</v>
      </c>
      <c r="I1844" s="12"/>
      <c r="J1844" s="5" t="e">
        <f>SUM(SUMIFS(#REF!,#REF!,Planning[[#This Row],[Tipo de Tarea y especialidad]],#REF!,Planning[[#This Row],[Proyectos Reiwa]]),SUMIFS(#REF!,#REF!,Planning[[#This Row],[Tipo de Tarea y especialidad]],#REF!,Planning[[#This Row],[Proyectos]]))</f>
        <v>#REF!</v>
      </c>
      <c r="K1844" s="5" t="e">
        <f>Planning[[#This Row],[Horas Planificadas]]+Planning[[#This Row],[Horas ajustadas adicionales]]-Planning[[#This Row],[Horas utilizadas]]</f>
        <v>#REF!</v>
      </c>
      <c r="L1844" s="7">
        <v>0</v>
      </c>
      <c r="M1844" s="19" t="e">
        <f>Planning[[#This Row],[Saldo]]-Planning[[#This Row],[Saldo estimado]]</f>
        <v>#REF!</v>
      </c>
      <c r="N1844" s="60" t="e">
        <f>+SUMIFS(#REF!,#REF!,Planning[[#This Row],[Proyectos]],#REF!,Planning[[#This Row],[Tipo de Tarea y especialidad]])</f>
        <v>#REF!</v>
      </c>
      <c r="O1844" s="19">
        <f t="shared" si="56"/>
        <v>10</v>
      </c>
      <c r="P1844" s="19">
        <f t="shared" si="57"/>
        <v>2024</v>
      </c>
      <c r="Q18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44" s="19" t="str">
        <f>TEXT(Planning[[#This Row],[Mes]]*29,"mmmm")</f>
        <v>October</v>
      </c>
      <c r="S18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44" s="193"/>
      <c r="U1844" s="43" t="e">
        <f>IF(Planning[[#This Row],[Horas Planificadas]]&lt;&gt;0,+K1844/Planning[[#This Row],[Horas Planificadas]],0)</f>
        <v>#REF!</v>
      </c>
      <c r="V1844" s="43" t="e">
        <f>IF(Planning[[#This Row],[Horas Planificadas]]&lt;&gt;0,Planning[[#This Row],[Horas utilizadas]]/Planning[[#This Row],[Horas Planificadas]],0)</f>
        <v>#REF!</v>
      </c>
      <c r="W1844" s="44">
        <f>Planning[[#This Row],[Horas Planificadas]]+Planning[[#This Row],[Horas ajustadas adicionales]]</f>
        <v>1000</v>
      </c>
      <c r="X1844" s="142"/>
    </row>
    <row r="1845" spans="1:24" x14ac:dyDescent="0.2">
      <c r="A1845" s="7" t="s">
        <v>168</v>
      </c>
      <c r="B1845" s="7" t="s">
        <v>169</v>
      </c>
      <c r="C1845" s="3"/>
      <c r="D1845" s="3" t="s">
        <v>424</v>
      </c>
      <c r="E1845" s="33"/>
      <c r="F1845" s="36" t="s">
        <v>121</v>
      </c>
      <c r="G1845" s="7"/>
      <c r="H1845" s="7">
        <v>531</v>
      </c>
      <c r="I1845" s="12"/>
      <c r="J1845" s="5" t="e">
        <f>SUM(SUMIFS(#REF!,#REF!,Planning[[#This Row],[Tipo de Tarea y especialidad]],#REF!,Planning[[#This Row],[Proyectos Reiwa]]),SUMIFS(#REF!,#REF!,Planning[[#This Row],[Tipo de Tarea y especialidad]],#REF!,Planning[[#This Row],[Proyectos]]))</f>
        <v>#REF!</v>
      </c>
      <c r="K1845" s="5" t="e">
        <f>Planning[[#This Row],[Horas Planificadas]]+Planning[[#This Row],[Horas ajustadas adicionales]]-Planning[[#This Row],[Horas utilizadas]]</f>
        <v>#REF!</v>
      </c>
      <c r="L1845" s="7">
        <v>18</v>
      </c>
      <c r="M1845" s="19" t="e">
        <f>Planning[[#This Row],[Saldo]]-Planning[[#This Row],[Saldo estimado]]</f>
        <v>#REF!</v>
      </c>
      <c r="N1845" s="60" t="e">
        <f>+SUMIFS(#REF!,#REF!,Planning[[#This Row],[Proyectos]],#REF!,Planning[[#This Row],[Tipo de Tarea y especialidad]])</f>
        <v>#REF!</v>
      </c>
      <c r="O1845" s="19">
        <f t="shared" si="56"/>
        <v>10</v>
      </c>
      <c r="P1845" s="19">
        <f t="shared" si="57"/>
        <v>2024</v>
      </c>
      <c r="Q18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45" s="19" t="str">
        <f>TEXT(Planning[[#This Row],[Mes]]*29,"mmmm")</f>
        <v>October</v>
      </c>
      <c r="S18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45" s="193"/>
      <c r="U1845" s="43" t="e">
        <f>IF(Planning[[#This Row],[Horas Planificadas]]&lt;&gt;0,+K1845/Planning[[#This Row],[Horas Planificadas]],0)</f>
        <v>#REF!</v>
      </c>
      <c r="V1845" s="43" t="e">
        <f>IF(Planning[[#This Row],[Horas Planificadas]]&lt;&gt;0,Planning[[#This Row],[Horas utilizadas]]/Planning[[#This Row],[Horas Planificadas]],0)</f>
        <v>#REF!</v>
      </c>
      <c r="W1845" s="44">
        <f>Planning[[#This Row],[Horas Planificadas]]+Planning[[#This Row],[Horas ajustadas adicionales]]</f>
        <v>531</v>
      </c>
      <c r="X1845" s="142"/>
    </row>
    <row r="1846" spans="1:24" x14ac:dyDescent="0.2">
      <c r="A1846" s="7" t="s">
        <v>168</v>
      </c>
      <c r="B1846" s="7" t="s">
        <v>169</v>
      </c>
      <c r="C1846" s="3"/>
      <c r="D1846" s="3" t="s">
        <v>424</v>
      </c>
      <c r="E1846" s="33" t="s">
        <v>30</v>
      </c>
      <c r="F1846" s="36"/>
      <c r="G1846" s="7">
        <v>1305</v>
      </c>
      <c r="H1846" s="24">
        <f>SUM(H1847:H1853)</f>
        <v>1305</v>
      </c>
      <c r="I1846" s="14"/>
      <c r="J1846" s="14" t="e">
        <f>SUM(J1847:J1853)</f>
        <v>#REF!</v>
      </c>
      <c r="K1846" s="18" t="e">
        <f>SUM(K1847:K1853)</f>
        <v>#REF!</v>
      </c>
      <c r="L1846" s="15">
        <f>SUM(L1847:L1853)</f>
        <v>0</v>
      </c>
      <c r="M1846" s="16" t="e">
        <f>SUM(M1847:M1853)</f>
        <v>#REF!</v>
      </c>
      <c r="N1846" s="60" t="e">
        <f>+SUMIFS(#REF!,#REF!,Planning[[#This Row],[Proyectos]],#REF!,Planning[[#This Row],[Tipo de Tarea y especialidad]])</f>
        <v>#REF!</v>
      </c>
      <c r="O1846" s="16">
        <f t="shared" si="56"/>
        <v>10</v>
      </c>
      <c r="P1846" s="16">
        <f t="shared" si="57"/>
        <v>2024</v>
      </c>
      <c r="Q1846" s="16" t="e">
        <f>SUM(Q1847:Q1853)</f>
        <v>#REF!</v>
      </c>
      <c r="R1846" s="16" t="str">
        <f>TEXT(Planning[[#This Row],[Mes]]*29,"mmmm")</f>
        <v>October</v>
      </c>
      <c r="S18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46" s="193"/>
      <c r="U1846" s="43" t="e">
        <f>IF(Planning[[#This Row],[Horas Planificadas]]&lt;&gt;0,+K1846/Planning[[#This Row],[Horas Planificadas]],0)</f>
        <v>#REF!</v>
      </c>
      <c r="V1846" s="43" t="e">
        <f>IF(Planning[[#This Row],[Horas Planificadas]]&lt;&gt;0,Planning[[#This Row],[Horas utilizadas]]/Planning[[#This Row],[Horas Planificadas]],0)</f>
        <v>#REF!</v>
      </c>
      <c r="W1846" s="44">
        <f>Planning[[#This Row],[Horas Planificadas]]+Planning[[#This Row],[Horas ajustadas adicionales]]</f>
        <v>1305</v>
      </c>
      <c r="X1846" s="142"/>
    </row>
    <row r="1847" spans="1:24" x14ac:dyDescent="0.2">
      <c r="A1847" s="7" t="s">
        <v>168</v>
      </c>
      <c r="B1847" s="7" t="s">
        <v>169</v>
      </c>
      <c r="C1847" s="3"/>
      <c r="D1847" s="3" t="s">
        <v>424</v>
      </c>
      <c r="E1847" s="33"/>
      <c r="F1847" s="36" t="s">
        <v>122</v>
      </c>
      <c r="G1847" s="7"/>
      <c r="H1847" s="7">
        <v>276</v>
      </c>
      <c r="I1847" s="12"/>
      <c r="J1847" s="5" t="e">
        <f>SUM(SUMIFS(#REF!,#REF!,Planning[[#This Row],[Tipo de Tarea y especialidad]],#REF!,Planning[[#This Row],[Proyectos Reiwa]]),SUMIFS(#REF!,#REF!,Planning[[#This Row],[Tipo de Tarea y especialidad]],#REF!,Planning[[#This Row],[Proyectos]]))</f>
        <v>#REF!</v>
      </c>
      <c r="K1847" s="5" t="e">
        <f>Planning[[#This Row],[Horas Planificadas]]+Planning[[#This Row],[Horas ajustadas adicionales]]-Planning[[#This Row],[Horas utilizadas]]</f>
        <v>#REF!</v>
      </c>
      <c r="L1847" s="7">
        <v>0</v>
      </c>
      <c r="M1847" s="19" t="e">
        <f>Planning[[#This Row],[Saldo]]-Planning[[#This Row],[Saldo estimado]]</f>
        <v>#REF!</v>
      </c>
      <c r="N1847" s="60" t="e">
        <f>+SUMIFS(#REF!,#REF!,Planning[[#This Row],[Proyectos]],#REF!,Planning[[#This Row],[Tipo de Tarea y especialidad]])</f>
        <v>#REF!</v>
      </c>
      <c r="O1847" s="19">
        <f t="shared" si="56"/>
        <v>10</v>
      </c>
      <c r="P1847" s="19">
        <f t="shared" si="57"/>
        <v>2024</v>
      </c>
      <c r="Q18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47" s="19" t="str">
        <f>TEXT(Planning[[#This Row],[Mes]]*29,"mmmm")</f>
        <v>October</v>
      </c>
      <c r="S18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47" s="193"/>
      <c r="U1847" s="43" t="e">
        <f>IF(Planning[[#This Row],[Horas Planificadas]]&lt;&gt;0,+K1847/Planning[[#This Row],[Horas Planificadas]],0)</f>
        <v>#REF!</v>
      </c>
      <c r="V1847" s="43" t="e">
        <f>IF(Planning[[#This Row],[Horas Planificadas]]&lt;&gt;0,Planning[[#This Row],[Horas utilizadas]]/Planning[[#This Row],[Horas Planificadas]],0)</f>
        <v>#REF!</v>
      </c>
      <c r="W1847" s="44">
        <f>Planning[[#This Row],[Horas Planificadas]]+Planning[[#This Row],[Horas ajustadas adicionales]]</f>
        <v>276</v>
      </c>
      <c r="X1847" s="142"/>
    </row>
    <row r="1848" spans="1:24" x14ac:dyDescent="0.2">
      <c r="A1848" s="7" t="s">
        <v>168</v>
      </c>
      <c r="B1848" s="7" t="s">
        <v>169</v>
      </c>
      <c r="C1848" s="3"/>
      <c r="D1848" s="3" t="s">
        <v>424</v>
      </c>
      <c r="E1848" s="33"/>
      <c r="F1848" s="36" t="s">
        <v>123</v>
      </c>
      <c r="G1848" s="7"/>
      <c r="H1848" s="7">
        <v>302</v>
      </c>
      <c r="I1848" s="12"/>
      <c r="J1848" s="5" t="e">
        <f>SUM(SUMIFS(#REF!,#REF!,Planning[[#This Row],[Tipo de Tarea y especialidad]],#REF!,Planning[[#This Row],[Proyectos Reiwa]]),SUMIFS(#REF!,#REF!,Planning[[#This Row],[Tipo de Tarea y especialidad]],#REF!,Planning[[#This Row],[Proyectos]]))</f>
        <v>#REF!</v>
      </c>
      <c r="K1848" s="5" t="e">
        <f>Planning[[#This Row],[Horas Planificadas]]+Planning[[#This Row],[Horas ajustadas adicionales]]-Planning[[#This Row],[Horas utilizadas]]</f>
        <v>#REF!</v>
      </c>
      <c r="L1848" s="7">
        <v>0</v>
      </c>
      <c r="M1848" s="19" t="e">
        <f>Planning[[#This Row],[Saldo]]-Planning[[#This Row],[Saldo estimado]]</f>
        <v>#REF!</v>
      </c>
      <c r="N1848" s="60" t="e">
        <f>+SUMIFS(#REF!,#REF!,Planning[[#This Row],[Proyectos]],#REF!,Planning[[#This Row],[Tipo de Tarea y especialidad]])</f>
        <v>#REF!</v>
      </c>
      <c r="O1848" s="19">
        <f t="shared" si="56"/>
        <v>10</v>
      </c>
      <c r="P1848" s="19">
        <f t="shared" si="57"/>
        <v>2024</v>
      </c>
      <c r="Q18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48" s="19" t="str">
        <f>TEXT(Planning[[#This Row],[Mes]]*29,"mmmm")</f>
        <v>October</v>
      </c>
      <c r="S18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48" s="193"/>
      <c r="U1848" s="43" t="e">
        <f>IF(Planning[[#This Row],[Horas Planificadas]]&lt;&gt;0,+K1848/Planning[[#This Row],[Horas Planificadas]],0)</f>
        <v>#REF!</v>
      </c>
      <c r="V1848" s="43" t="e">
        <f>IF(Planning[[#This Row],[Horas Planificadas]]&lt;&gt;0,Planning[[#This Row],[Horas utilizadas]]/Planning[[#This Row],[Horas Planificadas]],0)</f>
        <v>#REF!</v>
      </c>
      <c r="W1848" s="44">
        <f>Planning[[#This Row],[Horas Planificadas]]+Planning[[#This Row],[Horas ajustadas adicionales]]</f>
        <v>302</v>
      </c>
      <c r="X1848" s="142"/>
    </row>
    <row r="1849" spans="1:24" x14ac:dyDescent="0.2">
      <c r="A1849" s="7" t="s">
        <v>168</v>
      </c>
      <c r="B1849" s="7" t="s">
        <v>169</v>
      </c>
      <c r="C1849" s="3"/>
      <c r="D1849" s="3" t="s">
        <v>424</v>
      </c>
      <c r="E1849" s="33"/>
      <c r="F1849" s="36" t="s">
        <v>124</v>
      </c>
      <c r="G1849" s="7"/>
      <c r="H1849" s="7"/>
      <c r="I1849" s="12"/>
      <c r="J1849" s="5" t="e">
        <f>SUM(SUMIFS(#REF!,#REF!,Planning[[#This Row],[Tipo de Tarea y especialidad]],#REF!,Planning[[#This Row],[Proyectos Reiwa]]),SUMIFS(#REF!,#REF!,Planning[[#This Row],[Tipo de Tarea y especialidad]],#REF!,Planning[[#This Row],[Proyectos]]))</f>
        <v>#REF!</v>
      </c>
      <c r="K1849" s="5" t="e">
        <f>Planning[[#This Row],[Horas Planificadas]]+Planning[[#This Row],[Horas ajustadas adicionales]]-Planning[[#This Row],[Horas utilizadas]]</f>
        <v>#REF!</v>
      </c>
      <c r="L1849" s="7">
        <v>0</v>
      </c>
      <c r="M1849" s="19" t="e">
        <f>Planning[[#This Row],[Saldo]]-Planning[[#This Row],[Saldo estimado]]</f>
        <v>#REF!</v>
      </c>
      <c r="N1849" s="60" t="e">
        <f>+SUMIFS(#REF!,#REF!,Planning[[#This Row],[Proyectos]],#REF!,Planning[[#This Row],[Tipo de Tarea y especialidad]])</f>
        <v>#REF!</v>
      </c>
      <c r="O1849" s="19">
        <f t="shared" si="56"/>
        <v>10</v>
      </c>
      <c r="P1849" s="19">
        <f t="shared" si="57"/>
        <v>2024</v>
      </c>
      <c r="Q18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49" s="19" t="str">
        <f>TEXT(Planning[[#This Row],[Mes]]*29,"mmmm")</f>
        <v>October</v>
      </c>
      <c r="S18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49" s="193"/>
      <c r="U1849" s="43">
        <f>IF(Planning[[#This Row],[Horas Planificadas]]&lt;&gt;0,+K1849/Planning[[#This Row],[Horas Planificadas]],0)</f>
        <v>0</v>
      </c>
      <c r="V1849" s="43">
        <f>IF(Planning[[#This Row],[Horas Planificadas]]&lt;&gt;0,Planning[[#This Row],[Horas utilizadas]]/Planning[[#This Row],[Horas Planificadas]],0)</f>
        <v>0</v>
      </c>
      <c r="W1849" s="44">
        <f>Planning[[#This Row],[Horas Planificadas]]+Planning[[#This Row],[Horas ajustadas adicionales]]</f>
        <v>0</v>
      </c>
      <c r="X1849" s="142"/>
    </row>
    <row r="1850" spans="1:24" x14ac:dyDescent="0.2">
      <c r="A1850" s="7" t="s">
        <v>168</v>
      </c>
      <c r="B1850" s="7" t="s">
        <v>169</v>
      </c>
      <c r="C1850" s="3"/>
      <c r="D1850" s="3" t="s">
        <v>424</v>
      </c>
      <c r="E1850" s="33"/>
      <c r="F1850" s="36" t="s">
        <v>125</v>
      </c>
      <c r="G1850" s="7"/>
      <c r="H1850" s="7">
        <v>411</v>
      </c>
      <c r="I1850" s="12"/>
      <c r="J1850" s="5" t="e">
        <f>SUM(SUMIFS(#REF!,#REF!,Planning[[#This Row],[Tipo de Tarea y especialidad]],#REF!,Planning[[#This Row],[Proyectos Reiwa]]),SUMIFS(#REF!,#REF!,Planning[[#This Row],[Tipo de Tarea y especialidad]],#REF!,Planning[[#This Row],[Proyectos]]))</f>
        <v>#REF!</v>
      </c>
      <c r="K1850" s="5" t="e">
        <f>Planning[[#This Row],[Horas Planificadas]]+Planning[[#This Row],[Horas ajustadas adicionales]]-Planning[[#This Row],[Horas utilizadas]]</f>
        <v>#REF!</v>
      </c>
      <c r="L1850" s="7">
        <v>0</v>
      </c>
      <c r="M1850" s="19" t="e">
        <f>Planning[[#This Row],[Saldo]]-Planning[[#This Row],[Saldo estimado]]</f>
        <v>#REF!</v>
      </c>
      <c r="N1850" s="60" t="e">
        <f>+SUMIFS(#REF!,#REF!,Planning[[#This Row],[Proyectos]],#REF!,Planning[[#This Row],[Tipo de Tarea y especialidad]])</f>
        <v>#REF!</v>
      </c>
      <c r="O1850" s="19">
        <f t="shared" si="56"/>
        <v>10</v>
      </c>
      <c r="P1850" s="19">
        <f t="shared" si="57"/>
        <v>2024</v>
      </c>
      <c r="Q18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50" s="19" t="str">
        <f>TEXT(Planning[[#This Row],[Mes]]*29,"mmmm")</f>
        <v>October</v>
      </c>
      <c r="S18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50" s="193"/>
      <c r="U1850" s="43" t="e">
        <f>IF(Planning[[#This Row],[Horas Planificadas]]&lt;&gt;0,+K1850/Planning[[#This Row],[Horas Planificadas]],0)</f>
        <v>#REF!</v>
      </c>
      <c r="V1850" s="43" t="e">
        <f>IF(Planning[[#This Row],[Horas Planificadas]]&lt;&gt;0,Planning[[#This Row],[Horas utilizadas]]/Planning[[#This Row],[Horas Planificadas]],0)</f>
        <v>#REF!</v>
      </c>
      <c r="W1850" s="44">
        <f>Planning[[#This Row],[Horas Planificadas]]+Planning[[#This Row],[Horas ajustadas adicionales]]</f>
        <v>411</v>
      </c>
      <c r="X1850" s="142"/>
    </row>
    <row r="1851" spans="1:24" x14ac:dyDescent="0.2">
      <c r="A1851" s="7" t="s">
        <v>168</v>
      </c>
      <c r="B1851" s="7" t="s">
        <v>169</v>
      </c>
      <c r="C1851" s="3"/>
      <c r="D1851" s="3" t="s">
        <v>424</v>
      </c>
      <c r="E1851" s="4"/>
      <c r="F1851" s="3" t="s">
        <v>126</v>
      </c>
      <c r="G1851" s="9"/>
      <c r="H1851" s="12">
        <v>274</v>
      </c>
      <c r="I1851" s="12"/>
      <c r="J1851" s="5" t="e">
        <f>SUM(SUMIFS(#REF!,#REF!,Planning[[#This Row],[Tipo de Tarea y especialidad]],#REF!,Planning[[#This Row],[Proyectos Reiwa]]),SUMIFS(#REF!,#REF!,Planning[[#This Row],[Tipo de Tarea y especialidad]],#REF!,Planning[[#This Row],[Proyectos]]))</f>
        <v>#REF!</v>
      </c>
      <c r="K1851" s="27" t="e">
        <f>Planning[[#This Row],[Horas Planificadas]]+Planning[[#This Row],[Horas ajustadas adicionales]]-Planning[[#This Row],[Horas utilizadas]]</f>
        <v>#REF!</v>
      </c>
      <c r="L1851" s="7">
        <v>0</v>
      </c>
      <c r="M1851" s="34" t="e">
        <f>Planning[[#This Row],[Saldo]]-Planning[[#This Row],[Saldo estimado]]</f>
        <v>#REF!</v>
      </c>
      <c r="N1851" s="62" t="e">
        <f>+SUMIFS(#REF!,#REF!,Planning[[#This Row],[Proyectos]],#REF!,Planning[[#This Row],[Tipo de Tarea y especialidad]])</f>
        <v>#REF!</v>
      </c>
      <c r="O1851" s="34">
        <f t="shared" si="56"/>
        <v>10</v>
      </c>
      <c r="P1851" s="34">
        <f t="shared" si="57"/>
        <v>2024</v>
      </c>
      <c r="Q18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51" s="19" t="str">
        <f>TEXT(Planning[[#This Row],[Mes]]*29,"mmmm")</f>
        <v>October</v>
      </c>
      <c r="S18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51" s="193"/>
      <c r="U1851" s="43" t="e">
        <f>IF(Planning[[#This Row],[Horas Planificadas]]&lt;&gt;0,+K1851/Planning[[#This Row],[Horas Planificadas]],0)</f>
        <v>#REF!</v>
      </c>
      <c r="V1851" s="43" t="e">
        <f>IF(Planning[[#This Row],[Horas Planificadas]]&lt;&gt;0,Planning[[#This Row],[Horas utilizadas]]/Planning[[#This Row],[Horas Planificadas]],0)</f>
        <v>#REF!</v>
      </c>
      <c r="W1851" s="44">
        <f>Planning[[#This Row],[Horas Planificadas]]+Planning[[#This Row],[Horas ajustadas adicionales]]</f>
        <v>274</v>
      </c>
      <c r="X1851" s="142"/>
    </row>
    <row r="1852" spans="1:24" x14ac:dyDescent="0.2">
      <c r="A1852" s="7" t="s">
        <v>168</v>
      </c>
      <c r="B1852" s="7" t="s">
        <v>169</v>
      </c>
      <c r="C1852" s="3"/>
      <c r="D1852" s="3" t="s">
        <v>424</v>
      </c>
      <c r="E1852" s="4"/>
      <c r="F1852" s="3" t="s">
        <v>127</v>
      </c>
      <c r="G1852" s="9"/>
      <c r="H1852" s="9">
        <v>42</v>
      </c>
      <c r="I1852" s="12"/>
      <c r="J1852" s="5" t="e">
        <f>SUM(SUMIFS(#REF!,#REF!,Planning[[#This Row],[Tipo de Tarea y especialidad]],#REF!,Planning[[#This Row],[Proyectos Reiwa]]),SUMIFS(#REF!,#REF!,Planning[[#This Row],[Tipo de Tarea y especialidad]],#REF!,Planning[[#This Row],[Proyectos]]))</f>
        <v>#REF!</v>
      </c>
      <c r="K1852" s="5" t="e">
        <f>Planning[[#This Row],[Horas Planificadas]]+Planning[[#This Row],[Horas ajustadas adicionales]]-Planning[[#This Row],[Horas utilizadas]]</f>
        <v>#REF!</v>
      </c>
      <c r="L1852" s="7">
        <v>0</v>
      </c>
      <c r="M1852" s="19" t="e">
        <f>Planning[[#This Row],[Saldo]]-Planning[[#This Row],[Saldo estimado]]</f>
        <v>#REF!</v>
      </c>
      <c r="N1852" s="60" t="e">
        <f>+SUMIFS(#REF!,#REF!,Planning[[#This Row],[Proyectos]],#REF!,Planning[[#This Row],[Tipo de Tarea y especialidad]])</f>
        <v>#REF!</v>
      </c>
      <c r="O1852" s="19">
        <f t="shared" si="56"/>
        <v>10</v>
      </c>
      <c r="P1852" s="19">
        <f t="shared" si="57"/>
        <v>2024</v>
      </c>
      <c r="Q18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52" s="19" t="str">
        <f>TEXT(Planning[[#This Row],[Mes]]*29,"mmmm")</f>
        <v>October</v>
      </c>
      <c r="S18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52" s="193"/>
      <c r="U1852" s="43" t="e">
        <f>IF(Planning[[#This Row],[Horas Planificadas]]&lt;&gt;0,+K1852/Planning[[#This Row],[Horas Planificadas]],0)</f>
        <v>#REF!</v>
      </c>
      <c r="V1852" s="43" t="e">
        <f>IF(Planning[[#This Row],[Horas Planificadas]]&lt;&gt;0,Planning[[#This Row],[Horas utilizadas]]/Planning[[#This Row],[Horas Planificadas]],0)</f>
        <v>#REF!</v>
      </c>
      <c r="W1852" s="44">
        <f>Planning[[#This Row],[Horas Planificadas]]+Planning[[#This Row],[Horas ajustadas adicionales]]</f>
        <v>42</v>
      </c>
      <c r="X1852" s="142"/>
    </row>
    <row r="1853" spans="1:24" x14ac:dyDescent="0.2">
      <c r="A1853" s="7" t="s">
        <v>168</v>
      </c>
      <c r="B1853" s="7" t="s">
        <v>169</v>
      </c>
      <c r="C1853" s="3"/>
      <c r="D1853" s="3" t="s">
        <v>424</v>
      </c>
      <c r="E1853" s="4"/>
      <c r="F1853" s="3" t="s">
        <v>128</v>
      </c>
      <c r="G1853" s="9"/>
      <c r="H1853" s="9"/>
      <c r="I1853" s="12"/>
      <c r="J1853" s="5" t="e">
        <f>SUM(SUMIFS(#REF!,#REF!,Planning[[#This Row],[Tipo de Tarea y especialidad]],#REF!,Planning[[#This Row],[Proyectos Reiwa]]),SUMIFS(#REF!,#REF!,Planning[[#This Row],[Tipo de Tarea y especialidad]],#REF!,Planning[[#This Row],[Proyectos]]))</f>
        <v>#REF!</v>
      </c>
      <c r="K1853" s="5" t="e">
        <f>Planning[[#This Row],[Horas Planificadas]]+Planning[[#This Row],[Horas ajustadas adicionales]]-Planning[[#This Row],[Horas utilizadas]]</f>
        <v>#REF!</v>
      </c>
      <c r="L1853" s="7">
        <v>0</v>
      </c>
      <c r="M1853" s="19" t="e">
        <f>Planning[[#This Row],[Saldo]]-Planning[[#This Row],[Saldo estimado]]</f>
        <v>#REF!</v>
      </c>
      <c r="N1853" s="60" t="e">
        <f>+SUMIFS(#REF!,#REF!,Planning[[#This Row],[Proyectos]],#REF!,Planning[[#This Row],[Tipo de Tarea y especialidad]])</f>
        <v>#REF!</v>
      </c>
      <c r="O1853" s="19">
        <f t="shared" si="56"/>
        <v>10</v>
      </c>
      <c r="P1853" s="19">
        <f t="shared" si="57"/>
        <v>2024</v>
      </c>
      <c r="Q18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53" s="19" t="str">
        <f>TEXT(Planning[[#This Row],[Mes]]*29,"mmmm")</f>
        <v>October</v>
      </c>
      <c r="S18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53" s="193"/>
      <c r="U1853" s="43">
        <f>IF(Planning[[#This Row],[Horas Planificadas]]&lt;&gt;0,+K1853/Planning[[#This Row],[Horas Planificadas]],0)</f>
        <v>0</v>
      </c>
      <c r="V1853" s="43">
        <f>IF(Planning[[#This Row],[Horas Planificadas]]&lt;&gt;0,Planning[[#This Row],[Horas utilizadas]]/Planning[[#This Row],[Horas Planificadas]],0)</f>
        <v>0</v>
      </c>
      <c r="W1853" s="44">
        <f>Planning[[#This Row],[Horas Planificadas]]+Planning[[#This Row],[Horas ajustadas adicionales]]</f>
        <v>0</v>
      </c>
      <c r="X1853" s="142"/>
    </row>
    <row r="1854" spans="1:24" x14ac:dyDescent="0.2">
      <c r="A1854" s="7" t="s">
        <v>168</v>
      </c>
      <c r="B1854" s="7" t="s">
        <v>169</v>
      </c>
      <c r="C1854" s="3"/>
      <c r="D1854" s="3" t="s">
        <v>424</v>
      </c>
      <c r="E1854" s="4" t="s">
        <v>31</v>
      </c>
      <c r="F1854" s="3" t="s">
        <v>31</v>
      </c>
      <c r="G1854" s="9">
        <v>390</v>
      </c>
      <c r="H1854" s="18">
        <v>390</v>
      </c>
      <c r="I1854" s="18"/>
      <c r="J1854" s="14" t="e">
        <f>+SUMIFS(#REF!,#REF!,Planning[[#This Row],[Tarifa]],#REF!,Planning[[#This Row],[Proyectos]])</f>
        <v>#REF!</v>
      </c>
      <c r="K1854" s="24" t="e">
        <f>Planning[[#This Row],[Horas Planificadas]]+Planning[[#This Row],[Horas ajustadas adicionales]]-Planning[[#This Row],[Horas utilizadas]]</f>
        <v>#REF!</v>
      </c>
      <c r="L1854" s="15">
        <v>0</v>
      </c>
      <c r="M1854" s="16" t="e">
        <f>Planning[[#This Row],[Saldo]]-Planning[[#This Row],[Saldo estimado]]</f>
        <v>#REF!</v>
      </c>
      <c r="N1854" s="60" t="e">
        <f>+SUMIFS(#REF!,#REF!,Planning[[#This Row],[Proyectos]],#REF!,Planning[[#This Row],[Tipo de Tarea y especialidad]])</f>
        <v>#REF!</v>
      </c>
      <c r="O1854" s="16">
        <f t="shared" si="56"/>
        <v>10</v>
      </c>
      <c r="P1854" s="16">
        <f t="shared" si="57"/>
        <v>2024</v>
      </c>
      <c r="Q1854" s="16" t="e">
        <f>+SUMIFS(#REF!,#REF!,Planning[[#This Row],[Tarifa]],#REF!,Planning[[#This Row],[Proyectos]],#REF!,Planning[[#This Row],[Mes]],#REF!,Planning[[#This Row],[Año]])</f>
        <v>#REF!</v>
      </c>
      <c r="R1854" s="16" t="str">
        <f>TEXT(Planning[[#This Row],[Mes]]*29,"mmmm")</f>
        <v>October</v>
      </c>
      <c r="S18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54" s="193"/>
      <c r="U1854" s="43" t="e">
        <f>IF(Planning[[#This Row],[Horas Planificadas]]&lt;&gt;0,+K1854/Planning[[#This Row],[Horas Planificadas]],0)</f>
        <v>#REF!</v>
      </c>
      <c r="V1854" s="43" t="e">
        <f>IF(Planning[[#This Row],[Horas Planificadas]]&lt;&gt;0,Planning[[#This Row],[Horas utilizadas]]/Planning[[#This Row],[Horas Planificadas]],0)</f>
        <v>#REF!</v>
      </c>
      <c r="W1854" s="44">
        <f>Planning[[#This Row],[Horas Planificadas]]+Planning[[#This Row],[Horas ajustadas adicionales]]</f>
        <v>390</v>
      </c>
      <c r="X1854" s="142"/>
    </row>
    <row r="1855" spans="1:24" ht="22.5" x14ac:dyDescent="0.2">
      <c r="A1855" s="7" t="s">
        <v>168</v>
      </c>
      <c r="B1855" s="7" t="s">
        <v>169</v>
      </c>
      <c r="C1855" s="3"/>
      <c r="D1855" s="3" t="s">
        <v>424</v>
      </c>
      <c r="E1855" s="4" t="s">
        <v>32</v>
      </c>
      <c r="F1855" s="3"/>
      <c r="G1855" s="9">
        <v>522</v>
      </c>
      <c r="H1855" s="25">
        <f>SUM(H1856:H1858)</f>
        <v>488</v>
      </c>
      <c r="I1855" s="14"/>
      <c r="J1855" s="14" t="e">
        <f>SUM(J1856:J1858)</f>
        <v>#REF!</v>
      </c>
      <c r="K1855" s="18" t="e">
        <f>SUM(K1856:K1858)</f>
        <v>#REF!</v>
      </c>
      <c r="L1855" s="15">
        <f>SUM(L1856:L1858)</f>
        <v>0</v>
      </c>
      <c r="M1855" s="16" t="e">
        <f>SUM(M1856:M1858)</f>
        <v>#REF!</v>
      </c>
      <c r="N1855" s="60" t="e">
        <f>+SUMIFS(#REF!,#REF!,Planning[[#This Row],[Proyectos]],#REF!,Planning[[#This Row],[Tipo de Tarea y especialidad]])</f>
        <v>#REF!</v>
      </c>
      <c r="O1855" s="16">
        <f t="shared" si="56"/>
        <v>10</v>
      </c>
      <c r="P1855" s="16">
        <f t="shared" si="57"/>
        <v>2024</v>
      </c>
      <c r="Q1855" s="16" t="e">
        <f>SUM(Q1856:Q1858)</f>
        <v>#REF!</v>
      </c>
      <c r="R1855" s="16" t="str">
        <f>TEXT(Planning[[#This Row],[Mes]]*29,"mmmm")</f>
        <v>October</v>
      </c>
      <c r="S18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55" s="193"/>
      <c r="U1855" s="43" t="e">
        <f>IF(Planning[[#This Row],[Horas Planificadas]]&lt;&gt;0,+K1855/Planning[[#This Row],[Horas Planificadas]],0)</f>
        <v>#REF!</v>
      </c>
      <c r="V1855" s="43" t="e">
        <f>IF(Planning[[#This Row],[Horas Planificadas]]&lt;&gt;0,Planning[[#This Row],[Horas utilizadas]]/Planning[[#This Row],[Horas Planificadas]],0)</f>
        <v>#REF!</v>
      </c>
      <c r="W1855" s="44">
        <f>Planning[[#This Row],[Horas Planificadas]]+Planning[[#This Row],[Horas ajustadas adicionales]]</f>
        <v>488</v>
      </c>
      <c r="X1855" s="142"/>
    </row>
    <row r="1856" spans="1:24" x14ac:dyDescent="0.2">
      <c r="A1856" s="7" t="s">
        <v>168</v>
      </c>
      <c r="B1856" s="7" t="s">
        <v>169</v>
      </c>
      <c r="C1856" s="3"/>
      <c r="D1856" s="3" t="s">
        <v>424</v>
      </c>
      <c r="E1856" s="4"/>
      <c r="F1856" s="3" t="s">
        <v>129</v>
      </c>
      <c r="G1856" s="9"/>
      <c r="H1856" s="9">
        <v>380</v>
      </c>
      <c r="I1856" s="12"/>
      <c r="J1856" s="5" t="e">
        <f>SUM(SUMIFS(#REF!,#REF!,Planning[[#This Row],[Tipo de Tarea y especialidad]],#REF!,Planning[[#This Row],[Proyectos Reiwa]]),SUMIFS(#REF!,#REF!,Planning[[#This Row],[Tipo de Tarea y especialidad]],#REF!,Planning[[#This Row],[Proyectos]]))</f>
        <v>#REF!</v>
      </c>
      <c r="K1856" s="5" t="e">
        <f>Planning[[#This Row],[Horas Planificadas]]+Planning[[#This Row],[Horas ajustadas adicionales]]-Planning[[#This Row],[Horas utilizadas]]</f>
        <v>#REF!</v>
      </c>
      <c r="L1856" s="7">
        <v>0</v>
      </c>
      <c r="M1856" s="19" t="e">
        <f>Planning[[#This Row],[Saldo]]-Planning[[#This Row],[Saldo estimado]]</f>
        <v>#REF!</v>
      </c>
      <c r="N1856" s="60" t="e">
        <f>+SUMIFS(#REF!,#REF!,Planning[[#This Row],[Proyectos]],#REF!,Planning[[#This Row],[Tipo de Tarea y especialidad]])</f>
        <v>#REF!</v>
      </c>
      <c r="O1856" s="19">
        <f t="shared" si="56"/>
        <v>10</v>
      </c>
      <c r="P1856" s="19">
        <f t="shared" si="57"/>
        <v>2024</v>
      </c>
      <c r="Q18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56" s="19" t="str">
        <f>TEXT(Planning[[#This Row],[Mes]]*29,"mmmm")</f>
        <v>October</v>
      </c>
      <c r="S18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56" s="193"/>
      <c r="U1856" s="43" t="e">
        <f>IF(Planning[[#This Row],[Horas Planificadas]]&lt;&gt;0,+K1856/Planning[[#This Row],[Horas Planificadas]],0)</f>
        <v>#REF!</v>
      </c>
      <c r="V1856" s="43" t="e">
        <f>IF(Planning[[#This Row],[Horas Planificadas]]&lt;&gt;0,Planning[[#This Row],[Horas utilizadas]]/Planning[[#This Row],[Horas Planificadas]],0)</f>
        <v>#REF!</v>
      </c>
      <c r="W1856" s="44">
        <f>Planning[[#This Row],[Horas Planificadas]]+Planning[[#This Row],[Horas ajustadas adicionales]]</f>
        <v>380</v>
      </c>
      <c r="X1856" s="142"/>
    </row>
    <row r="1857" spans="1:24" x14ac:dyDescent="0.2">
      <c r="A1857" s="7" t="s">
        <v>168</v>
      </c>
      <c r="B1857" s="7" t="s">
        <v>169</v>
      </c>
      <c r="C1857" s="3"/>
      <c r="D1857" s="3" t="s">
        <v>424</v>
      </c>
      <c r="E1857" s="4"/>
      <c r="F1857" s="3" t="s">
        <v>130</v>
      </c>
      <c r="G1857" s="9"/>
      <c r="H1857" s="9">
        <v>108</v>
      </c>
      <c r="I1857" s="12"/>
      <c r="J1857" s="5" t="e">
        <f>SUM(SUMIFS(#REF!,#REF!,Planning[[#This Row],[Tipo de Tarea y especialidad]],#REF!,Planning[[#This Row],[Proyectos Reiwa]]),SUMIFS(#REF!,#REF!,Planning[[#This Row],[Tipo de Tarea y especialidad]],#REF!,Planning[[#This Row],[Proyectos]]))</f>
        <v>#REF!</v>
      </c>
      <c r="K1857" s="5" t="e">
        <f>Planning[[#This Row],[Horas Planificadas]]+Planning[[#This Row],[Horas ajustadas adicionales]]-Planning[[#This Row],[Horas utilizadas]]</f>
        <v>#REF!</v>
      </c>
      <c r="L1857" s="7">
        <v>0</v>
      </c>
      <c r="M1857" s="19" t="e">
        <f>Planning[[#This Row],[Saldo]]-Planning[[#This Row],[Saldo estimado]]</f>
        <v>#REF!</v>
      </c>
      <c r="N1857" s="60" t="e">
        <f>+SUMIFS(#REF!,#REF!,Planning[[#This Row],[Proyectos]],#REF!,Planning[[#This Row],[Tipo de Tarea y especialidad]])</f>
        <v>#REF!</v>
      </c>
      <c r="O1857" s="19">
        <f t="shared" si="56"/>
        <v>10</v>
      </c>
      <c r="P1857" s="19">
        <f t="shared" si="57"/>
        <v>2024</v>
      </c>
      <c r="Q18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57" s="19" t="str">
        <f>TEXT(Planning[[#This Row],[Mes]]*29,"mmmm")</f>
        <v>October</v>
      </c>
      <c r="S18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57" s="193"/>
      <c r="U1857" s="43" t="e">
        <f>IF(Planning[[#This Row],[Horas Planificadas]]&lt;&gt;0,+K1857/Planning[[#This Row],[Horas Planificadas]],0)</f>
        <v>#REF!</v>
      </c>
      <c r="V1857" s="43" t="e">
        <f>IF(Planning[[#This Row],[Horas Planificadas]]&lt;&gt;0,Planning[[#This Row],[Horas utilizadas]]/Planning[[#This Row],[Horas Planificadas]],0)</f>
        <v>#REF!</v>
      </c>
      <c r="W1857" s="44">
        <f>Planning[[#This Row],[Horas Planificadas]]+Planning[[#This Row],[Horas ajustadas adicionales]]</f>
        <v>108</v>
      </c>
      <c r="X1857" s="142"/>
    </row>
    <row r="1858" spans="1:24" x14ac:dyDescent="0.2">
      <c r="A1858" s="7" t="s">
        <v>168</v>
      </c>
      <c r="B1858" s="7" t="s">
        <v>169</v>
      </c>
      <c r="C1858" s="3"/>
      <c r="D1858" s="3" t="s">
        <v>424</v>
      </c>
      <c r="E1858" s="4"/>
      <c r="F1858" s="3" t="s">
        <v>131</v>
      </c>
      <c r="G1858" s="9"/>
      <c r="H1858" s="9"/>
      <c r="I1858" s="12"/>
      <c r="J1858" s="5" t="e">
        <f>SUM(SUMIFS(#REF!,#REF!,Planning[[#This Row],[Tipo de Tarea y especialidad]],#REF!,Planning[[#This Row],[Proyectos Reiwa]]),SUMIFS(#REF!,#REF!,Planning[[#This Row],[Tipo de Tarea y especialidad]],#REF!,Planning[[#This Row],[Proyectos]]))</f>
        <v>#REF!</v>
      </c>
      <c r="K1858" s="5" t="e">
        <f>Planning[[#This Row],[Horas Planificadas]]+Planning[[#This Row],[Horas ajustadas adicionales]]-Planning[[#This Row],[Horas utilizadas]]</f>
        <v>#REF!</v>
      </c>
      <c r="L1858" s="7">
        <v>0</v>
      </c>
      <c r="M1858" s="19" t="e">
        <f>Planning[[#This Row],[Saldo]]-Planning[[#This Row],[Saldo estimado]]</f>
        <v>#REF!</v>
      </c>
      <c r="N1858" s="60" t="e">
        <f>+SUMIFS(#REF!,#REF!,Planning[[#This Row],[Proyectos]],#REF!,Planning[[#This Row],[Tipo de Tarea y especialidad]])</f>
        <v>#REF!</v>
      </c>
      <c r="O1858" s="19">
        <f t="shared" si="56"/>
        <v>10</v>
      </c>
      <c r="P1858" s="19">
        <f t="shared" si="57"/>
        <v>2024</v>
      </c>
      <c r="Q18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58" s="19" t="str">
        <f>TEXT(Planning[[#This Row],[Mes]]*29,"mmmm")</f>
        <v>October</v>
      </c>
      <c r="S18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58" s="193"/>
      <c r="U1858" s="43">
        <f>IF(Planning[[#This Row],[Horas Planificadas]]&lt;&gt;0,+K1858/Planning[[#This Row],[Horas Planificadas]],0)</f>
        <v>0</v>
      </c>
      <c r="V1858" s="43">
        <f>IF(Planning[[#This Row],[Horas Planificadas]]&lt;&gt;0,Planning[[#This Row],[Horas utilizadas]]/Planning[[#This Row],[Horas Planificadas]],0)</f>
        <v>0</v>
      </c>
      <c r="W1858" s="44">
        <f>Planning[[#This Row],[Horas Planificadas]]+Planning[[#This Row],[Horas ajustadas adicionales]]</f>
        <v>0</v>
      </c>
      <c r="X1858" s="142"/>
    </row>
    <row r="1859" spans="1:24" ht="22.5" x14ac:dyDescent="0.2">
      <c r="A1859" s="7" t="s">
        <v>294</v>
      </c>
      <c r="B1859" s="7" t="s">
        <v>178</v>
      </c>
      <c r="C1859" s="3"/>
      <c r="D1859" s="3" t="s">
        <v>426</v>
      </c>
      <c r="E1859" s="4" t="s">
        <v>28</v>
      </c>
      <c r="F1859" s="3"/>
      <c r="G1859" s="9">
        <v>195</v>
      </c>
      <c r="H1859" s="25">
        <f>SUM(H1860:H1861)</f>
        <v>262</v>
      </c>
      <c r="I1859" s="14"/>
      <c r="J1859" s="14" t="e">
        <f>SUM(J1860:J1861)</f>
        <v>#REF!</v>
      </c>
      <c r="K1859" s="18" t="e">
        <f>SUM(K1860:K1861)</f>
        <v>#REF!</v>
      </c>
      <c r="L1859" s="15">
        <f>SUM(L1860:L1861)</f>
        <v>0</v>
      </c>
      <c r="M1859" s="28" t="e">
        <f>SUM(M1860:M1861)</f>
        <v>#REF!</v>
      </c>
      <c r="N1859" s="61" t="e">
        <f>+SUMIFS(#REF!,#REF!,Planning[[#This Row],[Proyectos]],#REF!,Planning[[#This Row],[Tipo de Tarea y especialidad]])</f>
        <v>#REF!</v>
      </c>
      <c r="O1859" s="28">
        <f t="shared" si="56"/>
        <v>10</v>
      </c>
      <c r="P1859" s="28">
        <f t="shared" si="57"/>
        <v>2024</v>
      </c>
      <c r="Q1859" s="28" t="e">
        <f>SUM(Q1860:Q1861)</f>
        <v>#REF!</v>
      </c>
      <c r="R1859" s="28" t="str">
        <f>TEXT(Planning[[#This Row],[Mes]]*29,"mmmm")</f>
        <v>October</v>
      </c>
      <c r="S18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59" s="192" t="s">
        <v>427</v>
      </c>
      <c r="U1859" s="43" t="e">
        <f>IF(Planning[[#This Row],[Horas Planificadas]]&lt;&gt;0,+K1859/Planning[[#This Row],[Horas Planificadas]],0)</f>
        <v>#REF!</v>
      </c>
      <c r="V1859" s="43" t="e">
        <f>IF(Planning[[#This Row],[Horas Planificadas]]&lt;&gt;0,Planning[[#This Row],[Horas utilizadas]]/Planning[[#This Row],[Horas Planificadas]],0)</f>
        <v>#REF!</v>
      </c>
      <c r="W1859" s="44">
        <f>Planning[[#This Row],[Horas Planificadas]]+Planning[[#This Row],[Horas ajustadas adicionales]]</f>
        <v>262</v>
      </c>
      <c r="X1859" s="142"/>
    </row>
    <row r="1860" spans="1:24" x14ac:dyDescent="0.2">
      <c r="A1860" s="7" t="s">
        <v>294</v>
      </c>
      <c r="B1860" s="7" t="s">
        <v>178</v>
      </c>
      <c r="C1860" s="3"/>
      <c r="D1860" s="3" t="s">
        <v>426</v>
      </c>
      <c r="E1860" s="4"/>
      <c r="F1860" s="3" t="s">
        <v>120</v>
      </c>
      <c r="G1860" s="9"/>
      <c r="H1860" s="9">
        <v>145</v>
      </c>
      <c r="I1860" s="12"/>
      <c r="J1860" s="5" t="e">
        <f>SUM(SUMIFS(#REF!,#REF!,Planning[[#This Row],[Tipo de Tarea y especialidad]],#REF!,Planning[[#This Row],[Proyectos Reiwa]]),SUMIFS(#REF!,#REF!,Planning[[#This Row],[Tipo de Tarea y especialidad]],#REF!,Planning[[#This Row],[Proyectos]]))</f>
        <v>#REF!</v>
      </c>
      <c r="K1860" s="5" t="e">
        <f>Planning[[#This Row],[Horas Planificadas]]+Planning[[#This Row],[Horas ajustadas adicionales]]-Planning[[#This Row],[Horas utilizadas]]</f>
        <v>#REF!</v>
      </c>
      <c r="L1860" s="7">
        <v>0</v>
      </c>
      <c r="M1860" s="19" t="e">
        <f>Planning[[#This Row],[Saldo]]-Planning[[#This Row],[Saldo estimado]]</f>
        <v>#REF!</v>
      </c>
      <c r="N1860" s="60" t="e">
        <f>+SUMIFS(#REF!,#REF!,Planning[[#This Row],[Proyectos]],#REF!,Planning[[#This Row],[Tipo de Tarea y especialidad]])</f>
        <v>#REF!</v>
      </c>
      <c r="O1860" s="19">
        <f t="shared" si="56"/>
        <v>10</v>
      </c>
      <c r="P1860" s="19">
        <f t="shared" si="57"/>
        <v>2024</v>
      </c>
      <c r="Q18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60" s="19" t="str">
        <f>TEXT(Planning[[#This Row],[Mes]]*29,"mmmm")</f>
        <v>October</v>
      </c>
      <c r="S18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60" s="193"/>
      <c r="U1860" s="43" t="e">
        <f>IF(Planning[[#This Row],[Horas Planificadas]]&lt;&gt;0,+K1860/Planning[[#This Row],[Horas Planificadas]],0)</f>
        <v>#REF!</v>
      </c>
      <c r="V1860" s="43" t="e">
        <f>IF(Planning[[#This Row],[Horas Planificadas]]&lt;&gt;0,Planning[[#This Row],[Horas utilizadas]]/Planning[[#This Row],[Horas Planificadas]],0)</f>
        <v>#REF!</v>
      </c>
      <c r="W1860" s="44">
        <f>Planning[[#This Row],[Horas Planificadas]]+Planning[[#This Row],[Horas ajustadas adicionales]]</f>
        <v>145</v>
      </c>
      <c r="X1860" s="142"/>
    </row>
    <row r="1861" spans="1:24" x14ac:dyDescent="0.2">
      <c r="A1861" s="7" t="s">
        <v>294</v>
      </c>
      <c r="B1861" s="7" t="s">
        <v>178</v>
      </c>
      <c r="C1861" s="3"/>
      <c r="D1861" s="3" t="s">
        <v>426</v>
      </c>
      <c r="E1861" s="4"/>
      <c r="F1861" s="3" t="s">
        <v>121</v>
      </c>
      <c r="G1861" s="9"/>
      <c r="H1861" s="9">
        <v>117</v>
      </c>
      <c r="I1861" s="12"/>
      <c r="J1861" s="5" t="e">
        <f>SUM(SUMIFS(#REF!,#REF!,Planning[[#This Row],[Tipo de Tarea y especialidad]],#REF!,Planning[[#This Row],[Proyectos Reiwa]]),SUMIFS(#REF!,#REF!,Planning[[#This Row],[Tipo de Tarea y especialidad]],#REF!,Planning[[#This Row],[Proyectos]]))</f>
        <v>#REF!</v>
      </c>
      <c r="K1861" s="5" t="e">
        <f>Planning[[#This Row],[Horas Planificadas]]+Planning[[#This Row],[Horas ajustadas adicionales]]-Planning[[#This Row],[Horas utilizadas]]</f>
        <v>#REF!</v>
      </c>
      <c r="L1861" s="7">
        <v>0</v>
      </c>
      <c r="M1861" s="19" t="e">
        <f>Planning[[#This Row],[Saldo]]-Planning[[#This Row],[Saldo estimado]]</f>
        <v>#REF!</v>
      </c>
      <c r="N1861" s="60" t="e">
        <f>+SUMIFS(#REF!,#REF!,Planning[[#This Row],[Proyectos]],#REF!,Planning[[#This Row],[Tipo de Tarea y especialidad]])</f>
        <v>#REF!</v>
      </c>
      <c r="O1861" s="19">
        <f t="shared" si="56"/>
        <v>10</v>
      </c>
      <c r="P1861" s="19">
        <f t="shared" si="57"/>
        <v>2024</v>
      </c>
      <c r="Q18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61" s="19" t="str">
        <f>TEXT(Planning[[#This Row],[Mes]]*29,"mmmm")</f>
        <v>October</v>
      </c>
      <c r="S18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61" s="193"/>
      <c r="U1861" s="43" t="e">
        <f>IF(Planning[[#This Row],[Horas Planificadas]]&lt;&gt;0,+K1861/Planning[[#This Row],[Horas Planificadas]],0)</f>
        <v>#REF!</v>
      </c>
      <c r="V1861" s="43" t="e">
        <f>IF(Planning[[#This Row],[Horas Planificadas]]&lt;&gt;0,Planning[[#This Row],[Horas utilizadas]]/Planning[[#This Row],[Horas Planificadas]],0)</f>
        <v>#REF!</v>
      </c>
      <c r="W1861" s="44">
        <f>Planning[[#This Row],[Horas Planificadas]]+Planning[[#This Row],[Horas ajustadas adicionales]]</f>
        <v>117</v>
      </c>
      <c r="X1861" s="142"/>
    </row>
    <row r="1862" spans="1:24" x14ac:dyDescent="0.2">
      <c r="A1862" s="7" t="s">
        <v>294</v>
      </c>
      <c r="B1862" s="7" t="s">
        <v>178</v>
      </c>
      <c r="C1862" s="3"/>
      <c r="D1862" s="3" t="s">
        <v>426</v>
      </c>
      <c r="E1862" s="4" t="s">
        <v>30</v>
      </c>
      <c r="F1862" s="3"/>
      <c r="G1862" s="9">
        <v>760</v>
      </c>
      <c r="H1862" s="25">
        <f>SUM(H1863:H1869)</f>
        <v>719</v>
      </c>
      <c r="I1862" s="14"/>
      <c r="J1862" s="14" t="e">
        <f>SUM(J1863:J1869)</f>
        <v>#REF!</v>
      </c>
      <c r="K1862" s="18" t="e">
        <f>SUM(K1863:K1869)</f>
        <v>#REF!</v>
      </c>
      <c r="L1862" s="15">
        <f>SUM(L1863:L1869)</f>
        <v>0</v>
      </c>
      <c r="M1862" s="16" t="e">
        <f>SUM(M1863:M1869)</f>
        <v>#REF!</v>
      </c>
      <c r="N1862" s="60" t="e">
        <f>+SUMIFS(#REF!,#REF!,Planning[[#This Row],[Proyectos]],#REF!,Planning[[#This Row],[Tipo de Tarea y especialidad]])</f>
        <v>#REF!</v>
      </c>
      <c r="O1862" s="16">
        <f t="shared" si="56"/>
        <v>10</v>
      </c>
      <c r="P1862" s="16">
        <f t="shared" si="57"/>
        <v>2024</v>
      </c>
      <c r="Q1862" s="16" t="e">
        <f>SUM(Q1863:Q1869)</f>
        <v>#REF!</v>
      </c>
      <c r="R1862" s="16" t="str">
        <f>TEXT(Planning[[#This Row],[Mes]]*29,"mmmm")</f>
        <v>October</v>
      </c>
      <c r="S18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62" s="193"/>
      <c r="U1862" s="43" t="e">
        <f>IF(Planning[[#This Row],[Horas Planificadas]]&lt;&gt;0,+K1862/Planning[[#This Row],[Horas Planificadas]],0)</f>
        <v>#REF!</v>
      </c>
      <c r="V1862" s="43" t="e">
        <f>IF(Planning[[#This Row],[Horas Planificadas]]&lt;&gt;0,Planning[[#This Row],[Horas utilizadas]]/Planning[[#This Row],[Horas Planificadas]],0)</f>
        <v>#REF!</v>
      </c>
      <c r="W1862" s="44">
        <f>Planning[[#This Row],[Horas Planificadas]]+Planning[[#This Row],[Horas ajustadas adicionales]]</f>
        <v>719</v>
      </c>
      <c r="X1862" s="142"/>
    </row>
    <row r="1863" spans="1:24" x14ac:dyDescent="0.2">
      <c r="A1863" s="7" t="s">
        <v>294</v>
      </c>
      <c r="B1863" s="7" t="s">
        <v>178</v>
      </c>
      <c r="C1863" s="3"/>
      <c r="D1863" s="3" t="s">
        <v>426</v>
      </c>
      <c r="E1863" s="4"/>
      <c r="F1863" s="3" t="s">
        <v>122</v>
      </c>
      <c r="G1863" s="9"/>
      <c r="H1863" s="12">
        <v>441</v>
      </c>
      <c r="I1863" s="12"/>
      <c r="J1863" s="5" t="e">
        <f>SUM(SUMIFS(#REF!,#REF!,Planning[[#This Row],[Tipo de Tarea y especialidad]],#REF!,Planning[[#This Row],[Proyectos Reiwa]]),SUMIFS(#REF!,#REF!,Planning[[#This Row],[Tipo de Tarea y especialidad]],#REF!,Planning[[#This Row],[Proyectos]]))</f>
        <v>#REF!</v>
      </c>
      <c r="K1863" s="27" t="e">
        <f>Planning[[#This Row],[Horas Planificadas]]+Planning[[#This Row],[Horas ajustadas adicionales]]-Planning[[#This Row],[Horas utilizadas]]</f>
        <v>#REF!</v>
      </c>
      <c r="L1863" s="7">
        <v>0</v>
      </c>
      <c r="M1863" s="19" t="e">
        <f>Planning[[#This Row],[Saldo]]-Planning[[#This Row],[Saldo estimado]]</f>
        <v>#REF!</v>
      </c>
      <c r="N1863" s="60" t="e">
        <f>+SUMIFS(#REF!,#REF!,Planning[[#This Row],[Proyectos]],#REF!,Planning[[#This Row],[Tipo de Tarea y especialidad]])</f>
        <v>#REF!</v>
      </c>
      <c r="O1863" s="19">
        <f t="shared" ref="O1863:O1926" si="58">$L$4</f>
        <v>10</v>
      </c>
      <c r="P1863" s="19">
        <f t="shared" ref="P1863:P1926" si="59">$M$4</f>
        <v>2024</v>
      </c>
      <c r="Q18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63" s="19" t="str">
        <f>TEXT(Planning[[#This Row],[Mes]]*29,"mmmm")</f>
        <v>October</v>
      </c>
      <c r="S18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63" s="193"/>
      <c r="U1863" s="43" t="e">
        <f>IF(Planning[[#This Row],[Horas Planificadas]]&lt;&gt;0,+K1863/Planning[[#This Row],[Horas Planificadas]],0)</f>
        <v>#REF!</v>
      </c>
      <c r="V1863" s="43" t="e">
        <f>IF(Planning[[#This Row],[Horas Planificadas]]&lt;&gt;0,Planning[[#This Row],[Horas utilizadas]]/Planning[[#This Row],[Horas Planificadas]],0)</f>
        <v>#REF!</v>
      </c>
      <c r="W1863" s="44">
        <f>Planning[[#This Row],[Horas Planificadas]]+Planning[[#This Row],[Horas ajustadas adicionales]]</f>
        <v>441</v>
      </c>
      <c r="X1863" s="142"/>
    </row>
    <row r="1864" spans="1:24" x14ac:dyDescent="0.2">
      <c r="A1864" s="7" t="s">
        <v>294</v>
      </c>
      <c r="B1864" s="7" t="s">
        <v>178</v>
      </c>
      <c r="C1864" s="3"/>
      <c r="D1864" s="3" t="s">
        <v>426</v>
      </c>
      <c r="E1864" s="4"/>
      <c r="F1864" s="3" t="s">
        <v>123</v>
      </c>
      <c r="G1864" s="9"/>
      <c r="H1864" s="9">
        <v>135</v>
      </c>
      <c r="I1864" s="12"/>
      <c r="J1864" s="5" t="e">
        <f>SUM(SUMIFS(#REF!,#REF!,Planning[[#This Row],[Tipo de Tarea y especialidad]],#REF!,Planning[[#This Row],[Proyectos Reiwa]]),SUMIFS(#REF!,#REF!,Planning[[#This Row],[Tipo de Tarea y especialidad]],#REF!,Planning[[#This Row],[Proyectos]]))</f>
        <v>#REF!</v>
      </c>
      <c r="K1864" s="5" t="e">
        <f>Planning[[#This Row],[Horas Planificadas]]+Planning[[#This Row],[Horas ajustadas adicionales]]-Planning[[#This Row],[Horas utilizadas]]</f>
        <v>#REF!</v>
      </c>
      <c r="L1864" s="7">
        <v>0</v>
      </c>
      <c r="M1864" s="19" t="e">
        <f>Planning[[#This Row],[Saldo]]-Planning[[#This Row],[Saldo estimado]]</f>
        <v>#REF!</v>
      </c>
      <c r="N1864" s="60" t="e">
        <f>+SUMIFS(#REF!,#REF!,Planning[[#This Row],[Proyectos]],#REF!,Planning[[#This Row],[Tipo de Tarea y especialidad]])</f>
        <v>#REF!</v>
      </c>
      <c r="O1864" s="19">
        <f t="shared" si="58"/>
        <v>10</v>
      </c>
      <c r="P1864" s="19">
        <f t="shared" si="59"/>
        <v>2024</v>
      </c>
      <c r="Q18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64" s="19" t="str">
        <f>TEXT(Planning[[#This Row],[Mes]]*29,"mmmm")</f>
        <v>October</v>
      </c>
      <c r="S18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64" s="193"/>
      <c r="U1864" s="43" t="e">
        <f>IF(Planning[[#This Row],[Horas Planificadas]]&lt;&gt;0,+K1864/Planning[[#This Row],[Horas Planificadas]],0)</f>
        <v>#REF!</v>
      </c>
      <c r="V1864" s="43" t="e">
        <f>IF(Planning[[#This Row],[Horas Planificadas]]&lt;&gt;0,Planning[[#This Row],[Horas utilizadas]]/Planning[[#This Row],[Horas Planificadas]],0)</f>
        <v>#REF!</v>
      </c>
      <c r="W1864" s="44">
        <f>Planning[[#This Row],[Horas Planificadas]]+Planning[[#This Row],[Horas ajustadas adicionales]]</f>
        <v>135</v>
      </c>
      <c r="X1864" s="142"/>
    </row>
    <row r="1865" spans="1:24" x14ac:dyDescent="0.2">
      <c r="A1865" s="7" t="s">
        <v>294</v>
      </c>
      <c r="B1865" s="7" t="s">
        <v>178</v>
      </c>
      <c r="C1865" s="3"/>
      <c r="D1865" s="3" t="s">
        <v>426</v>
      </c>
      <c r="E1865" s="4"/>
      <c r="F1865" s="3" t="s">
        <v>124</v>
      </c>
      <c r="G1865" s="9"/>
      <c r="H1865" s="9">
        <v>143</v>
      </c>
      <c r="I1865" s="12"/>
      <c r="J1865" s="5" t="e">
        <f>SUM(SUMIFS(#REF!,#REF!,Planning[[#This Row],[Tipo de Tarea y especialidad]],#REF!,Planning[[#This Row],[Proyectos Reiwa]]),SUMIFS(#REF!,#REF!,Planning[[#This Row],[Tipo de Tarea y especialidad]],#REF!,Planning[[#This Row],[Proyectos]]))</f>
        <v>#REF!</v>
      </c>
      <c r="K1865" s="5" t="e">
        <f>Planning[[#This Row],[Horas Planificadas]]+Planning[[#This Row],[Horas ajustadas adicionales]]-Planning[[#This Row],[Horas utilizadas]]</f>
        <v>#REF!</v>
      </c>
      <c r="L1865" s="7">
        <v>0</v>
      </c>
      <c r="M1865" s="19" t="e">
        <f>Planning[[#This Row],[Saldo]]-Planning[[#This Row],[Saldo estimado]]</f>
        <v>#REF!</v>
      </c>
      <c r="N1865" s="60" t="e">
        <f>+SUMIFS(#REF!,#REF!,Planning[[#This Row],[Proyectos]],#REF!,Planning[[#This Row],[Tipo de Tarea y especialidad]])</f>
        <v>#REF!</v>
      </c>
      <c r="O1865" s="19">
        <f t="shared" si="58"/>
        <v>10</v>
      </c>
      <c r="P1865" s="19">
        <f t="shared" si="59"/>
        <v>2024</v>
      </c>
      <c r="Q18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65" s="19" t="str">
        <f>TEXT(Planning[[#This Row],[Mes]]*29,"mmmm")</f>
        <v>October</v>
      </c>
      <c r="S18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65" s="193"/>
      <c r="U1865" s="43" t="e">
        <f>IF(Planning[[#This Row],[Horas Planificadas]]&lt;&gt;0,+K1865/Planning[[#This Row],[Horas Planificadas]],0)</f>
        <v>#REF!</v>
      </c>
      <c r="V1865" s="43" t="e">
        <f>IF(Planning[[#This Row],[Horas Planificadas]]&lt;&gt;0,Planning[[#This Row],[Horas utilizadas]]/Planning[[#This Row],[Horas Planificadas]],0)</f>
        <v>#REF!</v>
      </c>
      <c r="W1865" s="44">
        <f>Planning[[#This Row],[Horas Planificadas]]+Planning[[#This Row],[Horas ajustadas adicionales]]</f>
        <v>143</v>
      </c>
      <c r="X1865" s="142"/>
    </row>
    <row r="1866" spans="1:24" x14ac:dyDescent="0.2">
      <c r="A1866" s="7" t="s">
        <v>294</v>
      </c>
      <c r="B1866" s="7" t="s">
        <v>178</v>
      </c>
      <c r="C1866" s="3"/>
      <c r="D1866" s="3" t="s">
        <v>426</v>
      </c>
      <c r="E1866" s="4"/>
      <c r="F1866" s="3" t="s">
        <v>125</v>
      </c>
      <c r="G1866" s="9"/>
      <c r="H1866" s="9"/>
      <c r="I1866" s="12"/>
      <c r="J1866" s="5" t="e">
        <f>SUM(SUMIFS(#REF!,#REF!,Planning[[#This Row],[Tipo de Tarea y especialidad]],#REF!,Planning[[#This Row],[Proyectos Reiwa]]),SUMIFS(#REF!,#REF!,Planning[[#This Row],[Tipo de Tarea y especialidad]],#REF!,Planning[[#This Row],[Proyectos]]))</f>
        <v>#REF!</v>
      </c>
      <c r="K1866" s="5" t="e">
        <f>Planning[[#This Row],[Horas Planificadas]]+Planning[[#This Row],[Horas ajustadas adicionales]]-Planning[[#This Row],[Horas utilizadas]]</f>
        <v>#REF!</v>
      </c>
      <c r="L1866" s="7">
        <v>0</v>
      </c>
      <c r="M1866" s="19" t="e">
        <f>Planning[[#This Row],[Saldo]]-Planning[[#This Row],[Saldo estimado]]</f>
        <v>#REF!</v>
      </c>
      <c r="N1866" s="60" t="e">
        <f>+SUMIFS(#REF!,#REF!,Planning[[#This Row],[Proyectos]],#REF!,Planning[[#This Row],[Tipo de Tarea y especialidad]])</f>
        <v>#REF!</v>
      </c>
      <c r="O1866" s="19">
        <f t="shared" si="58"/>
        <v>10</v>
      </c>
      <c r="P1866" s="19">
        <f t="shared" si="59"/>
        <v>2024</v>
      </c>
      <c r="Q18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66" s="19" t="str">
        <f>TEXT(Planning[[#This Row],[Mes]]*29,"mmmm")</f>
        <v>October</v>
      </c>
      <c r="S18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66" s="193"/>
      <c r="U1866" s="43">
        <f>IF(Planning[[#This Row],[Horas Planificadas]]&lt;&gt;0,+K1866/Planning[[#This Row],[Horas Planificadas]],0)</f>
        <v>0</v>
      </c>
      <c r="V1866" s="43">
        <f>IF(Planning[[#This Row],[Horas Planificadas]]&lt;&gt;0,Planning[[#This Row],[Horas utilizadas]]/Planning[[#This Row],[Horas Planificadas]],0)</f>
        <v>0</v>
      </c>
      <c r="W1866" s="44">
        <f>Planning[[#This Row],[Horas Planificadas]]+Planning[[#This Row],[Horas ajustadas adicionales]]</f>
        <v>0</v>
      </c>
      <c r="X1866" s="142"/>
    </row>
    <row r="1867" spans="1:24" x14ac:dyDescent="0.2">
      <c r="A1867" s="7" t="s">
        <v>294</v>
      </c>
      <c r="B1867" s="7" t="s">
        <v>178</v>
      </c>
      <c r="C1867" s="3"/>
      <c r="D1867" s="3" t="s">
        <v>426</v>
      </c>
      <c r="E1867" s="4"/>
      <c r="F1867" s="3" t="s">
        <v>126</v>
      </c>
      <c r="G1867" s="9"/>
      <c r="H1867" s="12"/>
      <c r="I1867" s="12"/>
      <c r="J1867" s="5" t="e">
        <f>SUM(SUMIFS(#REF!,#REF!,Planning[[#This Row],[Tipo de Tarea y especialidad]],#REF!,Planning[[#This Row],[Proyectos Reiwa]]),SUMIFS(#REF!,#REF!,Planning[[#This Row],[Tipo de Tarea y especialidad]],#REF!,Planning[[#This Row],[Proyectos]]))</f>
        <v>#REF!</v>
      </c>
      <c r="K1867" s="27" t="e">
        <f>Planning[[#This Row],[Horas Planificadas]]+Planning[[#This Row],[Horas ajustadas adicionales]]-Planning[[#This Row],[Horas utilizadas]]</f>
        <v>#REF!</v>
      </c>
      <c r="L1867" s="7">
        <v>0</v>
      </c>
      <c r="M1867" s="34" t="e">
        <f>Planning[[#This Row],[Saldo]]-Planning[[#This Row],[Saldo estimado]]</f>
        <v>#REF!</v>
      </c>
      <c r="N1867" s="62" t="e">
        <f>+SUMIFS(#REF!,#REF!,Planning[[#This Row],[Proyectos]],#REF!,Planning[[#This Row],[Tipo de Tarea y especialidad]])</f>
        <v>#REF!</v>
      </c>
      <c r="O1867" s="34">
        <f t="shared" si="58"/>
        <v>10</v>
      </c>
      <c r="P1867" s="34">
        <f t="shared" si="59"/>
        <v>2024</v>
      </c>
      <c r="Q18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67" s="19" t="str">
        <f>TEXT(Planning[[#This Row],[Mes]]*29,"mmmm")</f>
        <v>October</v>
      </c>
      <c r="S18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67" s="193"/>
      <c r="U1867" s="43">
        <f>IF(Planning[[#This Row],[Horas Planificadas]]&lt;&gt;0,+K1867/Planning[[#This Row],[Horas Planificadas]],0)</f>
        <v>0</v>
      </c>
      <c r="V1867" s="43">
        <f>IF(Planning[[#This Row],[Horas Planificadas]]&lt;&gt;0,Planning[[#This Row],[Horas utilizadas]]/Planning[[#This Row],[Horas Planificadas]],0)</f>
        <v>0</v>
      </c>
      <c r="W1867" s="44">
        <f>Planning[[#This Row],[Horas Planificadas]]+Planning[[#This Row],[Horas ajustadas adicionales]]</f>
        <v>0</v>
      </c>
      <c r="X1867" s="142"/>
    </row>
    <row r="1868" spans="1:24" x14ac:dyDescent="0.2">
      <c r="A1868" s="7" t="s">
        <v>294</v>
      </c>
      <c r="B1868" s="7" t="s">
        <v>178</v>
      </c>
      <c r="C1868" s="3"/>
      <c r="D1868" s="3" t="s">
        <v>426</v>
      </c>
      <c r="E1868" s="4"/>
      <c r="F1868" s="3" t="s">
        <v>127</v>
      </c>
      <c r="G1868" s="9"/>
      <c r="H1868" s="9"/>
      <c r="I1868" s="12"/>
      <c r="J1868" s="5" t="e">
        <f>SUM(SUMIFS(#REF!,#REF!,Planning[[#This Row],[Tipo de Tarea y especialidad]],#REF!,Planning[[#This Row],[Proyectos Reiwa]]),SUMIFS(#REF!,#REF!,Planning[[#This Row],[Tipo de Tarea y especialidad]],#REF!,Planning[[#This Row],[Proyectos]]))</f>
        <v>#REF!</v>
      </c>
      <c r="K1868" s="5" t="e">
        <f>Planning[[#This Row],[Horas Planificadas]]+Planning[[#This Row],[Horas ajustadas adicionales]]-Planning[[#This Row],[Horas utilizadas]]</f>
        <v>#REF!</v>
      </c>
      <c r="L1868" s="7"/>
      <c r="M1868" s="19" t="e">
        <f>Planning[[#This Row],[Saldo]]-Planning[[#This Row],[Saldo estimado]]</f>
        <v>#REF!</v>
      </c>
      <c r="N1868" s="60" t="e">
        <f>+SUMIFS(#REF!,#REF!,Planning[[#This Row],[Proyectos]],#REF!,Planning[[#This Row],[Tipo de Tarea y especialidad]])</f>
        <v>#REF!</v>
      </c>
      <c r="O1868" s="19">
        <f t="shared" si="58"/>
        <v>10</v>
      </c>
      <c r="P1868" s="19">
        <f t="shared" si="59"/>
        <v>2024</v>
      </c>
      <c r="Q18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68" s="19" t="str">
        <f>TEXT(Planning[[#This Row],[Mes]]*29,"mmmm")</f>
        <v>October</v>
      </c>
      <c r="S18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68" s="193"/>
      <c r="U1868" s="43">
        <f>IF(Planning[[#This Row],[Horas Planificadas]]&lt;&gt;0,+K1868/Planning[[#This Row],[Horas Planificadas]],0)</f>
        <v>0</v>
      </c>
      <c r="V1868" s="43">
        <f>IF(Planning[[#This Row],[Horas Planificadas]]&lt;&gt;0,Planning[[#This Row],[Horas utilizadas]]/Planning[[#This Row],[Horas Planificadas]],0)</f>
        <v>0</v>
      </c>
      <c r="W1868" s="44">
        <f>Planning[[#This Row],[Horas Planificadas]]+Planning[[#This Row],[Horas ajustadas adicionales]]</f>
        <v>0</v>
      </c>
      <c r="X1868" s="142"/>
    </row>
    <row r="1869" spans="1:24" x14ac:dyDescent="0.2">
      <c r="A1869" s="7" t="s">
        <v>294</v>
      </c>
      <c r="B1869" s="7" t="s">
        <v>178</v>
      </c>
      <c r="C1869" s="3"/>
      <c r="D1869" s="3" t="s">
        <v>426</v>
      </c>
      <c r="E1869" s="4"/>
      <c r="F1869" s="3" t="s">
        <v>128</v>
      </c>
      <c r="G1869" s="9"/>
      <c r="H1869" s="9"/>
      <c r="I1869" s="12"/>
      <c r="J1869" s="5" t="e">
        <f>SUM(SUMIFS(#REF!,#REF!,Planning[[#This Row],[Tipo de Tarea y especialidad]],#REF!,Planning[[#This Row],[Proyectos Reiwa]]),SUMIFS(#REF!,#REF!,Planning[[#This Row],[Tipo de Tarea y especialidad]],#REF!,Planning[[#This Row],[Proyectos]]))</f>
        <v>#REF!</v>
      </c>
      <c r="K1869" s="5" t="e">
        <f>Planning[[#This Row],[Horas Planificadas]]+Planning[[#This Row],[Horas ajustadas adicionales]]-Planning[[#This Row],[Horas utilizadas]]</f>
        <v>#REF!</v>
      </c>
      <c r="L1869" s="7">
        <v>0</v>
      </c>
      <c r="M1869" s="19" t="e">
        <f>Planning[[#This Row],[Saldo]]-Planning[[#This Row],[Saldo estimado]]</f>
        <v>#REF!</v>
      </c>
      <c r="N1869" s="60" t="e">
        <f>+SUMIFS(#REF!,#REF!,Planning[[#This Row],[Proyectos]],#REF!,Planning[[#This Row],[Tipo de Tarea y especialidad]])</f>
        <v>#REF!</v>
      </c>
      <c r="O1869" s="19">
        <f t="shared" si="58"/>
        <v>10</v>
      </c>
      <c r="P1869" s="19">
        <f t="shared" si="59"/>
        <v>2024</v>
      </c>
      <c r="Q18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69" s="19" t="str">
        <f>TEXT(Planning[[#This Row],[Mes]]*29,"mmmm")</f>
        <v>October</v>
      </c>
      <c r="S18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69" s="193"/>
      <c r="U1869" s="43">
        <f>IF(Planning[[#This Row],[Horas Planificadas]]&lt;&gt;0,+K1869/Planning[[#This Row],[Horas Planificadas]],0)</f>
        <v>0</v>
      </c>
      <c r="V1869" s="43">
        <f>IF(Planning[[#This Row],[Horas Planificadas]]&lt;&gt;0,Planning[[#This Row],[Horas utilizadas]]/Planning[[#This Row],[Horas Planificadas]],0)</f>
        <v>0</v>
      </c>
      <c r="W1869" s="44">
        <f>Planning[[#This Row],[Horas Planificadas]]+Planning[[#This Row],[Horas ajustadas adicionales]]</f>
        <v>0</v>
      </c>
      <c r="X1869" s="142"/>
    </row>
    <row r="1870" spans="1:24" x14ac:dyDescent="0.2">
      <c r="A1870" s="7" t="s">
        <v>294</v>
      </c>
      <c r="B1870" s="7" t="s">
        <v>178</v>
      </c>
      <c r="C1870" s="3"/>
      <c r="D1870" s="3" t="s">
        <v>426</v>
      </c>
      <c r="E1870" s="4" t="s">
        <v>31</v>
      </c>
      <c r="F1870" s="3" t="s">
        <v>31</v>
      </c>
      <c r="G1870" s="9">
        <v>264</v>
      </c>
      <c r="H1870" s="18">
        <v>264</v>
      </c>
      <c r="I1870" s="18"/>
      <c r="J1870" s="14" t="e">
        <f>+SUMIFS(#REF!,#REF!,Planning[[#This Row],[Tarifa]],#REF!,Planning[[#This Row],[Proyectos]])</f>
        <v>#REF!</v>
      </c>
      <c r="K1870" s="24" t="e">
        <f>Planning[[#This Row],[Horas Planificadas]]+Planning[[#This Row],[Horas ajustadas adicionales]]-Planning[[#This Row],[Horas utilizadas]]</f>
        <v>#REF!</v>
      </c>
      <c r="L1870" s="15">
        <v>0</v>
      </c>
      <c r="M1870" s="16" t="e">
        <f>Planning[[#This Row],[Saldo]]-Planning[[#This Row],[Saldo estimado]]</f>
        <v>#REF!</v>
      </c>
      <c r="N1870" s="60" t="e">
        <f>+SUMIFS(#REF!,#REF!,Planning[[#This Row],[Proyectos]],#REF!,Planning[[#This Row],[Tipo de Tarea y especialidad]])</f>
        <v>#REF!</v>
      </c>
      <c r="O1870" s="16">
        <f t="shared" si="58"/>
        <v>10</v>
      </c>
      <c r="P1870" s="16">
        <f t="shared" si="59"/>
        <v>2024</v>
      </c>
      <c r="Q1870" s="16" t="e">
        <f>+SUMIFS(#REF!,#REF!,Planning[[#This Row],[Tarifa]],#REF!,Planning[[#This Row],[Proyectos]],#REF!,Planning[[#This Row],[Mes]],#REF!,Planning[[#This Row],[Año]])</f>
        <v>#REF!</v>
      </c>
      <c r="R1870" s="16" t="str">
        <f>TEXT(Planning[[#This Row],[Mes]]*29,"mmmm")</f>
        <v>October</v>
      </c>
      <c r="S18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70" s="193"/>
      <c r="U1870" s="43" t="e">
        <f>IF(Planning[[#This Row],[Horas Planificadas]]&lt;&gt;0,+K1870/Planning[[#This Row],[Horas Planificadas]],0)</f>
        <v>#REF!</v>
      </c>
      <c r="V1870" s="43" t="e">
        <f>IF(Planning[[#This Row],[Horas Planificadas]]&lt;&gt;0,Planning[[#This Row],[Horas utilizadas]]/Planning[[#This Row],[Horas Planificadas]],0)</f>
        <v>#REF!</v>
      </c>
      <c r="W1870" s="44">
        <f>Planning[[#This Row],[Horas Planificadas]]+Planning[[#This Row],[Horas ajustadas adicionales]]</f>
        <v>264</v>
      </c>
      <c r="X1870" s="142"/>
    </row>
    <row r="1871" spans="1:24" ht="22.5" x14ac:dyDescent="0.2">
      <c r="A1871" s="7" t="s">
        <v>294</v>
      </c>
      <c r="B1871" s="7" t="s">
        <v>178</v>
      </c>
      <c r="C1871" s="3"/>
      <c r="D1871" s="3" t="s">
        <v>426</v>
      </c>
      <c r="E1871" s="4" t="s">
        <v>32</v>
      </c>
      <c r="F1871" s="3"/>
      <c r="G1871" s="9">
        <v>546</v>
      </c>
      <c r="H1871" s="25">
        <f>SUM(H1872:H1874)</f>
        <v>520</v>
      </c>
      <c r="I1871" s="14"/>
      <c r="J1871" s="14" t="e">
        <f>SUM(J1872:J1874)</f>
        <v>#REF!</v>
      </c>
      <c r="K1871" s="18" t="e">
        <f>SUM(K1872:K1874)</f>
        <v>#REF!</v>
      </c>
      <c r="L1871" s="15">
        <f>SUM(L1872:L1874)</f>
        <v>0</v>
      </c>
      <c r="M1871" s="16" t="e">
        <f>SUM(M1872:M1874)</f>
        <v>#REF!</v>
      </c>
      <c r="N1871" s="60" t="e">
        <f>+SUMIFS(#REF!,#REF!,Planning[[#This Row],[Proyectos]],#REF!,Planning[[#This Row],[Tipo de Tarea y especialidad]])</f>
        <v>#REF!</v>
      </c>
      <c r="O1871" s="16">
        <f t="shared" si="58"/>
        <v>10</v>
      </c>
      <c r="P1871" s="16">
        <f t="shared" si="59"/>
        <v>2024</v>
      </c>
      <c r="Q1871" s="16" t="e">
        <f>SUM(Q1872:Q1874)</f>
        <v>#REF!</v>
      </c>
      <c r="R1871" s="16" t="str">
        <f>TEXT(Planning[[#This Row],[Mes]]*29,"mmmm")</f>
        <v>October</v>
      </c>
      <c r="S18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71" s="193"/>
      <c r="U1871" s="43" t="e">
        <f>IF(Planning[[#This Row],[Horas Planificadas]]&lt;&gt;0,+K1871/Planning[[#This Row],[Horas Planificadas]],0)</f>
        <v>#REF!</v>
      </c>
      <c r="V1871" s="43" t="e">
        <f>IF(Planning[[#This Row],[Horas Planificadas]]&lt;&gt;0,Planning[[#This Row],[Horas utilizadas]]/Planning[[#This Row],[Horas Planificadas]],0)</f>
        <v>#REF!</v>
      </c>
      <c r="W1871" s="44">
        <f>Planning[[#This Row],[Horas Planificadas]]+Planning[[#This Row],[Horas ajustadas adicionales]]</f>
        <v>520</v>
      </c>
      <c r="X1871" s="142"/>
    </row>
    <row r="1872" spans="1:24" x14ac:dyDescent="0.2">
      <c r="A1872" s="7" t="s">
        <v>294</v>
      </c>
      <c r="B1872" s="7" t="s">
        <v>178</v>
      </c>
      <c r="C1872" s="3"/>
      <c r="D1872" s="3" t="s">
        <v>426</v>
      </c>
      <c r="E1872" s="4"/>
      <c r="F1872" s="3" t="s">
        <v>129</v>
      </c>
      <c r="G1872" s="9"/>
      <c r="H1872" s="9">
        <v>370</v>
      </c>
      <c r="I1872" s="12"/>
      <c r="J1872" s="5" t="e">
        <f>SUM(SUMIFS(#REF!,#REF!,Planning[[#This Row],[Tipo de Tarea y especialidad]],#REF!,Planning[[#This Row],[Proyectos Reiwa]]),SUMIFS(#REF!,#REF!,Planning[[#This Row],[Tipo de Tarea y especialidad]],#REF!,Planning[[#This Row],[Proyectos]]))</f>
        <v>#REF!</v>
      </c>
      <c r="K1872" s="5" t="e">
        <f>Planning[[#This Row],[Horas Planificadas]]+Planning[[#This Row],[Horas ajustadas adicionales]]-Planning[[#This Row],[Horas utilizadas]]</f>
        <v>#REF!</v>
      </c>
      <c r="L1872" s="7">
        <v>0</v>
      </c>
      <c r="M1872" s="19" t="e">
        <f>Planning[[#This Row],[Saldo]]-Planning[[#This Row],[Saldo estimado]]</f>
        <v>#REF!</v>
      </c>
      <c r="N1872" s="60" t="e">
        <f>+SUMIFS(#REF!,#REF!,Planning[[#This Row],[Proyectos]],#REF!,Planning[[#This Row],[Tipo de Tarea y especialidad]])</f>
        <v>#REF!</v>
      </c>
      <c r="O1872" s="19">
        <f t="shared" si="58"/>
        <v>10</v>
      </c>
      <c r="P1872" s="19">
        <f t="shared" si="59"/>
        <v>2024</v>
      </c>
      <c r="Q18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72" s="19" t="str">
        <f>TEXT(Planning[[#This Row],[Mes]]*29,"mmmm")</f>
        <v>October</v>
      </c>
      <c r="S18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72" s="193"/>
      <c r="U1872" s="43" t="e">
        <f>IF(Planning[[#This Row],[Horas Planificadas]]&lt;&gt;0,+K1872/Planning[[#This Row],[Horas Planificadas]],0)</f>
        <v>#REF!</v>
      </c>
      <c r="V1872" s="43" t="e">
        <f>IF(Planning[[#This Row],[Horas Planificadas]]&lt;&gt;0,Planning[[#This Row],[Horas utilizadas]]/Planning[[#This Row],[Horas Planificadas]],0)</f>
        <v>#REF!</v>
      </c>
      <c r="W1872" s="44">
        <f>Planning[[#This Row],[Horas Planificadas]]+Planning[[#This Row],[Horas ajustadas adicionales]]</f>
        <v>370</v>
      </c>
      <c r="X1872" s="142"/>
    </row>
    <row r="1873" spans="1:24" x14ac:dyDescent="0.2">
      <c r="A1873" s="7" t="s">
        <v>294</v>
      </c>
      <c r="B1873" s="7" t="s">
        <v>178</v>
      </c>
      <c r="C1873" s="3"/>
      <c r="D1873" s="3" t="s">
        <v>426</v>
      </c>
      <c r="E1873" s="4"/>
      <c r="F1873" s="3" t="s">
        <v>130</v>
      </c>
      <c r="G1873" s="9"/>
      <c r="H1873" s="9"/>
      <c r="I1873" s="12"/>
      <c r="J1873" s="5" t="e">
        <f>SUM(SUMIFS(#REF!,#REF!,Planning[[#This Row],[Tipo de Tarea y especialidad]],#REF!,Planning[[#This Row],[Proyectos Reiwa]]),SUMIFS(#REF!,#REF!,Planning[[#This Row],[Tipo de Tarea y especialidad]],#REF!,Planning[[#This Row],[Proyectos]]))</f>
        <v>#REF!</v>
      </c>
      <c r="K1873" s="5" t="e">
        <f>Planning[[#This Row],[Horas Planificadas]]+Planning[[#This Row],[Horas ajustadas adicionales]]-Planning[[#This Row],[Horas utilizadas]]</f>
        <v>#REF!</v>
      </c>
      <c r="L1873" s="7"/>
      <c r="M1873" s="19" t="e">
        <f>Planning[[#This Row],[Saldo]]-Planning[[#This Row],[Saldo estimado]]</f>
        <v>#REF!</v>
      </c>
      <c r="N1873" s="60" t="e">
        <f>+SUMIFS(#REF!,#REF!,Planning[[#This Row],[Proyectos]],#REF!,Planning[[#This Row],[Tipo de Tarea y especialidad]])</f>
        <v>#REF!</v>
      </c>
      <c r="O1873" s="19">
        <f t="shared" si="58"/>
        <v>10</v>
      </c>
      <c r="P1873" s="19">
        <f t="shared" si="59"/>
        <v>2024</v>
      </c>
      <c r="Q18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73" s="19" t="str">
        <f>TEXT(Planning[[#This Row],[Mes]]*29,"mmmm")</f>
        <v>October</v>
      </c>
      <c r="S18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73" s="193"/>
      <c r="U1873" s="43">
        <f>IF(Planning[[#This Row],[Horas Planificadas]]&lt;&gt;0,+K1873/Planning[[#This Row],[Horas Planificadas]],0)</f>
        <v>0</v>
      </c>
      <c r="V1873" s="43">
        <f>IF(Planning[[#This Row],[Horas Planificadas]]&lt;&gt;0,Planning[[#This Row],[Horas utilizadas]]/Planning[[#This Row],[Horas Planificadas]],0)</f>
        <v>0</v>
      </c>
      <c r="W1873" s="44">
        <f>Planning[[#This Row],[Horas Planificadas]]+Planning[[#This Row],[Horas ajustadas adicionales]]</f>
        <v>0</v>
      </c>
      <c r="X1873" s="142"/>
    </row>
    <row r="1874" spans="1:24" x14ac:dyDescent="0.2">
      <c r="A1874" s="7" t="s">
        <v>294</v>
      </c>
      <c r="B1874" s="7" t="s">
        <v>178</v>
      </c>
      <c r="C1874" s="3"/>
      <c r="D1874" s="3" t="s">
        <v>426</v>
      </c>
      <c r="E1874" s="4"/>
      <c r="F1874" s="3" t="s">
        <v>131</v>
      </c>
      <c r="G1874" s="9"/>
      <c r="H1874" s="9">
        <v>150</v>
      </c>
      <c r="I1874" s="12"/>
      <c r="J1874" s="5" t="e">
        <f>SUM(SUMIFS(#REF!,#REF!,Planning[[#This Row],[Tipo de Tarea y especialidad]],#REF!,Planning[[#This Row],[Proyectos Reiwa]]),SUMIFS(#REF!,#REF!,Planning[[#This Row],[Tipo de Tarea y especialidad]],#REF!,Planning[[#This Row],[Proyectos]]))</f>
        <v>#REF!</v>
      </c>
      <c r="K1874" s="5" t="e">
        <f>Planning[[#This Row],[Horas Planificadas]]+Planning[[#This Row],[Horas ajustadas adicionales]]-Planning[[#This Row],[Horas utilizadas]]</f>
        <v>#REF!</v>
      </c>
      <c r="L1874" s="7">
        <v>0</v>
      </c>
      <c r="M1874" s="19" t="e">
        <f>Planning[[#This Row],[Saldo]]-Planning[[#This Row],[Saldo estimado]]</f>
        <v>#REF!</v>
      </c>
      <c r="N1874" s="60" t="e">
        <f>+SUMIFS(#REF!,#REF!,Planning[[#This Row],[Proyectos]],#REF!,Planning[[#This Row],[Tipo de Tarea y especialidad]])</f>
        <v>#REF!</v>
      </c>
      <c r="O1874" s="19">
        <f t="shared" si="58"/>
        <v>10</v>
      </c>
      <c r="P1874" s="19">
        <f t="shared" si="59"/>
        <v>2024</v>
      </c>
      <c r="Q18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74" s="19" t="str">
        <f>TEXT(Planning[[#This Row],[Mes]]*29,"mmmm")</f>
        <v>October</v>
      </c>
      <c r="S18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74" s="193"/>
      <c r="U1874" s="43" t="e">
        <f>IF(Planning[[#This Row],[Horas Planificadas]]&lt;&gt;0,+K1874/Planning[[#This Row],[Horas Planificadas]],0)</f>
        <v>#REF!</v>
      </c>
      <c r="V1874" s="43" t="e">
        <f>IF(Planning[[#This Row],[Horas Planificadas]]&lt;&gt;0,Planning[[#This Row],[Horas utilizadas]]/Planning[[#This Row],[Horas Planificadas]],0)</f>
        <v>#REF!</v>
      </c>
      <c r="W1874" s="44">
        <f>Planning[[#This Row],[Horas Planificadas]]+Planning[[#This Row],[Horas ajustadas adicionales]]</f>
        <v>150</v>
      </c>
      <c r="X1874" s="142"/>
    </row>
    <row r="1875" spans="1:24" ht="22.5" x14ac:dyDescent="0.2">
      <c r="A1875" s="7" t="s">
        <v>117</v>
      </c>
      <c r="B1875" s="7" t="s">
        <v>428</v>
      </c>
      <c r="C1875" s="3"/>
      <c r="D1875" s="3" t="s">
        <v>429</v>
      </c>
      <c r="E1875" s="4" t="s">
        <v>28</v>
      </c>
      <c r="F1875" s="3"/>
      <c r="G1875" s="9">
        <v>212</v>
      </c>
      <c r="H1875" s="25">
        <f>SUM(H1876:H1877)</f>
        <v>222</v>
      </c>
      <c r="I1875" s="14"/>
      <c r="J1875" s="14" t="e">
        <f>SUM(J1876:J1877)</f>
        <v>#REF!</v>
      </c>
      <c r="K1875" s="18" t="e">
        <f>SUM(K1876:K1877)</f>
        <v>#REF!</v>
      </c>
      <c r="L1875" s="15">
        <f>SUM(L1876:L1877)</f>
        <v>9</v>
      </c>
      <c r="M1875" s="28" t="e">
        <f>SUM(M1876:M1877)</f>
        <v>#REF!</v>
      </c>
      <c r="N1875" s="61" t="e">
        <f>+SUMIFS(#REF!,#REF!,Planning[[#This Row],[Proyectos]],#REF!,Planning[[#This Row],[Tipo de Tarea y especialidad]])</f>
        <v>#REF!</v>
      </c>
      <c r="O1875" s="28">
        <f t="shared" si="58"/>
        <v>10</v>
      </c>
      <c r="P1875" s="28">
        <f t="shared" si="59"/>
        <v>2024</v>
      </c>
      <c r="Q1875" s="28" t="e">
        <f>SUM(Q1876:Q1877)</f>
        <v>#REF!</v>
      </c>
      <c r="R1875" s="28" t="str">
        <f>TEXT(Planning[[#This Row],[Mes]]*29,"mmmm")</f>
        <v>October</v>
      </c>
      <c r="S18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75" s="192" t="s">
        <v>430</v>
      </c>
      <c r="U1875" s="43" t="e">
        <f>IF(Planning[[#This Row],[Horas Planificadas]]&lt;&gt;0,+K1875/Planning[[#This Row],[Horas Planificadas]],0)</f>
        <v>#REF!</v>
      </c>
      <c r="V1875" s="43" t="e">
        <f>IF(Planning[[#This Row],[Horas Planificadas]]&lt;&gt;0,Planning[[#This Row],[Horas utilizadas]]/Planning[[#This Row],[Horas Planificadas]],0)</f>
        <v>#REF!</v>
      </c>
      <c r="W1875" s="44">
        <f>Planning[[#This Row],[Horas Planificadas]]+Planning[[#This Row],[Horas ajustadas adicionales]]</f>
        <v>222</v>
      </c>
      <c r="X1875" s="142"/>
    </row>
    <row r="1876" spans="1:24" x14ac:dyDescent="0.2">
      <c r="A1876" s="7" t="s">
        <v>117</v>
      </c>
      <c r="B1876" s="7" t="s">
        <v>428</v>
      </c>
      <c r="C1876" s="3"/>
      <c r="D1876" s="3" t="s">
        <v>429</v>
      </c>
      <c r="E1876" s="4"/>
      <c r="F1876" s="3" t="s">
        <v>120</v>
      </c>
      <c r="G1876" s="9"/>
      <c r="H1876" s="9">
        <v>150</v>
      </c>
      <c r="I1876" s="12"/>
      <c r="J1876" s="5" t="e">
        <f>SUM(SUMIFS(#REF!,#REF!,Planning[[#This Row],[Tipo de Tarea y especialidad]],#REF!,Planning[[#This Row],[Proyectos Reiwa]]),SUMIFS(#REF!,#REF!,Planning[[#This Row],[Tipo de Tarea y especialidad]],#REF!,Planning[[#This Row],[Proyectos]]))</f>
        <v>#REF!</v>
      </c>
      <c r="K1876" s="5" t="e">
        <f>Planning[[#This Row],[Horas Planificadas]]+Planning[[#This Row],[Horas ajustadas adicionales]]-Planning[[#This Row],[Horas utilizadas]]</f>
        <v>#REF!</v>
      </c>
      <c r="L1876" s="7">
        <v>0</v>
      </c>
      <c r="M1876" s="19" t="e">
        <f>Planning[[#This Row],[Saldo]]-Planning[[#This Row],[Saldo estimado]]</f>
        <v>#REF!</v>
      </c>
      <c r="N1876" s="60" t="e">
        <f>+SUMIFS(#REF!,#REF!,Planning[[#This Row],[Proyectos]],#REF!,Planning[[#This Row],[Tipo de Tarea y especialidad]])</f>
        <v>#REF!</v>
      </c>
      <c r="O1876" s="19">
        <f t="shared" si="58"/>
        <v>10</v>
      </c>
      <c r="P1876" s="19">
        <f t="shared" si="59"/>
        <v>2024</v>
      </c>
      <c r="Q18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76" s="19" t="str">
        <f>TEXT(Planning[[#This Row],[Mes]]*29,"mmmm")</f>
        <v>October</v>
      </c>
      <c r="S18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76" s="193"/>
      <c r="U1876" s="43" t="e">
        <f>IF(Planning[[#This Row],[Horas Planificadas]]&lt;&gt;0,+K1876/Planning[[#This Row],[Horas Planificadas]],0)</f>
        <v>#REF!</v>
      </c>
      <c r="V1876" s="43" t="e">
        <f>IF(Planning[[#This Row],[Horas Planificadas]]&lt;&gt;0,Planning[[#This Row],[Horas utilizadas]]/Planning[[#This Row],[Horas Planificadas]],0)</f>
        <v>#REF!</v>
      </c>
      <c r="W1876" s="44">
        <f>Planning[[#This Row],[Horas Planificadas]]+Planning[[#This Row],[Horas ajustadas adicionales]]</f>
        <v>150</v>
      </c>
      <c r="X1876" s="142"/>
    </row>
    <row r="1877" spans="1:24" x14ac:dyDescent="0.2">
      <c r="A1877" s="7" t="s">
        <v>117</v>
      </c>
      <c r="B1877" s="7" t="s">
        <v>428</v>
      </c>
      <c r="C1877" s="3"/>
      <c r="D1877" s="3" t="s">
        <v>429</v>
      </c>
      <c r="E1877" s="4"/>
      <c r="F1877" s="3" t="s">
        <v>121</v>
      </c>
      <c r="G1877" s="9"/>
      <c r="H1877" s="9">
        <v>72</v>
      </c>
      <c r="I1877" s="12"/>
      <c r="J1877" s="5" t="e">
        <f>SUM(SUMIFS(#REF!,#REF!,Planning[[#This Row],[Tipo de Tarea y especialidad]],#REF!,Planning[[#This Row],[Proyectos Reiwa]]),SUMIFS(#REF!,#REF!,Planning[[#This Row],[Tipo de Tarea y especialidad]],#REF!,Planning[[#This Row],[Proyectos]]))</f>
        <v>#REF!</v>
      </c>
      <c r="K1877" s="5" t="e">
        <f>Planning[[#This Row],[Horas Planificadas]]+Planning[[#This Row],[Horas ajustadas adicionales]]-Planning[[#This Row],[Horas utilizadas]]</f>
        <v>#REF!</v>
      </c>
      <c r="L1877" s="7">
        <v>9</v>
      </c>
      <c r="M1877" s="19" t="e">
        <f>Planning[[#This Row],[Saldo]]-Planning[[#This Row],[Saldo estimado]]</f>
        <v>#REF!</v>
      </c>
      <c r="N1877" s="60" t="e">
        <f>+SUMIFS(#REF!,#REF!,Planning[[#This Row],[Proyectos]],#REF!,Planning[[#This Row],[Tipo de Tarea y especialidad]])</f>
        <v>#REF!</v>
      </c>
      <c r="O1877" s="19">
        <f t="shared" si="58"/>
        <v>10</v>
      </c>
      <c r="P1877" s="19">
        <f t="shared" si="59"/>
        <v>2024</v>
      </c>
      <c r="Q18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77" s="19" t="str">
        <f>TEXT(Planning[[#This Row],[Mes]]*29,"mmmm")</f>
        <v>October</v>
      </c>
      <c r="S18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77" s="193"/>
      <c r="U1877" s="43" t="e">
        <f>IF(Planning[[#This Row],[Horas Planificadas]]&lt;&gt;0,+K1877/Planning[[#This Row],[Horas Planificadas]],0)</f>
        <v>#REF!</v>
      </c>
      <c r="V1877" s="43" t="e">
        <f>IF(Planning[[#This Row],[Horas Planificadas]]&lt;&gt;0,Planning[[#This Row],[Horas utilizadas]]/Planning[[#This Row],[Horas Planificadas]],0)</f>
        <v>#REF!</v>
      </c>
      <c r="W1877" s="44">
        <f>Planning[[#This Row],[Horas Planificadas]]+Planning[[#This Row],[Horas ajustadas adicionales]]</f>
        <v>72</v>
      </c>
      <c r="X1877" s="142"/>
    </row>
    <row r="1878" spans="1:24" x14ac:dyDescent="0.2">
      <c r="A1878" s="7" t="s">
        <v>117</v>
      </c>
      <c r="B1878" s="7" t="s">
        <v>428</v>
      </c>
      <c r="C1878" s="3"/>
      <c r="D1878" s="3" t="s">
        <v>429</v>
      </c>
      <c r="E1878" s="4" t="s">
        <v>30</v>
      </c>
      <c r="F1878" s="3"/>
      <c r="G1878" s="9">
        <v>351</v>
      </c>
      <c r="H1878" s="25">
        <f>SUM(H1879:H1885)</f>
        <v>351</v>
      </c>
      <c r="I1878" s="14"/>
      <c r="J1878" s="14" t="e">
        <f>SUM(J1879:J1885)</f>
        <v>#REF!</v>
      </c>
      <c r="K1878" s="18" t="e">
        <f>SUM(K1879:K1885)</f>
        <v>#REF!</v>
      </c>
      <c r="L1878" s="15">
        <f>SUM(L1879:L1885)</f>
        <v>0</v>
      </c>
      <c r="M1878" s="16" t="e">
        <f>SUM(M1879:M1885)</f>
        <v>#REF!</v>
      </c>
      <c r="N1878" s="60" t="e">
        <f>+SUMIFS(#REF!,#REF!,Planning[[#This Row],[Proyectos]],#REF!,Planning[[#This Row],[Tipo de Tarea y especialidad]])</f>
        <v>#REF!</v>
      </c>
      <c r="O1878" s="16">
        <f t="shared" si="58"/>
        <v>10</v>
      </c>
      <c r="P1878" s="16">
        <f t="shared" si="59"/>
        <v>2024</v>
      </c>
      <c r="Q1878" s="16" t="e">
        <f>SUM(Q1879:Q1885)</f>
        <v>#REF!</v>
      </c>
      <c r="R1878" s="16" t="str">
        <f>TEXT(Planning[[#This Row],[Mes]]*29,"mmmm")</f>
        <v>October</v>
      </c>
      <c r="S18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78" s="193"/>
      <c r="U1878" s="43" t="e">
        <f>IF(Planning[[#This Row],[Horas Planificadas]]&lt;&gt;0,+K1878/Planning[[#This Row],[Horas Planificadas]],0)</f>
        <v>#REF!</v>
      </c>
      <c r="V1878" s="43" t="e">
        <f>IF(Planning[[#This Row],[Horas Planificadas]]&lt;&gt;0,Planning[[#This Row],[Horas utilizadas]]/Planning[[#This Row],[Horas Planificadas]],0)</f>
        <v>#REF!</v>
      </c>
      <c r="W1878" s="44">
        <f>Planning[[#This Row],[Horas Planificadas]]+Planning[[#This Row],[Horas ajustadas adicionales]]</f>
        <v>351</v>
      </c>
      <c r="X1878" s="142"/>
    </row>
    <row r="1879" spans="1:24" x14ac:dyDescent="0.2">
      <c r="A1879" s="7" t="s">
        <v>117</v>
      </c>
      <c r="B1879" s="7" t="s">
        <v>428</v>
      </c>
      <c r="C1879" s="3"/>
      <c r="D1879" s="3" t="s">
        <v>429</v>
      </c>
      <c r="E1879" s="4"/>
      <c r="F1879" s="3" t="s">
        <v>122</v>
      </c>
      <c r="G1879" s="9"/>
      <c r="H1879" s="12"/>
      <c r="I1879" s="12"/>
      <c r="J1879" s="5" t="e">
        <f>SUM(SUMIFS(#REF!,#REF!,Planning[[#This Row],[Tipo de Tarea y especialidad]],#REF!,Planning[[#This Row],[Proyectos Reiwa]]),SUMIFS(#REF!,#REF!,Planning[[#This Row],[Tipo de Tarea y especialidad]],#REF!,Planning[[#This Row],[Proyectos]]))</f>
        <v>#REF!</v>
      </c>
      <c r="K1879" s="27" t="e">
        <f>Planning[[#This Row],[Horas Planificadas]]+Planning[[#This Row],[Horas ajustadas adicionales]]-Planning[[#This Row],[Horas utilizadas]]</f>
        <v>#REF!</v>
      </c>
      <c r="L1879" s="7"/>
      <c r="M1879" s="19" t="e">
        <f>Planning[[#This Row],[Saldo]]-Planning[[#This Row],[Saldo estimado]]</f>
        <v>#REF!</v>
      </c>
      <c r="N1879" s="60" t="e">
        <f>+SUMIFS(#REF!,#REF!,Planning[[#This Row],[Proyectos]],#REF!,Planning[[#This Row],[Tipo de Tarea y especialidad]])</f>
        <v>#REF!</v>
      </c>
      <c r="O1879" s="19">
        <f t="shared" si="58"/>
        <v>10</v>
      </c>
      <c r="P1879" s="19">
        <f t="shared" si="59"/>
        <v>2024</v>
      </c>
      <c r="Q18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79" s="19" t="str">
        <f>TEXT(Planning[[#This Row],[Mes]]*29,"mmmm")</f>
        <v>October</v>
      </c>
      <c r="S18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79" s="193"/>
      <c r="U1879" s="43">
        <f>IF(Planning[[#This Row],[Horas Planificadas]]&lt;&gt;0,+K1879/Planning[[#This Row],[Horas Planificadas]],0)</f>
        <v>0</v>
      </c>
      <c r="V1879" s="43">
        <f>IF(Planning[[#This Row],[Horas Planificadas]]&lt;&gt;0,Planning[[#This Row],[Horas utilizadas]]/Planning[[#This Row],[Horas Planificadas]],0)</f>
        <v>0</v>
      </c>
      <c r="W1879" s="44">
        <f>Planning[[#This Row],[Horas Planificadas]]+Planning[[#This Row],[Horas ajustadas adicionales]]</f>
        <v>0</v>
      </c>
      <c r="X1879" s="142"/>
    </row>
    <row r="1880" spans="1:24" x14ac:dyDescent="0.2">
      <c r="A1880" s="7" t="s">
        <v>117</v>
      </c>
      <c r="B1880" s="7" t="s">
        <v>428</v>
      </c>
      <c r="C1880" s="3"/>
      <c r="D1880" s="3" t="s">
        <v>429</v>
      </c>
      <c r="E1880" s="4"/>
      <c r="F1880" s="3" t="s">
        <v>123</v>
      </c>
      <c r="G1880" s="9"/>
      <c r="H1880" s="9">
        <v>252</v>
      </c>
      <c r="I1880" s="12"/>
      <c r="J1880" s="5" t="e">
        <f>SUM(SUMIFS(#REF!,#REF!,Planning[[#This Row],[Tipo de Tarea y especialidad]],#REF!,Planning[[#This Row],[Proyectos Reiwa]]),SUMIFS(#REF!,#REF!,Planning[[#This Row],[Tipo de Tarea y especialidad]],#REF!,Planning[[#This Row],[Proyectos]]))</f>
        <v>#REF!</v>
      </c>
      <c r="K1880" s="5" t="e">
        <f>Planning[[#This Row],[Horas Planificadas]]+Planning[[#This Row],[Horas ajustadas adicionales]]-Planning[[#This Row],[Horas utilizadas]]</f>
        <v>#REF!</v>
      </c>
      <c r="L1880" s="7">
        <v>0</v>
      </c>
      <c r="M1880" s="19" t="e">
        <f>Planning[[#This Row],[Saldo]]-Planning[[#This Row],[Saldo estimado]]</f>
        <v>#REF!</v>
      </c>
      <c r="N1880" s="60" t="e">
        <f>+SUMIFS(#REF!,#REF!,Planning[[#This Row],[Proyectos]],#REF!,Planning[[#This Row],[Tipo de Tarea y especialidad]])</f>
        <v>#REF!</v>
      </c>
      <c r="O1880" s="19">
        <f t="shared" si="58"/>
        <v>10</v>
      </c>
      <c r="P1880" s="19">
        <f t="shared" si="59"/>
        <v>2024</v>
      </c>
      <c r="Q18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80" s="19" t="str">
        <f>TEXT(Planning[[#This Row],[Mes]]*29,"mmmm")</f>
        <v>October</v>
      </c>
      <c r="S18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80" s="193"/>
      <c r="U1880" s="43" t="e">
        <f>IF(Planning[[#This Row],[Horas Planificadas]]&lt;&gt;0,+K1880/Planning[[#This Row],[Horas Planificadas]],0)</f>
        <v>#REF!</v>
      </c>
      <c r="V1880" s="43" t="e">
        <f>IF(Planning[[#This Row],[Horas Planificadas]]&lt;&gt;0,Planning[[#This Row],[Horas utilizadas]]/Planning[[#This Row],[Horas Planificadas]],0)</f>
        <v>#REF!</v>
      </c>
      <c r="W1880" s="44">
        <f>Planning[[#This Row],[Horas Planificadas]]+Planning[[#This Row],[Horas ajustadas adicionales]]</f>
        <v>252</v>
      </c>
      <c r="X1880" s="142"/>
    </row>
    <row r="1881" spans="1:24" x14ac:dyDescent="0.2">
      <c r="A1881" s="7" t="s">
        <v>117</v>
      </c>
      <c r="B1881" s="7" t="s">
        <v>428</v>
      </c>
      <c r="C1881" s="3"/>
      <c r="D1881" s="3" t="s">
        <v>429</v>
      </c>
      <c r="E1881" s="4"/>
      <c r="F1881" s="3" t="s">
        <v>124</v>
      </c>
      <c r="G1881" s="9"/>
      <c r="H1881" s="9"/>
      <c r="I1881" s="12"/>
      <c r="J1881" s="5" t="e">
        <f>SUM(SUMIFS(#REF!,#REF!,Planning[[#This Row],[Tipo de Tarea y especialidad]],#REF!,Planning[[#This Row],[Proyectos Reiwa]]),SUMIFS(#REF!,#REF!,Planning[[#This Row],[Tipo de Tarea y especialidad]],#REF!,Planning[[#This Row],[Proyectos]]))</f>
        <v>#REF!</v>
      </c>
      <c r="K1881" s="5" t="e">
        <f>Planning[[#This Row],[Horas Planificadas]]+Planning[[#This Row],[Horas ajustadas adicionales]]-Planning[[#This Row],[Horas utilizadas]]</f>
        <v>#REF!</v>
      </c>
      <c r="L1881" s="7">
        <v>0</v>
      </c>
      <c r="M1881" s="19" t="e">
        <f>Planning[[#This Row],[Saldo]]-Planning[[#This Row],[Saldo estimado]]</f>
        <v>#REF!</v>
      </c>
      <c r="N1881" s="60" t="e">
        <f>+SUMIFS(#REF!,#REF!,Planning[[#This Row],[Proyectos]],#REF!,Planning[[#This Row],[Tipo de Tarea y especialidad]])</f>
        <v>#REF!</v>
      </c>
      <c r="O1881" s="19">
        <f t="shared" si="58"/>
        <v>10</v>
      </c>
      <c r="P1881" s="19">
        <f t="shared" si="59"/>
        <v>2024</v>
      </c>
      <c r="Q18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81" s="19" t="str">
        <f>TEXT(Planning[[#This Row],[Mes]]*29,"mmmm")</f>
        <v>October</v>
      </c>
      <c r="S18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81" s="193"/>
      <c r="U1881" s="43">
        <f>IF(Planning[[#This Row],[Horas Planificadas]]&lt;&gt;0,+K1881/Planning[[#This Row],[Horas Planificadas]],0)</f>
        <v>0</v>
      </c>
      <c r="V1881" s="43">
        <f>IF(Planning[[#This Row],[Horas Planificadas]]&lt;&gt;0,Planning[[#This Row],[Horas utilizadas]]/Planning[[#This Row],[Horas Planificadas]],0)</f>
        <v>0</v>
      </c>
      <c r="W1881" s="44">
        <f>Planning[[#This Row],[Horas Planificadas]]+Planning[[#This Row],[Horas ajustadas adicionales]]</f>
        <v>0</v>
      </c>
      <c r="X1881" s="142"/>
    </row>
    <row r="1882" spans="1:24" x14ac:dyDescent="0.2">
      <c r="A1882" s="7" t="s">
        <v>117</v>
      </c>
      <c r="B1882" s="7" t="s">
        <v>428</v>
      </c>
      <c r="C1882" s="3"/>
      <c r="D1882" s="3" t="s">
        <v>429</v>
      </c>
      <c r="E1882" s="4"/>
      <c r="F1882" s="3" t="s">
        <v>125</v>
      </c>
      <c r="G1882" s="9"/>
      <c r="H1882" s="9">
        <v>99</v>
      </c>
      <c r="I1882" s="12"/>
      <c r="J1882" s="5" t="e">
        <f>SUM(SUMIFS(#REF!,#REF!,Planning[[#This Row],[Tipo de Tarea y especialidad]],#REF!,Planning[[#This Row],[Proyectos Reiwa]]),SUMIFS(#REF!,#REF!,Planning[[#This Row],[Tipo de Tarea y especialidad]],#REF!,Planning[[#This Row],[Proyectos]]))</f>
        <v>#REF!</v>
      </c>
      <c r="K1882" s="5" t="e">
        <f>Planning[[#This Row],[Horas Planificadas]]+Planning[[#This Row],[Horas ajustadas adicionales]]-Planning[[#This Row],[Horas utilizadas]]</f>
        <v>#REF!</v>
      </c>
      <c r="L1882" s="7">
        <v>0</v>
      </c>
      <c r="M1882" s="19" t="e">
        <f>Planning[[#This Row],[Saldo]]-Planning[[#This Row],[Saldo estimado]]</f>
        <v>#REF!</v>
      </c>
      <c r="N1882" s="60" t="e">
        <f>+SUMIFS(#REF!,#REF!,Planning[[#This Row],[Proyectos]],#REF!,Planning[[#This Row],[Tipo de Tarea y especialidad]])</f>
        <v>#REF!</v>
      </c>
      <c r="O1882" s="19">
        <f t="shared" si="58"/>
        <v>10</v>
      </c>
      <c r="P1882" s="19">
        <f t="shared" si="59"/>
        <v>2024</v>
      </c>
      <c r="Q18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82" s="19" t="str">
        <f>TEXT(Planning[[#This Row],[Mes]]*29,"mmmm")</f>
        <v>October</v>
      </c>
      <c r="S18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82" s="193"/>
      <c r="U1882" s="43" t="e">
        <f>IF(Planning[[#This Row],[Horas Planificadas]]&lt;&gt;0,+K1882/Planning[[#This Row],[Horas Planificadas]],0)</f>
        <v>#REF!</v>
      </c>
      <c r="V1882" s="43" t="e">
        <f>IF(Planning[[#This Row],[Horas Planificadas]]&lt;&gt;0,Planning[[#This Row],[Horas utilizadas]]/Planning[[#This Row],[Horas Planificadas]],0)</f>
        <v>#REF!</v>
      </c>
      <c r="W1882" s="44">
        <f>Planning[[#This Row],[Horas Planificadas]]+Planning[[#This Row],[Horas ajustadas adicionales]]</f>
        <v>99</v>
      </c>
      <c r="X1882" s="142"/>
    </row>
    <row r="1883" spans="1:24" x14ac:dyDescent="0.2">
      <c r="A1883" s="7" t="s">
        <v>117</v>
      </c>
      <c r="B1883" s="7" t="s">
        <v>428</v>
      </c>
      <c r="C1883" s="3"/>
      <c r="D1883" s="3" t="s">
        <v>429</v>
      </c>
      <c r="E1883" s="4"/>
      <c r="F1883" s="3" t="s">
        <v>126</v>
      </c>
      <c r="G1883" s="9"/>
      <c r="H1883" s="12"/>
      <c r="I1883" s="12"/>
      <c r="J1883" s="5" t="e">
        <f>SUM(SUMIFS(#REF!,#REF!,Planning[[#This Row],[Tipo de Tarea y especialidad]],#REF!,Planning[[#This Row],[Proyectos Reiwa]]),SUMIFS(#REF!,#REF!,Planning[[#This Row],[Tipo de Tarea y especialidad]],#REF!,Planning[[#This Row],[Proyectos]]))</f>
        <v>#REF!</v>
      </c>
      <c r="K1883" s="27" t="e">
        <f>Planning[[#This Row],[Horas Planificadas]]+Planning[[#This Row],[Horas ajustadas adicionales]]-Planning[[#This Row],[Horas utilizadas]]</f>
        <v>#REF!</v>
      </c>
      <c r="L1883" s="7"/>
      <c r="M1883" s="34" t="e">
        <f>Planning[[#This Row],[Saldo]]-Planning[[#This Row],[Saldo estimado]]</f>
        <v>#REF!</v>
      </c>
      <c r="N1883" s="62" t="e">
        <f>+SUMIFS(#REF!,#REF!,Planning[[#This Row],[Proyectos]],#REF!,Planning[[#This Row],[Tipo de Tarea y especialidad]])</f>
        <v>#REF!</v>
      </c>
      <c r="O1883" s="34">
        <f t="shared" si="58"/>
        <v>10</v>
      </c>
      <c r="P1883" s="34">
        <f t="shared" si="59"/>
        <v>2024</v>
      </c>
      <c r="Q18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83" s="19" t="str">
        <f>TEXT(Planning[[#This Row],[Mes]]*29,"mmmm")</f>
        <v>October</v>
      </c>
      <c r="S18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83" s="193"/>
      <c r="U1883" s="43">
        <f>IF(Planning[[#This Row],[Horas Planificadas]]&lt;&gt;0,+K1883/Planning[[#This Row],[Horas Planificadas]],0)</f>
        <v>0</v>
      </c>
      <c r="V1883" s="43">
        <f>IF(Planning[[#This Row],[Horas Planificadas]]&lt;&gt;0,Planning[[#This Row],[Horas utilizadas]]/Planning[[#This Row],[Horas Planificadas]],0)</f>
        <v>0</v>
      </c>
      <c r="W1883" s="44">
        <f>Planning[[#This Row],[Horas Planificadas]]+Planning[[#This Row],[Horas ajustadas adicionales]]</f>
        <v>0</v>
      </c>
      <c r="X1883" s="142"/>
    </row>
    <row r="1884" spans="1:24" x14ac:dyDescent="0.2">
      <c r="A1884" s="7" t="s">
        <v>117</v>
      </c>
      <c r="B1884" s="7" t="s">
        <v>428</v>
      </c>
      <c r="C1884" s="3"/>
      <c r="D1884" s="3" t="s">
        <v>429</v>
      </c>
      <c r="E1884" s="4"/>
      <c r="F1884" s="3" t="s">
        <v>127</v>
      </c>
      <c r="G1884" s="9"/>
      <c r="H1884" s="9"/>
      <c r="I1884" s="12"/>
      <c r="J1884" s="5" t="e">
        <f>SUM(SUMIFS(#REF!,#REF!,Planning[[#This Row],[Tipo de Tarea y especialidad]],#REF!,Planning[[#This Row],[Proyectos Reiwa]]),SUMIFS(#REF!,#REF!,Planning[[#This Row],[Tipo de Tarea y especialidad]],#REF!,Planning[[#This Row],[Proyectos]]))</f>
        <v>#REF!</v>
      </c>
      <c r="K1884" s="5" t="e">
        <f>Planning[[#This Row],[Horas Planificadas]]+Planning[[#This Row],[Horas ajustadas adicionales]]-Planning[[#This Row],[Horas utilizadas]]</f>
        <v>#REF!</v>
      </c>
      <c r="L1884" s="7">
        <v>0</v>
      </c>
      <c r="M1884" s="19" t="e">
        <f>Planning[[#This Row],[Saldo]]-Planning[[#This Row],[Saldo estimado]]</f>
        <v>#REF!</v>
      </c>
      <c r="N1884" s="60" t="e">
        <f>+SUMIFS(#REF!,#REF!,Planning[[#This Row],[Proyectos]],#REF!,Planning[[#This Row],[Tipo de Tarea y especialidad]])</f>
        <v>#REF!</v>
      </c>
      <c r="O1884" s="19">
        <f t="shared" si="58"/>
        <v>10</v>
      </c>
      <c r="P1884" s="19">
        <f t="shared" si="59"/>
        <v>2024</v>
      </c>
      <c r="Q18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84" s="19" t="str">
        <f>TEXT(Planning[[#This Row],[Mes]]*29,"mmmm")</f>
        <v>October</v>
      </c>
      <c r="S18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84" s="193"/>
      <c r="U1884" s="43">
        <f>IF(Planning[[#This Row],[Horas Planificadas]]&lt;&gt;0,+K1884/Planning[[#This Row],[Horas Planificadas]],0)</f>
        <v>0</v>
      </c>
      <c r="V1884" s="43">
        <f>IF(Planning[[#This Row],[Horas Planificadas]]&lt;&gt;0,Planning[[#This Row],[Horas utilizadas]]/Planning[[#This Row],[Horas Planificadas]],0)</f>
        <v>0</v>
      </c>
      <c r="W1884" s="44">
        <f>Planning[[#This Row],[Horas Planificadas]]+Planning[[#This Row],[Horas ajustadas adicionales]]</f>
        <v>0</v>
      </c>
      <c r="X1884" s="142"/>
    </row>
    <row r="1885" spans="1:24" x14ac:dyDescent="0.2">
      <c r="A1885" s="7" t="s">
        <v>117</v>
      </c>
      <c r="B1885" s="7" t="s">
        <v>428</v>
      </c>
      <c r="C1885" s="3"/>
      <c r="D1885" s="3" t="s">
        <v>429</v>
      </c>
      <c r="E1885" s="4"/>
      <c r="F1885" s="3" t="s">
        <v>128</v>
      </c>
      <c r="G1885" s="9"/>
      <c r="H1885" s="9"/>
      <c r="I1885" s="12"/>
      <c r="J1885" s="5" t="e">
        <f>SUM(SUMIFS(#REF!,#REF!,Planning[[#This Row],[Tipo de Tarea y especialidad]],#REF!,Planning[[#This Row],[Proyectos Reiwa]]),SUMIFS(#REF!,#REF!,Planning[[#This Row],[Tipo de Tarea y especialidad]],#REF!,Planning[[#This Row],[Proyectos]]))</f>
        <v>#REF!</v>
      </c>
      <c r="K1885" s="5" t="e">
        <f>Planning[[#This Row],[Horas Planificadas]]+Planning[[#This Row],[Horas ajustadas adicionales]]-Planning[[#This Row],[Horas utilizadas]]</f>
        <v>#REF!</v>
      </c>
      <c r="L1885" s="7"/>
      <c r="M1885" s="19" t="e">
        <f>Planning[[#This Row],[Saldo]]-Planning[[#This Row],[Saldo estimado]]</f>
        <v>#REF!</v>
      </c>
      <c r="N1885" s="60" t="e">
        <f>+SUMIFS(#REF!,#REF!,Planning[[#This Row],[Proyectos]],#REF!,Planning[[#This Row],[Tipo de Tarea y especialidad]])</f>
        <v>#REF!</v>
      </c>
      <c r="O1885" s="19">
        <f t="shared" si="58"/>
        <v>10</v>
      </c>
      <c r="P1885" s="19">
        <f t="shared" si="59"/>
        <v>2024</v>
      </c>
      <c r="Q18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85" s="19" t="str">
        <f>TEXT(Planning[[#This Row],[Mes]]*29,"mmmm")</f>
        <v>October</v>
      </c>
      <c r="S18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85" s="193"/>
      <c r="U1885" s="43">
        <f>IF(Planning[[#This Row],[Horas Planificadas]]&lt;&gt;0,+K1885/Planning[[#This Row],[Horas Planificadas]],0)</f>
        <v>0</v>
      </c>
      <c r="V1885" s="43">
        <f>IF(Planning[[#This Row],[Horas Planificadas]]&lt;&gt;0,Planning[[#This Row],[Horas utilizadas]]/Planning[[#This Row],[Horas Planificadas]],0)</f>
        <v>0</v>
      </c>
      <c r="W1885" s="44">
        <f>Planning[[#This Row],[Horas Planificadas]]+Planning[[#This Row],[Horas ajustadas adicionales]]</f>
        <v>0</v>
      </c>
      <c r="X1885" s="142"/>
    </row>
    <row r="1886" spans="1:24" x14ac:dyDescent="0.2">
      <c r="A1886" s="7" t="s">
        <v>117</v>
      </c>
      <c r="B1886" s="7" t="s">
        <v>428</v>
      </c>
      <c r="C1886" s="3"/>
      <c r="D1886" s="3" t="s">
        <v>429</v>
      </c>
      <c r="E1886" s="4" t="s">
        <v>31</v>
      </c>
      <c r="F1886" s="3" t="s">
        <v>31</v>
      </c>
      <c r="G1886" s="9">
        <v>153</v>
      </c>
      <c r="H1886" s="18">
        <v>153</v>
      </c>
      <c r="I1886" s="18"/>
      <c r="J1886" s="14" t="e">
        <f>+SUMIFS(#REF!,#REF!,Planning[[#This Row],[Tarifa]],#REF!,Planning[[#This Row],[Proyectos]])</f>
        <v>#REF!</v>
      </c>
      <c r="K1886" s="24" t="e">
        <f>Planning[[#This Row],[Horas Planificadas]]+Planning[[#This Row],[Horas ajustadas adicionales]]-Planning[[#This Row],[Horas utilizadas]]</f>
        <v>#REF!</v>
      </c>
      <c r="L1886" s="15" t="e">
        <f>Planning[[#This Row],[Saldo]]</f>
        <v>#REF!</v>
      </c>
      <c r="M1886" s="16" t="e">
        <f>Planning[[#This Row],[Saldo]]-Planning[[#This Row],[Saldo estimado]]</f>
        <v>#REF!</v>
      </c>
      <c r="N1886" s="60" t="e">
        <f>+SUMIFS(#REF!,#REF!,Planning[[#This Row],[Proyectos]],#REF!,Planning[[#This Row],[Tipo de Tarea y especialidad]])</f>
        <v>#REF!</v>
      </c>
      <c r="O1886" s="16">
        <f t="shared" si="58"/>
        <v>10</v>
      </c>
      <c r="P1886" s="16">
        <f t="shared" si="59"/>
        <v>2024</v>
      </c>
      <c r="Q1886" s="16" t="e">
        <f>+SUMIFS(#REF!,#REF!,Planning[[#This Row],[Tarifa]],#REF!,Planning[[#This Row],[Proyectos]],#REF!,Planning[[#This Row],[Mes]],#REF!,Planning[[#This Row],[Año]])</f>
        <v>#REF!</v>
      </c>
      <c r="R1886" s="16" t="str">
        <f>TEXT(Planning[[#This Row],[Mes]]*29,"mmmm")</f>
        <v>October</v>
      </c>
      <c r="S18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86" s="193"/>
      <c r="U1886" s="43" t="e">
        <f>IF(Planning[[#This Row],[Horas Planificadas]]&lt;&gt;0,+K1886/Planning[[#This Row],[Horas Planificadas]],0)</f>
        <v>#REF!</v>
      </c>
      <c r="V1886" s="43" t="e">
        <f>IF(Planning[[#This Row],[Horas Planificadas]]&lt;&gt;0,Planning[[#This Row],[Horas utilizadas]]/Planning[[#This Row],[Horas Planificadas]],0)</f>
        <v>#REF!</v>
      </c>
      <c r="W1886" s="44">
        <f>Planning[[#This Row],[Horas Planificadas]]+Planning[[#This Row],[Horas ajustadas adicionales]]</f>
        <v>153</v>
      </c>
      <c r="X1886" s="142"/>
    </row>
    <row r="1887" spans="1:24" ht="22.5" x14ac:dyDescent="0.2">
      <c r="A1887" s="7" t="s">
        <v>117</v>
      </c>
      <c r="B1887" s="7" t="s">
        <v>428</v>
      </c>
      <c r="C1887" s="3"/>
      <c r="D1887" s="3" t="s">
        <v>429</v>
      </c>
      <c r="E1887" s="4" t="s">
        <v>32</v>
      </c>
      <c r="F1887" s="3"/>
      <c r="G1887" s="9">
        <v>126</v>
      </c>
      <c r="H1887" s="25">
        <f>SUM(H1888:H1890)</f>
        <v>126</v>
      </c>
      <c r="I1887" s="14"/>
      <c r="J1887" s="14" t="e">
        <f>SUM(J1888:J1890)</f>
        <v>#REF!</v>
      </c>
      <c r="K1887" s="18" t="e">
        <f>SUM(K1888:K1890)</f>
        <v>#REF!</v>
      </c>
      <c r="L1887" s="15">
        <f>SUM(L1888:L1890)</f>
        <v>126</v>
      </c>
      <c r="M1887" s="16" t="e">
        <f>SUM(M1888:M1890)</f>
        <v>#REF!</v>
      </c>
      <c r="N1887" s="60" t="e">
        <f>+SUMIFS(#REF!,#REF!,Planning[[#This Row],[Proyectos]],#REF!,Planning[[#This Row],[Tipo de Tarea y especialidad]])</f>
        <v>#REF!</v>
      </c>
      <c r="O1887" s="16">
        <f t="shared" si="58"/>
        <v>10</v>
      </c>
      <c r="P1887" s="16">
        <f t="shared" si="59"/>
        <v>2024</v>
      </c>
      <c r="Q1887" s="16" t="e">
        <f>SUM(Q1888:Q1890)</f>
        <v>#REF!</v>
      </c>
      <c r="R1887" s="16" t="str">
        <f>TEXT(Planning[[#This Row],[Mes]]*29,"mmmm")</f>
        <v>October</v>
      </c>
      <c r="S18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87" s="193"/>
      <c r="U1887" s="43" t="e">
        <f>IF(Planning[[#This Row],[Horas Planificadas]]&lt;&gt;0,+K1887/Planning[[#This Row],[Horas Planificadas]],0)</f>
        <v>#REF!</v>
      </c>
      <c r="V1887" s="43" t="e">
        <f>IF(Planning[[#This Row],[Horas Planificadas]]&lt;&gt;0,Planning[[#This Row],[Horas utilizadas]]/Planning[[#This Row],[Horas Planificadas]],0)</f>
        <v>#REF!</v>
      </c>
      <c r="W1887" s="44">
        <f>Planning[[#This Row],[Horas Planificadas]]+Planning[[#This Row],[Horas ajustadas adicionales]]</f>
        <v>126</v>
      </c>
      <c r="X1887" s="142"/>
    </row>
    <row r="1888" spans="1:24" x14ac:dyDescent="0.2">
      <c r="A1888" s="7" t="s">
        <v>117</v>
      </c>
      <c r="B1888" s="7" t="s">
        <v>428</v>
      </c>
      <c r="C1888" s="3"/>
      <c r="D1888" s="3" t="s">
        <v>429</v>
      </c>
      <c r="E1888" s="4"/>
      <c r="F1888" s="3" t="s">
        <v>129</v>
      </c>
      <c r="G1888" s="9"/>
      <c r="H1888" s="9"/>
      <c r="I1888" s="12"/>
      <c r="J1888" s="5" t="e">
        <f>SUM(SUMIFS(#REF!,#REF!,Planning[[#This Row],[Tipo de Tarea y especialidad]],#REF!,Planning[[#This Row],[Proyectos Reiwa]]),SUMIFS(#REF!,#REF!,Planning[[#This Row],[Tipo de Tarea y especialidad]],#REF!,Planning[[#This Row],[Proyectos]]))</f>
        <v>#REF!</v>
      </c>
      <c r="K1888" s="5" t="e">
        <f>Planning[[#This Row],[Horas Planificadas]]+Planning[[#This Row],[Horas ajustadas adicionales]]-Planning[[#This Row],[Horas utilizadas]]</f>
        <v>#REF!</v>
      </c>
      <c r="L1888" s="7">
        <v>0</v>
      </c>
      <c r="M1888" s="19" t="e">
        <f>Planning[[#This Row],[Saldo]]-Planning[[#This Row],[Saldo estimado]]</f>
        <v>#REF!</v>
      </c>
      <c r="N1888" s="60" t="e">
        <f>+SUMIFS(#REF!,#REF!,Planning[[#This Row],[Proyectos]],#REF!,Planning[[#This Row],[Tipo de Tarea y especialidad]])</f>
        <v>#REF!</v>
      </c>
      <c r="O1888" s="19">
        <f t="shared" si="58"/>
        <v>10</v>
      </c>
      <c r="P1888" s="19">
        <f t="shared" si="59"/>
        <v>2024</v>
      </c>
      <c r="Q18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88" s="19" t="str">
        <f>TEXT(Planning[[#This Row],[Mes]]*29,"mmmm")</f>
        <v>October</v>
      </c>
      <c r="S18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88" s="193"/>
      <c r="U1888" s="43">
        <f>IF(Planning[[#This Row],[Horas Planificadas]]&lt;&gt;0,+K1888/Planning[[#This Row],[Horas Planificadas]],0)</f>
        <v>0</v>
      </c>
      <c r="V1888" s="43">
        <f>IF(Planning[[#This Row],[Horas Planificadas]]&lt;&gt;0,Planning[[#This Row],[Horas utilizadas]]/Planning[[#This Row],[Horas Planificadas]],0)</f>
        <v>0</v>
      </c>
      <c r="W1888" s="44">
        <f>Planning[[#This Row],[Horas Planificadas]]+Planning[[#This Row],[Horas ajustadas adicionales]]</f>
        <v>0</v>
      </c>
      <c r="X1888" s="142"/>
    </row>
    <row r="1889" spans="1:24" x14ac:dyDescent="0.2">
      <c r="A1889" s="7" t="s">
        <v>117</v>
      </c>
      <c r="B1889" s="7" t="s">
        <v>428</v>
      </c>
      <c r="C1889" s="3"/>
      <c r="D1889" s="3" t="s">
        <v>429</v>
      </c>
      <c r="E1889" s="4"/>
      <c r="F1889" s="3" t="s">
        <v>130</v>
      </c>
      <c r="G1889" s="9"/>
      <c r="H1889" s="9">
        <v>126</v>
      </c>
      <c r="I1889" s="12"/>
      <c r="J1889" s="5" t="e">
        <f>SUM(SUMIFS(#REF!,#REF!,Planning[[#This Row],[Tipo de Tarea y especialidad]],#REF!,Planning[[#This Row],[Proyectos Reiwa]]),SUMIFS(#REF!,#REF!,Planning[[#This Row],[Tipo de Tarea y especialidad]],#REF!,Planning[[#This Row],[Proyectos]]))</f>
        <v>#REF!</v>
      </c>
      <c r="K1889" s="5" t="e">
        <f>Planning[[#This Row],[Horas Planificadas]]+Planning[[#This Row],[Horas ajustadas adicionales]]-Planning[[#This Row],[Horas utilizadas]]</f>
        <v>#REF!</v>
      </c>
      <c r="L1889" s="7">
        <v>126</v>
      </c>
      <c r="M1889" s="19" t="e">
        <f>Planning[[#This Row],[Saldo]]-Planning[[#This Row],[Saldo estimado]]</f>
        <v>#REF!</v>
      </c>
      <c r="N1889" s="60" t="e">
        <f>+SUMIFS(#REF!,#REF!,Planning[[#This Row],[Proyectos]],#REF!,Planning[[#This Row],[Tipo de Tarea y especialidad]])</f>
        <v>#REF!</v>
      </c>
      <c r="O1889" s="19">
        <f t="shared" si="58"/>
        <v>10</v>
      </c>
      <c r="P1889" s="19">
        <f t="shared" si="59"/>
        <v>2024</v>
      </c>
      <c r="Q18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89" s="19" t="str">
        <f>TEXT(Planning[[#This Row],[Mes]]*29,"mmmm")</f>
        <v>October</v>
      </c>
      <c r="S18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89" s="193"/>
      <c r="U1889" s="43" t="e">
        <f>IF(Planning[[#This Row],[Horas Planificadas]]&lt;&gt;0,+K1889/Planning[[#This Row],[Horas Planificadas]],0)</f>
        <v>#REF!</v>
      </c>
      <c r="V1889" s="43" t="e">
        <f>IF(Planning[[#This Row],[Horas Planificadas]]&lt;&gt;0,Planning[[#This Row],[Horas utilizadas]]/Planning[[#This Row],[Horas Planificadas]],0)</f>
        <v>#REF!</v>
      </c>
      <c r="W1889" s="44">
        <f>Planning[[#This Row],[Horas Planificadas]]+Planning[[#This Row],[Horas ajustadas adicionales]]</f>
        <v>126</v>
      </c>
      <c r="X1889" s="142"/>
    </row>
    <row r="1890" spans="1:24" x14ac:dyDescent="0.2">
      <c r="A1890" s="7" t="s">
        <v>117</v>
      </c>
      <c r="B1890" s="7" t="s">
        <v>428</v>
      </c>
      <c r="C1890" s="3"/>
      <c r="D1890" s="3" t="s">
        <v>429</v>
      </c>
      <c r="E1890" s="4"/>
      <c r="F1890" s="3" t="s">
        <v>131</v>
      </c>
      <c r="G1890" s="9"/>
      <c r="H1890" s="9"/>
      <c r="I1890" s="12"/>
      <c r="J1890" s="5" t="e">
        <f>SUM(SUMIFS(#REF!,#REF!,Planning[[#This Row],[Tipo de Tarea y especialidad]],#REF!,Planning[[#This Row],[Proyectos Reiwa]]),SUMIFS(#REF!,#REF!,Planning[[#This Row],[Tipo de Tarea y especialidad]],#REF!,Planning[[#This Row],[Proyectos]]))</f>
        <v>#REF!</v>
      </c>
      <c r="K1890" s="5" t="e">
        <f>Planning[[#This Row],[Horas Planificadas]]+Planning[[#This Row],[Horas ajustadas adicionales]]-Planning[[#This Row],[Horas utilizadas]]</f>
        <v>#REF!</v>
      </c>
      <c r="L1890" s="7"/>
      <c r="M1890" s="19" t="e">
        <f>Planning[[#This Row],[Saldo]]-Planning[[#This Row],[Saldo estimado]]</f>
        <v>#REF!</v>
      </c>
      <c r="N1890" s="60" t="e">
        <f>+SUMIFS(#REF!,#REF!,Planning[[#This Row],[Proyectos]],#REF!,Planning[[#This Row],[Tipo de Tarea y especialidad]])</f>
        <v>#REF!</v>
      </c>
      <c r="O1890" s="19">
        <f t="shared" si="58"/>
        <v>10</v>
      </c>
      <c r="P1890" s="19">
        <f t="shared" si="59"/>
        <v>2024</v>
      </c>
      <c r="Q18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890" s="19" t="str">
        <f>TEXT(Planning[[#This Row],[Mes]]*29,"mmmm")</f>
        <v>October</v>
      </c>
      <c r="S18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90" s="193"/>
      <c r="U1890" s="43">
        <f>IF(Planning[[#This Row],[Horas Planificadas]]&lt;&gt;0,+K1890/Planning[[#This Row],[Horas Planificadas]],0)</f>
        <v>0</v>
      </c>
      <c r="V1890" s="43">
        <f>IF(Planning[[#This Row],[Horas Planificadas]]&lt;&gt;0,Planning[[#This Row],[Horas utilizadas]]/Planning[[#This Row],[Horas Planificadas]],0)</f>
        <v>0</v>
      </c>
      <c r="W1890" s="44">
        <f>Planning[[#This Row],[Horas Planificadas]]+Planning[[#This Row],[Horas ajustadas adicionales]]</f>
        <v>0</v>
      </c>
      <c r="X1890" s="142"/>
    </row>
    <row r="1891" spans="1:24" ht="22.5" x14ac:dyDescent="0.2">
      <c r="A1891" s="7"/>
      <c r="B1891" s="7"/>
      <c r="C1891" s="3"/>
      <c r="D1891" s="3" t="s">
        <v>431</v>
      </c>
      <c r="E1891" s="4" t="s">
        <v>28</v>
      </c>
      <c r="F1891" s="3"/>
      <c r="G1891" s="9"/>
      <c r="H1891" s="9"/>
      <c r="I1891" s="12"/>
      <c r="J1891" s="5" t="e">
        <f>+SUMIFS(#REF!,#REF!,Planning[[#This Row],[Tarifa]],#REF!,Planning[[#This Row],[Proyectos]])</f>
        <v>#REF!</v>
      </c>
      <c r="K1891" s="5" t="e">
        <f>Planning[[#This Row],[Horas Planificadas]]+Planning[[#This Row],[Horas ajustadas adicionales]]-Planning[[#This Row],[Horas utilizadas]]</f>
        <v>#REF!</v>
      </c>
      <c r="L1891" s="7"/>
      <c r="M1891" s="19" t="e">
        <f>Planning[[#This Row],[Saldo]]-Planning[[#This Row],[Saldo estimado]]</f>
        <v>#REF!</v>
      </c>
      <c r="N1891" s="60" t="e">
        <f>+SUMIFS(#REF!,#REF!,Planning[[#This Row],[Proyectos]],#REF!,Planning[[#This Row],[Tipo de Tarea y especialidad]])</f>
        <v>#REF!</v>
      </c>
      <c r="O1891" s="19">
        <f t="shared" si="58"/>
        <v>10</v>
      </c>
      <c r="P1891" s="19">
        <f t="shared" si="59"/>
        <v>2024</v>
      </c>
      <c r="Q1891" s="19" t="e">
        <f>+SUMIFS(#REF!,#REF!,Planning[[#This Row],[Tarifa]],#REF!,Planning[[#This Row],[Proyectos]],#REF!,Planning[[#This Row],[Mes]],#REF!,Planning[[#This Row],[Año]])</f>
        <v>#REF!</v>
      </c>
      <c r="R1891" s="19" t="str">
        <f>TEXT(Planning[[#This Row],[Mes]]*29,"mmmm")</f>
        <v>October</v>
      </c>
      <c r="S18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91" s="228"/>
      <c r="U1891" s="43">
        <f>IF(Planning[[#This Row],[Horas Planificadas]]&lt;&gt;0,+K1891/Planning[[#This Row],[Horas Planificadas]],0)</f>
        <v>0</v>
      </c>
      <c r="V1891" s="43">
        <f>IF(Planning[[#This Row],[Horas Planificadas]]&lt;&gt;0,Planning[[#This Row],[Horas utilizadas]]/Planning[[#This Row],[Horas Planificadas]],0)</f>
        <v>0</v>
      </c>
      <c r="W1891" s="44">
        <f>Planning[[#This Row],[Horas Planificadas]]+Planning[[#This Row],[Horas ajustadas adicionales]]</f>
        <v>0</v>
      </c>
      <c r="X1891" s="142"/>
    </row>
    <row r="1892" spans="1:24" x14ac:dyDescent="0.2">
      <c r="A1892" s="7"/>
      <c r="B1892" s="7"/>
      <c r="C1892" s="3"/>
      <c r="D1892" s="3" t="s">
        <v>431</v>
      </c>
      <c r="E1892" s="4" t="s">
        <v>30</v>
      </c>
      <c r="F1892" s="3"/>
      <c r="G1892" s="9"/>
      <c r="H1892" s="9"/>
      <c r="I1892" s="12"/>
      <c r="J1892" s="5" t="e">
        <f>+SUMIFS(#REF!,#REF!,Planning[[#This Row],[Tarifa]],#REF!,Planning[[#This Row],[Proyectos]])</f>
        <v>#REF!</v>
      </c>
      <c r="K1892" s="5" t="e">
        <f>Planning[[#This Row],[Horas Planificadas]]+Planning[[#This Row],[Horas ajustadas adicionales]]-Planning[[#This Row],[Horas utilizadas]]</f>
        <v>#REF!</v>
      </c>
      <c r="L1892" s="7"/>
      <c r="M1892" s="19" t="e">
        <f>Planning[[#This Row],[Saldo]]-Planning[[#This Row],[Saldo estimado]]</f>
        <v>#REF!</v>
      </c>
      <c r="N1892" s="60" t="e">
        <f>+SUMIFS(#REF!,#REF!,Planning[[#This Row],[Proyectos]],#REF!,Planning[[#This Row],[Tipo de Tarea y especialidad]])</f>
        <v>#REF!</v>
      </c>
      <c r="O1892" s="19">
        <f t="shared" si="58"/>
        <v>10</v>
      </c>
      <c r="P1892" s="19">
        <f t="shared" si="59"/>
        <v>2024</v>
      </c>
      <c r="Q1892" s="19" t="e">
        <f>+SUMIFS(#REF!,#REF!,Planning[[#This Row],[Tarifa]],#REF!,Planning[[#This Row],[Proyectos]],#REF!,Planning[[#This Row],[Mes]],#REF!,Planning[[#This Row],[Año]])</f>
        <v>#REF!</v>
      </c>
      <c r="R1892" s="19" t="str">
        <f>TEXT(Planning[[#This Row],[Mes]]*29,"mmmm")</f>
        <v>October</v>
      </c>
      <c r="S18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92" s="228"/>
      <c r="U1892" s="43">
        <f>IF(Planning[[#This Row],[Horas Planificadas]]&lt;&gt;0,+K1892/Planning[[#This Row],[Horas Planificadas]],0)</f>
        <v>0</v>
      </c>
      <c r="V1892" s="43">
        <f>IF(Planning[[#This Row],[Horas Planificadas]]&lt;&gt;0,Planning[[#This Row],[Horas utilizadas]]/Planning[[#This Row],[Horas Planificadas]],0)</f>
        <v>0</v>
      </c>
      <c r="W1892" s="44">
        <f>Planning[[#This Row],[Horas Planificadas]]+Planning[[#This Row],[Horas ajustadas adicionales]]</f>
        <v>0</v>
      </c>
      <c r="X1892" s="142"/>
    </row>
    <row r="1893" spans="1:24" x14ac:dyDescent="0.2">
      <c r="A1893" s="7"/>
      <c r="B1893" s="7"/>
      <c r="C1893" s="3"/>
      <c r="D1893" s="3" t="s">
        <v>431</v>
      </c>
      <c r="E1893" s="4" t="s">
        <v>31</v>
      </c>
      <c r="F1893" s="3"/>
      <c r="G1893" s="9"/>
      <c r="H1893" s="9"/>
      <c r="I1893" s="12"/>
      <c r="J1893" s="5" t="e">
        <f>+SUMIFS(#REF!,#REF!,Planning[[#This Row],[Tarifa]],#REF!,Planning[[#This Row],[Proyectos]])</f>
        <v>#REF!</v>
      </c>
      <c r="K1893" s="5" t="e">
        <f>Planning[[#This Row],[Horas Planificadas]]+Planning[[#This Row],[Horas ajustadas adicionales]]-Planning[[#This Row],[Horas utilizadas]]</f>
        <v>#REF!</v>
      </c>
      <c r="L1893" s="7"/>
      <c r="M1893" s="19" t="e">
        <f>Planning[[#This Row],[Saldo]]-Planning[[#This Row],[Saldo estimado]]</f>
        <v>#REF!</v>
      </c>
      <c r="N1893" s="60" t="e">
        <f>+SUMIFS(#REF!,#REF!,Planning[[#This Row],[Proyectos]],#REF!,Planning[[#This Row],[Tipo de Tarea y especialidad]])</f>
        <v>#REF!</v>
      </c>
      <c r="O1893" s="19">
        <f t="shared" si="58"/>
        <v>10</v>
      </c>
      <c r="P1893" s="19">
        <f t="shared" si="59"/>
        <v>2024</v>
      </c>
      <c r="Q1893" s="19" t="e">
        <f>+SUMIFS(#REF!,#REF!,Planning[[#This Row],[Tarifa]],#REF!,Planning[[#This Row],[Proyectos]],#REF!,Planning[[#This Row],[Mes]],#REF!,Planning[[#This Row],[Año]])</f>
        <v>#REF!</v>
      </c>
      <c r="R1893" s="19" t="str">
        <f>TEXT(Planning[[#This Row],[Mes]]*29,"mmmm")</f>
        <v>October</v>
      </c>
      <c r="S18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93" s="228"/>
      <c r="U1893" s="43">
        <f>IF(Planning[[#This Row],[Horas Planificadas]]&lt;&gt;0,+K1893/Planning[[#This Row],[Horas Planificadas]],0)</f>
        <v>0</v>
      </c>
      <c r="V1893" s="43">
        <f>IF(Planning[[#This Row],[Horas Planificadas]]&lt;&gt;0,Planning[[#This Row],[Horas utilizadas]]/Planning[[#This Row],[Horas Planificadas]],0)</f>
        <v>0</v>
      </c>
      <c r="W1893" s="44">
        <f>Planning[[#This Row],[Horas Planificadas]]+Planning[[#This Row],[Horas ajustadas adicionales]]</f>
        <v>0</v>
      </c>
      <c r="X1893" s="142"/>
    </row>
    <row r="1894" spans="1:24" ht="22.5" x14ac:dyDescent="0.2">
      <c r="A1894" s="7"/>
      <c r="B1894" s="7"/>
      <c r="C1894" s="3"/>
      <c r="D1894" s="3" t="s">
        <v>431</v>
      </c>
      <c r="E1894" s="4" t="s">
        <v>32</v>
      </c>
      <c r="F1894" s="3"/>
      <c r="G1894" s="9"/>
      <c r="H1894" s="9"/>
      <c r="I1894" s="12"/>
      <c r="J1894" s="5" t="e">
        <f>+SUMIFS(#REF!,#REF!,Planning[[#This Row],[Tarifa]],#REF!,Planning[[#This Row],[Proyectos]])</f>
        <v>#REF!</v>
      </c>
      <c r="K1894" s="5" t="e">
        <f>Planning[[#This Row],[Horas Planificadas]]+Planning[[#This Row],[Horas ajustadas adicionales]]-Planning[[#This Row],[Horas utilizadas]]</f>
        <v>#REF!</v>
      </c>
      <c r="L1894" s="7"/>
      <c r="M1894" s="19" t="e">
        <f>Planning[[#This Row],[Saldo]]-Planning[[#This Row],[Saldo estimado]]</f>
        <v>#REF!</v>
      </c>
      <c r="N1894" s="60" t="e">
        <f>+SUMIFS(#REF!,#REF!,Planning[[#This Row],[Proyectos]],#REF!,Planning[[#This Row],[Tipo de Tarea y especialidad]])</f>
        <v>#REF!</v>
      </c>
      <c r="O1894" s="19">
        <f t="shared" si="58"/>
        <v>10</v>
      </c>
      <c r="P1894" s="19">
        <f t="shared" si="59"/>
        <v>2024</v>
      </c>
      <c r="Q1894" s="19" t="e">
        <f>+SUMIFS(#REF!,#REF!,Planning[[#This Row],[Tarifa]],#REF!,Planning[[#This Row],[Proyectos]],#REF!,Planning[[#This Row],[Mes]],#REF!,Planning[[#This Row],[Año]])</f>
        <v>#REF!</v>
      </c>
      <c r="R1894" s="19" t="str">
        <f>TEXT(Planning[[#This Row],[Mes]]*29,"mmmm")</f>
        <v>October</v>
      </c>
      <c r="S18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94" s="228"/>
      <c r="U1894" s="43">
        <f>IF(Planning[[#This Row],[Horas Planificadas]]&lt;&gt;0,+K1894/Planning[[#This Row],[Horas Planificadas]],0)</f>
        <v>0</v>
      </c>
      <c r="V1894" s="43">
        <f>IF(Planning[[#This Row],[Horas Planificadas]]&lt;&gt;0,Planning[[#This Row],[Horas utilizadas]]/Planning[[#This Row],[Horas Planificadas]],0)</f>
        <v>0</v>
      </c>
      <c r="W1894" s="44">
        <f>Planning[[#This Row],[Horas Planificadas]]+Planning[[#This Row],[Horas ajustadas adicionales]]</f>
        <v>0</v>
      </c>
      <c r="X1894" s="142"/>
    </row>
    <row r="1895" spans="1:24" ht="22.5" x14ac:dyDescent="0.2">
      <c r="A1895" s="7"/>
      <c r="B1895" s="7"/>
      <c r="C1895" s="3"/>
      <c r="D1895" s="3" t="s">
        <v>432</v>
      </c>
      <c r="E1895" s="4" t="s">
        <v>28</v>
      </c>
      <c r="F1895" s="3"/>
      <c r="G1895" s="9"/>
      <c r="H1895" s="12">
        <v>0</v>
      </c>
      <c r="I1895" s="12"/>
      <c r="J1895" s="5" t="e">
        <f>+SUMIFS(#REF!,#REF!,Planning[[#This Row],[Tarifa]],#REF!,Planning[[#This Row],[Proyectos]])</f>
        <v>#REF!</v>
      </c>
      <c r="K1895" s="27" t="e">
        <f>Planning[[#This Row],[Horas Planificadas]]+Planning[[#This Row],[Horas ajustadas adicionales]]-Planning[[#This Row],[Horas utilizadas]]</f>
        <v>#REF!</v>
      </c>
      <c r="L1895" s="7"/>
      <c r="M1895" s="19" t="e">
        <f>Planning[[#This Row],[Saldo]]-Planning[[#This Row],[Saldo estimado]]</f>
        <v>#REF!</v>
      </c>
      <c r="N1895" s="60" t="e">
        <f>+SUMIFS(#REF!,#REF!,Planning[[#This Row],[Proyectos]],#REF!,Planning[[#This Row],[Tipo de Tarea y especialidad]])</f>
        <v>#REF!</v>
      </c>
      <c r="O1895" s="19">
        <f t="shared" si="58"/>
        <v>10</v>
      </c>
      <c r="P1895" s="19">
        <f t="shared" si="59"/>
        <v>2024</v>
      </c>
      <c r="Q1895" s="19" t="e">
        <f>+SUMIFS(#REF!,#REF!,Planning[[#This Row],[Tarifa]],#REF!,Planning[[#This Row],[Proyectos]],#REF!,Planning[[#This Row],[Mes]],#REF!,Planning[[#This Row],[Año]])</f>
        <v>#REF!</v>
      </c>
      <c r="R1895" s="19" t="str">
        <f>TEXT(Planning[[#This Row],[Mes]]*29,"mmmm")</f>
        <v>October</v>
      </c>
      <c r="S18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95" s="228"/>
      <c r="U1895" s="43">
        <f>IF(Planning[[#This Row],[Horas Planificadas]]&lt;&gt;0,+K1895/Planning[[#This Row],[Horas Planificadas]],0)</f>
        <v>0</v>
      </c>
      <c r="V1895" s="43">
        <f>IF(Planning[[#This Row],[Horas Planificadas]]&lt;&gt;0,Planning[[#This Row],[Horas utilizadas]]/Planning[[#This Row],[Horas Planificadas]],0)</f>
        <v>0</v>
      </c>
      <c r="W1895" s="44">
        <f>Planning[[#This Row],[Horas Planificadas]]+Planning[[#This Row],[Horas ajustadas adicionales]]</f>
        <v>0</v>
      </c>
      <c r="X1895" s="142"/>
    </row>
    <row r="1896" spans="1:24" x14ac:dyDescent="0.2">
      <c r="A1896" s="7"/>
      <c r="B1896" s="7"/>
      <c r="C1896" s="3"/>
      <c r="D1896" s="3" t="s">
        <v>432</v>
      </c>
      <c r="E1896" s="4" t="s">
        <v>30</v>
      </c>
      <c r="F1896" s="3"/>
      <c r="G1896" s="9"/>
      <c r="H1896" s="9">
        <v>0</v>
      </c>
      <c r="I1896" s="12"/>
      <c r="J1896" s="5" t="e">
        <f>+SUMIFS(#REF!,#REF!,Planning[[#This Row],[Tarifa]],#REF!,Planning[[#This Row],[Proyectos]])</f>
        <v>#REF!</v>
      </c>
      <c r="K1896" s="5" t="e">
        <f>Planning[[#This Row],[Horas Planificadas]]+Planning[[#This Row],[Horas ajustadas adicionales]]-Planning[[#This Row],[Horas utilizadas]]</f>
        <v>#REF!</v>
      </c>
      <c r="L1896" s="7"/>
      <c r="M1896" s="19" t="e">
        <f>Planning[[#This Row],[Saldo]]-Planning[[#This Row],[Saldo estimado]]</f>
        <v>#REF!</v>
      </c>
      <c r="N1896" s="60" t="e">
        <f>+SUMIFS(#REF!,#REF!,Planning[[#This Row],[Proyectos]],#REF!,Planning[[#This Row],[Tipo de Tarea y especialidad]])</f>
        <v>#REF!</v>
      </c>
      <c r="O1896" s="19">
        <f t="shared" si="58"/>
        <v>10</v>
      </c>
      <c r="P1896" s="19">
        <f t="shared" si="59"/>
        <v>2024</v>
      </c>
      <c r="Q1896" s="19" t="e">
        <f>+SUMIFS(#REF!,#REF!,Planning[[#This Row],[Tarifa]],#REF!,Planning[[#This Row],[Proyectos]],#REF!,Planning[[#This Row],[Mes]],#REF!,Planning[[#This Row],[Año]])</f>
        <v>#REF!</v>
      </c>
      <c r="R1896" s="19" t="str">
        <f>TEXT(Planning[[#This Row],[Mes]]*29,"mmmm")</f>
        <v>October</v>
      </c>
      <c r="S18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96" s="228"/>
      <c r="U1896" s="43">
        <f>IF(Planning[[#This Row],[Horas Planificadas]]&lt;&gt;0,+K1896/Planning[[#This Row],[Horas Planificadas]],0)</f>
        <v>0</v>
      </c>
      <c r="V1896" s="43">
        <f>IF(Planning[[#This Row],[Horas Planificadas]]&lt;&gt;0,Planning[[#This Row],[Horas utilizadas]]/Planning[[#This Row],[Horas Planificadas]],0)</f>
        <v>0</v>
      </c>
      <c r="W1896" s="44">
        <f>Planning[[#This Row],[Horas Planificadas]]+Planning[[#This Row],[Horas ajustadas adicionales]]</f>
        <v>0</v>
      </c>
      <c r="X1896" s="142"/>
    </row>
    <row r="1897" spans="1:24" x14ac:dyDescent="0.2">
      <c r="A1897" s="7"/>
      <c r="B1897" s="7"/>
      <c r="C1897" s="3"/>
      <c r="D1897" s="3" t="s">
        <v>432</v>
      </c>
      <c r="E1897" s="4" t="s">
        <v>31</v>
      </c>
      <c r="F1897" s="3"/>
      <c r="G1897" s="9"/>
      <c r="H1897" s="9">
        <v>54</v>
      </c>
      <c r="I1897" s="12"/>
      <c r="J1897" s="5" t="e">
        <f>+SUMIFS(#REF!,#REF!,Planning[[#This Row],[Tarifa]],#REF!,Planning[[#This Row],[Proyectos]])</f>
        <v>#REF!</v>
      </c>
      <c r="K1897" s="5" t="e">
        <f>Planning[[#This Row],[Horas Planificadas]]+Planning[[#This Row],[Horas ajustadas adicionales]]-Planning[[#This Row],[Horas utilizadas]]</f>
        <v>#REF!</v>
      </c>
      <c r="L1897" s="7"/>
      <c r="M1897" s="19" t="e">
        <f>Planning[[#This Row],[Saldo]]-Planning[[#This Row],[Saldo estimado]]</f>
        <v>#REF!</v>
      </c>
      <c r="N1897" s="60" t="e">
        <f>+SUMIFS(#REF!,#REF!,Planning[[#This Row],[Proyectos]],#REF!,Planning[[#This Row],[Tipo de Tarea y especialidad]])</f>
        <v>#REF!</v>
      </c>
      <c r="O1897" s="19">
        <f t="shared" si="58"/>
        <v>10</v>
      </c>
      <c r="P1897" s="19">
        <f t="shared" si="59"/>
        <v>2024</v>
      </c>
      <c r="Q1897" s="19" t="e">
        <f>+SUMIFS(#REF!,#REF!,Planning[[#This Row],[Tarifa]],#REF!,Planning[[#This Row],[Proyectos]],#REF!,Planning[[#This Row],[Mes]],#REF!,Planning[[#This Row],[Año]])</f>
        <v>#REF!</v>
      </c>
      <c r="R1897" s="19" t="str">
        <f>TEXT(Planning[[#This Row],[Mes]]*29,"mmmm")</f>
        <v>October</v>
      </c>
      <c r="S18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97" s="228"/>
      <c r="U1897" s="43" t="e">
        <f>IF(Planning[[#This Row],[Horas Planificadas]]&lt;&gt;0,+K1897/Planning[[#This Row],[Horas Planificadas]],0)</f>
        <v>#REF!</v>
      </c>
      <c r="V1897" s="43" t="e">
        <f>IF(Planning[[#This Row],[Horas Planificadas]]&lt;&gt;0,Planning[[#This Row],[Horas utilizadas]]/Planning[[#This Row],[Horas Planificadas]],0)</f>
        <v>#REF!</v>
      </c>
      <c r="W1897" s="44">
        <f>Planning[[#This Row],[Horas Planificadas]]+Planning[[#This Row],[Horas ajustadas adicionales]]</f>
        <v>54</v>
      </c>
      <c r="X1897" s="142"/>
    </row>
    <row r="1898" spans="1:24" ht="22.5" x14ac:dyDescent="0.2">
      <c r="A1898" s="7"/>
      <c r="B1898" s="7"/>
      <c r="C1898" s="3"/>
      <c r="D1898" s="3" t="s">
        <v>432</v>
      </c>
      <c r="E1898" s="4" t="s">
        <v>32</v>
      </c>
      <c r="F1898" s="3"/>
      <c r="G1898" s="9"/>
      <c r="H1898" s="9">
        <v>160</v>
      </c>
      <c r="I1898" s="12"/>
      <c r="J1898" s="5" t="e">
        <f>+SUMIFS(#REF!,#REF!,Planning[[#This Row],[Tarifa]],#REF!,Planning[[#This Row],[Proyectos]])</f>
        <v>#REF!</v>
      </c>
      <c r="K1898" s="5" t="e">
        <f>Planning[[#This Row],[Horas Planificadas]]+Planning[[#This Row],[Horas ajustadas adicionales]]-Planning[[#This Row],[Horas utilizadas]]</f>
        <v>#REF!</v>
      </c>
      <c r="L1898" s="7"/>
      <c r="M1898" s="19" t="e">
        <f>Planning[[#This Row],[Saldo]]-Planning[[#This Row],[Saldo estimado]]</f>
        <v>#REF!</v>
      </c>
      <c r="N1898" s="60" t="e">
        <f>+SUMIFS(#REF!,#REF!,Planning[[#This Row],[Proyectos]],#REF!,Planning[[#This Row],[Tipo de Tarea y especialidad]])</f>
        <v>#REF!</v>
      </c>
      <c r="O1898" s="19">
        <f t="shared" si="58"/>
        <v>10</v>
      </c>
      <c r="P1898" s="19">
        <f t="shared" si="59"/>
        <v>2024</v>
      </c>
      <c r="Q1898" s="19" t="e">
        <f>+SUMIFS(#REF!,#REF!,Planning[[#This Row],[Tarifa]],#REF!,Planning[[#This Row],[Proyectos]],#REF!,Planning[[#This Row],[Mes]],#REF!,Planning[[#This Row],[Año]])</f>
        <v>#REF!</v>
      </c>
      <c r="R1898" s="19" t="str">
        <f>TEXT(Planning[[#This Row],[Mes]]*29,"mmmm")</f>
        <v>October</v>
      </c>
      <c r="S18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98" s="228"/>
      <c r="U1898" s="43" t="e">
        <f>IF(Planning[[#This Row],[Horas Planificadas]]&lt;&gt;0,+K1898/Planning[[#This Row],[Horas Planificadas]],0)</f>
        <v>#REF!</v>
      </c>
      <c r="V1898" s="43" t="e">
        <f>IF(Planning[[#This Row],[Horas Planificadas]]&lt;&gt;0,Planning[[#This Row],[Horas utilizadas]]/Planning[[#This Row],[Horas Planificadas]],0)</f>
        <v>#REF!</v>
      </c>
      <c r="W1898" s="44">
        <f>Planning[[#This Row],[Horas Planificadas]]+Planning[[#This Row],[Horas ajustadas adicionales]]</f>
        <v>160</v>
      </c>
      <c r="X1898" s="142"/>
    </row>
    <row r="1899" spans="1:24" ht="12.75" customHeight="1" x14ac:dyDescent="0.2">
      <c r="A1899" s="7"/>
      <c r="B1899" s="7" t="s">
        <v>288</v>
      </c>
      <c r="C1899" s="3"/>
      <c r="D1899" s="3" t="s">
        <v>433</v>
      </c>
      <c r="E1899" s="4" t="s">
        <v>28</v>
      </c>
      <c r="F1899" s="3"/>
      <c r="G1899" s="9">
        <v>50</v>
      </c>
      <c r="H1899" s="14">
        <f>SUM(H1900:H1901)</f>
        <v>50</v>
      </c>
      <c r="I1899" s="14"/>
      <c r="J1899" s="14" t="e">
        <f>SUM(J1900:J1901)</f>
        <v>#REF!</v>
      </c>
      <c r="K1899" s="15" t="e">
        <f>SUM(K1900:K1901)</f>
        <v>#REF!</v>
      </c>
      <c r="L1899" s="15">
        <f>SUM(L1900:L1901)</f>
        <v>0</v>
      </c>
      <c r="M1899" s="14" t="e">
        <f>SUM(M1900:M1901)</f>
        <v>#REF!</v>
      </c>
      <c r="N1899" s="66" t="e">
        <f>+SUMIFS(#REF!,#REF!,Planning[[#This Row],[Proyectos]],#REF!,Planning[[#This Row],[Tipo de Tarea y especialidad]])</f>
        <v>#REF!</v>
      </c>
      <c r="O1899" s="14">
        <f t="shared" si="58"/>
        <v>10</v>
      </c>
      <c r="P1899" s="14">
        <f t="shared" si="59"/>
        <v>2024</v>
      </c>
      <c r="Q1899" s="28" t="e">
        <f>SUM(Q1900:Q1901)</f>
        <v>#REF!</v>
      </c>
      <c r="R1899" s="28" t="str">
        <f>TEXT(Planning[[#This Row],[Mes]]*29,"mmmm")</f>
        <v>October</v>
      </c>
      <c r="S18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899" s="207" t="s">
        <v>434</v>
      </c>
      <c r="U1899" s="43" t="e">
        <f>IF(Planning[[#This Row],[Horas Planificadas]]&lt;&gt;0,+K1899/Planning[[#This Row],[Horas Planificadas]],0)</f>
        <v>#REF!</v>
      </c>
      <c r="V1899" s="43" t="e">
        <f>IF(Planning[[#This Row],[Horas Planificadas]]&lt;&gt;0,Planning[[#This Row],[Horas utilizadas]]/Planning[[#This Row],[Horas Planificadas]],0)</f>
        <v>#REF!</v>
      </c>
      <c r="W1899" s="44">
        <f>Planning[[#This Row],[Horas Planificadas]]+Planning[[#This Row],[Horas ajustadas adicionales]]</f>
        <v>50</v>
      </c>
      <c r="X1899" s="142"/>
    </row>
    <row r="1900" spans="1:24" x14ac:dyDescent="0.2">
      <c r="A1900" s="7"/>
      <c r="B1900" s="7" t="s">
        <v>288</v>
      </c>
      <c r="C1900" s="3"/>
      <c r="D1900" s="3" t="s">
        <v>433</v>
      </c>
      <c r="E1900" s="4"/>
      <c r="F1900" s="3" t="s">
        <v>120</v>
      </c>
      <c r="G1900" s="9"/>
      <c r="H1900" s="9">
        <v>50</v>
      </c>
      <c r="I1900" s="12"/>
      <c r="J1900" s="5" t="e">
        <f>SUM(SUMIFS(#REF!,#REF!,Planning[[#This Row],[Tipo de Tarea y especialidad]],#REF!,Planning[[#This Row],[Proyectos Reiwa]]),SUMIFS(#REF!,#REF!,Planning[[#This Row],[Tipo de Tarea y especialidad]],#REF!,Planning[[#This Row],[Proyectos]]))</f>
        <v>#REF!</v>
      </c>
      <c r="K1900" s="5" t="e">
        <f>Planning[[#This Row],[Horas Planificadas]]+Planning[[#This Row],[Horas ajustadas adicionales]]-Planning[[#This Row],[Horas utilizadas]]</f>
        <v>#REF!</v>
      </c>
      <c r="L1900" s="7">
        <v>0</v>
      </c>
      <c r="M1900" s="19" t="e">
        <f>Planning[[#This Row],[Saldo]]-Planning[[#This Row],[Saldo estimado]]</f>
        <v>#REF!</v>
      </c>
      <c r="N1900" s="60" t="e">
        <f>+SUMIFS(#REF!,#REF!,Planning[[#This Row],[Proyectos]],#REF!,Planning[[#This Row],[Tipo de Tarea y especialidad]])</f>
        <v>#REF!</v>
      </c>
      <c r="O1900" s="19">
        <f t="shared" si="58"/>
        <v>10</v>
      </c>
      <c r="P1900" s="19">
        <f t="shared" si="59"/>
        <v>2024</v>
      </c>
      <c r="Q19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00" s="19" t="str">
        <f>TEXT(Planning[[#This Row],[Mes]]*29,"mmmm")</f>
        <v>October</v>
      </c>
      <c r="S19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00" s="208"/>
      <c r="U1900" s="43" t="e">
        <f>IF(Planning[[#This Row],[Horas Planificadas]]&lt;&gt;0,+K1900/Planning[[#This Row],[Horas Planificadas]],0)</f>
        <v>#REF!</v>
      </c>
      <c r="V1900" s="43" t="e">
        <f>IF(Planning[[#This Row],[Horas Planificadas]]&lt;&gt;0,Planning[[#This Row],[Horas utilizadas]]/Planning[[#This Row],[Horas Planificadas]],0)</f>
        <v>#REF!</v>
      </c>
      <c r="W1900" s="44">
        <f>Planning[[#This Row],[Horas Planificadas]]+Planning[[#This Row],[Horas ajustadas adicionales]]</f>
        <v>50</v>
      </c>
      <c r="X1900" s="142"/>
    </row>
    <row r="1901" spans="1:24" x14ac:dyDescent="0.2">
      <c r="A1901" s="7"/>
      <c r="B1901" s="7" t="s">
        <v>288</v>
      </c>
      <c r="C1901" s="3"/>
      <c r="D1901" s="3" t="s">
        <v>433</v>
      </c>
      <c r="E1901" s="4"/>
      <c r="F1901" s="3" t="s">
        <v>121</v>
      </c>
      <c r="G1901" s="9"/>
      <c r="H1901" s="9"/>
      <c r="I1901" s="12"/>
      <c r="J1901" s="5" t="e">
        <f>SUM(SUMIFS(#REF!,#REF!,Planning[[#This Row],[Tipo de Tarea y especialidad]],#REF!,Planning[[#This Row],[Proyectos Reiwa]]),SUMIFS(#REF!,#REF!,Planning[[#This Row],[Tipo de Tarea y especialidad]],#REF!,Planning[[#This Row],[Proyectos]]))</f>
        <v>#REF!</v>
      </c>
      <c r="K1901" s="5" t="e">
        <f>Planning[[#This Row],[Horas Planificadas]]+Planning[[#This Row],[Horas ajustadas adicionales]]-Planning[[#This Row],[Horas utilizadas]]</f>
        <v>#REF!</v>
      </c>
      <c r="L1901" s="7"/>
      <c r="M1901" s="19" t="e">
        <f>Planning[[#This Row],[Saldo]]-Planning[[#This Row],[Saldo estimado]]</f>
        <v>#REF!</v>
      </c>
      <c r="N1901" s="60" t="e">
        <f>+SUMIFS(#REF!,#REF!,Planning[[#This Row],[Proyectos]],#REF!,Planning[[#This Row],[Tipo de Tarea y especialidad]])</f>
        <v>#REF!</v>
      </c>
      <c r="O1901" s="19">
        <f t="shared" si="58"/>
        <v>10</v>
      </c>
      <c r="P1901" s="19">
        <f t="shared" si="59"/>
        <v>2024</v>
      </c>
      <c r="Q19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01" s="19" t="str">
        <f>TEXT(Planning[[#This Row],[Mes]]*29,"mmmm")</f>
        <v>October</v>
      </c>
      <c r="S19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01" s="208"/>
      <c r="U1901" s="43">
        <f>IF(Planning[[#This Row],[Horas Planificadas]]&lt;&gt;0,+K1901/Planning[[#This Row],[Horas Planificadas]],0)</f>
        <v>0</v>
      </c>
      <c r="V1901" s="43">
        <f>IF(Planning[[#This Row],[Horas Planificadas]]&lt;&gt;0,Planning[[#This Row],[Horas utilizadas]]/Planning[[#This Row],[Horas Planificadas]],0)</f>
        <v>0</v>
      </c>
      <c r="W1901" s="44">
        <f>Planning[[#This Row],[Horas Planificadas]]+Planning[[#This Row],[Horas ajustadas adicionales]]</f>
        <v>0</v>
      </c>
      <c r="X1901" s="142"/>
    </row>
    <row r="1902" spans="1:24" x14ac:dyDescent="0.2">
      <c r="A1902" s="7"/>
      <c r="B1902" s="7" t="s">
        <v>288</v>
      </c>
      <c r="C1902" s="3"/>
      <c r="D1902" s="3" t="s">
        <v>433</v>
      </c>
      <c r="E1902" s="4" t="s">
        <v>30</v>
      </c>
      <c r="F1902" s="3"/>
      <c r="G1902" s="9">
        <v>110</v>
      </c>
      <c r="H1902" s="14">
        <f>SUM(H1903:H1909)</f>
        <v>110</v>
      </c>
      <c r="I1902" s="14"/>
      <c r="J1902" s="14" t="e">
        <f>SUM(J1903:J1909)</f>
        <v>#REF!</v>
      </c>
      <c r="K1902" s="15" t="e">
        <f>SUM(K1903:K1909)</f>
        <v>#REF!</v>
      </c>
      <c r="L1902" s="15">
        <f>SUM(L1903:L1909)</f>
        <v>0</v>
      </c>
      <c r="M1902" s="16" t="e">
        <f>SUM(M1903:M1909)</f>
        <v>#REF!</v>
      </c>
      <c r="N1902" s="60" t="e">
        <f>+SUMIFS(#REF!,#REF!,Planning[[#This Row],[Proyectos]],#REF!,Planning[[#This Row],[Tipo de Tarea y especialidad]])</f>
        <v>#REF!</v>
      </c>
      <c r="O1902" s="16">
        <f t="shared" si="58"/>
        <v>10</v>
      </c>
      <c r="P1902" s="16">
        <f t="shared" si="59"/>
        <v>2024</v>
      </c>
      <c r="Q1902" s="16" t="e">
        <f>SUM(Q1903:Q1909)</f>
        <v>#REF!</v>
      </c>
      <c r="R1902" s="16" t="str">
        <f>TEXT(Planning[[#This Row],[Mes]]*29,"mmmm")</f>
        <v>October</v>
      </c>
      <c r="S19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02" s="208"/>
      <c r="U1902" s="43" t="e">
        <f>IF(Planning[[#This Row],[Horas Planificadas]]&lt;&gt;0,+K1902/Planning[[#This Row],[Horas Planificadas]],0)</f>
        <v>#REF!</v>
      </c>
      <c r="V1902" s="43" t="e">
        <f>IF(Planning[[#This Row],[Horas Planificadas]]&lt;&gt;0,Planning[[#This Row],[Horas utilizadas]]/Planning[[#This Row],[Horas Planificadas]],0)</f>
        <v>#REF!</v>
      </c>
      <c r="W1902" s="44">
        <f>Planning[[#This Row],[Horas Planificadas]]+Planning[[#This Row],[Horas ajustadas adicionales]]</f>
        <v>110</v>
      </c>
      <c r="X1902" s="142"/>
    </row>
    <row r="1903" spans="1:24" x14ac:dyDescent="0.2">
      <c r="A1903" s="7"/>
      <c r="B1903" s="7" t="s">
        <v>288</v>
      </c>
      <c r="C1903" s="3"/>
      <c r="D1903" s="3" t="s">
        <v>433</v>
      </c>
      <c r="E1903" s="4"/>
      <c r="F1903" s="3" t="s">
        <v>122</v>
      </c>
      <c r="G1903" s="9"/>
      <c r="H1903" s="9"/>
      <c r="I1903" s="12"/>
      <c r="J1903" s="5" t="e">
        <f>SUM(SUMIFS(#REF!,#REF!,Planning[[#This Row],[Tipo de Tarea y especialidad]],#REF!,Planning[[#This Row],[Proyectos Reiwa]]),SUMIFS(#REF!,#REF!,Planning[[#This Row],[Tipo de Tarea y especialidad]],#REF!,Planning[[#This Row],[Proyectos]]))</f>
        <v>#REF!</v>
      </c>
      <c r="K1903" s="5" t="e">
        <f>Planning[[#This Row],[Horas Planificadas]]+Planning[[#This Row],[Horas ajustadas adicionales]]-Planning[[#This Row],[Horas utilizadas]]</f>
        <v>#REF!</v>
      </c>
      <c r="L1903" s="7"/>
      <c r="M1903" s="19" t="e">
        <f>Planning[[#This Row],[Saldo]]-Planning[[#This Row],[Saldo estimado]]</f>
        <v>#REF!</v>
      </c>
      <c r="N1903" s="60" t="e">
        <f>+SUMIFS(#REF!,#REF!,Planning[[#This Row],[Proyectos]],#REF!,Planning[[#This Row],[Tipo de Tarea y especialidad]])</f>
        <v>#REF!</v>
      </c>
      <c r="O1903" s="19">
        <f t="shared" si="58"/>
        <v>10</v>
      </c>
      <c r="P1903" s="19">
        <f t="shared" si="59"/>
        <v>2024</v>
      </c>
      <c r="Q19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03" s="19" t="str">
        <f>TEXT(Planning[[#This Row],[Mes]]*29,"mmmm")</f>
        <v>October</v>
      </c>
      <c r="S19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03" s="208"/>
      <c r="U1903" s="43">
        <f>IF(Planning[[#This Row],[Horas Planificadas]]&lt;&gt;0,+K1903/Planning[[#This Row],[Horas Planificadas]],0)</f>
        <v>0</v>
      </c>
      <c r="V1903" s="43">
        <f>IF(Planning[[#This Row],[Horas Planificadas]]&lt;&gt;0,Planning[[#This Row],[Horas utilizadas]]/Planning[[#This Row],[Horas Planificadas]],0)</f>
        <v>0</v>
      </c>
      <c r="W1903" s="44">
        <f>Planning[[#This Row],[Horas Planificadas]]+Planning[[#This Row],[Horas ajustadas adicionales]]</f>
        <v>0</v>
      </c>
      <c r="X1903" s="142"/>
    </row>
    <row r="1904" spans="1:24" x14ac:dyDescent="0.2">
      <c r="A1904" s="7"/>
      <c r="B1904" s="7" t="s">
        <v>288</v>
      </c>
      <c r="C1904" s="3"/>
      <c r="D1904" s="3" t="s">
        <v>433</v>
      </c>
      <c r="E1904" s="4"/>
      <c r="F1904" s="3" t="s">
        <v>123</v>
      </c>
      <c r="G1904" s="9"/>
      <c r="H1904" s="9"/>
      <c r="I1904" s="12"/>
      <c r="J1904" s="5" t="e">
        <f>SUM(SUMIFS(#REF!,#REF!,Planning[[#This Row],[Tipo de Tarea y especialidad]],#REF!,Planning[[#This Row],[Proyectos Reiwa]]),SUMIFS(#REF!,#REF!,Planning[[#This Row],[Tipo de Tarea y especialidad]],#REF!,Planning[[#This Row],[Proyectos]]))</f>
        <v>#REF!</v>
      </c>
      <c r="K1904" s="5" t="e">
        <f>Planning[[#This Row],[Horas Planificadas]]+Planning[[#This Row],[Horas ajustadas adicionales]]-Planning[[#This Row],[Horas utilizadas]]</f>
        <v>#REF!</v>
      </c>
      <c r="L1904" s="7"/>
      <c r="M1904" s="19" t="e">
        <f>Planning[[#This Row],[Saldo]]-Planning[[#This Row],[Saldo estimado]]</f>
        <v>#REF!</v>
      </c>
      <c r="N1904" s="60" t="e">
        <f>+SUMIFS(#REF!,#REF!,Planning[[#This Row],[Proyectos]],#REF!,Planning[[#This Row],[Tipo de Tarea y especialidad]])</f>
        <v>#REF!</v>
      </c>
      <c r="O1904" s="19">
        <f t="shared" si="58"/>
        <v>10</v>
      </c>
      <c r="P1904" s="19">
        <f t="shared" si="59"/>
        <v>2024</v>
      </c>
      <c r="Q19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04" s="19" t="str">
        <f>TEXT(Planning[[#This Row],[Mes]]*29,"mmmm")</f>
        <v>October</v>
      </c>
      <c r="S19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04" s="208"/>
      <c r="U1904" s="43">
        <f>IF(Planning[[#This Row],[Horas Planificadas]]&lt;&gt;0,+K1904/Planning[[#This Row],[Horas Planificadas]],0)</f>
        <v>0</v>
      </c>
      <c r="V1904" s="43">
        <f>IF(Planning[[#This Row],[Horas Planificadas]]&lt;&gt;0,Planning[[#This Row],[Horas utilizadas]]/Planning[[#This Row],[Horas Planificadas]],0)</f>
        <v>0</v>
      </c>
      <c r="W1904" s="44">
        <f>Planning[[#This Row],[Horas Planificadas]]+Planning[[#This Row],[Horas ajustadas adicionales]]</f>
        <v>0</v>
      </c>
      <c r="X1904" s="142"/>
    </row>
    <row r="1905" spans="1:24" x14ac:dyDescent="0.2">
      <c r="A1905" s="7"/>
      <c r="B1905" s="7" t="s">
        <v>288</v>
      </c>
      <c r="C1905" s="3"/>
      <c r="D1905" s="3" t="s">
        <v>433</v>
      </c>
      <c r="E1905" s="4"/>
      <c r="F1905" s="3" t="s">
        <v>124</v>
      </c>
      <c r="G1905" s="9"/>
      <c r="H1905" s="9">
        <v>110</v>
      </c>
      <c r="I1905" s="12"/>
      <c r="J1905" s="5" t="e">
        <f>SUM(SUMIFS(#REF!,#REF!,Planning[[#This Row],[Tipo de Tarea y especialidad]],#REF!,Planning[[#This Row],[Proyectos Reiwa]]),SUMIFS(#REF!,#REF!,Planning[[#This Row],[Tipo de Tarea y especialidad]],#REF!,Planning[[#This Row],[Proyectos]]))</f>
        <v>#REF!</v>
      </c>
      <c r="K1905" s="5" t="e">
        <f>Planning[[#This Row],[Horas Planificadas]]+Planning[[#This Row],[Horas ajustadas adicionales]]-Planning[[#This Row],[Horas utilizadas]]</f>
        <v>#REF!</v>
      </c>
      <c r="L1905" s="7">
        <v>0</v>
      </c>
      <c r="M1905" s="19" t="e">
        <f>Planning[[#This Row],[Saldo]]-Planning[[#This Row],[Saldo estimado]]</f>
        <v>#REF!</v>
      </c>
      <c r="N1905" s="60" t="e">
        <f>+SUMIFS(#REF!,#REF!,Planning[[#This Row],[Proyectos]],#REF!,Planning[[#This Row],[Tipo de Tarea y especialidad]])</f>
        <v>#REF!</v>
      </c>
      <c r="O1905" s="19">
        <f t="shared" si="58"/>
        <v>10</v>
      </c>
      <c r="P1905" s="19">
        <f t="shared" si="59"/>
        <v>2024</v>
      </c>
      <c r="Q19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05" s="19" t="str">
        <f>TEXT(Planning[[#This Row],[Mes]]*29,"mmmm")</f>
        <v>October</v>
      </c>
      <c r="S19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05" s="208"/>
      <c r="U1905" s="43" t="e">
        <f>IF(Planning[[#This Row],[Horas Planificadas]]&lt;&gt;0,+K1905/Planning[[#This Row],[Horas Planificadas]],0)</f>
        <v>#REF!</v>
      </c>
      <c r="V1905" s="43" t="e">
        <f>IF(Planning[[#This Row],[Horas Planificadas]]&lt;&gt;0,Planning[[#This Row],[Horas utilizadas]]/Planning[[#This Row],[Horas Planificadas]],0)</f>
        <v>#REF!</v>
      </c>
      <c r="W1905" s="44">
        <f>Planning[[#This Row],[Horas Planificadas]]+Planning[[#This Row],[Horas ajustadas adicionales]]</f>
        <v>110</v>
      </c>
      <c r="X1905" s="142"/>
    </row>
    <row r="1906" spans="1:24" x14ac:dyDescent="0.2">
      <c r="A1906" s="7"/>
      <c r="B1906" s="7" t="s">
        <v>288</v>
      </c>
      <c r="C1906" s="3"/>
      <c r="D1906" s="3" t="s">
        <v>433</v>
      </c>
      <c r="E1906" s="4"/>
      <c r="F1906" s="3" t="s">
        <v>125</v>
      </c>
      <c r="G1906" s="9"/>
      <c r="H1906" s="9"/>
      <c r="I1906" s="12"/>
      <c r="J1906" s="5" t="e">
        <f>SUM(SUMIFS(#REF!,#REF!,Planning[[#This Row],[Tipo de Tarea y especialidad]],#REF!,Planning[[#This Row],[Proyectos Reiwa]]),SUMIFS(#REF!,#REF!,Planning[[#This Row],[Tipo de Tarea y especialidad]],#REF!,Planning[[#This Row],[Proyectos]]))</f>
        <v>#REF!</v>
      </c>
      <c r="K1906" s="5" t="e">
        <f>Planning[[#This Row],[Horas Planificadas]]+Planning[[#This Row],[Horas ajustadas adicionales]]-Planning[[#This Row],[Horas utilizadas]]</f>
        <v>#REF!</v>
      </c>
      <c r="L1906" s="7">
        <v>0</v>
      </c>
      <c r="M1906" s="19" t="e">
        <f>Planning[[#This Row],[Saldo]]-Planning[[#This Row],[Saldo estimado]]</f>
        <v>#REF!</v>
      </c>
      <c r="N1906" s="60" t="e">
        <f>+SUMIFS(#REF!,#REF!,Planning[[#This Row],[Proyectos]],#REF!,Planning[[#This Row],[Tipo de Tarea y especialidad]])</f>
        <v>#REF!</v>
      </c>
      <c r="O1906" s="19">
        <f t="shared" si="58"/>
        <v>10</v>
      </c>
      <c r="P1906" s="19">
        <f t="shared" si="59"/>
        <v>2024</v>
      </c>
      <c r="Q19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06" s="19" t="str">
        <f>TEXT(Planning[[#This Row],[Mes]]*29,"mmmm")</f>
        <v>October</v>
      </c>
      <c r="S19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06" s="208"/>
      <c r="U1906" s="43">
        <f>IF(Planning[[#This Row],[Horas Planificadas]]&lt;&gt;0,+K1906/Planning[[#This Row],[Horas Planificadas]],0)</f>
        <v>0</v>
      </c>
      <c r="V1906" s="43">
        <f>IF(Planning[[#This Row],[Horas Planificadas]]&lt;&gt;0,Planning[[#This Row],[Horas utilizadas]]/Planning[[#This Row],[Horas Planificadas]],0)</f>
        <v>0</v>
      </c>
      <c r="W1906" s="44">
        <f>Planning[[#This Row],[Horas Planificadas]]+Planning[[#This Row],[Horas ajustadas adicionales]]</f>
        <v>0</v>
      </c>
      <c r="X1906" s="142"/>
    </row>
    <row r="1907" spans="1:24" x14ac:dyDescent="0.2">
      <c r="A1907" s="7"/>
      <c r="B1907" s="7" t="s">
        <v>288</v>
      </c>
      <c r="C1907" s="3"/>
      <c r="D1907" s="3" t="s">
        <v>433</v>
      </c>
      <c r="E1907" s="4"/>
      <c r="F1907" s="3" t="s">
        <v>126</v>
      </c>
      <c r="G1907" s="9"/>
      <c r="H1907" s="9"/>
      <c r="I1907" s="12"/>
      <c r="J1907" s="5" t="e">
        <f>SUM(SUMIFS(#REF!,#REF!,Planning[[#This Row],[Tipo de Tarea y especialidad]],#REF!,Planning[[#This Row],[Proyectos Reiwa]]),SUMIFS(#REF!,#REF!,Planning[[#This Row],[Tipo de Tarea y especialidad]],#REF!,Planning[[#This Row],[Proyectos]]))</f>
        <v>#REF!</v>
      </c>
      <c r="K1907" s="5" t="e">
        <f>Planning[[#This Row],[Horas Planificadas]]+Planning[[#This Row],[Horas ajustadas adicionales]]-Planning[[#This Row],[Horas utilizadas]]</f>
        <v>#REF!</v>
      </c>
      <c r="L1907" s="7"/>
      <c r="M1907" s="19" t="e">
        <f>Planning[[#This Row],[Saldo]]-Planning[[#This Row],[Saldo estimado]]</f>
        <v>#REF!</v>
      </c>
      <c r="N1907" s="60" t="e">
        <f>+SUMIFS(#REF!,#REF!,Planning[[#This Row],[Proyectos]],#REF!,Planning[[#This Row],[Tipo de Tarea y especialidad]])</f>
        <v>#REF!</v>
      </c>
      <c r="O1907" s="19">
        <f t="shared" si="58"/>
        <v>10</v>
      </c>
      <c r="P1907" s="19">
        <f t="shared" si="59"/>
        <v>2024</v>
      </c>
      <c r="Q19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07" s="19" t="str">
        <f>TEXT(Planning[[#This Row],[Mes]]*29,"mmmm")</f>
        <v>October</v>
      </c>
      <c r="S19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07" s="208"/>
      <c r="U1907" s="43">
        <f>IF(Planning[[#This Row],[Horas Planificadas]]&lt;&gt;0,+K1907/Planning[[#This Row],[Horas Planificadas]],0)</f>
        <v>0</v>
      </c>
      <c r="V1907" s="43">
        <f>IF(Planning[[#This Row],[Horas Planificadas]]&lt;&gt;0,Planning[[#This Row],[Horas utilizadas]]/Planning[[#This Row],[Horas Planificadas]],0)</f>
        <v>0</v>
      </c>
      <c r="W1907" s="44">
        <f>Planning[[#This Row],[Horas Planificadas]]+Planning[[#This Row],[Horas ajustadas adicionales]]</f>
        <v>0</v>
      </c>
      <c r="X1907" s="142"/>
    </row>
    <row r="1908" spans="1:24" x14ac:dyDescent="0.2">
      <c r="A1908" s="7"/>
      <c r="B1908" s="7" t="s">
        <v>288</v>
      </c>
      <c r="C1908" s="3"/>
      <c r="D1908" s="3" t="s">
        <v>433</v>
      </c>
      <c r="E1908" s="4"/>
      <c r="F1908" s="3" t="s">
        <v>127</v>
      </c>
      <c r="G1908" s="9"/>
      <c r="H1908" s="9"/>
      <c r="I1908" s="12"/>
      <c r="J1908" s="5" t="e">
        <f>SUM(SUMIFS(#REF!,#REF!,Planning[[#This Row],[Tipo de Tarea y especialidad]],#REF!,Planning[[#This Row],[Proyectos Reiwa]]),SUMIFS(#REF!,#REF!,Planning[[#This Row],[Tipo de Tarea y especialidad]],#REF!,Planning[[#This Row],[Proyectos]]))</f>
        <v>#REF!</v>
      </c>
      <c r="K1908" s="5" t="e">
        <f>Planning[[#This Row],[Horas Planificadas]]+Planning[[#This Row],[Horas ajustadas adicionales]]-Planning[[#This Row],[Horas utilizadas]]</f>
        <v>#REF!</v>
      </c>
      <c r="L1908" s="7"/>
      <c r="M1908" s="19" t="e">
        <f>Planning[[#This Row],[Saldo]]-Planning[[#This Row],[Saldo estimado]]</f>
        <v>#REF!</v>
      </c>
      <c r="N1908" s="60" t="e">
        <f>+SUMIFS(#REF!,#REF!,Planning[[#This Row],[Proyectos]],#REF!,Planning[[#This Row],[Tipo de Tarea y especialidad]])</f>
        <v>#REF!</v>
      </c>
      <c r="O1908" s="19">
        <f t="shared" si="58"/>
        <v>10</v>
      </c>
      <c r="P1908" s="19">
        <f t="shared" si="59"/>
        <v>2024</v>
      </c>
      <c r="Q19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08" s="19" t="str">
        <f>TEXT(Planning[[#This Row],[Mes]]*29,"mmmm")</f>
        <v>October</v>
      </c>
      <c r="S19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08" s="208"/>
      <c r="U1908" s="43">
        <f>IF(Planning[[#This Row],[Horas Planificadas]]&lt;&gt;0,+K1908/Planning[[#This Row],[Horas Planificadas]],0)</f>
        <v>0</v>
      </c>
      <c r="V1908" s="43">
        <f>IF(Planning[[#This Row],[Horas Planificadas]]&lt;&gt;0,Planning[[#This Row],[Horas utilizadas]]/Planning[[#This Row],[Horas Planificadas]],0)</f>
        <v>0</v>
      </c>
      <c r="W1908" s="44">
        <f>Planning[[#This Row],[Horas Planificadas]]+Planning[[#This Row],[Horas ajustadas adicionales]]</f>
        <v>0</v>
      </c>
      <c r="X1908" s="142"/>
    </row>
    <row r="1909" spans="1:24" x14ac:dyDescent="0.2">
      <c r="A1909" s="7"/>
      <c r="B1909" s="7" t="s">
        <v>288</v>
      </c>
      <c r="C1909" s="3"/>
      <c r="D1909" s="3" t="s">
        <v>433</v>
      </c>
      <c r="E1909" s="4"/>
      <c r="F1909" s="3" t="s">
        <v>128</v>
      </c>
      <c r="G1909" s="9"/>
      <c r="H1909" s="9"/>
      <c r="I1909" s="12"/>
      <c r="J1909" s="5" t="e">
        <f>SUM(SUMIFS(#REF!,#REF!,Planning[[#This Row],[Tipo de Tarea y especialidad]],#REF!,Planning[[#This Row],[Proyectos Reiwa]]),SUMIFS(#REF!,#REF!,Planning[[#This Row],[Tipo de Tarea y especialidad]],#REF!,Planning[[#This Row],[Proyectos]]))</f>
        <v>#REF!</v>
      </c>
      <c r="K1909" s="5" t="e">
        <f>Planning[[#This Row],[Horas Planificadas]]+Planning[[#This Row],[Horas ajustadas adicionales]]-Planning[[#This Row],[Horas utilizadas]]</f>
        <v>#REF!</v>
      </c>
      <c r="L1909" s="7">
        <v>0</v>
      </c>
      <c r="M1909" s="19" t="e">
        <f>Planning[[#This Row],[Saldo]]-Planning[[#This Row],[Saldo estimado]]</f>
        <v>#REF!</v>
      </c>
      <c r="N1909" s="60" t="e">
        <f>+SUMIFS(#REF!,#REF!,Planning[[#This Row],[Proyectos]],#REF!,Planning[[#This Row],[Tipo de Tarea y especialidad]])</f>
        <v>#REF!</v>
      </c>
      <c r="O1909" s="19">
        <f t="shared" si="58"/>
        <v>10</v>
      </c>
      <c r="P1909" s="19">
        <f t="shared" si="59"/>
        <v>2024</v>
      </c>
      <c r="Q19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09" s="19" t="str">
        <f>TEXT(Planning[[#This Row],[Mes]]*29,"mmmm")</f>
        <v>October</v>
      </c>
      <c r="S19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09" s="208"/>
      <c r="U1909" s="43">
        <f>IF(Planning[[#This Row],[Horas Planificadas]]&lt;&gt;0,+K1909/Planning[[#This Row],[Horas Planificadas]],0)</f>
        <v>0</v>
      </c>
      <c r="V1909" s="43">
        <f>IF(Planning[[#This Row],[Horas Planificadas]]&lt;&gt;0,Planning[[#This Row],[Horas utilizadas]]/Planning[[#This Row],[Horas Planificadas]],0)</f>
        <v>0</v>
      </c>
      <c r="W1909" s="44">
        <f>Planning[[#This Row],[Horas Planificadas]]+Planning[[#This Row],[Horas ajustadas adicionales]]</f>
        <v>0</v>
      </c>
      <c r="X1909" s="142"/>
    </row>
    <row r="1910" spans="1:24" x14ac:dyDescent="0.2">
      <c r="A1910" s="7"/>
      <c r="B1910" s="7" t="s">
        <v>288</v>
      </c>
      <c r="C1910" s="3"/>
      <c r="D1910" s="3" t="s">
        <v>433</v>
      </c>
      <c r="E1910" s="4" t="s">
        <v>31</v>
      </c>
      <c r="F1910" s="3" t="s">
        <v>31</v>
      </c>
      <c r="G1910" s="9">
        <v>45</v>
      </c>
      <c r="H1910" s="17">
        <v>45</v>
      </c>
      <c r="I1910" s="18"/>
      <c r="J1910" s="14" t="e">
        <f>+SUMIFS(#REF!,#REF!,Planning[[#This Row],[Tarifa]],#REF!,Planning[[#This Row],[Proyectos]])</f>
        <v>#REF!</v>
      </c>
      <c r="K1910" s="14" t="e">
        <f>Planning[[#This Row],[Horas Planificadas]]+Planning[[#This Row],[Horas ajustadas adicionales]]-Planning[[#This Row],[Horas utilizadas]]</f>
        <v>#REF!</v>
      </c>
      <c r="L1910" s="15">
        <v>0</v>
      </c>
      <c r="M1910" s="16" t="e">
        <f>Planning[[#This Row],[Saldo]]-Planning[[#This Row],[Saldo estimado]]</f>
        <v>#REF!</v>
      </c>
      <c r="N1910" s="60" t="e">
        <f>+SUMIFS(#REF!,#REF!,Planning[[#This Row],[Proyectos]],#REF!,Planning[[#This Row],[Tipo de Tarea y especialidad]])</f>
        <v>#REF!</v>
      </c>
      <c r="O1910" s="16">
        <f t="shared" si="58"/>
        <v>10</v>
      </c>
      <c r="P1910" s="16">
        <f t="shared" si="59"/>
        <v>2024</v>
      </c>
      <c r="Q1910" s="16" t="e">
        <f>+SUMIFS(#REF!,#REF!,Planning[[#This Row],[Tarifa]],#REF!,Planning[[#This Row],[Proyectos]],#REF!,Planning[[#This Row],[Mes]],#REF!,Planning[[#This Row],[Año]])</f>
        <v>#REF!</v>
      </c>
      <c r="R1910" s="16" t="str">
        <f>TEXT(Planning[[#This Row],[Mes]]*29,"mmmm")</f>
        <v>October</v>
      </c>
      <c r="S19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10" s="208"/>
      <c r="U1910" s="43" t="e">
        <f>IF(Planning[[#This Row],[Horas Planificadas]]&lt;&gt;0,+K1910/Planning[[#This Row],[Horas Planificadas]],0)</f>
        <v>#REF!</v>
      </c>
      <c r="V1910" s="43" t="e">
        <f>IF(Planning[[#This Row],[Horas Planificadas]]&lt;&gt;0,Planning[[#This Row],[Horas utilizadas]]/Planning[[#This Row],[Horas Planificadas]],0)</f>
        <v>#REF!</v>
      </c>
      <c r="W1910" s="44">
        <f>Planning[[#This Row],[Horas Planificadas]]+Planning[[#This Row],[Horas ajustadas adicionales]]</f>
        <v>45</v>
      </c>
      <c r="X1910" s="142"/>
    </row>
    <row r="1911" spans="1:24" ht="22.5" x14ac:dyDescent="0.2">
      <c r="A1911" s="7"/>
      <c r="B1911" s="7" t="s">
        <v>288</v>
      </c>
      <c r="C1911" s="3"/>
      <c r="D1911" s="3" t="s">
        <v>433</v>
      </c>
      <c r="E1911" s="4" t="s">
        <v>32</v>
      </c>
      <c r="F1911" s="3"/>
      <c r="G1911" s="9">
        <v>45</v>
      </c>
      <c r="H1911" s="14">
        <f>SUM(H1912:H1914)</f>
        <v>45</v>
      </c>
      <c r="I1911" s="14"/>
      <c r="J1911" s="14" t="e">
        <f>SUM(J1912:J1914)</f>
        <v>#REF!</v>
      </c>
      <c r="K1911" s="15" t="e">
        <f>SUM(K1912:K1914)</f>
        <v>#REF!</v>
      </c>
      <c r="L1911" s="15">
        <f>SUM(L1912:L1914)</f>
        <v>0</v>
      </c>
      <c r="M1911" s="16" t="e">
        <f>SUM(M1912:M1914)</f>
        <v>#REF!</v>
      </c>
      <c r="N1911" s="60" t="e">
        <f>+SUMIFS(#REF!,#REF!,Planning[[#This Row],[Proyectos]],#REF!,Planning[[#This Row],[Tipo de Tarea y especialidad]])</f>
        <v>#REF!</v>
      </c>
      <c r="O1911" s="16">
        <f t="shared" si="58"/>
        <v>10</v>
      </c>
      <c r="P1911" s="16">
        <f t="shared" si="59"/>
        <v>2024</v>
      </c>
      <c r="Q1911" s="16" t="e">
        <f>SUM(Q1912:Q1914)</f>
        <v>#REF!</v>
      </c>
      <c r="R1911" s="16" t="str">
        <f>TEXT(Planning[[#This Row],[Mes]]*29,"mmmm")</f>
        <v>October</v>
      </c>
      <c r="S19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11" s="208"/>
      <c r="U1911" s="43" t="e">
        <f>IF(Planning[[#This Row],[Horas Planificadas]]&lt;&gt;0,+K1911/Planning[[#This Row],[Horas Planificadas]],0)</f>
        <v>#REF!</v>
      </c>
      <c r="V1911" s="43" t="e">
        <f>IF(Planning[[#This Row],[Horas Planificadas]]&lt;&gt;0,Planning[[#This Row],[Horas utilizadas]]/Planning[[#This Row],[Horas Planificadas]],0)</f>
        <v>#REF!</v>
      </c>
      <c r="W1911" s="44">
        <f>Planning[[#This Row],[Horas Planificadas]]+Planning[[#This Row],[Horas ajustadas adicionales]]</f>
        <v>45</v>
      </c>
      <c r="X1911" s="142"/>
    </row>
    <row r="1912" spans="1:24" x14ac:dyDescent="0.2">
      <c r="A1912" s="7"/>
      <c r="B1912" s="7" t="s">
        <v>288</v>
      </c>
      <c r="C1912" s="3"/>
      <c r="D1912" s="3" t="s">
        <v>433</v>
      </c>
      <c r="E1912" s="4"/>
      <c r="F1912" s="3" t="s">
        <v>129</v>
      </c>
      <c r="G1912" s="9"/>
      <c r="H1912" s="9"/>
      <c r="I1912" s="12"/>
      <c r="J1912" s="5" t="e">
        <f>SUM(SUMIFS(#REF!,#REF!,Planning[[#This Row],[Tipo de Tarea y especialidad]],#REF!,Planning[[#This Row],[Proyectos Reiwa]]),SUMIFS(#REF!,#REF!,Planning[[#This Row],[Tipo de Tarea y especialidad]],#REF!,Planning[[#This Row],[Proyectos]]))</f>
        <v>#REF!</v>
      </c>
      <c r="K1912" s="5" t="e">
        <f>Planning[[#This Row],[Horas Planificadas]]+Planning[[#This Row],[Horas ajustadas adicionales]]-Planning[[#This Row],[Horas utilizadas]]</f>
        <v>#REF!</v>
      </c>
      <c r="L1912" s="7"/>
      <c r="M1912" s="19" t="e">
        <f>Planning[[#This Row],[Saldo]]-Planning[[#This Row],[Saldo estimado]]</f>
        <v>#REF!</v>
      </c>
      <c r="N1912" s="60" t="e">
        <f>+SUMIFS(#REF!,#REF!,Planning[[#This Row],[Proyectos]],#REF!,Planning[[#This Row],[Tipo de Tarea y especialidad]])</f>
        <v>#REF!</v>
      </c>
      <c r="O1912" s="19">
        <f t="shared" si="58"/>
        <v>10</v>
      </c>
      <c r="P1912" s="19">
        <f t="shared" si="59"/>
        <v>2024</v>
      </c>
      <c r="Q19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12" s="19" t="str">
        <f>TEXT(Planning[[#This Row],[Mes]]*29,"mmmm")</f>
        <v>October</v>
      </c>
      <c r="S19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12" s="208"/>
      <c r="U1912" s="43">
        <f>IF(Planning[[#This Row],[Horas Planificadas]]&lt;&gt;0,+K1912/Planning[[#This Row],[Horas Planificadas]],0)</f>
        <v>0</v>
      </c>
      <c r="V1912" s="43">
        <f>IF(Planning[[#This Row],[Horas Planificadas]]&lt;&gt;0,Planning[[#This Row],[Horas utilizadas]]/Planning[[#This Row],[Horas Planificadas]],0)</f>
        <v>0</v>
      </c>
      <c r="W1912" s="44">
        <f>Planning[[#This Row],[Horas Planificadas]]+Planning[[#This Row],[Horas ajustadas adicionales]]</f>
        <v>0</v>
      </c>
      <c r="X1912" s="142"/>
    </row>
    <row r="1913" spans="1:24" x14ac:dyDescent="0.2">
      <c r="A1913" s="7"/>
      <c r="B1913" s="7" t="s">
        <v>288</v>
      </c>
      <c r="C1913" s="3"/>
      <c r="D1913" s="3" t="s">
        <v>433</v>
      </c>
      <c r="E1913" s="4"/>
      <c r="F1913" s="3" t="s">
        <v>130</v>
      </c>
      <c r="G1913" s="9"/>
      <c r="H1913" s="9"/>
      <c r="I1913" s="12"/>
      <c r="J1913" s="5" t="e">
        <f>SUM(SUMIFS(#REF!,#REF!,Planning[[#This Row],[Tipo de Tarea y especialidad]],#REF!,Planning[[#This Row],[Proyectos Reiwa]]),SUMIFS(#REF!,#REF!,Planning[[#This Row],[Tipo de Tarea y especialidad]],#REF!,Planning[[#This Row],[Proyectos]]))</f>
        <v>#REF!</v>
      </c>
      <c r="K1913" s="5" t="e">
        <f>Planning[[#This Row],[Horas Planificadas]]+Planning[[#This Row],[Horas ajustadas adicionales]]-Planning[[#This Row],[Horas utilizadas]]</f>
        <v>#REF!</v>
      </c>
      <c r="L1913" s="7"/>
      <c r="M1913" s="19" t="e">
        <f>Planning[[#This Row],[Saldo]]-Planning[[#This Row],[Saldo estimado]]</f>
        <v>#REF!</v>
      </c>
      <c r="N1913" s="60" t="e">
        <f>+SUMIFS(#REF!,#REF!,Planning[[#This Row],[Proyectos]],#REF!,Planning[[#This Row],[Tipo de Tarea y especialidad]])</f>
        <v>#REF!</v>
      </c>
      <c r="O1913" s="19">
        <f t="shared" si="58"/>
        <v>10</v>
      </c>
      <c r="P1913" s="19">
        <f t="shared" si="59"/>
        <v>2024</v>
      </c>
      <c r="Q19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13" s="19" t="str">
        <f>TEXT(Planning[[#This Row],[Mes]]*29,"mmmm")</f>
        <v>October</v>
      </c>
      <c r="S19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13" s="208"/>
      <c r="U1913" s="43">
        <f>IF(Planning[[#This Row],[Horas Planificadas]]&lt;&gt;0,+K1913/Planning[[#This Row],[Horas Planificadas]],0)</f>
        <v>0</v>
      </c>
      <c r="V1913" s="43">
        <f>IF(Planning[[#This Row],[Horas Planificadas]]&lt;&gt;0,Planning[[#This Row],[Horas utilizadas]]/Planning[[#This Row],[Horas Planificadas]],0)</f>
        <v>0</v>
      </c>
      <c r="W1913" s="44">
        <f>Planning[[#This Row],[Horas Planificadas]]+Planning[[#This Row],[Horas ajustadas adicionales]]</f>
        <v>0</v>
      </c>
      <c r="X1913" s="142"/>
    </row>
    <row r="1914" spans="1:24" x14ac:dyDescent="0.2">
      <c r="A1914" s="7"/>
      <c r="B1914" s="7" t="s">
        <v>288</v>
      </c>
      <c r="C1914" s="3"/>
      <c r="D1914" s="3" t="s">
        <v>433</v>
      </c>
      <c r="E1914" s="4"/>
      <c r="F1914" s="3" t="s">
        <v>131</v>
      </c>
      <c r="G1914" s="9"/>
      <c r="H1914" s="9">
        <v>45</v>
      </c>
      <c r="I1914" s="12"/>
      <c r="J1914" s="5" t="e">
        <f>SUM(SUMIFS(#REF!,#REF!,Planning[[#This Row],[Tipo de Tarea y especialidad]],#REF!,Planning[[#This Row],[Proyectos Reiwa]]),SUMIFS(#REF!,#REF!,Planning[[#This Row],[Tipo de Tarea y especialidad]],#REF!,Planning[[#This Row],[Proyectos]]))</f>
        <v>#REF!</v>
      </c>
      <c r="K1914" s="5" t="e">
        <f>Planning[[#This Row],[Horas Planificadas]]+Planning[[#This Row],[Horas ajustadas adicionales]]-Planning[[#This Row],[Horas utilizadas]]</f>
        <v>#REF!</v>
      </c>
      <c r="L1914" s="7">
        <v>0</v>
      </c>
      <c r="M1914" s="19" t="e">
        <f>Planning[[#This Row],[Saldo]]-Planning[[#This Row],[Saldo estimado]]</f>
        <v>#REF!</v>
      </c>
      <c r="N1914" s="60" t="e">
        <f>+SUMIFS(#REF!,#REF!,Planning[[#This Row],[Proyectos]],#REF!,Planning[[#This Row],[Tipo de Tarea y especialidad]])</f>
        <v>#REF!</v>
      </c>
      <c r="O1914" s="19">
        <f t="shared" si="58"/>
        <v>10</v>
      </c>
      <c r="P1914" s="19">
        <f t="shared" si="59"/>
        <v>2024</v>
      </c>
      <c r="Q19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14" s="19" t="str">
        <f>TEXT(Planning[[#This Row],[Mes]]*29,"mmmm")</f>
        <v>October</v>
      </c>
      <c r="S19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14" s="208"/>
      <c r="U1914" s="43" t="e">
        <f>IF(Planning[[#This Row],[Horas Planificadas]]&lt;&gt;0,+K1914/Planning[[#This Row],[Horas Planificadas]],0)</f>
        <v>#REF!</v>
      </c>
      <c r="V1914" s="43" t="e">
        <f>IF(Planning[[#This Row],[Horas Planificadas]]&lt;&gt;0,Planning[[#This Row],[Horas utilizadas]]/Planning[[#This Row],[Horas Planificadas]],0)</f>
        <v>#REF!</v>
      </c>
      <c r="W1914" s="44">
        <f>Planning[[#This Row],[Horas Planificadas]]+Planning[[#This Row],[Horas ajustadas adicionales]]</f>
        <v>45</v>
      </c>
      <c r="X1914" s="142"/>
    </row>
    <row r="1915" spans="1:24" ht="13.35" customHeight="1" x14ac:dyDescent="0.2">
      <c r="A1915" s="7" t="s">
        <v>435</v>
      </c>
      <c r="B1915" s="7" t="s">
        <v>288</v>
      </c>
      <c r="C1915" s="3"/>
      <c r="D1915" s="3" t="s">
        <v>436</v>
      </c>
      <c r="E1915" s="33" t="s">
        <v>28</v>
      </c>
      <c r="F1915" s="36"/>
      <c r="G1915" s="7">
        <v>140</v>
      </c>
      <c r="H1915" s="24">
        <f>SUM(H1916:H1917)</f>
        <v>305</v>
      </c>
      <c r="I1915" s="14"/>
      <c r="J1915" s="14" t="e">
        <f>SUM(J1916:J1917)</f>
        <v>#REF!</v>
      </c>
      <c r="K1915" s="18" t="e">
        <f>SUM(K1916:K1917)</f>
        <v>#REF!</v>
      </c>
      <c r="L1915" s="15">
        <f>SUM(L1916:L1917)</f>
        <v>0</v>
      </c>
      <c r="M1915" s="28" t="e">
        <f>SUM(M1916:M1917)</f>
        <v>#REF!</v>
      </c>
      <c r="N1915" s="61" t="e">
        <f>+SUMIFS(#REF!,#REF!,Planning[[#This Row],[Proyectos]],#REF!,Planning[[#This Row],[Tipo de Tarea y especialidad]])</f>
        <v>#REF!</v>
      </c>
      <c r="O1915" s="28">
        <f t="shared" si="58"/>
        <v>10</v>
      </c>
      <c r="P1915" s="28">
        <f t="shared" si="59"/>
        <v>2024</v>
      </c>
      <c r="Q1915" s="28" t="e">
        <f>SUM(Q1916:Q1917)</f>
        <v>#REF!</v>
      </c>
      <c r="R1915" s="28" t="str">
        <f>TEXT(Planning[[#This Row],[Mes]]*29,"mmmm")</f>
        <v>October</v>
      </c>
      <c r="S19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15" s="207" t="s">
        <v>437</v>
      </c>
      <c r="U1915" s="43" t="e">
        <f>IF(Planning[[#This Row],[Horas Planificadas]]&lt;&gt;0,+K1915/Planning[[#This Row],[Horas Planificadas]],0)</f>
        <v>#REF!</v>
      </c>
      <c r="V1915" s="43" t="e">
        <f>IF(Planning[[#This Row],[Horas Planificadas]]&lt;&gt;0,Planning[[#This Row],[Horas utilizadas]]/Planning[[#This Row],[Horas Planificadas]],0)</f>
        <v>#REF!</v>
      </c>
      <c r="W1915" s="44">
        <f>Planning[[#This Row],[Horas Planificadas]]+Planning[[#This Row],[Horas ajustadas adicionales]]</f>
        <v>305</v>
      </c>
      <c r="X1915" s="142"/>
    </row>
    <row r="1916" spans="1:24" x14ac:dyDescent="0.2">
      <c r="A1916" s="7" t="s">
        <v>435</v>
      </c>
      <c r="B1916" s="7" t="s">
        <v>288</v>
      </c>
      <c r="C1916" s="3"/>
      <c r="D1916" s="3" t="s">
        <v>436</v>
      </c>
      <c r="E1916" s="33"/>
      <c r="F1916" s="36" t="s">
        <v>120</v>
      </c>
      <c r="G1916" s="7"/>
      <c r="H1916" s="7">
        <v>260</v>
      </c>
      <c r="I1916" s="12"/>
      <c r="J1916" s="5" t="e">
        <f>SUM(SUMIFS(#REF!,#REF!,Planning[[#This Row],[Tipo de Tarea y especialidad]],#REF!,Planning[[#This Row],[Proyectos Reiwa]]),SUMIFS(#REF!,#REF!,Planning[[#This Row],[Tipo de Tarea y especialidad]],#REF!,Planning[[#This Row],[Proyectos]]))</f>
        <v>#REF!</v>
      </c>
      <c r="K1916" s="5" t="e">
        <f>Planning[[#This Row],[Horas Planificadas]]+Planning[[#This Row],[Horas ajustadas adicionales]]-Planning[[#This Row],[Horas utilizadas]]</f>
        <v>#REF!</v>
      </c>
      <c r="L1916" s="7">
        <v>0</v>
      </c>
      <c r="M1916" s="19" t="e">
        <f>Planning[[#This Row],[Saldo]]-Planning[[#This Row],[Saldo estimado]]</f>
        <v>#REF!</v>
      </c>
      <c r="N1916" s="60" t="e">
        <f>+SUMIFS(#REF!,#REF!,Planning[[#This Row],[Proyectos]],#REF!,Planning[[#This Row],[Tipo de Tarea y especialidad]])</f>
        <v>#REF!</v>
      </c>
      <c r="O1916" s="19">
        <f t="shared" si="58"/>
        <v>10</v>
      </c>
      <c r="P1916" s="19">
        <f t="shared" si="59"/>
        <v>2024</v>
      </c>
      <c r="Q19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16" s="19" t="str">
        <f>TEXT(Planning[[#This Row],[Mes]]*29,"mmmm")</f>
        <v>October</v>
      </c>
      <c r="S19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16" s="208"/>
      <c r="U1916" s="43" t="e">
        <f>IF(Planning[[#This Row],[Horas Planificadas]]&lt;&gt;0,+K1916/Planning[[#This Row],[Horas Planificadas]],0)</f>
        <v>#REF!</v>
      </c>
      <c r="V1916" s="43" t="e">
        <f>IF(Planning[[#This Row],[Horas Planificadas]]&lt;&gt;0,Planning[[#This Row],[Horas utilizadas]]/Planning[[#This Row],[Horas Planificadas]],0)</f>
        <v>#REF!</v>
      </c>
      <c r="W1916" s="44">
        <f>Planning[[#This Row],[Horas Planificadas]]+Planning[[#This Row],[Horas ajustadas adicionales]]</f>
        <v>260</v>
      </c>
      <c r="X1916" s="142"/>
    </row>
    <row r="1917" spans="1:24" x14ac:dyDescent="0.2">
      <c r="A1917" s="7" t="s">
        <v>435</v>
      </c>
      <c r="B1917" s="7" t="s">
        <v>288</v>
      </c>
      <c r="C1917" s="3"/>
      <c r="D1917" s="3" t="s">
        <v>436</v>
      </c>
      <c r="E1917" s="33"/>
      <c r="F1917" s="36" t="s">
        <v>121</v>
      </c>
      <c r="G1917" s="7"/>
      <c r="H1917" s="7">
        <v>45</v>
      </c>
      <c r="I1917" s="12"/>
      <c r="J1917" s="5" t="e">
        <f>SUM(SUMIFS(#REF!,#REF!,Planning[[#This Row],[Tipo de Tarea y especialidad]],#REF!,Planning[[#This Row],[Proyectos Reiwa]]),SUMIFS(#REF!,#REF!,Planning[[#This Row],[Tipo de Tarea y especialidad]],#REF!,Planning[[#This Row],[Proyectos]]))</f>
        <v>#REF!</v>
      </c>
      <c r="K1917" s="5" t="e">
        <f>Planning[[#This Row],[Horas Planificadas]]+Planning[[#This Row],[Horas ajustadas adicionales]]-Planning[[#This Row],[Horas utilizadas]]</f>
        <v>#REF!</v>
      </c>
      <c r="L1917" s="7">
        <v>0</v>
      </c>
      <c r="M1917" s="19" t="e">
        <f>Planning[[#This Row],[Saldo]]-Planning[[#This Row],[Saldo estimado]]</f>
        <v>#REF!</v>
      </c>
      <c r="N1917" s="60" t="e">
        <f>+SUMIFS(#REF!,#REF!,Planning[[#This Row],[Proyectos]],#REF!,Planning[[#This Row],[Tipo de Tarea y especialidad]])</f>
        <v>#REF!</v>
      </c>
      <c r="O1917" s="19">
        <f t="shared" si="58"/>
        <v>10</v>
      </c>
      <c r="P1917" s="19">
        <f t="shared" si="59"/>
        <v>2024</v>
      </c>
      <c r="Q19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17" s="19" t="str">
        <f>TEXT(Planning[[#This Row],[Mes]]*29,"mmmm")</f>
        <v>October</v>
      </c>
      <c r="S19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17" s="208"/>
      <c r="U1917" s="43" t="e">
        <f>IF(Planning[[#This Row],[Horas Planificadas]]&lt;&gt;0,+K1917/Planning[[#This Row],[Horas Planificadas]],0)</f>
        <v>#REF!</v>
      </c>
      <c r="V1917" s="43" t="e">
        <f>IF(Planning[[#This Row],[Horas Planificadas]]&lt;&gt;0,Planning[[#This Row],[Horas utilizadas]]/Planning[[#This Row],[Horas Planificadas]],0)</f>
        <v>#REF!</v>
      </c>
      <c r="W1917" s="44">
        <f>Planning[[#This Row],[Horas Planificadas]]+Planning[[#This Row],[Horas ajustadas adicionales]]</f>
        <v>45</v>
      </c>
      <c r="X1917" s="142"/>
    </row>
    <row r="1918" spans="1:24" x14ac:dyDescent="0.2">
      <c r="A1918" s="7" t="s">
        <v>435</v>
      </c>
      <c r="B1918" s="7" t="s">
        <v>288</v>
      </c>
      <c r="C1918" s="3"/>
      <c r="D1918" s="3" t="s">
        <v>436</v>
      </c>
      <c r="E1918" s="33" t="s">
        <v>30</v>
      </c>
      <c r="F1918" s="36"/>
      <c r="G1918" s="7">
        <v>160</v>
      </c>
      <c r="H1918" s="24">
        <f>SUM(H1919:H1925)</f>
        <v>350</v>
      </c>
      <c r="I1918" s="14"/>
      <c r="J1918" s="14" t="e">
        <f>SUM(J1919:J1925)</f>
        <v>#REF!</v>
      </c>
      <c r="K1918" s="18" t="e">
        <f>SUM(K1919:K1925)</f>
        <v>#REF!</v>
      </c>
      <c r="L1918" s="15">
        <f>SUM(L1919:L1925)</f>
        <v>0</v>
      </c>
      <c r="M1918" s="16" t="e">
        <f>SUM(M1919:M1925)</f>
        <v>#REF!</v>
      </c>
      <c r="N1918" s="60" t="e">
        <f>+SUMIFS(#REF!,#REF!,Planning[[#This Row],[Proyectos]],#REF!,Planning[[#This Row],[Tipo de Tarea y especialidad]])</f>
        <v>#REF!</v>
      </c>
      <c r="O1918" s="16">
        <f t="shared" si="58"/>
        <v>10</v>
      </c>
      <c r="P1918" s="16">
        <f t="shared" si="59"/>
        <v>2024</v>
      </c>
      <c r="Q1918" s="16" t="e">
        <f>SUM(Q1919:Q1925)</f>
        <v>#REF!</v>
      </c>
      <c r="R1918" s="16" t="str">
        <f>TEXT(Planning[[#This Row],[Mes]]*29,"mmmm")</f>
        <v>October</v>
      </c>
      <c r="S19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18" s="208"/>
      <c r="U1918" s="43" t="e">
        <f>IF(Planning[[#This Row],[Horas Planificadas]]&lt;&gt;0,+K1918/Planning[[#This Row],[Horas Planificadas]],0)</f>
        <v>#REF!</v>
      </c>
      <c r="V1918" s="43" t="e">
        <f>IF(Planning[[#This Row],[Horas Planificadas]]&lt;&gt;0,Planning[[#This Row],[Horas utilizadas]]/Planning[[#This Row],[Horas Planificadas]],0)</f>
        <v>#REF!</v>
      </c>
      <c r="W1918" s="44">
        <f>Planning[[#This Row],[Horas Planificadas]]+Planning[[#This Row],[Horas ajustadas adicionales]]</f>
        <v>350</v>
      </c>
      <c r="X1918" s="142"/>
    </row>
    <row r="1919" spans="1:24" ht="12.75" customHeight="1" x14ac:dyDescent="0.2">
      <c r="A1919" s="7" t="s">
        <v>435</v>
      </c>
      <c r="B1919" s="7" t="s">
        <v>288</v>
      </c>
      <c r="C1919" s="3"/>
      <c r="D1919" s="3" t="s">
        <v>436</v>
      </c>
      <c r="E1919" s="4"/>
      <c r="F1919" s="3" t="s">
        <v>122</v>
      </c>
      <c r="G1919" s="9"/>
      <c r="H1919" s="12"/>
      <c r="I1919" s="12"/>
      <c r="J1919" s="5" t="e">
        <f>SUM(SUMIFS(#REF!,#REF!,Planning[[#This Row],[Tipo de Tarea y especialidad]],#REF!,Planning[[#This Row],[Proyectos Reiwa]]),SUMIFS(#REF!,#REF!,Planning[[#This Row],[Tipo de Tarea y especialidad]],#REF!,Planning[[#This Row],[Proyectos]]))</f>
        <v>#REF!</v>
      </c>
      <c r="K1919" s="27" t="e">
        <f>Planning[[#This Row],[Horas Planificadas]]+Planning[[#This Row],[Horas ajustadas adicionales]]-Planning[[#This Row],[Horas utilizadas]]</f>
        <v>#REF!</v>
      </c>
      <c r="L1919" s="7"/>
      <c r="M1919" s="34" t="e">
        <f>Planning[[#This Row],[Saldo]]-Planning[[#This Row],[Saldo estimado]]</f>
        <v>#REF!</v>
      </c>
      <c r="N1919" s="62" t="e">
        <f>+SUMIFS(#REF!,#REF!,Planning[[#This Row],[Proyectos]],#REF!,Planning[[#This Row],[Tipo de Tarea y especialidad]])</f>
        <v>#REF!</v>
      </c>
      <c r="O1919" s="34">
        <f t="shared" si="58"/>
        <v>10</v>
      </c>
      <c r="P1919" s="34">
        <f t="shared" si="59"/>
        <v>2024</v>
      </c>
      <c r="Q19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19" s="19" t="str">
        <f>TEXT(Planning[[#This Row],[Mes]]*29,"mmmm")</f>
        <v>October</v>
      </c>
      <c r="S19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19" s="208"/>
      <c r="U1919" s="43">
        <f>IF(Planning[[#This Row],[Horas Planificadas]]&lt;&gt;0,+K1919/Planning[[#This Row],[Horas Planificadas]],0)</f>
        <v>0</v>
      </c>
      <c r="V1919" s="43">
        <f>IF(Planning[[#This Row],[Horas Planificadas]]&lt;&gt;0,Planning[[#This Row],[Horas utilizadas]]/Planning[[#This Row],[Horas Planificadas]],0)</f>
        <v>0</v>
      </c>
      <c r="W1919" s="44">
        <f>Planning[[#This Row],[Horas Planificadas]]+Planning[[#This Row],[Horas ajustadas adicionales]]</f>
        <v>0</v>
      </c>
      <c r="X1919" s="142"/>
    </row>
    <row r="1920" spans="1:24" x14ac:dyDescent="0.2">
      <c r="A1920" s="7" t="s">
        <v>435</v>
      </c>
      <c r="B1920" s="7" t="s">
        <v>288</v>
      </c>
      <c r="C1920" s="3"/>
      <c r="D1920" s="3" t="s">
        <v>436</v>
      </c>
      <c r="E1920" s="4"/>
      <c r="F1920" s="3" t="s">
        <v>123</v>
      </c>
      <c r="G1920" s="9"/>
      <c r="H1920" s="9"/>
      <c r="I1920" s="12"/>
      <c r="J1920" s="5" t="e">
        <f>SUM(SUMIFS(#REF!,#REF!,Planning[[#This Row],[Tipo de Tarea y especialidad]],#REF!,Planning[[#This Row],[Proyectos Reiwa]]),SUMIFS(#REF!,#REF!,Planning[[#This Row],[Tipo de Tarea y especialidad]],#REF!,Planning[[#This Row],[Proyectos]]))</f>
        <v>#REF!</v>
      </c>
      <c r="K1920" s="5" t="e">
        <f>Planning[[#This Row],[Horas Planificadas]]+Planning[[#This Row],[Horas ajustadas adicionales]]-Planning[[#This Row],[Horas utilizadas]]</f>
        <v>#REF!</v>
      </c>
      <c r="L1920" s="7"/>
      <c r="M1920" s="19" t="e">
        <f>Planning[[#This Row],[Saldo]]-Planning[[#This Row],[Saldo estimado]]</f>
        <v>#REF!</v>
      </c>
      <c r="N1920" s="60" t="e">
        <f>+SUMIFS(#REF!,#REF!,Planning[[#This Row],[Proyectos]],#REF!,Planning[[#This Row],[Tipo de Tarea y especialidad]])</f>
        <v>#REF!</v>
      </c>
      <c r="O1920" s="19">
        <f t="shared" si="58"/>
        <v>10</v>
      </c>
      <c r="P1920" s="19">
        <f t="shared" si="59"/>
        <v>2024</v>
      </c>
      <c r="Q19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20" s="19" t="str">
        <f>TEXT(Planning[[#This Row],[Mes]]*29,"mmmm")</f>
        <v>October</v>
      </c>
      <c r="S19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20" s="208"/>
      <c r="U1920" s="43">
        <f>IF(Planning[[#This Row],[Horas Planificadas]]&lt;&gt;0,+K1920/Planning[[#This Row],[Horas Planificadas]],0)</f>
        <v>0</v>
      </c>
      <c r="V1920" s="43">
        <f>IF(Planning[[#This Row],[Horas Planificadas]]&lt;&gt;0,Planning[[#This Row],[Horas utilizadas]]/Planning[[#This Row],[Horas Planificadas]],0)</f>
        <v>0</v>
      </c>
      <c r="W1920" s="44">
        <f>Planning[[#This Row],[Horas Planificadas]]+Planning[[#This Row],[Horas ajustadas adicionales]]</f>
        <v>0</v>
      </c>
      <c r="X1920" s="142"/>
    </row>
    <row r="1921" spans="1:24" x14ac:dyDescent="0.2">
      <c r="A1921" s="7" t="s">
        <v>435</v>
      </c>
      <c r="B1921" s="7" t="s">
        <v>288</v>
      </c>
      <c r="C1921" s="3"/>
      <c r="D1921" s="3" t="s">
        <v>436</v>
      </c>
      <c r="E1921" s="4"/>
      <c r="F1921" s="3" t="s">
        <v>124</v>
      </c>
      <c r="G1921" s="9"/>
      <c r="H1921" s="9">
        <v>350</v>
      </c>
      <c r="I1921" s="12"/>
      <c r="J1921" s="5" t="e">
        <f>SUM(SUMIFS(#REF!,#REF!,Planning[[#This Row],[Tipo de Tarea y especialidad]],#REF!,Planning[[#This Row],[Proyectos Reiwa]]),SUMIFS(#REF!,#REF!,Planning[[#This Row],[Tipo de Tarea y especialidad]],#REF!,Planning[[#This Row],[Proyectos]]))</f>
        <v>#REF!</v>
      </c>
      <c r="K1921" s="5" t="e">
        <f>Planning[[#This Row],[Horas Planificadas]]+Planning[[#This Row],[Horas ajustadas adicionales]]-Planning[[#This Row],[Horas utilizadas]]</f>
        <v>#REF!</v>
      </c>
      <c r="L1921" s="7">
        <v>0</v>
      </c>
      <c r="M1921" s="19" t="e">
        <f>Planning[[#This Row],[Saldo]]-Planning[[#This Row],[Saldo estimado]]</f>
        <v>#REF!</v>
      </c>
      <c r="N1921" s="60" t="e">
        <f>+SUMIFS(#REF!,#REF!,Planning[[#This Row],[Proyectos]],#REF!,Planning[[#This Row],[Tipo de Tarea y especialidad]])</f>
        <v>#REF!</v>
      </c>
      <c r="O1921" s="19">
        <f t="shared" si="58"/>
        <v>10</v>
      </c>
      <c r="P1921" s="19">
        <f t="shared" si="59"/>
        <v>2024</v>
      </c>
      <c r="Q19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21" s="19" t="str">
        <f>TEXT(Planning[[#This Row],[Mes]]*29,"mmmm")</f>
        <v>October</v>
      </c>
      <c r="S19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21" s="208"/>
      <c r="U1921" s="43" t="e">
        <f>IF(Planning[[#This Row],[Horas Planificadas]]&lt;&gt;0,+K1921/Planning[[#This Row],[Horas Planificadas]],0)</f>
        <v>#REF!</v>
      </c>
      <c r="V1921" s="43" t="e">
        <f>IF(Planning[[#This Row],[Horas Planificadas]]&lt;&gt;0,Planning[[#This Row],[Horas utilizadas]]/Planning[[#This Row],[Horas Planificadas]],0)</f>
        <v>#REF!</v>
      </c>
      <c r="W1921" s="44">
        <f>Planning[[#This Row],[Horas Planificadas]]+Planning[[#This Row],[Horas ajustadas adicionales]]</f>
        <v>350</v>
      </c>
      <c r="X1921" s="142"/>
    </row>
    <row r="1922" spans="1:24" x14ac:dyDescent="0.2">
      <c r="A1922" s="7" t="s">
        <v>435</v>
      </c>
      <c r="B1922" s="7" t="s">
        <v>288</v>
      </c>
      <c r="C1922" s="3"/>
      <c r="D1922" s="3" t="s">
        <v>436</v>
      </c>
      <c r="E1922" s="4"/>
      <c r="F1922" s="3" t="s">
        <v>125</v>
      </c>
      <c r="G1922" s="9"/>
      <c r="H1922" s="12"/>
      <c r="I1922" s="12"/>
      <c r="J1922" s="5" t="e">
        <f>SUM(SUMIFS(#REF!,#REF!,Planning[[#This Row],[Tipo de Tarea y especialidad]],#REF!,Planning[[#This Row],[Proyectos Reiwa]]),SUMIFS(#REF!,#REF!,Planning[[#This Row],[Tipo de Tarea y especialidad]],#REF!,Planning[[#This Row],[Proyectos]]))</f>
        <v>#REF!</v>
      </c>
      <c r="K1922" s="27" t="e">
        <f>Planning[[#This Row],[Horas Planificadas]]+Planning[[#This Row],[Horas ajustadas adicionales]]-Planning[[#This Row],[Horas utilizadas]]</f>
        <v>#REF!</v>
      </c>
      <c r="L1922" s="7">
        <v>0</v>
      </c>
      <c r="M1922" s="19" t="e">
        <f>Planning[[#This Row],[Saldo]]-Planning[[#This Row],[Saldo estimado]]</f>
        <v>#REF!</v>
      </c>
      <c r="N1922" s="60" t="e">
        <f>+SUMIFS(#REF!,#REF!,Planning[[#This Row],[Proyectos]],#REF!,Planning[[#This Row],[Tipo de Tarea y especialidad]])</f>
        <v>#REF!</v>
      </c>
      <c r="O1922" s="19">
        <f t="shared" si="58"/>
        <v>10</v>
      </c>
      <c r="P1922" s="19">
        <f t="shared" si="59"/>
        <v>2024</v>
      </c>
      <c r="Q19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22" s="19" t="str">
        <f>TEXT(Planning[[#This Row],[Mes]]*29,"mmmm")</f>
        <v>October</v>
      </c>
      <c r="S19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22" s="208"/>
      <c r="U1922" s="43">
        <f>IF(Planning[[#This Row],[Horas Planificadas]]&lt;&gt;0,+K1922/Planning[[#This Row],[Horas Planificadas]],0)</f>
        <v>0</v>
      </c>
      <c r="V1922" s="43">
        <f>IF(Planning[[#This Row],[Horas Planificadas]]&lt;&gt;0,Planning[[#This Row],[Horas utilizadas]]/Planning[[#This Row],[Horas Planificadas]],0)</f>
        <v>0</v>
      </c>
      <c r="W1922" s="44">
        <f>Planning[[#This Row],[Horas Planificadas]]+Planning[[#This Row],[Horas ajustadas adicionales]]</f>
        <v>0</v>
      </c>
      <c r="X1922" s="142"/>
    </row>
    <row r="1923" spans="1:24" x14ac:dyDescent="0.2">
      <c r="A1923" s="7" t="s">
        <v>435</v>
      </c>
      <c r="B1923" s="7" t="s">
        <v>288</v>
      </c>
      <c r="C1923" s="3"/>
      <c r="D1923" s="3" t="s">
        <v>436</v>
      </c>
      <c r="E1923" s="4"/>
      <c r="F1923" s="3" t="s">
        <v>126</v>
      </c>
      <c r="G1923" s="9"/>
      <c r="H1923" s="9"/>
      <c r="I1923" s="12"/>
      <c r="J1923" s="5" t="e">
        <f>SUM(SUMIFS(#REF!,#REF!,Planning[[#This Row],[Tipo de Tarea y especialidad]],#REF!,Planning[[#This Row],[Proyectos Reiwa]]),SUMIFS(#REF!,#REF!,Planning[[#This Row],[Tipo de Tarea y especialidad]],#REF!,Planning[[#This Row],[Proyectos]]))</f>
        <v>#REF!</v>
      </c>
      <c r="K1923" s="5" t="e">
        <f>Planning[[#This Row],[Horas Planificadas]]+Planning[[#This Row],[Horas ajustadas adicionales]]-Planning[[#This Row],[Horas utilizadas]]</f>
        <v>#REF!</v>
      </c>
      <c r="L1923" s="7"/>
      <c r="M1923" s="19" t="e">
        <f>Planning[[#This Row],[Saldo]]-Planning[[#This Row],[Saldo estimado]]</f>
        <v>#REF!</v>
      </c>
      <c r="N1923" s="60" t="e">
        <f>+SUMIFS(#REF!,#REF!,Planning[[#This Row],[Proyectos]],#REF!,Planning[[#This Row],[Tipo de Tarea y especialidad]])</f>
        <v>#REF!</v>
      </c>
      <c r="O1923" s="19">
        <f t="shared" si="58"/>
        <v>10</v>
      </c>
      <c r="P1923" s="19">
        <f t="shared" si="59"/>
        <v>2024</v>
      </c>
      <c r="Q19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23" s="19" t="str">
        <f>TEXT(Planning[[#This Row],[Mes]]*29,"mmmm")</f>
        <v>October</v>
      </c>
      <c r="S19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23" s="208"/>
      <c r="U1923" s="43">
        <f>IF(Planning[[#This Row],[Horas Planificadas]]&lt;&gt;0,+K1923/Planning[[#This Row],[Horas Planificadas]],0)</f>
        <v>0</v>
      </c>
      <c r="V1923" s="43">
        <f>IF(Planning[[#This Row],[Horas Planificadas]]&lt;&gt;0,Planning[[#This Row],[Horas utilizadas]]/Planning[[#This Row],[Horas Planificadas]],0)</f>
        <v>0</v>
      </c>
      <c r="W1923" s="44">
        <f>Planning[[#This Row],[Horas Planificadas]]+Planning[[#This Row],[Horas ajustadas adicionales]]</f>
        <v>0</v>
      </c>
      <c r="X1923" s="142"/>
    </row>
    <row r="1924" spans="1:24" x14ac:dyDescent="0.2">
      <c r="A1924" s="7" t="s">
        <v>435</v>
      </c>
      <c r="B1924" s="7" t="s">
        <v>288</v>
      </c>
      <c r="C1924" s="3"/>
      <c r="D1924" s="3" t="s">
        <v>436</v>
      </c>
      <c r="E1924" s="4"/>
      <c r="F1924" s="3" t="s">
        <v>127</v>
      </c>
      <c r="G1924" s="9"/>
      <c r="H1924" s="9"/>
      <c r="I1924" s="12"/>
      <c r="J1924" s="5" t="e">
        <f>SUM(SUMIFS(#REF!,#REF!,Planning[[#This Row],[Tipo de Tarea y especialidad]],#REF!,Planning[[#This Row],[Proyectos Reiwa]]),SUMIFS(#REF!,#REF!,Planning[[#This Row],[Tipo de Tarea y especialidad]],#REF!,Planning[[#This Row],[Proyectos]]))</f>
        <v>#REF!</v>
      </c>
      <c r="K1924" s="5" t="e">
        <f>Planning[[#This Row],[Horas Planificadas]]+Planning[[#This Row],[Horas ajustadas adicionales]]-Planning[[#This Row],[Horas utilizadas]]</f>
        <v>#REF!</v>
      </c>
      <c r="L1924" s="7"/>
      <c r="M1924" s="19" t="e">
        <f>Planning[[#This Row],[Saldo]]-Planning[[#This Row],[Saldo estimado]]</f>
        <v>#REF!</v>
      </c>
      <c r="N1924" s="60" t="e">
        <f>+SUMIFS(#REF!,#REF!,Planning[[#This Row],[Proyectos]],#REF!,Planning[[#This Row],[Tipo de Tarea y especialidad]])</f>
        <v>#REF!</v>
      </c>
      <c r="O1924" s="19">
        <f t="shared" si="58"/>
        <v>10</v>
      </c>
      <c r="P1924" s="19">
        <f t="shared" si="59"/>
        <v>2024</v>
      </c>
      <c r="Q19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24" s="19" t="str">
        <f>TEXT(Planning[[#This Row],[Mes]]*29,"mmmm")</f>
        <v>October</v>
      </c>
      <c r="S19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24" s="208"/>
      <c r="U1924" s="43">
        <f>IF(Planning[[#This Row],[Horas Planificadas]]&lt;&gt;0,+K1924/Planning[[#This Row],[Horas Planificadas]],0)</f>
        <v>0</v>
      </c>
      <c r="V1924" s="43">
        <f>IF(Planning[[#This Row],[Horas Planificadas]]&lt;&gt;0,Planning[[#This Row],[Horas utilizadas]]/Planning[[#This Row],[Horas Planificadas]],0)</f>
        <v>0</v>
      </c>
      <c r="W1924" s="44">
        <f>Planning[[#This Row],[Horas Planificadas]]+Planning[[#This Row],[Horas ajustadas adicionales]]</f>
        <v>0</v>
      </c>
      <c r="X1924" s="142"/>
    </row>
    <row r="1925" spans="1:24" x14ac:dyDescent="0.2">
      <c r="A1925" s="7" t="s">
        <v>435</v>
      </c>
      <c r="B1925" s="7" t="s">
        <v>288</v>
      </c>
      <c r="C1925" s="3"/>
      <c r="D1925" s="3" t="s">
        <v>436</v>
      </c>
      <c r="E1925" s="4"/>
      <c r="F1925" s="3" t="s">
        <v>128</v>
      </c>
      <c r="G1925" s="9"/>
      <c r="H1925" s="9"/>
      <c r="I1925" s="12"/>
      <c r="J1925" s="5" t="e">
        <f>SUM(SUMIFS(#REF!,#REF!,Planning[[#This Row],[Tipo de Tarea y especialidad]],#REF!,Planning[[#This Row],[Proyectos Reiwa]]),SUMIFS(#REF!,#REF!,Planning[[#This Row],[Tipo de Tarea y especialidad]],#REF!,Planning[[#This Row],[Proyectos]]))</f>
        <v>#REF!</v>
      </c>
      <c r="K1925" s="5" t="e">
        <f>Planning[[#This Row],[Horas Planificadas]]+Planning[[#This Row],[Horas ajustadas adicionales]]-Planning[[#This Row],[Horas utilizadas]]</f>
        <v>#REF!</v>
      </c>
      <c r="L1925" s="7"/>
      <c r="M1925" s="19" t="e">
        <f>Planning[[#This Row],[Saldo]]-Planning[[#This Row],[Saldo estimado]]</f>
        <v>#REF!</v>
      </c>
      <c r="N1925" s="60" t="e">
        <f>+SUMIFS(#REF!,#REF!,Planning[[#This Row],[Proyectos]],#REF!,Planning[[#This Row],[Tipo de Tarea y especialidad]])</f>
        <v>#REF!</v>
      </c>
      <c r="O1925" s="19">
        <f t="shared" si="58"/>
        <v>10</v>
      </c>
      <c r="P1925" s="19">
        <f t="shared" si="59"/>
        <v>2024</v>
      </c>
      <c r="Q19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25" s="19" t="str">
        <f>TEXT(Planning[[#This Row],[Mes]]*29,"mmmm")</f>
        <v>October</v>
      </c>
      <c r="S19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25" s="208"/>
      <c r="U1925" s="43">
        <f>IF(Planning[[#This Row],[Horas Planificadas]]&lt;&gt;0,+K1925/Planning[[#This Row],[Horas Planificadas]],0)</f>
        <v>0</v>
      </c>
      <c r="V1925" s="43">
        <f>IF(Planning[[#This Row],[Horas Planificadas]]&lt;&gt;0,Planning[[#This Row],[Horas utilizadas]]/Planning[[#This Row],[Horas Planificadas]],0)</f>
        <v>0</v>
      </c>
      <c r="W1925" s="44">
        <f>Planning[[#This Row],[Horas Planificadas]]+Planning[[#This Row],[Horas ajustadas adicionales]]</f>
        <v>0</v>
      </c>
      <c r="X1925" s="142"/>
    </row>
    <row r="1926" spans="1:24" x14ac:dyDescent="0.2">
      <c r="A1926" s="7" t="s">
        <v>435</v>
      </c>
      <c r="B1926" s="7" t="s">
        <v>288</v>
      </c>
      <c r="C1926" s="3"/>
      <c r="D1926" s="3" t="s">
        <v>436</v>
      </c>
      <c r="E1926" s="4" t="s">
        <v>31</v>
      </c>
      <c r="F1926" s="3" t="s">
        <v>31</v>
      </c>
      <c r="G1926" s="9">
        <v>120</v>
      </c>
      <c r="H1926" s="17">
        <v>120</v>
      </c>
      <c r="I1926" s="18"/>
      <c r="J1926" s="14" t="e">
        <f>+SUMIFS(#REF!,#REF!,Planning[[#This Row],[Tarifa]],#REF!,Planning[[#This Row],[Proyectos]])</f>
        <v>#REF!</v>
      </c>
      <c r="K1926" s="14" t="e">
        <f>Planning[[#This Row],[Horas Planificadas]]+Planning[[#This Row],[Horas ajustadas adicionales]]-Planning[[#This Row],[Horas utilizadas]]</f>
        <v>#REF!</v>
      </c>
      <c r="L1926" s="15">
        <v>0</v>
      </c>
      <c r="M1926" s="16" t="e">
        <f>Planning[[#This Row],[Saldo]]-Planning[[#This Row],[Saldo estimado]]</f>
        <v>#REF!</v>
      </c>
      <c r="N1926" s="60" t="e">
        <f>+SUMIFS(#REF!,#REF!,Planning[[#This Row],[Proyectos]],#REF!,Planning[[#This Row],[Tipo de Tarea y especialidad]])</f>
        <v>#REF!</v>
      </c>
      <c r="O1926" s="16">
        <f t="shared" si="58"/>
        <v>10</v>
      </c>
      <c r="P1926" s="16">
        <f t="shared" si="59"/>
        <v>2024</v>
      </c>
      <c r="Q1926" s="16" t="e">
        <f>+SUMIFS(#REF!,#REF!,Planning[[#This Row],[Tarifa]],#REF!,Planning[[#This Row],[Proyectos]],#REF!,Planning[[#This Row],[Mes]],#REF!,Planning[[#This Row],[Año]])</f>
        <v>#REF!</v>
      </c>
      <c r="R1926" s="16" t="str">
        <f>TEXT(Planning[[#This Row],[Mes]]*29,"mmmm")</f>
        <v>October</v>
      </c>
      <c r="S19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26" s="208"/>
      <c r="U1926" s="43" t="e">
        <f>IF(Planning[[#This Row],[Horas Planificadas]]&lt;&gt;0,+K1926/Planning[[#This Row],[Horas Planificadas]],0)</f>
        <v>#REF!</v>
      </c>
      <c r="V1926" s="43" t="e">
        <f>IF(Planning[[#This Row],[Horas Planificadas]]&lt;&gt;0,Planning[[#This Row],[Horas utilizadas]]/Planning[[#This Row],[Horas Planificadas]],0)</f>
        <v>#REF!</v>
      </c>
      <c r="W1926" s="44">
        <f>Planning[[#This Row],[Horas Planificadas]]+Planning[[#This Row],[Horas ajustadas adicionales]]</f>
        <v>120</v>
      </c>
      <c r="X1926" s="142"/>
    </row>
    <row r="1927" spans="1:24" ht="22.5" x14ac:dyDescent="0.2">
      <c r="A1927" s="7" t="s">
        <v>435</v>
      </c>
      <c r="B1927" s="7" t="s">
        <v>288</v>
      </c>
      <c r="C1927" s="3"/>
      <c r="D1927" s="3" t="s">
        <v>436</v>
      </c>
      <c r="E1927" s="4" t="s">
        <v>32</v>
      </c>
      <c r="F1927" s="3"/>
      <c r="G1927" s="9">
        <v>120</v>
      </c>
      <c r="H1927" s="25">
        <f>SUM(H1928:H1930)</f>
        <v>220</v>
      </c>
      <c r="I1927" s="14"/>
      <c r="J1927" s="14" t="e">
        <f>SUM(J1928:J1930)</f>
        <v>#REF!</v>
      </c>
      <c r="K1927" s="18" t="e">
        <f>SUM(K1928:K1930)</f>
        <v>#REF!</v>
      </c>
      <c r="L1927" s="15">
        <f>SUM(L1928:L1930)</f>
        <v>0</v>
      </c>
      <c r="M1927" s="16" t="e">
        <f>SUM(M1928:M1930)</f>
        <v>#REF!</v>
      </c>
      <c r="N1927" s="60" t="e">
        <f>+SUMIFS(#REF!,#REF!,Planning[[#This Row],[Proyectos]],#REF!,Planning[[#This Row],[Tipo de Tarea y especialidad]])</f>
        <v>#REF!</v>
      </c>
      <c r="O1927" s="16">
        <f t="shared" ref="O1927:O1990" si="60">$L$4</f>
        <v>10</v>
      </c>
      <c r="P1927" s="16">
        <f t="shared" ref="P1927:P1990" si="61">$M$4</f>
        <v>2024</v>
      </c>
      <c r="Q1927" s="16" t="e">
        <f>SUM(Q1928:Q1930)</f>
        <v>#REF!</v>
      </c>
      <c r="R1927" s="16" t="str">
        <f>TEXT(Planning[[#This Row],[Mes]]*29,"mmmm")</f>
        <v>October</v>
      </c>
      <c r="S19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27" s="208"/>
      <c r="U1927" s="43" t="e">
        <f>IF(Planning[[#This Row],[Horas Planificadas]]&lt;&gt;0,+K1927/Planning[[#This Row],[Horas Planificadas]],0)</f>
        <v>#REF!</v>
      </c>
      <c r="V1927" s="43" t="e">
        <f>IF(Planning[[#This Row],[Horas Planificadas]]&lt;&gt;0,Planning[[#This Row],[Horas utilizadas]]/Planning[[#This Row],[Horas Planificadas]],0)</f>
        <v>#REF!</v>
      </c>
      <c r="W1927" s="44">
        <f>Planning[[#This Row],[Horas Planificadas]]+Planning[[#This Row],[Horas ajustadas adicionales]]</f>
        <v>220</v>
      </c>
      <c r="X1927" s="142"/>
    </row>
    <row r="1928" spans="1:24" x14ac:dyDescent="0.2">
      <c r="A1928" s="7" t="s">
        <v>435</v>
      </c>
      <c r="B1928" s="7" t="s">
        <v>288</v>
      </c>
      <c r="C1928" s="3"/>
      <c r="D1928" s="3" t="s">
        <v>436</v>
      </c>
      <c r="E1928" s="4"/>
      <c r="F1928" s="3" t="s">
        <v>129</v>
      </c>
      <c r="G1928" s="9"/>
      <c r="H1928" s="9"/>
      <c r="I1928" s="12"/>
      <c r="J1928" s="5" t="e">
        <f>SUM(SUMIFS(#REF!,#REF!,Planning[[#This Row],[Tipo de Tarea y especialidad]],#REF!,Planning[[#This Row],[Proyectos Reiwa]]),SUMIFS(#REF!,#REF!,Planning[[#This Row],[Tipo de Tarea y especialidad]],#REF!,Planning[[#This Row],[Proyectos]]))</f>
        <v>#REF!</v>
      </c>
      <c r="K1928" s="5" t="e">
        <f>Planning[[#This Row],[Horas Planificadas]]+Planning[[#This Row],[Horas ajustadas adicionales]]-Planning[[#This Row],[Horas utilizadas]]</f>
        <v>#REF!</v>
      </c>
      <c r="L1928" s="7"/>
      <c r="M1928" s="19" t="e">
        <f>Planning[[#This Row],[Saldo]]-Planning[[#This Row],[Saldo estimado]]</f>
        <v>#REF!</v>
      </c>
      <c r="N1928" s="60" t="e">
        <f>+SUMIFS(#REF!,#REF!,Planning[[#This Row],[Proyectos]],#REF!,Planning[[#This Row],[Tipo de Tarea y especialidad]])</f>
        <v>#REF!</v>
      </c>
      <c r="O1928" s="19">
        <f t="shared" si="60"/>
        <v>10</v>
      </c>
      <c r="P1928" s="19">
        <f t="shared" si="61"/>
        <v>2024</v>
      </c>
      <c r="Q19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28" s="19" t="str">
        <f>TEXT(Planning[[#This Row],[Mes]]*29,"mmmm")</f>
        <v>October</v>
      </c>
      <c r="S19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28" s="208"/>
      <c r="U1928" s="43">
        <f>IF(Planning[[#This Row],[Horas Planificadas]]&lt;&gt;0,+K1928/Planning[[#This Row],[Horas Planificadas]],0)</f>
        <v>0</v>
      </c>
      <c r="V1928" s="43">
        <f>IF(Planning[[#This Row],[Horas Planificadas]]&lt;&gt;0,Planning[[#This Row],[Horas utilizadas]]/Planning[[#This Row],[Horas Planificadas]],0)</f>
        <v>0</v>
      </c>
      <c r="W1928" s="44">
        <f>Planning[[#This Row],[Horas Planificadas]]+Planning[[#This Row],[Horas ajustadas adicionales]]</f>
        <v>0</v>
      </c>
      <c r="X1928" s="142"/>
    </row>
    <row r="1929" spans="1:24" x14ac:dyDescent="0.2">
      <c r="A1929" s="7" t="s">
        <v>435</v>
      </c>
      <c r="B1929" s="7" t="s">
        <v>288</v>
      </c>
      <c r="C1929" s="3"/>
      <c r="D1929" s="3" t="s">
        <v>436</v>
      </c>
      <c r="E1929" s="4"/>
      <c r="F1929" s="3" t="s">
        <v>130</v>
      </c>
      <c r="G1929" s="9"/>
      <c r="H1929" s="9"/>
      <c r="I1929" s="12"/>
      <c r="J1929" s="5" t="e">
        <f>SUM(SUMIFS(#REF!,#REF!,Planning[[#This Row],[Tipo de Tarea y especialidad]],#REF!,Planning[[#This Row],[Proyectos Reiwa]]),SUMIFS(#REF!,#REF!,Planning[[#This Row],[Tipo de Tarea y especialidad]],#REF!,Planning[[#This Row],[Proyectos]]))</f>
        <v>#REF!</v>
      </c>
      <c r="K1929" s="5" t="e">
        <f>Planning[[#This Row],[Horas Planificadas]]+Planning[[#This Row],[Horas ajustadas adicionales]]-Planning[[#This Row],[Horas utilizadas]]</f>
        <v>#REF!</v>
      </c>
      <c r="L1929" s="7"/>
      <c r="M1929" s="19" t="e">
        <f>Planning[[#This Row],[Saldo]]-Planning[[#This Row],[Saldo estimado]]</f>
        <v>#REF!</v>
      </c>
      <c r="N1929" s="60" t="e">
        <f>+SUMIFS(#REF!,#REF!,Planning[[#This Row],[Proyectos]],#REF!,Planning[[#This Row],[Tipo de Tarea y especialidad]])</f>
        <v>#REF!</v>
      </c>
      <c r="O1929" s="19">
        <f t="shared" si="60"/>
        <v>10</v>
      </c>
      <c r="P1929" s="19">
        <f t="shared" si="61"/>
        <v>2024</v>
      </c>
      <c r="Q19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29" s="19" t="str">
        <f>TEXT(Planning[[#This Row],[Mes]]*29,"mmmm")</f>
        <v>October</v>
      </c>
      <c r="S19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29" s="208"/>
      <c r="U1929" s="43">
        <f>IF(Planning[[#This Row],[Horas Planificadas]]&lt;&gt;0,+K1929/Planning[[#This Row],[Horas Planificadas]],0)</f>
        <v>0</v>
      </c>
      <c r="V1929" s="43">
        <f>IF(Planning[[#This Row],[Horas Planificadas]]&lt;&gt;0,Planning[[#This Row],[Horas utilizadas]]/Planning[[#This Row],[Horas Planificadas]],0)</f>
        <v>0</v>
      </c>
      <c r="W1929" s="44">
        <f>Planning[[#This Row],[Horas Planificadas]]+Planning[[#This Row],[Horas ajustadas adicionales]]</f>
        <v>0</v>
      </c>
      <c r="X1929" s="142"/>
    </row>
    <row r="1930" spans="1:24" x14ac:dyDescent="0.2">
      <c r="A1930" s="7" t="s">
        <v>435</v>
      </c>
      <c r="B1930" s="7" t="s">
        <v>288</v>
      </c>
      <c r="C1930" s="3"/>
      <c r="D1930" s="3" t="s">
        <v>436</v>
      </c>
      <c r="E1930" s="4"/>
      <c r="F1930" s="3" t="s">
        <v>131</v>
      </c>
      <c r="G1930" s="9"/>
      <c r="H1930" s="9">
        <v>220</v>
      </c>
      <c r="I1930" s="12"/>
      <c r="J1930" s="5" t="e">
        <f>SUM(SUMIFS(#REF!,#REF!,Planning[[#This Row],[Tipo de Tarea y especialidad]],#REF!,Planning[[#This Row],[Proyectos Reiwa]]),SUMIFS(#REF!,#REF!,Planning[[#This Row],[Tipo de Tarea y especialidad]],#REF!,Planning[[#This Row],[Proyectos]]))</f>
        <v>#REF!</v>
      </c>
      <c r="K1930" s="5" t="e">
        <f>Planning[[#This Row],[Horas Planificadas]]+Planning[[#This Row],[Horas ajustadas adicionales]]-Planning[[#This Row],[Horas utilizadas]]</f>
        <v>#REF!</v>
      </c>
      <c r="L1930" s="7">
        <v>0</v>
      </c>
      <c r="M1930" s="19" t="e">
        <f>Planning[[#This Row],[Saldo]]-Planning[[#This Row],[Saldo estimado]]</f>
        <v>#REF!</v>
      </c>
      <c r="N1930" s="60" t="e">
        <f>+SUMIFS(#REF!,#REF!,Planning[[#This Row],[Proyectos]],#REF!,Planning[[#This Row],[Tipo de Tarea y especialidad]])</f>
        <v>#REF!</v>
      </c>
      <c r="O1930" s="19">
        <f t="shared" si="60"/>
        <v>10</v>
      </c>
      <c r="P1930" s="19">
        <f t="shared" si="61"/>
        <v>2024</v>
      </c>
      <c r="Q19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30" s="19" t="str">
        <f>TEXT(Planning[[#This Row],[Mes]]*29,"mmmm")</f>
        <v>October</v>
      </c>
      <c r="S19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30" s="208"/>
      <c r="U1930" s="43" t="e">
        <f>IF(Planning[[#This Row],[Horas Planificadas]]&lt;&gt;0,+K1930/Planning[[#This Row],[Horas Planificadas]],0)</f>
        <v>#REF!</v>
      </c>
      <c r="V1930" s="43" t="e">
        <f>IF(Planning[[#This Row],[Horas Planificadas]]&lt;&gt;0,Planning[[#This Row],[Horas utilizadas]]/Planning[[#This Row],[Horas Planificadas]],0)</f>
        <v>#REF!</v>
      </c>
      <c r="W1930" s="44">
        <f>Planning[[#This Row],[Horas Planificadas]]+Planning[[#This Row],[Horas ajustadas adicionales]]</f>
        <v>220</v>
      </c>
      <c r="X1930" s="142"/>
    </row>
    <row r="1931" spans="1:24" ht="22.5" x14ac:dyDescent="0.2">
      <c r="A1931" s="7" t="s">
        <v>117</v>
      </c>
      <c r="B1931" s="7" t="s">
        <v>205</v>
      </c>
      <c r="C1931" s="3"/>
      <c r="D1931" s="3" t="s">
        <v>438</v>
      </c>
      <c r="E1931" s="4" t="s">
        <v>28</v>
      </c>
      <c r="F1931" s="3"/>
      <c r="G1931" s="9">
        <v>500</v>
      </c>
      <c r="H1931" s="14">
        <f>SUM(H1932:H1933)</f>
        <v>577</v>
      </c>
      <c r="I1931" s="14"/>
      <c r="J1931" s="14" t="e">
        <f>SUM(J1932:J1933)</f>
        <v>#REF!</v>
      </c>
      <c r="K1931" s="15" t="e">
        <f>SUM(K1932:K1933)</f>
        <v>#REF!</v>
      </c>
      <c r="L1931" s="15">
        <f>SUM(L1932:L1933)</f>
        <v>0</v>
      </c>
      <c r="M1931" s="28" t="e">
        <f>SUM(M1932:M1933)</f>
        <v>#REF!</v>
      </c>
      <c r="N1931" s="61" t="e">
        <f>+SUMIFS(#REF!,#REF!,Planning[[#This Row],[Proyectos]],#REF!,Planning[[#This Row],[Tipo de Tarea y especialidad]])</f>
        <v>#REF!</v>
      </c>
      <c r="O1931" s="28">
        <f t="shared" si="60"/>
        <v>10</v>
      </c>
      <c r="P1931" s="28">
        <f t="shared" si="61"/>
        <v>2024</v>
      </c>
      <c r="Q1931" s="28" t="e">
        <f>SUM(Q1932:Q1933)</f>
        <v>#REF!</v>
      </c>
      <c r="R1931" s="28" t="str">
        <f>TEXT(Planning[[#This Row],[Mes]]*29,"mmmm")</f>
        <v>October</v>
      </c>
      <c r="S19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31" s="216" t="s">
        <v>439</v>
      </c>
      <c r="U1931" s="43" t="e">
        <f>IF(Planning[[#This Row],[Horas Planificadas]]&lt;&gt;0,+K1931/Planning[[#This Row],[Horas Planificadas]],0)</f>
        <v>#REF!</v>
      </c>
      <c r="V1931" s="43" t="e">
        <f>IF(Planning[[#This Row],[Horas Planificadas]]&lt;&gt;0,Planning[[#This Row],[Horas utilizadas]]/Planning[[#This Row],[Horas Planificadas]],0)</f>
        <v>#REF!</v>
      </c>
      <c r="W1931" s="44">
        <f>Planning[[#This Row],[Horas Planificadas]]+Planning[[#This Row],[Horas ajustadas adicionales]]</f>
        <v>577</v>
      </c>
      <c r="X1931" s="142"/>
    </row>
    <row r="1932" spans="1:24" x14ac:dyDescent="0.2">
      <c r="A1932" s="7" t="s">
        <v>117</v>
      </c>
      <c r="B1932" s="7" t="s">
        <v>205</v>
      </c>
      <c r="C1932" s="3"/>
      <c r="D1932" s="3" t="s">
        <v>438</v>
      </c>
      <c r="E1932" s="4"/>
      <c r="F1932" s="3" t="s">
        <v>120</v>
      </c>
      <c r="G1932" s="9"/>
      <c r="H1932" s="9">
        <v>520</v>
      </c>
      <c r="I1932" s="12"/>
      <c r="J1932" s="5" t="e">
        <f>SUM(SUMIFS(#REF!,#REF!,Planning[[#This Row],[Tipo de Tarea y especialidad]],#REF!,Planning[[#This Row],[Proyectos Reiwa]]),SUMIFS(#REF!,#REF!,Planning[[#This Row],[Tipo de Tarea y especialidad]],#REF!,Planning[[#This Row],[Proyectos]]))</f>
        <v>#REF!</v>
      </c>
      <c r="K1932" s="5" t="e">
        <f>Planning[[#This Row],[Horas Planificadas]]+Planning[[#This Row],[Horas ajustadas adicionales]]-Planning[[#This Row],[Horas utilizadas]]</f>
        <v>#REF!</v>
      </c>
      <c r="L1932" s="7">
        <v>0</v>
      </c>
      <c r="M1932" s="19" t="e">
        <f>Planning[[#This Row],[Saldo]]-Planning[[#This Row],[Saldo estimado]]</f>
        <v>#REF!</v>
      </c>
      <c r="N1932" s="60" t="e">
        <f>+SUMIFS(#REF!,#REF!,Planning[[#This Row],[Proyectos]],#REF!,Planning[[#This Row],[Tipo de Tarea y especialidad]])</f>
        <v>#REF!</v>
      </c>
      <c r="O1932" s="19">
        <f t="shared" si="60"/>
        <v>10</v>
      </c>
      <c r="P1932" s="19">
        <f t="shared" si="61"/>
        <v>2024</v>
      </c>
      <c r="Q19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32" s="19" t="str">
        <f>TEXT(Planning[[#This Row],[Mes]]*29,"mmmm")</f>
        <v>October</v>
      </c>
      <c r="S19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32" s="193"/>
      <c r="U1932" s="43" t="e">
        <f>IF(Planning[[#This Row],[Horas Planificadas]]&lt;&gt;0,+K1932/Planning[[#This Row],[Horas Planificadas]],0)</f>
        <v>#REF!</v>
      </c>
      <c r="V1932" s="43" t="e">
        <f>IF(Planning[[#This Row],[Horas Planificadas]]&lt;&gt;0,Planning[[#This Row],[Horas utilizadas]]/Planning[[#This Row],[Horas Planificadas]],0)</f>
        <v>#REF!</v>
      </c>
      <c r="W1932" s="44">
        <f>Planning[[#This Row],[Horas Planificadas]]+Planning[[#This Row],[Horas ajustadas adicionales]]</f>
        <v>520</v>
      </c>
      <c r="X1932" s="142"/>
    </row>
    <row r="1933" spans="1:24" x14ac:dyDescent="0.2">
      <c r="A1933" s="7" t="s">
        <v>117</v>
      </c>
      <c r="B1933" s="7" t="s">
        <v>205</v>
      </c>
      <c r="C1933" s="3"/>
      <c r="D1933" s="3" t="s">
        <v>438</v>
      </c>
      <c r="E1933" s="4"/>
      <c r="F1933" s="3" t="s">
        <v>121</v>
      </c>
      <c r="G1933" s="9"/>
      <c r="H1933" s="9">
        <v>57</v>
      </c>
      <c r="I1933" s="12"/>
      <c r="J1933" s="5" t="e">
        <f>SUM(SUMIFS(#REF!,#REF!,Planning[[#This Row],[Tipo de Tarea y especialidad]],#REF!,Planning[[#This Row],[Proyectos Reiwa]]),SUMIFS(#REF!,#REF!,Planning[[#This Row],[Tipo de Tarea y especialidad]],#REF!,Planning[[#This Row],[Proyectos]]))</f>
        <v>#REF!</v>
      </c>
      <c r="K1933" s="5" t="e">
        <f>Planning[[#This Row],[Horas Planificadas]]+Planning[[#This Row],[Horas ajustadas adicionales]]-Planning[[#This Row],[Horas utilizadas]]</f>
        <v>#REF!</v>
      </c>
      <c r="L1933" s="7">
        <v>0</v>
      </c>
      <c r="M1933" s="19" t="e">
        <f>Planning[[#This Row],[Saldo]]-Planning[[#This Row],[Saldo estimado]]</f>
        <v>#REF!</v>
      </c>
      <c r="N1933" s="60" t="e">
        <f>+SUMIFS(#REF!,#REF!,Planning[[#This Row],[Proyectos]],#REF!,Planning[[#This Row],[Tipo de Tarea y especialidad]])</f>
        <v>#REF!</v>
      </c>
      <c r="O1933" s="19">
        <f t="shared" si="60"/>
        <v>10</v>
      </c>
      <c r="P1933" s="19">
        <f t="shared" si="61"/>
        <v>2024</v>
      </c>
      <c r="Q19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33" s="19" t="str">
        <f>TEXT(Planning[[#This Row],[Mes]]*29,"mmmm")</f>
        <v>October</v>
      </c>
      <c r="S19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33" s="193"/>
      <c r="U1933" s="43" t="e">
        <f>IF(Planning[[#This Row],[Horas Planificadas]]&lt;&gt;0,+K1933/Planning[[#This Row],[Horas Planificadas]],0)</f>
        <v>#REF!</v>
      </c>
      <c r="V1933" s="43" t="e">
        <f>IF(Planning[[#This Row],[Horas Planificadas]]&lt;&gt;0,Planning[[#This Row],[Horas utilizadas]]/Planning[[#This Row],[Horas Planificadas]],0)</f>
        <v>#REF!</v>
      </c>
      <c r="W1933" s="44">
        <f>Planning[[#This Row],[Horas Planificadas]]+Planning[[#This Row],[Horas ajustadas adicionales]]</f>
        <v>57</v>
      </c>
      <c r="X1933" s="142"/>
    </row>
    <row r="1934" spans="1:24" x14ac:dyDescent="0.2">
      <c r="A1934" s="7" t="s">
        <v>117</v>
      </c>
      <c r="B1934" s="7" t="s">
        <v>205</v>
      </c>
      <c r="C1934" s="3"/>
      <c r="D1934" s="3" t="s">
        <v>438</v>
      </c>
      <c r="E1934" s="4" t="s">
        <v>30</v>
      </c>
      <c r="F1934" s="3"/>
      <c r="G1934" s="9">
        <v>251</v>
      </c>
      <c r="H1934" s="25">
        <f>SUM(H1935:H1941)</f>
        <v>375</v>
      </c>
      <c r="I1934" s="14"/>
      <c r="J1934" s="14" t="e">
        <f>SUM(J1935:J1941)</f>
        <v>#REF!</v>
      </c>
      <c r="K1934" s="18" t="e">
        <f>SUM(K1935:K1941)</f>
        <v>#REF!</v>
      </c>
      <c r="L1934" s="15">
        <f>SUM(L1935:L1941)</f>
        <v>0</v>
      </c>
      <c r="M1934" s="16" t="e">
        <f>SUM(M1935:M1941)</f>
        <v>#REF!</v>
      </c>
      <c r="N1934" s="60" t="e">
        <f>+SUMIFS(#REF!,#REF!,Planning[[#This Row],[Proyectos]],#REF!,Planning[[#This Row],[Tipo de Tarea y especialidad]])</f>
        <v>#REF!</v>
      </c>
      <c r="O1934" s="16">
        <f t="shared" si="60"/>
        <v>10</v>
      </c>
      <c r="P1934" s="16">
        <f t="shared" si="61"/>
        <v>2024</v>
      </c>
      <c r="Q1934" s="16" t="e">
        <f>SUM(Q1935:Q1941)</f>
        <v>#REF!</v>
      </c>
      <c r="R1934" s="16" t="str">
        <f>TEXT(Planning[[#This Row],[Mes]]*29,"mmmm")</f>
        <v>October</v>
      </c>
      <c r="S19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34" s="193"/>
      <c r="U1934" s="43" t="e">
        <f>IF(Planning[[#This Row],[Horas Planificadas]]&lt;&gt;0,+K1934/Planning[[#This Row],[Horas Planificadas]],0)</f>
        <v>#REF!</v>
      </c>
      <c r="V1934" s="43" t="e">
        <f>IF(Planning[[#This Row],[Horas Planificadas]]&lt;&gt;0,Planning[[#This Row],[Horas utilizadas]]/Planning[[#This Row],[Horas Planificadas]],0)</f>
        <v>#REF!</v>
      </c>
      <c r="W1934" s="44">
        <f>Planning[[#This Row],[Horas Planificadas]]+Planning[[#This Row],[Horas ajustadas adicionales]]</f>
        <v>375</v>
      </c>
      <c r="X1934" s="142"/>
    </row>
    <row r="1935" spans="1:24" x14ac:dyDescent="0.2">
      <c r="A1935" s="7" t="s">
        <v>117</v>
      </c>
      <c r="B1935" s="7" t="s">
        <v>205</v>
      </c>
      <c r="C1935" s="3"/>
      <c r="D1935" s="3" t="s">
        <v>438</v>
      </c>
      <c r="E1935" s="4"/>
      <c r="F1935" s="3" t="s">
        <v>122</v>
      </c>
      <c r="G1935" s="9"/>
      <c r="H1935" s="12">
        <v>75</v>
      </c>
      <c r="I1935" s="12"/>
      <c r="J1935" s="5" t="e">
        <f>SUM(SUMIFS(#REF!,#REF!,Planning[[#This Row],[Tipo de Tarea y especialidad]],#REF!,Planning[[#This Row],[Proyectos Reiwa]]),SUMIFS(#REF!,#REF!,Planning[[#This Row],[Tipo de Tarea y especialidad]],#REF!,Planning[[#This Row],[Proyectos]]))</f>
        <v>#REF!</v>
      </c>
      <c r="K1935" s="27" t="e">
        <f>Planning[[#This Row],[Horas Planificadas]]+Planning[[#This Row],[Horas ajustadas adicionales]]-Planning[[#This Row],[Horas utilizadas]]</f>
        <v>#REF!</v>
      </c>
      <c r="L1935" s="7">
        <v>0</v>
      </c>
      <c r="M1935" s="34" t="e">
        <f>Planning[[#This Row],[Saldo]]-Planning[[#This Row],[Saldo estimado]]</f>
        <v>#REF!</v>
      </c>
      <c r="N1935" s="62" t="e">
        <f>+SUMIFS(#REF!,#REF!,Planning[[#This Row],[Proyectos]],#REF!,Planning[[#This Row],[Tipo de Tarea y especialidad]])</f>
        <v>#REF!</v>
      </c>
      <c r="O1935" s="34">
        <f t="shared" si="60"/>
        <v>10</v>
      </c>
      <c r="P1935" s="34">
        <f t="shared" si="61"/>
        <v>2024</v>
      </c>
      <c r="Q19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35" s="19" t="str">
        <f>TEXT(Planning[[#This Row],[Mes]]*29,"mmmm")</f>
        <v>October</v>
      </c>
      <c r="S19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35" s="193"/>
      <c r="U1935" s="43" t="e">
        <f>IF(Planning[[#This Row],[Horas Planificadas]]&lt;&gt;0,+K1935/Planning[[#This Row],[Horas Planificadas]],0)</f>
        <v>#REF!</v>
      </c>
      <c r="V1935" s="43" t="e">
        <f>IF(Planning[[#This Row],[Horas Planificadas]]&lt;&gt;0,Planning[[#This Row],[Horas utilizadas]]/Planning[[#This Row],[Horas Planificadas]],0)</f>
        <v>#REF!</v>
      </c>
      <c r="W1935" s="44">
        <f>Planning[[#This Row],[Horas Planificadas]]+Planning[[#This Row],[Horas ajustadas adicionales]]</f>
        <v>75</v>
      </c>
      <c r="X1935" s="142"/>
    </row>
    <row r="1936" spans="1:24" x14ac:dyDescent="0.2">
      <c r="A1936" s="7" t="s">
        <v>117</v>
      </c>
      <c r="B1936" s="7" t="s">
        <v>205</v>
      </c>
      <c r="C1936" s="3"/>
      <c r="D1936" s="3" t="s">
        <v>438</v>
      </c>
      <c r="E1936" s="4"/>
      <c r="F1936" s="3" t="s">
        <v>123</v>
      </c>
      <c r="G1936" s="9"/>
      <c r="H1936" s="9">
        <v>27</v>
      </c>
      <c r="I1936" s="12"/>
      <c r="J1936" s="5" t="e">
        <f>SUM(SUMIFS(#REF!,#REF!,Planning[[#This Row],[Tipo de Tarea y especialidad]],#REF!,Planning[[#This Row],[Proyectos Reiwa]]),SUMIFS(#REF!,#REF!,Planning[[#This Row],[Tipo de Tarea y especialidad]],#REF!,Planning[[#This Row],[Proyectos]]))</f>
        <v>#REF!</v>
      </c>
      <c r="K1936" s="5" t="e">
        <f>Planning[[#This Row],[Horas Planificadas]]+Planning[[#This Row],[Horas ajustadas adicionales]]-Planning[[#This Row],[Horas utilizadas]]</f>
        <v>#REF!</v>
      </c>
      <c r="L1936" s="7">
        <v>0</v>
      </c>
      <c r="M1936" s="19" t="e">
        <f>Planning[[#This Row],[Saldo]]-Planning[[#This Row],[Saldo estimado]]</f>
        <v>#REF!</v>
      </c>
      <c r="N1936" s="60" t="e">
        <f>+SUMIFS(#REF!,#REF!,Planning[[#This Row],[Proyectos]],#REF!,Planning[[#This Row],[Tipo de Tarea y especialidad]])</f>
        <v>#REF!</v>
      </c>
      <c r="O1936" s="19">
        <f t="shared" si="60"/>
        <v>10</v>
      </c>
      <c r="P1936" s="19">
        <f t="shared" si="61"/>
        <v>2024</v>
      </c>
      <c r="Q19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36" s="19" t="str">
        <f>TEXT(Planning[[#This Row],[Mes]]*29,"mmmm")</f>
        <v>October</v>
      </c>
      <c r="S19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36" s="193"/>
      <c r="U1936" s="43" t="e">
        <f>IF(Planning[[#This Row],[Horas Planificadas]]&lt;&gt;0,+K1936/Planning[[#This Row],[Horas Planificadas]],0)</f>
        <v>#REF!</v>
      </c>
      <c r="V1936" s="43" t="e">
        <f>IF(Planning[[#This Row],[Horas Planificadas]]&lt;&gt;0,Planning[[#This Row],[Horas utilizadas]]/Planning[[#This Row],[Horas Planificadas]],0)</f>
        <v>#REF!</v>
      </c>
      <c r="W1936" s="44">
        <f>Planning[[#This Row],[Horas Planificadas]]+Planning[[#This Row],[Horas ajustadas adicionales]]</f>
        <v>27</v>
      </c>
      <c r="X1936" s="142"/>
    </row>
    <row r="1937" spans="1:24" x14ac:dyDescent="0.2">
      <c r="A1937" s="7" t="s">
        <v>117</v>
      </c>
      <c r="B1937" s="7" t="s">
        <v>205</v>
      </c>
      <c r="C1937" s="3"/>
      <c r="D1937" s="3" t="s">
        <v>438</v>
      </c>
      <c r="E1937" s="4"/>
      <c r="F1937" s="3" t="s">
        <v>124</v>
      </c>
      <c r="G1937" s="9"/>
      <c r="H1937" s="9"/>
      <c r="I1937" s="12"/>
      <c r="J1937" s="5" t="e">
        <f>SUM(SUMIFS(#REF!,#REF!,Planning[[#This Row],[Tipo de Tarea y especialidad]],#REF!,Planning[[#This Row],[Proyectos Reiwa]]),SUMIFS(#REF!,#REF!,Planning[[#This Row],[Tipo de Tarea y especialidad]],#REF!,Planning[[#This Row],[Proyectos]]))</f>
        <v>#REF!</v>
      </c>
      <c r="K1937" s="5" t="e">
        <f>Planning[[#This Row],[Horas Planificadas]]+Planning[[#This Row],[Horas ajustadas adicionales]]-Planning[[#This Row],[Horas utilizadas]]</f>
        <v>#REF!</v>
      </c>
      <c r="L1937" s="7"/>
      <c r="M1937" s="19" t="e">
        <f>Planning[[#This Row],[Saldo]]-Planning[[#This Row],[Saldo estimado]]</f>
        <v>#REF!</v>
      </c>
      <c r="N1937" s="60" t="e">
        <f>+SUMIFS(#REF!,#REF!,Planning[[#This Row],[Proyectos]],#REF!,Planning[[#This Row],[Tipo de Tarea y especialidad]])</f>
        <v>#REF!</v>
      </c>
      <c r="O1937" s="19">
        <f t="shared" si="60"/>
        <v>10</v>
      </c>
      <c r="P1937" s="19">
        <f t="shared" si="61"/>
        <v>2024</v>
      </c>
      <c r="Q19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37" s="19" t="str">
        <f>TEXT(Planning[[#This Row],[Mes]]*29,"mmmm")</f>
        <v>October</v>
      </c>
      <c r="S19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37" s="193"/>
      <c r="U1937" s="43">
        <f>IF(Planning[[#This Row],[Horas Planificadas]]&lt;&gt;0,+K1937/Planning[[#This Row],[Horas Planificadas]],0)</f>
        <v>0</v>
      </c>
      <c r="V1937" s="43">
        <f>IF(Planning[[#This Row],[Horas Planificadas]]&lt;&gt;0,Planning[[#This Row],[Horas utilizadas]]/Planning[[#This Row],[Horas Planificadas]],0)</f>
        <v>0</v>
      </c>
      <c r="W1937" s="44">
        <f>Planning[[#This Row],[Horas Planificadas]]+Planning[[#This Row],[Horas ajustadas adicionales]]</f>
        <v>0</v>
      </c>
      <c r="X1937" s="142"/>
    </row>
    <row r="1938" spans="1:24" x14ac:dyDescent="0.2">
      <c r="A1938" s="7" t="s">
        <v>117</v>
      </c>
      <c r="B1938" s="7" t="s">
        <v>205</v>
      </c>
      <c r="C1938" s="3"/>
      <c r="D1938" s="3" t="s">
        <v>438</v>
      </c>
      <c r="E1938" s="4"/>
      <c r="F1938" s="3" t="s">
        <v>125</v>
      </c>
      <c r="G1938" s="9"/>
      <c r="H1938" s="12">
        <v>66</v>
      </c>
      <c r="I1938" s="12"/>
      <c r="J1938" s="5" t="e">
        <f>SUM(SUMIFS(#REF!,#REF!,Planning[[#This Row],[Tipo de Tarea y especialidad]],#REF!,Planning[[#This Row],[Proyectos Reiwa]]),SUMIFS(#REF!,#REF!,Planning[[#This Row],[Tipo de Tarea y especialidad]],#REF!,Planning[[#This Row],[Proyectos]]))</f>
        <v>#REF!</v>
      </c>
      <c r="K1938" s="27" t="e">
        <f>Planning[[#This Row],[Horas Planificadas]]+Planning[[#This Row],[Horas ajustadas adicionales]]-Planning[[#This Row],[Horas utilizadas]]</f>
        <v>#REF!</v>
      </c>
      <c r="L1938" s="7">
        <v>0</v>
      </c>
      <c r="M1938" s="19" t="e">
        <f>Planning[[#This Row],[Saldo]]-Planning[[#This Row],[Saldo estimado]]</f>
        <v>#REF!</v>
      </c>
      <c r="N1938" s="60" t="e">
        <f>+SUMIFS(#REF!,#REF!,Planning[[#This Row],[Proyectos]],#REF!,Planning[[#This Row],[Tipo de Tarea y especialidad]])</f>
        <v>#REF!</v>
      </c>
      <c r="O1938" s="19">
        <f t="shared" si="60"/>
        <v>10</v>
      </c>
      <c r="P1938" s="19">
        <f t="shared" si="61"/>
        <v>2024</v>
      </c>
      <c r="Q19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38" s="19" t="str">
        <f>TEXT(Planning[[#This Row],[Mes]]*29,"mmmm")</f>
        <v>October</v>
      </c>
      <c r="S19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38" s="193"/>
      <c r="U1938" s="43" t="e">
        <f>IF(Planning[[#This Row],[Horas Planificadas]]&lt;&gt;0,+K1938/Planning[[#This Row],[Horas Planificadas]],0)</f>
        <v>#REF!</v>
      </c>
      <c r="V1938" s="43" t="e">
        <f>IF(Planning[[#This Row],[Horas Planificadas]]&lt;&gt;0,Planning[[#This Row],[Horas utilizadas]]/Planning[[#This Row],[Horas Planificadas]],0)</f>
        <v>#REF!</v>
      </c>
      <c r="W1938" s="44">
        <f>Planning[[#This Row],[Horas Planificadas]]+Planning[[#This Row],[Horas ajustadas adicionales]]</f>
        <v>66</v>
      </c>
      <c r="X1938" s="142"/>
    </row>
    <row r="1939" spans="1:24" x14ac:dyDescent="0.2">
      <c r="A1939" s="7" t="s">
        <v>117</v>
      </c>
      <c r="B1939" s="7" t="s">
        <v>205</v>
      </c>
      <c r="C1939" s="3"/>
      <c r="D1939" s="3" t="s">
        <v>438</v>
      </c>
      <c r="E1939" s="4"/>
      <c r="F1939" s="3" t="s">
        <v>126</v>
      </c>
      <c r="G1939" s="9"/>
      <c r="H1939" s="9">
        <v>198</v>
      </c>
      <c r="I1939" s="12"/>
      <c r="J1939" s="5" t="e">
        <f>SUM(SUMIFS(#REF!,#REF!,Planning[[#This Row],[Tipo de Tarea y especialidad]],#REF!,Planning[[#This Row],[Proyectos Reiwa]]),SUMIFS(#REF!,#REF!,Planning[[#This Row],[Tipo de Tarea y especialidad]],#REF!,Planning[[#This Row],[Proyectos]]))</f>
        <v>#REF!</v>
      </c>
      <c r="K1939" s="5" t="e">
        <f>Planning[[#This Row],[Horas Planificadas]]+Planning[[#This Row],[Horas ajustadas adicionales]]-Planning[[#This Row],[Horas utilizadas]]</f>
        <v>#REF!</v>
      </c>
      <c r="L1939" s="7">
        <v>0</v>
      </c>
      <c r="M1939" s="19" t="e">
        <f>Planning[[#This Row],[Saldo]]-Planning[[#This Row],[Saldo estimado]]</f>
        <v>#REF!</v>
      </c>
      <c r="N1939" s="60" t="e">
        <f>+SUMIFS(#REF!,#REF!,Planning[[#This Row],[Proyectos]],#REF!,Planning[[#This Row],[Tipo de Tarea y especialidad]])</f>
        <v>#REF!</v>
      </c>
      <c r="O1939" s="19">
        <f t="shared" si="60"/>
        <v>10</v>
      </c>
      <c r="P1939" s="19">
        <f t="shared" si="61"/>
        <v>2024</v>
      </c>
      <c r="Q19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39" s="19" t="str">
        <f>TEXT(Planning[[#This Row],[Mes]]*29,"mmmm")</f>
        <v>October</v>
      </c>
      <c r="S19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39" s="193"/>
      <c r="U1939" s="43" t="e">
        <f>IF(Planning[[#This Row],[Horas Planificadas]]&lt;&gt;0,+K1939/Planning[[#This Row],[Horas Planificadas]],0)</f>
        <v>#REF!</v>
      </c>
      <c r="V1939" s="43" t="e">
        <f>IF(Planning[[#This Row],[Horas Planificadas]]&lt;&gt;0,Planning[[#This Row],[Horas utilizadas]]/Planning[[#This Row],[Horas Planificadas]],0)</f>
        <v>#REF!</v>
      </c>
      <c r="W1939" s="44">
        <f>Planning[[#This Row],[Horas Planificadas]]+Planning[[#This Row],[Horas ajustadas adicionales]]</f>
        <v>198</v>
      </c>
      <c r="X1939" s="142"/>
    </row>
    <row r="1940" spans="1:24" x14ac:dyDescent="0.2">
      <c r="A1940" s="7" t="s">
        <v>117</v>
      </c>
      <c r="B1940" s="7" t="s">
        <v>205</v>
      </c>
      <c r="C1940" s="3"/>
      <c r="D1940" s="3" t="s">
        <v>438</v>
      </c>
      <c r="E1940" s="4"/>
      <c r="F1940" s="3" t="s">
        <v>127</v>
      </c>
      <c r="G1940" s="9"/>
      <c r="H1940" s="9">
        <v>9</v>
      </c>
      <c r="I1940" s="12"/>
      <c r="J1940" s="5" t="e">
        <f>SUM(SUMIFS(#REF!,#REF!,Planning[[#This Row],[Tipo de Tarea y especialidad]],#REF!,Planning[[#This Row],[Proyectos Reiwa]]),SUMIFS(#REF!,#REF!,Planning[[#This Row],[Tipo de Tarea y especialidad]],#REF!,Planning[[#This Row],[Proyectos]]))</f>
        <v>#REF!</v>
      </c>
      <c r="K1940" s="5" t="e">
        <f>Planning[[#This Row],[Horas Planificadas]]+Planning[[#This Row],[Horas ajustadas adicionales]]-Planning[[#This Row],[Horas utilizadas]]</f>
        <v>#REF!</v>
      </c>
      <c r="L1940" s="7">
        <v>0</v>
      </c>
      <c r="M1940" s="19" t="e">
        <f>Planning[[#This Row],[Saldo]]-Planning[[#This Row],[Saldo estimado]]</f>
        <v>#REF!</v>
      </c>
      <c r="N1940" s="60" t="e">
        <f>+SUMIFS(#REF!,#REF!,Planning[[#This Row],[Proyectos]],#REF!,Planning[[#This Row],[Tipo de Tarea y especialidad]])</f>
        <v>#REF!</v>
      </c>
      <c r="O1940" s="19">
        <f t="shared" si="60"/>
        <v>10</v>
      </c>
      <c r="P1940" s="19">
        <f t="shared" si="61"/>
        <v>2024</v>
      </c>
      <c r="Q19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40" s="19" t="str">
        <f>TEXT(Planning[[#This Row],[Mes]]*29,"mmmm")</f>
        <v>October</v>
      </c>
      <c r="S19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40" s="193"/>
      <c r="U1940" s="43" t="e">
        <f>IF(Planning[[#This Row],[Horas Planificadas]]&lt;&gt;0,+K1940/Planning[[#This Row],[Horas Planificadas]],0)</f>
        <v>#REF!</v>
      </c>
      <c r="V1940" s="43" t="e">
        <f>IF(Planning[[#This Row],[Horas Planificadas]]&lt;&gt;0,Planning[[#This Row],[Horas utilizadas]]/Planning[[#This Row],[Horas Planificadas]],0)</f>
        <v>#REF!</v>
      </c>
      <c r="W1940" s="44">
        <f>Planning[[#This Row],[Horas Planificadas]]+Planning[[#This Row],[Horas ajustadas adicionales]]</f>
        <v>9</v>
      </c>
      <c r="X1940" s="142"/>
    </row>
    <row r="1941" spans="1:24" x14ac:dyDescent="0.2">
      <c r="A1941" s="7" t="s">
        <v>117</v>
      </c>
      <c r="B1941" s="7" t="s">
        <v>205</v>
      </c>
      <c r="C1941" s="3"/>
      <c r="D1941" s="3" t="s">
        <v>438</v>
      </c>
      <c r="E1941" s="4"/>
      <c r="F1941" s="3" t="s">
        <v>128</v>
      </c>
      <c r="G1941" s="9"/>
      <c r="H1941" s="9"/>
      <c r="I1941" s="12"/>
      <c r="J1941" s="5" t="e">
        <f>SUM(SUMIFS(#REF!,#REF!,Planning[[#This Row],[Tipo de Tarea y especialidad]],#REF!,Planning[[#This Row],[Proyectos Reiwa]]),SUMIFS(#REF!,#REF!,Planning[[#This Row],[Tipo de Tarea y especialidad]],#REF!,Planning[[#This Row],[Proyectos]]))</f>
        <v>#REF!</v>
      </c>
      <c r="K1941" s="5" t="e">
        <f>Planning[[#This Row],[Horas Planificadas]]+Planning[[#This Row],[Horas ajustadas adicionales]]-Planning[[#This Row],[Horas utilizadas]]</f>
        <v>#REF!</v>
      </c>
      <c r="L1941" s="7"/>
      <c r="M1941" s="19" t="e">
        <f>Planning[[#This Row],[Saldo]]-Planning[[#This Row],[Saldo estimado]]</f>
        <v>#REF!</v>
      </c>
      <c r="N1941" s="60" t="e">
        <f>+SUMIFS(#REF!,#REF!,Planning[[#This Row],[Proyectos]],#REF!,Planning[[#This Row],[Tipo de Tarea y especialidad]])</f>
        <v>#REF!</v>
      </c>
      <c r="O1941" s="19">
        <f t="shared" si="60"/>
        <v>10</v>
      </c>
      <c r="P1941" s="19">
        <f t="shared" si="61"/>
        <v>2024</v>
      </c>
      <c r="Q19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41" s="19" t="str">
        <f>TEXT(Planning[[#This Row],[Mes]]*29,"mmmm")</f>
        <v>October</v>
      </c>
      <c r="S19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41" s="193"/>
      <c r="U1941" s="43">
        <f>IF(Planning[[#This Row],[Horas Planificadas]]&lt;&gt;0,+K1941/Planning[[#This Row],[Horas Planificadas]],0)</f>
        <v>0</v>
      </c>
      <c r="V1941" s="43">
        <f>IF(Planning[[#This Row],[Horas Planificadas]]&lt;&gt;0,Planning[[#This Row],[Horas utilizadas]]/Planning[[#This Row],[Horas Planificadas]],0)</f>
        <v>0</v>
      </c>
      <c r="W1941" s="44">
        <f>Planning[[#This Row],[Horas Planificadas]]+Planning[[#This Row],[Horas ajustadas adicionales]]</f>
        <v>0</v>
      </c>
      <c r="X1941" s="142"/>
    </row>
    <row r="1942" spans="1:24" x14ac:dyDescent="0.2">
      <c r="A1942" s="7" t="s">
        <v>117</v>
      </c>
      <c r="B1942" s="7" t="s">
        <v>205</v>
      </c>
      <c r="C1942" s="3"/>
      <c r="D1942" s="3" t="s">
        <v>438</v>
      </c>
      <c r="E1942" s="4" t="s">
        <v>31</v>
      </c>
      <c r="F1942" s="3" t="s">
        <v>31</v>
      </c>
      <c r="G1942" s="9">
        <v>117</v>
      </c>
      <c r="H1942" s="17">
        <v>100</v>
      </c>
      <c r="I1942" s="18"/>
      <c r="J1942" s="14" t="e">
        <f>+SUMIFS(#REF!,#REF!,Planning[[#This Row],[Tarifa]],#REF!,Planning[[#This Row],[Proyectos]])</f>
        <v>#REF!</v>
      </c>
      <c r="K1942" s="14" t="e">
        <f>Planning[[#This Row],[Horas Planificadas]]+Planning[[#This Row],[Horas ajustadas adicionales]]-Planning[[#This Row],[Horas utilizadas]]</f>
        <v>#REF!</v>
      </c>
      <c r="L1942" s="15">
        <v>0</v>
      </c>
      <c r="M1942" s="16" t="e">
        <f>Planning[[#This Row],[Saldo]]-Planning[[#This Row],[Saldo estimado]]</f>
        <v>#REF!</v>
      </c>
      <c r="N1942" s="60" t="e">
        <f>+SUMIFS(#REF!,#REF!,Planning[[#This Row],[Proyectos]],#REF!,Planning[[#This Row],[Tipo de Tarea y especialidad]])</f>
        <v>#REF!</v>
      </c>
      <c r="O1942" s="16">
        <f t="shared" si="60"/>
        <v>10</v>
      </c>
      <c r="P1942" s="16">
        <f t="shared" si="61"/>
        <v>2024</v>
      </c>
      <c r="Q1942" s="16" t="e">
        <f>+SUMIFS(#REF!,#REF!,Planning[[#This Row],[Tarifa]],#REF!,Planning[[#This Row],[Proyectos]],#REF!,Planning[[#This Row],[Mes]],#REF!,Planning[[#This Row],[Año]])</f>
        <v>#REF!</v>
      </c>
      <c r="R1942" s="16" t="str">
        <f>TEXT(Planning[[#This Row],[Mes]]*29,"mmmm")</f>
        <v>October</v>
      </c>
      <c r="S19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42" s="193"/>
      <c r="U1942" s="43" t="e">
        <f>IF(Planning[[#This Row],[Horas Planificadas]]&lt;&gt;0,+K1942/Planning[[#This Row],[Horas Planificadas]],0)</f>
        <v>#REF!</v>
      </c>
      <c r="V1942" s="43" t="e">
        <f>IF(Planning[[#This Row],[Horas Planificadas]]&lt;&gt;0,Planning[[#This Row],[Horas utilizadas]]/Planning[[#This Row],[Horas Planificadas]],0)</f>
        <v>#REF!</v>
      </c>
      <c r="W1942" s="44">
        <f>Planning[[#This Row],[Horas Planificadas]]+Planning[[#This Row],[Horas ajustadas adicionales]]</f>
        <v>100</v>
      </c>
      <c r="X1942" s="142"/>
    </row>
    <row r="1943" spans="1:24" ht="22.5" x14ac:dyDescent="0.2">
      <c r="A1943" s="7" t="s">
        <v>117</v>
      </c>
      <c r="B1943" s="7" t="s">
        <v>205</v>
      </c>
      <c r="C1943" s="3"/>
      <c r="D1943" s="3" t="s">
        <v>438</v>
      </c>
      <c r="E1943" s="4" t="s">
        <v>32</v>
      </c>
      <c r="F1943" s="3"/>
      <c r="G1943" s="9">
        <v>261</v>
      </c>
      <c r="H1943" s="25">
        <f>SUM(H1944:H1946)</f>
        <v>171</v>
      </c>
      <c r="I1943" s="14"/>
      <c r="J1943" s="14" t="e">
        <f>SUM(J1944:J1946)</f>
        <v>#REF!</v>
      </c>
      <c r="K1943" s="18" t="e">
        <f>SUM(K1944:K1946)</f>
        <v>#REF!</v>
      </c>
      <c r="L1943" s="15">
        <f>SUM(L1944:L1946)</f>
        <v>0</v>
      </c>
      <c r="M1943" s="16" t="e">
        <f>SUM(M1944:M1946)</f>
        <v>#REF!</v>
      </c>
      <c r="N1943" s="60" t="e">
        <f>+SUMIFS(#REF!,#REF!,Planning[[#This Row],[Proyectos]],#REF!,Planning[[#This Row],[Tipo de Tarea y especialidad]])</f>
        <v>#REF!</v>
      </c>
      <c r="O1943" s="16">
        <f t="shared" si="60"/>
        <v>10</v>
      </c>
      <c r="P1943" s="16">
        <f t="shared" si="61"/>
        <v>2024</v>
      </c>
      <c r="Q1943" s="16" t="e">
        <f>SUM(Q1944:Q1946)</f>
        <v>#REF!</v>
      </c>
      <c r="R1943" s="16" t="str">
        <f>TEXT(Planning[[#This Row],[Mes]]*29,"mmmm")</f>
        <v>October</v>
      </c>
      <c r="S19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43" s="193"/>
      <c r="U1943" s="43" t="e">
        <f>IF(Planning[[#This Row],[Horas Planificadas]]&lt;&gt;0,+K1943/Planning[[#This Row],[Horas Planificadas]],0)</f>
        <v>#REF!</v>
      </c>
      <c r="V1943" s="43" t="e">
        <f>IF(Planning[[#This Row],[Horas Planificadas]]&lt;&gt;0,Planning[[#This Row],[Horas utilizadas]]/Planning[[#This Row],[Horas Planificadas]],0)</f>
        <v>#REF!</v>
      </c>
      <c r="W1943" s="44">
        <f>Planning[[#This Row],[Horas Planificadas]]+Planning[[#This Row],[Horas ajustadas adicionales]]</f>
        <v>171</v>
      </c>
      <c r="X1943" s="142"/>
    </row>
    <row r="1944" spans="1:24" x14ac:dyDescent="0.2">
      <c r="A1944" s="7" t="s">
        <v>117</v>
      </c>
      <c r="B1944" s="7" t="s">
        <v>205</v>
      </c>
      <c r="C1944" s="3"/>
      <c r="D1944" s="3" t="s">
        <v>438</v>
      </c>
      <c r="E1944" s="4"/>
      <c r="F1944" s="3" t="s">
        <v>129</v>
      </c>
      <c r="G1944" s="9"/>
      <c r="H1944" s="9">
        <v>171</v>
      </c>
      <c r="I1944" s="12"/>
      <c r="J1944" s="5" t="e">
        <f>SUM(SUMIFS(#REF!,#REF!,Planning[[#This Row],[Tipo de Tarea y especialidad]],#REF!,Planning[[#This Row],[Proyectos Reiwa]]),SUMIFS(#REF!,#REF!,Planning[[#This Row],[Tipo de Tarea y especialidad]],#REF!,Planning[[#This Row],[Proyectos]]))</f>
        <v>#REF!</v>
      </c>
      <c r="K1944" s="5" t="e">
        <f>Planning[[#This Row],[Horas Planificadas]]+Planning[[#This Row],[Horas ajustadas adicionales]]-Planning[[#This Row],[Horas utilizadas]]</f>
        <v>#REF!</v>
      </c>
      <c r="L1944" s="7">
        <v>0</v>
      </c>
      <c r="M1944" s="19" t="e">
        <f>Planning[[#This Row],[Saldo]]-Planning[[#This Row],[Saldo estimado]]</f>
        <v>#REF!</v>
      </c>
      <c r="N1944" s="60" t="e">
        <f>+SUMIFS(#REF!,#REF!,Planning[[#This Row],[Proyectos]],#REF!,Planning[[#This Row],[Tipo de Tarea y especialidad]])</f>
        <v>#REF!</v>
      </c>
      <c r="O1944" s="19">
        <f t="shared" si="60"/>
        <v>10</v>
      </c>
      <c r="P1944" s="19">
        <f t="shared" si="61"/>
        <v>2024</v>
      </c>
      <c r="Q19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44" s="19" t="str">
        <f>TEXT(Planning[[#This Row],[Mes]]*29,"mmmm")</f>
        <v>October</v>
      </c>
      <c r="S19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44" s="193"/>
      <c r="U1944" s="43" t="e">
        <f>IF(Planning[[#This Row],[Horas Planificadas]]&lt;&gt;0,+K1944/Planning[[#This Row],[Horas Planificadas]],0)</f>
        <v>#REF!</v>
      </c>
      <c r="V1944" s="43" t="e">
        <f>IF(Planning[[#This Row],[Horas Planificadas]]&lt;&gt;0,Planning[[#This Row],[Horas utilizadas]]/Planning[[#This Row],[Horas Planificadas]],0)</f>
        <v>#REF!</v>
      </c>
      <c r="W1944" s="44">
        <f>Planning[[#This Row],[Horas Planificadas]]+Planning[[#This Row],[Horas ajustadas adicionales]]</f>
        <v>171</v>
      </c>
      <c r="X1944" s="142"/>
    </row>
    <row r="1945" spans="1:24" x14ac:dyDescent="0.2">
      <c r="A1945" s="7" t="s">
        <v>117</v>
      </c>
      <c r="B1945" s="7" t="s">
        <v>205</v>
      </c>
      <c r="C1945" s="3"/>
      <c r="D1945" s="3" t="s">
        <v>438</v>
      </c>
      <c r="E1945" s="4"/>
      <c r="F1945" s="3" t="s">
        <v>130</v>
      </c>
      <c r="G1945" s="9"/>
      <c r="H1945" s="9"/>
      <c r="I1945" s="12"/>
      <c r="J1945" s="5" t="e">
        <f>SUM(SUMIFS(#REF!,#REF!,Planning[[#This Row],[Tipo de Tarea y especialidad]],#REF!,Planning[[#This Row],[Proyectos Reiwa]]),SUMIFS(#REF!,#REF!,Planning[[#This Row],[Tipo de Tarea y especialidad]],#REF!,Planning[[#This Row],[Proyectos]]))</f>
        <v>#REF!</v>
      </c>
      <c r="K1945" s="5" t="e">
        <f>Planning[[#This Row],[Horas Planificadas]]+Planning[[#This Row],[Horas ajustadas adicionales]]-Planning[[#This Row],[Horas utilizadas]]</f>
        <v>#REF!</v>
      </c>
      <c r="L1945" s="7"/>
      <c r="M1945" s="19" t="e">
        <f>Planning[[#This Row],[Saldo]]-Planning[[#This Row],[Saldo estimado]]</f>
        <v>#REF!</v>
      </c>
      <c r="N1945" s="60" t="e">
        <f>+SUMIFS(#REF!,#REF!,Planning[[#This Row],[Proyectos]],#REF!,Planning[[#This Row],[Tipo de Tarea y especialidad]])</f>
        <v>#REF!</v>
      </c>
      <c r="O1945" s="19">
        <f t="shared" si="60"/>
        <v>10</v>
      </c>
      <c r="P1945" s="19">
        <f t="shared" si="61"/>
        <v>2024</v>
      </c>
      <c r="Q19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45" s="19" t="str">
        <f>TEXT(Planning[[#This Row],[Mes]]*29,"mmmm")</f>
        <v>October</v>
      </c>
      <c r="S19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45" s="193"/>
      <c r="U1945" s="43">
        <f>IF(Planning[[#This Row],[Horas Planificadas]]&lt;&gt;0,+K1945/Planning[[#This Row],[Horas Planificadas]],0)</f>
        <v>0</v>
      </c>
      <c r="V1945" s="43">
        <f>IF(Planning[[#This Row],[Horas Planificadas]]&lt;&gt;0,Planning[[#This Row],[Horas utilizadas]]/Planning[[#This Row],[Horas Planificadas]],0)</f>
        <v>0</v>
      </c>
      <c r="W1945" s="44">
        <f>Planning[[#This Row],[Horas Planificadas]]+Planning[[#This Row],[Horas ajustadas adicionales]]</f>
        <v>0</v>
      </c>
      <c r="X1945" s="142"/>
    </row>
    <row r="1946" spans="1:24" x14ac:dyDescent="0.2">
      <c r="A1946" s="7" t="s">
        <v>117</v>
      </c>
      <c r="B1946" s="7" t="s">
        <v>205</v>
      </c>
      <c r="C1946" s="3"/>
      <c r="D1946" s="3" t="s">
        <v>438</v>
      </c>
      <c r="E1946" s="4"/>
      <c r="F1946" s="3" t="s">
        <v>131</v>
      </c>
      <c r="G1946" s="9"/>
      <c r="H1946" s="9"/>
      <c r="I1946" s="12"/>
      <c r="J1946" s="5" t="e">
        <f>SUM(SUMIFS(#REF!,#REF!,Planning[[#This Row],[Tipo de Tarea y especialidad]],#REF!,Planning[[#This Row],[Proyectos Reiwa]]),SUMIFS(#REF!,#REF!,Planning[[#This Row],[Tipo de Tarea y especialidad]],#REF!,Planning[[#This Row],[Proyectos]]))</f>
        <v>#REF!</v>
      </c>
      <c r="K1946" s="5" t="e">
        <f>Planning[[#This Row],[Horas Planificadas]]+Planning[[#This Row],[Horas ajustadas adicionales]]-Planning[[#This Row],[Horas utilizadas]]</f>
        <v>#REF!</v>
      </c>
      <c r="L1946" s="7"/>
      <c r="M1946" s="19" t="e">
        <f>Planning[[#This Row],[Saldo]]-Planning[[#This Row],[Saldo estimado]]</f>
        <v>#REF!</v>
      </c>
      <c r="N1946" s="60" t="e">
        <f>+SUMIFS(#REF!,#REF!,Planning[[#This Row],[Proyectos]],#REF!,Planning[[#This Row],[Tipo de Tarea y especialidad]])</f>
        <v>#REF!</v>
      </c>
      <c r="O1946" s="19">
        <f t="shared" si="60"/>
        <v>10</v>
      </c>
      <c r="P1946" s="19">
        <f t="shared" si="61"/>
        <v>2024</v>
      </c>
      <c r="Q19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46" s="19" t="str">
        <f>TEXT(Planning[[#This Row],[Mes]]*29,"mmmm")</f>
        <v>October</v>
      </c>
      <c r="S19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46" s="193"/>
      <c r="U1946" s="43">
        <f>IF(Planning[[#This Row],[Horas Planificadas]]&lt;&gt;0,+K1946/Planning[[#This Row],[Horas Planificadas]],0)</f>
        <v>0</v>
      </c>
      <c r="V1946" s="43">
        <f>IF(Planning[[#This Row],[Horas Planificadas]]&lt;&gt;0,Planning[[#This Row],[Horas utilizadas]]/Planning[[#This Row],[Horas Planificadas]],0)</f>
        <v>0</v>
      </c>
      <c r="W1946" s="44">
        <f>Planning[[#This Row],[Horas Planificadas]]+Planning[[#This Row],[Horas ajustadas adicionales]]</f>
        <v>0</v>
      </c>
      <c r="X1946" s="142"/>
    </row>
    <row r="1947" spans="1:24" ht="22.5" x14ac:dyDescent="0.2">
      <c r="A1947" s="7" t="s">
        <v>117</v>
      </c>
      <c r="B1947" s="7" t="s">
        <v>169</v>
      </c>
      <c r="C1947" s="3"/>
      <c r="D1947" s="3" t="s">
        <v>440</v>
      </c>
      <c r="E1947" s="4" t="s">
        <v>28</v>
      </c>
      <c r="F1947" s="3"/>
      <c r="G1947" s="9">
        <v>1744</v>
      </c>
      <c r="H1947" s="14">
        <f>SUM(H1948:H1949)</f>
        <v>1997</v>
      </c>
      <c r="I1947" s="14"/>
      <c r="J1947" s="14" t="e">
        <f>SUM(J1948:J1949)</f>
        <v>#REF!</v>
      </c>
      <c r="K1947" s="15" t="e">
        <f>SUM(K1948:K1949)</f>
        <v>#REF!</v>
      </c>
      <c r="L1947" s="15">
        <f>SUM(L1948:L1949)</f>
        <v>0</v>
      </c>
      <c r="M1947" s="28" t="e">
        <f>SUM(M1948:M1949)</f>
        <v>#REF!</v>
      </c>
      <c r="N1947" s="61" t="e">
        <f>+SUMIFS(#REF!,#REF!,Planning[[#This Row],[Proyectos]],#REF!,Planning[[#This Row],[Tipo de Tarea y especialidad]])</f>
        <v>#REF!</v>
      </c>
      <c r="O1947" s="28">
        <f t="shared" si="60"/>
        <v>10</v>
      </c>
      <c r="P1947" s="28">
        <f t="shared" si="61"/>
        <v>2024</v>
      </c>
      <c r="Q1947" s="28" t="e">
        <f>SUM(Q1948:Q1949)</f>
        <v>#REF!</v>
      </c>
      <c r="R1947" s="28" t="str">
        <f>TEXT(Planning[[#This Row],[Mes]]*29,"mmmm")</f>
        <v>October</v>
      </c>
      <c r="S19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47" s="192" t="s">
        <v>441</v>
      </c>
      <c r="U1947" s="43" t="e">
        <f>IF(Planning[[#This Row],[Horas Planificadas]]&lt;&gt;0,+K1947/Planning[[#This Row],[Horas Planificadas]],0)</f>
        <v>#REF!</v>
      </c>
      <c r="V1947" s="43" t="e">
        <f>IF(Planning[[#This Row],[Horas Planificadas]]&lt;&gt;0,Planning[[#This Row],[Horas utilizadas]]/Planning[[#This Row],[Horas Planificadas]],0)</f>
        <v>#REF!</v>
      </c>
      <c r="W1947" s="44">
        <f>Planning[[#This Row],[Horas Planificadas]]+Planning[[#This Row],[Horas ajustadas adicionales]]</f>
        <v>1997</v>
      </c>
      <c r="X1947" s="142"/>
    </row>
    <row r="1948" spans="1:24" x14ac:dyDescent="0.2">
      <c r="A1948" s="7" t="s">
        <v>117</v>
      </c>
      <c r="B1948" s="7" t="s">
        <v>169</v>
      </c>
      <c r="C1948" s="3"/>
      <c r="D1948" s="3" t="s">
        <v>440</v>
      </c>
      <c r="E1948" s="4"/>
      <c r="F1948" s="3" t="s">
        <v>120</v>
      </c>
      <c r="G1948" s="9"/>
      <c r="H1948" s="9">
        <v>1225</v>
      </c>
      <c r="I1948" s="12"/>
      <c r="J1948" s="5" t="e">
        <f>SUM(SUMIFS(#REF!,#REF!,Planning[[#This Row],[Tipo de Tarea y especialidad]],#REF!,Planning[[#This Row],[Proyectos Reiwa]]),SUMIFS(#REF!,#REF!,Planning[[#This Row],[Tipo de Tarea y especialidad]],#REF!,Planning[[#This Row],[Proyectos]]))</f>
        <v>#REF!</v>
      </c>
      <c r="K1948" s="5" t="e">
        <f>Planning[[#This Row],[Horas Planificadas]]+Planning[[#This Row],[Horas ajustadas adicionales]]-Planning[[#This Row],[Horas utilizadas]]</f>
        <v>#REF!</v>
      </c>
      <c r="L1948" s="7">
        <v>0</v>
      </c>
      <c r="M1948" s="19" t="e">
        <f>Planning[[#This Row],[Saldo]]-Planning[[#This Row],[Saldo estimado]]</f>
        <v>#REF!</v>
      </c>
      <c r="N1948" s="60" t="e">
        <f>+SUMIFS(#REF!,#REF!,Planning[[#This Row],[Proyectos]],#REF!,Planning[[#This Row],[Tipo de Tarea y especialidad]])</f>
        <v>#REF!</v>
      </c>
      <c r="O1948" s="19">
        <f t="shared" si="60"/>
        <v>10</v>
      </c>
      <c r="P1948" s="19">
        <f t="shared" si="61"/>
        <v>2024</v>
      </c>
      <c r="Q19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48" s="19" t="str">
        <f>TEXT(Planning[[#This Row],[Mes]]*29,"mmmm")</f>
        <v>October</v>
      </c>
      <c r="S19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48" s="193"/>
      <c r="U1948" s="43" t="e">
        <f>IF(Planning[[#This Row],[Horas Planificadas]]&lt;&gt;0,+K1948/Planning[[#This Row],[Horas Planificadas]],0)</f>
        <v>#REF!</v>
      </c>
      <c r="V1948" s="43" t="e">
        <f>IF(Planning[[#This Row],[Horas Planificadas]]&lt;&gt;0,Planning[[#This Row],[Horas utilizadas]]/Planning[[#This Row],[Horas Planificadas]],0)</f>
        <v>#REF!</v>
      </c>
      <c r="W1948" s="44">
        <f>Planning[[#This Row],[Horas Planificadas]]+Planning[[#This Row],[Horas ajustadas adicionales]]</f>
        <v>1225</v>
      </c>
      <c r="X1948" s="142"/>
    </row>
    <row r="1949" spans="1:24" x14ac:dyDescent="0.2">
      <c r="A1949" s="7" t="s">
        <v>117</v>
      </c>
      <c r="B1949" s="7" t="s">
        <v>169</v>
      </c>
      <c r="C1949" s="3"/>
      <c r="D1949" s="3" t="s">
        <v>440</v>
      </c>
      <c r="E1949" s="4"/>
      <c r="F1949" s="3" t="s">
        <v>121</v>
      </c>
      <c r="G1949" s="9"/>
      <c r="H1949" s="9">
        <v>772</v>
      </c>
      <c r="I1949" s="12"/>
      <c r="J1949" s="5" t="e">
        <f>SUM(SUMIFS(#REF!,#REF!,Planning[[#This Row],[Tipo de Tarea y especialidad]],#REF!,Planning[[#This Row],[Proyectos Reiwa]]),SUMIFS(#REF!,#REF!,Planning[[#This Row],[Tipo de Tarea y especialidad]],#REF!,Planning[[#This Row],[Proyectos]]))</f>
        <v>#REF!</v>
      </c>
      <c r="K1949" s="5" t="e">
        <f>Planning[[#This Row],[Horas Planificadas]]+Planning[[#This Row],[Horas ajustadas adicionales]]-Planning[[#This Row],[Horas utilizadas]]</f>
        <v>#REF!</v>
      </c>
      <c r="L1949" s="7">
        <v>0</v>
      </c>
      <c r="M1949" s="19" t="e">
        <f>Planning[[#This Row],[Saldo]]-Planning[[#This Row],[Saldo estimado]]</f>
        <v>#REF!</v>
      </c>
      <c r="N1949" s="60" t="e">
        <f>+SUMIFS(#REF!,#REF!,Planning[[#This Row],[Proyectos]],#REF!,Planning[[#This Row],[Tipo de Tarea y especialidad]])</f>
        <v>#REF!</v>
      </c>
      <c r="O1949" s="19">
        <f t="shared" si="60"/>
        <v>10</v>
      </c>
      <c r="P1949" s="19">
        <f t="shared" si="61"/>
        <v>2024</v>
      </c>
      <c r="Q19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49" s="19" t="str">
        <f>TEXT(Planning[[#This Row],[Mes]]*29,"mmmm")</f>
        <v>October</v>
      </c>
      <c r="S19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49" s="193"/>
      <c r="U1949" s="43" t="e">
        <f>IF(Planning[[#This Row],[Horas Planificadas]]&lt;&gt;0,+K1949/Planning[[#This Row],[Horas Planificadas]],0)</f>
        <v>#REF!</v>
      </c>
      <c r="V1949" s="43" t="e">
        <f>IF(Planning[[#This Row],[Horas Planificadas]]&lt;&gt;0,Planning[[#This Row],[Horas utilizadas]]/Planning[[#This Row],[Horas Planificadas]],0)</f>
        <v>#REF!</v>
      </c>
      <c r="W1949" s="44">
        <f>Planning[[#This Row],[Horas Planificadas]]+Planning[[#This Row],[Horas ajustadas adicionales]]</f>
        <v>772</v>
      </c>
      <c r="X1949" s="142"/>
    </row>
    <row r="1950" spans="1:24" x14ac:dyDescent="0.2">
      <c r="A1950" s="7" t="s">
        <v>117</v>
      </c>
      <c r="B1950" s="7" t="s">
        <v>169</v>
      </c>
      <c r="C1950" s="3"/>
      <c r="D1950" s="3" t="s">
        <v>440</v>
      </c>
      <c r="E1950" s="4" t="s">
        <v>30</v>
      </c>
      <c r="F1950" s="3"/>
      <c r="G1950" s="9">
        <v>1161</v>
      </c>
      <c r="H1950" s="25">
        <f>SUM(H1951:H1957)</f>
        <v>1492</v>
      </c>
      <c r="I1950" s="14"/>
      <c r="J1950" s="14" t="e">
        <f>SUM(J1951:J1957)</f>
        <v>#REF!</v>
      </c>
      <c r="K1950" s="18" t="e">
        <f>SUM(K1951:K1957)</f>
        <v>#REF!</v>
      </c>
      <c r="L1950" s="15">
        <f>SUM(L1951:L1957)</f>
        <v>0</v>
      </c>
      <c r="M1950" s="16" t="e">
        <f>SUM(M1951:M1957)</f>
        <v>#REF!</v>
      </c>
      <c r="N1950" s="60" t="e">
        <f>+SUMIFS(#REF!,#REF!,Planning[[#This Row],[Proyectos]],#REF!,Planning[[#This Row],[Tipo de Tarea y especialidad]])</f>
        <v>#REF!</v>
      </c>
      <c r="O1950" s="16">
        <f t="shared" si="60"/>
        <v>10</v>
      </c>
      <c r="P1950" s="16">
        <f t="shared" si="61"/>
        <v>2024</v>
      </c>
      <c r="Q1950" s="16" t="e">
        <f>SUM(Q1951:Q1957)</f>
        <v>#REF!</v>
      </c>
      <c r="R1950" s="16" t="str">
        <f>TEXT(Planning[[#This Row],[Mes]]*29,"mmmm")</f>
        <v>October</v>
      </c>
      <c r="S19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50" s="193"/>
      <c r="U1950" s="43" t="e">
        <f>IF(Planning[[#This Row],[Horas Planificadas]]&lt;&gt;0,+K1950/Planning[[#This Row],[Horas Planificadas]],0)</f>
        <v>#REF!</v>
      </c>
      <c r="V1950" s="43" t="e">
        <f>IF(Planning[[#This Row],[Horas Planificadas]]&lt;&gt;0,Planning[[#This Row],[Horas utilizadas]]/Planning[[#This Row],[Horas Planificadas]],0)</f>
        <v>#REF!</v>
      </c>
      <c r="W1950" s="44">
        <f>Planning[[#This Row],[Horas Planificadas]]+Planning[[#This Row],[Horas ajustadas adicionales]]</f>
        <v>1492</v>
      </c>
      <c r="X1950" s="142"/>
    </row>
    <row r="1951" spans="1:24" x14ac:dyDescent="0.2">
      <c r="A1951" s="7" t="s">
        <v>117</v>
      </c>
      <c r="B1951" s="7" t="s">
        <v>169</v>
      </c>
      <c r="C1951" s="3"/>
      <c r="D1951" s="3" t="s">
        <v>440</v>
      </c>
      <c r="E1951" s="4"/>
      <c r="F1951" s="3" t="s">
        <v>122</v>
      </c>
      <c r="G1951" s="9"/>
      <c r="H1951" s="12">
        <v>484</v>
      </c>
      <c r="I1951" s="12"/>
      <c r="J1951" s="5" t="e">
        <f>SUM(SUMIFS(#REF!,#REF!,Planning[[#This Row],[Tipo de Tarea y especialidad]],#REF!,Planning[[#This Row],[Proyectos Reiwa]]),SUMIFS(#REF!,#REF!,Planning[[#This Row],[Tipo de Tarea y especialidad]],#REF!,Planning[[#This Row],[Proyectos]]))</f>
        <v>#REF!</v>
      </c>
      <c r="K1951" s="27" t="e">
        <f>Planning[[#This Row],[Horas Planificadas]]+Planning[[#This Row],[Horas ajustadas adicionales]]-Planning[[#This Row],[Horas utilizadas]]</f>
        <v>#REF!</v>
      </c>
      <c r="L1951" s="7">
        <v>0</v>
      </c>
      <c r="M1951" s="34" t="e">
        <f>Planning[[#This Row],[Saldo]]-Planning[[#This Row],[Saldo estimado]]</f>
        <v>#REF!</v>
      </c>
      <c r="N1951" s="62" t="e">
        <f>+SUMIFS(#REF!,#REF!,Planning[[#This Row],[Proyectos]],#REF!,Planning[[#This Row],[Tipo de Tarea y especialidad]])</f>
        <v>#REF!</v>
      </c>
      <c r="O1951" s="34">
        <f t="shared" si="60"/>
        <v>10</v>
      </c>
      <c r="P1951" s="34">
        <f t="shared" si="61"/>
        <v>2024</v>
      </c>
      <c r="Q19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51" s="19" t="str">
        <f>TEXT(Planning[[#This Row],[Mes]]*29,"mmmm")</f>
        <v>October</v>
      </c>
      <c r="S19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51" s="193"/>
      <c r="U1951" s="43" t="e">
        <f>IF(Planning[[#This Row],[Horas Planificadas]]&lt;&gt;0,+K1951/Planning[[#This Row],[Horas Planificadas]],0)</f>
        <v>#REF!</v>
      </c>
      <c r="V1951" s="43" t="e">
        <f>IF(Planning[[#This Row],[Horas Planificadas]]&lt;&gt;0,Planning[[#This Row],[Horas utilizadas]]/Planning[[#This Row],[Horas Planificadas]],0)</f>
        <v>#REF!</v>
      </c>
      <c r="W1951" s="44">
        <f>Planning[[#This Row],[Horas Planificadas]]+Planning[[#This Row],[Horas ajustadas adicionales]]</f>
        <v>484</v>
      </c>
      <c r="X1951" s="142"/>
    </row>
    <row r="1952" spans="1:24" x14ac:dyDescent="0.2">
      <c r="A1952" s="7" t="s">
        <v>117</v>
      </c>
      <c r="B1952" s="7" t="s">
        <v>169</v>
      </c>
      <c r="C1952" s="3"/>
      <c r="D1952" s="3" t="s">
        <v>440</v>
      </c>
      <c r="E1952" s="4"/>
      <c r="F1952" s="3" t="s">
        <v>123</v>
      </c>
      <c r="G1952" s="9"/>
      <c r="H1952" s="9"/>
      <c r="I1952" s="12"/>
      <c r="J1952" s="5" t="e">
        <f>SUM(SUMIFS(#REF!,#REF!,Planning[[#This Row],[Tipo de Tarea y especialidad]],#REF!,Planning[[#This Row],[Proyectos Reiwa]]),SUMIFS(#REF!,#REF!,Planning[[#This Row],[Tipo de Tarea y especialidad]],#REF!,Planning[[#This Row],[Proyectos]]))</f>
        <v>#REF!</v>
      </c>
      <c r="K1952" s="5" t="e">
        <f>Planning[[#This Row],[Horas Planificadas]]+Planning[[#This Row],[Horas ajustadas adicionales]]-Planning[[#This Row],[Horas utilizadas]]</f>
        <v>#REF!</v>
      </c>
      <c r="L1952" s="7">
        <v>0</v>
      </c>
      <c r="M1952" s="19" t="e">
        <f>Planning[[#This Row],[Saldo]]-Planning[[#This Row],[Saldo estimado]]</f>
        <v>#REF!</v>
      </c>
      <c r="N1952" s="60" t="e">
        <f>+SUMIFS(#REF!,#REF!,Planning[[#This Row],[Proyectos]],#REF!,Planning[[#This Row],[Tipo de Tarea y especialidad]])</f>
        <v>#REF!</v>
      </c>
      <c r="O1952" s="19">
        <f t="shared" si="60"/>
        <v>10</v>
      </c>
      <c r="P1952" s="19">
        <f t="shared" si="61"/>
        <v>2024</v>
      </c>
      <c r="Q19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52" s="19" t="str">
        <f>TEXT(Planning[[#This Row],[Mes]]*29,"mmmm")</f>
        <v>October</v>
      </c>
      <c r="S19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52" s="193"/>
      <c r="U1952" s="43">
        <f>IF(Planning[[#This Row],[Horas Planificadas]]&lt;&gt;0,+K1952/Planning[[#This Row],[Horas Planificadas]],0)</f>
        <v>0</v>
      </c>
      <c r="V1952" s="43">
        <f>IF(Planning[[#This Row],[Horas Planificadas]]&lt;&gt;0,Planning[[#This Row],[Horas utilizadas]]/Planning[[#This Row],[Horas Planificadas]],0)</f>
        <v>0</v>
      </c>
      <c r="W1952" s="44">
        <f>Planning[[#This Row],[Horas Planificadas]]+Planning[[#This Row],[Horas ajustadas adicionales]]</f>
        <v>0</v>
      </c>
      <c r="X1952" s="142"/>
    </row>
    <row r="1953" spans="1:24" x14ac:dyDescent="0.2">
      <c r="A1953" s="7" t="s">
        <v>117</v>
      </c>
      <c r="B1953" s="7" t="s">
        <v>169</v>
      </c>
      <c r="C1953" s="3"/>
      <c r="D1953" s="3" t="s">
        <v>440</v>
      </c>
      <c r="E1953" s="4"/>
      <c r="F1953" s="3" t="s">
        <v>124</v>
      </c>
      <c r="G1953" s="9"/>
      <c r="H1953" s="9"/>
      <c r="I1953" s="12"/>
      <c r="J1953" s="5" t="e">
        <f>SUM(SUMIFS(#REF!,#REF!,Planning[[#This Row],[Tipo de Tarea y especialidad]],#REF!,Planning[[#This Row],[Proyectos Reiwa]]),SUMIFS(#REF!,#REF!,Planning[[#This Row],[Tipo de Tarea y especialidad]],#REF!,Planning[[#This Row],[Proyectos]]))</f>
        <v>#REF!</v>
      </c>
      <c r="K1953" s="5" t="e">
        <f>Planning[[#This Row],[Horas Planificadas]]+Planning[[#This Row],[Horas ajustadas adicionales]]-Planning[[#This Row],[Horas utilizadas]]</f>
        <v>#REF!</v>
      </c>
      <c r="L1953" s="7">
        <v>0</v>
      </c>
      <c r="M1953" s="19" t="e">
        <f>Planning[[#This Row],[Saldo]]-Planning[[#This Row],[Saldo estimado]]</f>
        <v>#REF!</v>
      </c>
      <c r="N1953" s="60" t="e">
        <f>+SUMIFS(#REF!,#REF!,Planning[[#This Row],[Proyectos]],#REF!,Planning[[#This Row],[Tipo de Tarea y especialidad]])</f>
        <v>#REF!</v>
      </c>
      <c r="O1953" s="19">
        <f t="shared" si="60"/>
        <v>10</v>
      </c>
      <c r="P1953" s="19">
        <f t="shared" si="61"/>
        <v>2024</v>
      </c>
      <c r="Q19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53" s="19" t="str">
        <f>TEXT(Planning[[#This Row],[Mes]]*29,"mmmm")</f>
        <v>October</v>
      </c>
      <c r="S19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53" s="193"/>
      <c r="U1953" s="43">
        <f>IF(Planning[[#This Row],[Horas Planificadas]]&lt;&gt;0,+K1953/Planning[[#This Row],[Horas Planificadas]],0)</f>
        <v>0</v>
      </c>
      <c r="V1953" s="43">
        <f>IF(Planning[[#This Row],[Horas Planificadas]]&lt;&gt;0,Planning[[#This Row],[Horas utilizadas]]/Planning[[#This Row],[Horas Planificadas]],0)</f>
        <v>0</v>
      </c>
      <c r="W1953" s="44">
        <f>Planning[[#This Row],[Horas Planificadas]]+Planning[[#This Row],[Horas ajustadas adicionales]]</f>
        <v>0</v>
      </c>
      <c r="X1953" s="142"/>
    </row>
    <row r="1954" spans="1:24" x14ac:dyDescent="0.2">
      <c r="A1954" s="7" t="s">
        <v>117</v>
      </c>
      <c r="B1954" s="7" t="s">
        <v>169</v>
      </c>
      <c r="C1954" s="3"/>
      <c r="D1954" s="3" t="s">
        <v>440</v>
      </c>
      <c r="E1954" s="4"/>
      <c r="F1954" s="3" t="s">
        <v>125</v>
      </c>
      <c r="G1954" s="9"/>
      <c r="H1954" s="12">
        <v>198</v>
      </c>
      <c r="I1954" s="12"/>
      <c r="J1954" s="5" t="e">
        <f>SUM(SUMIFS(#REF!,#REF!,Planning[[#This Row],[Tipo de Tarea y especialidad]],#REF!,Planning[[#This Row],[Proyectos Reiwa]]),SUMIFS(#REF!,#REF!,Planning[[#This Row],[Tipo de Tarea y especialidad]],#REF!,Planning[[#This Row],[Proyectos]]))</f>
        <v>#REF!</v>
      </c>
      <c r="K1954" s="27" t="e">
        <f>Planning[[#This Row],[Horas Planificadas]]+Planning[[#This Row],[Horas ajustadas adicionales]]-Planning[[#This Row],[Horas utilizadas]]</f>
        <v>#REF!</v>
      </c>
      <c r="L1954" s="7">
        <v>0</v>
      </c>
      <c r="M1954" s="19" t="e">
        <f>Planning[[#This Row],[Saldo]]-Planning[[#This Row],[Saldo estimado]]</f>
        <v>#REF!</v>
      </c>
      <c r="N1954" s="60" t="e">
        <f>+SUMIFS(#REF!,#REF!,Planning[[#This Row],[Proyectos]],#REF!,Planning[[#This Row],[Tipo de Tarea y especialidad]])</f>
        <v>#REF!</v>
      </c>
      <c r="O1954" s="19">
        <f t="shared" si="60"/>
        <v>10</v>
      </c>
      <c r="P1954" s="19">
        <f t="shared" si="61"/>
        <v>2024</v>
      </c>
      <c r="Q19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54" s="19" t="str">
        <f>TEXT(Planning[[#This Row],[Mes]]*29,"mmmm")</f>
        <v>October</v>
      </c>
      <c r="S19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54" s="193"/>
      <c r="U1954" s="43" t="e">
        <f>IF(Planning[[#This Row],[Horas Planificadas]]&lt;&gt;0,+K1954/Planning[[#This Row],[Horas Planificadas]],0)</f>
        <v>#REF!</v>
      </c>
      <c r="V1954" s="43" t="e">
        <f>IF(Planning[[#This Row],[Horas Planificadas]]&lt;&gt;0,Planning[[#This Row],[Horas utilizadas]]/Planning[[#This Row],[Horas Planificadas]],0)</f>
        <v>#REF!</v>
      </c>
      <c r="W1954" s="44">
        <f>Planning[[#This Row],[Horas Planificadas]]+Planning[[#This Row],[Horas ajustadas adicionales]]</f>
        <v>198</v>
      </c>
      <c r="X1954" s="142"/>
    </row>
    <row r="1955" spans="1:24" x14ac:dyDescent="0.2">
      <c r="A1955" s="7" t="s">
        <v>117</v>
      </c>
      <c r="B1955" s="7" t="s">
        <v>169</v>
      </c>
      <c r="C1955" s="3"/>
      <c r="D1955" s="3" t="s">
        <v>440</v>
      </c>
      <c r="E1955" s="4"/>
      <c r="F1955" s="3" t="s">
        <v>126</v>
      </c>
      <c r="G1955" s="9"/>
      <c r="H1955" s="9">
        <v>810</v>
      </c>
      <c r="I1955" s="12"/>
      <c r="J1955" s="5" t="e">
        <f>SUM(SUMIFS(#REF!,#REF!,Planning[[#This Row],[Tipo de Tarea y especialidad]],#REF!,Planning[[#This Row],[Proyectos Reiwa]]),SUMIFS(#REF!,#REF!,Planning[[#This Row],[Tipo de Tarea y especialidad]],#REF!,Planning[[#This Row],[Proyectos]]))</f>
        <v>#REF!</v>
      </c>
      <c r="K1955" s="5" t="e">
        <f>Planning[[#This Row],[Horas Planificadas]]+Planning[[#This Row],[Horas ajustadas adicionales]]-Planning[[#This Row],[Horas utilizadas]]</f>
        <v>#REF!</v>
      </c>
      <c r="L1955" s="7">
        <v>0</v>
      </c>
      <c r="M1955" s="19" t="e">
        <f>Planning[[#This Row],[Saldo]]-Planning[[#This Row],[Saldo estimado]]</f>
        <v>#REF!</v>
      </c>
      <c r="N1955" s="60" t="e">
        <f>+SUMIFS(#REF!,#REF!,Planning[[#This Row],[Proyectos]],#REF!,Planning[[#This Row],[Tipo de Tarea y especialidad]])</f>
        <v>#REF!</v>
      </c>
      <c r="O1955" s="19">
        <f t="shared" si="60"/>
        <v>10</v>
      </c>
      <c r="P1955" s="19">
        <f t="shared" si="61"/>
        <v>2024</v>
      </c>
      <c r="Q19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55" s="19" t="str">
        <f>TEXT(Planning[[#This Row],[Mes]]*29,"mmmm")</f>
        <v>October</v>
      </c>
      <c r="S19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55" s="193"/>
      <c r="U1955" s="43" t="e">
        <f>IF(Planning[[#This Row],[Horas Planificadas]]&lt;&gt;0,+K1955/Planning[[#This Row],[Horas Planificadas]],0)</f>
        <v>#REF!</v>
      </c>
      <c r="V1955" s="43" t="e">
        <f>IF(Planning[[#This Row],[Horas Planificadas]]&lt;&gt;0,Planning[[#This Row],[Horas utilizadas]]/Planning[[#This Row],[Horas Planificadas]],0)</f>
        <v>#REF!</v>
      </c>
      <c r="W1955" s="44">
        <f>Planning[[#This Row],[Horas Planificadas]]+Planning[[#This Row],[Horas ajustadas adicionales]]</f>
        <v>810</v>
      </c>
      <c r="X1955" s="142"/>
    </row>
    <row r="1956" spans="1:24" x14ac:dyDescent="0.2">
      <c r="A1956" s="7" t="s">
        <v>117</v>
      </c>
      <c r="B1956" s="7" t="s">
        <v>169</v>
      </c>
      <c r="C1956" s="3"/>
      <c r="D1956" s="3" t="s">
        <v>440</v>
      </c>
      <c r="E1956" s="4"/>
      <c r="F1956" s="3" t="s">
        <v>127</v>
      </c>
      <c r="G1956" s="9"/>
      <c r="H1956" s="9"/>
      <c r="I1956" s="12"/>
      <c r="J1956" s="5" t="e">
        <f>SUM(SUMIFS(#REF!,#REF!,Planning[[#This Row],[Tipo de Tarea y especialidad]],#REF!,Planning[[#This Row],[Proyectos Reiwa]]),SUMIFS(#REF!,#REF!,Planning[[#This Row],[Tipo de Tarea y especialidad]],#REF!,Planning[[#This Row],[Proyectos]]))</f>
        <v>#REF!</v>
      </c>
      <c r="K1956" s="5" t="e">
        <f>Planning[[#This Row],[Horas Planificadas]]+Planning[[#This Row],[Horas ajustadas adicionales]]-Planning[[#This Row],[Horas utilizadas]]</f>
        <v>#REF!</v>
      </c>
      <c r="L1956" s="7">
        <v>0</v>
      </c>
      <c r="M1956" s="19" t="e">
        <f>Planning[[#This Row],[Saldo]]-Planning[[#This Row],[Saldo estimado]]</f>
        <v>#REF!</v>
      </c>
      <c r="N1956" s="60" t="e">
        <f>+SUMIFS(#REF!,#REF!,Planning[[#This Row],[Proyectos]],#REF!,Planning[[#This Row],[Tipo de Tarea y especialidad]])</f>
        <v>#REF!</v>
      </c>
      <c r="O1956" s="19">
        <f t="shared" si="60"/>
        <v>10</v>
      </c>
      <c r="P1956" s="19">
        <f t="shared" si="61"/>
        <v>2024</v>
      </c>
      <c r="Q19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56" s="19" t="str">
        <f>TEXT(Planning[[#This Row],[Mes]]*29,"mmmm")</f>
        <v>October</v>
      </c>
      <c r="S19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56" s="193"/>
      <c r="U1956" s="43">
        <f>IF(Planning[[#This Row],[Horas Planificadas]]&lt;&gt;0,+K1956/Planning[[#This Row],[Horas Planificadas]],0)</f>
        <v>0</v>
      </c>
      <c r="V1956" s="43">
        <f>IF(Planning[[#This Row],[Horas Planificadas]]&lt;&gt;0,Planning[[#This Row],[Horas utilizadas]]/Planning[[#This Row],[Horas Planificadas]],0)</f>
        <v>0</v>
      </c>
      <c r="W1956" s="44">
        <f>Planning[[#This Row],[Horas Planificadas]]+Planning[[#This Row],[Horas ajustadas adicionales]]</f>
        <v>0</v>
      </c>
      <c r="X1956" s="142"/>
    </row>
    <row r="1957" spans="1:24" x14ac:dyDescent="0.2">
      <c r="A1957" s="7" t="s">
        <v>117</v>
      </c>
      <c r="B1957" s="7" t="s">
        <v>169</v>
      </c>
      <c r="C1957" s="3"/>
      <c r="D1957" s="3" t="s">
        <v>440</v>
      </c>
      <c r="E1957" s="4"/>
      <c r="F1957" s="3" t="s">
        <v>128</v>
      </c>
      <c r="G1957" s="9"/>
      <c r="H1957" s="9"/>
      <c r="I1957" s="12"/>
      <c r="J1957" s="5" t="e">
        <f>SUM(SUMIFS(#REF!,#REF!,Planning[[#This Row],[Tipo de Tarea y especialidad]],#REF!,Planning[[#This Row],[Proyectos Reiwa]]),SUMIFS(#REF!,#REF!,Planning[[#This Row],[Tipo de Tarea y especialidad]],#REF!,Planning[[#This Row],[Proyectos]]))</f>
        <v>#REF!</v>
      </c>
      <c r="K1957" s="5" t="e">
        <f>Planning[[#This Row],[Horas Planificadas]]+Planning[[#This Row],[Horas ajustadas adicionales]]-Planning[[#This Row],[Horas utilizadas]]</f>
        <v>#REF!</v>
      </c>
      <c r="L1957" s="7">
        <v>0</v>
      </c>
      <c r="M1957" s="19" t="e">
        <f>Planning[[#This Row],[Saldo]]-Planning[[#This Row],[Saldo estimado]]</f>
        <v>#REF!</v>
      </c>
      <c r="N1957" s="60" t="e">
        <f>+SUMIFS(#REF!,#REF!,Planning[[#This Row],[Proyectos]],#REF!,Planning[[#This Row],[Tipo de Tarea y especialidad]])</f>
        <v>#REF!</v>
      </c>
      <c r="O1957" s="19">
        <f t="shared" si="60"/>
        <v>10</v>
      </c>
      <c r="P1957" s="19">
        <f t="shared" si="61"/>
        <v>2024</v>
      </c>
      <c r="Q19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57" s="19" t="str">
        <f>TEXT(Planning[[#This Row],[Mes]]*29,"mmmm")</f>
        <v>October</v>
      </c>
      <c r="S19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57" s="193"/>
      <c r="U1957" s="43">
        <f>IF(Planning[[#This Row],[Horas Planificadas]]&lt;&gt;0,+K1957/Planning[[#This Row],[Horas Planificadas]],0)</f>
        <v>0</v>
      </c>
      <c r="V1957" s="43">
        <f>IF(Planning[[#This Row],[Horas Planificadas]]&lt;&gt;0,Planning[[#This Row],[Horas utilizadas]]/Planning[[#This Row],[Horas Planificadas]],0)</f>
        <v>0</v>
      </c>
      <c r="W1957" s="44">
        <f>Planning[[#This Row],[Horas Planificadas]]+Planning[[#This Row],[Horas ajustadas adicionales]]</f>
        <v>0</v>
      </c>
      <c r="X1957" s="142"/>
    </row>
    <row r="1958" spans="1:24" x14ac:dyDescent="0.2">
      <c r="A1958" s="7" t="s">
        <v>117</v>
      </c>
      <c r="B1958" s="7" t="s">
        <v>169</v>
      </c>
      <c r="C1958" s="3"/>
      <c r="D1958" s="3" t="s">
        <v>440</v>
      </c>
      <c r="E1958" s="4" t="s">
        <v>31</v>
      </c>
      <c r="F1958" s="3" t="s">
        <v>31</v>
      </c>
      <c r="G1958" s="9">
        <v>252</v>
      </c>
      <c r="H1958" s="17">
        <v>252</v>
      </c>
      <c r="I1958" s="18"/>
      <c r="J1958" s="14" t="e">
        <f>+SUMIFS(#REF!,#REF!,Planning[[#This Row],[Tarifa]],#REF!,Planning[[#This Row],[Proyectos]])</f>
        <v>#REF!</v>
      </c>
      <c r="K1958" s="14" t="e">
        <f>Planning[[#This Row],[Horas Planificadas]]+Planning[[#This Row],[Horas ajustadas adicionales]]-Planning[[#This Row],[Horas utilizadas]]</f>
        <v>#REF!</v>
      </c>
      <c r="L1958" s="15">
        <v>0</v>
      </c>
      <c r="M1958" s="16" t="e">
        <f>Planning[[#This Row],[Saldo]]-Planning[[#This Row],[Saldo estimado]]</f>
        <v>#REF!</v>
      </c>
      <c r="N1958" s="60" t="e">
        <f>+SUMIFS(#REF!,#REF!,Planning[[#This Row],[Proyectos]],#REF!,Planning[[#This Row],[Tipo de Tarea y especialidad]])</f>
        <v>#REF!</v>
      </c>
      <c r="O1958" s="16">
        <f t="shared" si="60"/>
        <v>10</v>
      </c>
      <c r="P1958" s="16">
        <f t="shared" si="61"/>
        <v>2024</v>
      </c>
      <c r="Q1958" s="16" t="e">
        <f>+SUMIFS(#REF!,#REF!,Planning[[#This Row],[Tarifa]],#REF!,Planning[[#This Row],[Proyectos]],#REF!,Planning[[#This Row],[Mes]],#REF!,Planning[[#This Row],[Año]])</f>
        <v>#REF!</v>
      </c>
      <c r="R1958" s="16" t="str">
        <f>TEXT(Planning[[#This Row],[Mes]]*29,"mmmm")</f>
        <v>October</v>
      </c>
      <c r="S19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58" s="193"/>
      <c r="U1958" s="43" t="e">
        <f>IF(Planning[[#This Row],[Horas Planificadas]]&lt;&gt;0,+K1958/Planning[[#This Row],[Horas Planificadas]],0)</f>
        <v>#REF!</v>
      </c>
      <c r="V1958" s="43" t="e">
        <f>IF(Planning[[#This Row],[Horas Planificadas]]&lt;&gt;0,Planning[[#This Row],[Horas utilizadas]]/Planning[[#This Row],[Horas Planificadas]],0)</f>
        <v>#REF!</v>
      </c>
      <c r="W1958" s="44">
        <f>Planning[[#This Row],[Horas Planificadas]]+Planning[[#This Row],[Horas ajustadas adicionales]]</f>
        <v>252</v>
      </c>
      <c r="X1958" s="142"/>
    </row>
    <row r="1959" spans="1:24" ht="22.5" x14ac:dyDescent="0.2">
      <c r="A1959" s="7" t="s">
        <v>117</v>
      </c>
      <c r="B1959" s="7" t="s">
        <v>169</v>
      </c>
      <c r="C1959" s="3"/>
      <c r="D1959" s="3" t="s">
        <v>440</v>
      </c>
      <c r="E1959" s="4" t="s">
        <v>32</v>
      </c>
      <c r="F1959" s="3"/>
      <c r="G1959" s="9">
        <v>380</v>
      </c>
      <c r="H1959" s="25">
        <f>SUM(H1960:H1962)</f>
        <v>476</v>
      </c>
      <c r="I1959" s="14"/>
      <c r="J1959" s="14" t="e">
        <f>SUM(J1960:J1962)</f>
        <v>#REF!</v>
      </c>
      <c r="K1959" s="18" t="e">
        <f>SUM(K1960:K1962)</f>
        <v>#REF!</v>
      </c>
      <c r="L1959" s="15">
        <f>SUM(L1960:L1962)</f>
        <v>0</v>
      </c>
      <c r="M1959" s="16" t="e">
        <f>SUM(M1960:M1962)</f>
        <v>#REF!</v>
      </c>
      <c r="N1959" s="60" t="e">
        <f>+SUMIFS(#REF!,#REF!,Planning[[#This Row],[Proyectos]],#REF!,Planning[[#This Row],[Tipo de Tarea y especialidad]])</f>
        <v>#REF!</v>
      </c>
      <c r="O1959" s="16">
        <f t="shared" si="60"/>
        <v>10</v>
      </c>
      <c r="P1959" s="16">
        <f t="shared" si="61"/>
        <v>2024</v>
      </c>
      <c r="Q1959" s="16" t="e">
        <f>SUM(Q1960:Q1962)</f>
        <v>#REF!</v>
      </c>
      <c r="R1959" s="16" t="str">
        <f>TEXT(Planning[[#This Row],[Mes]]*29,"mmmm")</f>
        <v>October</v>
      </c>
      <c r="S19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59" s="193"/>
      <c r="U1959" s="43" t="e">
        <f>IF(Planning[[#This Row],[Horas Planificadas]]&lt;&gt;0,+K1959/Planning[[#This Row],[Horas Planificadas]],0)</f>
        <v>#REF!</v>
      </c>
      <c r="V1959" s="43" t="e">
        <f>IF(Planning[[#This Row],[Horas Planificadas]]&lt;&gt;0,Planning[[#This Row],[Horas utilizadas]]/Planning[[#This Row],[Horas Planificadas]],0)</f>
        <v>#REF!</v>
      </c>
      <c r="W1959" s="44">
        <f>Planning[[#This Row],[Horas Planificadas]]+Planning[[#This Row],[Horas ajustadas adicionales]]</f>
        <v>476</v>
      </c>
      <c r="X1959" s="142"/>
    </row>
    <row r="1960" spans="1:24" x14ac:dyDescent="0.2">
      <c r="A1960" s="7" t="s">
        <v>117</v>
      </c>
      <c r="B1960" s="7" t="s">
        <v>169</v>
      </c>
      <c r="C1960" s="3"/>
      <c r="D1960" s="3" t="s">
        <v>440</v>
      </c>
      <c r="E1960" s="4"/>
      <c r="F1960" s="3" t="s">
        <v>129</v>
      </c>
      <c r="G1960" s="9"/>
      <c r="H1960" s="9">
        <v>476</v>
      </c>
      <c r="I1960" s="12"/>
      <c r="J1960" s="5" t="e">
        <f>SUM(SUMIFS(#REF!,#REF!,Planning[[#This Row],[Tipo de Tarea y especialidad]],#REF!,Planning[[#This Row],[Proyectos Reiwa]]),SUMIFS(#REF!,#REF!,Planning[[#This Row],[Tipo de Tarea y especialidad]],#REF!,Planning[[#This Row],[Proyectos]]))</f>
        <v>#REF!</v>
      </c>
      <c r="K1960" s="5" t="e">
        <f>Planning[[#This Row],[Horas Planificadas]]+Planning[[#This Row],[Horas ajustadas adicionales]]-Planning[[#This Row],[Horas utilizadas]]</f>
        <v>#REF!</v>
      </c>
      <c r="L1960" s="7">
        <v>0</v>
      </c>
      <c r="M1960" s="19" t="e">
        <f>Planning[[#This Row],[Saldo]]-Planning[[#This Row],[Saldo estimado]]</f>
        <v>#REF!</v>
      </c>
      <c r="N1960" s="60" t="e">
        <f>+SUMIFS(#REF!,#REF!,Planning[[#This Row],[Proyectos]],#REF!,Planning[[#This Row],[Tipo de Tarea y especialidad]])</f>
        <v>#REF!</v>
      </c>
      <c r="O1960" s="19">
        <f t="shared" si="60"/>
        <v>10</v>
      </c>
      <c r="P1960" s="19">
        <f t="shared" si="61"/>
        <v>2024</v>
      </c>
      <c r="Q19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60" s="19" t="str">
        <f>TEXT(Planning[[#This Row],[Mes]]*29,"mmmm")</f>
        <v>October</v>
      </c>
      <c r="S19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60" s="193"/>
      <c r="U1960" s="43" t="e">
        <f>IF(Planning[[#This Row],[Horas Planificadas]]&lt;&gt;0,+K1960/Planning[[#This Row],[Horas Planificadas]],0)</f>
        <v>#REF!</v>
      </c>
      <c r="V1960" s="43" t="e">
        <f>IF(Planning[[#This Row],[Horas Planificadas]]&lt;&gt;0,Planning[[#This Row],[Horas utilizadas]]/Planning[[#This Row],[Horas Planificadas]],0)</f>
        <v>#REF!</v>
      </c>
      <c r="W1960" s="44">
        <f>Planning[[#This Row],[Horas Planificadas]]+Planning[[#This Row],[Horas ajustadas adicionales]]</f>
        <v>476</v>
      </c>
      <c r="X1960" s="142"/>
    </row>
    <row r="1961" spans="1:24" x14ac:dyDescent="0.2">
      <c r="A1961" s="7" t="s">
        <v>117</v>
      </c>
      <c r="B1961" s="7" t="s">
        <v>169</v>
      </c>
      <c r="C1961" s="3"/>
      <c r="D1961" s="3" t="s">
        <v>440</v>
      </c>
      <c r="E1961" s="4"/>
      <c r="F1961" s="3" t="s">
        <v>130</v>
      </c>
      <c r="G1961" s="9"/>
      <c r="H1961" s="9"/>
      <c r="I1961" s="12"/>
      <c r="J1961" s="5" t="e">
        <f>SUM(SUMIFS(#REF!,#REF!,Planning[[#This Row],[Tipo de Tarea y especialidad]],#REF!,Planning[[#This Row],[Proyectos Reiwa]]),SUMIFS(#REF!,#REF!,Planning[[#This Row],[Tipo de Tarea y especialidad]],#REF!,Planning[[#This Row],[Proyectos]]))</f>
        <v>#REF!</v>
      </c>
      <c r="K1961" s="5" t="e">
        <f>Planning[[#This Row],[Horas Planificadas]]+Planning[[#This Row],[Horas ajustadas adicionales]]-Planning[[#This Row],[Horas utilizadas]]</f>
        <v>#REF!</v>
      </c>
      <c r="L1961" s="7">
        <v>0</v>
      </c>
      <c r="M1961" s="19" t="e">
        <f>Planning[[#This Row],[Saldo]]-Planning[[#This Row],[Saldo estimado]]</f>
        <v>#REF!</v>
      </c>
      <c r="N1961" s="60" t="e">
        <f>+SUMIFS(#REF!,#REF!,Planning[[#This Row],[Proyectos]],#REF!,Planning[[#This Row],[Tipo de Tarea y especialidad]])</f>
        <v>#REF!</v>
      </c>
      <c r="O1961" s="19">
        <f t="shared" si="60"/>
        <v>10</v>
      </c>
      <c r="P1961" s="19">
        <f t="shared" si="61"/>
        <v>2024</v>
      </c>
      <c r="Q19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61" s="19" t="str">
        <f>TEXT(Planning[[#This Row],[Mes]]*29,"mmmm")</f>
        <v>October</v>
      </c>
      <c r="S19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61" s="193"/>
      <c r="U1961" s="43">
        <f>IF(Planning[[#This Row],[Horas Planificadas]]&lt;&gt;0,+K1961/Planning[[#This Row],[Horas Planificadas]],0)</f>
        <v>0</v>
      </c>
      <c r="V1961" s="43">
        <f>IF(Planning[[#This Row],[Horas Planificadas]]&lt;&gt;0,Planning[[#This Row],[Horas utilizadas]]/Planning[[#This Row],[Horas Planificadas]],0)</f>
        <v>0</v>
      </c>
      <c r="W1961" s="44">
        <f>Planning[[#This Row],[Horas Planificadas]]+Planning[[#This Row],[Horas ajustadas adicionales]]</f>
        <v>0</v>
      </c>
      <c r="X1961" s="142"/>
    </row>
    <row r="1962" spans="1:24" x14ac:dyDescent="0.2">
      <c r="A1962" s="7" t="s">
        <v>117</v>
      </c>
      <c r="B1962" s="7" t="s">
        <v>169</v>
      </c>
      <c r="C1962" s="3"/>
      <c r="D1962" s="3" t="s">
        <v>440</v>
      </c>
      <c r="E1962" s="4"/>
      <c r="F1962" s="3" t="s">
        <v>131</v>
      </c>
      <c r="G1962" s="9"/>
      <c r="H1962" s="9"/>
      <c r="I1962" s="12"/>
      <c r="J1962" s="5" t="e">
        <f>SUM(SUMIFS(#REF!,#REF!,Planning[[#This Row],[Tipo de Tarea y especialidad]],#REF!,Planning[[#This Row],[Proyectos Reiwa]]),SUMIFS(#REF!,#REF!,Planning[[#This Row],[Tipo de Tarea y especialidad]],#REF!,Planning[[#This Row],[Proyectos]]))</f>
        <v>#REF!</v>
      </c>
      <c r="K1962" s="5" t="e">
        <f>Planning[[#This Row],[Horas Planificadas]]+Planning[[#This Row],[Horas ajustadas adicionales]]-Planning[[#This Row],[Horas utilizadas]]</f>
        <v>#REF!</v>
      </c>
      <c r="L1962" s="7">
        <v>0</v>
      </c>
      <c r="M1962" s="19" t="e">
        <f>Planning[[#This Row],[Saldo]]-Planning[[#This Row],[Saldo estimado]]</f>
        <v>#REF!</v>
      </c>
      <c r="N1962" s="60" t="e">
        <f>+SUMIFS(#REF!,#REF!,Planning[[#This Row],[Proyectos]],#REF!,Planning[[#This Row],[Tipo de Tarea y especialidad]])</f>
        <v>#REF!</v>
      </c>
      <c r="O1962" s="19">
        <f t="shared" si="60"/>
        <v>10</v>
      </c>
      <c r="P1962" s="19">
        <f t="shared" si="61"/>
        <v>2024</v>
      </c>
      <c r="Q19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62" s="19" t="str">
        <f>TEXT(Planning[[#This Row],[Mes]]*29,"mmmm")</f>
        <v>October</v>
      </c>
      <c r="S19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62" s="193"/>
      <c r="U1962" s="43">
        <f>IF(Planning[[#This Row],[Horas Planificadas]]&lt;&gt;0,+K1962/Planning[[#This Row],[Horas Planificadas]],0)</f>
        <v>0</v>
      </c>
      <c r="V1962" s="43">
        <f>IF(Planning[[#This Row],[Horas Planificadas]]&lt;&gt;0,Planning[[#This Row],[Horas utilizadas]]/Planning[[#This Row],[Horas Planificadas]],0)</f>
        <v>0</v>
      </c>
      <c r="W1962" s="44">
        <f>Planning[[#This Row],[Horas Planificadas]]+Planning[[#This Row],[Horas ajustadas adicionales]]</f>
        <v>0</v>
      </c>
      <c r="X1962" s="142"/>
    </row>
    <row r="1963" spans="1:24" ht="22.5" x14ac:dyDescent="0.2">
      <c r="A1963" s="7"/>
      <c r="B1963" s="7"/>
      <c r="C1963" s="3"/>
      <c r="D1963" s="3" t="s">
        <v>442</v>
      </c>
      <c r="E1963" s="4" t="s">
        <v>28</v>
      </c>
      <c r="F1963" s="3"/>
      <c r="G1963" s="9"/>
      <c r="H1963" s="12">
        <v>0</v>
      </c>
      <c r="I1963" s="12"/>
      <c r="J1963" s="5" t="e">
        <f>+SUMIFS(#REF!,#REF!,Planning[[#This Row],[Tarifa]],#REF!,Planning[[#This Row],[Proyectos]])</f>
        <v>#REF!</v>
      </c>
      <c r="K1963" s="27" t="e">
        <f>Planning[[#This Row],[Horas Planificadas]]+Planning[[#This Row],[Horas ajustadas adicionales]]-Planning[[#This Row],[Horas utilizadas]]</f>
        <v>#REF!</v>
      </c>
      <c r="L1963" s="7"/>
      <c r="M1963" s="19" t="e">
        <f>Planning[[#This Row],[Saldo]]-Planning[[#This Row],[Saldo estimado]]</f>
        <v>#REF!</v>
      </c>
      <c r="N1963" s="60" t="e">
        <f>+SUMIFS(#REF!,#REF!,Planning[[#This Row],[Proyectos]],#REF!,Planning[[#This Row],[Tipo de Tarea y especialidad]])</f>
        <v>#REF!</v>
      </c>
      <c r="O1963" s="19">
        <f t="shared" si="60"/>
        <v>10</v>
      </c>
      <c r="P1963" s="19">
        <f t="shared" si="61"/>
        <v>2024</v>
      </c>
      <c r="Q1963" s="19" t="e">
        <f>+SUMIFS(#REF!,#REF!,Planning[[#This Row],[Tarifa]],#REF!,Planning[[#This Row],[Proyectos]],#REF!,Planning[[#This Row],[Mes]],#REF!,Planning[[#This Row],[Año]])</f>
        <v>#REF!</v>
      </c>
      <c r="R1963" s="19" t="str">
        <f>TEXT(Planning[[#This Row],[Mes]]*29,"mmmm")</f>
        <v>October</v>
      </c>
      <c r="S19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63" s="228"/>
      <c r="U1963" s="43">
        <f>IF(Planning[[#This Row],[Horas Planificadas]]&lt;&gt;0,+K1963/Planning[[#This Row],[Horas Planificadas]],0)</f>
        <v>0</v>
      </c>
      <c r="V1963" s="43">
        <f>IF(Planning[[#This Row],[Horas Planificadas]]&lt;&gt;0,Planning[[#This Row],[Horas utilizadas]]/Planning[[#This Row],[Horas Planificadas]],0)</f>
        <v>0</v>
      </c>
      <c r="W1963" s="44">
        <f>Planning[[#This Row],[Horas Planificadas]]+Planning[[#This Row],[Horas ajustadas adicionales]]</f>
        <v>0</v>
      </c>
      <c r="X1963" s="142"/>
    </row>
    <row r="1964" spans="1:24" x14ac:dyDescent="0.2">
      <c r="A1964" s="7"/>
      <c r="B1964" s="7"/>
      <c r="C1964" s="3"/>
      <c r="D1964" s="3" t="s">
        <v>442</v>
      </c>
      <c r="E1964" s="4" t="s">
        <v>30</v>
      </c>
      <c r="F1964" s="3"/>
      <c r="G1964" s="9"/>
      <c r="H1964" s="9">
        <v>18</v>
      </c>
      <c r="I1964" s="12"/>
      <c r="J1964" s="5" t="e">
        <f>+SUMIFS(#REF!,#REF!,Planning[[#This Row],[Tarifa]],#REF!,Planning[[#This Row],[Proyectos]])</f>
        <v>#REF!</v>
      </c>
      <c r="K1964" s="5" t="e">
        <f>Planning[[#This Row],[Horas Planificadas]]+Planning[[#This Row],[Horas ajustadas adicionales]]-Planning[[#This Row],[Horas utilizadas]]</f>
        <v>#REF!</v>
      </c>
      <c r="L1964" s="7"/>
      <c r="M1964" s="19" t="e">
        <f>Planning[[#This Row],[Saldo]]-Planning[[#This Row],[Saldo estimado]]</f>
        <v>#REF!</v>
      </c>
      <c r="N1964" s="60" t="e">
        <f>+SUMIFS(#REF!,#REF!,Planning[[#This Row],[Proyectos]],#REF!,Planning[[#This Row],[Tipo de Tarea y especialidad]])</f>
        <v>#REF!</v>
      </c>
      <c r="O1964" s="19">
        <f t="shared" si="60"/>
        <v>10</v>
      </c>
      <c r="P1964" s="19">
        <f t="shared" si="61"/>
        <v>2024</v>
      </c>
      <c r="Q1964" s="19" t="e">
        <f>+SUMIFS(#REF!,#REF!,Planning[[#This Row],[Tarifa]],#REF!,Planning[[#This Row],[Proyectos]],#REF!,Planning[[#This Row],[Mes]],#REF!,Planning[[#This Row],[Año]])</f>
        <v>#REF!</v>
      </c>
      <c r="R1964" s="19" t="str">
        <f>TEXT(Planning[[#This Row],[Mes]]*29,"mmmm")</f>
        <v>October</v>
      </c>
      <c r="S19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64" s="228"/>
      <c r="U1964" s="43" t="e">
        <f>IF(Planning[[#This Row],[Horas Planificadas]]&lt;&gt;0,+K1964/Planning[[#This Row],[Horas Planificadas]],0)</f>
        <v>#REF!</v>
      </c>
      <c r="V1964" s="43" t="e">
        <f>IF(Planning[[#This Row],[Horas Planificadas]]&lt;&gt;0,Planning[[#This Row],[Horas utilizadas]]/Planning[[#This Row],[Horas Planificadas]],0)</f>
        <v>#REF!</v>
      </c>
      <c r="W1964" s="44">
        <f>Planning[[#This Row],[Horas Planificadas]]+Planning[[#This Row],[Horas ajustadas adicionales]]</f>
        <v>18</v>
      </c>
      <c r="X1964" s="142"/>
    </row>
    <row r="1965" spans="1:24" x14ac:dyDescent="0.2">
      <c r="A1965" s="7"/>
      <c r="B1965" s="7"/>
      <c r="C1965" s="3"/>
      <c r="D1965" s="3" t="s">
        <v>442</v>
      </c>
      <c r="E1965" s="4" t="s">
        <v>31</v>
      </c>
      <c r="F1965" s="3"/>
      <c r="G1965" s="9"/>
      <c r="H1965" s="9">
        <v>3</v>
      </c>
      <c r="I1965" s="12"/>
      <c r="J1965" s="5" t="e">
        <f>+SUMIFS(#REF!,#REF!,Planning[[#This Row],[Tarifa]],#REF!,Planning[[#This Row],[Proyectos]])</f>
        <v>#REF!</v>
      </c>
      <c r="K1965" s="5" t="e">
        <f>Planning[[#This Row],[Horas Planificadas]]+Planning[[#This Row],[Horas ajustadas adicionales]]-Planning[[#This Row],[Horas utilizadas]]</f>
        <v>#REF!</v>
      </c>
      <c r="L1965" s="7"/>
      <c r="M1965" s="19" t="e">
        <f>Planning[[#This Row],[Saldo]]-Planning[[#This Row],[Saldo estimado]]</f>
        <v>#REF!</v>
      </c>
      <c r="N1965" s="60" t="e">
        <f>+SUMIFS(#REF!,#REF!,Planning[[#This Row],[Proyectos]],#REF!,Planning[[#This Row],[Tipo de Tarea y especialidad]])</f>
        <v>#REF!</v>
      </c>
      <c r="O1965" s="19">
        <f t="shared" si="60"/>
        <v>10</v>
      </c>
      <c r="P1965" s="19">
        <f t="shared" si="61"/>
        <v>2024</v>
      </c>
      <c r="Q1965" s="19" t="e">
        <f>+SUMIFS(#REF!,#REF!,Planning[[#This Row],[Tarifa]],#REF!,Planning[[#This Row],[Proyectos]],#REF!,Planning[[#This Row],[Mes]],#REF!,Planning[[#This Row],[Año]])</f>
        <v>#REF!</v>
      </c>
      <c r="R1965" s="19" t="str">
        <f>TEXT(Planning[[#This Row],[Mes]]*29,"mmmm")</f>
        <v>October</v>
      </c>
      <c r="S19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65" s="228"/>
      <c r="U1965" s="43" t="e">
        <f>IF(Planning[[#This Row],[Horas Planificadas]]&lt;&gt;0,+K1965/Planning[[#This Row],[Horas Planificadas]],0)</f>
        <v>#REF!</v>
      </c>
      <c r="V1965" s="43" t="e">
        <f>IF(Planning[[#This Row],[Horas Planificadas]]&lt;&gt;0,Planning[[#This Row],[Horas utilizadas]]/Planning[[#This Row],[Horas Planificadas]],0)</f>
        <v>#REF!</v>
      </c>
      <c r="W1965" s="44">
        <f>Planning[[#This Row],[Horas Planificadas]]+Planning[[#This Row],[Horas ajustadas adicionales]]</f>
        <v>3</v>
      </c>
      <c r="X1965" s="142"/>
    </row>
    <row r="1966" spans="1:24" ht="22.5" x14ac:dyDescent="0.2">
      <c r="A1966" s="7"/>
      <c r="B1966" s="7"/>
      <c r="C1966" s="3"/>
      <c r="D1966" s="3" t="s">
        <v>442</v>
      </c>
      <c r="E1966" s="4" t="s">
        <v>32</v>
      </c>
      <c r="F1966" s="3"/>
      <c r="G1966" s="9"/>
      <c r="H1966" s="9">
        <v>60</v>
      </c>
      <c r="I1966" s="12"/>
      <c r="J1966" s="5" t="e">
        <f>+SUMIFS(#REF!,#REF!,Planning[[#This Row],[Tarifa]],#REF!,Planning[[#This Row],[Proyectos]])</f>
        <v>#REF!</v>
      </c>
      <c r="K1966" s="5" t="e">
        <f>Planning[[#This Row],[Horas Planificadas]]+Planning[[#This Row],[Horas ajustadas adicionales]]-Planning[[#This Row],[Horas utilizadas]]</f>
        <v>#REF!</v>
      </c>
      <c r="L1966" s="7"/>
      <c r="M1966" s="19" t="e">
        <f>Planning[[#This Row],[Saldo]]-Planning[[#This Row],[Saldo estimado]]</f>
        <v>#REF!</v>
      </c>
      <c r="N1966" s="60" t="e">
        <f>+SUMIFS(#REF!,#REF!,Planning[[#This Row],[Proyectos]],#REF!,Planning[[#This Row],[Tipo de Tarea y especialidad]])</f>
        <v>#REF!</v>
      </c>
      <c r="O1966" s="19">
        <f t="shared" si="60"/>
        <v>10</v>
      </c>
      <c r="P1966" s="19">
        <f t="shared" si="61"/>
        <v>2024</v>
      </c>
      <c r="Q1966" s="19" t="e">
        <f>+SUMIFS(#REF!,#REF!,Planning[[#This Row],[Tarifa]],#REF!,Planning[[#This Row],[Proyectos]],#REF!,Planning[[#This Row],[Mes]],#REF!,Planning[[#This Row],[Año]])</f>
        <v>#REF!</v>
      </c>
      <c r="R1966" s="19" t="str">
        <f>TEXT(Planning[[#This Row],[Mes]]*29,"mmmm")</f>
        <v>October</v>
      </c>
      <c r="S19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66" s="228"/>
      <c r="U1966" s="43" t="e">
        <f>IF(Planning[[#This Row],[Horas Planificadas]]&lt;&gt;0,+K1966/Planning[[#This Row],[Horas Planificadas]],0)</f>
        <v>#REF!</v>
      </c>
      <c r="V1966" s="43" t="e">
        <f>IF(Planning[[#This Row],[Horas Planificadas]]&lt;&gt;0,Planning[[#This Row],[Horas utilizadas]]/Planning[[#This Row],[Horas Planificadas]],0)</f>
        <v>#REF!</v>
      </c>
      <c r="W1966" s="44">
        <f>Planning[[#This Row],[Horas Planificadas]]+Planning[[#This Row],[Horas ajustadas adicionales]]</f>
        <v>60</v>
      </c>
      <c r="X1966" s="142"/>
    </row>
    <row r="1967" spans="1:24" ht="12.75" customHeight="1" x14ac:dyDescent="0.2">
      <c r="A1967" s="7" t="s">
        <v>117</v>
      </c>
      <c r="B1967" s="7" t="s">
        <v>169</v>
      </c>
      <c r="C1967" s="3"/>
      <c r="D1967" s="3" t="s">
        <v>443</v>
      </c>
      <c r="E1967" s="4" t="s">
        <v>28</v>
      </c>
      <c r="F1967" s="3"/>
      <c r="G1967" s="9">
        <v>18</v>
      </c>
      <c r="H1967" s="14">
        <f>SUM(H1968:H1969)</f>
        <v>36</v>
      </c>
      <c r="I1967" s="14"/>
      <c r="J1967" s="14" t="e">
        <f>SUM(J1968:J1969)</f>
        <v>#REF!</v>
      </c>
      <c r="K1967" s="15" t="e">
        <f>SUM(K1968:K1969)</f>
        <v>#REF!</v>
      </c>
      <c r="L1967" s="15">
        <f>SUM(L1968:L1969)</f>
        <v>0</v>
      </c>
      <c r="M1967" s="14" t="e">
        <f>SUM(M1968:M1969)</f>
        <v>#REF!</v>
      </c>
      <c r="N1967" s="66" t="e">
        <f>+SUMIFS(#REF!,#REF!,Planning[[#This Row],[Proyectos]],#REF!,Planning[[#This Row],[Tipo de Tarea y especialidad]])</f>
        <v>#REF!</v>
      </c>
      <c r="O1967" s="14">
        <f t="shared" si="60"/>
        <v>10</v>
      </c>
      <c r="P1967" s="14">
        <f t="shared" si="61"/>
        <v>2024</v>
      </c>
      <c r="Q1967" s="28" t="e">
        <f>SUM(Q1968:Q1969)</f>
        <v>#REF!</v>
      </c>
      <c r="R1967" s="24" t="str">
        <f>TEXT(Planning[[#This Row],[Mes]]*29,"mmmm")</f>
        <v>October</v>
      </c>
      <c r="S196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67" s="212" t="s">
        <v>444</v>
      </c>
      <c r="U1967" s="43" t="e">
        <f>IF(Planning[[#This Row],[Horas Planificadas]]&lt;&gt;0,+K1967/Planning[[#This Row],[Horas Planificadas]],0)</f>
        <v>#REF!</v>
      </c>
      <c r="V1967" s="43" t="e">
        <f>IF(Planning[[#This Row],[Horas Planificadas]]&lt;&gt;0,Planning[[#This Row],[Horas utilizadas]]/Planning[[#This Row],[Horas Planificadas]],0)</f>
        <v>#REF!</v>
      </c>
      <c r="W1967" s="44">
        <f>Planning[[#This Row],[Horas Planificadas]]+Planning[[#This Row],[Horas ajustadas adicionales]]</f>
        <v>36</v>
      </c>
      <c r="X1967" s="142"/>
    </row>
    <row r="1968" spans="1:24" x14ac:dyDescent="0.2">
      <c r="A1968" s="7" t="s">
        <v>117</v>
      </c>
      <c r="B1968" s="7" t="s">
        <v>169</v>
      </c>
      <c r="C1968" s="3"/>
      <c r="D1968" s="3" t="s">
        <v>443</v>
      </c>
      <c r="E1968" s="4"/>
      <c r="F1968" s="3" t="s">
        <v>120</v>
      </c>
      <c r="G1968" s="9"/>
      <c r="H1968" s="9"/>
      <c r="I1968" s="12"/>
      <c r="J1968" s="5" t="e">
        <f>SUM(SUMIFS(#REF!,#REF!,Planning[[#This Row],[Tipo de Tarea y especialidad]],#REF!,Planning[[#This Row],[Proyectos Reiwa]]),SUMIFS(#REF!,#REF!,Planning[[#This Row],[Tipo de Tarea y especialidad]],#REF!,Planning[[#This Row],[Proyectos]]))</f>
        <v>#REF!</v>
      </c>
      <c r="K1968" s="5" t="e">
        <f>Planning[[#This Row],[Horas Planificadas]]+Planning[[#This Row],[Horas ajustadas adicionales]]-Planning[[#This Row],[Horas utilizadas]]</f>
        <v>#REF!</v>
      </c>
      <c r="L1968" s="7">
        <v>0</v>
      </c>
      <c r="M1968" s="19" t="e">
        <f>Planning[[#This Row],[Saldo]]-Planning[[#This Row],[Saldo estimado]]</f>
        <v>#REF!</v>
      </c>
      <c r="N1968" s="64" t="e">
        <f>+SUMIFS(#REF!,#REF!,Planning[[#This Row],[Proyectos]],#REF!,Planning[[#This Row],[Tipo de Tarea y especialidad]])</f>
        <v>#REF!</v>
      </c>
      <c r="O1968" s="49">
        <f t="shared" si="60"/>
        <v>10</v>
      </c>
      <c r="P1968" s="49">
        <f t="shared" si="61"/>
        <v>2024</v>
      </c>
      <c r="Q19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68" s="49" t="str">
        <f>TEXT(Planning[[#This Row],[Mes]]*29,"mmmm")</f>
        <v>October</v>
      </c>
      <c r="S196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68" s="213"/>
      <c r="U1968" s="43">
        <f>IF(Planning[[#This Row],[Horas Planificadas]]&lt;&gt;0,+K1968/Planning[[#This Row],[Horas Planificadas]],0)</f>
        <v>0</v>
      </c>
      <c r="V1968" s="43">
        <f>IF(Planning[[#This Row],[Horas Planificadas]]&lt;&gt;0,Planning[[#This Row],[Horas utilizadas]]/Planning[[#This Row],[Horas Planificadas]],0)</f>
        <v>0</v>
      </c>
      <c r="W1968" s="44">
        <f>Planning[[#This Row],[Horas Planificadas]]+Planning[[#This Row],[Horas ajustadas adicionales]]</f>
        <v>0</v>
      </c>
      <c r="X1968" s="142"/>
    </row>
    <row r="1969" spans="1:24" x14ac:dyDescent="0.2">
      <c r="A1969" s="7" t="s">
        <v>117</v>
      </c>
      <c r="B1969" s="7" t="s">
        <v>169</v>
      </c>
      <c r="C1969" s="3"/>
      <c r="D1969" s="3" t="s">
        <v>443</v>
      </c>
      <c r="E1969" s="4"/>
      <c r="F1969" s="3" t="s">
        <v>121</v>
      </c>
      <c r="G1969" s="9">
        <v>18</v>
      </c>
      <c r="H1969" s="9">
        <v>36</v>
      </c>
      <c r="I1969" s="12"/>
      <c r="J1969" s="5" t="e">
        <f>SUM(SUMIFS(#REF!,#REF!,Planning[[#This Row],[Tipo de Tarea y especialidad]],#REF!,Planning[[#This Row],[Proyectos Reiwa]]),SUMIFS(#REF!,#REF!,Planning[[#This Row],[Tipo de Tarea y especialidad]],#REF!,Planning[[#This Row],[Proyectos]]))</f>
        <v>#REF!</v>
      </c>
      <c r="K1969" s="5" t="e">
        <f>Planning[[#This Row],[Horas Planificadas]]+Planning[[#This Row],[Horas ajustadas adicionales]]-Planning[[#This Row],[Horas utilizadas]]</f>
        <v>#REF!</v>
      </c>
      <c r="L1969" s="7">
        <v>0</v>
      </c>
      <c r="M1969" s="19" t="e">
        <f>Planning[[#This Row],[Saldo]]-Planning[[#This Row],[Saldo estimado]]</f>
        <v>#REF!</v>
      </c>
      <c r="N1969" s="64" t="e">
        <f>+SUMIFS(#REF!,#REF!,Planning[[#This Row],[Proyectos]],#REF!,Planning[[#This Row],[Tipo de Tarea y especialidad]])</f>
        <v>#REF!</v>
      </c>
      <c r="O1969" s="49">
        <f t="shared" si="60"/>
        <v>10</v>
      </c>
      <c r="P1969" s="49">
        <f t="shared" si="61"/>
        <v>2024</v>
      </c>
      <c r="Q19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69" s="49" t="str">
        <f>TEXT(Planning[[#This Row],[Mes]]*29,"mmmm")</f>
        <v>October</v>
      </c>
      <c r="S196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69" s="213"/>
      <c r="U1969" s="43" t="e">
        <f>IF(Planning[[#This Row],[Horas Planificadas]]&lt;&gt;0,+K1969/Planning[[#This Row],[Horas Planificadas]],0)</f>
        <v>#REF!</v>
      </c>
      <c r="V1969" s="43" t="e">
        <f>IF(Planning[[#This Row],[Horas Planificadas]]&lt;&gt;0,Planning[[#This Row],[Horas utilizadas]]/Planning[[#This Row],[Horas Planificadas]],0)</f>
        <v>#REF!</v>
      </c>
      <c r="W1969" s="44">
        <f>Planning[[#This Row],[Horas Planificadas]]+Planning[[#This Row],[Horas ajustadas adicionales]]</f>
        <v>36</v>
      </c>
      <c r="X1969" s="142"/>
    </row>
    <row r="1970" spans="1:24" x14ac:dyDescent="0.2">
      <c r="A1970" s="7" t="s">
        <v>117</v>
      </c>
      <c r="B1970" s="7" t="s">
        <v>169</v>
      </c>
      <c r="C1970" s="3"/>
      <c r="D1970" s="3" t="s">
        <v>443</v>
      </c>
      <c r="E1970" s="4" t="s">
        <v>30</v>
      </c>
      <c r="F1970" s="3"/>
      <c r="G1970" s="9">
        <v>410</v>
      </c>
      <c r="H1970" s="14">
        <f>SUM(H1971:H1977)</f>
        <v>598</v>
      </c>
      <c r="I1970" s="14"/>
      <c r="J1970" s="14" t="e">
        <f>SUM(J1971:J1977)</f>
        <v>#REF!</v>
      </c>
      <c r="K1970" s="15" t="e">
        <f>SUM(K1971:K1977)</f>
        <v>#REF!</v>
      </c>
      <c r="L1970" s="15">
        <f>SUM(L1971:L1977)</f>
        <v>0</v>
      </c>
      <c r="M1970" s="16" t="e">
        <f>SUM(M1971:M1977)</f>
        <v>#REF!</v>
      </c>
      <c r="N1970" s="64" t="e">
        <f>+SUMIFS(#REF!,#REF!,Planning[[#This Row],[Proyectos]],#REF!,Planning[[#This Row],[Tipo de Tarea y especialidad]])</f>
        <v>#REF!</v>
      </c>
      <c r="O1970" s="50">
        <f t="shared" si="60"/>
        <v>10</v>
      </c>
      <c r="P1970" s="50">
        <f t="shared" si="61"/>
        <v>2024</v>
      </c>
      <c r="Q1970" s="16" t="e">
        <f>SUM(Q1971:Q1977)</f>
        <v>#REF!</v>
      </c>
      <c r="R1970" s="50" t="str">
        <f>TEXT(Planning[[#This Row],[Mes]]*29,"mmmm")</f>
        <v>October</v>
      </c>
      <c r="S197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70" s="213"/>
      <c r="U1970" s="43" t="e">
        <f>IF(Planning[[#This Row],[Horas Planificadas]]&lt;&gt;0,+K1970/Planning[[#This Row],[Horas Planificadas]],0)</f>
        <v>#REF!</v>
      </c>
      <c r="V1970" s="43" t="e">
        <f>IF(Planning[[#This Row],[Horas Planificadas]]&lt;&gt;0,Planning[[#This Row],[Horas utilizadas]]/Planning[[#This Row],[Horas Planificadas]],0)</f>
        <v>#REF!</v>
      </c>
      <c r="W1970" s="44">
        <f>Planning[[#This Row],[Horas Planificadas]]+Planning[[#This Row],[Horas ajustadas adicionales]]</f>
        <v>598</v>
      </c>
      <c r="X1970" s="142"/>
    </row>
    <row r="1971" spans="1:24" x14ac:dyDescent="0.2">
      <c r="A1971" s="7" t="s">
        <v>117</v>
      </c>
      <c r="B1971" s="7" t="s">
        <v>169</v>
      </c>
      <c r="C1971" s="3"/>
      <c r="D1971" s="3" t="s">
        <v>443</v>
      </c>
      <c r="E1971" s="4"/>
      <c r="F1971" s="3" t="s">
        <v>122</v>
      </c>
      <c r="G1971" s="9">
        <v>188</v>
      </c>
      <c r="H1971" s="9">
        <v>188</v>
      </c>
      <c r="I1971" s="12"/>
      <c r="J1971" s="5" t="e">
        <f>SUM(SUMIFS(#REF!,#REF!,Planning[[#This Row],[Tipo de Tarea y especialidad]],#REF!,Planning[[#This Row],[Proyectos Reiwa]]),SUMIFS(#REF!,#REF!,Planning[[#This Row],[Tipo de Tarea y especialidad]],#REF!,Planning[[#This Row],[Proyectos]]))</f>
        <v>#REF!</v>
      </c>
      <c r="K1971" s="5" t="e">
        <f>Planning[[#This Row],[Horas Planificadas]]+Planning[[#This Row],[Horas ajustadas adicionales]]-Planning[[#This Row],[Horas utilizadas]]</f>
        <v>#REF!</v>
      </c>
      <c r="L1971" s="7">
        <v>0</v>
      </c>
      <c r="M1971" s="19" t="e">
        <f>Planning[[#This Row],[Saldo]]-Planning[[#This Row],[Saldo estimado]]</f>
        <v>#REF!</v>
      </c>
      <c r="N1971" s="64" t="e">
        <f>+SUMIFS(#REF!,#REF!,Planning[[#This Row],[Proyectos]],#REF!,Planning[[#This Row],[Tipo de Tarea y especialidad]])</f>
        <v>#REF!</v>
      </c>
      <c r="O1971" s="49">
        <f t="shared" si="60"/>
        <v>10</v>
      </c>
      <c r="P1971" s="49">
        <f t="shared" si="61"/>
        <v>2024</v>
      </c>
      <c r="Q19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71" s="49" t="str">
        <f>TEXT(Planning[[#This Row],[Mes]]*29,"mmmm")</f>
        <v>October</v>
      </c>
      <c r="S197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71" s="213"/>
      <c r="U1971" s="43" t="e">
        <f>IF(Planning[[#This Row],[Horas Planificadas]]&lt;&gt;0,+K1971/Planning[[#This Row],[Horas Planificadas]],0)</f>
        <v>#REF!</v>
      </c>
      <c r="V1971" s="43" t="e">
        <f>IF(Planning[[#This Row],[Horas Planificadas]]&lt;&gt;0,Planning[[#This Row],[Horas utilizadas]]/Planning[[#This Row],[Horas Planificadas]],0)</f>
        <v>#REF!</v>
      </c>
      <c r="W1971" s="44">
        <f>Planning[[#This Row],[Horas Planificadas]]+Planning[[#This Row],[Horas ajustadas adicionales]]</f>
        <v>188</v>
      </c>
      <c r="X1971" s="142"/>
    </row>
    <row r="1972" spans="1:24" x14ac:dyDescent="0.2">
      <c r="A1972" s="7" t="s">
        <v>117</v>
      </c>
      <c r="B1972" s="7" t="s">
        <v>169</v>
      </c>
      <c r="C1972" s="3"/>
      <c r="D1972" s="3" t="s">
        <v>443</v>
      </c>
      <c r="E1972" s="4"/>
      <c r="F1972" s="3" t="s">
        <v>123</v>
      </c>
      <c r="G1972" s="9">
        <v>72</v>
      </c>
      <c r="H1972" s="9">
        <v>72</v>
      </c>
      <c r="I1972" s="12"/>
      <c r="J1972" s="5" t="e">
        <f>SUM(SUMIFS(#REF!,#REF!,Planning[[#This Row],[Tipo de Tarea y especialidad]],#REF!,Planning[[#This Row],[Proyectos Reiwa]]),SUMIFS(#REF!,#REF!,Planning[[#This Row],[Tipo de Tarea y especialidad]],#REF!,Planning[[#This Row],[Proyectos]]))</f>
        <v>#REF!</v>
      </c>
      <c r="K1972" s="5" t="e">
        <f>Planning[[#This Row],[Horas Planificadas]]+Planning[[#This Row],[Horas ajustadas adicionales]]-Planning[[#This Row],[Horas utilizadas]]</f>
        <v>#REF!</v>
      </c>
      <c r="L1972" s="7">
        <v>0</v>
      </c>
      <c r="M1972" s="19" t="e">
        <f>Planning[[#This Row],[Saldo]]-Planning[[#This Row],[Saldo estimado]]</f>
        <v>#REF!</v>
      </c>
      <c r="N1972" s="64" t="e">
        <f>+SUMIFS(#REF!,#REF!,Planning[[#This Row],[Proyectos]],#REF!,Planning[[#This Row],[Tipo de Tarea y especialidad]])</f>
        <v>#REF!</v>
      </c>
      <c r="O1972" s="49">
        <f t="shared" si="60"/>
        <v>10</v>
      </c>
      <c r="P1972" s="49">
        <f t="shared" si="61"/>
        <v>2024</v>
      </c>
      <c r="Q19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72" s="49" t="str">
        <f>TEXT(Planning[[#This Row],[Mes]]*29,"mmmm")</f>
        <v>October</v>
      </c>
      <c r="S197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72" s="213"/>
      <c r="U1972" s="43" t="e">
        <f>IF(Planning[[#This Row],[Horas Planificadas]]&lt;&gt;0,+K1972/Planning[[#This Row],[Horas Planificadas]],0)</f>
        <v>#REF!</v>
      </c>
      <c r="V1972" s="43" t="e">
        <f>IF(Planning[[#This Row],[Horas Planificadas]]&lt;&gt;0,Planning[[#This Row],[Horas utilizadas]]/Planning[[#This Row],[Horas Planificadas]],0)</f>
        <v>#REF!</v>
      </c>
      <c r="W1972" s="44">
        <f>Planning[[#This Row],[Horas Planificadas]]+Planning[[#This Row],[Horas ajustadas adicionales]]</f>
        <v>72</v>
      </c>
      <c r="X1972" s="142"/>
    </row>
    <row r="1973" spans="1:24" x14ac:dyDescent="0.2">
      <c r="A1973" s="7" t="s">
        <v>117</v>
      </c>
      <c r="B1973" s="7" t="s">
        <v>169</v>
      </c>
      <c r="C1973" s="3"/>
      <c r="D1973" s="3" t="s">
        <v>443</v>
      </c>
      <c r="E1973" s="4"/>
      <c r="F1973" s="3" t="s">
        <v>124</v>
      </c>
      <c r="G1973" s="9"/>
      <c r="H1973" s="9"/>
      <c r="I1973" s="12"/>
      <c r="J1973" s="5" t="e">
        <f>SUM(SUMIFS(#REF!,#REF!,Planning[[#This Row],[Tipo de Tarea y especialidad]],#REF!,Planning[[#This Row],[Proyectos Reiwa]]),SUMIFS(#REF!,#REF!,Planning[[#This Row],[Tipo de Tarea y especialidad]],#REF!,Planning[[#This Row],[Proyectos]]))</f>
        <v>#REF!</v>
      </c>
      <c r="K1973" s="5" t="e">
        <f>Planning[[#This Row],[Horas Planificadas]]+Planning[[#This Row],[Horas ajustadas adicionales]]-Planning[[#This Row],[Horas utilizadas]]</f>
        <v>#REF!</v>
      </c>
      <c r="L1973" s="7">
        <v>0</v>
      </c>
      <c r="M1973" s="19" t="e">
        <f>Planning[[#This Row],[Saldo]]-Planning[[#This Row],[Saldo estimado]]</f>
        <v>#REF!</v>
      </c>
      <c r="N1973" s="64" t="e">
        <f>+SUMIFS(#REF!,#REF!,Planning[[#This Row],[Proyectos]],#REF!,Planning[[#This Row],[Tipo de Tarea y especialidad]])</f>
        <v>#REF!</v>
      </c>
      <c r="O1973" s="49">
        <f t="shared" si="60"/>
        <v>10</v>
      </c>
      <c r="P1973" s="49">
        <f t="shared" si="61"/>
        <v>2024</v>
      </c>
      <c r="Q19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73" s="49" t="str">
        <f>TEXT(Planning[[#This Row],[Mes]]*29,"mmmm")</f>
        <v>October</v>
      </c>
      <c r="S197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73" s="213"/>
      <c r="U1973" s="43">
        <f>IF(Planning[[#This Row],[Horas Planificadas]]&lt;&gt;0,+K1973/Planning[[#This Row],[Horas Planificadas]],0)</f>
        <v>0</v>
      </c>
      <c r="V1973" s="43">
        <f>IF(Planning[[#This Row],[Horas Planificadas]]&lt;&gt;0,Planning[[#This Row],[Horas utilizadas]]/Planning[[#This Row],[Horas Planificadas]],0)</f>
        <v>0</v>
      </c>
      <c r="W1973" s="44">
        <f>Planning[[#This Row],[Horas Planificadas]]+Planning[[#This Row],[Horas ajustadas adicionales]]</f>
        <v>0</v>
      </c>
      <c r="X1973" s="142"/>
    </row>
    <row r="1974" spans="1:24" x14ac:dyDescent="0.2">
      <c r="A1974" s="7" t="s">
        <v>117</v>
      </c>
      <c r="B1974" s="7" t="s">
        <v>169</v>
      </c>
      <c r="C1974" s="3"/>
      <c r="D1974" s="3" t="s">
        <v>443</v>
      </c>
      <c r="E1974" s="4"/>
      <c r="F1974" s="3" t="s">
        <v>125</v>
      </c>
      <c r="G1974" s="9"/>
      <c r="H1974" s="9">
        <v>182</v>
      </c>
      <c r="I1974" s="12"/>
      <c r="J1974" s="5" t="e">
        <f>SUM(SUMIFS(#REF!,#REF!,Planning[[#This Row],[Tipo de Tarea y especialidad]],#REF!,Planning[[#This Row],[Proyectos Reiwa]]),SUMIFS(#REF!,#REF!,Planning[[#This Row],[Tipo de Tarea y especialidad]],#REF!,Planning[[#This Row],[Proyectos]]))</f>
        <v>#REF!</v>
      </c>
      <c r="K1974" s="5" t="e">
        <f>Planning[[#This Row],[Horas Planificadas]]+Planning[[#This Row],[Horas ajustadas adicionales]]-Planning[[#This Row],[Horas utilizadas]]</f>
        <v>#REF!</v>
      </c>
      <c r="L1974" s="7">
        <v>0</v>
      </c>
      <c r="M1974" s="19" t="e">
        <f>Planning[[#This Row],[Saldo]]-Planning[[#This Row],[Saldo estimado]]</f>
        <v>#REF!</v>
      </c>
      <c r="N1974" s="64" t="e">
        <f>+SUMIFS(#REF!,#REF!,Planning[[#This Row],[Proyectos]],#REF!,Planning[[#This Row],[Tipo de Tarea y especialidad]])</f>
        <v>#REF!</v>
      </c>
      <c r="O1974" s="49">
        <f t="shared" si="60"/>
        <v>10</v>
      </c>
      <c r="P1974" s="49">
        <f t="shared" si="61"/>
        <v>2024</v>
      </c>
      <c r="Q19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74" s="49" t="str">
        <f>TEXT(Planning[[#This Row],[Mes]]*29,"mmmm")</f>
        <v>October</v>
      </c>
      <c r="S197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74" s="213"/>
      <c r="U1974" s="43" t="e">
        <f>IF(Planning[[#This Row],[Horas Planificadas]]&lt;&gt;0,+K1974/Planning[[#This Row],[Horas Planificadas]],0)</f>
        <v>#REF!</v>
      </c>
      <c r="V1974" s="43" t="e">
        <f>IF(Planning[[#This Row],[Horas Planificadas]]&lt;&gt;0,Planning[[#This Row],[Horas utilizadas]]/Planning[[#This Row],[Horas Planificadas]],0)</f>
        <v>#REF!</v>
      </c>
      <c r="W1974" s="44">
        <f>Planning[[#This Row],[Horas Planificadas]]+Planning[[#This Row],[Horas ajustadas adicionales]]</f>
        <v>182</v>
      </c>
      <c r="X1974" s="142"/>
    </row>
    <row r="1975" spans="1:24" x14ac:dyDescent="0.2">
      <c r="A1975" s="7" t="s">
        <v>117</v>
      </c>
      <c r="B1975" s="7" t="s">
        <v>169</v>
      </c>
      <c r="C1975" s="3"/>
      <c r="D1975" s="3" t="s">
        <v>443</v>
      </c>
      <c r="E1975" s="4"/>
      <c r="F1975" s="3" t="s">
        <v>126</v>
      </c>
      <c r="G1975" s="9">
        <v>132</v>
      </c>
      <c r="H1975" s="9">
        <v>120</v>
      </c>
      <c r="I1975" s="12"/>
      <c r="J1975" s="5" t="e">
        <f>SUM(SUMIFS(#REF!,#REF!,Planning[[#This Row],[Tipo de Tarea y especialidad]],#REF!,Planning[[#This Row],[Proyectos Reiwa]]),SUMIFS(#REF!,#REF!,Planning[[#This Row],[Tipo de Tarea y especialidad]],#REF!,Planning[[#This Row],[Proyectos]]))</f>
        <v>#REF!</v>
      </c>
      <c r="K1975" s="5" t="e">
        <f>Planning[[#This Row],[Horas Planificadas]]+Planning[[#This Row],[Horas ajustadas adicionales]]-Planning[[#This Row],[Horas utilizadas]]</f>
        <v>#REF!</v>
      </c>
      <c r="L1975" s="7">
        <v>0</v>
      </c>
      <c r="M1975" s="19" t="e">
        <f>Planning[[#This Row],[Saldo]]-Planning[[#This Row],[Saldo estimado]]</f>
        <v>#REF!</v>
      </c>
      <c r="N1975" s="64" t="e">
        <f>+SUMIFS(#REF!,#REF!,Planning[[#This Row],[Proyectos]],#REF!,Planning[[#This Row],[Tipo de Tarea y especialidad]])</f>
        <v>#REF!</v>
      </c>
      <c r="O1975" s="49">
        <f t="shared" si="60"/>
        <v>10</v>
      </c>
      <c r="P1975" s="49">
        <f t="shared" si="61"/>
        <v>2024</v>
      </c>
      <c r="Q19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75" s="49" t="str">
        <f>TEXT(Planning[[#This Row],[Mes]]*29,"mmmm")</f>
        <v>October</v>
      </c>
      <c r="S197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75" s="213"/>
      <c r="U1975" s="43" t="e">
        <f>IF(Planning[[#This Row],[Horas Planificadas]]&lt;&gt;0,+K1975/Planning[[#This Row],[Horas Planificadas]],0)</f>
        <v>#REF!</v>
      </c>
      <c r="V1975" s="43" t="e">
        <f>IF(Planning[[#This Row],[Horas Planificadas]]&lt;&gt;0,Planning[[#This Row],[Horas utilizadas]]/Planning[[#This Row],[Horas Planificadas]],0)</f>
        <v>#REF!</v>
      </c>
      <c r="W1975" s="44">
        <f>Planning[[#This Row],[Horas Planificadas]]+Planning[[#This Row],[Horas ajustadas adicionales]]</f>
        <v>120</v>
      </c>
      <c r="X1975" s="142"/>
    </row>
    <row r="1976" spans="1:24" x14ac:dyDescent="0.2">
      <c r="A1976" s="7" t="s">
        <v>117</v>
      </c>
      <c r="B1976" s="7" t="s">
        <v>169</v>
      </c>
      <c r="C1976" s="3"/>
      <c r="D1976" s="3" t="s">
        <v>443</v>
      </c>
      <c r="E1976" s="4"/>
      <c r="F1976" s="3" t="s">
        <v>127</v>
      </c>
      <c r="G1976" s="9">
        <v>18</v>
      </c>
      <c r="H1976" s="9">
        <v>36</v>
      </c>
      <c r="I1976" s="12"/>
      <c r="J1976" s="5" t="e">
        <f>SUM(SUMIFS(#REF!,#REF!,Planning[[#This Row],[Tipo de Tarea y especialidad]],#REF!,Planning[[#This Row],[Proyectos Reiwa]]),SUMIFS(#REF!,#REF!,Planning[[#This Row],[Tipo de Tarea y especialidad]],#REF!,Planning[[#This Row],[Proyectos]]))</f>
        <v>#REF!</v>
      </c>
      <c r="K1976" s="5" t="e">
        <f>Planning[[#This Row],[Horas Planificadas]]+Planning[[#This Row],[Horas ajustadas adicionales]]-Planning[[#This Row],[Horas utilizadas]]</f>
        <v>#REF!</v>
      </c>
      <c r="L1976" s="7">
        <v>0</v>
      </c>
      <c r="M1976" s="19" t="e">
        <f>Planning[[#This Row],[Saldo]]-Planning[[#This Row],[Saldo estimado]]</f>
        <v>#REF!</v>
      </c>
      <c r="N1976" s="64" t="e">
        <f>+SUMIFS(#REF!,#REF!,Planning[[#This Row],[Proyectos]],#REF!,Planning[[#This Row],[Tipo de Tarea y especialidad]])</f>
        <v>#REF!</v>
      </c>
      <c r="O1976" s="49">
        <f t="shared" si="60"/>
        <v>10</v>
      </c>
      <c r="P1976" s="49">
        <f t="shared" si="61"/>
        <v>2024</v>
      </c>
      <c r="Q19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76" s="49" t="str">
        <f>TEXT(Planning[[#This Row],[Mes]]*29,"mmmm")</f>
        <v>October</v>
      </c>
      <c r="S197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76" s="213"/>
      <c r="U1976" s="43" t="e">
        <f>IF(Planning[[#This Row],[Horas Planificadas]]&lt;&gt;0,+K1976/Planning[[#This Row],[Horas Planificadas]],0)</f>
        <v>#REF!</v>
      </c>
      <c r="V1976" s="43" t="e">
        <f>IF(Planning[[#This Row],[Horas Planificadas]]&lt;&gt;0,Planning[[#This Row],[Horas utilizadas]]/Planning[[#This Row],[Horas Planificadas]],0)</f>
        <v>#REF!</v>
      </c>
      <c r="W1976" s="44">
        <f>Planning[[#This Row],[Horas Planificadas]]+Planning[[#This Row],[Horas ajustadas adicionales]]</f>
        <v>36</v>
      </c>
      <c r="X1976" s="142"/>
    </row>
    <row r="1977" spans="1:24" x14ac:dyDescent="0.2">
      <c r="A1977" s="7" t="s">
        <v>117</v>
      </c>
      <c r="B1977" s="7" t="s">
        <v>169</v>
      </c>
      <c r="C1977" s="3"/>
      <c r="D1977" s="3" t="s">
        <v>443</v>
      </c>
      <c r="E1977" s="4"/>
      <c r="F1977" s="3" t="s">
        <v>128</v>
      </c>
      <c r="G1977" s="9"/>
      <c r="H1977" s="9"/>
      <c r="I1977" s="12"/>
      <c r="J1977" s="5" t="e">
        <f>SUM(SUMIFS(#REF!,#REF!,Planning[[#This Row],[Tipo de Tarea y especialidad]],#REF!,Planning[[#This Row],[Proyectos Reiwa]]),SUMIFS(#REF!,#REF!,Planning[[#This Row],[Tipo de Tarea y especialidad]],#REF!,Planning[[#This Row],[Proyectos]]))</f>
        <v>#REF!</v>
      </c>
      <c r="K1977" s="5" t="e">
        <f>Planning[[#This Row],[Horas Planificadas]]+Planning[[#This Row],[Horas ajustadas adicionales]]-Planning[[#This Row],[Horas utilizadas]]</f>
        <v>#REF!</v>
      </c>
      <c r="L1977" s="7">
        <v>0</v>
      </c>
      <c r="M1977" s="19" t="e">
        <f>Planning[[#This Row],[Saldo]]-Planning[[#This Row],[Saldo estimado]]</f>
        <v>#REF!</v>
      </c>
      <c r="N1977" s="64" t="e">
        <f>+SUMIFS(#REF!,#REF!,Planning[[#This Row],[Proyectos]],#REF!,Planning[[#This Row],[Tipo de Tarea y especialidad]])</f>
        <v>#REF!</v>
      </c>
      <c r="O1977" s="49">
        <f t="shared" si="60"/>
        <v>10</v>
      </c>
      <c r="P1977" s="49">
        <f t="shared" si="61"/>
        <v>2024</v>
      </c>
      <c r="Q19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77" s="49" t="str">
        <f>TEXT(Planning[[#This Row],[Mes]]*29,"mmmm")</f>
        <v>October</v>
      </c>
      <c r="S197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77" s="213"/>
      <c r="U1977" s="43">
        <f>IF(Planning[[#This Row],[Horas Planificadas]]&lt;&gt;0,+K1977/Planning[[#This Row],[Horas Planificadas]],0)</f>
        <v>0</v>
      </c>
      <c r="V1977" s="43">
        <f>IF(Planning[[#This Row],[Horas Planificadas]]&lt;&gt;0,Planning[[#This Row],[Horas utilizadas]]/Planning[[#This Row],[Horas Planificadas]],0)</f>
        <v>0</v>
      </c>
      <c r="W1977" s="44">
        <f>Planning[[#This Row],[Horas Planificadas]]+Planning[[#This Row],[Horas ajustadas adicionales]]</f>
        <v>0</v>
      </c>
      <c r="X1977" s="142"/>
    </row>
    <row r="1978" spans="1:24" x14ac:dyDescent="0.2">
      <c r="A1978" s="7" t="s">
        <v>117</v>
      </c>
      <c r="B1978" s="7" t="s">
        <v>169</v>
      </c>
      <c r="C1978" s="3"/>
      <c r="D1978" s="3" t="s">
        <v>443</v>
      </c>
      <c r="E1978" s="4" t="s">
        <v>31</v>
      </c>
      <c r="F1978" s="3" t="s">
        <v>31</v>
      </c>
      <c r="G1978" s="9">
        <v>84</v>
      </c>
      <c r="H1978" s="17">
        <v>252</v>
      </c>
      <c r="I1978" s="18"/>
      <c r="J1978" s="14" t="e">
        <f>+SUMIFS(#REF!,#REF!,Planning[[#This Row],[Tarifa]],#REF!,Planning[[#This Row],[Proyectos]])</f>
        <v>#REF!</v>
      </c>
      <c r="K1978" s="14" t="e">
        <f>Planning[[#This Row],[Horas Planificadas]]+Planning[[#This Row],[Horas ajustadas adicionales]]-Planning[[#This Row],[Horas utilizadas]]</f>
        <v>#REF!</v>
      </c>
      <c r="L1978" s="15">
        <v>0</v>
      </c>
      <c r="M1978" s="16" t="e">
        <f>Planning[[#This Row],[Saldo]]-Planning[[#This Row],[Saldo estimado]]</f>
        <v>#REF!</v>
      </c>
      <c r="N1978" s="64" t="e">
        <f>+SUMIFS(#REF!,#REF!,Planning[[#This Row],[Proyectos]],#REF!,Planning[[#This Row],[Tipo de Tarea y especialidad]])</f>
        <v>#REF!</v>
      </c>
      <c r="O1978" s="50">
        <f t="shared" si="60"/>
        <v>10</v>
      </c>
      <c r="P1978" s="50">
        <f t="shared" si="61"/>
        <v>2024</v>
      </c>
      <c r="Q1978" s="16" t="e">
        <f>+SUMIFS(#REF!,#REF!,Planning[[#This Row],[Tarifa]],#REF!,Planning[[#This Row],[Proyectos]],#REF!,Planning[[#This Row],[Mes]],#REF!,Planning[[#This Row],[Año]])</f>
        <v>#REF!</v>
      </c>
      <c r="R1978" s="50" t="str">
        <f>TEXT(Planning[[#This Row],[Mes]]*29,"mmmm")</f>
        <v>October</v>
      </c>
      <c r="S197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78" s="213"/>
      <c r="U1978" s="43" t="e">
        <f>IF(Planning[[#This Row],[Horas Planificadas]]&lt;&gt;0,+K1978/Planning[[#This Row],[Horas Planificadas]],0)</f>
        <v>#REF!</v>
      </c>
      <c r="V1978" s="43" t="e">
        <f>IF(Planning[[#This Row],[Horas Planificadas]]&lt;&gt;0,Planning[[#This Row],[Horas utilizadas]]/Planning[[#This Row],[Horas Planificadas]],0)</f>
        <v>#REF!</v>
      </c>
      <c r="W1978" s="44">
        <f>Planning[[#This Row],[Horas Planificadas]]+Planning[[#This Row],[Horas ajustadas adicionales]]</f>
        <v>252</v>
      </c>
      <c r="X1978" s="142"/>
    </row>
    <row r="1979" spans="1:24" ht="22.5" x14ac:dyDescent="0.2">
      <c r="A1979" s="7" t="s">
        <v>117</v>
      </c>
      <c r="B1979" s="7" t="s">
        <v>169</v>
      </c>
      <c r="C1979" s="3"/>
      <c r="D1979" s="3" t="s">
        <v>443</v>
      </c>
      <c r="E1979" s="4" t="s">
        <v>32</v>
      </c>
      <c r="F1979" s="3"/>
      <c r="G1979" s="9">
        <v>225</v>
      </c>
      <c r="H1979" s="14">
        <f>SUM(H1980:H1982)</f>
        <v>225</v>
      </c>
      <c r="I1979" s="14"/>
      <c r="J1979" s="14" t="e">
        <f>SUM(J1980:J1982)</f>
        <v>#REF!</v>
      </c>
      <c r="K1979" s="15" t="e">
        <f>SUM(K1980:K1982)</f>
        <v>#REF!</v>
      </c>
      <c r="L1979" s="15">
        <f>SUM(L1980:L1982)</f>
        <v>0</v>
      </c>
      <c r="M1979" s="16" t="e">
        <f>SUM(M1980:M1982)</f>
        <v>#REF!</v>
      </c>
      <c r="N1979" s="64" t="e">
        <f>+SUMIFS(#REF!,#REF!,Planning[[#This Row],[Proyectos]],#REF!,Planning[[#This Row],[Tipo de Tarea y especialidad]])</f>
        <v>#REF!</v>
      </c>
      <c r="O1979" s="50">
        <f t="shared" si="60"/>
        <v>10</v>
      </c>
      <c r="P1979" s="50">
        <f t="shared" si="61"/>
        <v>2024</v>
      </c>
      <c r="Q1979" s="16" t="e">
        <f>SUM(Q1980:Q1982)</f>
        <v>#REF!</v>
      </c>
      <c r="R1979" s="50" t="str">
        <f>TEXT(Planning[[#This Row],[Mes]]*29,"mmmm")</f>
        <v>October</v>
      </c>
      <c r="S197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79" s="213"/>
      <c r="U1979" s="43" t="e">
        <f>IF(Planning[[#This Row],[Horas Planificadas]]&lt;&gt;0,+K1979/Planning[[#This Row],[Horas Planificadas]],0)</f>
        <v>#REF!</v>
      </c>
      <c r="V1979" s="43" t="e">
        <f>IF(Planning[[#This Row],[Horas Planificadas]]&lt;&gt;0,Planning[[#This Row],[Horas utilizadas]]/Planning[[#This Row],[Horas Planificadas]],0)</f>
        <v>#REF!</v>
      </c>
      <c r="W1979" s="44">
        <f>Planning[[#This Row],[Horas Planificadas]]+Planning[[#This Row],[Horas ajustadas adicionales]]</f>
        <v>225</v>
      </c>
      <c r="X1979" s="142"/>
    </row>
    <row r="1980" spans="1:24" x14ac:dyDescent="0.2">
      <c r="A1980" s="7" t="s">
        <v>117</v>
      </c>
      <c r="B1980" s="7" t="s">
        <v>169</v>
      </c>
      <c r="C1980" s="3"/>
      <c r="D1980" s="3" t="s">
        <v>443</v>
      </c>
      <c r="E1980" s="4"/>
      <c r="F1980" s="3" t="s">
        <v>129</v>
      </c>
      <c r="G1980" s="9">
        <v>153</v>
      </c>
      <c r="H1980" s="9">
        <v>153</v>
      </c>
      <c r="I1980" s="12"/>
      <c r="J1980" s="5" t="e">
        <f>SUM(SUMIFS(#REF!,#REF!,Planning[[#This Row],[Tipo de Tarea y especialidad]],#REF!,Planning[[#This Row],[Proyectos Reiwa]]),SUMIFS(#REF!,#REF!,Planning[[#This Row],[Tipo de Tarea y especialidad]],#REF!,Planning[[#This Row],[Proyectos]]))</f>
        <v>#REF!</v>
      </c>
      <c r="K1980" s="5" t="e">
        <f>Planning[[#This Row],[Horas Planificadas]]+Planning[[#This Row],[Horas ajustadas adicionales]]-Planning[[#This Row],[Horas utilizadas]]</f>
        <v>#REF!</v>
      </c>
      <c r="L1980" s="7">
        <v>0</v>
      </c>
      <c r="M1980" s="19" t="e">
        <f>Planning[[#This Row],[Saldo]]-Planning[[#This Row],[Saldo estimado]]</f>
        <v>#REF!</v>
      </c>
      <c r="N1980" s="64" t="e">
        <f>+SUMIFS(#REF!,#REF!,Planning[[#This Row],[Proyectos]],#REF!,Planning[[#This Row],[Tipo de Tarea y especialidad]])</f>
        <v>#REF!</v>
      </c>
      <c r="O1980" s="49">
        <f t="shared" si="60"/>
        <v>10</v>
      </c>
      <c r="P1980" s="49">
        <f t="shared" si="61"/>
        <v>2024</v>
      </c>
      <c r="Q19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80" s="49" t="str">
        <f>TEXT(Planning[[#This Row],[Mes]]*29,"mmmm")</f>
        <v>October</v>
      </c>
      <c r="S198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80" s="213"/>
      <c r="U1980" s="43" t="e">
        <f>IF(Planning[[#This Row],[Horas Planificadas]]&lt;&gt;0,+K1980/Planning[[#This Row],[Horas Planificadas]],0)</f>
        <v>#REF!</v>
      </c>
      <c r="V1980" s="43" t="e">
        <f>IF(Planning[[#This Row],[Horas Planificadas]]&lt;&gt;0,Planning[[#This Row],[Horas utilizadas]]/Planning[[#This Row],[Horas Planificadas]],0)</f>
        <v>#REF!</v>
      </c>
      <c r="W1980" s="44">
        <f>Planning[[#This Row],[Horas Planificadas]]+Planning[[#This Row],[Horas ajustadas adicionales]]</f>
        <v>153</v>
      </c>
      <c r="X1980" s="142"/>
    </row>
    <row r="1981" spans="1:24" x14ac:dyDescent="0.2">
      <c r="A1981" s="7" t="s">
        <v>117</v>
      </c>
      <c r="B1981" s="7" t="s">
        <v>169</v>
      </c>
      <c r="C1981" s="3"/>
      <c r="D1981" s="3" t="s">
        <v>443</v>
      </c>
      <c r="E1981" s="4"/>
      <c r="F1981" s="3" t="s">
        <v>130</v>
      </c>
      <c r="G1981" s="9">
        <v>72</v>
      </c>
      <c r="H1981" s="9">
        <v>72</v>
      </c>
      <c r="I1981" s="12"/>
      <c r="J1981" s="5" t="e">
        <f>SUM(SUMIFS(#REF!,#REF!,Planning[[#This Row],[Tipo de Tarea y especialidad]],#REF!,Planning[[#This Row],[Proyectos Reiwa]]),SUMIFS(#REF!,#REF!,Planning[[#This Row],[Tipo de Tarea y especialidad]],#REF!,Planning[[#This Row],[Proyectos]]))</f>
        <v>#REF!</v>
      </c>
      <c r="K1981" s="5" t="e">
        <f>Planning[[#This Row],[Horas Planificadas]]+Planning[[#This Row],[Horas ajustadas adicionales]]-Planning[[#This Row],[Horas utilizadas]]</f>
        <v>#REF!</v>
      </c>
      <c r="L1981" s="7">
        <v>0</v>
      </c>
      <c r="M1981" s="19" t="e">
        <f>Planning[[#This Row],[Saldo]]-Planning[[#This Row],[Saldo estimado]]</f>
        <v>#REF!</v>
      </c>
      <c r="N1981" s="64" t="e">
        <f>+SUMIFS(#REF!,#REF!,Planning[[#This Row],[Proyectos]],#REF!,Planning[[#This Row],[Tipo de Tarea y especialidad]])</f>
        <v>#REF!</v>
      </c>
      <c r="O1981" s="49">
        <f t="shared" si="60"/>
        <v>10</v>
      </c>
      <c r="P1981" s="49">
        <f t="shared" si="61"/>
        <v>2024</v>
      </c>
      <c r="Q19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81" s="49" t="str">
        <f>TEXT(Planning[[#This Row],[Mes]]*29,"mmmm")</f>
        <v>October</v>
      </c>
      <c r="S198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81" s="213"/>
      <c r="U1981" s="43" t="e">
        <f>IF(Planning[[#This Row],[Horas Planificadas]]&lt;&gt;0,+K1981/Planning[[#This Row],[Horas Planificadas]],0)</f>
        <v>#REF!</v>
      </c>
      <c r="V1981" s="43" t="e">
        <f>IF(Planning[[#This Row],[Horas Planificadas]]&lt;&gt;0,Planning[[#This Row],[Horas utilizadas]]/Planning[[#This Row],[Horas Planificadas]],0)</f>
        <v>#REF!</v>
      </c>
      <c r="W1981" s="44">
        <f>Planning[[#This Row],[Horas Planificadas]]+Planning[[#This Row],[Horas ajustadas adicionales]]</f>
        <v>72</v>
      </c>
      <c r="X1981" s="142"/>
    </row>
    <row r="1982" spans="1:24" x14ac:dyDescent="0.2">
      <c r="A1982" s="7" t="s">
        <v>117</v>
      </c>
      <c r="B1982" s="7" t="s">
        <v>169</v>
      </c>
      <c r="C1982" s="3"/>
      <c r="D1982" s="3" t="s">
        <v>443</v>
      </c>
      <c r="E1982" s="4"/>
      <c r="F1982" s="3" t="s">
        <v>131</v>
      </c>
      <c r="G1982" s="9"/>
      <c r="H1982" s="9"/>
      <c r="I1982" s="12"/>
      <c r="J1982" s="5" t="e">
        <f>SUM(SUMIFS(#REF!,#REF!,Planning[[#This Row],[Tipo de Tarea y especialidad]],#REF!,Planning[[#This Row],[Proyectos Reiwa]]),SUMIFS(#REF!,#REF!,Planning[[#This Row],[Tipo de Tarea y especialidad]],#REF!,Planning[[#This Row],[Proyectos]]))</f>
        <v>#REF!</v>
      </c>
      <c r="K1982" s="5" t="e">
        <f>Planning[[#This Row],[Horas Planificadas]]+Planning[[#This Row],[Horas ajustadas adicionales]]-Planning[[#This Row],[Horas utilizadas]]</f>
        <v>#REF!</v>
      </c>
      <c r="L1982" s="7">
        <v>0</v>
      </c>
      <c r="M1982" s="19" t="e">
        <f>Planning[[#This Row],[Saldo]]-Planning[[#This Row],[Saldo estimado]]</f>
        <v>#REF!</v>
      </c>
      <c r="N1982" s="65" t="e">
        <f>+SUMIFS(#REF!,#REF!,Planning[[#This Row],[Proyectos]],#REF!,Planning[[#This Row],[Tipo de Tarea y especialidad]])</f>
        <v>#REF!</v>
      </c>
      <c r="O1982" s="51">
        <f t="shared" si="60"/>
        <v>10</v>
      </c>
      <c r="P1982" s="51">
        <f t="shared" si="61"/>
        <v>2024</v>
      </c>
      <c r="Q19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82" s="51" t="str">
        <f>TEXT(Planning[[#This Row],[Mes]]*29,"mmmm")</f>
        <v>October</v>
      </c>
      <c r="S198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82" s="214"/>
      <c r="U1982" s="43">
        <f>IF(Planning[[#This Row],[Horas Planificadas]]&lt;&gt;0,+K1982/Planning[[#This Row],[Horas Planificadas]],0)</f>
        <v>0</v>
      </c>
      <c r="V1982" s="43">
        <f>IF(Planning[[#This Row],[Horas Planificadas]]&lt;&gt;0,Planning[[#This Row],[Horas utilizadas]]/Planning[[#This Row],[Horas Planificadas]],0)</f>
        <v>0</v>
      </c>
      <c r="W1982" s="44">
        <f>Planning[[#This Row],[Horas Planificadas]]+Planning[[#This Row],[Horas ajustadas adicionales]]</f>
        <v>0</v>
      </c>
      <c r="X1982" s="142"/>
    </row>
    <row r="1983" spans="1:24" ht="22.5" x14ac:dyDescent="0.2">
      <c r="A1983" s="7" t="s">
        <v>117</v>
      </c>
      <c r="B1983" s="7" t="s">
        <v>118</v>
      </c>
      <c r="C1983" s="3"/>
      <c r="D1983" s="3" t="s">
        <v>445</v>
      </c>
      <c r="E1983" s="4" t="s">
        <v>28</v>
      </c>
      <c r="F1983" s="3"/>
      <c r="G1983" s="9">
        <v>213</v>
      </c>
      <c r="H1983" s="14">
        <f>SUM(H1984:H1985)</f>
        <v>213</v>
      </c>
      <c r="I1983" s="14"/>
      <c r="J1983" s="14" t="e">
        <f>SUM(J1984:J1985)</f>
        <v>#REF!</v>
      </c>
      <c r="K1983" s="15" t="e">
        <f>SUM(K1984:K1985)</f>
        <v>#REF!</v>
      </c>
      <c r="L1983" s="15">
        <f>SUM(L1984:L1985)</f>
        <v>9</v>
      </c>
      <c r="M1983" s="14" t="e">
        <f>SUM(M1984:M1985)</f>
        <v>#REF!</v>
      </c>
      <c r="N1983" s="66" t="e">
        <f>+SUMIFS(#REF!,#REF!,Planning[[#This Row],[Proyectos]],#REF!,Planning[[#This Row],[Tipo de Tarea y especialidad]])</f>
        <v>#REF!</v>
      </c>
      <c r="O1983" s="14">
        <f t="shared" si="60"/>
        <v>10</v>
      </c>
      <c r="P1983" s="14">
        <f t="shared" si="61"/>
        <v>2024</v>
      </c>
      <c r="Q1983" s="28" t="e">
        <f>SUM(Q1984:Q1985)</f>
        <v>#REF!</v>
      </c>
      <c r="R1983" s="28" t="str">
        <f>TEXT(Planning[[#This Row],[Mes]]*29,"mmmm")</f>
        <v>October</v>
      </c>
      <c r="S19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83" s="192" t="s">
        <v>446</v>
      </c>
      <c r="U1983" s="43" t="e">
        <f>IF(Planning[[#This Row],[Horas Planificadas]]&lt;&gt;0,+K1983/Planning[[#This Row],[Horas Planificadas]],0)</f>
        <v>#REF!</v>
      </c>
      <c r="V1983" s="43" t="e">
        <f>IF(Planning[[#This Row],[Horas Planificadas]]&lt;&gt;0,Planning[[#This Row],[Horas utilizadas]]/Planning[[#This Row],[Horas Planificadas]],0)</f>
        <v>#REF!</v>
      </c>
      <c r="W1983" s="44">
        <f>Planning[[#This Row],[Horas Planificadas]]+Planning[[#This Row],[Horas ajustadas adicionales]]</f>
        <v>213</v>
      </c>
      <c r="X1983" s="142"/>
    </row>
    <row r="1984" spans="1:24" x14ac:dyDescent="0.2">
      <c r="A1984" s="7" t="s">
        <v>117</v>
      </c>
      <c r="B1984" s="7" t="s">
        <v>118</v>
      </c>
      <c r="C1984" s="3"/>
      <c r="D1984" s="3" t="s">
        <v>445</v>
      </c>
      <c r="E1984" s="4"/>
      <c r="F1984" s="3" t="s">
        <v>120</v>
      </c>
      <c r="G1984" s="9"/>
      <c r="H1984" s="9">
        <v>150</v>
      </c>
      <c r="I1984" s="12"/>
      <c r="J1984" s="5" t="e">
        <f>SUM(SUMIFS(#REF!,#REF!,Planning[[#This Row],[Tipo de Tarea y especialidad]],#REF!,Planning[[#This Row],[Proyectos Reiwa]]),SUMIFS(#REF!,#REF!,Planning[[#This Row],[Tipo de Tarea y especialidad]],#REF!,Planning[[#This Row],[Proyectos]]))</f>
        <v>#REF!</v>
      </c>
      <c r="K1984" s="5" t="e">
        <f>Planning[[#This Row],[Horas Planificadas]]+Planning[[#This Row],[Horas ajustadas adicionales]]-Planning[[#This Row],[Horas utilizadas]]</f>
        <v>#REF!</v>
      </c>
      <c r="L1984" s="7">
        <v>0</v>
      </c>
      <c r="M1984" s="19" t="e">
        <f>Planning[[#This Row],[Saldo]]-Planning[[#This Row],[Saldo estimado]]</f>
        <v>#REF!</v>
      </c>
      <c r="N1984" s="60" t="e">
        <f>+SUMIFS(#REF!,#REF!,Planning[[#This Row],[Proyectos]],#REF!,Planning[[#This Row],[Tipo de Tarea y especialidad]])</f>
        <v>#REF!</v>
      </c>
      <c r="O1984" s="19">
        <f t="shared" si="60"/>
        <v>10</v>
      </c>
      <c r="P1984" s="19">
        <f t="shared" si="61"/>
        <v>2024</v>
      </c>
      <c r="Q19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84" s="19" t="str">
        <f>TEXT(Planning[[#This Row],[Mes]]*29,"mmmm")</f>
        <v>October</v>
      </c>
      <c r="S19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84" s="193"/>
      <c r="U1984" s="43" t="e">
        <f>IF(Planning[[#This Row],[Horas Planificadas]]&lt;&gt;0,+K1984/Planning[[#This Row],[Horas Planificadas]],0)</f>
        <v>#REF!</v>
      </c>
      <c r="V1984" s="43" t="e">
        <f>IF(Planning[[#This Row],[Horas Planificadas]]&lt;&gt;0,Planning[[#This Row],[Horas utilizadas]]/Planning[[#This Row],[Horas Planificadas]],0)</f>
        <v>#REF!</v>
      </c>
      <c r="W1984" s="44">
        <f>Planning[[#This Row],[Horas Planificadas]]+Planning[[#This Row],[Horas ajustadas adicionales]]</f>
        <v>150</v>
      </c>
      <c r="X1984" s="142"/>
    </row>
    <row r="1985" spans="1:24" x14ac:dyDescent="0.2">
      <c r="A1985" s="7" t="s">
        <v>117</v>
      </c>
      <c r="B1985" s="7" t="s">
        <v>118</v>
      </c>
      <c r="C1985" s="3"/>
      <c r="D1985" s="3" t="s">
        <v>445</v>
      </c>
      <c r="E1985" s="4"/>
      <c r="F1985" s="3" t="s">
        <v>121</v>
      </c>
      <c r="G1985" s="9"/>
      <c r="H1985" s="9">
        <v>63</v>
      </c>
      <c r="I1985" s="12"/>
      <c r="J1985" s="5" t="e">
        <f>SUM(SUMIFS(#REF!,#REF!,Planning[[#This Row],[Tipo de Tarea y especialidad]],#REF!,Planning[[#This Row],[Proyectos Reiwa]]),SUMIFS(#REF!,#REF!,Planning[[#This Row],[Tipo de Tarea y especialidad]],#REF!,Planning[[#This Row],[Proyectos]]))</f>
        <v>#REF!</v>
      </c>
      <c r="K1985" s="5" t="e">
        <f>Planning[[#This Row],[Horas Planificadas]]+Planning[[#This Row],[Horas ajustadas adicionales]]-Planning[[#This Row],[Horas utilizadas]]</f>
        <v>#REF!</v>
      </c>
      <c r="L1985" s="7">
        <v>9</v>
      </c>
      <c r="M1985" s="19" t="e">
        <f>Planning[[#This Row],[Saldo]]-Planning[[#This Row],[Saldo estimado]]</f>
        <v>#REF!</v>
      </c>
      <c r="N1985" s="60" t="e">
        <f>+SUMIFS(#REF!,#REF!,Planning[[#This Row],[Proyectos]],#REF!,Planning[[#This Row],[Tipo de Tarea y especialidad]])</f>
        <v>#REF!</v>
      </c>
      <c r="O1985" s="19">
        <f t="shared" si="60"/>
        <v>10</v>
      </c>
      <c r="P1985" s="19">
        <f t="shared" si="61"/>
        <v>2024</v>
      </c>
      <c r="Q19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85" s="19" t="str">
        <f>TEXT(Planning[[#This Row],[Mes]]*29,"mmmm")</f>
        <v>October</v>
      </c>
      <c r="S19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85" s="193"/>
      <c r="U1985" s="43" t="e">
        <f>IF(Planning[[#This Row],[Horas Planificadas]]&lt;&gt;0,+K1985/Planning[[#This Row],[Horas Planificadas]],0)</f>
        <v>#REF!</v>
      </c>
      <c r="V1985" s="43" t="e">
        <f>IF(Planning[[#This Row],[Horas Planificadas]]&lt;&gt;0,Planning[[#This Row],[Horas utilizadas]]/Planning[[#This Row],[Horas Planificadas]],0)</f>
        <v>#REF!</v>
      </c>
      <c r="W1985" s="44">
        <f>Planning[[#This Row],[Horas Planificadas]]+Planning[[#This Row],[Horas ajustadas adicionales]]</f>
        <v>63</v>
      </c>
      <c r="X1985" s="142"/>
    </row>
    <row r="1986" spans="1:24" x14ac:dyDescent="0.2">
      <c r="A1986" s="7" t="s">
        <v>117</v>
      </c>
      <c r="B1986" s="7" t="s">
        <v>118</v>
      </c>
      <c r="C1986" s="3"/>
      <c r="D1986" s="3" t="s">
        <v>445</v>
      </c>
      <c r="E1986" s="4" t="s">
        <v>30</v>
      </c>
      <c r="F1986" s="3"/>
      <c r="G1986" s="9">
        <v>153</v>
      </c>
      <c r="H1986" s="14">
        <f>SUM(H1987:H1993)</f>
        <v>313</v>
      </c>
      <c r="I1986" s="14"/>
      <c r="J1986" s="14" t="e">
        <f>SUM(J1987:J1993)</f>
        <v>#REF!</v>
      </c>
      <c r="K1986" s="15" t="e">
        <f>SUM(K1987:K1993)</f>
        <v>#REF!</v>
      </c>
      <c r="L1986" s="15">
        <f>SUM(L1987:L1993)</f>
        <v>27</v>
      </c>
      <c r="M1986" s="16" t="e">
        <f>SUM(M1987:M1993)</f>
        <v>#REF!</v>
      </c>
      <c r="N1986" s="60" t="e">
        <f>+SUMIFS(#REF!,#REF!,Planning[[#This Row],[Proyectos]],#REF!,Planning[[#This Row],[Tipo de Tarea y especialidad]])</f>
        <v>#REF!</v>
      </c>
      <c r="O1986" s="16">
        <f t="shared" si="60"/>
        <v>10</v>
      </c>
      <c r="P1986" s="16">
        <f t="shared" si="61"/>
        <v>2024</v>
      </c>
      <c r="Q1986" s="16" t="e">
        <f>SUM(Q1987:Q1993)</f>
        <v>#REF!</v>
      </c>
      <c r="R1986" s="16" t="str">
        <f>TEXT(Planning[[#This Row],[Mes]]*29,"mmmm")</f>
        <v>October</v>
      </c>
      <c r="S19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86" s="193"/>
      <c r="U1986" s="43" t="e">
        <f>IF(Planning[[#This Row],[Horas Planificadas]]&lt;&gt;0,+K1986/Planning[[#This Row],[Horas Planificadas]],0)</f>
        <v>#REF!</v>
      </c>
      <c r="V1986" s="43" t="e">
        <f>IF(Planning[[#This Row],[Horas Planificadas]]&lt;&gt;0,Planning[[#This Row],[Horas utilizadas]]/Planning[[#This Row],[Horas Planificadas]],0)</f>
        <v>#REF!</v>
      </c>
      <c r="W1986" s="44">
        <f>Planning[[#This Row],[Horas Planificadas]]+Planning[[#This Row],[Horas ajustadas adicionales]]</f>
        <v>313</v>
      </c>
      <c r="X1986" s="142"/>
    </row>
    <row r="1987" spans="1:24" x14ac:dyDescent="0.2">
      <c r="A1987" s="7" t="s">
        <v>117</v>
      </c>
      <c r="B1987" s="7" t="s">
        <v>118</v>
      </c>
      <c r="C1987" s="3"/>
      <c r="D1987" s="3" t="s">
        <v>445</v>
      </c>
      <c r="E1987" s="4"/>
      <c r="F1987" s="3" t="s">
        <v>122</v>
      </c>
      <c r="G1987" s="9"/>
      <c r="H1987" s="9">
        <v>168</v>
      </c>
      <c r="I1987" s="12"/>
      <c r="J1987" s="5" t="e">
        <f>SUM(SUMIFS(#REF!,#REF!,Planning[[#This Row],[Tipo de Tarea y especialidad]],#REF!,Planning[[#This Row],[Proyectos Reiwa]]),SUMIFS(#REF!,#REF!,Planning[[#This Row],[Tipo de Tarea y especialidad]],#REF!,Planning[[#This Row],[Proyectos]]))</f>
        <v>#REF!</v>
      </c>
      <c r="K1987" s="5" t="e">
        <f>Planning[[#This Row],[Horas Planificadas]]+Planning[[#This Row],[Horas ajustadas adicionales]]-Planning[[#This Row],[Horas utilizadas]]</f>
        <v>#REF!</v>
      </c>
      <c r="L1987" s="7">
        <v>9</v>
      </c>
      <c r="M1987" s="19" t="e">
        <f>Planning[[#This Row],[Saldo]]-Planning[[#This Row],[Saldo estimado]]</f>
        <v>#REF!</v>
      </c>
      <c r="N1987" s="60" t="e">
        <f>+SUMIFS(#REF!,#REF!,Planning[[#This Row],[Proyectos]],#REF!,Planning[[#This Row],[Tipo de Tarea y especialidad]])</f>
        <v>#REF!</v>
      </c>
      <c r="O1987" s="19">
        <f t="shared" si="60"/>
        <v>10</v>
      </c>
      <c r="P1987" s="19">
        <f t="shared" si="61"/>
        <v>2024</v>
      </c>
      <c r="Q19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87" s="19" t="str">
        <f>TEXT(Planning[[#This Row],[Mes]]*29,"mmmm")</f>
        <v>October</v>
      </c>
      <c r="S19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87" s="193"/>
      <c r="U1987" s="43" t="e">
        <f>IF(Planning[[#This Row],[Horas Planificadas]]&lt;&gt;0,+K1987/Planning[[#This Row],[Horas Planificadas]],0)</f>
        <v>#REF!</v>
      </c>
      <c r="V1987" s="43" t="e">
        <f>IF(Planning[[#This Row],[Horas Planificadas]]&lt;&gt;0,Planning[[#This Row],[Horas utilizadas]]/Planning[[#This Row],[Horas Planificadas]],0)</f>
        <v>#REF!</v>
      </c>
      <c r="W1987" s="44">
        <f>Planning[[#This Row],[Horas Planificadas]]+Planning[[#This Row],[Horas ajustadas adicionales]]</f>
        <v>168</v>
      </c>
      <c r="X1987" s="142"/>
    </row>
    <row r="1988" spans="1:24" x14ac:dyDescent="0.2">
      <c r="A1988" s="7" t="s">
        <v>117</v>
      </c>
      <c r="B1988" s="7" t="s">
        <v>118</v>
      </c>
      <c r="C1988" s="3"/>
      <c r="D1988" s="3" t="s">
        <v>445</v>
      </c>
      <c r="E1988" s="4"/>
      <c r="F1988" s="3" t="s">
        <v>123</v>
      </c>
      <c r="G1988" s="9"/>
      <c r="H1988" s="9"/>
      <c r="I1988" s="12"/>
      <c r="J1988" s="5" t="e">
        <f>SUM(SUMIFS(#REF!,#REF!,Planning[[#This Row],[Tipo de Tarea y especialidad]],#REF!,Planning[[#This Row],[Proyectos Reiwa]]),SUMIFS(#REF!,#REF!,Planning[[#This Row],[Tipo de Tarea y especialidad]],#REF!,Planning[[#This Row],[Proyectos]]))</f>
        <v>#REF!</v>
      </c>
      <c r="K1988" s="5" t="e">
        <f>Planning[[#This Row],[Horas Planificadas]]+Planning[[#This Row],[Horas ajustadas adicionales]]-Planning[[#This Row],[Horas utilizadas]]</f>
        <v>#REF!</v>
      </c>
      <c r="L1988" s="7"/>
      <c r="M1988" s="19" t="e">
        <f>Planning[[#This Row],[Saldo]]-Planning[[#This Row],[Saldo estimado]]</f>
        <v>#REF!</v>
      </c>
      <c r="N1988" s="60" t="e">
        <f>+SUMIFS(#REF!,#REF!,Planning[[#This Row],[Proyectos]],#REF!,Planning[[#This Row],[Tipo de Tarea y especialidad]])</f>
        <v>#REF!</v>
      </c>
      <c r="O1988" s="19">
        <f t="shared" si="60"/>
        <v>10</v>
      </c>
      <c r="P1988" s="19">
        <f t="shared" si="61"/>
        <v>2024</v>
      </c>
      <c r="Q19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88" s="19" t="str">
        <f>TEXT(Planning[[#This Row],[Mes]]*29,"mmmm")</f>
        <v>October</v>
      </c>
      <c r="S19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88" s="193"/>
      <c r="U1988" s="43">
        <f>IF(Planning[[#This Row],[Horas Planificadas]]&lt;&gt;0,+K1988/Planning[[#This Row],[Horas Planificadas]],0)</f>
        <v>0</v>
      </c>
      <c r="V1988" s="43">
        <f>IF(Planning[[#This Row],[Horas Planificadas]]&lt;&gt;0,Planning[[#This Row],[Horas utilizadas]]/Planning[[#This Row],[Horas Planificadas]],0)</f>
        <v>0</v>
      </c>
      <c r="W1988" s="44">
        <f>Planning[[#This Row],[Horas Planificadas]]+Planning[[#This Row],[Horas ajustadas adicionales]]</f>
        <v>0</v>
      </c>
      <c r="X1988" s="142"/>
    </row>
    <row r="1989" spans="1:24" x14ac:dyDescent="0.2">
      <c r="A1989" s="7" t="s">
        <v>117</v>
      </c>
      <c r="B1989" s="7" t="s">
        <v>118</v>
      </c>
      <c r="C1989" s="3"/>
      <c r="D1989" s="3" t="s">
        <v>445</v>
      </c>
      <c r="E1989" s="4"/>
      <c r="F1989" s="3" t="s">
        <v>124</v>
      </c>
      <c r="G1989" s="9"/>
      <c r="H1989" s="9"/>
      <c r="I1989" s="12"/>
      <c r="J1989" s="5" t="e">
        <f>SUM(SUMIFS(#REF!,#REF!,Planning[[#This Row],[Tipo de Tarea y especialidad]],#REF!,Planning[[#This Row],[Proyectos Reiwa]]),SUMIFS(#REF!,#REF!,Planning[[#This Row],[Tipo de Tarea y especialidad]],#REF!,Planning[[#This Row],[Proyectos]]))</f>
        <v>#REF!</v>
      </c>
      <c r="K1989" s="5" t="e">
        <f>Planning[[#This Row],[Horas Planificadas]]+Planning[[#This Row],[Horas ajustadas adicionales]]-Planning[[#This Row],[Horas utilizadas]]</f>
        <v>#REF!</v>
      </c>
      <c r="L1989" s="7"/>
      <c r="M1989" s="19" t="e">
        <f>Planning[[#This Row],[Saldo]]-Planning[[#This Row],[Saldo estimado]]</f>
        <v>#REF!</v>
      </c>
      <c r="N1989" s="60" t="e">
        <f>+SUMIFS(#REF!,#REF!,Planning[[#This Row],[Proyectos]],#REF!,Planning[[#This Row],[Tipo de Tarea y especialidad]])</f>
        <v>#REF!</v>
      </c>
      <c r="O1989" s="19">
        <f t="shared" si="60"/>
        <v>10</v>
      </c>
      <c r="P1989" s="19">
        <f t="shared" si="61"/>
        <v>2024</v>
      </c>
      <c r="Q19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89" s="19" t="str">
        <f>TEXT(Planning[[#This Row],[Mes]]*29,"mmmm")</f>
        <v>October</v>
      </c>
      <c r="S19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89" s="193"/>
      <c r="U1989" s="43">
        <f>IF(Planning[[#This Row],[Horas Planificadas]]&lt;&gt;0,+K1989/Planning[[#This Row],[Horas Planificadas]],0)</f>
        <v>0</v>
      </c>
      <c r="V1989" s="43">
        <f>IF(Planning[[#This Row],[Horas Planificadas]]&lt;&gt;0,Planning[[#This Row],[Horas utilizadas]]/Planning[[#This Row],[Horas Planificadas]],0)</f>
        <v>0</v>
      </c>
      <c r="W1989" s="44">
        <f>Planning[[#This Row],[Horas Planificadas]]+Planning[[#This Row],[Horas ajustadas adicionales]]</f>
        <v>0</v>
      </c>
      <c r="X1989" s="142"/>
    </row>
    <row r="1990" spans="1:24" x14ac:dyDescent="0.2">
      <c r="A1990" s="7" t="s">
        <v>117</v>
      </c>
      <c r="B1990" s="7" t="s">
        <v>118</v>
      </c>
      <c r="C1990" s="3"/>
      <c r="D1990" s="3" t="s">
        <v>445</v>
      </c>
      <c r="E1990" s="4"/>
      <c r="F1990" s="3" t="s">
        <v>125</v>
      </c>
      <c r="G1990" s="9"/>
      <c r="H1990" s="9">
        <v>145</v>
      </c>
      <c r="I1990" s="12"/>
      <c r="J1990" s="5" t="e">
        <f>SUM(SUMIFS(#REF!,#REF!,Planning[[#This Row],[Tipo de Tarea y especialidad]],#REF!,Planning[[#This Row],[Proyectos Reiwa]]),SUMIFS(#REF!,#REF!,Planning[[#This Row],[Tipo de Tarea y especialidad]],#REF!,Planning[[#This Row],[Proyectos]]))</f>
        <v>#REF!</v>
      </c>
      <c r="K1990" s="5" t="e">
        <f>Planning[[#This Row],[Horas Planificadas]]+Planning[[#This Row],[Horas ajustadas adicionales]]-Planning[[#This Row],[Horas utilizadas]]</f>
        <v>#REF!</v>
      </c>
      <c r="L1990" s="7">
        <v>18</v>
      </c>
      <c r="M1990" s="19" t="e">
        <f>Planning[[#This Row],[Saldo]]-Planning[[#This Row],[Saldo estimado]]</f>
        <v>#REF!</v>
      </c>
      <c r="N1990" s="60" t="e">
        <f>+SUMIFS(#REF!,#REF!,Planning[[#This Row],[Proyectos]],#REF!,Planning[[#This Row],[Tipo de Tarea y especialidad]])</f>
        <v>#REF!</v>
      </c>
      <c r="O1990" s="19">
        <f t="shared" si="60"/>
        <v>10</v>
      </c>
      <c r="P1990" s="19">
        <f t="shared" si="61"/>
        <v>2024</v>
      </c>
      <c r="Q19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90" s="19" t="str">
        <f>TEXT(Planning[[#This Row],[Mes]]*29,"mmmm")</f>
        <v>October</v>
      </c>
      <c r="S19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90" s="193"/>
      <c r="U1990" s="43" t="e">
        <f>IF(Planning[[#This Row],[Horas Planificadas]]&lt;&gt;0,+K1990/Planning[[#This Row],[Horas Planificadas]],0)</f>
        <v>#REF!</v>
      </c>
      <c r="V1990" s="43" t="e">
        <f>IF(Planning[[#This Row],[Horas Planificadas]]&lt;&gt;0,Planning[[#This Row],[Horas utilizadas]]/Planning[[#This Row],[Horas Planificadas]],0)</f>
        <v>#REF!</v>
      </c>
      <c r="W1990" s="44">
        <f>Planning[[#This Row],[Horas Planificadas]]+Planning[[#This Row],[Horas ajustadas adicionales]]</f>
        <v>145</v>
      </c>
      <c r="X1990" s="142"/>
    </row>
    <row r="1991" spans="1:24" x14ac:dyDescent="0.2">
      <c r="A1991" s="7" t="s">
        <v>117</v>
      </c>
      <c r="B1991" s="7" t="s">
        <v>118</v>
      </c>
      <c r="C1991" s="3"/>
      <c r="D1991" s="3" t="s">
        <v>445</v>
      </c>
      <c r="E1991" s="4"/>
      <c r="F1991" s="3" t="s">
        <v>126</v>
      </c>
      <c r="G1991" s="9"/>
      <c r="H1991" s="9"/>
      <c r="I1991" s="12"/>
      <c r="J1991" s="5" t="e">
        <f>SUM(SUMIFS(#REF!,#REF!,Planning[[#This Row],[Tipo de Tarea y especialidad]],#REF!,Planning[[#This Row],[Proyectos Reiwa]]),SUMIFS(#REF!,#REF!,Planning[[#This Row],[Tipo de Tarea y especialidad]],#REF!,Planning[[#This Row],[Proyectos]]))</f>
        <v>#REF!</v>
      </c>
      <c r="K1991" s="5" t="e">
        <f>Planning[[#This Row],[Horas Planificadas]]+Planning[[#This Row],[Horas ajustadas adicionales]]-Planning[[#This Row],[Horas utilizadas]]</f>
        <v>#REF!</v>
      </c>
      <c r="L1991" s="7"/>
      <c r="M1991" s="19" t="e">
        <f>Planning[[#This Row],[Saldo]]-Planning[[#This Row],[Saldo estimado]]</f>
        <v>#REF!</v>
      </c>
      <c r="N1991" s="60" t="e">
        <f>+SUMIFS(#REF!,#REF!,Planning[[#This Row],[Proyectos]],#REF!,Planning[[#This Row],[Tipo de Tarea y especialidad]])</f>
        <v>#REF!</v>
      </c>
      <c r="O1991" s="19">
        <f t="shared" ref="O1991:O2054" si="62">$L$4</f>
        <v>10</v>
      </c>
      <c r="P1991" s="19">
        <f t="shared" ref="P1991:P2054" si="63">$M$4</f>
        <v>2024</v>
      </c>
      <c r="Q19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91" s="19" t="str">
        <f>TEXT(Planning[[#This Row],[Mes]]*29,"mmmm")</f>
        <v>October</v>
      </c>
      <c r="S19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91" s="193"/>
      <c r="U1991" s="43">
        <f>IF(Planning[[#This Row],[Horas Planificadas]]&lt;&gt;0,+K1991/Planning[[#This Row],[Horas Planificadas]],0)</f>
        <v>0</v>
      </c>
      <c r="V1991" s="43">
        <f>IF(Planning[[#This Row],[Horas Planificadas]]&lt;&gt;0,Planning[[#This Row],[Horas utilizadas]]/Planning[[#This Row],[Horas Planificadas]],0)</f>
        <v>0</v>
      </c>
      <c r="W1991" s="44">
        <f>Planning[[#This Row],[Horas Planificadas]]+Planning[[#This Row],[Horas ajustadas adicionales]]</f>
        <v>0</v>
      </c>
      <c r="X1991" s="142"/>
    </row>
    <row r="1992" spans="1:24" x14ac:dyDescent="0.2">
      <c r="A1992" s="7" t="s">
        <v>117</v>
      </c>
      <c r="B1992" s="7" t="s">
        <v>118</v>
      </c>
      <c r="C1992" s="3"/>
      <c r="D1992" s="3" t="s">
        <v>445</v>
      </c>
      <c r="E1992" s="4"/>
      <c r="F1992" s="3" t="s">
        <v>127</v>
      </c>
      <c r="G1992" s="9"/>
      <c r="H1992" s="9"/>
      <c r="I1992" s="12"/>
      <c r="J1992" s="5" t="e">
        <f>SUM(SUMIFS(#REF!,#REF!,Planning[[#This Row],[Tipo de Tarea y especialidad]],#REF!,Planning[[#This Row],[Proyectos Reiwa]]),SUMIFS(#REF!,#REF!,Planning[[#This Row],[Tipo de Tarea y especialidad]],#REF!,Planning[[#This Row],[Proyectos]]))</f>
        <v>#REF!</v>
      </c>
      <c r="K1992" s="5" t="e">
        <f>Planning[[#This Row],[Horas Planificadas]]+Planning[[#This Row],[Horas ajustadas adicionales]]-Planning[[#This Row],[Horas utilizadas]]</f>
        <v>#REF!</v>
      </c>
      <c r="L1992" s="7"/>
      <c r="M1992" s="19" t="e">
        <f>Planning[[#This Row],[Saldo]]-Planning[[#This Row],[Saldo estimado]]</f>
        <v>#REF!</v>
      </c>
      <c r="N1992" s="60" t="e">
        <f>+SUMIFS(#REF!,#REF!,Planning[[#This Row],[Proyectos]],#REF!,Planning[[#This Row],[Tipo de Tarea y especialidad]])</f>
        <v>#REF!</v>
      </c>
      <c r="O1992" s="19">
        <f t="shared" si="62"/>
        <v>10</v>
      </c>
      <c r="P1992" s="19">
        <f t="shared" si="63"/>
        <v>2024</v>
      </c>
      <c r="Q19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92" s="19" t="str">
        <f>TEXT(Planning[[#This Row],[Mes]]*29,"mmmm")</f>
        <v>October</v>
      </c>
      <c r="S19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92" s="193"/>
      <c r="U1992" s="43">
        <f>IF(Planning[[#This Row],[Horas Planificadas]]&lt;&gt;0,+K1992/Planning[[#This Row],[Horas Planificadas]],0)</f>
        <v>0</v>
      </c>
      <c r="V1992" s="43">
        <f>IF(Planning[[#This Row],[Horas Planificadas]]&lt;&gt;0,Planning[[#This Row],[Horas utilizadas]]/Planning[[#This Row],[Horas Planificadas]],0)</f>
        <v>0</v>
      </c>
      <c r="W1992" s="44">
        <f>Planning[[#This Row],[Horas Planificadas]]+Planning[[#This Row],[Horas ajustadas adicionales]]</f>
        <v>0</v>
      </c>
      <c r="X1992" s="142"/>
    </row>
    <row r="1993" spans="1:24" x14ac:dyDescent="0.2">
      <c r="A1993" s="7" t="s">
        <v>117</v>
      </c>
      <c r="B1993" s="7" t="s">
        <v>118</v>
      </c>
      <c r="C1993" s="3"/>
      <c r="D1993" s="3" t="s">
        <v>445</v>
      </c>
      <c r="E1993" s="4"/>
      <c r="F1993" s="3" t="s">
        <v>128</v>
      </c>
      <c r="G1993" s="9"/>
      <c r="H1993" s="9"/>
      <c r="I1993" s="12"/>
      <c r="J1993" s="5" t="e">
        <f>SUM(SUMIFS(#REF!,#REF!,Planning[[#This Row],[Tipo de Tarea y especialidad]],#REF!,Planning[[#This Row],[Proyectos Reiwa]]),SUMIFS(#REF!,#REF!,Planning[[#This Row],[Tipo de Tarea y especialidad]],#REF!,Planning[[#This Row],[Proyectos]]))</f>
        <v>#REF!</v>
      </c>
      <c r="K1993" s="5" t="e">
        <f>Planning[[#This Row],[Horas Planificadas]]+Planning[[#This Row],[Horas ajustadas adicionales]]-Planning[[#This Row],[Horas utilizadas]]</f>
        <v>#REF!</v>
      </c>
      <c r="L1993" s="7"/>
      <c r="M1993" s="19" t="e">
        <f>Planning[[#This Row],[Saldo]]-Planning[[#This Row],[Saldo estimado]]</f>
        <v>#REF!</v>
      </c>
      <c r="N1993" s="60" t="e">
        <f>+SUMIFS(#REF!,#REF!,Planning[[#This Row],[Proyectos]],#REF!,Planning[[#This Row],[Tipo de Tarea y especialidad]])</f>
        <v>#REF!</v>
      </c>
      <c r="O1993" s="19">
        <f t="shared" si="62"/>
        <v>10</v>
      </c>
      <c r="P1993" s="19">
        <f t="shared" si="63"/>
        <v>2024</v>
      </c>
      <c r="Q19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93" s="19" t="str">
        <f>TEXT(Planning[[#This Row],[Mes]]*29,"mmmm")</f>
        <v>October</v>
      </c>
      <c r="S19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93" s="193"/>
      <c r="U1993" s="43">
        <f>IF(Planning[[#This Row],[Horas Planificadas]]&lt;&gt;0,+K1993/Planning[[#This Row],[Horas Planificadas]],0)</f>
        <v>0</v>
      </c>
      <c r="V1993" s="43">
        <f>IF(Planning[[#This Row],[Horas Planificadas]]&lt;&gt;0,Planning[[#This Row],[Horas utilizadas]]/Planning[[#This Row],[Horas Planificadas]],0)</f>
        <v>0</v>
      </c>
      <c r="W1993" s="44">
        <f>Planning[[#This Row],[Horas Planificadas]]+Planning[[#This Row],[Horas ajustadas adicionales]]</f>
        <v>0</v>
      </c>
      <c r="X1993" s="142"/>
    </row>
    <row r="1994" spans="1:24" x14ac:dyDescent="0.2">
      <c r="A1994" s="7" t="s">
        <v>117</v>
      </c>
      <c r="B1994" s="7" t="s">
        <v>118</v>
      </c>
      <c r="C1994" s="3"/>
      <c r="D1994" s="3" t="s">
        <v>445</v>
      </c>
      <c r="E1994" s="4" t="s">
        <v>31</v>
      </c>
      <c r="F1994" s="3" t="s">
        <v>31</v>
      </c>
      <c r="G1994" s="9">
        <v>54</v>
      </c>
      <c r="H1994" s="17">
        <v>54</v>
      </c>
      <c r="I1994" s="18"/>
      <c r="J1994" s="14" t="e">
        <f>+SUMIFS(#REF!,#REF!,Planning[[#This Row],[Tarifa]],#REF!,Planning[[#This Row],[Proyectos]])</f>
        <v>#REF!</v>
      </c>
      <c r="K1994" s="14" t="e">
        <f>Planning[[#This Row],[Horas Planificadas]]+Planning[[#This Row],[Horas ajustadas adicionales]]-Planning[[#This Row],[Horas utilizadas]]</f>
        <v>#REF!</v>
      </c>
      <c r="L1994" s="15"/>
      <c r="M1994" s="16" t="e">
        <f>Planning[[#This Row],[Saldo]]-Planning[[#This Row],[Saldo estimado]]</f>
        <v>#REF!</v>
      </c>
      <c r="N1994" s="60" t="e">
        <f>+SUMIFS(#REF!,#REF!,Planning[[#This Row],[Proyectos]],#REF!,Planning[[#This Row],[Tipo de Tarea y especialidad]])</f>
        <v>#REF!</v>
      </c>
      <c r="O1994" s="16">
        <f t="shared" si="62"/>
        <v>10</v>
      </c>
      <c r="P1994" s="16">
        <f t="shared" si="63"/>
        <v>2024</v>
      </c>
      <c r="Q1994" s="16" t="e">
        <f>+SUMIFS(#REF!,#REF!,Planning[[#This Row],[Tarifa]],#REF!,Planning[[#This Row],[Proyectos]],#REF!,Planning[[#This Row],[Mes]],#REF!,Planning[[#This Row],[Año]])</f>
        <v>#REF!</v>
      </c>
      <c r="R1994" s="16" t="str">
        <f>TEXT(Planning[[#This Row],[Mes]]*29,"mmmm")</f>
        <v>October</v>
      </c>
      <c r="S19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94" s="193"/>
      <c r="U1994" s="43" t="e">
        <f>IF(Planning[[#This Row],[Horas Planificadas]]&lt;&gt;0,+K1994/Planning[[#This Row],[Horas Planificadas]],0)</f>
        <v>#REF!</v>
      </c>
      <c r="V1994" s="43" t="e">
        <f>IF(Planning[[#This Row],[Horas Planificadas]]&lt;&gt;0,Planning[[#This Row],[Horas utilizadas]]/Planning[[#This Row],[Horas Planificadas]],0)</f>
        <v>#REF!</v>
      </c>
      <c r="W1994" s="44">
        <f>Planning[[#This Row],[Horas Planificadas]]+Planning[[#This Row],[Horas ajustadas adicionales]]</f>
        <v>54</v>
      </c>
      <c r="X1994" s="142"/>
    </row>
    <row r="1995" spans="1:24" ht="22.5" x14ac:dyDescent="0.2">
      <c r="A1995" s="7" t="s">
        <v>117</v>
      </c>
      <c r="B1995" s="7" t="s">
        <v>118</v>
      </c>
      <c r="C1995" s="3"/>
      <c r="D1995" s="3" t="s">
        <v>445</v>
      </c>
      <c r="E1995" s="4" t="s">
        <v>32</v>
      </c>
      <c r="F1995" s="3"/>
      <c r="G1995" s="9">
        <v>68</v>
      </c>
      <c r="H1995" s="14">
        <f>SUM(H1996:H1998)</f>
        <v>68</v>
      </c>
      <c r="I1995" s="14"/>
      <c r="J1995" s="14" t="e">
        <f>SUM(J1996:J1998)</f>
        <v>#REF!</v>
      </c>
      <c r="K1995" s="15" t="e">
        <f>SUM(K1996:K1998)</f>
        <v>#REF!</v>
      </c>
      <c r="L1995" s="15">
        <f>SUM(L1996:L1998)</f>
        <v>28</v>
      </c>
      <c r="M1995" s="16" t="e">
        <f>SUM(M1996:M1998)</f>
        <v>#REF!</v>
      </c>
      <c r="N1995" s="60" t="e">
        <f>+SUMIFS(#REF!,#REF!,Planning[[#This Row],[Proyectos]],#REF!,Planning[[#This Row],[Tipo de Tarea y especialidad]])</f>
        <v>#REF!</v>
      </c>
      <c r="O1995" s="16">
        <f t="shared" si="62"/>
        <v>10</v>
      </c>
      <c r="P1995" s="16">
        <f t="shared" si="63"/>
        <v>2024</v>
      </c>
      <c r="Q1995" s="16" t="e">
        <f>SUM(Q1996:Q1998)</f>
        <v>#REF!</v>
      </c>
      <c r="R1995" s="16" t="str">
        <f>TEXT(Planning[[#This Row],[Mes]]*29,"mmmm")</f>
        <v>October</v>
      </c>
      <c r="S19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95" s="193"/>
      <c r="U1995" s="43" t="e">
        <f>IF(Planning[[#This Row],[Horas Planificadas]]&lt;&gt;0,+K1995/Planning[[#This Row],[Horas Planificadas]],0)</f>
        <v>#REF!</v>
      </c>
      <c r="V1995" s="43" t="e">
        <f>IF(Planning[[#This Row],[Horas Planificadas]]&lt;&gt;0,Planning[[#This Row],[Horas utilizadas]]/Planning[[#This Row],[Horas Planificadas]],0)</f>
        <v>#REF!</v>
      </c>
      <c r="W1995" s="44">
        <f>Planning[[#This Row],[Horas Planificadas]]+Planning[[#This Row],[Horas ajustadas adicionales]]</f>
        <v>68</v>
      </c>
      <c r="X1995" s="142"/>
    </row>
    <row r="1996" spans="1:24" x14ac:dyDescent="0.2">
      <c r="A1996" s="7" t="s">
        <v>117</v>
      </c>
      <c r="B1996" s="7" t="s">
        <v>118</v>
      </c>
      <c r="C1996" s="3"/>
      <c r="D1996" s="3" t="s">
        <v>445</v>
      </c>
      <c r="E1996" s="4"/>
      <c r="F1996" s="3" t="s">
        <v>129</v>
      </c>
      <c r="G1996" s="9"/>
      <c r="H1996" s="9">
        <v>68</v>
      </c>
      <c r="I1996" s="12"/>
      <c r="J1996" s="5" t="e">
        <f>SUM(SUMIFS(#REF!,#REF!,Planning[[#This Row],[Tipo de Tarea y especialidad]],#REF!,Planning[[#This Row],[Proyectos Reiwa]]),SUMIFS(#REF!,#REF!,Planning[[#This Row],[Tipo de Tarea y especialidad]],#REF!,Planning[[#This Row],[Proyectos]]))</f>
        <v>#REF!</v>
      </c>
      <c r="K1996" s="5" t="e">
        <f>Planning[[#This Row],[Horas Planificadas]]+Planning[[#This Row],[Horas ajustadas adicionales]]-Planning[[#This Row],[Horas utilizadas]]</f>
        <v>#REF!</v>
      </c>
      <c r="L1996" s="7">
        <v>28</v>
      </c>
      <c r="M1996" s="19" t="e">
        <f>Planning[[#This Row],[Saldo]]-Planning[[#This Row],[Saldo estimado]]</f>
        <v>#REF!</v>
      </c>
      <c r="N1996" s="60" t="e">
        <f>+SUMIFS(#REF!,#REF!,Planning[[#This Row],[Proyectos]],#REF!,Planning[[#This Row],[Tipo de Tarea y especialidad]])</f>
        <v>#REF!</v>
      </c>
      <c r="O1996" s="19">
        <f t="shared" si="62"/>
        <v>10</v>
      </c>
      <c r="P1996" s="19">
        <f t="shared" si="63"/>
        <v>2024</v>
      </c>
      <c r="Q19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96" s="19" t="str">
        <f>TEXT(Planning[[#This Row],[Mes]]*29,"mmmm")</f>
        <v>October</v>
      </c>
      <c r="S19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96" s="193"/>
      <c r="U1996" s="43" t="e">
        <f>IF(Planning[[#This Row],[Horas Planificadas]]&lt;&gt;0,+K1996/Planning[[#This Row],[Horas Planificadas]],0)</f>
        <v>#REF!</v>
      </c>
      <c r="V1996" s="43" t="e">
        <f>IF(Planning[[#This Row],[Horas Planificadas]]&lt;&gt;0,Planning[[#This Row],[Horas utilizadas]]/Planning[[#This Row],[Horas Planificadas]],0)</f>
        <v>#REF!</v>
      </c>
      <c r="W1996" s="44">
        <f>Planning[[#This Row],[Horas Planificadas]]+Planning[[#This Row],[Horas ajustadas adicionales]]</f>
        <v>68</v>
      </c>
      <c r="X1996" s="142"/>
    </row>
    <row r="1997" spans="1:24" x14ac:dyDescent="0.2">
      <c r="A1997" s="7" t="s">
        <v>117</v>
      </c>
      <c r="B1997" s="7" t="s">
        <v>118</v>
      </c>
      <c r="C1997" s="3"/>
      <c r="D1997" s="3" t="s">
        <v>445</v>
      </c>
      <c r="E1997" s="4"/>
      <c r="F1997" s="3" t="s">
        <v>130</v>
      </c>
      <c r="G1997" s="9"/>
      <c r="H1997" s="9"/>
      <c r="I1997" s="12"/>
      <c r="J1997" s="5" t="e">
        <f>SUM(SUMIFS(#REF!,#REF!,Planning[[#This Row],[Tipo de Tarea y especialidad]],#REF!,Planning[[#This Row],[Proyectos Reiwa]]),SUMIFS(#REF!,#REF!,Planning[[#This Row],[Tipo de Tarea y especialidad]],#REF!,Planning[[#This Row],[Proyectos]]))</f>
        <v>#REF!</v>
      </c>
      <c r="K1997" s="5" t="e">
        <f>Planning[[#This Row],[Horas Planificadas]]+Planning[[#This Row],[Horas ajustadas adicionales]]-Planning[[#This Row],[Horas utilizadas]]</f>
        <v>#REF!</v>
      </c>
      <c r="L1997" s="7"/>
      <c r="M1997" s="19" t="e">
        <f>Planning[[#This Row],[Saldo]]-Planning[[#This Row],[Saldo estimado]]</f>
        <v>#REF!</v>
      </c>
      <c r="N1997" s="60" t="e">
        <f>+SUMIFS(#REF!,#REF!,Planning[[#This Row],[Proyectos]],#REF!,Planning[[#This Row],[Tipo de Tarea y especialidad]])</f>
        <v>#REF!</v>
      </c>
      <c r="O1997" s="19">
        <f t="shared" si="62"/>
        <v>10</v>
      </c>
      <c r="P1997" s="19">
        <f t="shared" si="63"/>
        <v>2024</v>
      </c>
      <c r="Q19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97" s="19" t="str">
        <f>TEXT(Planning[[#This Row],[Mes]]*29,"mmmm")</f>
        <v>October</v>
      </c>
      <c r="S19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97" s="193"/>
      <c r="U1997" s="43">
        <f>IF(Planning[[#This Row],[Horas Planificadas]]&lt;&gt;0,+K1997/Planning[[#This Row],[Horas Planificadas]],0)</f>
        <v>0</v>
      </c>
      <c r="V1997" s="43">
        <f>IF(Planning[[#This Row],[Horas Planificadas]]&lt;&gt;0,Planning[[#This Row],[Horas utilizadas]]/Planning[[#This Row],[Horas Planificadas]],0)</f>
        <v>0</v>
      </c>
      <c r="W1997" s="44">
        <f>Planning[[#This Row],[Horas Planificadas]]+Planning[[#This Row],[Horas ajustadas adicionales]]</f>
        <v>0</v>
      </c>
      <c r="X1997" s="142"/>
    </row>
    <row r="1998" spans="1:24" x14ac:dyDescent="0.2">
      <c r="A1998" s="7" t="s">
        <v>117</v>
      </c>
      <c r="B1998" s="7" t="s">
        <v>118</v>
      </c>
      <c r="C1998" s="3"/>
      <c r="D1998" s="3" t="s">
        <v>445</v>
      </c>
      <c r="E1998" s="4"/>
      <c r="F1998" s="3" t="s">
        <v>131</v>
      </c>
      <c r="G1998" s="9"/>
      <c r="H1998" s="9"/>
      <c r="I1998" s="12"/>
      <c r="J1998" s="5" t="e">
        <f>SUM(SUMIFS(#REF!,#REF!,Planning[[#This Row],[Tipo de Tarea y especialidad]],#REF!,Planning[[#This Row],[Proyectos Reiwa]]),SUMIFS(#REF!,#REF!,Planning[[#This Row],[Tipo de Tarea y especialidad]],#REF!,Planning[[#This Row],[Proyectos]]))</f>
        <v>#REF!</v>
      </c>
      <c r="K1998" s="5" t="e">
        <f>Planning[[#This Row],[Horas Planificadas]]+Planning[[#This Row],[Horas ajustadas adicionales]]-Planning[[#This Row],[Horas utilizadas]]</f>
        <v>#REF!</v>
      </c>
      <c r="L1998" s="7"/>
      <c r="M1998" s="19" t="e">
        <f>Planning[[#This Row],[Saldo]]-Planning[[#This Row],[Saldo estimado]]</f>
        <v>#REF!</v>
      </c>
      <c r="N1998" s="60" t="e">
        <f>+SUMIFS(#REF!,#REF!,Planning[[#This Row],[Proyectos]],#REF!,Planning[[#This Row],[Tipo de Tarea y especialidad]])</f>
        <v>#REF!</v>
      </c>
      <c r="O1998" s="19">
        <f t="shared" si="62"/>
        <v>10</v>
      </c>
      <c r="P1998" s="19">
        <f t="shared" si="63"/>
        <v>2024</v>
      </c>
      <c r="Q19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1998" s="19" t="str">
        <f>TEXT(Planning[[#This Row],[Mes]]*29,"mmmm")</f>
        <v>October</v>
      </c>
      <c r="S19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98" s="193"/>
      <c r="U1998" s="43">
        <f>IF(Planning[[#This Row],[Horas Planificadas]]&lt;&gt;0,+K1998/Planning[[#This Row],[Horas Planificadas]],0)</f>
        <v>0</v>
      </c>
      <c r="V1998" s="43">
        <f>IF(Planning[[#This Row],[Horas Planificadas]]&lt;&gt;0,Planning[[#This Row],[Horas utilizadas]]/Planning[[#This Row],[Horas Planificadas]],0)</f>
        <v>0</v>
      </c>
      <c r="W1998" s="44">
        <f>Planning[[#This Row],[Horas Planificadas]]+Planning[[#This Row],[Horas ajustadas adicionales]]</f>
        <v>0</v>
      </c>
      <c r="X1998" s="142"/>
    </row>
    <row r="1999" spans="1:24" ht="22.5" x14ac:dyDescent="0.2">
      <c r="A1999" s="7" t="s">
        <v>117</v>
      </c>
      <c r="B1999" s="7" t="s">
        <v>205</v>
      </c>
      <c r="C1999" s="3"/>
      <c r="D1999" s="3" t="s">
        <v>447</v>
      </c>
      <c r="E1999" s="33" t="s">
        <v>28</v>
      </c>
      <c r="F1999" s="36"/>
      <c r="G1999" s="7">
        <v>212</v>
      </c>
      <c r="H1999" s="24">
        <f>SUM(H2000:H2001)</f>
        <v>212</v>
      </c>
      <c r="I1999" s="14"/>
      <c r="J1999" s="14" t="e">
        <f>SUM(J2000:J2001)</f>
        <v>#REF!</v>
      </c>
      <c r="K1999" s="18" t="e">
        <f>SUM(K2000:K2001)</f>
        <v>#REF!</v>
      </c>
      <c r="L1999" s="15">
        <f>SUM(L2000:L2001)</f>
        <v>0</v>
      </c>
      <c r="M1999" s="28" t="e">
        <f>SUM(M2000:M2001)</f>
        <v>#REF!</v>
      </c>
      <c r="N1999" s="61" t="e">
        <f>+SUMIFS(#REF!,#REF!,Planning[[#This Row],[Proyectos]],#REF!,Planning[[#This Row],[Tipo de Tarea y especialidad]])</f>
        <v>#REF!</v>
      </c>
      <c r="O1999" s="28">
        <f t="shared" si="62"/>
        <v>10</v>
      </c>
      <c r="P1999" s="28">
        <f t="shared" si="63"/>
        <v>2024</v>
      </c>
      <c r="Q1999" s="28" t="e">
        <f>SUM(Q2000:Q2001)</f>
        <v>#REF!</v>
      </c>
      <c r="R1999" s="28" t="str">
        <f>TEXT(Planning[[#This Row],[Mes]]*29,"mmmm")</f>
        <v>October</v>
      </c>
      <c r="S19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1999" s="192" t="s">
        <v>448</v>
      </c>
      <c r="U1999" s="43" t="e">
        <f>IF(Planning[[#This Row],[Horas Planificadas]]&lt;&gt;0,+K1999/Planning[[#This Row],[Horas Planificadas]],0)</f>
        <v>#REF!</v>
      </c>
      <c r="V1999" s="43" t="e">
        <f>IF(Planning[[#This Row],[Horas Planificadas]]&lt;&gt;0,Planning[[#This Row],[Horas utilizadas]]/Planning[[#This Row],[Horas Planificadas]],0)</f>
        <v>#REF!</v>
      </c>
      <c r="W1999" s="44">
        <f>Planning[[#This Row],[Horas Planificadas]]+Planning[[#This Row],[Horas ajustadas adicionales]]</f>
        <v>212</v>
      </c>
      <c r="X1999" s="142"/>
    </row>
    <row r="2000" spans="1:24" x14ac:dyDescent="0.2">
      <c r="A2000" s="7" t="s">
        <v>117</v>
      </c>
      <c r="B2000" s="7" t="s">
        <v>205</v>
      </c>
      <c r="C2000" s="3"/>
      <c r="D2000" s="3" t="s">
        <v>447</v>
      </c>
      <c r="E2000" s="33"/>
      <c r="F2000" s="36" t="s">
        <v>120</v>
      </c>
      <c r="G2000" s="7"/>
      <c r="H2000" s="7">
        <v>140</v>
      </c>
      <c r="I2000" s="12"/>
      <c r="J2000" s="5" t="e">
        <f>SUM(SUMIFS(#REF!,#REF!,Planning[[#This Row],[Tipo de Tarea y especialidad]],#REF!,Planning[[#This Row],[Proyectos Reiwa]]),SUMIFS(#REF!,#REF!,Planning[[#This Row],[Tipo de Tarea y especialidad]],#REF!,Planning[[#This Row],[Proyectos]]))</f>
        <v>#REF!</v>
      </c>
      <c r="K2000" s="5" t="e">
        <f>Planning[[#This Row],[Horas Planificadas]]+Planning[[#This Row],[Horas ajustadas adicionales]]-Planning[[#This Row],[Horas utilizadas]]</f>
        <v>#REF!</v>
      </c>
      <c r="L2000" s="7">
        <v>0</v>
      </c>
      <c r="M2000" s="19" t="e">
        <f>Planning[[#This Row],[Saldo]]-Planning[[#This Row],[Saldo estimado]]</f>
        <v>#REF!</v>
      </c>
      <c r="N2000" s="60" t="e">
        <f>+SUMIFS(#REF!,#REF!,Planning[[#This Row],[Proyectos]],#REF!,Planning[[#This Row],[Tipo de Tarea y especialidad]])</f>
        <v>#REF!</v>
      </c>
      <c r="O2000" s="19">
        <f t="shared" si="62"/>
        <v>10</v>
      </c>
      <c r="P2000" s="19">
        <f t="shared" si="63"/>
        <v>2024</v>
      </c>
      <c r="Q20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00" s="19" t="str">
        <f>TEXT(Planning[[#This Row],[Mes]]*29,"mmmm")</f>
        <v>October</v>
      </c>
      <c r="S20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00" s="193"/>
      <c r="U2000" s="43" t="e">
        <f>IF(Planning[[#This Row],[Horas Planificadas]]&lt;&gt;0,+K2000/Planning[[#This Row],[Horas Planificadas]],0)</f>
        <v>#REF!</v>
      </c>
      <c r="V2000" s="43" t="e">
        <f>IF(Planning[[#This Row],[Horas Planificadas]]&lt;&gt;0,Planning[[#This Row],[Horas utilizadas]]/Planning[[#This Row],[Horas Planificadas]],0)</f>
        <v>#REF!</v>
      </c>
      <c r="W2000" s="44">
        <f>Planning[[#This Row],[Horas Planificadas]]+Planning[[#This Row],[Horas ajustadas adicionales]]</f>
        <v>140</v>
      </c>
      <c r="X2000" s="142"/>
    </row>
    <row r="2001" spans="1:24" x14ac:dyDescent="0.2">
      <c r="A2001" s="7" t="s">
        <v>117</v>
      </c>
      <c r="B2001" s="7" t="s">
        <v>205</v>
      </c>
      <c r="C2001" s="3"/>
      <c r="D2001" s="3" t="s">
        <v>447</v>
      </c>
      <c r="E2001" s="33"/>
      <c r="F2001" s="36" t="s">
        <v>121</v>
      </c>
      <c r="G2001" s="7"/>
      <c r="H2001" s="7">
        <v>72</v>
      </c>
      <c r="I2001" s="12"/>
      <c r="J2001" s="5" t="e">
        <f>SUM(SUMIFS(#REF!,#REF!,Planning[[#This Row],[Tipo de Tarea y especialidad]],#REF!,Planning[[#This Row],[Proyectos Reiwa]]),SUMIFS(#REF!,#REF!,Planning[[#This Row],[Tipo de Tarea y especialidad]],#REF!,Planning[[#This Row],[Proyectos]]))</f>
        <v>#REF!</v>
      </c>
      <c r="K2001" s="5" t="e">
        <f>Planning[[#This Row],[Horas Planificadas]]+Planning[[#This Row],[Horas ajustadas adicionales]]-Planning[[#This Row],[Horas utilizadas]]</f>
        <v>#REF!</v>
      </c>
      <c r="L2001" s="7">
        <v>0</v>
      </c>
      <c r="M2001" s="19" t="e">
        <f>Planning[[#This Row],[Saldo]]-Planning[[#This Row],[Saldo estimado]]</f>
        <v>#REF!</v>
      </c>
      <c r="N2001" s="60" t="e">
        <f>+SUMIFS(#REF!,#REF!,Planning[[#This Row],[Proyectos]],#REF!,Planning[[#This Row],[Tipo de Tarea y especialidad]])</f>
        <v>#REF!</v>
      </c>
      <c r="O2001" s="19">
        <f t="shared" si="62"/>
        <v>10</v>
      </c>
      <c r="P2001" s="19">
        <f t="shared" si="63"/>
        <v>2024</v>
      </c>
      <c r="Q20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01" s="19" t="str">
        <f>TEXT(Planning[[#This Row],[Mes]]*29,"mmmm")</f>
        <v>October</v>
      </c>
      <c r="S20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01" s="193"/>
      <c r="U2001" s="43" t="e">
        <f>IF(Planning[[#This Row],[Horas Planificadas]]&lt;&gt;0,+K2001/Planning[[#This Row],[Horas Planificadas]],0)</f>
        <v>#REF!</v>
      </c>
      <c r="V2001" s="43" t="e">
        <f>IF(Planning[[#This Row],[Horas Planificadas]]&lt;&gt;0,Planning[[#This Row],[Horas utilizadas]]/Planning[[#This Row],[Horas Planificadas]],0)</f>
        <v>#REF!</v>
      </c>
      <c r="W2001" s="44">
        <f>Planning[[#This Row],[Horas Planificadas]]+Planning[[#This Row],[Horas ajustadas adicionales]]</f>
        <v>72</v>
      </c>
      <c r="X2001" s="142"/>
    </row>
    <row r="2002" spans="1:24" x14ac:dyDescent="0.2">
      <c r="A2002" s="7" t="s">
        <v>117</v>
      </c>
      <c r="B2002" s="7" t="s">
        <v>205</v>
      </c>
      <c r="C2002" s="3"/>
      <c r="D2002" s="3" t="s">
        <v>447</v>
      </c>
      <c r="E2002" s="33" t="s">
        <v>30</v>
      </c>
      <c r="F2002" s="36"/>
      <c r="G2002" s="7">
        <v>315</v>
      </c>
      <c r="H2002" s="24">
        <f>SUM(H2003:H2009)</f>
        <v>315</v>
      </c>
      <c r="I2002" s="14"/>
      <c r="J2002" s="14" t="e">
        <f>SUM(J2003:J2009)</f>
        <v>#REF!</v>
      </c>
      <c r="K2002" s="18" t="e">
        <f>SUM(K2003:K2009)</f>
        <v>#REF!</v>
      </c>
      <c r="L2002" s="15">
        <f>SUM(L2003:L2009)</f>
        <v>0</v>
      </c>
      <c r="M2002" s="16" t="e">
        <f>SUM(M2003:M2009)</f>
        <v>#REF!</v>
      </c>
      <c r="N2002" s="60" t="e">
        <f>+SUMIFS(#REF!,#REF!,Planning[[#This Row],[Proyectos]],#REF!,Planning[[#This Row],[Tipo de Tarea y especialidad]])</f>
        <v>#REF!</v>
      </c>
      <c r="O2002" s="16">
        <f t="shared" si="62"/>
        <v>10</v>
      </c>
      <c r="P2002" s="16">
        <f t="shared" si="63"/>
        <v>2024</v>
      </c>
      <c r="Q2002" s="16" t="e">
        <f>SUM(Q2003:Q2009)</f>
        <v>#REF!</v>
      </c>
      <c r="R2002" s="16" t="str">
        <f>TEXT(Planning[[#This Row],[Mes]]*29,"mmmm")</f>
        <v>October</v>
      </c>
      <c r="S20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02" s="193"/>
      <c r="U2002" s="43" t="e">
        <f>IF(Planning[[#This Row],[Horas Planificadas]]&lt;&gt;0,+K2002/Planning[[#This Row],[Horas Planificadas]],0)</f>
        <v>#REF!</v>
      </c>
      <c r="V2002" s="43" t="e">
        <f>IF(Planning[[#This Row],[Horas Planificadas]]&lt;&gt;0,Planning[[#This Row],[Horas utilizadas]]/Planning[[#This Row],[Horas Planificadas]],0)</f>
        <v>#REF!</v>
      </c>
      <c r="W2002" s="44">
        <f>Planning[[#This Row],[Horas Planificadas]]+Planning[[#This Row],[Horas ajustadas adicionales]]</f>
        <v>315</v>
      </c>
      <c r="X2002" s="142"/>
    </row>
    <row r="2003" spans="1:24" x14ac:dyDescent="0.2">
      <c r="A2003" s="7" t="s">
        <v>117</v>
      </c>
      <c r="B2003" s="7" t="s">
        <v>205</v>
      </c>
      <c r="C2003" s="3"/>
      <c r="D2003" s="3" t="s">
        <v>447</v>
      </c>
      <c r="E2003" s="4"/>
      <c r="F2003" s="3" t="s">
        <v>122</v>
      </c>
      <c r="G2003" s="9"/>
      <c r="H2003" s="12"/>
      <c r="I2003" s="12"/>
      <c r="J2003" s="5" t="e">
        <f>SUM(SUMIFS(#REF!,#REF!,Planning[[#This Row],[Tipo de Tarea y especialidad]],#REF!,Planning[[#This Row],[Proyectos Reiwa]]),SUMIFS(#REF!,#REF!,Planning[[#This Row],[Tipo de Tarea y especialidad]],#REF!,Planning[[#This Row],[Proyectos]]))</f>
        <v>#REF!</v>
      </c>
      <c r="K2003" s="27" t="e">
        <f>Planning[[#This Row],[Horas Planificadas]]+Planning[[#This Row],[Horas ajustadas adicionales]]-Planning[[#This Row],[Horas utilizadas]]</f>
        <v>#REF!</v>
      </c>
      <c r="L2003" s="7"/>
      <c r="M2003" s="34" t="e">
        <f>Planning[[#This Row],[Saldo]]-Planning[[#This Row],[Saldo estimado]]</f>
        <v>#REF!</v>
      </c>
      <c r="N2003" s="62" t="e">
        <f>+SUMIFS(#REF!,#REF!,Planning[[#This Row],[Proyectos]],#REF!,Planning[[#This Row],[Tipo de Tarea y especialidad]])</f>
        <v>#REF!</v>
      </c>
      <c r="O2003" s="34">
        <f t="shared" si="62"/>
        <v>10</v>
      </c>
      <c r="P2003" s="34">
        <f t="shared" si="63"/>
        <v>2024</v>
      </c>
      <c r="Q20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03" s="19" t="str">
        <f>TEXT(Planning[[#This Row],[Mes]]*29,"mmmm")</f>
        <v>October</v>
      </c>
      <c r="S20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03" s="193"/>
      <c r="U2003" s="43">
        <f>IF(Planning[[#This Row],[Horas Planificadas]]&lt;&gt;0,+K2003/Planning[[#This Row],[Horas Planificadas]],0)</f>
        <v>0</v>
      </c>
      <c r="V2003" s="43">
        <f>IF(Planning[[#This Row],[Horas Planificadas]]&lt;&gt;0,Planning[[#This Row],[Horas utilizadas]]/Planning[[#This Row],[Horas Planificadas]],0)</f>
        <v>0</v>
      </c>
      <c r="W2003" s="44">
        <f>Planning[[#This Row],[Horas Planificadas]]+Planning[[#This Row],[Horas ajustadas adicionales]]</f>
        <v>0</v>
      </c>
      <c r="X2003" s="142"/>
    </row>
    <row r="2004" spans="1:24" x14ac:dyDescent="0.2">
      <c r="A2004" s="7" t="s">
        <v>117</v>
      </c>
      <c r="B2004" s="7" t="s">
        <v>205</v>
      </c>
      <c r="C2004" s="3"/>
      <c r="D2004" s="3" t="s">
        <v>447</v>
      </c>
      <c r="E2004" s="4"/>
      <c r="F2004" s="3" t="s">
        <v>123</v>
      </c>
      <c r="G2004" s="9"/>
      <c r="H2004" s="9">
        <v>153</v>
      </c>
      <c r="I2004" s="12"/>
      <c r="J2004" s="5" t="e">
        <f>SUM(SUMIFS(#REF!,#REF!,Planning[[#This Row],[Tipo de Tarea y especialidad]],#REF!,Planning[[#This Row],[Proyectos Reiwa]]),SUMIFS(#REF!,#REF!,Planning[[#This Row],[Tipo de Tarea y especialidad]],#REF!,Planning[[#This Row],[Proyectos]]))</f>
        <v>#REF!</v>
      </c>
      <c r="K2004" s="5" t="e">
        <f>Planning[[#This Row],[Horas Planificadas]]+Planning[[#This Row],[Horas ajustadas adicionales]]-Planning[[#This Row],[Horas utilizadas]]</f>
        <v>#REF!</v>
      </c>
      <c r="L2004" s="7">
        <v>0</v>
      </c>
      <c r="M2004" s="19" t="e">
        <f>Planning[[#This Row],[Saldo]]-Planning[[#This Row],[Saldo estimado]]</f>
        <v>#REF!</v>
      </c>
      <c r="N2004" s="60" t="e">
        <f>+SUMIFS(#REF!,#REF!,Planning[[#This Row],[Proyectos]],#REF!,Planning[[#This Row],[Tipo de Tarea y especialidad]])</f>
        <v>#REF!</v>
      </c>
      <c r="O2004" s="19">
        <f t="shared" si="62"/>
        <v>10</v>
      </c>
      <c r="P2004" s="19">
        <f t="shared" si="63"/>
        <v>2024</v>
      </c>
      <c r="Q20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04" s="19" t="str">
        <f>TEXT(Planning[[#This Row],[Mes]]*29,"mmmm")</f>
        <v>October</v>
      </c>
      <c r="S20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04" s="193"/>
      <c r="U2004" s="43" t="e">
        <f>IF(Planning[[#This Row],[Horas Planificadas]]&lt;&gt;0,+K2004/Planning[[#This Row],[Horas Planificadas]],0)</f>
        <v>#REF!</v>
      </c>
      <c r="V2004" s="43" t="e">
        <f>IF(Planning[[#This Row],[Horas Planificadas]]&lt;&gt;0,Planning[[#This Row],[Horas utilizadas]]/Planning[[#This Row],[Horas Planificadas]],0)</f>
        <v>#REF!</v>
      </c>
      <c r="W2004" s="44">
        <f>Planning[[#This Row],[Horas Planificadas]]+Planning[[#This Row],[Horas ajustadas adicionales]]</f>
        <v>153</v>
      </c>
      <c r="X2004" s="142"/>
    </row>
    <row r="2005" spans="1:24" x14ac:dyDescent="0.2">
      <c r="A2005" s="7" t="s">
        <v>117</v>
      </c>
      <c r="B2005" s="7" t="s">
        <v>205</v>
      </c>
      <c r="C2005" s="3"/>
      <c r="D2005" s="3" t="s">
        <v>447</v>
      </c>
      <c r="E2005" s="4"/>
      <c r="F2005" s="3" t="s">
        <v>124</v>
      </c>
      <c r="G2005" s="9"/>
      <c r="H2005" s="9"/>
      <c r="I2005" s="12"/>
      <c r="J2005" s="5" t="e">
        <f>SUM(SUMIFS(#REF!,#REF!,Planning[[#This Row],[Tipo de Tarea y especialidad]],#REF!,Planning[[#This Row],[Proyectos Reiwa]]),SUMIFS(#REF!,#REF!,Planning[[#This Row],[Tipo de Tarea y especialidad]],#REF!,Planning[[#This Row],[Proyectos]]))</f>
        <v>#REF!</v>
      </c>
      <c r="K2005" s="5" t="e">
        <f>Planning[[#This Row],[Horas Planificadas]]+Planning[[#This Row],[Horas ajustadas adicionales]]-Planning[[#This Row],[Horas utilizadas]]</f>
        <v>#REF!</v>
      </c>
      <c r="L2005" s="7"/>
      <c r="M2005" s="19" t="e">
        <f>Planning[[#This Row],[Saldo]]-Planning[[#This Row],[Saldo estimado]]</f>
        <v>#REF!</v>
      </c>
      <c r="N2005" s="60" t="e">
        <f>+SUMIFS(#REF!,#REF!,Planning[[#This Row],[Proyectos]],#REF!,Planning[[#This Row],[Tipo de Tarea y especialidad]])</f>
        <v>#REF!</v>
      </c>
      <c r="O2005" s="19">
        <f t="shared" si="62"/>
        <v>10</v>
      </c>
      <c r="P2005" s="19">
        <f t="shared" si="63"/>
        <v>2024</v>
      </c>
      <c r="Q20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05" s="19" t="str">
        <f>TEXT(Planning[[#This Row],[Mes]]*29,"mmmm")</f>
        <v>October</v>
      </c>
      <c r="S20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05" s="193"/>
      <c r="U2005" s="43">
        <f>IF(Planning[[#This Row],[Horas Planificadas]]&lt;&gt;0,+K2005/Planning[[#This Row],[Horas Planificadas]],0)</f>
        <v>0</v>
      </c>
      <c r="V2005" s="43">
        <f>IF(Planning[[#This Row],[Horas Planificadas]]&lt;&gt;0,Planning[[#This Row],[Horas utilizadas]]/Planning[[#This Row],[Horas Planificadas]],0)</f>
        <v>0</v>
      </c>
      <c r="W2005" s="44">
        <f>Planning[[#This Row],[Horas Planificadas]]+Planning[[#This Row],[Horas ajustadas adicionales]]</f>
        <v>0</v>
      </c>
      <c r="X2005" s="142"/>
    </row>
    <row r="2006" spans="1:24" x14ac:dyDescent="0.2">
      <c r="A2006" s="7" t="s">
        <v>117</v>
      </c>
      <c r="B2006" s="7" t="s">
        <v>205</v>
      </c>
      <c r="C2006" s="3"/>
      <c r="D2006" s="3" t="s">
        <v>447</v>
      </c>
      <c r="E2006" s="4"/>
      <c r="F2006" s="3" t="s">
        <v>125</v>
      </c>
      <c r="G2006" s="9"/>
      <c r="H2006" s="12">
        <v>117</v>
      </c>
      <c r="I2006" s="12"/>
      <c r="J2006" s="5" t="e">
        <f>SUM(SUMIFS(#REF!,#REF!,Planning[[#This Row],[Tipo de Tarea y especialidad]],#REF!,Planning[[#This Row],[Proyectos Reiwa]]),SUMIFS(#REF!,#REF!,Planning[[#This Row],[Tipo de Tarea y especialidad]],#REF!,Planning[[#This Row],[Proyectos]]))</f>
        <v>#REF!</v>
      </c>
      <c r="K2006" s="27" t="e">
        <f>Planning[[#This Row],[Horas Planificadas]]+Planning[[#This Row],[Horas ajustadas adicionales]]-Planning[[#This Row],[Horas utilizadas]]</f>
        <v>#REF!</v>
      </c>
      <c r="L2006" s="7">
        <v>0</v>
      </c>
      <c r="M2006" s="19" t="e">
        <f>Planning[[#This Row],[Saldo]]-Planning[[#This Row],[Saldo estimado]]</f>
        <v>#REF!</v>
      </c>
      <c r="N2006" s="60" t="e">
        <f>+SUMIFS(#REF!,#REF!,Planning[[#This Row],[Proyectos]],#REF!,Planning[[#This Row],[Tipo de Tarea y especialidad]])</f>
        <v>#REF!</v>
      </c>
      <c r="O2006" s="19">
        <f t="shared" si="62"/>
        <v>10</v>
      </c>
      <c r="P2006" s="19">
        <f t="shared" si="63"/>
        <v>2024</v>
      </c>
      <c r="Q20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06" s="19" t="str">
        <f>TEXT(Planning[[#This Row],[Mes]]*29,"mmmm")</f>
        <v>October</v>
      </c>
      <c r="S20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06" s="193"/>
      <c r="U2006" s="43" t="e">
        <f>IF(Planning[[#This Row],[Horas Planificadas]]&lt;&gt;0,+K2006/Planning[[#This Row],[Horas Planificadas]],0)</f>
        <v>#REF!</v>
      </c>
      <c r="V2006" s="43" t="e">
        <f>IF(Planning[[#This Row],[Horas Planificadas]]&lt;&gt;0,Planning[[#This Row],[Horas utilizadas]]/Planning[[#This Row],[Horas Planificadas]],0)</f>
        <v>#REF!</v>
      </c>
      <c r="W2006" s="44">
        <f>Planning[[#This Row],[Horas Planificadas]]+Planning[[#This Row],[Horas ajustadas adicionales]]</f>
        <v>117</v>
      </c>
      <c r="X2006" s="142"/>
    </row>
    <row r="2007" spans="1:24" x14ac:dyDescent="0.2">
      <c r="A2007" s="7" t="s">
        <v>117</v>
      </c>
      <c r="B2007" s="7" t="s">
        <v>205</v>
      </c>
      <c r="C2007" s="3"/>
      <c r="D2007" s="3" t="s">
        <v>447</v>
      </c>
      <c r="E2007" s="4"/>
      <c r="F2007" s="3" t="s">
        <v>126</v>
      </c>
      <c r="G2007" s="9"/>
      <c r="H2007" s="9"/>
      <c r="I2007" s="12"/>
      <c r="J2007" s="5" t="e">
        <f>SUM(SUMIFS(#REF!,#REF!,Planning[[#This Row],[Tipo de Tarea y especialidad]],#REF!,Planning[[#This Row],[Proyectos Reiwa]]),SUMIFS(#REF!,#REF!,Planning[[#This Row],[Tipo de Tarea y especialidad]],#REF!,Planning[[#This Row],[Proyectos]]))</f>
        <v>#REF!</v>
      </c>
      <c r="K2007" s="5" t="e">
        <f>Planning[[#This Row],[Horas Planificadas]]+Planning[[#This Row],[Horas ajustadas adicionales]]-Planning[[#This Row],[Horas utilizadas]]</f>
        <v>#REF!</v>
      </c>
      <c r="L2007" s="7">
        <v>0</v>
      </c>
      <c r="M2007" s="19" t="e">
        <f>Planning[[#This Row],[Saldo]]-Planning[[#This Row],[Saldo estimado]]</f>
        <v>#REF!</v>
      </c>
      <c r="N2007" s="60" t="e">
        <f>+SUMIFS(#REF!,#REF!,Planning[[#This Row],[Proyectos]],#REF!,Planning[[#This Row],[Tipo de Tarea y especialidad]])</f>
        <v>#REF!</v>
      </c>
      <c r="O2007" s="19">
        <f t="shared" si="62"/>
        <v>10</v>
      </c>
      <c r="P2007" s="19">
        <f t="shared" si="63"/>
        <v>2024</v>
      </c>
      <c r="Q20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07" s="19" t="str">
        <f>TEXT(Planning[[#This Row],[Mes]]*29,"mmmm")</f>
        <v>October</v>
      </c>
      <c r="S20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07" s="193"/>
      <c r="U2007" s="43">
        <f>IF(Planning[[#This Row],[Horas Planificadas]]&lt;&gt;0,+K2007/Planning[[#This Row],[Horas Planificadas]],0)</f>
        <v>0</v>
      </c>
      <c r="V2007" s="43">
        <f>IF(Planning[[#This Row],[Horas Planificadas]]&lt;&gt;0,Planning[[#This Row],[Horas utilizadas]]/Planning[[#This Row],[Horas Planificadas]],0)</f>
        <v>0</v>
      </c>
      <c r="W2007" s="44">
        <f>Planning[[#This Row],[Horas Planificadas]]+Planning[[#This Row],[Horas ajustadas adicionales]]</f>
        <v>0</v>
      </c>
      <c r="X2007" s="142"/>
    </row>
    <row r="2008" spans="1:24" x14ac:dyDescent="0.2">
      <c r="A2008" s="7" t="s">
        <v>117</v>
      </c>
      <c r="B2008" s="7" t="s">
        <v>205</v>
      </c>
      <c r="C2008" s="3"/>
      <c r="D2008" s="3" t="s">
        <v>447</v>
      </c>
      <c r="E2008" s="4"/>
      <c r="F2008" s="3" t="s">
        <v>127</v>
      </c>
      <c r="G2008" s="9"/>
      <c r="H2008" s="9">
        <v>45</v>
      </c>
      <c r="I2008" s="12"/>
      <c r="J2008" s="5" t="e">
        <f>SUM(SUMIFS(#REF!,#REF!,Planning[[#This Row],[Tipo de Tarea y especialidad]],#REF!,Planning[[#This Row],[Proyectos Reiwa]]),SUMIFS(#REF!,#REF!,Planning[[#This Row],[Tipo de Tarea y especialidad]],#REF!,Planning[[#This Row],[Proyectos]]))</f>
        <v>#REF!</v>
      </c>
      <c r="K2008" s="5" t="e">
        <f>Planning[[#This Row],[Horas Planificadas]]+Planning[[#This Row],[Horas ajustadas adicionales]]-Planning[[#This Row],[Horas utilizadas]]</f>
        <v>#REF!</v>
      </c>
      <c r="L2008" s="7">
        <v>0</v>
      </c>
      <c r="M2008" s="19" t="e">
        <f>Planning[[#This Row],[Saldo]]-Planning[[#This Row],[Saldo estimado]]</f>
        <v>#REF!</v>
      </c>
      <c r="N2008" s="60" t="e">
        <f>+SUMIFS(#REF!,#REF!,Planning[[#This Row],[Proyectos]],#REF!,Planning[[#This Row],[Tipo de Tarea y especialidad]])</f>
        <v>#REF!</v>
      </c>
      <c r="O2008" s="19">
        <f t="shared" si="62"/>
        <v>10</v>
      </c>
      <c r="P2008" s="19">
        <f t="shared" si="63"/>
        <v>2024</v>
      </c>
      <c r="Q20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08" s="19" t="str">
        <f>TEXT(Planning[[#This Row],[Mes]]*29,"mmmm")</f>
        <v>October</v>
      </c>
      <c r="S20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08" s="193"/>
      <c r="U2008" s="43" t="e">
        <f>IF(Planning[[#This Row],[Horas Planificadas]]&lt;&gt;0,+K2008/Planning[[#This Row],[Horas Planificadas]],0)</f>
        <v>#REF!</v>
      </c>
      <c r="V2008" s="43" t="e">
        <f>IF(Planning[[#This Row],[Horas Planificadas]]&lt;&gt;0,Planning[[#This Row],[Horas utilizadas]]/Planning[[#This Row],[Horas Planificadas]],0)</f>
        <v>#REF!</v>
      </c>
      <c r="W2008" s="44">
        <f>Planning[[#This Row],[Horas Planificadas]]+Planning[[#This Row],[Horas ajustadas adicionales]]</f>
        <v>45</v>
      </c>
      <c r="X2008" s="142"/>
    </row>
    <row r="2009" spans="1:24" x14ac:dyDescent="0.2">
      <c r="A2009" s="7" t="s">
        <v>117</v>
      </c>
      <c r="B2009" s="7" t="s">
        <v>205</v>
      </c>
      <c r="C2009" s="3"/>
      <c r="D2009" s="3" t="s">
        <v>447</v>
      </c>
      <c r="E2009" s="4"/>
      <c r="F2009" s="3" t="s">
        <v>128</v>
      </c>
      <c r="G2009" s="9"/>
      <c r="H2009" s="9"/>
      <c r="I2009" s="12"/>
      <c r="J2009" s="5" t="e">
        <f>SUM(SUMIFS(#REF!,#REF!,Planning[[#This Row],[Tipo de Tarea y especialidad]],#REF!,Planning[[#This Row],[Proyectos Reiwa]]),SUMIFS(#REF!,#REF!,Planning[[#This Row],[Tipo de Tarea y especialidad]],#REF!,Planning[[#This Row],[Proyectos]]))</f>
        <v>#REF!</v>
      </c>
      <c r="K2009" s="5" t="e">
        <f>Planning[[#This Row],[Horas Planificadas]]+Planning[[#This Row],[Horas ajustadas adicionales]]-Planning[[#This Row],[Horas utilizadas]]</f>
        <v>#REF!</v>
      </c>
      <c r="L2009" s="7"/>
      <c r="M2009" s="19" t="e">
        <f>Planning[[#This Row],[Saldo]]-Planning[[#This Row],[Saldo estimado]]</f>
        <v>#REF!</v>
      </c>
      <c r="N2009" s="60" t="e">
        <f>+SUMIFS(#REF!,#REF!,Planning[[#This Row],[Proyectos]],#REF!,Planning[[#This Row],[Tipo de Tarea y especialidad]])</f>
        <v>#REF!</v>
      </c>
      <c r="O2009" s="19">
        <f t="shared" si="62"/>
        <v>10</v>
      </c>
      <c r="P2009" s="19">
        <f t="shared" si="63"/>
        <v>2024</v>
      </c>
      <c r="Q20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09" s="19" t="str">
        <f>TEXT(Planning[[#This Row],[Mes]]*29,"mmmm")</f>
        <v>October</v>
      </c>
      <c r="S20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09" s="193"/>
      <c r="U2009" s="43">
        <f>IF(Planning[[#This Row],[Horas Planificadas]]&lt;&gt;0,+K2009/Planning[[#This Row],[Horas Planificadas]],0)</f>
        <v>0</v>
      </c>
      <c r="V2009" s="43">
        <f>IF(Planning[[#This Row],[Horas Planificadas]]&lt;&gt;0,Planning[[#This Row],[Horas utilizadas]]/Planning[[#This Row],[Horas Planificadas]],0)</f>
        <v>0</v>
      </c>
      <c r="W2009" s="44">
        <f>Planning[[#This Row],[Horas Planificadas]]+Planning[[#This Row],[Horas ajustadas adicionales]]</f>
        <v>0</v>
      </c>
      <c r="X2009" s="142"/>
    </row>
    <row r="2010" spans="1:24" x14ac:dyDescent="0.2">
      <c r="A2010" s="7" t="s">
        <v>117</v>
      </c>
      <c r="B2010" s="7" t="s">
        <v>205</v>
      </c>
      <c r="C2010" s="3"/>
      <c r="D2010" s="3" t="s">
        <v>447</v>
      </c>
      <c r="E2010" s="4" t="s">
        <v>31</v>
      </c>
      <c r="F2010" s="3" t="s">
        <v>31</v>
      </c>
      <c r="G2010" s="9">
        <v>136</v>
      </c>
      <c r="H2010" s="17">
        <v>135</v>
      </c>
      <c r="I2010" s="18"/>
      <c r="J2010" s="14" t="e">
        <f>+SUMIFS(#REF!,#REF!,Planning[[#This Row],[Tarifa]],#REF!,Planning[[#This Row],[Proyectos]])</f>
        <v>#REF!</v>
      </c>
      <c r="K2010" s="14" t="e">
        <f>Planning[[#This Row],[Horas Planificadas]]+Planning[[#This Row],[Horas ajustadas adicionales]]-Planning[[#This Row],[Horas utilizadas]]</f>
        <v>#REF!</v>
      </c>
      <c r="L2010" s="15">
        <v>0</v>
      </c>
      <c r="M2010" s="16" t="e">
        <f>Planning[[#This Row],[Saldo]]-Planning[[#This Row],[Saldo estimado]]</f>
        <v>#REF!</v>
      </c>
      <c r="N2010" s="60" t="e">
        <f>+SUMIFS(#REF!,#REF!,Planning[[#This Row],[Proyectos]],#REF!,Planning[[#This Row],[Tipo de Tarea y especialidad]])</f>
        <v>#REF!</v>
      </c>
      <c r="O2010" s="16">
        <f t="shared" si="62"/>
        <v>10</v>
      </c>
      <c r="P2010" s="16">
        <f t="shared" si="63"/>
        <v>2024</v>
      </c>
      <c r="Q2010" s="16" t="e">
        <f>+SUMIFS(#REF!,#REF!,Planning[[#This Row],[Tarifa]],#REF!,Planning[[#This Row],[Proyectos]],#REF!,Planning[[#This Row],[Mes]],#REF!,Planning[[#This Row],[Año]])</f>
        <v>#REF!</v>
      </c>
      <c r="R2010" s="16" t="str">
        <f>TEXT(Planning[[#This Row],[Mes]]*29,"mmmm")</f>
        <v>October</v>
      </c>
      <c r="S20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10" s="193"/>
      <c r="U2010" s="43" t="e">
        <f>IF(Planning[[#This Row],[Horas Planificadas]]&lt;&gt;0,+K2010/Planning[[#This Row],[Horas Planificadas]],0)</f>
        <v>#REF!</v>
      </c>
      <c r="V2010" s="43" t="e">
        <f>IF(Planning[[#This Row],[Horas Planificadas]]&lt;&gt;0,Planning[[#This Row],[Horas utilizadas]]/Planning[[#This Row],[Horas Planificadas]],0)</f>
        <v>#REF!</v>
      </c>
      <c r="W2010" s="44">
        <f>Planning[[#This Row],[Horas Planificadas]]+Planning[[#This Row],[Horas ajustadas adicionales]]</f>
        <v>135</v>
      </c>
      <c r="X2010" s="142"/>
    </row>
    <row r="2011" spans="1:24" ht="22.5" x14ac:dyDescent="0.2">
      <c r="A2011" s="7" t="s">
        <v>117</v>
      </c>
      <c r="B2011" s="7" t="s">
        <v>205</v>
      </c>
      <c r="C2011" s="3"/>
      <c r="D2011" s="3" t="s">
        <v>447</v>
      </c>
      <c r="E2011" s="4" t="s">
        <v>32</v>
      </c>
      <c r="F2011" s="3"/>
      <c r="G2011" s="9">
        <v>60</v>
      </c>
      <c r="H2011" s="25">
        <f>SUM(H2012:H2014)</f>
        <v>60</v>
      </c>
      <c r="I2011" s="14"/>
      <c r="J2011" s="14" t="e">
        <f>SUM(J2012:J2014)</f>
        <v>#REF!</v>
      </c>
      <c r="K2011" s="18" t="e">
        <f>SUM(K2012:K2014)</f>
        <v>#REF!</v>
      </c>
      <c r="L2011" s="15">
        <f>SUM(L2012:L2014)</f>
        <v>0</v>
      </c>
      <c r="M2011" s="16" t="e">
        <f>SUM(M2012:M2014)</f>
        <v>#REF!</v>
      </c>
      <c r="N2011" s="60" t="e">
        <f>+SUMIFS(#REF!,#REF!,Planning[[#This Row],[Proyectos]],#REF!,Planning[[#This Row],[Tipo de Tarea y especialidad]])</f>
        <v>#REF!</v>
      </c>
      <c r="O2011" s="16">
        <f t="shared" si="62"/>
        <v>10</v>
      </c>
      <c r="P2011" s="16">
        <f t="shared" si="63"/>
        <v>2024</v>
      </c>
      <c r="Q2011" s="16" t="e">
        <f>SUM(Q2012:Q2014)</f>
        <v>#REF!</v>
      </c>
      <c r="R2011" s="16" t="str">
        <f>TEXT(Planning[[#This Row],[Mes]]*29,"mmmm")</f>
        <v>October</v>
      </c>
      <c r="S20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11" s="193"/>
      <c r="U2011" s="43" t="e">
        <f>IF(Planning[[#This Row],[Horas Planificadas]]&lt;&gt;0,+K2011/Planning[[#This Row],[Horas Planificadas]],0)</f>
        <v>#REF!</v>
      </c>
      <c r="V2011" s="43" t="e">
        <f>IF(Planning[[#This Row],[Horas Planificadas]]&lt;&gt;0,Planning[[#This Row],[Horas utilizadas]]/Planning[[#This Row],[Horas Planificadas]],0)</f>
        <v>#REF!</v>
      </c>
      <c r="W2011" s="44">
        <f>Planning[[#This Row],[Horas Planificadas]]+Planning[[#This Row],[Horas ajustadas adicionales]]</f>
        <v>60</v>
      </c>
      <c r="X2011" s="142"/>
    </row>
    <row r="2012" spans="1:24" x14ac:dyDescent="0.2">
      <c r="A2012" s="7" t="s">
        <v>117</v>
      </c>
      <c r="B2012" s="7" t="s">
        <v>205</v>
      </c>
      <c r="C2012" s="3"/>
      <c r="D2012" s="3" t="s">
        <v>447</v>
      </c>
      <c r="E2012" s="4"/>
      <c r="F2012" s="3" t="s">
        <v>129</v>
      </c>
      <c r="G2012" s="9"/>
      <c r="H2012" s="9"/>
      <c r="I2012" s="12"/>
      <c r="J2012" s="5" t="e">
        <f>SUM(SUMIFS(#REF!,#REF!,Planning[[#This Row],[Tipo de Tarea y especialidad]],#REF!,Planning[[#This Row],[Proyectos Reiwa]]),SUMIFS(#REF!,#REF!,Planning[[#This Row],[Tipo de Tarea y especialidad]],#REF!,Planning[[#This Row],[Proyectos]]))</f>
        <v>#REF!</v>
      </c>
      <c r="K2012" s="5" t="e">
        <f>Planning[[#This Row],[Horas Planificadas]]+Planning[[#This Row],[Horas ajustadas adicionales]]-Planning[[#This Row],[Horas utilizadas]]</f>
        <v>#REF!</v>
      </c>
      <c r="L2012" s="7"/>
      <c r="M2012" s="19" t="e">
        <f>Planning[[#This Row],[Saldo]]-Planning[[#This Row],[Saldo estimado]]</f>
        <v>#REF!</v>
      </c>
      <c r="N2012" s="60" t="e">
        <f>+SUMIFS(#REF!,#REF!,Planning[[#This Row],[Proyectos]],#REF!,Planning[[#This Row],[Tipo de Tarea y especialidad]])</f>
        <v>#REF!</v>
      </c>
      <c r="O2012" s="19">
        <f t="shared" si="62"/>
        <v>10</v>
      </c>
      <c r="P2012" s="19">
        <f t="shared" si="63"/>
        <v>2024</v>
      </c>
      <c r="Q20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12" s="19" t="str">
        <f>TEXT(Planning[[#This Row],[Mes]]*29,"mmmm")</f>
        <v>October</v>
      </c>
      <c r="S20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12" s="193"/>
      <c r="U2012" s="43">
        <f>IF(Planning[[#This Row],[Horas Planificadas]]&lt;&gt;0,+K2012/Planning[[#This Row],[Horas Planificadas]],0)</f>
        <v>0</v>
      </c>
      <c r="V2012" s="43">
        <f>IF(Planning[[#This Row],[Horas Planificadas]]&lt;&gt;0,Planning[[#This Row],[Horas utilizadas]]/Planning[[#This Row],[Horas Planificadas]],0)</f>
        <v>0</v>
      </c>
      <c r="W2012" s="44">
        <f>Planning[[#This Row],[Horas Planificadas]]+Planning[[#This Row],[Horas ajustadas adicionales]]</f>
        <v>0</v>
      </c>
      <c r="X2012" s="142"/>
    </row>
    <row r="2013" spans="1:24" x14ac:dyDescent="0.2">
      <c r="A2013" s="7" t="s">
        <v>117</v>
      </c>
      <c r="B2013" s="7" t="s">
        <v>205</v>
      </c>
      <c r="C2013" s="3"/>
      <c r="D2013" s="3" t="s">
        <v>447</v>
      </c>
      <c r="E2013" s="4"/>
      <c r="F2013" s="3" t="s">
        <v>130</v>
      </c>
      <c r="G2013" s="9"/>
      <c r="H2013" s="9">
        <v>60</v>
      </c>
      <c r="I2013" s="12"/>
      <c r="J2013" s="5" t="e">
        <f>SUM(SUMIFS(#REF!,#REF!,Planning[[#This Row],[Tipo de Tarea y especialidad]],#REF!,Planning[[#This Row],[Proyectos Reiwa]]),SUMIFS(#REF!,#REF!,Planning[[#This Row],[Tipo de Tarea y especialidad]],#REF!,Planning[[#This Row],[Proyectos]]))</f>
        <v>#REF!</v>
      </c>
      <c r="K2013" s="5" t="e">
        <f>Planning[[#This Row],[Horas Planificadas]]+Planning[[#This Row],[Horas ajustadas adicionales]]-Planning[[#This Row],[Horas utilizadas]]</f>
        <v>#REF!</v>
      </c>
      <c r="L2013" s="7">
        <v>0</v>
      </c>
      <c r="M2013" s="19" t="e">
        <f>Planning[[#This Row],[Saldo]]-Planning[[#This Row],[Saldo estimado]]</f>
        <v>#REF!</v>
      </c>
      <c r="N2013" s="60" t="e">
        <f>+SUMIFS(#REF!,#REF!,Planning[[#This Row],[Proyectos]],#REF!,Planning[[#This Row],[Tipo de Tarea y especialidad]])</f>
        <v>#REF!</v>
      </c>
      <c r="O2013" s="19">
        <f t="shared" si="62"/>
        <v>10</v>
      </c>
      <c r="P2013" s="19">
        <f t="shared" si="63"/>
        <v>2024</v>
      </c>
      <c r="Q20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13" s="19" t="str">
        <f>TEXT(Planning[[#This Row],[Mes]]*29,"mmmm")</f>
        <v>October</v>
      </c>
      <c r="S20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13" s="193"/>
      <c r="U2013" s="43" t="e">
        <f>IF(Planning[[#This Row],[Horas Planificadas]]&lt;&gt;0,+K2013/Planning[[#This Row],[Horas Planificadas]],0)</f>
        <v>#REF!</v>
      </c>
      <c r="V2013" s="43" t="e">
        <f>IF(Planning[[#This Row],[Horas Planificadas]]&lt;&gt;0,Planning[[#This Row],[Horas utilizadas]]/Planning[[#This Row],[Horas Planificadas]],0)</f>
        <v>#REF!</v>
      </c>
      <c r="W2013" s="44">
        <f>Planning[[#This Row],[Horas Planificadas]]+Planning[[#This Row],[Horas ajustadas adicionales]]</f>
        <v>60</v>
      </c>
      <c r="X2013" s="142"/>
    </row>
    <row r="2014" spans="1:24" x14ac:dyDescent="0.2">
      <c r="A2014" s="7" t="s">
        <v>117</v>
      </c>
      <c r="B2014" s="7" t="s">
        <v>205</v>
      </c>
      <c r="C2014" s="3"/>
      <c r="D2014" s="3" t="s">
        <v>447</v>
      </c>
      <c r="E2014" s="4"/>
      <c r="F2014" s="3" t="s">
        <v>131</v>
      </c>
      <c r="G2014" s="9"/>
      <c r="H2014" s="9"/>
      <c r="I2014" s="12"/>
      <c r="J2014" s="5" t="e">
        <f>SUM(SUMIFS(#REF!,#REF!,Planning[[#This Row],[Tipo de Tarea y especialidad]],#REF!,Planning[[#This Row],[Proyectos Reiwa]]),SUMIFS(#REF!,#REF!,Planning[[#This Row],[Tipo de Tarea y especialidad]],#REF!,Planning[[#This Row],[Proyectos]]))</f>
        <v>#REF!</v>
      </c>
      <c r="K2014" s="5" t="e">
        <f>Planning[[#This Row],[Horas Planificadas]]+Planning[[#This Row],[Horas ajustadas adicionales]]-Planning[[#This Row],[Horas utilizadas]]</f>
        <v>#REF!</v>
      </c>
      <c r="L2014" s="7"/>
      <c r="M2014" s="19" t="e">
        <f>Planning[[#This Row],[Saldo]]-Planning[[#This Row],[Saldo estimado]]</f>
        <v>#REF!</v>
      </c>
      <c r="N2014" s="60" t="e">
        <f>+SUMIFS(#REF!,#REF!,Planning[[#This Row],[Proyectos]],#REF!,Planning[[#This Row],[Tipo de Tarea y especialidad]])</f>
        <v>#REF!</v>
      </c>
      <c r="O2014" s="19">
        <f t="shared" si="62"/>
        <v>10</v>
      </c>
      <c r="P2014" s="19">
        <f t="shared" si="63"/>
        <v>2024</v>
      </c>
      <c r="Q20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14" s="19" t="str">
        <f>TEXT(Planning[[#This Row],[Mes]]*29,"mmmm")</f>
        <v>October</v>
      </c>
      <c r="S20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14" s="193"/>
      <c r="U2014" s="43">
        <f>IF(Planning[[#This Row],[Horas Planificadas]]&lt;&gt;0,+K2014/Planning[[#This Row],[Horas Planificadas]],0)</f>
        <v>0</v>
      </c>
      <c r="V2014" s="43">
        <f>IF(Planning[[#This Row],[Horas Planificadas]]&lt;&gt;0,Planning[[#This Row],[Horas utilizadas]]/Planning[[#This Row],[Horas Planificadas]],0)</f>
        <v>0</v>
      </c>
      <c r="W2014" s="44">
        <f>Planning[[#This Row],[Horas Planificadas]]+Planning[[#This Row],[Horas ajustadas adicionales]]</f>
        <v>0</v>
      </c>
      <c r="X2014" s="142"/>
    </row>
    <row r="2015" spans="1:24" ht="13.35" customHeight="1" x14ac:dyDescent="0.2">
      <c r="A2015" s="7" t="s">
        <v>177</v>
      </c>
      <c r="B2015" s="7" t="s">
        <v>288</v>
      </c>
      <c r="C2015" s="3"/>
      <c r="D2015" s="3" t="s">
        <v>449</v>
      </c>
      <c r="E2015" s="4" t="s">
        <v>28</v>
      </c>
      <c r="F2015" s="3"/>
      <c r="G2015" s="9">
        <v>18</v>
      </c>
      <c r="H2015" s="14">
        <f>SUM(H2016:H2017)</f>
        <v>18</v>
      </c>
      <c r="I2015" s="14"/>
      <c r="J2015" s="14" t="e">
        <f>SUM(J2016:J2017)</f>
        <v>#REF!</v>
      </c>
      <c r="K2015" s="15" t="e">
        <f>SUM(K2016:K2017)</f>
        <v>#REF!</v>
      </c>
      <c r="L2015" s="15">
        <f>SUM(L2016:L2017)</f>
        <v>0</v>
      </c>
      <c r="M2015" s="28" t="e">
        <f>SUM(M2016:M2017)</f>
        <v>#REF!</v>
      </c>
      <c r="N2015" s="61" t="e">
        <f>+SUMIFS(#REF!,#REF!,Planning[[#This Row],[Proyectos]],#REF!,Planning[[#This Row],[Tipo de Tarea y especialidad]])</f>
        <v>#REF!</v>
      </c>
      <c r="O2015" s="28">
        <f t="shared" si="62"/>
        <v>10</v>
      </c>
      <c r="P2015" s="28">
        <f t="shared" si="63"/>
        <v>2024</v>
      </c>
      <c r="Q2015" s="28" t="e">
        <f>SUM(Q2016:Q2017)</f>
        <v>#REF!</v>
      </c>
      <c r="R2015" s="28" t="str">
        <f>TEXT(Planning[[#This Row],[Mes]]*29,"mmmm")</f>
        <v>October</v>
      </c>
      <c r="S20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15" s="207" t="s">
        <v>450</v>
      </c>
      <c r="U2015" s="43" t="e">
        <f>IF(Planning[[#This Row],[Horas Planificadas]]&lt;&gt;0,+K2015/Planning[[#This Row],[Horas Planificadas]],0)</f>
        <v>#REF!</v>
      </c>
      <c r="V2015" s="43" t="e">
        <f>IF(Planning[[#This Row],[Horas Planificadas]]&lt;&gt;0,Planning[[#This Row],[Horas utilizadas]]/Planning[[#This Row],[Horas Planificadas]],0)</f>
        <v>#REF!</v>
      </c>
      <c r="W2015" s="44">
        <f>Planning[[#This Row],[Horas Planificadas]]+Planning[[#This Row],[Horas ajustadas adicionales]]</f>
        <v>18</v>
      </c>
      <c r="X2015" s="142"/>
    </row>
    <row r="2016" spans="1:24" x14ac:dyDescent="0.2">
      <c r="A2016" s="7" t="s">
        <v>177</v>
      </c>
      <c r="B2016" s="7" t="s">
        <v>288</v>
      </c>
      <c r="C2016" s="3"/>
      <c r="D2016" s="3" t="s">
        <v>449</v>
      </c>
      <c r="E2016" s="4"/>
      <c r="F2016" s="3" t="s">
        <v>120</v>
      </c>
      <c r="G2016" s="9"/>
      <c r="H2016" s="9">
        <v>18</v>
      </c>
      <c r="I2016" s="12"/>
      <c r="J2016" s="5" t="e">
        <f>SUM(SUMIFS(#REF!,#REF!,Planning[[#This Row],[Tipo de Tarea y especialidad]],#REF!,Planning[[#This Row],[Proyectos Reiwa]]),SUMIFS(#REF!,#REF!,Planning[[#This Row],[Tipo de Tarea y especialidad]],#REF!,Planning[[#This Row],[Proyectos]]))</f>
        <v>#REF!</v>
      </c>
      <c r="K2016" s="5" t="e">
        <f>Planning[[#This Row],[Horas Planificadas]]+Planning[[#This Row],[Horas ajustadas adicionales]]-Planning[[#This Row],[Horas utilizadas]]</f>
        <v>#REF!</v>
      </c>
      <c r="L2016" s="7">
        <v>0</v>
      </c>
      <c r="M2016" s="19" t="e">
        <f>Planning[[#This Row],[Saldo]]-Planning[[#This Row],[Saldo estimado]]</f>
        <v>#REF!</v>
      </c>
      <c r="N2016" s="60" t="e">
        <f>+SUMIFS(#REF!,#REF!,Planning[[#This Row],[Proyectos]],#REF!,Planning[[#This Row],[Tipo de Tarea y especialidad]])</f>
        <v>#REF!</v>
      </c>
      <c r="O2016" s="19">
        <f t="shared" si="62"/>
        <v>10</v>
      </c>
      <c r="P2016" s="19">
        <f t="shared" si="63"/>
        <v>2024</v>
      </c>
      <c r="Q20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16" s="19" t="str">
        <f>TEXT(Planning[[#This Row],[Mes]]*29,"mmmm")</f>
        <v>October</v>
      </c>
      <c r="S20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16" s="208"/>
      <c r="U2016" s="43" t="e">
        <f>IF(Planning[[#This Row],[Horas Planificadas]]&lt;&gt;0,+K2016/Planning[[#This Row],[Horas Planificadas]],0)</f>
        <v>#REF!</v>
      </c>
      <c r="V2016" s="43" t="e">
        <f>IF(Planning[[#This Row],[Horas Planificadas]]&lt;&gt;0,Planning[[#This Row],[Horas utilizadas]]/Planning[[#This Row],[Horas Planificadas]],0)</f>
        <v>#REF!</v>
      </c>
      <c r="W2016" s="44">
        <f>Planning[[#This Row],[Horas Planificadas]]+Planning[[#This Row],[Horas ajustadas adicionales]]</f>
        <v>18</v>
      </c>
      <c r="X2016" s="142"/>
    </row>
    <row r="2017" spans="1:24" x14ac:dyDescent="0.2">
      <c r="A2017" s="7" t="s">
        <v>177</v>
      </c>
      <c r="B2017" s="7" t="s">
        <v>288</v>
      </c>
      <c r="C2017" s="3"/>
      <c r="D2017" s="3" t="s">
        <v>449</v>
      </c>
      <c r="E2017" s="4"/>
      <c r="F2017" s="3" t="s">
        <v>121</v>
      </c>
      <c r="G2017" s="9"/>
      <c r="H2017" s="9"/>
      <c r="I2017" s="12"/>
      <c r="J2017" s="5" t="e">
        <f>SUM(SUMIFS(#REF!,#REF!,Planning[[#This Row],[Tipo de Tarea y especialidad]],#REF!,Planning[[#This Row],[Proyectos Reiwa]]),SUMIFS(#REF!,#REF!,Planning[[#This Row],[Tipo de Tarea y especialidad]],#REF!,Planning[[#This Row],[Proyectos]]))</f>
        <v>#REF!</v>
      </c>
      <c r="K2017" s="5" t="e">
        <f>Planning[[#This Row],[Horas Planificadas]]+Planning[[#This Row],[Horas ajustadas adicionales]]-Planning[[#This Row],[Horas utilizadas]]</f>
        <v>#REF!</v>
      </c>
      <c r="L2017" s="7"/>
      <c r="M2017" s="19" t="e">
        <f>Planning[[#This Row],[Saldo]]-Planning[[#This Row],[Saldo estimado]]</f>
        <v>#REF!</v>
      </c>
      <c r="N2017" s="60" t="e">
        <f>+SUMIFS(#REF!,#REF!,Planning[[#This Row],[Proyectos]],#REF!,Planning[[#This Row],[Tipo de Tarea y especialidad]])</f>
        <v>#REF!</v>
      </c>
      <c r="O2017" s="19">
        <f t="shared" si="62"/>
        <v>10</v>
      </c>
      <c r="P2017" s="19">
        <f t="shared" si="63"/>
        <v>2024</v>
      </c>
      <c r="Q20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17" s="19" t="str">
        <f>TEXT(Planning[[#This Row],[Mes]]*29,"mmmm")</f>
        <v>October</v>
      </c>
      <c r="S20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17" s="208"/>
      <c r="U2017" s="43">
        <f>IF(Planning[[#This Row],[Horas Planificadas]]&lt;&gt;0,+K2017/Planning[[#This Row],[Horas Planificadas]],0)</f>
        <v>0</v>
      </c>
      <c r="V2017" s="43">
        <f>IF(Planning[[#This Row],[Horas Planificadas]]&lt;&gt;0,Planning[[#This Row],[Horas utilizadas]]/Planning[[#This Row],[Horas Planificadas]],0)</f>
        <v>0</v>
      </c>
      <c r="W2017" s="44">
        <f>Planning[[#This Row],[Horas Planificadas]]+Planning[[#This Row],[Horas ajustadas adicionales]]</f>
        <v>0</v>
      </c>
      <c r="X2017" s="142"/>
    </row>
    <row r="2018" spans="1:24" x14ac:dyDescent="0.2">
      <c r="A2018" s="7" t="s">
        <v>177</v>
      </c>
      <c r="B2018" s="7" t="s">
        <v>288</v>
      </c>
      <c r="C2018" s="3"/>
      <c r="D2018" s="3" t="s">
        <v>449</v>
      </c>
      <c r="E2018" s="4" t="s">
        <v>30</v>
      </c>
      <c r="F2018" s="3"/>
      <c r="G2018" s="9">
        <v>70</v>
      </c>
      <c r="H2018" s="25">
        <f>SUM(H2019:H2025)</f>
        <v>70</v>
      </c>
      <c r="I2018" s="14"/>
      <c r="J2018" s="14" t="e">
        <f>SUM(J2019:J2025)</f>
        <v>#REF!</v>
      </c>
      <c r="K2018" s="18" t="e">
        <f>SUM(K2019:K2025)</f>
        <v>#REF!</v>
      </c>
      <c r="L2018" s="15">
        <f>SUM(L2019:L2025)</f>
        <v>0</v>
      </c>
      <c r="M2018" s="16" t="e">
        <f>SUM(M2019:M2025)</f>
        <v>#REF!</v>
      </c>
      <c r="N2018" s="60" t="e">
        <f>+SUMIFS(#REF!,#REF!,Planning[[#This Row],[Proyectos]],#REF!,Planning[[#This Row],[Tipo de Tarea y especialidad]])</f>
        <v>#REF!</v>
      </c>
      <c r="O2018" s="16">
        <f t="shared" si="62"/>
        <v>10</v>
      </c>
      <c r="P2018" s="16">
        <f t="shared" si="63"/>
        <v>2024</v>
      </c>
      <c r="Q2018" s="16" t="e">
        <f>SUM(Q2019:Q2025)</f>
        <v>#REF!</v>
      </c>
      <c r="R2018" s="16" t="str">
        <f>TEXT(Planning[[#This Row],[Mes]]*29,"mmmm")</f>
        <v>October</v>
      </c>
      <c r="S20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18" s="208"/>
      <c r="U2018" s="43" t="e">
        <f>IF(Planning[[#This Row],[Horas Planificadas]]&lt;&gt;0,+K2018/Planning[[#This Row],[Horas Planificadas]],0)</f>
        <v>#REF!</v>
      </c>
      <c r="V2018" s="43" t="e">
        <f>IF(Planning[[#This Row],[Horas Planificadas]]&lt;&gt;0,Planning[[#This Row],[Horas utilizadas]]/Planning[[#This Row],[Horas Planificadas]],0)</f>
        <v>#REF!</v>
      </c>
      <c r="W2018" s="44">
        <f>Planning[[#This Row],[Horas Planificadas]]+Planning[[#This Row],[Horas ajustadas adicionales]]</f>
        <v>70</v>
      </c>
      <c r="X2018" s="142"/>
    </row>
    <row r="2019" spans="1:24" x14ac:dyDescent="0.2">
      <c r="A2019" s="7" t="s">
        <v>177</v>
      </c>
      <c r="B2019" s="7" t="s">
        <v>288</v>
      </c>
      <c r="C2019" s="3"/>
      <c r="D2019" s="3" t="s">
        <v>449</v>
      </c>
      <c r="E2019" s="4"/>
      <c r="F2019" s="3" t="s">
        <v>122</v>
      </c>
      <c r="G2019" s="9"/>
      <c r="H2019" s="12"/>
      <c r="I2019" s="12"/>
      <c r="J2019" s="5" t="e">
        <f>SUM(SUMIFS(#REF!,#REF!,Planning[[#This Row],[Tipo de Tarea y especialidad]],#REF!,Planning[[#This Row],[Proyectos Reiwa]]),SUMIFS(#REF!,#REF!,Planning[[#This Row],[Tipo de Tarea y especialidad]],#REF!,Planning[[#This Row],[Proyectos]]))</f>
        <v>#REF!</v>
      </c>
      <c r="K2019" s="27" t="e">
        <f>Planning[[#This Row],[Horas Planificadas]]+Planning[[#This Row],[Horas ajustadas adicionales]]-Planning[[#This Row],[Horas utilizadas]]</f>
        <v>#REF!</v>
      </c>
      <c r="L2019" s="7"/>
      <c r="M2019" s="34" t="e">
        <f>Planning[[#This Row],[Saldo]]-Planning[[#This Row],[Saldo estimado]]</f>
        <v>#REF!</v>
      </c>
      <c r="N2019" s="62" t="e">
        <f>+SUMIFS(#REF!,#REF!,Planning[[#This Row],[Proyectos]],#REF!,Planning[[#This Row],[Tipo de Tarea y especialidad]])</f>
        <v>#REF!</v>
      </c>
      <c r="O2019" s="34">
        <f t="shared" si="62"/>
        <v>10</v>
      </c>
      <c r="P2019" s="34">
        <f t="shared" si="63"/>
        <v>2024</v>
      </c>
      <c r="Q20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19" s="19" t="str">
        <f>TEXT(Planning[[#This Row],[Mes]]*29,"mmmm")</f>
        <v>October</v>
      </c>
      <c r="S20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19" s="208"/>
      <c r="U2019" s="43">
        <f>IF(Planning[[#This Row],[Horas Planificadas]]&lt;&gt;0,+K2019/Planning[[#This Row],[Horas Planificadas]],0)</f>
        <v>0</v>
      </c>
      <c r="V2019" s="43">
        <f>IF(Planning[[#This Row],[Horas Planificadas]]&lt;&gt;0,Planning[[#This Row],[Horas utilizadas]]/Planning[[#This Row],[Horas Planificadas]],0)</f>
        <v>0</v>
      </c>
      <c r="W2019" s="44">
        <f>Planning[[#This Row],[Horas Planificadas]]+Planning[[#This Row],[Horas ajustadas adicionales]]</f>
        <v>0</v>
      </c>
      <c r="X2019" s="142"/>
    </row>
    <row r="2020" spans="1:24" x14ac:dyDescent="0.2">
      <c r="A2020" s="7" t="s">
        <v>177</v>
      </c>
      <c r="B2020" s="7" t="s">
        <v>288</v>
      </c>
      <c r="C2020" s="3"/>
      <c r="D2020" s="3" t="s">
        <v>449</v>
      </c>
      <c r="E2020" s="4"/>
      <c r="F2020" s="3" t="s">
        <v>123</v>
      </c>
      <c r="G2020" s="9"/>
      <c r="H2020" s="9"/>
      <c r="I2020" s="12"/>
      <c r="J2020" s="5" t="e">
        <f>SUM(SUMIFS(#REF!,#REF!,Planning[[#This Row],[Tipo de Tarea y especialidad]],#REF!,Planning[[#This Row],[Proyectos Reiwa]]),SUMIFS(#REF!,#REF!,Planning[[#This Row],[Tipo de Tarea y especialidad]],#REF!,Planning[[#This Row],[Proyectos]]))</f>
        <v>#REF!</v>
      </c>
      <c r="K2020" s="5" t="e">
        <f>Planning[[#This Row],[Horas Planificadas]]+Planning[[#This Row],[Horas ajustadas adicionales]]-Planning[[#This Row],[Horas utilizadas]]</f>
        <v>#REF!</v>
      </c>
      <c r="L2020" s="7"/>
      <c r="M2020" s="19" t="e">
        <f>Planning[[#This Row],[Saldo]]-Planning[[#This Row],[Saldo estimado]]</f>
        <v>#REF!</v>
      </c>
      <c r="N2020" s="60" t="e">
        <f>+SUMIFS(#REF!,#REF!,Planning[[#This Row],[Proyectos]],#REF!,Planning[[#This Row],[Tipo de Tarea y especialidad]])</f>
        <v>#REF!</v>
      </c>
      <c r="O2020" s="19">
        <f t="shared" si="62"/>
        <v>10</v>
      </c>
      <c r="P2020" s="19">
        <f t="shared" si="63"/>
        <v>2024</v>
      </c>
      <c r="Q20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20" s="19" t="str">
        <f>TEXT(Planning[[#This Row],[Mes]]*29,"mmmm")</f>
        <v>October</v>
      </c>
      <c r="S20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20" s="208"/>
      <c r="U2020" s="43">
        <f>IF(Planning[[#This Row],[Horas Planificadas]]&lt;&gt;0,+K2020/Planning[[#This Row],[Horas Planificadas]],0)</f>
        <v>0</v>
      </c>
      <c r="V2020" s="43">
        <f>IF(Planning[[#This Row],[Horas Planificadas]]&lt;&gt;0,Planning[[#This Row],[Horas utilizadas]]/Planning[[#This Row],[Horas Planificadas]],0)</f>
        <v>0</v>
      </c>
      <c r="W2020" s="44">
        <f>Planning[[#This Row],[Horas Planificadas]]+Planning[[#This Row],[Horas ajustadas adicionales]]</f>
        <v>0</v>
      </c>
      <c r="X2020" s="142"/>
    </row>
    <row r="2021" spans="1:24" x14ac:dyDescent="0.2">
      <c r="A2021" s="7" t="s">
        <v>177</v>
      </c>
      <c r="B2021" s="7" t="s">
        <v>288</v>
      </c>
      <c r="C2021" s="3"/>
      <c r="D2021" s="3" t="s">
        <v>449</v>
      </c>
      <c r="E2021" s="4"/>
      <c r="F2021" s="3" t="s">
        <v>124</v>
      </c>
      <c r="G2021" s="9"/>
      <c r="H2021" s="9">
        <v>70</v>
      </c>
      <c r="I2021" s="12"/>
      <c r="J2021" s="5" t="e">
        <f>SUM(SUMIFS(#REF!,#REF!,Planning[[#This Row],[Tipo de Tarea y especialidad]],#REF!,Planning[[#This Row],[Proyectos Reiwa]]),SUMIFS(#REF!,#REF!,Planning[[#This Row],[Tipo de Tarea y especialidad]],#REF!,Planning[[#This Row],[Proyectos]]))</f>
        <v>#REF!</v>
      </c>
      <c r="K2021" s="5" t="e">
        <f>Planning[[#This Row],[Horas Planificadas]]+Planning[[#This Row],[Horas ajustadas adicionales]]-Planning[[#This Row],[Horas utilizadas]]</f>
        <v>#REF!</v>
      </c>
      <c r="L2021" s="7">
        <v>0</v>
      </c>
      <c r="M2021" s="19" t="e">
        <f>Planning[[#This Row],[Saldo]]-Planning[[#This Row],[Saldo estimado]]</f>
        <v>#REF!</v>
      </c>
      <c r="N2021" s="60" t="e">
        <f>+SUMIFS(#REF!,#REF!,Planning[[#This Row],[Proyectos]],#REF!,Planning[[#This Row],[Tipo de Tarea y especialidad]])</f>
        <v>#REF!</v>
      </c>
      <c r="O2021" s="19">
        <f t="shared" si="62"/>
        <v>10</v>
      </c>
      <c r="P2021" s="19">
        <f t="shared" si="63"/>
        <v>2024</v>
      </c>
      <c r="Q20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21" s="19" t="str">
        <f>TEXT(Planning[[#This Row],[Mes]]*29,"mmmm")</f>
        <v>October</v>
      </c>
      <c r="S20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21" s="208"/>
      <c r="U2021" s="43" t="e">
        <f>IF(Planning[[#This Row],[Horas Planificadas]]&lt;&gt;0,+K2021/Planning[[#This Row],[Horas Planificadas]],0)</f>
        <v>#REF!</v>
      </c>
      <c r="V2021" s="43" t="e">
        <f>IF(Planning[[#This Row],[Horas Planificadas]]&lt;&gt;0,Planning[[#This Row],[Horas utilizadas]]/Planning[[#This Row],[Horas Planificadas]],0)</f>
        <v>#REF!</v>
      </c>
      <c r="W2021" s="44">
        <f>Planning[[#This Row],[Horas Planificadas]]+Planning[[#This Row],[Horas ajustadas adicionales]]</f>
        <v>70</v>
      </c>
      <c r="X2021" s="142"/>
    </row>
    <row r="2022" spans="1:24" x14ac:dyDescent="0.2">
      <c r="A2022" s="7" t="s">
        <v>177</v>
      </c>
      <c r="B2022" s="7" t="s">
        <v>288</v>
      </c>
      <c r="C2022" s="3"/>
      <c r="D2022" s="3" t="s">
        <v>449</v>
      </c>
      <c r="E2022" s="4"/>
      <c r="F2022" s="3" t="s">
        <v>125</v>
      </c>
      <c r="G2022" s="9"/>
      <c r="H2022" s="12"/>
      <c r="I2022" s="12"/>
      <c r="J2022" s="5" t="e">
        <f>SUM(SUMIFS(#REF!,#REF!,Planning[[#This Row],[Tipo de Tarea y especialidad]],#REF!,Planning[[#This Row],[Proyectos Reiwa]]),SUMIFS(#REF!,#REF!,Planning[[#This Row],[Tipo de Tarea y especialidad]],#REF!,Planning[[#This Row],[Proyectos]]))</f>
        <v>#REF!</v>
      </c>
      <c r="K2022" s="27" t="e">
        <f>Planning[[#This Row],[Horas Planificadas]]+Planning[[#This Row],[Horas ajustadas adicionales]]-Planning[[#This Row],[Horas utilizadas]]</f>
        <v>#REF!</v>
      </c>
      <c r="L2022" s="7">
        <v>0</v>
      </c>
      <c r="M2022" s="19" t="e">
        <f>Planning[[#This Row],[Saldo]]-Planning[[#This Row],[Saldo estimado]]</f>
        <v>#REF!</v>
      </c>
      <c r="N2022" s="60" t="e">
        <f>+SUMIFS(#REF!,#REF!,Planning[[#This Row],[Proyectos]],#REF!,Planning[[#This Row],[Tipo de Tarea y especialidad]])</f>
        <v>#REF!</v>
      </c>
      <c r="O2022" s="19">
        <f t="shared" si="62"/>
        <v>10</v>
      </c>
      <c r="P2022" s="19">
        <f t="shared" si="63"/>
        <v>2024</v>
      </c>
      <c r="Q20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22" s="19" t="str">
        <f>TEXT(Planning[[#This Row],[Mes]]*29,"mmmm")</f>
        <v>October</v>
      </c>
      <c r="S20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22" s="208"/>
      <c r="U2022" s="43">
        <f>IF(Planning[[#This Row],[Horas Planificadas]]&lt;&gt;0,+K2022/Planning[[#This Row],[Horas Planificadas]],0)</f>
        <v>0</v>
      </c>
      <c r="V2022" s="43">
        <f>IF(Planning[[#This Row],[Horas Planificadas]]&lt;&gt;0,Planning[[#This Row],[Horas utilizadas]]/Planning[[#This Row],[Horas Planificadas]],0)</f>
        <v>0</v>
      </c>
      <c r="W2022" s="44">
        <f>Planning[[#This Row],[Horas Planificadas]]+Planning[[#This Row],[Horas ajustadas adicionales]]</f>
        <v>0</v>
      </c>
      <c r="X2022" s="142"/>
    </row>
    <row r="2023" spans="1:24" x14ac:dyDescent="0.2">
      <c r="A2023" s="7" t="s">
        <v>177</v>
      </c>
      <c r="B2023" s="7" t="s">
        <v>288</v>
      </c>
      <c r="C2023" s="3"/>
      <c r="D2023" s="3" t="s">
        <v>449</v>
      </c>
      <c r="E2023" s="4"/>
      <c r="F2023" s="3" t="s">
        <v>126</v>
      </c>
      <c r="G2023" s="9"/>
      <c r="H2023" s="9"/>
      <c r="I2023" s="12"/>
      <c r="J2023" s="5" t="e">
        <f>SUM(SUMIFS(#REF!,#REF!,Planning[[#This Row],[Tipo de Tarea y especialidad]],#REF!,Planning[[#This Row],[Proyectos Reiwa]]),SUMIFS(#REF!,#REF!,Planning[[#This Row],[Tipo de Tarea y especialidad]],#REF!,Planning[[#This Row],[Proyectos]]))</f>
        <v>#REF!</v>
      </c>
      <c r="K2023" s="5" t="e">
        <f>Planning[[#This Row],[Horas Planificadas]]+Planning[[#This Row],[Horas ajustadas adicionales]]-Planning[[#This Row],[Horas utilizadas]]</f>
        <v>#REF!</v>
      </c>
      <c r="L2023" s="7"/>
      <c r="M2023" s="19" t="e">
        <f>Planning[[#This Row],[Saldo]]-Planning[[#This Row],[Saldo estimado]]</f>
        <v>#REF!</v>
      </c>
      <c r="N2023" s="60" t="e">
        <f>+SUMIFS(#REF!,#REF!,Planning[[#This Row],[Proyectos]],#REF!,Planning[[#This Row],[Tipo de Tarea y especialidad]])</f>
        <v>#REF!</v>
      </c>
      <c r="O2023" s="19">
        <f t="shared" si="62"/>
        <v>10</v>
      </c>
      <c r="P2023" s="19">
        <f t="shared" si="63"/>
        <v>2024</v>
      </c>
      <c r="Q20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23" s="19" t="str">
        <f>TEXT(Planning[[#This Row],[Mes]]*29,"mmmm")</f>
        <v>October</v>
      </c>
      <c r="S20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23" s="208"/>
      <c r="U2023" s="43">
        <f>IF(Planning[[#This Row],[Horas Planificadas]]&lt;&gt;0,+K2023/Planning[[#This Row],[Horas Planificadas]],0)</f>
        <v>0</v>
      </c>
      <c r="V2023" s="43">
        <f>IF(Planning[[#This Row],[Horas Planificadas]]&lt;&gt;0,Planning[[#This Row],[Horas utilizadas]]/Planning[[#This Row],[Horas Planificadas]],0)</f>
        <v>0</v>
      </c>
      <c r="W2023" s="44">
        <f>Planning[[#This Row],[Horas Planificadas]]+Planning[[#This Row],[Horas ajustadas adicionales]]</f>
        <v>0</v>
      </c>
      <c r="X2023" s="142"/>
    </row>
    <row r="2024" spans="1:24" x14ac:dyDescent="0.2">
      <c r="A2024" s="7" t="s">
        <v>177</v>
      </c>
      <c r="B2024" s="7" t="s">
        <v>288</v>
      </c>
      <c r="C2024" s="3"/>
      <c r="D2024" s="3" t="s">
        <v>449</v>
      </c>
      <c r="E2024" s="4"/>
      <c r="F2024" s="3" t="s">
        <v>127</v>
      </c>
      <c r="G2024" s="9"/>
      <c r="H2024" s="9"/>
      <c r="I2024" s="12"/>
      <c r="J2024" s="5" t="e">
        <f>SUM(SUMIFS(#REF!,#REF!,Planning[[#This Row],[Tipo de Tarea y especialidad]],#REF!,Planning[[#This Row],[Proyectos Reiwa]]),SUMIFS(#REF!,#REF!,Planning[[#This Row],[Tipo de Tarea y especialidad]],#REF!,Planning[[#This Row],[Proyectos]]))</f>
        <v>#REF!</v>
      </c>
      <c r="K2024" s="5" t="e">
        <f>Planning[[#This Row],[Horas Planificadas]]+Planning[[#This Row],[Horas ajustadas adicionales]]-Planning[[#This Row],[Horas utilizadas]]</f>
        <v>#REF!</v>
      </c>
      <c r="L2024" s="7"/>
      <c r="M2024" s="19" t="e">
        <f>Planning[[#This Row],[Saldo]]-Planning[[#This Row],[Saldo estimado]]</f>
        <v>#REF!</v>
      </c>
      <c r="N2024" s="60" t="e">
        <f>+SUMIFS(#REF!,#REF!,Planning[[#This Row],[Proyectos]],#REF!,Planning[[#This Row],[Tipo de Tarea y especialidad]])</f>
        <v>#REF!</v>
      </c>
      <c r="O2024" s="19">
        <f t="shared" si="62"/>
        <v>10</v>
      </c>
      <c r="P2024" s="19">
        <f t="shared" si="63"/>
        <v>2024</v>
      </c>
      <c r="Q20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24" s="19" t="str">
        <f>TEXT(Planning[[#This Row],[Mes]]*29,"mmmm")</f>
        <v>October</v>
      </c>
      <c r="S20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24" s="208"/>
      <c r="U2024" s="43">
        <f>IF(Planning[[#This Row],[Horas Planificadas]]&lt;&gt;0,+K2024/Planning[[#This Row],[Horas Planificadas]],0)</f>
        <v>0</v>
      </c>
      <c r="V2024" s="43">
        <f>IF(Planning[[#This Row],[Horas Planificadas]]&lt;&gt;0,Planning[[#This Row],[Horas utilizadas]]/Planning[[#This Row],[Horas Planificadas]],0)</f>
        <v>0</v>
      </c>
      <c r="W2024" s="44">
        <f>Planning[[#This Row],[Horas Planificadas]]+Planning[[#This Row],[Horas ajustadas adicionales]]</f>
        <v>0</v>
      </c>
      <c r="X2024" s="142"/>
    </row>
    <row r="2025" spans="1:24" x14ac:dyDescent="0.2">
      <c r="A2025" s="7" t="s">
        <v>177</v>
      </c>
      <c r="B2025" s="7" t="s">
        <v>288</v>
      </c>
      <c r="C2025" s="3"/>
      <c r="D2025" s="3" t="s">
        <v>449</v>
      </c>
      <c r="E2025" s="4"/>
      <c r="F2025" s="3" t="s">
        <v>128</v>
      </c>
      <c r="G2025" s="9"/>
      <c r="H2025" s="9"/>
      <c r="I2025" s="12"/>
      <c r="J2025" s="5" t="e">
        <f>SUM(SUMIFS(#REF!,#REF!,Planning[[#This Row],[Tipo de Tarea y especialidad]],#REF!,Planning[[#This Row],[Proyectos Reiwa]]),SUMIFS(#REF!,#REF!,Planning[[#This Row],[Tipo de Tarea y especialidad]],#REF!,Planning[[#This Row],[Proyectos]]))</f>
        <v>#REF!</v>
      </c>
      <c r="K2025" s="5" t="e">
        <f>Planning[[#This Row],[Horas Planificadas]]+Planning[[#This Row],[Horas ajustadas adicionales]]-Planning[[#This Row],[Horas utilizadas]]</f>
        <v>#REF!</v>
      </c>
      <c r="L2025" s="7"/>
      <c r="M2025" s="19" t="e">
        <f>Planning[[#This Row],[Saldo]]-Planning[[#This Row],[Saldo estimado]]</f>
        <v>#REF!</v>
      </c>
      <c r="N2025" s="60" t="e">
        <f>+SUMIFS(#REF!,#REF!,Planning[[#This Row],[Proyectos]],#REF!,Planning[[#This Row],[Tipo de Tarea y especialidad]])</f>
        <v>#REF!</v>
      </c>
      <c r="O2025" s="19">
        <f t="shared" si="62"/>
        <v>10</v>
      </c>
      <c r="P2025" s="19">
        <f t="shared" si="63"/>
        <v>2024</v>
      </c>
      <c r="Q20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25" s="19" t="str">
        <f>TEXT(Planning[[#This Row],[Mes]]*29,"mmmm")</f>
        <v>October</v>
      </c>
      <c r="S20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25" s="208"/>
      <c r="U2025" s="43">
        <f>IF(Planning[[#This Row],[Horas Planificadas]]&lt;&gt;0,+K2025/Planning[[#This Row],[Horas Planificadas]],0)</f>
        <v>0</v>
      </c>
      <c r="V2025" s="43">
        <f>IF(Planning[[#This Row],[Horas Planificadas]]&lt;&gt;0,Planning[[#This Row],[Horas utilizadas]]/Planning[[#This Row],[Horas Planificadas]],0)</f>
        <v>0</v>
      </c>
      <c r="W2025" s="44">
        <f>Planning[[#This Row],[Horas Planificadas]]+Planning[[#This Row],[Horas ajustadas adicionales]]</f>
        <v>0</v>
      </c>
      <c r="X2025" s="142"/>
    </row>
    <row r="2026" spans="1:24" x14ac:dyDescent="0.2">
      <c r="A2026" s="7" t="s">
        <v>177</v>
      </c>
      <c r="B2026" s="7" t="s">
        <v>288</v>
      </c>
      <c r="C2026" s="3"/>
      <c r="D2026" s="3" t="s">
        <v>449</v>
      </c>
      <c r="E2026" s="4" t="s">
        <v>31</v>
      </c>
      <c r="F2026" s="3" t="s">
        <v>31</v>
      </c>
      <c r="G2026" s="9">
        <v>100</v>
      </c>
      <c r="H2026" s="17">
        <v>100</v>
      </c>
      <c r="I2026" s="18"/>
      <c r="J2026" s="14" t="e">
        <f>+SUMIFS(#REF!,#REF!,Planning[[#This Row],[Tarifa]],#REF!,Planning[[#This Row],[Proyectos]])</f>
        <v>#REF!</v>
      </c>
      <c r="K2026" s="14" t="e">
        <f>Planning[[#This Row],[Horas Planificadas]]+Planning[[#This Row],[Horas ajustadas adicionales]]-Planning[[#This Row],[Horas utilizadas]]</f>
        <v>#REF!</v>
      </c>
      <c r="L2026" s="15">
        <v>0</v>
      </c>
      <c r="M2026" s="16" t="e">
        <f>Planning[[#This Row],[Saldo]]-Planning[[#This Row],[Saldo estimado]]</f>
        <v>#REF!</v>
      </c>
      <c r="N2026" s="60" t="e">
        <f>+SUMIFS(#REF!,#REF!,Planning[[#This Row],[Proyectos]],#REF!,Planning[[#This Row],[Tipo de Tarea y especialidad]])</f>
        <v>#REF!</v>
      </c>
      <c r="O2026" s="16">
        <f t="shared" si="62"/>
        <v>10</v>
      </c>
      <c r="P2026" s="16">
        <f t="shared" si="63"/>
        <v>2024</v>
      </c>
      <c r="Q2026" s="16" t="e">
        <f>+SUMIFS(#REF!,#REF!,Planning[[#This Row],[Tarifa]],#REF!,Planning[[#This Row],[Proyectos]],#REF!,Planning[[#This Row],[Mes]],#REF!,Planning[[#This Row],[Año]])</f>
        <v>#REF!</v>
      </c>
      <c r="R2026" s="16" t="str">
        <f>TEXT(Planning[[#This Row],[Mes]]*29,"mmmm")</f>
        <v>October</v>
      </c>
      <c r="S20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26" s="208"/>
      <c r="U2026" s="43" t="e">
        <f>IF(Planning[[#This Row],[Horas Planificadas]]&lt;&gt;0,+K2026/Planning[[#This Row],[Horas Planificadas]],0)</f>
        <v>#REF!</v>
      </c>
      <c r="V2026" s="43" t="e">
        <f>IF(Planning[[#This Row],[Horas Planificadas]]&lt;&gt;0,Planning[[#This Row],[Horas utilizadas]]/Planning[[#This Row],[Horas Planificadas]],0)</f>
        <v>#REF!</v>
      </c>
      <c r="W2026" s="44">
        <f>Planning[[#This Row],[Horas Planificadas]]+Planning[[#This Row],[Horas ajustadas adicionales]]</f>
        <v>100</v>
      </c>
      <c r="X2026" s="142"/>
    </row>
    <row r="2027" spans="1:24" ht="22.5" x14ac:dyDescent="0.2">
      <c r="A2027" s="7" t="s">
        <v>177</v>
      </c>
      <c r="B2027" s="7" t="s">
        <v>288</v>
      </c>
      <c r="C2027" s="3"/>
      <c r="D2027" s="3" t="s">
        <v>449</v>
      </c>
      <c r="E2027" s="4" t="s">
        <v>32</v>
      </c>
      <c r="F2027" s="3"/>
      <c r="G2027" s="9">
        <v>80</v>
      </c>
      <c r="H2027" s="25">
        <f>SUM(H2028:H2030)</f>
        <v>80</v>
      </c>
      <c r="I2027" s="14"/>
      <c r="J2027" s="14" t="e">
        <f>SUM(J2028:J2030)</f>
        <v>#REF!</v>
      </c>
      <c r="K2027" s="18" t="e">
        <f>SUM(K2028:K2030)</f>
        <v>#REF!</v>
      </c>
      <c r="L2027" s="15">
        <f>SUM(L2028:L2030)</f>
        <v>0</v>
      </c>
      <c r="M2027" s="16" t="e">
        <f>SUM(M2028:M2030)</f>
        <v>#REF!</v>
      </c>
      <c r="N2027" s="60" t="e">
        <f>+SUMIFS(#REF!,#REF!,Planning[[#This Row],[Proyectos]],#REF!,Planning[[#This Row],[Tipo de Tarea y especialidad]])</f>
        <v>#REF!</v>
      </c>
      <c r="O2027" s="16">
        <f t="shared" si="62"/>
        <v>10</v>
      </c>
      <c r="P2027" s="16">
        <f t="shared" si="63"/>
        <v>2024</v>
      </c>
      <c r="Q2027" s="16" t="e">
        <f>SUM(Q2028:Q2030)</f>
        <v>#REF!</v>
      </c>
      <c r="R2027" s="16" t="str">
        <f>TEXT(Planning[[#This Row],[Mes]]*29,"mmmm")</f>
        <v>October</v>
      </c>
      <c r="S20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27" s="208"/>
      <c r="U2027" s="43" t="e">
        <f>IF(Planning[[#This Row],[Horas Planificadas]]&lt;&gt;0,+K2027/Planning[[#This Row],[Horas Planificadas]],0)</f>
        <v>#REF!</v>
      </c>
      <c r="V2027" s="43" t="e">
        <f>IF(Planning[[#This Row],[Horas Planificadas]]&lt;&gt;0,Planning[[#This Row],[Horas utilizadas]]/Planning[[#This Row],[Horas Planificadas]],0)</f>
        <v>#REF!</v>
      </c>
      <c r="W2027" s="44">
        <f>Planning[[#This Row],[Horas Planificadas]]+Planning[[#This Row],[Horas ajustadas adicionales]]</f>
        <v>80</v>
      </c>
      <c r="X2027" s="142"/>
    </row>
    <row r="2028" spans="1:24" x14ac:dyDescent="0.2">
      <c r="A2028" s="7" t="s">
        <v>177</v>
      </c>
      <c r="B2028" s="7" t="s">
        <v>288</v>
      </c>
      <c r="C2028" s="3"/>
      <c r="D2028" s="3" t="s">
        <v>449</v>
      </c>
      <c r="E2028" s="4"/>
      <c r="F2028" s="3" t="s">
        <v>129</v>
      </c>
      <c r="G2028" s="9"/>
      <c r="H2028" s="9"/>
      <c r="I2028" s="12"/>
      <c r="J2028" s="5" t="e">
        <f>SUM(SUMIFS(#REF!,#REF!,Planning[[#This Row],[Tipo de Tarea y especialidad]],#REF!,Planning[[#This Row],[Proyectos Reiwa]]),SUMIFS(#REF!,#REF!,Planning[[#This Row],[Tipo de Tarea y especialidad]],#REF!,Planning[[#This Row],[Proyectos]]))</f>
        <v>#REF!</v>
      </c>
      <c r="K2028" s="5" t="e">
        <f>Planning[[#This Row],[Horas Planificadas]]+Planning[[#This Row],[Horas ajustadas adicionales]]-Planning[[#This Row],[Horas utilizadas]]</f>
        <v>#REF!</v>
      </c>
      <c r="L2028" s="7"/>
      <c r="M2028" s="19" t="e">
        <f>Planning[[#This Row],[Saldo]]-Planning[[#This Row],[Saldo estimado]]</f>
        <v>#REF!</v>
      </c>
      <c r="N2028" s="60" t="e">
        <f>+SUMIFS(#REF!,#REF!,Planning[[#This Row],[Proyectos]],#REF!,Planning[[#This Row],[Tipo de Tarea y especialidad]])</f>
        <v>#REF!</v>
      </c>
      <c r="O2028" s="19">
        <f t="shared" si="62"/>
        <v>10</v>
      </c>
      <c r="P2028" s="19">
        <f t="shared" si="63"/>
        <v>2024</v>
      </c>
      <c r="Q20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28" s="19" t="str">
        <f>TEXT(Planning[[#This Row],[Mes]]*29,"mmmm")</f>
        <v>October</v>
      </c>
      <c r="S20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28" s="208"/>
      <c r="U2028" s="43">
        <f>IF(Planning[[#This Row],[Horas Planificadas]]&lt;&gt;0,+K2028/Planning[[#This Row],[Horas Planificadas]],0)</f>
        <v>0</v>
      </c>
      <c r="V2028" s="43">
        <f>IF(Planning[[#This Row],[Horas Planificadas]]&lt;&gt;0,Planning[[#This Row],[Horas utilizadas]]/Planning[[#This Row],[Horas Planificadas]],0)</f>
        <v>0</v>
      </c>
      <c r="W2028" s="44">
        <f>Planning[[#This Row],[Horas Planificadas]]+Planning[[#This Row],[Horas ajustadas adicionales]]</f>
        <v>0</v>
      </c>
      <c r="X2028" s="142"/>
    </row>
    <row r="2029" spans="1:24" x14ac:dyDescent="0.2">
      <c r="A2029" s="7" t="s">
        <v>177</v>
      </c>
      <c r="B2029" s="7" t="s">
        <v>288</v>
      </c>
      <c r="C2029" s="3"/>
      <c r="D2029" s="3" t="s">
        <v>449</v>
      </c>
      <c r="E2029" s="4"/>
      <c r="F2029" s="3" t="s">
        <v>130</v>
      </c>
      <c r="G2029" s="9"/>
      <c r="H2029" s="9"/>
      <c r="I2029" s="12"/>
      <c r="J2029" s="5" t="e">
        <f>SUM(SUMIFS(#REF!,#REF!,Planning[[#This Row],[Tipo de Tarea y especialidad]],#REF!,Planning[[#This Row],[Proyectos Reiwa]]),SUMIFS(#REF!,#REF!,Planning[[#This Row],[Tipo de Tarea y especialidad]],#REF!,Planning[[#This Row],[Proyectos]]))</f>
        <v>#REF!</v>
      </c>
      <c r="K2029" s="5" t="e">
        <f>Planning[[#This Row],[Horas Planificadas]]+Planning[[#This Row],[Horas ajustadas adicionales]]-Planning[[#This Row],[Horas utilizadas]]</f>
        <v>#REF!</v>
      </c>
      <c r="L2029" s="7"/>
      <c r="M2029" s="19" t="e">
        <f>Planning[[#This Row],[Saldo]]-Planning[[#This Row],[Saldo estimado]]</f>
        <v>#REF!</v>
      </c>
      <c r="N2029" s="60" t="e">
        <f>+SUMIFS(#REF!,#REF!,Planning[[#This Row],[Proyectos]],#REF!,Planning[[#This Row],[Tipo de Tarea y especialidad]])</f>
        <v>#REF!</v>
      </c>
      <c r="O2029" s="19">
        <f t="shared" si="62"/>
        <v>10</v>
      </c>
      <c r="P2029" s="19">
        <f t="shared" si="63"/>
        <v>2024</v>
      </c>
      <c r="Q20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29" s="19" t="str">
        <f>TEXT(Planning[[#This Row],[Mes]]*29,"mmmm")</f>
        <v>October</v>
      </c>
      <c r="S20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29" s="208"/>
      <c r="U2029" s="43">
        <f>IF(Planning[[#This Row],[Horas Planificadas]]&lt;&gt;0,+K2029/Planning[[#This Row],[Horas Planificadas]],0)</f>
        <v>0</v>
      </c>
      <c r="V2029" s="43">
        <f>IF(Planning[[#This Row],[Horas Planificadas]]&lt;&gt;0,Planning[[#This Row],[Horas utilizadas]]/Planning[[#This Row],[Horas Planificadas]],0)</f>
        <v>0</v>
      </c>
      <c r="W2029" s="44">
        <f>Planning[[#This Row],[Horas Planificadas]]+Planning[[#This Row],[Horas ajustadas adicionales]]</f>
        <v>0</v>
      </c>
      <c r="X2029" s="142"/>
    </row>
    <row r="2030" spans="1:24" x14ac:dyDescent="0.2">
      <c r="A2030" s="7" t="s">
        <v>177</v>
      </c>
      <c r="B2030" s="7" t="s">
        <v>288</v>
      </c>
      <c r="C2030" s="3"/>
      <c r="D2030" s="3" t="s">
        <v>449</v>
      </c>
      <c r="E2030" s="4"/>
      <c r="F2030" s="3" t="s">
        <v>131</v>
      </c>
      <c r="G2030" s="9"/>
      <c r="H2030" s="9">
        <v>80</v>
      </c>
      <c r="I2030" s="12"/>
      <c r="J2030" s="5" t="e">
        <f>SUM(SUMIFS(#REF!,#REF!,Planning[[#This Row],[Tipo de Tarea y especialidad]],#REF!,Planning[[#This Row],[Proyectos Reiwa]]),SUMIFS(#REF!,#REF!,Planning[[#This Row],[Tipo de Tarea y especialidad]],#REF!,Planning[[#This Row],[Proyectos]]))</f>
        <v>#REF!</v>
      </c>
      <c r="K2030" s="5" t="e">
        <f>Planning[[#This Row],[Horas Planificadas]]+Planning[[#This Row],[Horas ajustadas adicionales]]-Planning[[#This Row],[Horas utilizadas]]</f>
        <v>#REF!</v>
      </c>
      <c r="L2030" s="7">
        <v>0</v>
      </c>
      <c r="M2030" s="19" t="e">
        <f>Planning[[#This Row],[Saldo]]-Planning[[#This Row],[Saldo estimado]]</f>
        <v>#REF!</v>
      </c>
      <c r="N2030" s="60" t="e">
        <f>+SUMIFS(#REF!,#REF!,Planning[[#This Row],[Proyectos]],#REF!,Planning[[#This Row],[Tipo de Tarea y especialidad]])</f>
        <v>#REF!</v>
      </c>
      <c r="O2030" s="19">
        <f t="shared" si="62"/>
        <v>10</v>
      </c>
      <c r="P2030" s="19">
        <f t="shared" si="63"/>
        <v>2024</v>
      </c>
      <c r="Q20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30" s="19" t="str">
        <f>TEXT(Planning[[#This Row],[Mes]]*29,"mmmm")</f>
        <v>October</v>
      </c>
      <c r="S20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30" s="208"/>
      <c r="U2030" s="43" t="e">
        <f>IF(Planning[[#This Row],[Horas Planificadas]]&lt;&gt;0,+K2030/Planning[[#This Row],[Horas Planificadas]],0)</f>
        <v>#REF!</v>
      </c>
      <c r="V2030" s="43" t="e">
        <f>IF(Planning[[#This Row],[Horas Planificadas]]&lt;&gt;0,Planning[[#This Row],[Horas utilizadas]]/Planning[[#This Row],[Horas Planificadas]],0)</f>
        <v>#REF!</v>
      </c>
      <c r="W2030" s="44">
        <f>Planning[[#This Row],[Horas Planificadas]]+Planning[[#This Row],[Horas ajustadas adicionales]]</f>
        <v>80</v>
      </c>
      <c r="X2030" s="142"/>
    </row>
    <row r="2031" spans="1:24" ht="22.5" x14ac:dyDescent="0.2">
      <c r="A2031" s="7" t="s">
        <v>117</v>
      </c>
      <c r="B2031" s="7" t="s">
        <v>205</v>
      </c>
      <c r="C2031" s="3"/>
      <c r="D2031" s="3" t="s">
        <v>451</v>
      </c>
      <c r="E2031" s="4" t="s">
        <v>28</v>
      </c>
      <c r="F2031" s="3"/>
      <c r="G2031" s="9">
        <v>212</v>
      </c>
      <c r="H2031" s="14">
        <f>SUM(H2032:H2033)</f>
        <v>212</v>
      </c>
      <c r="I2031" s="14"/>
      <c r="J2031" s="14" t="e">
        <f>SUM(J2032:J2033)</f>
        <v>#REF!</v>
      </c>
      <c r="K2031" s="15" t="e">
        <f>SUM(K2032:K2033)</f>
        <v>#REF!</v>
      </c>
      <c r="L2031" s="15">
        <f>SUM(L2032:L2033)</f>
        <v>0</v>
      </c>
      <c r="M2031" s="28" t="e">
        <f>SUM(M2032:M2033)</f>
        <v>#REF!</v>
      </c>
      <c r="N2031" s="61" t="e">
        <f>+SUMIFS(#REF!,#REF!,Planning[[#This Row],[Proyectos]],#REF!,Planning[[#This Row],[Tipo de Tarea y especialidad]])</f>
        <v>#REF!</v>
      </c>
      <c r="O2031" s="28">
        <f t="shared" si="62"/>
        <v>10</v>
      </c>
      <c r="P2031" s="28">
        <f t="shared" si="63"/>
        <v>2024</v>
      </c>
      <c r="Q2031" s="28" t="e">
        <f>SUM(Q2032:Q2033)</f>
        <v>#REF!</v>
      </c>
      <c r="R2031" s="28" t="str">
        <f>TEXT(Planning[[#This Row],[Mes]]*29,"mmmm")</f>
        <v>October</v>
      </c>
      <c r="S20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31" s="192" t="s">
        <v>452</v>
      </c>
      <c r="U2031" s="43" t="e">
        <f>IF(Planning[[#This Row],[Horas Planificadas]]&lt;&gt;0,+K2031/Planning[[#This Row],[Horas Planificadas]],0)</f>
        <v>#REF!</v>
      </c>
      <c r="V2031" s="43" t="e">
        <f>IF(Planning[[#This Row],[Horas Planificadas]]&lt;&gt;0,Planning[[#This Row],[Horas utilizadas]]/Planning[[#This Row],[Horas Planificadas]],0)</f>
        <v>#REF!</v>
      </c>
      <c r="W2031" s="44">
        <f>Planning[[#This Row],[Horas Planificadas]]+Planning[[#This Row],[Horas ajustadas adicionales]]</f>
        <v>212</v>
      </c>
      <c r="X2031" s="142"/>
    </row>
    <row r="2032" spans="1:24" x14ac:dyDescent="0.2">
      <c r="A2032" s="7" t="s">
        <v>117</v>
      </c>
      <c r="B2032" s="7" t="s">
        <v>205</v>
      </c>
      <c r="C2032" s="3"/>
      <c r="D2032" s="3" t="s">
        <v>451</v>
      </c>
      <c r="E2032" s="4"/>
      <c r="F2032" s="3" t="s">
        <v>120</v>
      </c>
      <c r="G2032" s="9"/>
      <c r="H2032" s="9">
        <v>140</v>
      </c>
      <c r="I2032" s="12"/>
      <c r="J2032" s="5" t="e">
        <f>SUM(SUMIFS(#REF!,#REF!,Planning[[#This Row],[Tipo de Tarea y especialidad]],#REF!,Planning[[#This Row],[Proyectos Reiwa]]),SUMIFS(#REF!,#REF!,Planning[[#This Row],[Tipo de Tarea y especialidad]],#REF!,Planning[[#This Row],[Proyectos]]))</f>
        <v>#REF!</v>
      </c>
      <c r="K2032" s="5" t="e">
        <f>Planning[[#This Row],[Horas Planificadas]]+Planning[[#This Row],[Horas ajustadas adicionales]]-Planning[[#This Row],[Horas utilizadas]]</f>
        <v>#REF!</v>
      </c>
      <c r="L2032" s="7">
        <v>0</v>
      </c>
      <c r="M2032" s="19" t="e">
        <f>Planning[[#This Row],[Saldo]]-Planning[[#This Row],[Saldo estimado]]</f>
        <v>#REF!</v>
      </c>
      <c r="N2032" s="60" t="e">
        <f>+SUMIFS(#REF!,#REF!,Planning[[#This Row],[Proyectos]],#REF!,Planning[[#This Row],[Tipo de Tarea y especialidad]])</f>
        <v>#REF!</v>
      </c>
      <c r="O2032" s="19">
        <f t="shared" si="62"/>
        <v>10</v>
      </c>
      <c r="P2032" s="19">
        <f t="shared" si="63"/>
        <v>2024</v>
      </c>
      <c r="Q20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32" s="19" t="str">
        <f>TEXT(Planning[[#This Row],[Mes]]*29,"mmmm")</f>
        <v>October</v>
      </c>
      <c r="S20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32" s="193"/>
      <c r="U2032" s="43" t="e">
        <f>IF(Planning[[#This Row],[Horas Planificadas]]&lt;&gt;0,+K2032/Planning[[#This Row],[Horas Planificadas]],0)</f>
        <v>#REF!</v>
      </c>
      <c r="V2032" s="43" t="e">
        <f>IF(Planning[[#This Row],[Horas Planificadas]]&lt;&gt;0,Planning[[#This Row],[Horas utilizadas]]/Planning[[#This Row],[Horas Planificadas]],0)</f>
        <v>#REF!</v>
      </c>
      <c r="W2032" s="44">
        <f>Planning[[#This Row],[Horas Planificadas]]+Planning[[#This Row],[Horas ajustadas adicionales]]</f>
        <v>140</v>
      </c>
      <c r="X2032" s="142"/>
    </row>
    <row r="2033" spans="1:24" x14ac:dyDescent="0.2">
      <c r="A2033" s="7" t="s">
        <v>117</v>
      </c>
      <c r="B2033" s="7" t="s">
        <v>205</v>
      </c>
      <c r="C2033" s="3"/>
      <c r="D2033" s="3" t="s">
        <v>451</v>
      </c>
      <c r="E2033" s="4"/>
      <c r="F2033" s="3" t="s">
        <v>121</v>
      </c>
      <c r="G2033" s="9"/>
      <c r="H2033" s="9">
        <v>72</v>
      </c>
      <c r="I2033" s="12"/>
      <c r="J2033" s="5" t="e">
        <f>SUM(SUMIFS(#REF!,#REF!,Planning[[#This Row],[Tipo de Tarea y especialidad]],#REF!,Planning[[#This Row],[Proyectos Reiwa]]),SUMIFS(#REF!,#REF!,Planning[[#This Row],[Tipo de Tarea y especialidad]],#REF!,Planning[[#This Row],[Proyectos]]))</f>
        <v>#REF!</v>
      </c>
      <c r="K2033" s="5" t="e">
        <f>Planning[[#This Row],[Horas Planificadas]]+Planning[[#This Row],[Horas ajustadas adicionales]]-Planning[[#This Row],[Horas utilizadas]]</f>
        <v>#REF!</v>
      </c>
      <c r="L2033" s="7">
        <v>0</v>
      </c>
      <c r="M2033" s="19" t="e">
        <f>Planning[[#This Row],[Saldo]]-Planning[[#This Row],[Saldo estimado]]</f>
        <v>#REF!</v>
      </c>
      <c r="N2033" s="60" t="e">
        <f>+SUMIFS(#REF!,#REF!,Planning[[#This Row],[Proyectos]],#REF!,Planning[[#This Row],[Tipo de Tarea y especialidad]])</f>
        <v>#REF!</v>
      </c>
      <c r="O2033" s="19">
        <f t="shared" si="62"/>
        <v>10</v>
      </c>
      <c r="P2033" s="19">
        <f t="shared" si="63"/>
        <v>2024</v>
      </c>
      <c r="Q20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33" s="19" t="str">
        <f>TEXT(Planning[[#This Row],[Mes]]*29,"mmmm")</f>
        <v>October</v>
      </c>
      <c r="S20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33" s="193"/>
      <c r="U2033" s="43" t="e">
        <f>IF(Planning[[#This Row],[Horas Planificadas]]&lt;&gt;0,+K2033/Planning[[#This Row],[Horas Planificadas]],0)</f>
        <v>#REF!</v>
      </c>
      <c r="V2033" s="43" t="e">
        <f>IF(Planning[[#This Row],[Horas Planificadas]]&lt;&gt;0,Planning[[#This Row],[Horas utilizadas]]/Planning[[#This Row],[Horas Planificadas]],0)</f>
        <v>#REF!</v>
      </c>
      <c r="W2033" s="44">
        <f>Planning[[#This Row],[Horas Planificadas]]+Planning[[#This Row],[Horas ajustadas adicionales]]</f>
        <v>72</v>
      </c>
      <c r="X2033" s="142"/>
    </row>
    <row r="2034" spans="1:24" x14ac:dyDescent="0.2">
      <c r="A2034" s="7" t="s">
        <v>117</v>
      </c>
      <c r="B2034" s="7" t="s">
        <v>205</v>
      </c>
      <c r="C2034" s="3"/>
      <c r="D2034" s="3" t="s">
        <v>451</v>
      </c>
      <c r="E2034" s="4" t="s">
        <v>30</v>
      </c>
      <c r="F2034" s="3"/>
      <c r="G2034" s="9">
        <v>225</v>
      </c>
      <c r="H2034" s="25">
        <f>SUM(H2035:H2041)</f>
        <v>225</v>
      </c>
      <c r="I2034" s="14"/>
      <c r="J2034" s="14" t="e">
        <f>SUM(J2035:J2041)</f>
        <v>#REF!</v>
      </c>
      <c r="K2034" s="18" t="e">
        <f>SUM(K2035:K2041)</f>
        <v>#REF!</v>
      </c>
      <c r="L2034" s="15">
        <f>SUM(L2035:L2041)</f>
        <v>0</v>
      </c>
      <c r="M2034" s="16" t="e">
        <f>SUM(M2035:M2041)</f>
        <v>#REF!</v>
      </c>
      <c r="N2034" s="60" t="e">
        <f>+SUMIFS(#REF!,#REF!,Planning[[#This Row],[Proyectos]],#REF!,Planning[[#This Row],[Tipo de Tarea y especialidad]])</f>
        <v>#REF!</v>
      </c>
      <c r="O2034" s="16">
        <f t="shared" si="62"/>
        <v>10</v>
      </c>
      <c r="P2034" s="16">
        <f t="shared" si="63"/>
        <v>2024</v>
      </c>
      <c r="Q2034" s="16" t="e">
        <f>SUM(Q2035:Q2041)</f>
        <v>#REF!</v>
      </c>
      <c r="R2034" s="16" t="str">
        <f>TEXT(Planning[[#This Row],[Mes]]*29,"mmmm")</f>
        <v>October</v>
      </c>
      <c r="S20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34" s="193"/>
      <c r="U2034" s="43" t="e">
        <f>IF(Planning[[#This Row],[Horas Planificadas]]&lt;&gt;0,+K2034/Planning[[#This Row],[Horas Planificadas]],0)</f>
        <v>#REF!</v>
      </c>
      <c r="V2034" s="43" t="e">
        <f>IF(Planning[[#This Row],[Horas Planificadas]]&lt;&gt;0,Planning[[#This Row],[Horas utilizadas]]/Planning[[#This Row],[Horas Planificadas]],0)</f>
        <v>#REF!</v>
      </c>
      <c r="W2034" s="44">
        <f>Planning[[#This Row],[Horas Planificadas]]+Planning[[#This Row],[Horas ajustadas adicionales]]</f>
        <v>225</v>
      </c>
      <c r="X2034" s="142"/>
    </row>
    <row r="2035" spans="1:24" x14ac:dyDescent="0.2">
      <c r="A2035" s="7" t="s">
        <v>117</v>
      </c>
      <c r="B2035" s="7" t="s">
        <v>205</v>
      </c>
      <c r="C2035" s="3"/>
      <c r="D2035" s="3" t="s">
        <v>451</v>
      </c>
      <c r="E2035" s="33"/>
      <c r="F2035" s="36" t="s">
        <v>122</v>
      </c>
      <c r="G2035" s="7"/>
      <c r="H2035" s="7"/>
      <c r="I2035" s="12"/>
      <c r="J2035" s="5" t="e">
        <f>SUM(SUMIFS(#REF!,#REF!,Planning[[#This Row],[Tipo de Tarea y especialidad]],#REF!,Planning[[#This Row],[Proyectos Reiwa]]),SUMIFS(#REF!,#REF!,Planning[[#This Row],[Tipo de Tarea y especialidad]],#REF!,Planning[[#This Row],[Proyectos]]))</f>
        <v>#REF!</v>
      </c>
      <c r="K2035" s="5" t="e">
        <f>Planning[[#This Row],[Horas Planificadas]]+Planning[[#This Row],[Horas ajustadas adicionales]]-Planning[[#This Row],[Horas utilizadas]]</f>
        <v>#REF!</v>
      </c>
      <c r="L2035" s="7"/>
      <c r="M2035" s="19" t="e">
        <f>Planning[[#This Row],[Saldo]]-Planning[[#This Row],[Saldo estimado]]</f>
        <v>#REF!</v>
      </c>
      <c r="N2035" s="60" t="e">
        <f>+SUMIFS(#REF!,#REF!,Planning[[#This Row],[Proyectos]],#REF!,Planning[[#This Row],[Tipo de Tarea y especialidad]])</f>
        <v>#REF!</v>
      </c>
      <c r="O2035" s="19">
        <f t="shared" si="62"/>
        <v>10</v>
      </c>
      <c r="P2035" s="19">
        <f t="shared" si="63"/>
        <v>2024</v>
      </c>
      <c r="Q20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35" s="19" t="str">
        <f>TEXT(Planning[[#This Row],[Mes]]*29,"mmmm")</f>
        <v>October</v>
      </c>
      <c r="S20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35" s="193"/>
      <c r="U2035" s="43">
        <f>IF(Planning[[#This Row],[Horas Planificadas]]&lt;&gt;0,+K2035/Planning[[#This Row],[Horas Planificadas]],0)</f>
        <v>0</v>
      </c>
      <c r="V2035" s="43">
        <f>IF(Planning[[#This Row],[Horas Planificadas]]&lt;&gt;0,Planning[[#This Row],[Horas utilizadas]]/Planning[[#This Row],[Horas Planificadas]],0)</f>
        <v>0</v>
      </c>
      <c r="W2035" s="44">
        <f>Planning[[#This Row],[Horas Planificadas]]+Planning[[#This Row],[Horas ajustadas adicionales]]</f>
        <v>0</v>
      </c>
      <c r="X2035" s="142"/>
    </row>
    <row r="2036" spans="1:24" x14ac:dyDescent="0.2">
      <c r="A2036" s="7" t="s">
        <v>117</v>
      </c>
      <c r="B2036" s="7" t="s">
        <v>205</v>
      </c>
      <c r="C2036" s="3"/>
      <c r="D2036" s="3" t="s">
        <v>451</v>
      </c>
      <c r="E2036" s="33"/>
      <c r="F2036" s="36" t="s">
        <v>123</v>
      </c>
      <c r="G2036" s="7"/>
      <c r="H2036" s="7">
        <v>108</v>
      </c>
      <c r="I2036" s="12"/>
      <c r="J2036" s="5" t="e">
        <f>SUM(SUMIFS(#REF!,#REF!,Planning[[#This Row],[Tipo de Tarea y especialidad]],#REF!,Planning[[#This Row],[Proyectos Reiwa]]),SUMIFS(#REF!,#REF!,Planning[[#This Row],[Tipo de Tarea y especialidad]],#REF!,Planning[[#This Row],[Proyectos]]))</f>
        <v>#REF!</v>
      </c>
      <c r="K2036" s="5" t="e">
        <f>Planning[[#This Row],[Horas Planificadas]]+Planning[[#This Row],[Horas ajustadas adicionales]]-Planning[[#This Row],[Horas utilizadas]]</f>
        <v>#REF!</v>
      </c>
      <c r="L2036" s="7">
        <v>0</v>
      </c>
      <c r="M2036" s="19" t="e">
        <f>Planning[[#This Row],[Saldo]]-Planning[[#This Row],[Saldo estimado]]</f>
        <v>#REF!</v>
      </c>
      <c r="N2036" s="60" t="e">
        <f>+SUMIFS(#REF!,#REF!,Planning[[#This Row],[Proyectos]],#REF!,Planning[[#This Row],[Tipo de Tarea y especialidad]])</f>
        <v>#REF!</v>
      </c>
      <c r="O2036" s="19">
        <f t="shared" si="62"/>
        <v>10</v>
      </c>
      <c r="P2036" s="19">
        <f t="shared" si="63"/>
        <v>2024</v>
      </c>
      <c r="Q20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36" s="19" t="str">
        <f>TEXT(Planning[[#This Row],[Mes]]*29,"mmmm")</f>
        <v>October</v>
      </c>
      <c r="S20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36" s="193"/>
      <c r="U2036" s="43" t="e">
        <f>IF(Planning[[#This Row],[Horas Planificadas]]&lt;&gt;0,+K2036/Planning[[#This Row],[Horas Planificadas]],0)</f>
        <v>#REF!</v>
      </c>
      <c r="V2036" s="43" t="e">
        <f>IF(Planning[[#This Row],[Horas Planificadas]]&lt;&gt;0,Planning[[#This Row],[Horas utilizadas]]/Planning[[#This Row],[Horas Planificadas]],0)</f>
        <v>#REF!</v>
      </c>
      <c r="W2036" s="44">
        <f>Planning[[#This Row],[Horas Planificadas]]+Planning[[#This Row],[Horas ajustadas adicionales]]</f>
        <v>108</v>
      </c>
      <c r="X2036" s="142"/>
    </row>
    <row r="2037" spans="1:24" x14ac:dyDescent="0.2">
      <c r="A2037" s="7" t="s">
        <v>117</v>
      </c>
      <c r="B2037" s="7" t="s">
        <v>205</v>
      </c>
      <c r="C2037" s="3"/>
      <c r="D2037" s="3" t="s">
        <v>451</v>
      </c>
      <c r="E2037" s="33"/>
      <c r="F2037" s="36" t="s">
        <v>124</v>
      </c>
      <c r="G2037" s="7"/>
      <c r="H2037" s="7"/>
      <c r="I2037" s="12"/>
      <c r="J2037" s="5" t="e">
        <f>SUM(SUMIFS(#REF!,#REF!,Planning[[#This Row],[Tipo de Tarea y especialidad]],#REF!,Planning[[#This Row],[Proyectos Reiwa]]),SUMIFS(#REF!,#REF!,Planning[[#This Row],[Tipo de Tarea y especialidad]],#REF!,Planning[[#This Row],[Proyectos]]))</f>
        <v>#REF!</v>
      </c>
      <c r="K2037" s="5" t="e">
        <f>Planning[[#This Row],[Horas Planificadas]]+Planning[[#This Row],[Horas ajustadas adicionales]]-Planning[[#This Row],[Horas utilizadas]]</f>
        <v>#REF!</v>
      </c>
      <c r="L2037" s="7"/>
      <c r="M2037" s="19" t="e">
        <f>Planning[[#This Row],[Saldo]]-Planning[[#This Row],[Saldo estimado]]</f>
        <v>#REF!</v>
      </c>
      <c r="N2037" s="60" t="e">
        <f>+SUMIFS(#REF!,#REF!,Planning[[#This Row],[Proyectos]],#REF!,Planning[[#This Row],[Tipo de Tarea y especialidad]])</f>
        <v>#REF!</v>
      </c>
      <c r="O2037" s="19">
        <f t="shared" si="62"/>
        <v>10</v>
      </c>
      <c r="P2037" s="19">
        <f t="shared" si="63"/>
        <v>2024</v>
      </c>
      <c r="Q20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37" s="19" t="str">
        <f>TEXT(Planning[[#This Row],[Mes]]*29,"mmmm")</f>
        <v>October</v>
      </c>
      <c r="S20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37" s="193"/>
      <c r="U2037" s="43">
        <f>IF(Planning[[#This Row],[Horas Planificadas]]&lt;&gt;0,+K2037/Planning[[#This Row],[Horas Planificadas]],0)</f>
        <v>0</v>
      </c>
      <c r="V2037" s="43">
        <f>IF(Planning[[#This Row],[Horas Planificadas]]&lt;&gt;0,Planning[[#This Row],[Horas utilizadas]]/Planning[[#This Row],[Horas Planificadas]],0)</f>
        <v>0</v>
      </c>
      <c r="W2037" s="44">
        <f>Planning[[#This Row],[Horas Planificadas]]+Planning[[#This Row],[Horas ajustadas adicionales]]</f>
        <v>0</v>
      </c>
      <c r="X2037" s="142"/>
    </row>
    <row r="2038" spans="1:24" x14ac:dyDescent="0.2">
      <c r="A2038" s="7" t="s">
        <v>117</v>
      </c>
      <c r="B2038" s="7" t="s">
        <v>205</v>
      </c>
      <c r="C2038" s="3"/>
      <c r="D2038" s="3" t="s">
        <v>451</v>
      </c>
      <c r="E2038" s="33"/>
      <c r="F2038" s="36" t="s">
        <v>125</v>
      </c>
      <c r="G2038" s="7"/>
      <c r="H2038" s="7">
        <v>72</v>
      </c>
      <c r="I2038" s="12"/>
      <c r="J2038" s="5" t="e">
        <f>SUM(SUMIFS(#REF!,#REF!,Planning[[#This Row],[Tipo de Tarea y especialidad]],#REF!,Planning[[#This Row],[Proyectos Reiwa]]),SUMIFS(#REF!,#REF!,Planning[[#This Row],[Tipo de Tarea y especialidad]],#REF!,Planning[[#This Row],[Proyectos]]))</f>
        <v>#REF!</v>
      </c>
      <c r="K2038" s="5" t="e">
        <f>Planning[[#This Row],[Horas Planificadas]]+Planning[[#This Row],[Horas ajustadas adicionales]]-Planning[[#This Row],[Horas utilizadas]]</f>
        <v>#REF!</v>
      </c>
      <c r="L2038" s="7">
        <v>0</v>
      </c>
      <c r="M2038" s="19" t="e">
        <f>Planning[[#This Row],[Saldo]]-Planning[[#This Row],[Saldo estimado]]</f>
        <v>#REF!</v>
      </c>
      <c r="N2038" s="60" t="e">
        <f>+SUMIFS(#REF!,#REF!,Planning[[#This Row],[Proyectos]],#REF!,Planning[[#This Row],[Tipo de Tarea y especialidad]])</f>
        <v>#REF!</v>
      </c>
      <c r="O2038" s="19">
        <f t="shared" si="62"/>
        <v>10</v>
      </c>
      <c r="P2038" s="19">
        <f t="shared" si="63"/>
        <v>2024</v>
      </c>
      <c r="Q20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38" s="19" t="str">
        <f>TEXT(Planning[[#This Row],[Mes]]*29,"mmmm")</f>
        <v>October</v>
      </c>
      <c r="S20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38" s="193"/>
      <c r="U2038" s="43" t="e">
        <f>IF(Planning[[#This Row],[Horas Planificadas]]&lt;&gt;0,+K2038/Planning[[#This Row],[Horas Planificadas]],0)</f>
        <v>#REF!</v>
      </c>
      <c r="V2038" s="43" t="e">
        <f>IF(Planning[[#This Row],[Horas Planificadas]]&lt;&gt;0,Planning[[#This Row],[Horas utilizadas]]/Planning[[#This Row],[Horas Planificadas]],0)</f>
        <v>#REF!</v>
      </c>
      <c r="W2038" s="44">
        <f>Planning[[#This Row],[Horas Planificadas]]+Planning[[#This Row],[Horas ajustadas adicionales]]</f>
        <v>72</v>
      </c>
      <c r="X2038" s="142"/>
    </row>
    <row r="2039" spans="1:24" x14ac:dyDescent="0.2">
      <c r="A2039" s="7" t="s">
        <v>117</v>
      </c>
      <c r="B2039" s="7" t="s">
        <v>205</v>
      </c>
      <c r="C2039" s="3"/>
      <c r="D2039" s="3" t="s">
        <v>451</v>
      </c>
      <c r="E2039" s="4"/>
      <c r="F2039" s="3" t="s">
        <v>126</v>
      </c>
      <c r="G2039" s="9"/>
      <c r="H2039" s="12"/>
      <c r="I2039" s="12"/>
      <c r="J2039" s="5" t="e">
        <f>SUM(SUMIFS(#REF!,#REF!,Planning[[#This Row],[Tipo de Tarea y especialidad]],#REF!,Planning[[#This Row],[Proyectos Reiwa]]),SUMIFS(#REF!,#REF!,Planning[[#This Row],[Tipo de Tarea y especialidad]],#REF!,Planning[[#This Row],[Proyectos]]))</f>
        <v>#REF!</v>
      </c>
      <c r="K2039" s="27" t="e">
        <f>Planning[[#This Row],[Horas Planificadas]]+Planning[[#This Row],[Horas ajustadas adicionales]]-Planning[[#This Row],[Horas utilizadas]]</f>
        <v>#REF!</v>
      </c>
      <c r="L2039" s="7"/>
      <c r="M2039" s="34" t="e">
        <f>Planning[[#This Row],[Saldo]]-Planning[[#This Row],[Saldo estimado]]</f>
        <v>#REF!</v>
      </c>
      <c r="N2039" s="62" t="e">
        <f>+SUMIFS(#REF!,#REF!,Planning[[#This Row],[Proyectos]],#REF!,Planning[[#This Row],[Tipo de Tarea y especialidad]])</f>
        <v>#REF!</v>
      </c>
      <c r="O2039" s="34">
        <f t="shared" si="62"/>
        <v>10</v>
      </c>
      <c r="P2039" s="34">
        <f t="shared" si="63"/>
        <v>2024</v>
      </c>
      <c r="Q20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39" s="19" t="str">
        <f>TEXT(Planning[[#This Row],[Mes]]*29,"mmmm")</f>
        <v>October</v>
      </c>
      <c r="S20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39" s="193"/>
      <c r="U2039" s="43">
        <f>IF(Planning[[#This Row],[Horas Planificadas]]&lt;&gt;0,+K2039/Planning[[#This Row],[Horas Planificadas]],0)</f>
        <v>0</v>
      </c>
      <c r="V2039" s="43">
        <f>IF(Planning[[#This Row],[Horas Planificadas]]&lt;&gt;0,Planning[[#This Row],[Horas utilizadas]]/Planning[[#This Row],[Horas Planificadas]],0)</f>
        <v>0</v>
      </c>
      <c r="W2039" s="44">
        <f>Planning[[#This Row],[Horas Planificadas]]+Planning[[#This Row],[Horas ajustadas adicionales]]</f>
        <v>0</v>
      </c>
      <c r="X2039" s="142"/>
    </row>
    <row r="2040" spans="1:24" x14ac:dyDescent="0.2">
      <c r="A2040" s="7" t="s">
        <v>117</v>
      </c>
      <c r="B2040" s="7" t="s">
        <v>205</v>
      </c>
      <c r="C2040" s="3"/>
      <c r="D2040" s="3" t="s">
        <v>451</v>
      </c>
      <c r="E2040" s="4"/>
      <c r="F2040" s="3" t="s">
        <v>127</v>
      </c>
      <c r="G2040" s="9"/>
      <c r="H2040" s="9">
        <v>45</v>
      </c>
      <c r="I2040" s="12"/>
      <c r="J2040" s="5" t="e">
        <f>SUM(SUMIFS(#REF!,#REF!,Planning[[#This Row],[Tipo de Tarea y especialidad]],#REF!,Planning[[#This Row],[Proyectos Reiwa]]),SUMIFS(#REF!,#REF!,Planning[[#This Row],[Tipo de Tarea y especialidad]],#REF!,Planning[[#This Row],[Proyectos]]))</f>
        <v>#REF!</v>
      </c>
      <c r="K2040" s="5" t="e">
        <f>Planning[[#This Row],[Horas Planificadas]]+Planning[[#This Row],[Horas ajustadas adicionales]]-Planning[[#This Row],[Horas utilizadas]]</f>
        <v>#REF!</v>
      </c>
      <c r="L2040" s="7">
        <v>0</v>
      </c>
      <c r="M2040" s="19" t="e">
        <f>Planning[[#This Row],[Saldo]]-Planning[[#This Row],[Saldo estimado]]</f>
        <v>#REF!</v>
      </c>
      <c r="N2040" s="60" t="e">
        <f>+SUMIFS(#REF!,#REF!,Planning[[#This Row],[Proyectos]],#REF!,Planning[[#This Row],[Tipo de Tarea y especialidad]])</f>
        <v>#REF!</v>
      </c>
      <c r="O2040" s="19">
        <f t="shared" si="62"/>
        <v>10</v>
      </c>
      <c r="P2040" s="19">
        <f t="shared" si="63"/>
        <v>2024</v>
      </c>
      <c r="Q20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40" s="19" t="str">
        <f>TEXT(Planning[[#This Row],[Mes]]*29,"mmmm")</f>
        <v>October</v>
      </c>
      <c r="S20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40" s="193"/>
      <c r="U2040" s="43" t="e">
        <f>IF(Planning[[#This Row],[Horas Planificadas]]&lt;&gt;0,+K2040/Planning[[#This Row],[Horas Planificadas]],0)</f>
        <v>#REF!</v>
      </c>
      <c r="V2040" s="43" t="e">
        <f>IF(Planning[[#This Row],[Horas Planificadas]]&lt;&gt;0,Planning[[#This Row],[Horas utilizadas]]/Planning[[#This Row],[Horas Planificadas]],0)</f>
        <v>#REF!</v>
      </c>
      <c r="W2040" s="44">
        <f>Planning[[#This Row],[Horas Planificadas]]+Planning[[#This Row],[Horas ajustadas adicionales]]</f>
        <v>45</v>
      </c>
      <c r="X2040" s="142"/>
    </row>
    <row r="2041" spans="1:24" x14ac:dyDescent="0.2">
      <c r="A2041" s="7" t="s">
        <v>117</v>
      </c>
      <c r="B2041" s="7" t="s">
        <v>205</v>
      </c>
      <c r="C2041" s="3"/>
      <c r="D2041" s="3" t="s">
        <v>451</v>
      </c>
      <c r="E2041" s="4"/>
      <c r="F2041" s="3" t="s">
        <v>128</v>
      </c>
      <c r="G2041" s="9"/>
      <c r="H2041" s="9"/>
      <c r="I2041" s="12"/>
      <c r="J2041" s="5" t="e">
        <f>SUM(SUMIFS(#REF!,#REF!,Planning[[#This Row],[Tipo de Tarea y especialidad]],#REF!,Planning[[#This Row],[Proyectos Reiwa]]),SUMIFS(#REF!,#REF!,Planning[[#This Row],[Tipo de Tarea y especialidad]],#REF!,Planning[[#This Row],[Proyectos]]))</f>
        <v>#REF!</v>
      </c>
      <c r="K2041" s="5" t="e">
        <f>Planning[[#This Row],[Horas Planificadas]]+Planning[[#This Row],[Horas ajustadas adicionales]]-Planning[[#This Row],[Horas utilizadas]]</f>
        <v>#REF!</v>
      </c>
      <c r="L2041" s="7"/>
      <c r="M2041" s="19" t="e">
        <f>Planning[[#This Row],[Saldo]]-Planning[[#This Row],[Saldo estimado]]</f>
        <v>#REF!</v>
      </c>
      <c r="N2041" s="60" t="e">
        <f>+SUMIFS(#REF!,#REF!,Planning[[#This Row],[Proyectos]],#REF!,Planning[[#This Row],[Tipo de Tarea y especialidad]])</f>
        <v>#REF!</v>
      </c>
      <c r="O2041" s="19">
        <f t="shared" si="62"/>
        <v>10</v>
      </c>
      <c r="P2041" s="19">
        <f t="shared" si="63"/>
        <v>2024</v>
      </c>
      <c r="Q20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41" s="19" t="str">
        <f>TEXT(Planning[[#This Row],[Mes]]*29,"mmmm")</f>
        <v>October</v>
      </c>
      <c r="S20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41" s="193"/>
      <c r="U2041" s="43">
        <f>IF(Planning[[#This Row],[Horas Planificadas]]&lt;&gt;0,+K2041/Planning[[#This Row],[Horas Planificadas]],0)</f>
        <v>0</v>
      </c>
      <c r="V2041" s="43">
        <f>IF(Planning[[#This Row],[Horas Planificadas]]&lt;&gt;0,Planning[[#This Row],[Horas utilizadas]]/Planning[[#This Row],[Horas Planificadas]],0)</f>
        <v>0</v>
      </c>
      <c r="W2041" s="44">
        <f>Planning[[#This Row],[Horas Planificadas]]+Planning[[#This Row],[Horas ajustadas adicionales]]</f>
        <v>0</v>
      </c>
      <c r="X2041" s="142"/>
    </row>
    <row r="2042" spans="1:24" x14ac:dyDescent="0.2">
      <c r="A2042" s="7" t="s">
        <v>117</v>
      </c>
      <c r="B2042" s="7" t="s">
        <v>205</v>
      </c>
      <c r="C2042" s="3"/>
      <c r="D2042" s="3" t="s">
        <v>451</v>
      </c>
      <c r="E2042" s="4" t="s">
        <v>31</v>
      </c>
      <c r="F2042" s="3" t="s">
        <v>31</v>
      </c>
      <c r="G2042" s="9">
        <v>108</v>
      </c>
      <c r="H2042" s="18">
        <v>108</v>
      </c>
      <c r="I2042" s="18"/>
      <c r="J2042" s="14" t="e">
        <f>+SUMIFS(#REF!,#REF!,Planning[[#This Row],[Tarifa]],#REF!,Planning[[#This Row],[Proyectos]])</f>
        <v>#REF!</v>
      </c>
      <c r="K2042" s="24" t="e">
        <f>Planning[[#This Row],[Horas Planificadas]]+Planning[[#This Row],[Horas ajustadas adicionales]]-Planning[[#This Row],[Horas utilizadas]]</f>
        <v>#REF!</v>
      </c>
      <c r="L2042" s="15">
        <v>0</v>
      </c>
      <c r="M2042" s="16" t="e">
        <f>Planning[[#This Row],[Saldo]]-Planning[[#This Row],[Saldo estimado]]</f>
        <v>#REF!</v>
      </c>
      <c r="N2042" s="60" t="e">
        <f>+SUMIFS(#REF!,#REF!,Planning[[#This Row],[Proyectos]],#REF!,Planning[[#This Row],[Tipo de Tarea y especialidad]])</f>
        <v>#REF!</v>
      </c>
      <c r="O2042" s="16">
        <f t="shared" si="62"/>
        <v>10</v>
      </c>
      <c r="P2042" s="16">
        <f t="shared" si="63"/>
        <v>2024</v>
      </c>
      <c r="Q2042" s="16" t="e">
        <f>+SUMIFS(#REF!,#REF!,Planning[[#This Row],[Tarifa]],#REF!,Planning[[#This Row],[Proyectos]],#REF!,Planning[[#This Row],[Mes]],#REF!,Planning[[#This Row],[Año]])</f>
        <v>#REF!</v>
      </c>
      <c r="R2042" s="16" t="str">
        <f>TEXT(Planning[[#This Row],[Mes]]*29,"mmmm")</f>
        <v>October</v>
      </c>
      <c r="S20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42" s="193"/>
      <c r="U2042" s="43" t="e">
        <f>IF(Planning[[#This Row],[Horas Planificadas]]&lt;&gt;0,+K2042/Planning[[#This Row],[Horas Planificadas]],0)</f>
        <v>#REF!</v>
      </c>
      <c r="V2042" s="43" t="e">
        <f>IF(Planning[[#This Row],[Horas Planificadas]]&lt;&gt;0,Planning[[#This Row],[Horas utilizadas]]/Planning[[#This Row],[Horas Planificadas]],0)</f>
        <v>#REF!</v>
      </c>
      <c r="W2042" s="44">
        <f>Planning[[#This Row],[Horas Planificadas]]+Planning[[#This Row],[Horas ajustadas adicionales]]</f>
        <v>108</v>
      </c>
      <c r="X2042" s="142"/>
    </row>
    <row r="2043" spans="1:24" ht="22.5" x14ac:dyDescent="0.2">
      <c r="A2043" s="7" t="s">
        <v>117</v>
      </c>
      <c r="B2043" s="7" t="s">
        <v>205</v>
      </c>
      <c r="C2043" s="3"/>
      <c r="D2043" s="3" t="s">
        <v>451</v>
      </c>
      <c r="E2043" s="4" t="s">
        <v>32</v>
      </c>
      <c r="F2043" s="3"/>
      <c r="G2043" s="9">
        <v>59</v>
      </c>
      <c r="H2043" s="25">
        <f>SUM(H2044:H2046)</f>
        <v>45</v>
      </c>
      <c r="I2043" s="14"/>
      <c r="J2043" s="14" t="e">
        <f>SUM(J2044:J2046)</f>
        <v>#REF!</v>
      </c>
      <c r="K2043" s="18" t="e">
        <f>SUM(K2044:K2046)</f>
        <v>#REF!</v>
      </c>
      <c r="L2043" s="15">
        <f>SUM(L2044:L2046)</f>
        <v>0</v>
      </c>
      <c r="M2043" s="16" t="e">
        <f>SUM(M2044:M2046)</f>
        <v>#REF!</v>
      </c>
      <c r="N2043" s="60" t="e">
        <f>+SUMIFS(#REF!,#REF!,Planning[[#This Row],[Proyectos]],#REF!,Planning[[#This Row],[Tipo de Tarea y especialidad]])</f>
        <v>#REF!</v>
      </c>
      <c r="O2043" s="16">
        <f t="shared" si="62"/>
        <v>10</v>
      </c>
      <c r="P2043" s="16">
        <f t="shared" si="63"/>
        <v>2024</v>
      </c>
      <c r="Q2043" s="16" t="e">
        <f>SUM(Q2044:Q2046)</f>
        <v>#REF!</v>
      </c>
      <c r="R2043" s="16" t="str">
        <f>TEXT(Planning[[#This Row],[Mes]]*29,"mmmm")</f>
        <v>October</v>
      </c>
      <c r="S20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43" s="193"/>
      <c r="U2043" s="43" t="e">
        <f>IF(Planning[[#This Row],[Horas Planificadas]]&lt;&gt;0,+K2043/Planning[[#This Row],[Horas Planificadas]],0)</f>
        <v>#REF!</v>
      </c>
      <c r="V2043" s="43" t="e">
        <f>IF(Planning[[#This Row],[Horas Planificadas]]&lt;&gt;0,Planning[[#This Row],[Horas utilizadas]]/Planning[[#This Row],[Horas Planificadas]],0)</f>
        <v>#REF!</v>
      </c>
      <c r="W2043" s="44">
        <f>Planning[[#This Row],[Horas Planificadas]]+Planning[[#This Row],[Horas ajustadas adicionales]]</f>
        <v>45</v>
      </c>
      <c r="X2043" s="142"/>
    </row>
    <row r="2044" spans="1:24" x14ac:dyDescent="0.2">
      <c r="A2044" s="7" t="s">
        <v>117</v>
      </c>
      <c r="B2044" s="7" t="s">
        <v>205</v>
      </c>
      <c r="C2044" s="3"/>
      <c r="D2044" s="3" t="s">
        <v>451</v>
      </c>
      <c r="E2044" s="4"/>
      <c r="F2044" s="3" t="s">
        <v>129</v>
      </c>
      <c r="G2044" s="9"/>
      <c r="H2044" s="9"/>
      <c r="I2044" s="12"/>
      <c r="J2044" s="5" t="e">
        <f>SUM(SUMIFS(#REF!,#REF!,Planning[[#This Row],[Tipo de Tarea y especialidad]],#REF!,Planning[[#This Row],[Proyectos Reiwa]]),SUMIFS(#REF!,#REF!,Planning[[#This Row],[Tipo de Tarea y especialidad]],#REF!,Planning[[#This Row],[Proyectos]]))</f>
        <v>#REF!</v>
      </c>
      <c r="K2044" s="5" t="e">
        <f>Planning[[#This Row],[Horas Planificadas]]+Planning[[#This Row],[Horas ajustadas adicionales]]-Planning[[#This Row],[Horas utilizadas]]</f>
        <v>#REF!</v>
      </c>
      <c r="L2044" s="7"/>
      <c r="M2044" s="19" t="e">
        <f>Planning[[#This Row],[Saldo]]-Planning[[#This Row],[Saldo estimado]]</f>
        <v>#REF!</v>
      </c>
      <c r="N2044" s="60" t="e">
        <f>+SUMIFS(#REF!,#REF!,Planning[[#This Row],[Proyectos]],#REF!,Planning[[#This Row],[Tipo de Tarea y especialidad]])</f>
        <v>#REF!</v>
      </c>
      <c r="O2044" s="19">
        <f t="shared" si="62"/>
        <v>10</v>
      </c>
      <c r="P2044" s="19">
        <f t="shared" si="63"/>
        <v>2024</v>
      </c>
      <c r="Q20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44" s="19" t="str">
        <f>TEXT(Planning[[#This Row],[Mes]]*29,"mmmm")</f>
        <v>October</v>
      </c>
      <c r="S20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44" s="193"/>
      <c r="U2044" s="43">
        <f>IF(Planning[[#This Row],[Horas Planificadas]]&lt;&gt;0,+K2044/Planning[[#This Row],[Horas Planificadas]],0)</f>
        <v>0</v>
      </c>
      <c r="V2044" s="43">
        <f>IF(Planning[[#This Row],[Horas Planificadas]]&lt;&gt;0,Planning[[#This Row],[Horas utilizadas]]/Planning[[#This Row],[Horas Planificadas]],0)</f>
        <v>0</v>
      </c>
      <c r="W2044" s="44">
        <f>Planning[[#This Row],[Horas Planificadas]]+Planning[[#This Row],[Horas ajustadas adicionales]]</f>
        <v>0</v>
      </c>
      <c r="X2044" s="142"/>
    </row>
    <row r="2045" spans="1:24" x14ac:dyDescent="0.2">
      <c r="A2045" s="7" t="s">
        <v>117</v>
      </c>
      <c r="B2045" s="7" t="s">
        <v>205</v>
      </c>
      <c r="C2045" s="3"/>
      <c r="D2045" s="3" t="s">
        <v>451</v>
      </c>
      <c r="E2045" s="4"/>
      <c r="F2045" s="3" t="s">
        <v>130</v>
      </c>
      <c r="G2045" s="9"/>
      <c r="H2045" s="9">
        <v>45</v>
      </c>
      <c r="I2045" s="12"/>
      <c r="J2045" s="5" t="e">
        <f>SUM(SUMIFS(#REF!,#REF!,Planning[[#This Row],[Tipo de Tarea y especialidad]],#REF!,Planning[[#This Row],[Proyectos Reiwa]]),SUMIFS(#REF!,#REF!,Planning[[#This Row],[Tipo de Tarea y especialidad]],#REF!,Planning[[#This Row],[Proyectos]]))</f>
        <v>#REF!</v>
      </c>
      <c r="K2045" s="5" t="e">
        <f>Planning[[#This Row],[Horas Planificadas]]+Planning[[#This Row],[Horas ajustadas adicionales]]-Planning[[#This Row],[Horas utilizadas]]</f>
        <v>#REF!</v>
      </c>
      <c r="L2045" s="7">
        <v>0</v>
      </c>
      <c r="M2045" s="19" t="e">
        <f>Planning[[#This Row],[Saldo]]-Planning[[#This Row],[Saldo estimado]]</f>
        <v>#REF!</v>
      </c>
      <c r="N2045" s="60" t="e">
        <f>+SUMIFS(#REF!,#REF!,Planning[[#This Row],[Proyectos]],#REF!,Planning[[#This Row],[Tipo de Tarea y especialidad]])</f>
        <v>#REF!</v>
      </c>
      <c r="O2045" s="19">
        <f t="shared" si="62"/>
        <v>10</v>
      </c>
      <c r="P2045" s="19">
        <f t="shared" si="63"/>
        <v>2024</v>
      </c>
      <c r="Q20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45" s="19" t="str">
        <f>TEXT(Planning[[#This Row],[Mes]]*29,"mmmm")</f>
        <v>October</v>
      </c>
      <c r="S20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45" s="193"/>
      <c r="U2045" s="43" t="e">
        <f>IF(Planning[[#This Row],[Horas Planificadas]]&lt;&gt;0,+K2045/Planning[[#This Row],[Horas Planificadas]],0)</f>
        <v>#REF!</v>
      </c>
      <c r="V2045" s="43" t="e">
        <f>IF(Planning[[#This Row],[Horas Planificadas]]&lt;&gt;0,Planning[[#This Row],[Horas utilizadas]]/Planning[[#This Row],[Horas Planificadas]],0)</f>
        <v>#REF!</v>
      </c>
      <c r="W2045" s="44">
        <f>Planning[[#This Row],[Horas Planificadas]]+Planning[[#This Row],[Horas ajustadas adicionales]]</f>
        <v>45</v>
      </c>
      <c r="X2045" s="142"/>
    </row>
    <row r="2046" spans="1:24" x14ac:dyDescent="0.2">
      <c r="A2046" s="7" t="s">
        <v>117</v>
      </c>
      <c r="B2046" s="7" t="s">
        <v>205</v>
      </c>
      <c r="C2046" s="3"/>
      <c r="D2046" s="3" t="s">
        <v>451</v>
      </c>
      <c r="E2046" s="4"/>
      <c r="F2046" s="3" t="s">
        <v>131</v>
      </c>
      <c r="G2046" s="9"/>
      <c r="H2046" s="9"/>
      <c r="I2046" s="12"/>
      <c r="J2046" s="5" t="e">
        <f>SUM(SUMIFS(#REF!,#REF!,Planning[[#This Row],[Tipo de Tarea y especialidad]],#REF!,Planning[[#This Row],[Proyectos Reiwa]]),SUMIFS(#REF!,#REF!,Planning[[#This Row],[Tipo de Tarea y especialidad]],#REF!,Planning[[#This Row],[Proyectos]]))</f>
        <v>#REF!</v>
      </c>
      <c r="K2046" s="5" t="e">
        <f>Planning[[#This Row],[Horas Planificadas]]+Planning[[#This Row],[Horas ajustadas adicionales]]-Planning[[#This Row],[Horas utilizadas]]</f>
        <v>#REF!</v>
      </c>
      <c r="L2046" s="7"/>
      <c r="M2046" s="19" t="e">
        <f>Planning[[#This Row],[Saldo]]-Planning[[#This Row],[Saldo estimado]]</f>
        <v>#REF!</v>
      </c>
      <c r="N2046" s="60" t="e">
        <f>+SUMIFS(#REF!,#REF!,Planning[[#This Row],[Proyectos]],#REF!,Planning[[#This Row],[Tipo de Tarea y especialidad]])</f>
        <v>#REF!</v>
      </c>
      <c r="O2046" s="19">
        <f t="shared" si="62"/>
        <v>10</v>
      </c>
      <c r="P2046" s="19">
        <f t="shared" si="63"/>
        <v>2024</v>
      </c>
      <c r="Q20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46" s="19" t="str">
        <f>TEXT(Planning[[#This Row],[Mes]]*29,"mmmm")</f>
        <v>October</v>
      </c>
      <c r="S20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46" s="193"/>
      <c r="U2046" s="43">
        <f>IF(Planning[[#This Row],[Horas Planificadas]]&lt;&gt;0,+K2046/Planning[[#This Row],[Horas Planificadas]],0)</f>
        <v>0</v>
      </c>
      <c r="V2046" s="43">
        <f>IF(Planning[[#This Row],[Horas Planificadas]]&lt;&gt;0,Planning[[#This Row],[Horas utilizadas]]/Planning[[#This Row],[Horas Planificadas]],0)</f>
        <v>0</v>
      </c>
      <c r="W2046" s="44">
        <f>Planning[[#This Row],[Horas Planificadas]]+Planning[[#This Row],[Horas ajustadas adicionales]]</f>
        <v>0</v>
      </c>
      <c r="X2046" s="142"/>
    </row>
    <row r="2047" spans="1:24" ht="22.5" x14ac:dyDescent="0.2">
      <c r="A2047" s="7"/>
      <c r="B2047" s="7"/>
      <c r="C2047" s="3"/>
      <c r="D2047" s="3" t="s">
        <v>453</v>
      </c>
      <c r="E2047" s="4" t="s">
        <v>28</v>
      </c>
      <c r="F2047" s="3"/>
      <c r="G2047" s="9"/>
      <c r="H2047" s="9">
        <v>0</v>
      </c>
      <c r="I2047" s="12"/>
      <c r="J2047" s="5" t="e">
        <f>+SUMIFS(#REF!,#REF!,Planning[[#This Row],[Tarifa]],#REF!,Planning[[#This Row],[Proyectos]])</f>
        <v>#REF!</v>
      </c>
      <c r="K2047" s="5" t="e">
        <f>Planning[[#This Row],[Horas Planificadas]]+Planning[[#This Row],[Horas ajustadas adicionales]]-Planning[[#This Row],[Horas utilizadas]]</f>
        <v>#REF!</v>
      </c>
      <c r="L2047" s="7"/>
      <c r="M2047" s="19" t="e">
        <f>Planning[[#This Row],[Saldo]]-Planning[[#This Row],[Saldo estimado]]</f>
        <v>#REF!</v>
      </c>
      <c r="N2047" s="60" t="e">
        <f>+SUMIFS(#REF!,#REF!,Planning[[#This Row],[Proyectos]],#REF!,Planning[[#This Row],[Tipo de Tarea y especialidad]])</f>
        <v>#REF!</v>
      </c>
      <c r="O2047" s="19">
        <f t="shared" si="62"/>
        <v>10</v>
      </c>
      <c r="P2047" s="19">
        <f t="shared" si="63"/>
        <v>2024</v>
      </c>
      <c r="Q2047" s="19" t="e">
        <f>+SUMIFS(#REF!,#REF!,Planning[[#This Row],[Tarifa]],#REF!,Planning[[#This Row],[Proyectos]],#REF!,Planning[[#This Row],[Mes]],#REF!,Planning[[#This Row],[Año]])</f>
        <v>#REF!</v>
      </c>
      <c r="R2047" s="19" t="str">
        <f>TEXT(Planning[[#This Row],[Mes]]*29,"mmmm")</f>
        <v>October</v>
      </c>
      <c r="S20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47" s="228"/>
      <c r="U2047" s="43">
        <f>IF(Planning[[#This Row],[Horas Planificadas]]&lt;&gt;0,+K2047/Planning[[#This Row],[Horas Planificadas]],0)</f>
        <v>0</v>
      </c>
      <c r="V2047" s="43">
        <f>IF(Planning[[#This Row],[Horas Planificadas]]&lt;&gt;0,Planning[[#This Row],[Horas utilizadas]]/Planning[[#This Row],[Horas Planificadas]],0)</f>
        <v>0</v>
      </c>
      <c r="W2047" s="44">
        <f>Planning[[#This Row],[Horas Planificadas]]+Planning[[#This Row],[Horas ajustadas adicionales]]</f>
        <v>0</v>
      </c>
      <c r="X2047" s="142"/>
    </row>
    <row r="2048" spans="1:24" x14ac:dyDescent="0.2">
      <c r="A2048" s="7"/>
      <c r="B2048" s="7"/>
      <c r="C2048" s="3"/>
      <c r="D2048" s="3" t="s">
        <v>453</v>
      </c>
      <c r="E2048" s="4" t="s">
        <v>30</v>
      </c>
      <c r="F2048" s="3"/>
      <c r="G2048" s="9"/>
      <c r="H2048" s="9">
        <v>45</v>
      </c>
      <c r="I2048" s="12"/>
      <c r="J2048" s="5" t="e">
        <f>+SUMIFS(#REF!,#REF!,Planning[[#This Row],[Tarifa]],#REF!,Planning[[#This Row],[Proyectos]])</f>
        <v>#REF!</v>
      </c>
      <c r="K2048" s="5" t="e">
        <f>Planning[[#This Row],[Horas Planificadas]]+Planning[[#This Row],[Horas ajustadas adicionales]]-Planning[[#This Row],[Horas utilizadas]]</f>
        <v>#REF!</v>
      </c>
      <c r="L2048" s="7"/>
      <c r="M2048" s="19" t="e">
        <f>Planning[[#This Row],[Saldo]]-Planning[[#This Row],[Saldo estimado]]</f>
        <v>#REF!</v>
      </c>
      <c r="N2048" s="60" t="e">
        <f>+SUMIFS(#REF!,#REF!,Planning[[#This Row],[Proyectos]],#REF!,Planning[[#This Row],[Tipo de Tarea y especialidad]])</f>
        <v>#REF!</v>
      </c>
      <c r="O2048" s="19">
        <f t="shared" si="62"/>
        <v>10</v>
      </c>
      <c r="P2048" s="19">
        <f t="shared" si="63"/>
        <v>2024</v>
      </c>
      <c r="Q2048" s="19" t="e">
        <f>+SUMIFS(#REF!,#REF!,Planning[[#This Row],[Tarifa]],#REF!,Planning[[#This Row],[Proyectos]],#REF!,Planning[[#This Row],[Mes]],#REF!,Planning[[#This Row],[Año]])</f>
        <v>#REF!</v>
      </c>
      <c r="R2048" s="19" t="str">
        <f>TEXT(Planning[[#This Row],[Mes]]*29,"mmmm")</f>
        <v>October</v>
      </c>
      <c r="S20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48" s="228"/>
      <c r="U2048" s="43" t="e">
        <f>IF(Planning[[#This Row],[Horas Planificadas]]&lt;&gt;0,+K2048/Planning[[#This Row],[Horas Planificadas]],0)</f>
        <v>#REF!</v>
      </c>
      <c r="V2048" s="43" t="e">
        <f>IF(Planning[[#This Row],[Horas Planificadas]]&lt;&gt;0,Planning[[#This Row],[Horas utilizadas]]/Planning[[#This Row],[Horas Planificadas]],0)</f>
        <v>#REF!</v>
      </c>
      <c r="W2048" s="44">
        <f>Planning[[#This Row],[Horas Planificadas]]+Planning[[#This Row],[Horas ajustadas adicionales]]</f>
        <v>45</v>
      </c>
      <c r="X2048" s="142"/>
    </row>
    <row r="2049" spans="1:24" x14ac:dyDescent="0.2">
      <c r="A2049" s="7"/>
      <c r="B2049" s="7"/>
      <c r="C2049" s="3"/>
      <c r="D2049" s="3" t="s">
        <v>453</v>
      </c>
      <c r="E2049" s="4" t="s">
        <v>31</v>
      </c>
      <c r="F2049" s="3"/>
      <c r="G2049" s="9"/>
      <c r="H2049" s="9">
        <v>0</v>
      </c>
      <c r="I2049" s="12"/>
      <c r="J2049" s="5" t="e">
        <f>+SUMIFS(#REF!,#REF!,Planning[[#This Row],[Tarifa]],#REF!,Planning[[#This Row],[Proyectos]])</f>
        <v>#REF!</v>
      </c>
      <c r="K2049" s="5" t="e">
        <f>Planning[[#This Row],[Horas Planificadas]]+Planning[[#This Row],[Horas ajustadas adicionales]]-Planning[[#This Row],[Horas utilizadas]]</f>
        <v>#REF!</v>
      </c>
      <c r="L2049" s="7"/>
      <c r="M2049" s="19" t="e">
        <f>Planning[[#This Row],[Saldo]]-Planning[[#This Row],[Saldo estimado]]</f>
        <v>#REF!</v>
      </c>
      <c r="N2049" s="60" t="e">
        <f>+SUMIFS(#REF!,#REF!,Planning[[#This Row],[Proyectos]],#REF!,Planning[[#This Row],[Tipo de Tarea y especialidad]])</f>
        <v>#REF!</v>
      </c>
      <c r="O2049" s="19">
        <f t="shared" si="62"/>
        <v>10</v>
      </c>
      <c r="P2049" s="19">
        <f t="shared" si="63"/>
        <v>2024</v>
      </c>
      <c r="Q2049" s="19" t="e">
        <f>+SUMIFS(#REF!,#REF!,Planning[[#This Row],[Tarifa]],#REF!,Planning[[#This Row],[Proyectos]],#REF!,Planning[[#This Row],[Mes]],#REF!,Planning[[#This Row],[Año]])</f>
        <v>#REF!</v>
      </c>
      <c r="R2049" s="19" t="str">
        <f>TEXT(Planning[[#This Row],[Mes]]*29,"mmmm")</f>
        <v>October</v>
      </c>
      <c r="S20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49" s="228"/>
      <c r="U2049" s="43">
        <f>IF(Planning[[#This Row],[Horas Planificadas]]&lt;&gt;0,+K2049/Planning[[#This Row],[Horas Planificadas]],0)</f>
        <v>0</v>
      </c>
      <c r="V2049" s="43">
        <f>IF(Planning[[#This Row],[Horas Planificadas]]&lt;&gt;0,Planning[[#This Row],[Horas utilizadas]]/Planning[[#This Row],[Horas Planificadas]],0)</f>
        <v>0</v>
      </c>
      <c r="W2049" s="44">
        <f>Planning[[#This Row],[Horas Planificadas]]+Planning[[#This Row],[Horas ajustadas adicionales]]</f>
        <v>0</v>
      </c>
      <c r="X2049" s="142"/>
    </row>
    <row r="2050" spans="1:24" ht="22.5" x14ac:dyDescent="0.2">
      <c r="A2050" s="7"/>
      <c r="B2050" s="7"/>
      <c r="C2050" s="3"/>
      <c r="D2050" s="3" t="s">
        <v>453</v>
      </c>
      <c r="E2050" s="4" t="s">
        <v>32</v>
      </c>
      <c r="F2050" s="3"/>
      <c r="G2050" s="9"/>
      <c r="H2050" s="9">
        <v>100</v>
      </c>
      <c r="I2050" s="12"/>
      <c r="J2050" s="5" t="e">
        <f>+SUMIFS(#REF!,#REF!,Planning[[#This Row],[Tarifa]],#REF!,Planning[[#This Row],[Proyectos]])</f>
        <v>#REF!</v>
      </c>
      <c r="K2050" s="5" t="e">
        <f>Planning[[#This Row],[Horas Planificadas]]+Planning[[#This Row],[Horas ajustadas adicionales]]-Planning[[#This Row],[Horas utilizadas]]</f>
        <v>#REF!</v>
      </c>
      <c r="L2050" s="7"/>
      <c r="M2050" s="19" t="e">
        <f>Planning[[#This Row],[Saldo]]-Planning[[#This Row],[Saldo estimado]]</f>
        <v>#REF!</v>
      </c>
      <c r="N2050" s="60" t="e">
        <f>+SUMIFS(#REF!,#REF!,Planning[[#This Row],[Proyectos]],#REF!,Planning[[#This Row],[Tipo de Tarea y especialidad]])</f>
        <v>#REF!</v>
      </c>
      <c r="O2050" s="19">
        <f t="shared" si="62"/>
        <v>10</v>
      </c>
      <c r="P2050" s="19">
        <f t="shared" si="63"/>
        <v>2024</v>
      </c>
      <c r="Q2050" s="19" t="e">
        <f>+SUMIFS(#REF!,#REF!,Planning[[#This Row],[Tarifa]],#REF!,Planning[[#This Row],[Proyectos]],#REF!,Planning[[#This Row],[Mes]],#REF!,Planning[[#This Row],[Año]])</f>
        <v>#REF!</v>
      </c>
      <c r="R2050" s="19" t="str">
        <f>TEXT(Planning[[#This Row],[Mes]]*29,"mmmm")</f>
        <v>October</v>
      </c>
      <c r="S20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50" s="228"/>
      <c r="U2050" s="43" t="e">
        <f>IF(Planning[[#This Row],[Horas Planificadas]]&lt;&gt;0,+K2050/Planning[[#This Row],[Horas Planificadas]],0)</f>
        <v>#REF!</v>
      </c>
      <c r="V2050" s="43" t="e">
        <f>IF(Planning[[#This Row],[Horas Planificadas]]&lt;&gt;0,Planning[[#This Row],[Horas utilizadas]]/Planning[[#This Row],[Horas Planificadas]],0)</f>
        <v>#REF!</v>
      </c>
      <c r="W2050" s="44">
        <f>Planning[[#This Row],[Horas Planificadas]]+Planning[[#This Row],[Horas ajustadas adicionales]]</f>
        <v>100</v>
      </c>
      <c r="X2050" s="142"/>
    </row>
    <row r="2051" spans="1:24" ht="22.5" x14ac:dyDescent="0.2">
      <c r="A2051" s="7" t="s">
        <v>389</v>
      </c>
      <c r="B2051" s="7" t="s">
        <v>178</v>
      </c>
      <c r="C2051" s="3"/>
      <c r="D2051" s="3" t="s">
        <v>454</v>
      </c>
      <c r="E2051" s="4" t="s">
        <v>28</v>
      </c>
      <c r="F2051" s="3"/>
      <c r="G2051" s="9">
        <v>1386</v>
      </c>
      <c r="H2051" s="14">
        <f>SUM(H2052:H2053)</f>
        <v>1954</v>
      </c>
      <c r="I2051" s="14"/>
      <c r="J2051" s="14" t="e">
        <f>SUM(J2052:J2053)</f>
        <v>#REF!</v>
      </c>
      <c r="K2051" s="15" t="e">
        <f>SUM(K2052:K2053)</f>
        <v>#REF!</v>
      </c>
      <c r="L2051" s="15">
        <f>SUM(L2052:L2053)</f>
        <v>0</v>
      </c>
      <c r="M2051" s="28" t="e">
        <f>SUM(M2052:M2053)</f>
        <v>#REF!</v>
      </c>
      <c r="N2051" s="61" t="e">
        <f>+SUMIFS(#REF!,#REF!,Planning[[#This Row],[Proyectos]],#REF!,Planning[[#This Row],[Tipo de Tarea y especialidad]])</f>
        <v>#REF!</v>
      </c>
      <c r="O2051" s="28">
        <f t="shared" si="62"/>
        <v>10</v>
      </c>
      <c r="P2051" s="28">
        <f t="shared" si="63"/>
        <v>2024</v>
      </c>
      <c r="Q2051" s="28" t="e">
        <f>SUM(Q2052:Q2053)</f>
        <v>#REF!</v>
      </c>
      <c r="R2051" s="28" t="str">
        <f>TEXT(Planning[[#This Row],[Mes]]*29,"mmmm")</f>
        <v>October</v>
      </c>
      <c r="S20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51" s="192" t="s">
        <v>455</v>
      </c>
      <c r="U2051" s="43" t="e">
        <f>IF(Planning[[#This Row],[Horas Planificadas]]&lt;&gt;0,+K2051/Planning[[#This Row],[Horas Planificadas]],0)</f>
        <v>#REF!</v>
      </c>
      <c r="V2051" s="43" t="e">
        <f>IF(Planning[[#This Row],[Horas Planificadas]]&lt;&gt;0,Planning[[#This Row],[Horas utilizadas]]/Planning[[#This Row],[Horas Planificadas]],0)</f>
        <v>#REF!</v>
      </c>
      <c r="W2051" s="44">
        <f>Planning[[#This Row],[Horas Planificadas]]+Planning[[#This Row],[Horas ajustadas adicionales]]</f>
        <v>1954</v>
      </c>
      <c r="X2051" s="142"/>
    </row>
    <row r="2052" spans="1:24" x14ac:dyDescent="0.2">
      <c r="A2052" s="7" t="s">
        <v>389</v>
      </c>
      <c r="B2052" s="7" t="s">
        <v>178</v>
      </c>
      <c r="C2052" s="3"/>
      <c r="D2052" s="3" t="s">
        <v>454</v>
      </c>
      <c r="E2052" s="4"/>
      <c r="F2052" s="3" t="s">
        <v>120</v>
      </c>
      <c r="G2052" s="9"/>
      <c r="H2052" s="9">
        <v>1290</v>
      </c>
      <c r="I2052" s="12"/>
      <c r="J2052" s="5" t="e">
        <f>SUM(SUMIFS(#REF!,#REF!,Planning[[#This Row],[Tipo de Tarea y especialidad]],#REF!,Planning[[#This Row],[Proyectos Reiwa]]),SUMIFS(#REF!,#REF!,Planning[[#This Row],[Tipo de Tarea y especialidad]],#REF!,Planning[[#This Row],[Proyectos]]))</f>
        <v>#REF!</v>
      </c>
      <c r="K2052" s="5" t="e">
        <f>Planning[[#This Row],[Horas Planificadas]]+Planning[[#This Row],[Horas ajustadas adicionales]]-Planning[[#This Row],[Horas utilizadas]]</f>
        <v>#REF!</v>
      </c>
      <c r="L2052" s="7">
        <v>0</v>
      </c>
      <c r="M2052" s="19" t="e">
        <f>Planning[[#This Row],[Saldo]]-Planning[[#This Row],[Saldo estimado]]</f>
        <v>#REF!</v>
      </c>
      <c r="N2052" s="60" t="e">
        <f>+SUMIFS(#REF!,#REF!,Planning[[#This Row],[Proyectos]],#REF!,Planning[[#This Row],[Tipo de Tarea y especialidad]])</f>
        <v>#REF!</v>
      </c>
      <c r="O2052" s="19">
        <f t="shared" si="62"/>
        <v>10</v>
      </c>
      <c r="P2052" s="19">
        <f t="shared" si="63"/>
        <v>2024</v>
      </c>
      <c r="Q20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52" s="19" t="str">
        <f>TEXT(Planning[[#This Row],[Mes]]*29,"mmmm")</f>
        <v>October</v>
      </c>
      <c r="S20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52" s="193"/>
      <c r="U2052" s="43" t="e">
        <f>IF(Planning[[#This Row],[Horas Planificadas]]&lt;&gt;0,+K2052/Planning[[#This Row],[Horas Planificadas]],0)</f>
        <v>#REF!</v>
      </c>
      <c r="V2052" s="43" t="e">
        <f>IF(Planning[[#This Row],[Horas Planificadas]]&lt;&gt;0,Planning[[#This Row],[Horas utilizadas]]/Planning[[#This Row],[Horas Planificadas]],0)</f>
        <v>#REF!</v>
      </c>
      <c r="W2052" s="44">
        <f>Planning[[#This Row],[Horas Planificadas]]+Planning[[#This Row],[Horas ajustadas adicionales]]</f>
        <v>1290</v>
      </c>
      <c r="X2052" s="142"/>
    </row>
    <row r="2053" spans="1:24" x14ac:dyDescent="0.2">
      <c r="A2053" s="7" t="s">
        <v>389</v>
      </c>
      <c r="B2053" s="7" t="s">
        <v>178</v>
      </c>
      <c r="C2053" s="3"/>
      <c r="D2053" s="3" t="s">
        <v>454</v>
      </c>
      <c r="E2053" s="4"/>
      <c r="F2053" s="3" t="s">
        <v>121</v>
      </c>
      <c r="G2053" s="9"/>
      <c r="H2053" s="9">
        <v>664</v>
      </c>
      <c r="I2053" s="12"/>
      <c r="J2053" s="5" t="e">
        <f>SUM(SUMIFS(#REF!,#REF!,Planning[[#This Row],[Tipo de Tarea y especialidad]],#REF!,Planning[[#This Row],[Proyectos Reiwa]]),SUMIFS(#REF!,#REF!,Planning[[#This Row],[Tipo de Tarea y especialidad]],#REF!,Planning[[#This Row],[Proyectos]]))</f>
        <v>#REF!</v>
      </c>
      <c r="K2053" s="5" t="e">
        <f>Planning[[#This Row],[Horas Planificadas]]+Planning[[#This Row],[Horas ajustadas adicionales]]-Planning[[#This Row],[Horas utilizadas]]</f>
        <v>#REF!</v>
      </c>
      <c r="L2053" s="7">
        <v>0</v>
      </c>
      <c r="M2053" s="19" t="e">
        <f>Planning[[#This Row],[Saldo]]-Planning[[#This Row],[Saldo estimado]]</f>
        <v>#REF!</v>
      </c>
      <c r="N2053" s="60" t="e">
        <f>+SUMIFS(#REF!,#REF!,Planning[[#This Row],[Proyectos]],#REF!,Planning[[#This Row],[Tipo de Tarea y especialidad]])</f>
        <v>#REF!</v>
      </c>
      <c r="O2053" s="19">
        <f t="shared" si="62"/>
        <v>10</v>
      </c>
      <c r="P2053" s="19">
        <f t="shared" si="63"/>
        <v>2024</v>
      </c>
      <c r="Q20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53" s="19" t="str">
        <f>TEXT(Planning[[#This Row],[Mes]]*29,"mmmm")</f>
        <v>October</v>
      </c>
      <c r="S20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53" s="193"/>
      <c r="U2053" s="43" t="e">
        <f>IF(Planning[[#This Row],[Horas Planificadas]]&lt;&gt;0,+K2053/Planning[[#This Row],[Horas Planificadas]],0)</f>
        <v>#REF!</v>
      </c>
      <c r="V2053" s="43" t="e">
        <f>IF(Planning[[#This Row],[Horas Planificadas]]&lt;&gt;0,Planning[[#This Row],[Horas utilizadas]]/Planning[[#This Row],[Horas Planificadas]],0)</f>
        <v>#REF!</v>
      </c>
      <c r="W2053" s="44">
        <f>Planning[[#This Row],[Horas Planificadas]]+Planning[[#This Row],[Horas ajustadas adicionales]]</f>
        <v>664</v>
      </c>
      <c r="X2053" s="142"/>
    </row>
    <row r="2054" spans="1:24" x14ac:dyDescent="0.2">
      <c r="A2054" s="7" t="s">
        <v>389</v>
      </c>
      <c r="B2054" s="7" t="s">
        <v>178</v>
      </c>
      <c r="C2054" s="3"/>
      <c r="D2054" s="3" t="s">
        <v>454</v>
      </c>
      <c r="E2054" s="4" t="s">
        <v>30</v>
      </c>
      <c r="F2054" s="3"/>
      <c r="G2054" s="9">
        <v>1326</v>
      </c>
      <c r="H2054" s="25">
        <f>SUM(H2055:H2061)</f>
        <v>1705</v>
      </c>
      <c r="I2054" s="14"/>
      <c r="J2054" s="14" t="e">
        <f>SUM(J2055:J2061)</f>
        <v>#REF!</v>
      </c>
      <c r="K2054" s="18" t="e">
        <f>SUM(K2055:K2061)</f>
        <v>#REF!</v>
      </c>
      <c r="L2054" s="15">
        <f>SUM(L2055:L2061)</f>
        <v>0</v>
      </c>
      <c r="M2054" s="16" t="e">
        <f>SUM(M2055:M2061)</f>
        <v>#REF!</v>
      </c>
      <c r="N2054" s="60" t="e">
        <f>+SUMIFS(#REF!,#REF!,Planning[[#This Row],[Proyectos]],#REF!,Planning[[#This Row],[Tipo de Tarea y especialidad]])</f>
        <v>#REF!</v>
      </c>
      <c r="O2054" s="16">
        <f t="shared" si="62"/>
        <v>10</v>
      </c>
      <c r="P2054" s="16">
        <f t="shared" si="63"/>
        <v>2024</v>
      </c>
      <c r="Q2054" s="16" t="e">
        <f>SUM(Q2055:Q2061)</f>
        <v>#REF!</v>
      </c>
      <c r="R2054" s="16" t="str">
        <f>TEXT(Planning[[#This Row],[Mes]]*29,"mmmm")</f>
        <v>October</v>
      </c>
      <c r="S20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54" s="193"/>
      <c r="U2054" s="43" t="e">
        <f>IF(Planning[[#This Row],[Horas Planificadas]]&lt;&gt;0,+K2054/Planning[[#This Row],[Horas Planificadas]],0)</f>
        <v>#REF!</v>
      </c>
      <c r="V2054" s="43" t="e">
        <f>IF(Planning[[#This Row],[Horas Planificadas]]&lt;&gt;0,Planning[[#This Row],[Horas utilizadas]]/Planning[[#This Row],[Horas Planificadas]],0)</f>
        <v>#REF!</v>
      </c>
      <c r="W2054" s="44">
        <f>Planning[[#This Row],[Horas Planificadas]]+Planning[[#This Row],[Horas ajustadas adicionales]]</f>
        <v>1705</v>
      </c>
      <c r="X2054" s="142"/>
    </row>
    <row r="2055" spans="1:24" x14ac:dyDescent="0.2">
      <c r="A2055" s="7" t="s">
        <v>389</v>
      </c>
      <c r="B2055" s="7" t="s">
        <v>178</v>
      </c>
      <c r="C2055" s="3"/>
      <c r="D2055" s="3" t="s">
        <v>454</v>
      </c>
      <c r="E2055" s="4"/>
      <c r="F2055" s="3" t="s">
        <v>122</v>
      </c>
      <c r="G2055" s="9"/>
      <c r="H2055" s="12">
        <v>696</v>
      </c>
      <c r="I2055" s="12"/>
      <c r="J2055" s="5" t="e">
        <f>SUM(SUMIFS(#REF!,#REF!,Planning[[#This Row],[Tipo de Tarea y especialidad]],#REF!,Planning[[#This Row],[Proyectos Reiwa]]),SUMIFS(#REF!,#REF!,Planning[[#This Row],[Tipo de Tarea y especialidad]],#REF!,Planning[[#This Row],[Proyectos]]))</f>
        <v>#REF!</v>
      </c>
      <c r="K2055" s="27" t="e">
        <f>Planning[[#This Row],[Horas Planificadas]]+Planning[[#This Row],[Horas ajustadas adicionales]]-Planning[[#This Row],[Horas utilizadas]]</f>
        <v>#REF!</v>
      </c>
      <c r="L2055" s="7">
        <v>0</v>
      </c>
      <c r="M2055" s="34" t="e">
        <f>Planning[[#This Row],[Saldo]]-Planning[[#This Row],[Saldo estimado]]</f>
        <v>#REF!</v>
      </c>
      <c r="N2055" s="62" t="e">
        <f>+SUMIFS(#REF!,#REF!,Planning[[#This Row],[Proyectos]],#REF!,Planning[[#This Row],[Tipo de Tarea y especialidad]])</f>
        <v>#REF!</v>
      </c>
      <c r="O2055" s="34">
        <f t="shared" ref="O2055:O2118" si="64">$L$4</f>
        <v>10</v>
      </c>
      <c r="P2055" s="34">
        <f t="shared" ref="P2055:P2118" si="65">$M$4</f>
        <v>2024</v>
      </c>
      <c r="Q20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55" s="19" t="str">
        <f>TEXT(Planning[[#This Row],[Mes]]*29,"mmmm")</f>
        <v>October</v>
      </c>
      <c r="S20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55" s="193"/>
      <c r="U2055" s="43" t="e">
        <f>IF(Planning[[#This Row],[Horas Planificadas]]&lt;&gt;0,+K2055/Planning[[#This Row],[Horas Planificadas]],0)</f>
        <v>#REF!</v>
      </c>
      <c r="V2055" s="43" t="e">
        <f>IF(Planning[[#This Row],[Horas Planificadas]]&lt;&gt;0,Planning[[#This Row],[Horas utilizadas]]/Planning[[#This Row],[Horas Planificadas]],0)</f>
        <v>#REF!</v>
      </c>
      <c r="W2055" s="44">
        <f>Planning[[#This Row],[Horas Planificadas]]+Planning[[#This Row],[Horas ajustadas adicionales]]</f>
        <v>696</v>
      </c>
      <c r="X2055" s="142"/>
    </row>
    <row r="2056" spans="1:24" x14ac:dyDescent="0.2">
      <c r="A2056" s="7" t="s">
        <v>389</v>
      </c>
      <c r="B2056" s="7" t="s">
        <v>178</v>
      </c>
      <c r="C2056" s="3"/>
      <c r="D2056" s="3" t="s">
        <v>454</v>
      </c>
      <c r="E2056" s="4"/>
      <c r="F2056" s="3" t="s">
        <v>123</v>
      </c>
      <c r="G2056" s="9"/>
      <c r="H2056" s="9">
        <v>449</v>
      </c>
      <c r="I2056" s="12"/>
      <c r="J2056" s="5" t="e">
        <f>SUM(SUMIFS(#REF!,#REF!,Planning[[#This Row],[Tipo de Tarea y especialidad]],#REF!,Planning[[#This Row],[Proyectos Reiwa]]),SUMIFS(#REF!,#REF!,Planning[[#This Row],[Tipo de Tarea y especialidad]],#REF!,Planning[[#This Row],[Proyectos]]))</f>
        <v>#REF!</v>
      </c>
      <c r="K2056" s="5" t="e">
        <f>Planning[[#This Row],[Horas Planificadas]]+Planning[[#This Row],[Horas ajustadas adicionales]]-Planning[[#This Row],[Horas utilizadas]]</f>
        <v>#REF!</v>
      </c>
      <c r="L2056" s="7">
        <v>0</v>
      </c>
      <c r="M2056" s="19" t="e">
        <f>Planning[[#This Row],[Saldo]]-Planning[[#This Row],[Saldo estimado]]</f>
        <v>#REF!</v>
      </c>
      <c r="N2056" s="60" t="e">
        <f>+SUMIFS(#REF!,#REF!,Planning[[#This Row],[Proyectos]],#REF!,Planning[[#This Row],[Tipo de Tarea y especialidad]])</f>
        <v>#REF!</v>
      </c>
      <c r="O2056" s="19">
        <f t="shared" si="64"/>
        <v>10</v>
      </c>
      <c r="P2056" s="19">
        <f t="shared" si="65"/>
        <v>2024</v>
      </c>
      <c r="Q20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56" s="19" t="str">
        <f>TEXT(Planning[[#This Row],[Mes]]*29,"mmmm")</f>
        <v>October</v>
      </c>
      <c r="S20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56" s="193"/>
      <c r="U2056" s="43" t="e">
        <f>IF(Planning[[#This Row],[Horas Planificadas]]&lt;&gt;0,+K2056/Planning[[#This Row],[Horas Planificadas]],0)</f>
        <v>#REF!</v>
      </c>
      <c r="V2056" s="43" t="e">
        <f>IF(Planning[[#This Row],[Horas Planificadas]]&lt;&gt;0,Planning[[#This Row],[Horas utilizadas]]/Planning[[#This Row],[Horas Planificadas]],0)</f>
        <v>#REF!</v>
      </c>
      <c r="W2056" s="44">
        <f>Planning[[#This Row],[Horas Planificadas]]+Planning[[#This Row],[Horas ajustadas adicionales]]</f>
        <v>449</v>
      </c>
      <c r="X2056" s="142"/>
    </row>
    <row r="2057" spans="1:24" x14ac:dyDescent="0.2">
      <c r="A2057" s="7" t="s">
        <v>389</v>
      </c>
      <c r="B2057" s="7" t="s">
        <v>178</v>
      </c>
      <c r="C2057" s="3"/>
      <c r="D2057" s="3" t="s">
        <v>454</v>
      </c>
      <c r="E2057" s="4"/>
      <c r="F2057" s="3" t="s">
        <v>124</v>
      </c>
      <c r="G2057" s="9"/>
      <c r="H2057" s="9">
        <v>560</v>
      </c>
      <c r="I2057" s="12"/>
      <c r="J2057" s="5" t="e">
        <f>SUM(SUMIFS(#REF!,#REF!,Planning[[#This Row],[Tipo de Tarea y especialidad]],#REF!,Planning[[#This Row],[Proyectos Reiwa]]),SUMIFS(#REF!,#REF!,Planning[[#This Row],[Tipo de Tarea y especialidad]],#REF!,Planning[[#This Row],[Proyectos]]))</f>
        <v>#REF!</v>
      </c>
      <c r="K2057" s="5" t="e">
        <f>Planning[[#This Row],[Horas Planificadas]]+Planning[[#This Row],[Horas ajustadas adicionales]]-Planning[[#This Row],[Horas utilizadas]]</f>
        <v>#REF!</v>
      </c>
      <c r="L2057" s="7">
        <v>0</v>
      </c>
      <c r="M2057" s="19" t="e">
        <f>Planning[[#This Row],[Saldo]]-Planning[[#This Row],[Saldo estimado]]</f>
        <v>#REF!</v>
      </c>
      <c r="N2057" s="60" t="e">
        <f>+SUMIFS(#REF!,#REF!,Planning[[#This Row],[Proyectos]],#REF!,Planning[[#This Row],[Tipo de Tarea y especialidad]])</f>
        <v>#REF!</v>
      </c>
      <c r="O2057" s="19">
        <f t="shared" si="64"/>
        <v>10</v>
      </c>
      <c r="P2057" s="19">
        <f t="shared" si="65"/>
        <v>2024</v>
      </c>
      <c r="Q20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57" s="19" t="str">
        <f>TEXT(Planning[[#This Row],[Mes]]*29,"mmmm")</f>
        <v>October</v>
      </c>
      <c r="S20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57" s="193"/>
      <c r="U2057" s="43" t="e">
        <f>IF(Planning[[#This Row],[Horas Planificadas]]&lt;&gt;0,+K2057/Planning[[#This Row],[Horas Planificadas]],0)</f>
        <v>#REF!</v>
      </c>
      <c r="V2057" s="43" t="e">
        <f>IF(Planning[[#This Row],[Horas Planificadas]]&lt;&gt;0,Planning[[#This Row],[Horas utilizadas]]/Planning[[#This Row],[Horas Planificadas]],0)</f>
        <v>#REF!</v>
      </c>
      <c r="W2057" s="44">
        <f>Planning[[#This Row],[Horas Planificadas]]+Planning[[#This Row],[Horas ajustadas adicionales]]</f>
        <v>560</v>
      </c>
      <c r="X2057" s="142"/>
    </row>
    <row r="2058" spans="1:24" x14ac:dyDescent="0.2">
      <c r="A2058" s="7" t="s">
        <v>389</v>
      </c>
      <c r="B2058" s="7" t="s">
        <v>178</v>
      </c>
      <c r="C2058" s="3"/>
      <c r="D2058" s="3" t="s">
        <v>454</v>
      </c>
      <c r="E2058" s="4"/>
      <c r="F2058" s="3" t="s">
        <v>125</v>
      </c>
      <c r="G2058" s="9"/>
      <c r="H2058" s="12"/>
      <c r="I2058" s="12"/>
      <c r="J2058" s="5" t="e">
        <f>SUM(SUMIFS(#REF!,#REF!,Planning[[#This Row],[Tipo de Tarea y especialidad]],#REF!,Planning[[#This Row],[Proyectos Reiwa]]),SUMIFS(#REF!,#REF!,Planning[[#This Row],[Tipo de Tarea y especialidad]],#REF!,Planning[[#This Row],[Proyectos]]))</f>
        <v>#REF!</v>
      </c>
      <c r="K2058" s="27" t="e">
        <f>Planning[[#This Row],[Horas Planificadas]]+Planning[[#This Row],[Horas ajustadas adicionales]]-Planning[[#This Row],[Horas utilizadas]]</f>
        <v>#REF!</v>
      </c>
      <c r="L2058" s="7">
        <v>0</v>
      </c>
      <c r="M2058" s="19" t="e">
        <f>Planning[[#This Row],[Saldo]]-Planning[[#This Row],[Saldo estimado]]</f>
        <v>#REF!</v>
      </c>
      <c r="N2058" s="60" t="e">
        <f>+SUMIFS(#REF!,#REF!,Planning[[#This Row],[Proyectos]],#REF!,Planning[[#This Row],[Tipo de Tarea y especialidad]])</f>
        <v>#REF!</v>
      </c>
      <c r="O2058" s="19">
        <f t="shared" si="64"/>
        <v>10</v>
      </c>
      <c r="P2058" s="19">
        <f t="shared" si="65"/>
        <v>2024</v>
      </c>
      <c r="Q20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58" s="19" t="str">
        <f>TEXT(Planning[[#This Row],[Mes]]*29,"mmmm")</f>
        <v>October</v>
      </c>
      <c r="S20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58" s="193"/>
      <c r="U2058" s="43">
        <f>IF(Planning[[#This Row],[Horas Planificadas]]&lt;&gt;0,+K2058/Planning[[#This Row],[Horas Planificadas]],0)</f>
        <v>0</v>
      </c>
      <c r="V2058" s="43">
        <f>IF(Planning[[#This Row],[Horas Planificadas]]&lt;&gt;0,Planning[[#This Row],[Horas utilizadas]]/Planning[[#This Row],[Horas Planificadas]],0)</f>
        <v>0</v>
      </c>
      <c r="W2058" s="44">
        <f>Planning[[#This Row],[Horas Planificadas]]+Planning[[#This Row],[Horas ajustadas adicionales]]</f>
        <v>0</v>
      </c>
      <c r="X2058" s="142"/>
    </row>
    <row r="2059" spans="1:24" x14ac:dyDescent="0.2">
      <c r="A2059" s="7" t="s">
        <v>389</v>
      </c>
      <c r="B2059" s="7" t="s">
        <v>178</v>
      </c>
      <c r="C2059" s="3"/>
      <c r="D2059" s="3" t="s">
        <v>454</v>
      </c>
      <c r="E2059" s="4"/>
      <c r="F2059" s="3" t="s">
        <v>126</v>
      </c>
      <c r="G2059" s="9"/>
      <c r="H2059" s="9"/>
      <c r="I2059" s="12"/>
      <c r="J2059" s="5" t="e">
        <f>SUM(SUMIFS(#REF!,#REF!,Planning[[#This Row],[Tipo de Tarea y especialidad]],#REF!,Planning[[#This Row],[Proyectos Reiwa]]),SUMIFS(#REF!,#REF!,Planning[[#This Row],[Tipo de Tarea y especialidad]],#REF!,Planning[[#This Row],[Proyectos]]))</f>
        <v>#REF!</v>
      </c>
      <c r="K2059" s="5" t="e">
        <f>Planning[[#This Row],[Horas Planificadas]]+Planning[[#This Row],[Horas ajustadas adicionales]]-Planning[[#This Row],[Horas utilizadas]]</f>
        <v>#REF!</v>
      </c>
      <c r="L2059" s="7">
        <v>0</v>
      </c>
      <c r="M2059" s="19" t="e">
        <f>Planning[[#This Row],[Saldo]]-Planning[[#This Row],[Saldo estimado]]</f>
        <v>#REF!</v>
      </c>
      <c r="N2059" s="60" t="e">
        <f>+SUMIFS(#REF!,#REF!,Planning[[#This Row],[Proyectos]],#REF!,Planning[[#This Row],[Tipo de Tarea y especialidad]])</f>
        <v>#REF!</v>
      </c>
      <c r="O2059" s="19">
        <f t="shared" si="64"/>
        <v>10</v>
      </c>
      <c r="P2059" s="19">
        <f t="shared" si="65"/>
        <v>2024</v>
      </c>
      <c r="Q20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59" s="19" t="str">
        <f>TEXT(Planning[[#This Row],[Mes]]*29,"mmmm")</f>
        <v>October</v>
      </c>
      <c r="S20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59" s="193"/>
      <c r="U2059" s="43">
        <f>IF(Planning[[#This Row],[Horas Planificadas]]&lt;&gt;0,+K2059/Planning[[#This Row],[Horas Planificadas]],0)</f>
        <v>0</v>
      </c>
      <c r="V2059" s="43">
        <f>IF(Planning[[#This Row],[Horas Planificadas]]&lt;&gt;0,Planning[[#This Row],[Horas utilizadas]]/Planning[[#This Row],[Horas Planificadas]],0)</f>
        <v>0</v>
      </c>
      <c r="W2059" s="44">
        <f>Planning[[#This Row],[Horas Planificadas]]+Planning[[#This Row],[Horas ajustadas adicionales]]</f>
        <v>0</v>
      </c>
      <c r="X2059" s="142"/>
    </row>
    <row r="2060" spans="1:24" x14ac:dyDescent="0.2">
      <c r="A2060" s="7" t="s">
        <v>389</v>
      </c>
      <c r="B2060" s="7" t="s">
        <v>178</v>
      </c>
      <c r="C2060" s="3"/>
      <c r="D2060" s="3" t="s">
        <v>454</v>
      </c>
      <c r="E2060" s="4"/>
      <c r="F2060" s="3" t="s">
        <v>127</v>
      </c>
      <c r="G2060" s="9"/>
      <c r="H2060" s="9"/>
      <c r="I2060" s="12"/>
      <c r="J2060" s="5" t="e">
        <f>SUM(SUMIFS(#REF!,#REF!,Planning[[#This Row],[Tipo de Tarea y especialidad]],#REF!,Planning[[#This Row],[Proyectos Reiwa]]),SUMIFS(#REF!,#REF!,Planning[[#This Row],[Tipo de Tarea y especialidad]],#REF!,Planning[[#This Row],[Proyectos]]))</f>
        <v>#REF!</v>
      </c>
      <c r="K2060" s="5" t="e">
        <f>Planning[[#This Row],[Horas Planificadas]]+Planning[[#This Row],[Horas ajustadas adicionales]]-Planning[[#This Row],[Horas utilizadas]]</f>
        <v>#REF!</v>
      </c>
      <c r="L2060" s="7">
        <v>0</v>
      </c>
      <c r="M2060" s="19" t="e">
        <f>Planning[[#This Row],[Saldo]]-Planning[[#This Row],[Saldo estimado]]</f>
        <v>#REF!</v>
      </c>
      <c r="N2060" s="60" t="e">
        <f>+SUMIFS(#REF!,#REF!,Planning[[#This Row],[Proyectos]],#REF!,Planning[[#This Row],[Tipo de Tarea y especialidad]])</f>
        <v>#REF!</v>
      </c>
      <c r="O2060" s="19">
        <f t="shared" si="64"/>
        <v>10</v>
      </c>
      <c r="P2060" s="19">
        <f t="shared" si="65"/>
        <v>2024</v>
      </c>
      <c r="Q20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60" s="19" t="str">
        <f>TEXT(Planning[[#This Row],[Mes]]*29,"mmmm")</f>
        <v>October</v>
      </c>
      <c r="S20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60" s="193"/>
      <c r="U2060" s="43">
        <f>IF(Planning[[#This Row],[Horas Planificadas]]&lt;&gt;0,+K2060/Planning[[#This Row],[Horas Planificadas]],0)</f>
        <v>0</v>
      </c>
      <c r="V2060" s="43">
        <f>IF(Planning[[#This Row],[Horas Planificadas]]&lt;&gt;0,Planning[[#This Row],[Horas utilizadas]]/Planning[[#This Row],[Horas Planificadas]],0)</f>
        <v>0</v>
      </c>
      <c r="W2060" s="44">
        <f>Planning[[#This Row],[Horas Planificadas]]+Planning[[#This Row],[Horas ajustadas adicionales]]</f>
        <v>0</v>
      </c>
      <c r="X2060" s="142"/>
    </row>
    <row r="2061" spans="1:24" x14ac:dyDescent="0.2">
      <c r="A2061" s="7" t="s">
        <v>389</v>
      </c>
      <c r="B2061" s="7" t="s">
        <v>178</v>
      </c>
      <c r="C2061" s="3"/>
      <c r="D2061" s="3" t="s">
        <v>454</v>
      </c>
      <c r="E2061" s="4"/>
      <c r="F2061" s="3" t="s">
        <v>128</v>
      </c>
      <c r="G2061" s="9"/>
      <c r="H2061" s="9"/>
      <c r="I2061" s="12"/>
      <c r="J2061" s="5" t="e">
        <f>SUM(SUMIFS(#REF!,#REF!,Planning[[#This Row],[Tipo de Tarea y especialidad]],#REF!,Planning[[#This Row],[Proyectos Reiwa]]),SUMIFS(#REF!,#REF!,Planning[[#This Row],[Tipo de Tarea y especialidad]],#REF!,Planning[[#This Row],[Proyectos]]))</f>
        <v>#REF!</v>
      </c>
      <c r="K2061" s="5" t="e">
        <f>Planning[[#This Row],[Horas Planificadas]]+Planning[[#This Row],[Horas ajustadas adicionales]]-Planning[[#This Row],[Horas utilizadas]]</f>
        <v>#REF!</v>
      </c>
      <c r="L2061" s="7">
        <v>0</v>
      </c>
      <c r="M2061" s="19" t="e">
        <f>Planning[[#This Row],[Saldo]]-Planning[[#This Row],[Saldo estimado]]</f>
        <v>#REF!</v>
      </c>
      <c r="N2061" s="60" t="e">
        <f>+SUMIFS(#REF!,#REF!,Planning[[#This Row],[Proyectos]],#REF!,Planning[[#This Row],[Tipo de Tarea y especialidad]])</f>
        <v>#REF!</v>
      </c>
      <c r="O2061" s="19">
        <f t="shared" si="64"/>
        <v>10</v>
      </c>
      <c r="P2061" s="19">
        <f t="shared" si="65"/>
        <v>2024</v>
      </c>
      <c r="Q20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61" s="19" t="str">
        <f>TEXT(Planning[[#This Row],[Mes]]*29,"mmmm")</f>
        <v>October</v>
      </c>
      <c r="S20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61" s="193"/>
      <c r="U2061" s="43">
        <f>IF(Planning[[#This Row],[Horas Planificadas]]&lt;&gt;0,+K2061/Planning[[#This Row],[Horas Planificadas]],0)</f>
        <v>0</v>
      </c>
      <c r="V2061" s="43">
        <f>IF(Planning[[#This Row],[Horas Planificadas]]&lt;&gt;0,Planning[[#This Row],[Horas utilizadas]]/Planning[[#This Row],[Horas Planificadas]],0)</f>
        <v>0</v>
      </c>
      <c r="W2061" s="44">
        <f>Planning[[#This Row],[Horas Planificadas]]+Planning[[#This Row],[Horas ajustadas adicionales]]</f>
        <v>0</v>
      </c>
      <c r="X2061" s="142"/>
    </row>
    <row r="2062" spans="1:24" x14ac:dyDescent="0.2">
      <c r="A2062" s="7" t="s">
        <v>389</v>
      </c>
      <c r="B2062" s="7" t="s">
        <v>178</v>
      </c>
      <c r="C2062" s="3"/>
      <c r="D2062" s="3" t="s">
        <v>454</v>
      </c>
      <c r="E2062" s="4" t="s">
        <v>31</v>
      </c>
      <c r="F2062" s="3" t="s">
        <v>31</v>
      </c>
      <c r="G2062" s="9">
        <v>413</v>
      </c>
      <c r="H2062" s="17">
        <v>360</v>
      </c>
      <c r="I2062" s="18"/>
      <c r="J2062" s="14" t="e">
        <f>+SUMIFS(#REF!,#REF!,Planning[[#This Row],[Tarifa]],#REF!,Planning[[#This Row],[Proyectos]])</f>
        <v>#REF!</v>
      </c>
      <c r="K2062" s="14" t="e">
        <f>Planning[[#This Row],[Horas Planificadas]]+Planning[[#This Row],[Horas ajustadas adicionales]]-Planning[[#This Row],[Horas utilizadas]]</f>
        <v>#REF!</v>
      </c>
      <c r="L2062" s="15">
        <v>0</v>
      </c>
      <c r="M2062" s="16" t="e">
        <f>Planning[[#This Row],[Saldo]]-Planning[[#This Row],[Saldo estimado]]</f>
        <v>#REF!</v>
      </c>
      <c r="N2062" s="60" t="e">
        <f>+SUMIFS(#REF!,#REF!,Planning[[#This Row],[Proyectos]],#REF!,Planning[[#This Row],[Tipo de Tarea y especialidad]])</f>
        <v>#REF!</v>
      </c>
      <c r="O2062" s="16">
        <f t="shared" si="64"/>
        <v>10</v>
      </c>
      <c r="P2062" s="16">
        <f t="shared" si="65"/>
        <v>2024</v>
      </c>
      <c r="Q2062" s="16" t="e">
        <f>+SUMIFS(#REF!,#REF!,Planning[[#This Row],[Tarifa]],#REF!,Planning[[#This Row],[Proyectos]],#REF!,Planning[[#This Row],[Mes]],#REF!,Planning[[#This Row],[Año]])</f>
        <v>#REF!</v>
      </c>
      <c r="R2062" s="16" t="str">
        <f>TEXT(Planning[[#This Row],[Mes]]*29,"mmmm")</f>
        <v>October</v>
      </c>
      <c r="S20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62" s="193"/>
      <c r="U2062" s="43" t="e">
        <f>IF(Planning[[#This Row],[Horas Planificadas]]&lt;&gt;0,+K2062/Planning[[#This Row],[Horas Planificadas]],0)</f>
        <v>#REF!</v>
      </c>
      <c r="V2062" s="43" t="e">
        <f>IF(Planning[[#This Row],[Horas Planificadas]]&lt;&gt;0,Planning[[#This Row],[Horas utilizadas]]/Planning[[#This Row],[Horas Planificadas]],0)</f>
        <v>#REF!</v>
      </c>
      <c r="W2062" s="44">
        <f>Planning[[#This Row],[Horas Planificadas]]+Planning[[#This Row],[Horas ajustadas adicionales]]</f>
        <v>360</v>
      </c>
      <c r="X2062" s="142"/>
    </row>
    <row r="2063" spans="1:24" ht="22.5" x14ac:dyDescent="0.2">
      <c r="A2063" s="7" t="s">
        <v>389</v>
      </c>
      <c r="B2063" s="7" t="s">
        <v>178</v>
      </c>
      <c r="C2063" s="3"/>
      <c r="D2063" s="3" t="s">
        <v>454</v>
      </c>
      <c r="E2063" s="4" t="s">
        <v>32</v>
      </c>
      <c r="F2063" s="3"/>
      <c r="G2063" s="9">
        <v>660</v>
      </c>
      <c r="H2063" s="25">
        <f>SUM(H2064:H2066)</f>
        <v>620</v>
      </c>
      <c r="I2063" s="14"/>
      <c r="J2063" s="14" t="e">
        <f>SUM(J2064:J2066)</f>
        <v>#REF!</v>
      </c>
      <c r="K2063" s="18" t="e">
        <f>SUM(K2064:K2066)</f>
        <v>#REF!</v>
      </c>
      <c r="L2063" s="15">
        <f>SUM(L2064:L2066)</f>
        <v>0</v>
      </c>
      <c r="M2063" s="16" t="e">
        <f>SUM(M2064:M2066)</f>
        <v>#REF!</v>
      </c>
      <c r="N2063" s="60" t="e">
        <f>+SUMIFS(#REF!,#REF!,Planning[[#This Row],[Proyectos]],#REF!,Planning[[#This Row],[Tipo de Tarea y especialidad]])</f>
        <v>#REF!</v>
      </c>
      <c r="O2063" s="16">
        <f t="shared" si="64"/>
        <v>10</v>
      </c>
      <c r="P2063" s="16">
        <f t="shared" si="65"/>
        <v>2024</v>
      </c>
      <c r="Q2063" s="16" t="e">
        <f>SUM(Q2064:Q2066)</f>
        <v>#REF!</v>
      </c>
      <c r="R2063" s="16" t="str">
        <f>TEXT(Planning[[#This Row],[Mes]]*29,"mmmm")</f>
        <v>October</v>
      </c>
      <c r="S20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63" s="193"/>
      <c r="U2063" s="43" t="e">
        <f>IF(Planning[[#This Row],[Horas Planificadas]]&lt;&gt;0,+K2063/Planning[[#This Row],[Horas Planificadas]],0)</f>
        <v>#REF!</v>
      </c>
      <c r="V2063" s="43" t="e">
        <f>IF(Planning[[#This Row],[Horas Planificadas]]&lt;&gt;0,Planning[[#This Row],[Horas utilizadas]]/Planning[[#This Row],[Horas Planificadas]],0)</f>
        <v>#REF!</v>
      </c>
      <c r="W2063" s="44">
        <f>Planning[[#This Row],[Horas Planificadas]]+Planning[[#This Row],[Horas ajustadas adicionales]]</f>
        <v>620</v>
      </c>
      <c r="X2063" s="142"/>
    </row>
    <row r="2064" spans="1:24" x14ac:dyDescent="0.2">
      <c r="A2064" s="7" t="s">
        <v>389</v>
      </c>
      <c r="B2064" s="7" t="s">
        <v>178</v>
      </c>
      <c r="C2064" s="3"/>
      <c r="D2064" s="3" t="s">
        <v>454</v>
      </c>
      <c r="E2064" s="4"/>
      <c r="F2064" s="3" t="s">
        <v>129</v>
      </c>
      <c r="G2064" s="9"/>
      <c r="H2064" s="9">
        <v>380</v>
      </c>
      <c r="I2064" s="12"/>
      <c r="J2064" s="5" t="e">
        <f>SUM(SUMIFS(#REF!,#REF!,Planning[[#This Row],[Tipo de Tarea y especialidad]],#REF!,Planning[[#This Row],[Proyectos Reiwa]]),SUMIFS(#REF!,#REF!,Planning[[#This Row],[Tipo de Tarea y especialidad]],#REF!,Planning[[#This Row],[Proyectos]]))</f>
        <v>#REF!</v>
      </c>
      <c r="K2064" s="5" t="e">
        <f>Planning[[#This Row],[Horas Planificadas]]+Planning[[#This Row],[Horas ajustadas adicionales]]-Planning[[#This Row],[Horas utilizadas]]</f>
        <v>#REF!</v>
      </c>
      <c r="L2064" s="7">
        <v>0</v>
      </c>
      <c r="M2064" s="19" t="e">
        <f>Planning[[#This Row],[Saldo]]-Planning[[#This Row],[Saldo estimado]]</f>
        <v>#REF!</v>
      </c>
      <c r="N2064" s="60" t="e">
        <f>+SUMIFS(#REF!,#REF!,Planning[[#This Row],[Proyectos]],#REF!,Planning[[#This Row],[Tipo de Tarea y especialidad]])</f>
        <v>#REF!</v>
      </c>
      <c r="O2064" s="19">
        <f t="shared" si="64"/>
        <v>10</v>
      </c>
      <c r="P2064" s="19">
        <f t="shared" si="65"/>
        <v>2024</v>
      </c>
      <c r="Q20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64" s="19" t="str">
        <f>TEXT(Planning[[#This Row],[Mes]]*29,"mmmm")</f>
        <v>October</v>
      </c>
      <c r="S20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64" s="193"/>
      <c r="U2064" s="43" t="e">
        <f>IF(Planning[[#This Row],[Horas Planificadas]]&lt;&gt;0,+K2064/Planning[[#This Row],[Horas Planificadas]],0)</f>
        <v>#REF!</v>
      </c>
      <c r="V2064" s="43" t="e">
        <f>IF(Planning[[#This Row],[Horas Planificadas]]&lt;&gt;0,Planning[[#This Row],[Horas utilizadas]]/Planning[[#This Row],[Horas Planificadas]],0)</f>
        <v>#REF!</v>
      </c>
      <c r="W2064" s="44">
        <f>Planning[[#This Row],[Horas Planificadas]]+Planning[[#This Row],[Horas ajustadas adicionales]]</f>
        <v>380</v>
      </c>
      <c r="X2064" s="142"/>
    </row>
    <row r="2065" spans="1:24" x14ac:dyDescent="0.2">
      <c r="A2065" s="7" t="s">
        <v>389</v>
      </c>
      <c r="B2065" s="7" t="s">
        <v>178</v>
      </c>
      <c r="C2065" s="3"/>
      <c r="D2065" s="3" t="s">
        <v>454</v>
      </c>
      <c r="E2065" s="4"/>
      <c r="F2065" s="3" t="s">
        <v>130</v>
      </c>
      <c r="G2065" s="9"/>
      <c r="H2065" s="9"/>
      <c r="I2065" s="12"/>
      <c r="J2065" s="5" t="e">
        <f>SUM(SUMIFS(#REF!,#REF!,Planning[[#This Row],[Tipo de Tarea y especialidad]],#REF!,Planning[[#This Row],[Proyectos Reiwa]]),SUMIFS(#REF!,#REF!,Planning[[#This Row],[Tipo de Tarea y especialidad]],#REF!,Planning[[#This Row],[Proyectos]]))</f>
        <v>#REF!</v>
      </c>
      <c r="K2065" s="5" t="e">
        <f>Planning[[#This Row],[Horas Planificadas]]+Planning[[#This Row],[Horas ajustadas adicionales]]-Planning[[#This Row],[Horas utilizadas]]</f>
        <v>#REF!</v>
      </c>
      <c r="L2065" s="7">
        <v>0</v>
      </c>
      <c r="M2065" s="19" t="e">
        <f>Planning[[#This Row],[Saldo]]-Planning[[#This Row],[Saldo estimado]]</f>
        <v>#REF!</v>
      </c>
      <c r="N2065" s="60" t="e">
        <f>+SUMIFS(#REF!,#REF!,Planning[[#This Row],[Proyectos]],#REF!,Planning[[#This Row],[Tipo de Tarea y especialidad]])</f>
        <v>#REF!</v>
      </c>
      <c r="O2065" s="19">
        <f t="shared" si="64"/>
        <v>10</v>
      </c>
      <c r="P2065" s="19">
        <f t="shared" si="65"/>
        <v>2024</v>
      </c>
      <c r="Q20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65" s="19" t="str">
        <f>TEXT(Planning[[#This Row],[Mes]]*29,"mmmm")</f>
        <v>October</v>
      </c>
      <c r="S20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65" s="193"/>
      <c r="U2065" s="43">
        <f>IF(Planning[[#This Row],[Horas Planificadas]]&lt;&gt;0,+K2065/Planning[[#This Row],[Horas Planificadas]],0)</f>
        <v>0</v>
      </c>
      <c r="V2065" s="43">
        <f>IF(Planning[[#This Row],[Horas Planificadas]]&lt;&gt;0,Planning[[#This Row],[Horas utilizadas]]/Planning[[#This Row],[Horas Planificadas]],0)</f>
        <v>0</v>
      </c>
      <c r="W2065" s="44">
        <f>Planning[[#This Row],[Horas Planificadas]]+Planning[[#This Row],[Horas ajustadas adicionales]]</f>
        <v>0</v>
      </c>
      <c r="X2065" s="142"/>
    </row>
    <row r="2066" spans="1:24" x14ac:dyDescent="0.2">
      <c r="A2066" s="7" t="s">
        <v>389</v>
      </c>
      <c r="B2066" s="7" t="s">
        <v>178</v>
      </c>
      <c r="C2066" s="3"/>
      <c r="D2066" s="3" t="s">
        <v>454</v>
      </c>
      <c r="E2066" s="4"/>
      <c r="F2066" s="3" t="s">
        <v>131</v>
      </c>
      <c r="G2066" s="9"/>
      <c r="H2066" s="9">
        <v>240</v>
      </c>
      <c r="I2066" s="12"/>
      <c r="J2066" s="5" t="e">
        <f>SUM(SUMIFS(#REF!,#REF!,Planning[[#This Row],[Tipo de Tarea y especialidad]],#REF!,Planning[[#This Row],[Proyectos Reiwa]]),SUMIFS(#REF!,#REF!,Planning[[#This Row],[Tipo de Tarea y especialidad]],#REF!,Planning[[#This Row],[Proyectos]]))</f>
        <v>#REF!</v>
      </c>
      <c r="K2066" s="5" t="e">
        <f>Planning[[#This Row],[Horas Planificadas]]+Planning[[#This Row],[Horas ajustadas adicionales]]-Planning[[#This Row],[Horas utilizadas]]</f>
        <v>#REF!</v>
      </c>
      <c r="L2066" s="7">
        <v>0</v>
      </c>
      <c r="M2066" s="19" t="e">
        <f>Planning[[#This Row],[Saldo]]-Planning[[#This Row],[Saldo estimado]]</f>
        <v>#REF!</v>
      </c>
      <c r="N2066" s="60" t="e">
        <f>+SUMIFS(#REF!,#REF!,Planning[[#This Row],[Proyectos]],#REF!,Planning[[#This Row],[Tipo de Tarea y especialidad]])</f>
        <v>#REF!</v>
      </c>
      <c r="O2066" s="19">
        <f t="shared" si="64"/>
        <v>10</v>
      </c>
      <c r="P2066" s="19">
        <f t="shared" si="65"/>
        <v>2024</v>
      </c>
      <c r="Q20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66" s="19" t="str">
        <f>TEXT(Planning[[#This Row],[Mes]]*29,"mmmm")</f>
        <v>October</v>
      </c>
      <c r="S20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66" s="193"/>
      <c r="U2066" s="43" t="e">
        <f>IF(Planning[[#This Row],[Horas Planificadas]]&lt;&gt;0,+K2066/Planning[[#This Row],[Horas Planificadas]],0)</f>
        <v>#REF!</v>
      </c>
      <c r="V2066" s="43" t="e">
        <f>IF(Planning[[#This Row],[Horas Planificadas]]&lt;&gt;0,Planning[[#This Row],[Horas utilizadas]]/Planning[[#This Row],[Horas Planificadas]],0)</f>
        <v>#REF!</v>
      </c>
      <c r="W2066" s="44">
        <f>Planning[[#This Row],[Horas Planificadas]]+Planning[[#This Row],[Horas ajustadas adicionales]]</f>
        <v>240</v>
      </c>
      <c r="X2066" s="142"/>
    </row>
    <row r="2067" spans="1:24" ht="22.5" x14ac:dyDescent="0.2">
      <c r="A2067" s="7" t="s">
        <v>389</v>
      </c>
      <c r="B2067" s="7" t="s">
        <v>205</v>
      </c>
      <c r="C2067" s="3"/>
      <c r="D2067" s="3" t="s">
        <v>456</v>
      </c>
      <c r="E2067" s="4" t="s">
        <v>28</v>
      </c>
      <c r="F2067" s="3"/>
      <c r="G2067" s="9">
        <v>212</v>
      </c>
      <c r="H2067" s="14">
        <f>SUM(H2068:H2069)</f>
        <v>212</v>
      </c>
      <c r="I2067" s="14"/>
      <c r="J2067" s="14" t="e">
        <f>SUM(J2068:J2069)</f>
        <v>#REF!</v>
      </c>
      <c r="K2067" s="15" t="e">
        <f>SUM(K2068:K2069)</f>
        <v>#REF!</v>
      </c>
      <c r="L2067" s="15">
        <f>SUM(L2068:L2069)</f>
        <v>0</v>
      </c>
      <c r="M2067" s="28" t="e">
        <f>SUM(M2068:M2069)</f>
        <v>#REF!</v>
      </c>
      <c r="N2067" s="61" t="e">
        <f>+SUMIFS(#REF!,#REF!,Planning[[#This Row],[Proyectos]],#REF!,Planning[[#This Row],[Tipo de Tarea y especialidad]])</f>
        <v>#REF!</v>
      </c>
      <c r="O2067" s="28">
        <f t="shared" si="64"/>
        <v>10</v>
      </c>
      <c r="P2067" s="28">
        <f t="shared" si="65"/>
        <v>2024</v>
      </c>
      <c r="Q2067" s="28" t="e">
        <f>SUM(Q2068:Q2069)</f>
        <v>#REF!</v>
      </c>
      <c r="R2067" s="28" t="str">
        <f>TEXT(Planning[[#This Row],[Mes]]*29,"mmmm")</f>
        <v>October</v>
      </c>
      <c r="S20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67" s="192" t="s">
        <v>457</v>
      </c>
      <c r="U2067" s="43" t="e">
        <f>IF(Planning[[#This Row],[Horas Planificadas]]&lt;&gt;0,+K2067/Planning[[#This Row],[Horas Planificadas]],0)</f>
        <v>#REF!</v>
      </c>
      <c r="V2067" s="43" t="e">
        <f>IF(Planning[[#This Row],[Horas Planificadas]]&lt;&gt;0,Planning[[#This Row],[Horas utilizadas]]/Planning[[#This Row],[Horas Planificadas]],0)</f>
        <v>#REF!</v>
      </c>
      <c r="W2067" s="44">
        <f>Planning[[#This Row],[Horas Planificadas]]+Planning[[#This Row],[Horas ajustadas adicionales]]</f>
        <v>212</v>
      </c>
      <c r="X2067" s="142"/>
    </row>
    <row r="2068" spans="1:24" x14ac:dyDescent="0.2">
      <c r="A2068" s="7" t="s">
        <v>389</v>
      </c>
      <c r="B2068" s="7" t="s">
        <v>205</v>
      </c>
      <c r="C2068" s="3"/>
      <c r="D2068" s="3" t="s">
        <v>456</v>
      </c>
      <c r="E2068" s="4"/>
      <c r="F2068" s="3" t="s">
        <v>120</v>
      </c>
      <c r="G2068" s="9"/>
      <c r="H2068" s="9">
        <v>140</v>
      </c>
      <c r="I2068" s="12"/>
      <c r="J2068" s="5" t="e">
        <f>SUM(SUMIFS(#REF!,#REF!,Planning[[#This Row],[Tipo de Tarea y especialidad]],#REF!,Planning[[#This Row],[Proyectos Reiwa]]),SUMIFS(#REF!,#REF!,Planning[[#This Row],[Tipo de Tarea y especialidad]],#REF!,Planning[[#This Row],[Proyectos]]))</f>
        <v>#REF!</v>
      </c>
      <c r="K2068" s="5" t="e">
        <f>Planning[[#This Row],[Horas Planificadas]]+Planning[[#This Row],[Horas ajustadas adicionales]]-Planning[[#This Row],[Horas utilizadas]]</f>
        <v>#REF!</v>
      </c>
      <c r="L2068" s="7">
        <v>0</v>
      </c>
      <c r="M2068" s="19" t="e">
        <f>Planning[[#This Row],[Saldo]]-Planning[[#This Row],[Saldo estimado]]</f>
        <v>#REF!</v>
      </c>
      <c r="N2068" s="60" t="e">
        <f>+SUMIFS(#REF!,#REF!,Planning[[#This Row],[Proyectos]],#REF!,Planning[[#This Row],[Tipo de Tarea y especialidad]])</f>
        <v>#REF!</v>
      </c>
      <c r="O2068" s="19">
        <f t="shared" si="64"/>
        <v>10</v>
      </c>
      <c r="P2068" s="19">
        <f t="shared" si="65"/>
        <v>2024</v>
      </c>
      <c r="Q20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68" s="19" t="str">
        <f>TEXT(Planning[[#This Row],[Mes]]*29,"mmmm")</f>
        <v>October</v>
      </c>
      <c r="S20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68" s="193"/>
      <c r="U2068" s="43" t="e">
        <f>IF(Planning[[#This Row],[Horas Planificadas]]&lt;&gt;0,+K2068/Planning[[#This Row],[Horas Planificadas]],0)</f>
        <v>#REF!</v>
      </c>
      <c r="V2068" s="43" t="e">
        <f>IF(Planning[[#This Row],[Horas Planificadas]]&lt;&gt;0,Planning[[#This Row],[Horas utilizadas]]/Planning[[#This Row],[Horas Planificadas]],0)</f>
        <v>#REF!</v>
      </c>
      <c r="W2068" s="44">
        <f>Planning[[#This Row],[Horas Planificadas]]+Planning[[#This Row],[Horas ajustadas adicionales]]</f>
        <v>140</v>
      </c>
      <c r="X2068" s="142"/>
    </row>
    <row r="2069" spans="1:24" x14ac:dyDescent="0.2">
      <c r="A2069" s="7" t="s">
        <v>389</v>
      </c>
      <c r="B2069" s="7" t="s">
        <v>205</v>
      </c>
      <c r="C2069" s="3"/>
      <c r="D2069" s="3" t="s">
        <v>456</v>
      </c>
      <c r="E2069" s="4"/>
      <c r="F2069" s="3" t="s">
        <v>121</v>
      </c>
      <c r="G2069" s="9"/>
      <c r="H2069" s="9">
        <v>72</v>
      </c>
      <c r="I2069" s="12"/>
      <c r="J2069" s="5" t="e">
        <f>SUM(SUMIFS(#REF!,#REF!,Planning[[#This Row],[Tipo de Tarea y especialidad]],#REF!,Planning[[#This Row],[Proyectos Reiwa]]),SUMIFS(#REF!,#REF!,Planning[[#This Row],[Tipo de Tarea y especialidad]],#REF!,Planning[[#This Row],[Proyectos]]))</f>
        <v>#REF!</v>
      </c>
      <c r="K2069" s="5" t="e">
        <f>Planning[[#This Row],[Horas Planificadas]]+Planning[[#This Row],[Horas ajustadas adicionales]]-Planning[[#This Row],[Horas utilizadas]]</f>
        <v>#REF!</v>
      </c>
      <c r="L2069" s="7">
        <v>0</v>
      </c>
      <c r="M2069" s="19" t="e">
        <f>Planning[[#This Row],[Saldo]]-Planning[[#This Row],[Saldo estimado]]</f>
        <v>#REF!</v>
      </c>
      <c r="N2069" s="60" t="e">
        <f>+SUMIFS(#REF!,#REF!,Planning[[#This Row],[Proyectos]],#REF!,Planning[[#This Row],[Tipo de Tarea y especialidad]])</f>
        <v>#REF!</v>
      </c>
      <c r="O2069" s="19">
        <f t="shared" si="64"/>
        <v>10</v>
      </c>
      <c r="P2069" s="19">
        <f t="shared" si="65"/>
        <v>2024</v>
      </c>
      <c r="Q20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69" s="19" t="str">
        <f>TEXT(Planning[[#This Row],[Mes]]*29,"mmmm")</f>
        <v>October</v>
      </c>
      <c r="S20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69" s="193"/>
      <c r="U2069" s="43" t="e">
        <f>IF(Planning[[#This Row],[Horas Planificadas]]&lt;&gt;0,+K2069/Planning[[#This Row],[Horas Planificadas]],0)</f>
        <v>#REF!</v>
      </c>
      <c r="V2069" s="43" t="e">
        <f>IF(Planning[[#This Row],[Horas Planificadas]]&lt;&gt;0,Planning[[#This Row],[Horas utilizadas]]/Planning[[#This Row],[Horas Planificadas]],0)</f>
        <v>#REF!</v>
      </c>
      <c r="W2069" s="44">
        <f>Planning[[#This Row],[Horas Planificadas]]+Planning[[#This Row],[Horas ajustadas adicionales]]</f>
        <v>72</v>
      </c>
      <c r="X2069" s="142"/>
    </row>
    <row r="2070" spans="1:24" x14ac:dyDescent="0.2">
      <c r="A2070" s="7" t="s">
        <v>389</v>
      </c>
      <c r="B2070" s="7" t="s">
        <v>205</v>
      </c>
      <c r="C2070" s="3"/>
      <c r="D2070" s="3" t="s">
        <v>456</v>
      </c>
      <c r="E2070" s="4" t="s">
        <v>30</v>
      </c>
      <c r="F2070" s="3"/>
      <c r="G2070" s="9">
        <v>351</v>
      </c>
      <c r="H2070" s="25">
        <f>SUM(H2071:H2077)</f>
        <v>351</v>
      </c>
      <c r="I2070" s="14"/>
      <c r="J2070" s="14" t="e">
        <f>SUM(J2071:J2077)</f>
        <v>#REF!</v>
      </c>
      <c r="K2070" s="18" t="e">
        <f>SUM(K2071:K2077)</f>
        <v>#REF!</v>
      </c>
      <c r="L2070" s="15">
        <f>SUM(L2071:L2077)</f>
        <v>54</v>
      </c>
      <c r="M2070" s="16" t="e">
        <f>SUM(M2071:M2077)</f>
        <v>#REF!</v>
      </c>
      <c r="N2070" s="60" t="e">
        <f>+SUMIFS(#REF!,#REF!,Planning[[#This Row],[Proyectos]],#REF!,Planning[[#This Row],[Tipo de Tarea y especialidad]])</f>
        <v>#REF!</v>
      </c>
      <c r="O2070" s="16">
        <f t="shared" si="64"/>
        <v>10</v>
      </c>
      <c r="P2070" s="16">
        <f t="shared" si="65"/>
        <v>2024</v>
      </c>
      <c r="Q2070" s="16" t="e">
        <f>SUM(Q2071:Q2077)</f>
        <v>#REF!</v>
      </c>
      <c r="R2070" s="16" t="str">
        <f>TEXT(Planning[[#This Row],[Mes]]*29,"mmmm")</f>
        <v>October</v>
      </c>
      <c r="S20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70" s="193"/>
      <c r="U2070" s="43" t="e">
        <f>IF(Planning[[#This Row],[Horas Planificadas]]&lt;&gt;0,+K2070/Planning[[#This Row],[Horas Planificadas]],0)</f>
        <v>#REF!</v>
      </c>
      <c r="V2070" s="43" t="e">
        <f>IF(Planning[[#This Row],[Horas Planificadas]]&lt;&gt;0,Planning[[#This Row],[Horas utilizadas]]/Planning[[#This Row],[Horas Planificadas]],0)</f>
        <v>#REF!</v>
      </c>
      <c r="W2070" s="44">
        <f>Planning[[#This Row],[Horas Planificadas]]+Planning[[#This Row],[Horas ajustadas adicionales]]</f>
        <v>351</v>
      </c>
      <c r="X2070" s="142"/>
    </row>
    <row r="2071" spans="1:24" x14ac:dyDescent="0.2">
      <c r="A2071" s="7" t="s">
        <v>389</v>
      </c>
      <c r="B2071" s="7" t="s">
        <v>205</v>
      </c>
      <c r="C2071" s="3"/>
      <c r="D2071" s="3" t="s">
        <v>456</v>
      </c>
      <c r="E2071" s="4"/>
      <c r="F2071" s="3" t="s">
        <v>122</v>
      </c>
      <c r="G2071" s="9"/>
      <c r="H2071" s="12"/>
      <c r="I2071" s="12"/>
      <c r="J2071" s="5" t="e">
        <f>SUM(SUMIFS(#REF!,#REF!,Planning[[#This Row],[Tipo de Tarea y especialidad]],#REF!,Planning[[#This Row],[Proyectos Reiwa]]),SUMIFS(#REF!,#REF!,Planning[[#This Row],[Tipo de Tarea y especialidad]],#REF!,Planning[[#This Row],[Proyectos]]))</f>
        <v>#REF!</v>
      </c>
      <c r="K2071" s="27" t="e">
        <f>Planning[[#This Row],[Horas Planificadas]]+Planning[[#This Row],[Horas ajustadas adicionales]]-Planning[[#This Row],[Horas utilizadas]]</f>
        <v>#REF!</v>
      </c>
      <c r="L2071" s="7"/>
      <c r="M2071" s="34" t="e">
        <f>Planning[[#This Row],[Saldo]]-Planning[[#This Row],[Saldo estimado]]</f>
        <v>#REF!</v>
      </c>
      <c r="N2071" s="62" t="e">
        <f>+SUMIFS(#REF!,#REF!,Planning[[#This Row],[Proyectos]],#REF!,Planning[[#This Row],[Tipo de Tarea y especialidad]])</f>
        <v>#REF!</v>
      </c>
      <c r="O2071" s="34">
        <f t="shared" si="64"/>
        <v>10</v>
      </c>
      <c r="P2071" s="34">
        <f t="shared" si="65"/>
        <v>2024</v>
      </c>
      <c r="Q20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71" s="19" t="str">
        <f>TEXT(Planning[[#This Row],[Mes]]*29,"mmmm")</f>
        <v>October</v>
      </c>
      <c r="S20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71" s="193"/>
      <c r="U2071" s="43">
        <f>IF(Planning[[#This Row],[Horas Planificadas]]&lt;&gt;0,+K2071/Planning[[#This Row],[Horas Planificadas]],0)</f>
        <v>0</v>
      </c>
      <c r="V2071" s="43">
        <f>IF(Planning[[#This Row],[Horas Planificadas]]&lt;&gt;0,Planning[[#This Row],[Horas utilizadas]]/Planning[[#This Row],[Horas Planificadas]],0)</f>
        <v>0</v>
      </c>
      <c r="W2071" s="44">
        <f>Planning[[#This Row],[Horas Planificadas]]+Planning[[#This Row],[Horas ajustadas adicionales]]</f>
        <v>0</v>
      </c>
      <c r="X2071" s="142"/>
    </row>
    <row r="2072" spans="1:24" x14ac:dyDescent="0.2">
      <c r="A2072" s="7" t="s">
        <v>389</v>
      </c>
      <c r="B2072" s="7" t="s">
        <v>205</v>
      </c>
      <c r="C2072" s="3"/>
      <c r="D2072" s="3" t="s">
        <v>456</v>
      </c>
      <c r="E2072" s="4"/>
      <c r="F2072" s="3" t="s">
        <v>123</v>
      </c>
      <c r="G2072" s="9"/>
      <c r="H2072" s="9">
        <v>153</v>
      </c>
      <c r="I2072" s="12"/>
      <c r="J2072" s="5" t="e">
        <f>SUM(SUMIFS(#REF!,#REF!,Planning[[#This Row],[Tipo de Tarea y especialidad]],#REF!,Planning[[#This Row],[Proyectos Reiwa]]),SUMIFS(#REF!,#REF!,Planning[[#This Row],[Tipo de Tarea y especialidad]],#REF!,Planning[[#This Row],[Proyectos]]))</f>
        <v>#REF!</v>
      </c>
      <c r="K2072" s="5" t="e">
        <f>Planning[[#This Row],[Horas Planificadas]]+Planning[[#This Row],[Horas ajustadas adicionales]]-Planning[[#This Row],[Horas utilizadas]]</f>
        <v>#REF!</v>
      </c>
      <c r="L2072" s="7">
        <v>18</v>
      </c>
      <c r="M2072" s="19" t="e">
        <f>Planning[[#This Row],[Saldo]]-Planning[[#This Row],[Saldo estimado]]</f>
        <v>#REF!</v>
      </c>
      <c r="N2072" s="60" t="e">
        <f>+SUMIFS(#REF!,#REF!,Planning[[#This Row],[Proyectos]],#REF!,Planning[[#This Row],[Tipo de Tarea y especialidad]])</f>
        <v>#REF!</v>
      </c>
      <c r="O2072" s="19">
        <f t="shared" si="64"/>
        <v>10</v>
      </c>
      <c r="P2072" s="19">
        <f t="shared" si="65"/>
        <v>2024</v>
      </c>
      <c r="Q20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72" s="19" t="str">
        <f>TEXT(Planning[[#This Row],[Mes]]*29,"mmmm")</f>
        <v>October</v>
      </c>
      <c r="S20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72" s="193"/>
      <c r="U2072" s="43" t="e">
        <f>IF(Planning[[#This Row],[Horas Planificadas]]&lt;&gt;0,+K2072/Planning[[#This Row],[Horas Planificadas]],0)</f>
        <v>#REF!</v>
      </c>
      <c r="V2072" s="43" t="e">
        <f>IF(Planning[[#This Row],[Horas Planificadas]]&lt;&gt;0,Planning[[#This Row],[Horas utilizadas]]/Planning[[#This Row],[Horas Planificadas]],0)</f>
        <v>#REF!</v>
      </c>
      <c r="W2072" s="44">
        <f>Planning[[#This Row],[Horas Planificadas]]+Planning[[#This Row],[Horas ajustadas adicionales]]</f>
        <v>153</v>
      </c>
      <c r="X2072" s="142"/>
    </row>
    <row r="2073" spans="1:24" x14ac:dyDescent="0.2">
      <c r="A2073" s="7" t="s">
        <v>389</v>
      </c>
      <c r="B2073" s="7" t="s">
        <v>205</v>
      </c>
      <c r="C2073" s="3"/>
      <c r="D2073" s="3" t="s">
        <v>456</v>
      </c>
      <c r="E2073" s="4"/>
      <c r="F2073" s="3" t="s">
        <v>124</v>
      </c>
      <c r="G2073" s="9"/>
      <c r="H2073" s="9"/>
      <c r="I2073" s="12"/>
      <c r="J2073" s="5" t="e">
        <f>SUM(SUMIFS(#REF!,#REF!,Planning[[#This Row],[Tipo de Tarea y especialidad]],#REF!,Planning[[#This Row],[Proyectos Reiwa]]),SUMIFS(#REF!,#REF!,Planning[[#This Row],[Tipo de Tarea y especialidad]],#REF!,Planning[[#This Row],[Proyectos]]))</f>
        <v>#REF!</v>
      </c>
      <c r="K2073" s="5" t="e">
        <f>Planning[[#This Row],[Horas Planificadas]]+Planning[[#This Row],[Horas ajustadas adicionales]]-Planning[[#This Row],[Horas utilizadas]]</f>
        <v>#REF!</v>
      </c>
      <c r="L2073" s="7"/>
      <c r="M2073" s="19" t="e">
        <f>Planning[[#This Row],[Saldo]]-Planning[[#This Row],[Saldo estimado]]</f>
        <v>#REF!</v>
      </c>
      <c r="N2073" s="60" t="e">
        <f>+SUMIFS(#REF!,#REF!,Planning[[#This Row],[Proyectos]],#REF!,Planning[[#This Row],[Tipo de Tarea y especialidad]])</f>
        <v>#REF!</v>
      </c>
      <c r="O2073" s="19">
        <f t="shared" si="64"/>
        <v>10</v>
      </c>
      <c r="P2073" s="19">
        <f t="shared" si="65"/>
        <v>2024</v>
      </c>
      <c r="Q20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73" s="19" t="str">
        <f>TEXT(Planning[[#This Row],[Mes]]*29,"mmmm")</f>
        <v>October</v>
      </c>
      <c r="S20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73" s="193"/>
      <c r="U2073" s="43">
        <f>IF(Planning[[#This Row],[Horas Planificadas]]&lt;&gt;0,+K2073/Planning[[#This Row],[Horas Planificadas]],0)</f>
        <v>0</v>
      </c>
      <c r="V2073" s="43">
        <f>IF(Planning[[#This Row],[Horas Planificadas]]&lt;&gt;0,Planning[[#This Row],[Horas utilizadas]]/Planning[[#This Row],[Horas Planificadas]],0)</f>
        <v>0</v>
      </c>
      <c r="W2073" s="44">
        <f>Planning[[#This Row],[Horas Planificadas]]+Planning[[#This Row],[Horas ajustadas adicionales]]</f>
        <v>0</v>
      </c>
      <c r="X2073" s="142"/>
    </row>
    <row r="2074" spans="1:24" x14ac:dyDescent="0.2">
      <c r="A2074" s="7" t="s">
        <v>389</v>
      </c>
      <c r="B2074" s="7" t="s">
        <v>205</v>
      </c>
      <c r="C2074" s="3"/>
      <c r="D2074" s="3" t="s">
        <v>456</v>
      </c>
      <c r="E2074" s="4"/>
      <c r="F2074" s="3" t="s">
        <v>125</v>
      </c>
      <c r="G2074" s="9"/>
      <c r="H2074" s="12">
        <v>99</v>
      </c>
      <c r="I2074" s="12"/>
      <c r="J2074" s="5" t="e">
        <f>SUM(SUMIFS(#REF!,#REF!,Planning[[#This Row],[Tipo de Tarea y especialidad]],#REF!,Planning[[#This Row],[Proyectos Reiwa]]),SUMIFS(#REF!,#REF!,Planning[[#This Row],[Tipo de Tarea y especialidad]],#REF!,Planning[[#This Row],[Proyectos]]))</f>
        <v>#REF!</v>
      </c>
      <c r="K2074" s="27" t="e">
        <f>Planning[[#This Row],[Horas Planificadas]]+Planning[[#This Row],[Horas ajustadas adicionales]]-Planning[[#This Row],[Horas utilizadas]]</f>
        <v>#REF!</v>
      </c>
      <c r="L2074" s="7">
        <v>18</v>
      </c>
      <c r="M2074" s="19" t="e">
        <f>Planning[[#This Row],[Saldo]]-Planning[[#This Row],[Saldo estimado]]</f>
        <v>#REF!</v>
      </c>
      <c r="N2074" s="60" t="e">
        <f>+SUMIFS(#REF!,#REF!,Planning[[#This Row],[Proyectos]],#REF!,Planning[[#This Row],[Tipo de Tarea y especialidad]])</f>
        <v>#REF!</v>
      </c>
      <c r="O2074" s="19">
        <f t="shared" si="64"/>
        <v>10</v>
      </c>
      <c r="P2074" s="19">
        <f t="shared" si="65"/>
        <v>2024</v>
      </c>
      <c r="Q20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74" s="19" t="str">
        <f>TEXT(Planning[[#This Row],[Mes]]*29,"mmmm")</f>
        <v>October</v>
      </c>
      <c r="S20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74" s="193"/>
      <c r="U2074" s="43" t="e">
        <f>IF(Planning[[#This Row],[Horas Planificadas]]&lt;&gt;0,+K2074/Planning[[#This Row],[Horas Planificadas]],0)</f>
        <v>#REF!</v>
      </c>
      <c r="V2074" s="43" t="e">
        <f>IF(Planning[[#This Row],[Horas Planificadas]]&lt;&gt;0,Planning[[#This Row],[Horas utilizadas]]/Planning[[#This Row],[Horas Planificadas]],0)</f>
        <v>#REF!</v>
      </c>
      <c r="W2074" s="44">
        <f>Planning[[#This Row],[Horas Planificadas]]+Planning[[#This Row],[Horas ajustadas adicionales]]</f>
        <v>99</v>
      </c>
      <c r="X2074" s="142"/>
    </row>
    <row r="2075" spans="1:24" x14ac:dyDescent="0.2">
      <c r="A2075" s="7" t="s">
        <v>389</v>
      </c>
      <c r="B2075" s="7" t="s">
        <v>205</v>
      </c>
      <c r="C2075" s="3"/>
      <c r="D2075" s="3" t="s">
        <v>456</v>
      </c>
      <c r="E2075" s="4"/>
      <c r="F2075" s="3" t="s">
        <v>126</v>
      </c>
      <c r="G2075" s="9"/>
      <c r="H2075" s="9"/>
      <c r="I2075" s="12"/>
      <c r="J2075" s="5" t="e">
        <f>SUM(SUMIFS(#REF!,#REF!,Planning[[#This Row],[Tipo de Tarea y especialidad]],#REF!,Planning[[#This Row],[Proyectos Reiwa]]),SUMIFS(#REF!,#REF!,Planning[[#This Row],[Tipo de Tarea y especialidad]],#REF!,Planning[[#This Row],[Proyectos]]))</f>
        <v>#REF!</v>
      </c>
      <c r="K2075" s="5" t="e">
        <f>Planning[[#This Row],[Horas Planificadas]]+Planning[[#This Row],[Horas ajustadas adicionales]]-Planning[[#This Row],[Horas utilizadas]]</f>
        <v>#REF!</v>
      </c>
      <c r="L2075" s="7"/>
      <c r="M2075" s="19" t="e">
        <f>Planning[[#This Row],[Saldo]]-Planning[[#This Row],[Saldo estimado]]</f>
        <v>#REF!</v>
      </c>
      <c r="N2075" s="60" t="e">
        <f>+SUMIFS(#REF!,#REF!,Planning[[#This Row],[Proyectos]],#REF!,Planning[[#This Row],[Tipo de Tarea y especialidad]])</f>
        <v>#REF!</v>
      </c>
      <c r="O2075" s="19">
        <f t="shared" si="64"/>
        <v>10</v>
      </c>
      <c r="P2075" s="19">
        <f t="shared" si="65"/>
        <v>2024</v>
      </c>
      <c r="Q20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75" s="19" t="str">
        <f>TEXT(Planning[[#This Row],[Mes]]*29,"mmmm")</f>
        <v>October</v>
      </c>
      <c r="S20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75" s="193"/>
      <c r="U2075" s="43">
        <f>IF(Planning[[#This Row],[Horas Planificadas]]&lt;&gt;0,+K2075/Planning[[#This Row],[Horas Planificadas]],0)</f>
        <v>0</v>
      </c>
      <c r="V2075" s="43">
        <f>IF(Planning[[#This Row],[Horas Planificadas]]&lt;&gt;0,Planning[[#This Row],[Horas utilizadas]]/Planning[[#This Row],[Horas Planificadas]],0)</f>
        <v>0</v>
      </c>
      <c r="W2075" s="44">
        <f>Planning[[#This Row],[Horas Planificadas]]+Planning[[#This Row],[Horas ajustadas adicionales]]</f>
        <v>0</v>
      </c>
      <c r="X2075" s="142"/>
    </row>
    <row r="2076" spans="1:24" x14ac:dyDescent="0.2">
      <c r="A2076" s="7" t="s">
        <v>389</v>
      </c>
      <c r="B2076" s="7" t="s">
        <v>205</v>
      </c>
      <c r="C2076" s="3"/>
      <c r="D2076" s="3" t="s">
        <v>456</v>
      </c>
      <c r="E2076" s="4"/>
      <c r="F2076" s="3" t="s">
        <v>127</v>
      </c>
      <c r="G2076" s="9"/>
      <c r="H2076" s="9">
        <v>99</v>
      </c>
      <c r="I2076" s="12"/>
      <c r="J2076" s="5" t="e">
        <f>SUM(SUMIFS(#REF!,#REF!,Planning[[#This Row],[Tipo de Tarea y especialidad]],#REF!,Planning[[#This Row],[Proyectos Reiwa]]),SUMIFS(#REF!,#REF!,Planning[[#This Row],[Tipo de Tarea y especialidad]],#REF!,Planning[[#This Row],[Proyectos]]))</f>
        <v>#REF!</v>
      </c>
      <c r="K2076" s="5" t="e">
        <f>Planning[[#This Row],[Horas Planificadas]]+Planning[[#This Row],[Horas ajustadas adicionales]]-Planning[[#This Row],[Horas utilizadas]]</f>
        <v>#REF!</v>
      </c>
      <c r="L2076" s="7">
        <v>18</v>
      </c>
      <c r="M2076" s="19" t="e">
        <f>Planning[[#This Row],[Saldo]]-Planning[[#This Row],[Saldo estimado]]</f>
        <v>#REF!</v>
      </c>
      <c r="N2076" s="60" t="e">
        <f>+SUMIFS(#REF!,#REF!,Planning[[#This Row],[Proyectos]],#REF!,Planning[[#This Row],[Tipo de Tarea y especialidad]])</f>
        <v>#REF!</v>
      </c>
      <c r="O2076" s="19">
        <f t="shared" si="64"/>
        <v>10</v>
      </c>
      <c r="P2076" s="19">
        <f t="shared" si="65"/>
        <v>2024</v>
      </c>
      <c r="Q20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76" s="19" t="str">
        <f>TEXT(Planning[[#This Row],[Mes]]*29,"mmmm")</f>
        <v>October</v>
      </c>
      <c r="S20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76" s="193"/>
      <c r="U2076" s="43" t="e">
        <f>IF(Planning[[#This Row],[Horas Planificadas]]&lt;&gt;0,+K2076/Planning[[#This Row],[Horas Planificadas]],0)</f>
        <v>#REF!</v>
      </c>
      <c r="V2076" s="43" t="e">
        <f>IF(Planning[[#This Row],[Horas Planificadas]]&lt;&gt;0,Planning[[#This Row],[Horas utilizadas]]/Planning[[#This Row],[Horas Planificadas]],0)</f>
        <v>#REF!</v>
      </c>
      <c r="W2076" s="44">
        <f>Planning[[#This Row],[Horas Planificadas]]+Planning[[#This Row],[Horas ajustadas adicionales]]</f>
        <v>99</v>
      </c>
      <c r="X2076" s="142"/>
    </row>
    <row r="2077" spans="1:24" x14ac:dyDescent="0.2">
      <c r="A2077" s="7" t="s">
        <v>389</v>
      </c>
      <c r="B2077" s="7" t="s">
        <v>205</v>
      </c>
      <c r="C2077" s="3"/>
      <c r="D2077" s="3" t="s">
        <v>456</v>
      </c>
      <c r="E2077" s="4"/>
      <c r="F2077" s="3" t="s">
        <v>128</v>
      </c>
      <c r="G2077" s="9"/>
      <c r="H2077" s="9"/>
      <c r="I2077" s="12"/>
      <c r="J2077" s="5" t="e">
        <f>SUM(SUMIFS(#REF!,#REF!,Planning[[#This Row],[Tipo de Tarea y especialidad]],#REF!,Planning[[#This Row],[Proyectos Reiwa]]),SUMIFS(#REF!,#REF!,Planning[[#This Row],[Tipo de Tarea y especialidad]],#REF!,Planning[[#This Row],[Proyectos]]))</f>
        <v>#REF!</v>
      </c>
      <c r="K2077" s="5" t="e">
        <f>Planning[[#This Row],[Horas Planificadas]]+Planning[[#This Row],[Horas ajustadas adicionales]]-Planning[[#This Row],[Horas utilizadas]]</f>
        <v>#REF!</v>
      </c>
      <c r="L2077" s="7"/>
      <c r="M2077" s="19" t="e">
        <f>Planning[[#This Row],[Saldo]]-Planning[[#This Row],[Saldo estimado]]</f>
        <v>#REF!</v>
      </c>
      <c r="N2077" s="60" t="e">
        <f>+SUMIFS(#REF!,#REF!,Planning[[#This Row],[Proyectos]],#REF!,Planning[[#This Row],[Tipo de Tarea y especialidad]])</f>
        <v>#REF!</v>
      </c>
      <c r="O2077" s="19">
        <f t="shared" si="64"/>
        <v>10</v>
      </c>
      <c r="P2077" s="19">
        <f t="shared" si="65"/>
        <v>2024</v>
      </c>
      <c r="Q20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77" s="19" t="str">
        <f>TEXT(Planning[[#This Row],[Mes]]*29,"mmmm")</f>
        <v>October</v>
      </c>
      <c r="S20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77" s="193"/>
      <c r="U2077" s="43">
        <f>IF(Planning[[#This Row],[Horas Planificadas]]&lt;&gt;0,+K2077/Planning[[#This Row],[Horas Planificadas]],0)</f>
        <v>0</v>
      </c>
      <c r="V2077" s="43">
        <f>IF(Planning[[#This Row],[Horas Planificadas]]&lt;&gt;0,Planning[[#This Row],[Horas utilizadas]]/Planning[[#This Row],[Horas Planificadas]],0)</f>
        <v>0</v>
      </c>
      <c r="W2077" s="44">
        <f>Planning[[#This Row],[Horas Planificadas]]+Planning[[#This Row],[Horas ajustadas adicionales]]</f>
        <v>0</v>
      </c>
      <c r="X2077" s="142"/>
    </row>
    <row r="2078" spans="1:24" x14ac:dyDescent="0.2">
      <c r="A2078" s="7" t="s">
        <v>389</v>
      </c>
      <c r="B2078" s="7" t="s">
        <v>205</v>
      </c>
      <c r="C2078" s="3"/>
      <c r="D2078" s="3" t="s">
        <v>456</v>
      </c>
      <c r="E2078" s="4" t="s">
        <v>31</v>
      </c>
      <c r="F2078" s="3" t="s">
        <v>31</v>
      </c>
      <c r="G2078" s="9">
        <v>153</v>
      </c>
      <c r="H2078" s="17">
        <v>153</v>
      </c>
      <c r="I2078" s="18"/>
      <c r="J2078" s="14" t="e">
        <f>+SUMIFS(#REF!,#REF!,Planning[[#This Row],[Tarifa]],#REF!,Planning[[#This Row],[Proyectos]])</f>
        <v>#REF!</v>
      </c>
      <c r="K2078" s="14" t="e">
        <f>Planning[[#This Row],[Horas Planificadas]]+Planning[[#This Row],[Horas ajustadas adicionales]]-Planning[[#This Row],[Horas utilizadas]]</f>
        <v>#REF!</v>
      </c>
      <c r="L2078" s="15">
        <v>0</v>
      </c>
      <c r="M2078" s="16" t="e">
        <f>Planning[[#This Row],[Saldo]]-Planning[[#This Row],[Saldo estimado]]</f>
        <v>#REF!</v>
      </c>
      <c r="N2078" s="60" t="e">
        <f>+SUMIFS(#REF!,#REF!,Planning[[#This Row],[Proyectos]],#REF!,Planning[[#This Row],[Tipo de Tarea y especialidad]])</f>
        <v>#REF!</v>
      </c>
      <c r="O2078" s="16">
        <f t="shared" si="64"/>
        <v>10</v>
      </c>
      <c r="P2078" s="16">
        <f t="shared" si="65"/>
        <v>2024</v>
      </c>
      <c r="Q2078" s="16" t="e">
        <f>+SUMIFS(#REF!,#REF!,Planning[[#This Row],[Tarifa]],#REF!,Planning[[#This Row],[Proyectos]],#REF!,Planning[[#This Row],[Mes]],#REF!,Planning[[#This Row],[Año]])</f>
        <v>#REF!</v>
      </c>
      <c r="R2078" s="16" t="str">
        <f>TEXT(Planning[[#This Row],[Mes]]*29,"mmmm")</f>
        <v>October</v>
      </c>
      <c r="S20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78" s="193"/>
      <c r="U2078" s="43" t="e">
        <f>IF(Planning[[#This Row],[Horas Planificadas]]&lt;&gt;0,+K2078/Planning[[#This Row],[Horas Planificadas]],0)</f>
        <v>#REF!</v>
      </c>
      <c r="V2078" s="43" t="e">
        <f>IF(Planning[[#This Row],[Horas Planificadas]]&lt;&gt;0,Planning[[#This Row],[Horas utilizadas]]/Planning[[#This Row],[Horas Planificadas]],0)</f>
        <v>#REF!</v>
      </c>
      <c r="W2078" s="44">
        <f>Planning[[#This Row],[Horas Planificadas]]+Planning[[#This Row],[Horas ajustadas adicionales]]</f>
        <v>153</v>
      </c>
      <c r="X2078" s="142"/>
    </row>
    <row r="2079" spans="1:24" ht="22.5" x14ac:dyDescent="0.2">
      <c r="A2079" s="7" t="s">
        <v>389</v>
      </c>
      <c r="B2079" s="7" t="s">
        <v>205</v>
      </c>
      <c r="C2079" s="3"/>
      <c r="D2079" s="3" t="s">
        <v>456</v>
      </c>
      <c r="E2079" s="4" t="s">
        <v>32</v>
      </c>
      <c r="F2079" s="3"/>
      <c r="G2079" s="9">
        <v>126</v>
      </c>
      <c r="H2079" s="25">
        <f>SUM(H2080:H2082)</f>
        <v>126</v>
      </c>
      <c r="I2079" s="14"/>
      <c r="J2079" s="14" t="e">
        <f>SUM(J2080:J2082)</f>
        <v>#REF!</v>
      </c>
      <c r="K2079" s="18" t="e">
        <f>SUM(K2080:K2082)</f>
        <v>#REF!</v>
      </c>
      <c r="L2079" s="15">
        <f>SUM(L2080:L2082)</f>
        <v>30</v>
      </c>
      <c r="M2079" s="16" t="e">
        <f>SUM(M2080:M2082)</f>
        <v>#REF!</v>
      </c>
      <c r="N2079" s="60" t="e">
        <f>+SUMIFS(#REF!,#REF!,Planning[[#This Row],[Proyectos]],#REF!,Planning[[#This Row],[Tipo de Tarea y especialidad]])</f>
        <v>#REF!</v>
      </c>
      <c r="O2079" s="16">
        <f t="shared" si="64"/>
        <v>10</v>
      </c>
      <c r="P2079" s="16">
        <f t="shared" si="65"/>
        <v>2024</v>
      </c>
      <c r="Q2079" s="16" t="e">
        <f>SUM(Q2080:Q2082)</f>
        <v>#REF!</v>
      </c>
      <c r="R2079" s="16" t="str">
        <f>TEXT(Planning[[#This Row],[Mes]]*29,"mmmm")</f>
        <v>October</v>
      </c>
      <c r="S20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79" s="193"/>
      <c r="U2079" s="43" t="e">
        <f>IF(Planning[[#This Row],[Horas Planificadas]]&lt;&gt;0,+K2079/Planning[[#This Row],[Horas Planificadas]],0)</f>
        <v>#REF!</v>
      </c>
      <c r="V2079" s="43" t="e">
        <f>IF(Planning[[#This Row],[Horas Planificadas]]&lt;&gt;0,Planning[[#This Row],[Horas utilizadas]]/Planning[[#This Row],[Horas Planificadas]],0)</f>
        <v>#REF!</v>
      </c>
      <c r="W2079" s="44">
        <f>Planning[[#This Row],[Horas Planificadas]]+Planning[[#This Row],[Horas ajustadas adicionales]]</f>
        <v>126</v>
      </c>
      <c r="X2079" s="142"/>
    </row>
    <row r="2080" spans="1:24" x14ac:dyDescent="0.2">
      <c r="A2080" s="7" t="s">
        <v>389</v>
      </c>
      <c r="B2080" s="7" t="s">
        <v>205</v>
      </c>
      <c r="C2080" s="3"/>
      <c r="D2080" s="3" t="s">
        <v>456</v>
      </c>
      <c r="E2080" s="4"/>
      <c r="F2080" s="3" t="s">
        <v>129</v>
      </c>
      <c r="G2080" s="9"/>
      <c r="H2080" s="9"/>
      <c r="I2080" s="12"/>
      <c r="J2080" s="5" t="e">
        <f>SUM(SUMIFS(#REF!,#REF!,Planning[[#This Row],[Tipo de Tarea y especialidad]],#REF!,Planning[[#This Row],[Proyectos Reiwa]]),SUMIFS(#REF!,#REF!,Planning[[#This Row],[Tipo de Tarea y especialidad]],#REF!,Planning[[#This Row],[Proyectos]]))</f>
        <v>#REF!</v>
      </c>
      <c r="K2080" s="5" t="e">
        <f>Planning[[#This Row],[Horas Planificadas]]+Planning[[#This Row],[Horas ajustadas adicionales]]-Planning[[#This Row],[Horas utilizadas]]</f>
        <v>#REF!</v>
      </c>
      <c r="L2080" s="7"/>
      <c r="M2080" s="19" t="e">
        <f>Planning[[#This Row],[Saldo]]-Planning[[#This Row],[Saldo estimado]]</f>
        <v>#REF!</v>
      </c>
      <c r="N2080" s="60" t="e">
        <f>+SUMIFS(#REF!,#REF!,Planning[[#This Row],[Proyectos]],#REF!,Planning[[#This Row],[Tipo de Tarea y especialidad]])</f>
        <v>#REF!</v>
      </c>
      <c r="O2080" s="19">
        <f t="shared" si="64"/>
        <v>10</v>
      </c>
      <c r="P2080" s="19">
        <f t="shared" si="65"/>
        <v>2024</v>
      </c>
      <c r="Q20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80" s="19" t="str">
        <f>TEXT(Planning[[#This Row],[Mes]]*29,"mmmm")</f>
        <v>October</v>
      </c>
      <c r="S20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80" s="193"/>
      <c r="U2080" s="43">
        <f>IF(Planning[[#This Row],[Horas Planificadas]]&lt;&gt;0,+K2080/Planning[[#This Row],[Horas Planificadas]],0)</f>
        <v>0</v>
      </c>
      <c r="V2080" s="43">
        <f>IF(Planning[[#This Row],[Horas Planificadas]]&lt;&gt;0,Planning[[#This Row],[Horas utilizadas]]/Planning[[#This Row],[Horas Planificadas]],0)</f>
        <v>0</v>
      </c>
      <c r="W2080" s="44">
        <f>Planning[[#This Row],[Horas Planificadas]]+Planning[[#This Row],[Horas ajustadas adicionales]]</f>
        <v>0</v>
      </c>
      <c r="X2080" s="142"/>
    </row>
    <row r="2081" spans="1:24" x14ac:dyDescent="0.2">
      <c r="A2081" s="7" t="s">
        <v>389</v>
      </c>
      <c r="B2081" s="7" t="s">
        <v>205</v>
      </c>
      <c r="C2081" s="3"/>
      <c r="D2081" s="3" t="s">
        <v>456</v>
      </c>
      <c r="E2081" s="4"/>
      <c r="F2081" s="3" t="s">
        <v>130</v>
      </c>
      <c r="G2081" s="9"/>
      <c r="H2081" s="9">
        <v>126</v>
      </c>
      <c r="I2081" s="12"/>
      <c r="J2081" s="5" t="e">
        <f>SUM(SUMIFS(#REF!,#REF!,Planning[[#This Row],[Tipo de Tarea y especialidad]],#REF!,Planning[[#This Row],[Proyectos Reiwa]]),SUMIFS(#REF!,#REF!,Planning[[#This Row],[Tipo de Tarea y especialidad]],#REF!,Planning[[#This Row],[Proyectos]]))</f>
        <v>#REF!</v>
      </c>
      <c r="K2081" s="5" t="e">
        <f>Planning[[#This Row],[Horas Planificadas]]+Planning[[#This Row],[Horas ajustadas adicionales]]-Planning[[#This Row],[Horas utilizadas]]</f>
        <v>#REF!</v>
      </c>
      <c r="L2081" s="7">
        <v>30</v>
      </c>
      <c r="M2081" s="19" t="e">
        <f>Planning[[#This Row],[Saldo]]-Planning[[#This Row],[Saldo estimado]]</f>
        <v>#REF!</v>
      </c>
      <c r="N2081" s="60" t="e">
        <f>+SUMIFS(#REF!,#REF!,Planning[[#This Row],[Proyectos]],#REF!,Planning[[#This Row],[Tipo de Tarea y especialidad]])</f>
        <v>#REF!</v>
      </c>
      <c r="O2081" s="19">
        <f t="shared" si="64"/>
        <v>10</v>
      </c>
      <c r="P2081" s="19">
        <f t="shared" si="65"/>
        <v>2024</v>
      </c>
      <c r="Q20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81" s="19" t="str">
        <f>TEXT(Planning[[#This Row],[Mes]]*29,"mmmm")</f>
        <v>October</v>
      </c>
      <c r="S20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81" s="193"/>
      <c r="U2081" s="43" t="e">
        <f>IF(Planning[[#This Row],[Horas Planificadas]]&lt;&gt;0,+K2081/Planning[[#This Row],[Horas Planificadas]],0)</f>
        <v>#REF!</v>
      </c>
      <c r="V2081" s="43" t="e">
        <f>IF(Planning[[#This Row],[Horas Planificadas]]&lt;&gt;0,Planning[[#This Row],[Horas utilizadas]]/Planning[[#This Row],[Horas Planificadas]],0)</f>
        <v>#REF!</v>
      </c>
      <c r="W2081" s="44">
        <f>Planning[[#This Row],[Horas Planificadas]]+Planning[[#This Row],[Horas ajustadas adicionales]]</f>
        <v>126</v>
      </c>
      <c r="X2081" s="142"/>
    </row>
    <row r="2082" spans="1:24" x14ac:dyDescent="0.2">
      <c r="A2082" s="7" t="s">
        <v>389</v>
      </c>
      <c r="B2082" s="7" t="s">
        <v>205</v>
      </c>
      <c r="C2082" s="3"/>
      <c r="D2082" s="3" t="s">
        <v>456</v>
      </c>
      <c r="E2082" s="4"/>
      <c r="F2082" s="3" t="s">
        <v>131</v>
      </c>
      <c r="G2082" s="9"/>
      <c r="H2082" s="9"/>
      <c r="I2082" s="12"/>
      <c r="J2082" s="5" t="e">
        <f>SUM(SUMIFS(#REF!,#REF!,Planning[[#This Row],[Tipo de Tarea y especialidad]],#REF!,Planning[[#This Row],[Proyectos Reiwa]]),SUMIFS(#REF!,#REF!,Planning[[#This Row],[Tipo de Tarea y especialidad]],#REF!,Planning[[#This Row],[Proyectos]]))</f>
        <v>#REF!</v>
      </c>
      <c r="K2082" s="5" t="e">
        <f>Planning[[#This Row],[Horas Planificadas]]+Planning[[#This Row],[Horas ajustadas adicionales]]-Planning[[#This Row],[Horas utilizadas]]</f>
        <v>#REF!</v>
      </c>
      <c r="L2082" s="7"/>
      <c r="M2082" s="19" t="e">
        <f>Planning[[#This Row],[Saldo]]-Planning[[#This Row],[Saldo estimado]]</f>
        <v>#REF!</v>
      </c>
      <c r="N2082" s="60" t="e">
        <f>+SUMIFS(#REF!,#REF!,Planning[[#This Row],[Proyectos]],#REF!,Planning[[#This Row],[Tipo de Tarea y especialidad]])</f>
        <v>#REF!</v>
      </c>
      <c r="O2082" s="19">
        <f t="shared" si="64"/>
        <v>10</v>
      </c>
      <c r="P2082" s="19">
        <f t="shared" si="65"/>
        <v>2024</v>
      </c>
      <c r="Q20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82" s="19" t="str">
        <f>TEXT(Planning[[#This Row],[Mes]]*29,"mmmm")</f>
        <v>October</v>
      </c>
      <c r="S20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82" s="193"/>
      <c r="U2082" s="43">
        <f>IF(Planning[[#This Row],[Horas Planificadas]]&lt;&gt;0,+K2082/Planning[[#This Row],[Horas Planificadas]],0)</f>
        <v>0</v>
      </c>
      <c r="V2082" s="43">
        <f>IF(Planning[[#This Row],[Horas Planificadas]]&lt;&gt;0,Planning[[#This Row],[Horas utilizadas]]/Planning[[#This Row],[Horas Planificadas]],0)</f>
        <v>0</v>
      </c>
      <c r="W2082" s="44">
        <f>Planning[[#This Row],[Horas Planificadas]]+Planning[[#This Row],[Horas ajustadas adicionales]]</f>
        <v>0</v>
      </c>
      <c r="X2082" s="142"/>
    </row>
    <row r="2083" spans="1:24" ht="22.5" x14ac:dyDescent="0.2">
      <c r="A2083" s="7"/>
      <c r="B2083" s="7"/>
      <c r="C2083" s="3"/>
      <c r="D2083" s="3" t="s">
        <v>458</v>
      </c>
      <c r="E2083" s="4" t="s">
        <v>28</v>
      </c>
      <c r="F2083" s="3"/>
      <c r="G2083" s="9"/>
      <c r="H2083" s="12">
        <v>0</v>
      </c>
      <c r="I2083" s="12"/>
      <c r="J2083" s="5" t="e">
        <f>+SUMIFS(#REF!,#REF!,Planning[[#This Row],[Tarifa]],#REF!,Planning[[#This Row],[Proyectos]])</f>
        <v>#REF!</v>
      </c>
      <c r="K2083" s="27" t="e">
        <f>Planning[[#This Row],[Horas Planificadas]]+Planning[[#This Row],[Horas ajustadas adicionales]]-Planning[[#This Row],[Horas utilizadas]]</f>
        <v>#REF!</v>
      </c>
      <c r="L2083" s="7"/>
      <c r="M2083" s="19" t="e">
        <f>Planning[[#This Row],[Saldo]]-Planning[[#This Row],[Saldo estimado]]</f>
        <v>#REF!</v>
      </c>
      <c r="N2083" s="60" t="e">
        <f>+SUMIFS(#REF!,#REF!,Planning[[#This Row],[Proyectos]],#REF!,Planning[[#This Row],[Tipo de Tarea y especialidad]])</f>
        <v>#REF!</v>
      </c>
      <c r="O2083" s="19">
        <f t="shared" si="64"/>
        <v>10</v>
      </c>
      <c r="P2083" s="19">
        <f t="shared" si="65"/>
        <v>2024</v>
      </c>
      <c r="Q2083" s="19" t="e">
        <f>+SUMIFS(#REF!,#REF!,Planning[[#This Row],[Tarifa]],#REF!,Planning[[#This Row],[Proyectos]],#REF!,Planning[[#This Row],[Mes]],#REF!,Planning[[#This Row],[Año]])</f>
        <v>#REF!</v>
      </c>
      <c r="R2083" s="19" t="str">
        <f>TEXT(Planning[[#This Row],[Mes]]*29,"mmmm")</f>
        <v>October</v>
      </c>
      <c r="S20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83" s="228"/>
      <c r="U2083" s="43">
        <f>IF(Planning[[#This Row],[Horas Planificadas]]&lt;&gt;0,+K2083/Planning[[#This Row],[Horas Planificadas]],0)</f>
        <v>0</v>
      </c>
      <c r="V2083" s="43">
        <f>IF(Planning[[#This Row],[Horas Planificadas]]&lt;&gt;0,Planning[[#This Row],[Horas utilizadas]]/Planning[[#This Row],[Horas Planificadas]],0)</f>
        <v>0</v>
      </c>
      <c r="W2083" s="44">
        <f>Planning[[#This Row],[Horas Planificadas]]+Planning[[#This Row],[Horas ajustadas adicionales]]</f>
        <v>0</v>
      </c>
      <c r="X2083" s="142"/>
    </row>
    <row r="2084" spans="1:24" x14ac:dyDescent="0.2">
      <c r="A2084" s="7"/>
      <c r="B2084" s="7"/>
      <c r="C2084" s="3"/>
      <c r="D2084" s="3" t="s">
        <v>458</v>
      </c>
      <c r="E2084" s="4" t="s">
        <v>30</v>
      </c>
      <c r="F2084" s="3"/>
      <c r="G2084" s="9"/>
      <c r="H2084" s="9">
        <v>54</v>
      </c>
      <c r="I2084" s="12"/>
      <c r="J2084" s="5" t="e">
        <f>+SUMIFS(#REF!,#REF!,Planning[[#This Row],[Tarifa]],#REF!,Planning[[#This Row],[Proyectos]])</f>
        <v>#REF!</v>
      </c>
      <c r="K2084" s="5" t="e">
        <f>Planning[[#This Row],[Horas Planificadas]]+Planning[[#This Row],[Horas ajustadas adicionales]]-Planning[[#This Row],[Horas utilizadas]]</f>
        <v>#REF!</v>
      </c>
      <c r="L2084" s="7"/>
      <c r="M2084" s="19" t="e">
        <f>Planning[[#This Row],[Saldo]]-Planning[[#This Row],[Saldo estimado]]</f>
        <v>#REF!</v>
      </c>
      <c r="N2084" s="60" t="e">
        <f>+SUMIFS(#REF!,#REF!,Planning[[#This Row],[Proyectos]],#REF!,Planning[[#This Row],[Tipo de Tarea y especialidad]])</f>
        <v>#REF!</v>
      </c>
      <c r="O2084" s="19">
        <f t="shared" si="64"/>
        <v>10</v>
      </c>
      <c r="P2084" s="19">
        <f t="shared" si="65"/>
        <v>2024</v>
      </c>
      <c r="Q2084" s="19" t="e">
        <f>+SUMIFS(#REF!,#REF!,Planning[[#This Row],[Tarifa]],#REF!,Planning[[#This Row],[Proyectos]],#REF!,Planning[[#This Row],[Mes]],#REF!,Planning[[#This Row],[Año]])</f>
        <v>#REF!</v>
      </c>
      <c r="R2084" s="19" t="str">
        <f>TEXT(Planning[[#This Row],[Mes]]*29,"mmmm")</f>
        <v>October</v>
      </c>
      <c r="S20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84" s="228"/>
      <c r="U2084" s="43" t="e">
        <f>IF(Planning[[#This Row],[Horas Planificadas]]&lt;&gt;0,+K2084/Planning[[#This Row],[Horas Planificadas]],0)</f>
        <v>#REF!</v>
      </c>
      <c r="V2084" s="43" t="e">
        <f>IF(Planning[[#This Row],[Horas Planificadas]]&lt;&gt;0,Planning[[#This Row],[Horas utilizadas]]/Planning[[#This Row],[Horas Planificadas]],0)</f>
        <v>#REF!</v>
      </c>
      <c r="W2084" s="44">
        <f>Planning[[#This Row],[Horas Planificadas]]+Planning[[#This Row],[Horas ajustadas adicionales]]</f>
        <v>54</v>
      </c>
      <c r="X2084" s="142"/>
    </row>
    <row r="2085" spans="1:24" x14ac:dyDescent="0.2">
      <c r="A2085" s="7"/>
      <c r="B2085" s="7"/>
      <c r="C2085" s="3"/>
      <c r="D2085" s="3" t="s">
        <v>458</v>
      </c>
      <c r="E2085" s="4" t="s">
        <v>31</v>
      </c>
      <c r="F2085" s="3"/>
      <c r="G2085" s="9"/>
      <c r="H2085" s="9">
        <v>21</v>
      </c>
      <c r="I2085" s="12"/>
      <c r="J2085" s="5" t="e">
        <f>+SUMIFS(#REF!,#REF!,Planning[[#This Row],[Tarifa]],#REF!,Planning[[#This Row],[Proyectos]])</f>
        <v>#REF!</v>
      </c>
      <c r="K2085" s="5" t="e">
        <f>Planning[[#This Row],[Horas Planificadas]]+Planning[[#This Row],[Horas ajustadas adicionales]]-Planning[[#This Row],[Horas utilizadas]]</f>
        <v>#REF!</v>
      </c>
      <c r="L2085" s="7"/>
      <c r="M2085" s="19" t="e">
        <f>Planning[[#This Row],[Saldo]]-Planning[[#This Row],[Saldo estimado]]</f>
        <v>#REF!</v>
      </c>
      <c r="N2085" s="60" t="e">
        <f>+SUMIFS(#REF!,#REF!,Planning[[#This Row],[Proyectos]],#REF!,Planning[[#This Row],[Tipo de Tarea y especialidad]])</f>
        <v>#REF!</v>
      </c>
      <c r="O2085" s="19">
        <f t="shared" si="64"/>
        <v>10</v>
      </c>
      <c r="P2085" s="19">
        <f t="shared" si="65"/>
        <v>2024</v>
      </c>
      <c r="Q2085" s="19" t="e">
        <f>+SUMIFS(#REF!,#REF!,Planning[[#This Row],[Tarifa]],#REF!,Planning[[#This Row],[Proyectos]],#REF!,Planning[[#This Row],[Mes]],#REF!,Planning[[#This Row],[Año]])</f>
        <v>#REF!</v>
      </c>
      <c r="R2085" s="19" t="str">
        <f>TEXT(Planning[[#This Row],[Mes]]*29,"mmmm")</f>
        <v>October</v>
      </c>
      <c r="S20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85" s="228"/>
      <c r="U2085" s="43" t="e">
        <f>IF(Planning[[#This Row],[Horas Planificadas]]&lt;&gt;0,+K2085/Planning[[#This Row],[Horas Planificadas]],0)</f>
        <v>#REF!</v>
      </c>
      <c r="V2085" s="43" t="e">
        <f>IF(Planning[[#This Row],[Horas Planificadas]]&lt;&gt;0,Planning[[#This Row],[Horas utilizadas]]/Planning[[#This Row],[Horas Planificadas]],0)</f>
        <v>#REF!</v>
      </c>
      <c r="W2085" s="44">
        <f>Planning[[#This Row],[Horas Planificadas]]+Planning[[#This Row],[Horas ajustadas adicionales]]</f>
        <v>21</v>
      </c>
      <c r="X2085" s="142"/>
    </row>
    <row r="2086" spans="1:24" ht="22.5" x14ac:dyDescent="0.2">
      <c r="A2086" s="7"/>
      <c r="B2086" s="7"/>
      <c r="C2086" s="3"/>
      <c r="D2086" s="3" t="s">
        <v>458</v>
      </c>
      <c r="E2086" s="4" t="s">
        <v>32</v>
      </c>
      <c r="F2086" s="3"/>
      <c r="G2086" s="9"/>
      <c r="H2086" s="9">
        <v>98</v>
      </c>
      <c r="I2086" s="12"/>
      <c r="J2086" s="5" t="e">
        <f>+SUMIFS(#REF!,#REF!,Planning[[#This Row],[Tarifa]],#REF!,Planning[[#This Row],[Proyectos]])</f>
        <v>#REF!</v>
      </c>
      <c r="K2086" s="5" t="e">
        <f>Planning[[#This Row],[Horas Planificadas]]+Planning[[#This Row],[Horas ajustadas adicionales]]-Planning[[#This Row],[Horas utilizadas]]</f>
        <v>#REF!</v>
      </c>
      <c r="L2086" s="7"/>
      <c r="M2086" s="19" t="e">
        <f>Planning[[#This Row],[Saldo]]-Planning[[#This Row],[Saldo estimado]]</f>
        <v>#REF!</v>
      </c>
      <c r="N2086" s="60" t="e">
        <f>+SUMIFS(#REF!,#REF!,Planning[[#This Row],[Proyectos]],#REF!,Planning[[#This Row],[Tipo de Tarea y especialidad]])</f>
        <v>#REF!</v>
      </c>
      <c r="O2086" s="19">
        <f t="shared" si="64"/>
        <v>10</v>
      </c>
      <c r="P2086" s="19">
        <f t="shared" si="65"/>
        <v>2024</v>
      </c>
      <c r="Q2086" s="19" t="e">
        <f>+SUMIFS(#REF!,#REF!,Planning[[#This Row],[Tarifa]],#REF!,Planning[[#This Row],[Proyectos]],#REF!,Planning[[#This Row],[Mes]],#REF!,Planning[[#This Row],[Año]])</f>
        <v>#REF!</v>
      </c>
      <c r="R2086" s="19" t="str">
        <f>TEXT(Planning[[#This Row],[Mes]]*29,"mmmm")</f>
        <v>October</v>
      </c>
      <c r="S20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86" s="228"/>
      <c r="U2086" s="43" t="e">
        <f>IF(Planning[[#This Row],[Horas Planificadas]]&lt;&gt;0,+K2086/Planning[[#This Row],[Horas Planificadas]],0)</f>
        <v>#REF!</v>
      </c>
      <c r="V2086" s="43" t="e">
        <f>IF(Planning[[#This Row],[Horas Planificadas]]&lt;&gt;0,Planning[[#This Row],[Horas utilizadas]]/Planning[[#This Row],[Horas Planificadas]],0)</f>
        <v>#REF!</v>
      </c>
      <c r="W2086" s="44">
        <f>Planning[[#This Row],[Horas Planificadas]]+Planning[[#This Row],[Horas ajustadas adicionales]]</f>
        <v>98</v>
      </c>
      <c r="X2086" s="142"/>
    </row>
    <row r="2087" spans="1:24" ht="22.5" x14ac:dyDescent="0.2">
      <c r="A2087" s="7" t="s">
        <v>204</v>
      </c>
      <c r="B2087" s="7" t="s">
        <v>205</v>
      </c>
      <c r="C2087" s="3"/>
      <c r="D2087" s="3" t="s">
        <v>459</v>
      </c>
      <c r="E2087" s="4" t="s">
        <v>28</v>
      </c>
      <c r="F2087" s="3"/>
      <c r="G2087" s="9">
        <v>1014</v>
      </c>
      <c r="H2087" s="14">
        <f>SUM(H2088:H2089)</f>
        <v>1387</v>
      </c>
      <c r="I2087" s="14"/>
      <c r="J2087" s="14" t="e">
        <f>SUM(J2088:J2089)</f>
        <v>#REF!</v>
      </c>
      <c r="K2087" s="15" t="e">
        <f>SUM(K2088:K2089)</f>
        <v>#REF!</v>
      </c>
      <c r="L2087" s="15">
        <v>0</v>
      </c>
      <c r="M2087" s="14" t="e">
        <f>SUM(M2088:M2089)</f>
        <v>#REF!</v>
      </c>
      <c r="N2087" s="66" t="e">
        <f>+SUMIFS(#REF!,#REF!,Planning[[#This Row],[Proyectos]],#REF!,Planning[[#This Row],[Tipo de Tarea y especialidad]])</f>
        <v>#REF!</v>
      </c>
      <c r="O2087" s="14">
        <f t="shared" si="64"/>
        <v>10</v>
      </c>
      <c r="P2087" s="14">
        <f t="shared" si="65"/>
        <v>2024</v>
      </c>
      <c r="Q2087" s="28" t="e">
        <f>SUM(Q2088:Q2089)</f>
        <v>#REF!</v>
      </c>
      <c r="R2087" s="28" t="str">
        <f>TEXT(Planning[[#This Row],[Mes]]*29,"mmmm")</f>
        <v>October</v>
      </c>
      <c r="S20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87" s="192" t="s">
        <v>460</v>
      </c>
      <c r="U2087" s="43" t="e">
        <f>IF(Planning[[#This Row],[Horas Planificadas]]&lt;&gt;0,+K2087/Planning[[#This Row],[Horas Planificadas]],0)</f>
        <v>#REF!</v>
      </c>
      <c r="V2087" s="43" t="e">
        <f>IF(Planning[[#This Row],[Horas Planificadas]]&lt;&gt;0,Planning[[#This Row],[Horas utilizadas]]/Planning[[#This Row],[Horas Planificadas]],0)</f>
        <v>#REF!</v>
      </c>
      <c r="W2087" s="44">
        <f>Planning[[#This Row],[Horas Planificadas]]+Planning[[#This Row],[Horas ajustadas adicionales]]</f>
        <v>1387</v>
      </c>
      <c r="X2087" s="142"/>
    </row>
    <row r="2088" spans="1:24" x14ac:dyDescent="0.2">
      <c r="A2088" s="7" t="s">
        <v>204</v>
      </c>
      <c r="B2088" s="7" t="s">
        <v>205</v>
      </c>
      <c r="C2088" s="3"/>
      <c r="D2088" s="3" t="s">
        <v>459</v>
      </c>
      <c r="E2088" s="4"/>
      <c r="F2088" s="3" t="s">
        <v>120</v>
      </c>
      <c r="G2088" s="9"/>
      <c r="H2088" s="9">
        <v>1000</v>
      </c>
      <c r="I2088" s="12"/>
      <c r="J2088" s="5" t="e">
        <f>SUM(SUMIFS(#REF!,#REF!,Planning[[#This Row],[Tipo de Tarea y especialidad]],#REF!,Planning[[#This Row],[Proyectos Reiwa]]),SUMIFS(#REF!,#REF!,Planning[[#This Row],[Tipo de Tarea y especialidad]],#REF!,Planning[[#This Row],[Proyectos]]))</f>
        <v>#REF!</v>
      </c>
      <c r="K2088" s="5" t="e">
        <f>Planning[[#This Row],[Horas Planificadas]]+Planning[[#This Row],[Horas ajustadas adicionales]]-Planning[[#This Row],[Horas utilizadas]]</f>
        <v>#REF!</v>
      </c>
      <c r="L2088" s="7">
        <v>0</v>
      </c>
      <c r="M2088" s="19" t="e">
        <f>Planning[[#This Row],[Saldo]]-Planning[[#This Row],[Saldo estimado]]</f>
        <v>#REF!</v>
      </c>
      <c r="N2088" s="60" t="e">
        <f>+SUMIFS(#REF!,#REF!,Planning[[#This Row],[Proyectos]],#REF!,Planning[[#This Row],[Tipo de Tarea y especialidad]])</f>
        <v>#REF!</v>
      </c>
      <c r="O2088" s="19">
        <f t="shared" si="64"/>
        <v>10</v>
      </c>
      <c r="P2088" s="19">
        <f t="shared" si="65"/>
        <v>2024</v>
      </c>
      <c r="Q20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88" s="19" t="str">
        <f>TEXT(Planning[[#This Row],[Mes]]*29,"mmmm")</f>
        <v>October</v>
      </c>
      <c r="S20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88" s="193"/>
      <c r="U2088" s="43" t="e">
        <f>IF(Planning[[#This Row],[Horas Planificadas]]&lt;&gt;0,+K2088/Planning[[#This Row],[Horas Planificadas]],0)</f>
        <v>#REF!</v>
      </c>
      <c r="V2088" s="43" t="e">
        <f>IF(Planning[[#This Row],[Horas Planificadas]]&lt;&gt;0,Planning[[#This Row],[Horas utilizadas]]/Planning[[#This Row],[Horas Planificadas]],0)</f>
        <v>#REF!</v>
      </c>
      <c r="W2088" s="44">
        <f>Planning[[#This Row],[Horas Planificadas]]+Planning[[#This Row],[Horas ajustadas adicionales]]</f>
        <v>1000</v>
      </c>
      <c r="X2088" s="142"/>
    </row>
    <row r="2089" spans="1:24" x14ac:dyDescent="0.2">
      <c r="A2089" s="7" t="s">
        <v>204</v>
      </c>
      <c r="B2089" s="7" t="s">
        <v>205</v>
      </c>
      <c r="C2089" s="3"/>
      <c r="D2089" s="3" t="s">
        <v>459</v>
      </c>
      <c r="E2089" s="4"/>
      <c r="F2089" s="3" t="s">
        <v>121</v>
      </c>
      <c r="G2089" s="9"/>
      <c r="H2089" s="9">
        <v>387</v>
      </c>
      <c r="I2089" s="12"/>
      <c r="J2089" s="5" t="e">
        <f>SUM(SUMIFS(#REF!,#REF!,Planning[[#This Row],[Tipo de Tarea y especialidad]],#REF!,Planning[[#This Row],[Proyectos Reiwa]]),SUMIFS(#REF!,#REF!,Planning[[#This Row],[Tipo de Tarea y especialidad]],#REF!,Planning[[#This Row],[Proyectos]]))</f>
        <v>#REF!</v>
      </c>
      <c r="K2089" s="5" t="e">
        <f>Planning[[#This Row],[Horas Planificadas]]+Planning[[#This Row],[Horas ajustadas adicionales]]-Planning[[#This Row],[Horas utilizadas]]</f>
        <v>#REF!</v>
      </c>
      <c r="L2089" s="7">
        <v>0</v>
      </c>
      <c r="M2089" s="19" t="e">
        <f>Planning[[#This Row],[Saldo]]-Planning[[#This Row],[Saldo estimado]]</f>
        <v>#REF!</v>
      </c>
      <c r="N2089" s="60" t="e">
        <f>+SUMIFS(#REF!,#REF!,Planning[[#This Row],[Proyectos]],#REF!,Planning[[#This Row],[Tipo de Tarea y especialidad]])</f>
        <v>#REF!</v>
      </c>
      <c r="O2089" s="19">
        <f t="shared" si="64"/>
        <v>10</v>
      </c>
      <c r="P2089" s="19">
        <f t="shared" si="65"/>
        <v>2024</v>
      </c>
      <c r="Q20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89" s="19" t="str">
        <f>TEXT(Planning[[#This Row],[Mes]]*29,"mmmm")</f>
        <v>October</v>
      </c>
      <c r="S20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89" s="193"/>
      <c r="U2089" s="43" t="e">
        <f>IF(Planning[[#This Row],[Horas Planificadas]]&lt;&gt;0,+K2089/Planning[[#This Row],[Horas Planificadas]],0)</f>
        <v>#REF!</v>
      </c>
      <c r="V2089" s="43" t="e">
        <f>IF(Planning[[#This Row],[Horas Planificadas]]&lt;&gt;0,Planning[[#This Row],[Horas utilizadas]]/Planning[[#This Row],[Horas Planificadas]],0)</f>
        <v>#REF!</v>
      </c>
      <c r="W2089" s="44">
        <f>Planning[[#This Row],[Horas Planificadas]]+Planning[[#This Row],[Horas ajustadas adicionales]]</f>
        <v>387</v>
      </c>
      <c r="X2089" s="142"/>
    </row>
    <row r="2090" spans="1:24" x14ac:dyDescent="0.2">
      <c r="A2090" s="7" t="s">
        <v>204</v>
      </c>
      <c r="B2090" s="7" t="s">
        <v>205</v>
      </c>
      <c r="C2090" s="3"/>
      <c r="D2090" s="3" t="s">
        <v>459</v>
      </c>
      <c r="E2090" s="4" t="s">
        <v>30</v>
      </c>
      <c r="F2090" s="3"/>
      <c r="G2090" s="9">
        <v>1422</v>
      </c>
      <c r="H2090" s="14">
        <f>SUM(H2091:H2097)</f>
        <v>1448</v>
      </c>
      <c r="I2090" s="14"/>
      <c r="J2090" s="14" t="e">
        <f>SUM(J2091:J2097)</f>
        <v>#REF!</v>
      </c>
      <c r="K2090" s="15" t="e">
        <f>SUM(K2091:K2097)</f>
        <v>#REF!</v>
      </c>
      <c r="L2090" s="15">
        <v>0</v>
      </c>
      <c r="M2090" s="16" t="e">
        <f>SUM(M2091:M2097)</f>
        <v>#REF!</v>
      </c>
      <c r="N2090" s="60" t="e">
        <f>+SUMIFS(#REF!,#REF!,Planning[[#This Row],[Proyectos]],#REF!,Planning[[#This Row],[Tipo de Tarea y especialidad]])</f>
        <v>#REF!</v>
      </c>
      <c r="O2090" s="16">
        <f t="shared" si="64"/>
        <v>10</v>
      </c>
      <c r="P2090" s="16">
        <f t="shared" si="65"/>
        <v>2024</v>
      </c>
      <c r="Q2090" s="16" t="e">
        <f>SUM(Q2091:Q2097)</f>
        <v>#REF!</v>
      </c>
      <c r="R2090" s="16" t="str">
        <f>TEXT(Planning[[#This Row],[Mes]]*29,"mmmm")</f>
        <v>October</v>
      </c>
      <c r="S20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90" s="193"/>
      <c r="U2090" s="43" t="e">
        <f>IF(Planning[[#This Row],[Horas Planificadas]]&lt;&gt;0,+K2090/Planning[[#This Row],[Horas Planificadas]],0)</f>
        <v>#REF!</v>
      </c>
      <c r="V2090" s="43" t="e">
        <f>IF(Planning[[#This Row],[Horas Planificadas]]&lt;&gt;0,Planning[[#This Row],[Horas utilizadas]]/Planning[[#This Row],[Horas Planificadas]],0)</f>
        <v>#REF!</v>
      </c>
      <c r="W2090" s="44">
        <f>Planning[[#This Row],[Horas Planificadas]]+Planning[[#This Row],[Horas ajustadas adicionales]]</f>
        <v>1448</v>
      </c>
      <c r="X2090" s="142"/>
    </row>
    <row r="2091" spans="1:24" x14ac:dyDescent="0.2">
      <c r="A2091" s="7" t="s">
        <v>204</v>
      </c>
      <c r="B2091" s="7" t="s">
        <v>205</v>
      </c>
      <c r="C2091" s="3"/>
      <c r="D2091" s="3" t="s">
        <v>459</v>
      </c>
      <c r="E2091" s="4"/>
      <c r="F2091" s="3" t="s">
        <v>122</v>
      </c>
      <c r="G2091" s="9"/>
      <c r="H2091" s="9">
        <v>135</v>
      </c>
      <c r="I2091" s="12"/>
      <c r="J2091" s="5" t="e">
        <f>SUM(SUMIFS(#REF!,#REF!,Planning[[#This Row],[Tipo de Tarea y especialidad]],#REF!,Planning[[#This Row],[Proyectos Reiwa]]),SUMIFS(#REF!,#REF!,Planning[[#This Row],[Tipo de Tarea y especialidad]],#REF!,Planning[[#This Row],[Proyectos]]))</f>
        <v>#REF!</v>
      </c>
      <c r="K2091" s="5" t="e">
        <f>Planning[[#This Row],[Horas Planificadas]]+Planning[[#This Row],[Horas ajustadas adicionales]]-Planning[[#This Row],[Horas utilizadas]]</f>
        <v>#REF!</v>
      </c>
      <c r="L2091" s="7">
        <v>0</v>
      </c>
      <c r="M2091" s="19" t="e">
        <f>Planning[[#This Row],[Saldo]]-Planning[[#This Row],[Saldo estimado]]</f>
        <v>#REF!</v>
      </c>
      <c r="N2091" s="60" t="e">
        <f>+SUMIFS(#REF!,#REF!,Planning[[#This Row],[Proyectos]],#REF!,Planning[[#This Row],[Tipo de Tarea y especialidad]])</f>
        <v>#REF!</v>
      </c>
      <c r="O2091" s="19">
        <f t="shared" si="64"/>
        <v>10</v>
      </c>
      <c r="P2091" s="19">
        <f t="shared" si="65"/>
        <v>2024</v>
      </c>
      <c r="Q20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91" s="19" t="str">
        <f>TEXT(Planning[[#This Row],[Mes]]*29,"mmmm")</f>
        <v>October</v>
      </c>
      <c r="S20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91" s="193"/>
      <c r="U2091" s="43" t="e">
        <f>IF(Planning[[#This Row],[Horas Planificadas]]&lt;&gt;0,+K2091/Planning[[#This Row],[Horas Planificadas]],0)</f>
        <v>#REF!</v>
      </c>
      <c r="V2091" s="43" t="e">
        <f>IF(Planning[[#This Row],[Horas Planificadas]]&lt;&gt;0,Planning[[#This Row],[Horas utilizadas]]/Planning[[#This Row],[Horas Planificadas]],0)</f>
        <v>#REF!</v>
      </c>
      <c r="W2091" s="44">
        <f>Planning[[#This Row],[Horas Planificadas]]+Planning[[#This Row],[Horas ajustadas adicionales]]</f>
        <v>135</v>
      </c>
      <c r="X2091" s="142"/>
    </row>
    <row r="2092" spans="1:24" x14ac:dyDescent="0.2">
      <c r="A2092" s="7" t="s">
        <v>204</v>
      </c>
      <c r="B2092" s="7" t="s">
        <v>205</v>
      </c>
      <c r="C2092" s="3"/>
      <c r="D2092" s="3" t="s">
        <v>459</v>
      </c>
      <c r="E2092" s="4"/>
      <c r="F2092" s="3" t="s">
        <v>123</v>
      </c>
      <c r="G2092" s="9"/>
      <c r="H2092" s="9">
        <v>567</v>
      </c>
      <c r="I2092" s="12"/>
      <c r="J2092" s="5" t="e">
        <f>SUM(SUMIFS(#REF!,#REF!,Planning[[#This Row],[Tipo de Tarea y especialidad]],#REF!,Planning[[#This Row],[Proyectos Reiwa]]),SUMIFS(#REF!,#REF!,Planning[[#This Row],[Tipo de Tarea y especialidad]],#REF!,Planning[[#This Row],[Proyectos]]))</f>
        <v>#REF!</v>
      </c>
      <c r="K2092" s="5" t="e">
        <f>Planning[[#This Row],[Horas Planificadas]]+Planning[[#This Row],[Horas ajustadas adicionales]]-Planning[[#This Row],[Horas utilizadas]]</f>
        <v>#REF!</v>
      </c>
      <c r="L2092" s="7">
        <v>0</v>
      </c>
      <c r="M2092" s="19" t="e">
        <f>Planning[[#This Row],[Saldo]]-Planning[[#This Row],[Saldo estimado]]</f>
        <v>#REF!</v>
      </c>
      <c r="N2092" s="60" t="e">
        <f>+SUMIFS(#REF!,#REF!,Planning[[#This Row],[Proyectos]],#REF!,Planning[[#This Row],[Tipo de Tarea y especialidad]])</f>
        <v>#REF!</v>
      </c>
      <c r="O2092" s="19">
        <f t="shared" si="64"/>
        <v>10</v>
      </c>
      <c r="P2092" s="19">
        <f t="shared" si="65"/>
        <v>2024</v>
      </c>
      <c r="Q20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92" s="19" t="str">
        <f>TEXT(Planning[[#This Row],[Mes]]*29,"mmmm")</f>
        <v>October</v>
      </c>
      <c r="S20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92" s="193"/>
      <c r="U2092" s="43" t="e">
        <f>IF(Planning[[#This Row],[Horas Planificadas]]&lt;&gt;0,+K2092/Planning[[#This Row],[Horas Planificadas]],0)</f>
        <v>#REF!</v>
      </c>
      <c r="V2092" s="43" t="e">
        <f>IF(Planning[[#This Row],[Horas Planificadas]]&lt;&gt;0,Planning[[#This Row],[Horas utilizadas]]/Planning[[#This Row],[Horas Planificadas]],0)</f>
        <v>#REF!</v>
      </c>
      <c r="W2092" s="44">
        <f>Planning[[#This Row],[Horas Planificadas]]+Planning[[#This Row],[Horas ajustadas adicionales]]</f>
        <v>567</v>
      </c>
      <c r="X2092" s="142"/>
    </row>
    <row r="2093" spans="1:24" x14ac:dyDescent="0.2">
      <c r="A2093" s="7" t="s">
        <v>204</v>
      </c>
      <c r="B2093" s="7" t="s">
        <v>205</v>
      </c>
      <c r="C2093" s="3"/>
      <c r="D2093" s="3" t="s">
        <v>459</v>
      </c>
      <c r="E2093" s="4"/>
      <c r="F2093" s="3" t="s">
        <v>124</v>
      </c>
      <c r="G2093" s="9"/>
      <c r="H2093" s="9"/>
      <c r="I2093" s="12"/>
      <c r="J2093" s="5" t="e">
        <f>SUM(SUMIFS(#REF!,#REF!,Planning[[#This Row],[Tipo de Tarea y especialidad]],#REF!,Planning[[#This Row],[Proyectos Reiwa]]),SUMIFS(#REF!,#REF!,Planning[[#This Row],[Tipo de Tarea y especialidad]],#REF!,Planning[[#This Row],[Proyectos]]))</f>
        <v>#REF!</v>
      </c>
      <c r="K2093" s="5" t="e">
        <f>Planning[[#This Row],[Horas Planificadas]]+Planning[[#This Row],[Horas ajustadas adicionales]]-Planning[[#This Row],[Horas utilizadas]]</f>
        <v>#REF!</v>
      </c>
      <c r="L2093" s="7">
        <v>0</v>
      </c>
      <c r="M2093" s="19" t="e">
        <f>Planning[[#This Row],[Saldo]]-Planning[[#This Row],[Saldo estimado]]</f>
        <v>#REF!</v>
      </c>
      <c r="N2093" s="60" t="e">
        <f>+SUMIFS(#REF!,#REF!,Planning[[#This Row],[Proyectos]],#REF!,Planning[[#This Row],[Tipo de Tarea y especialidad]])</f>
        <v>#REF!</v>
      </c>
      <c r="O2093" s="19">
        <f t="shared" si="64"/>
        <v>10</v>
      </c>
      <c r="P2093" s="19">
        <f t="shared" si="65"/>
        <v>2024</v>
      </c>
      <c r="Q20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93" s="19" t="str">
        <f>TEXT(Planning[[#This Row],[Mes]]*29,"mmmm")</f>
        <v>October</v>
      </c>
      <c r="S20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93" s="193"/>
      <c r="U2093" s="43">
        <f>IF(Planning[[#This Row],[Horas Planificadas]]&lt;&gt;0,+K2093/Planning[[#This Row],[Horas Planificadas]],0)</f>
        <v>0</v>
      </c>
      <c r="V2093" s="43">
        <f>IF(Planning[[#This Row],[Horas Planificadas]]&lt;&gt;0,Planning[[#This Row],[Horas utilizadas]]/Planning[[#This Row],[Horas Planificadas]],0)</f>
        <v>0</v>
      </c>
      <c r="W2093" s="44">
        <f>Planning[[#This Row],[Horas Planificadas]]+Planning[[#This Row],[Horas ajustadas adicionales]]</f>
        <v>0</v>
      </c>
      <c r="X2093" s="142"/>
    </row>
    <row r="2094" spans="1:24" x14ac:dyDescent="0.2">
      <c r="A2094" s="7" t="s">
        <v>204</v>
      </c>
      <c r="B2094" s="7" t="s">
        <v>205</v>
      </c>
      <c r="C2094" s="3"/>
      <c r="D2094" s="3" t="s">
        <v>459</v>
      </c>
      <c r="E2094" s="4"/>
      <c r="F2094" s="3" t="s">
        <v>125</v>
      </c>
      <c r="G2094" s="9"/>
      <c r="H2094" s="9">
        <v>305</v>
      </c>
      <c r="I2094" s="12"/>
      <c r="J2094" s="5" t="e">
        <f>SUM(SUMIFS(#REF!,#REF!,Planning[[#This Row],[Tipo de Tarea y especialidad]],#REF!,Planning[[#This Row],[Proyectos Reiwa]]),SUMIFS(#REF!,#REF!,Planning[[#This Row],[Tipo de Tarea y especialidad]],#REF!,Planning[[#This Row],[Proyectos]]))</f>
        <v>#REF!</v>
      </c>
      <c r="K2094" s="5" t="e">
        <f>Planning[[#This Row],[Horas Planificadas]]+Planning[[#This Row],[Horas ajustadas adicionales]]-Planning[[#This Row],[Horas utilizadas]]</f>
        <v>#REF!</v>
      </c>
      <c r="L2094" s="7">
        <v>0</v>
      </c>
      <c r="M2094" s="19" t="e">
        <f>Planning[[#This Row],[Saldo]]-Planning[[#This Row],[Saldo estimado]]</f>
        <v>#REF!</v>
      </c>
      <c r="N2094" s="60" t="e">
        <f>+SUMIFS(#REF!,#REF!,Planning[[#This Row],[Proyectos]],#REF!,Planning[[#This Row],[Tipo de Tarea y especialidad]])</f>
        <v>#REF!</v>
      </c>
      <c r="O2094" s="19">
        <f t="shared" si="64"/>
        <v>10</v>
      </c>
      <c r="P2094" s="19">
        <f t="shared" si="65"/>
        <v>2024</v>
      </c>
      <c r="Q20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94" s="19" t="str">
        <f>TEXT(Planning[[#This Row],[Mes]]*29,"mmmm")</f>
        <v>October</v>
      </c>
      <c r="S20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94" s="193"/>
      <c r="U2094" s="43" t="e">
        <f>IF(Planning[[#This Row],[Horas Planificadas]]&lt;&gt;0,+K2094/Planning[[#This Row],[Horas Planificadas]],0)</f>
        <v>#REF!</v>
      </c>
      <c r="V2094" s="43" t="e">
        <f>IF(Planning[[#This Row],[Horas Planificadas]]&lt;&gt;0,Planning[[#This Row],[Horas utilizadas]]/Planning[[#This Row],[Horas Planificadas]],0)</f>
        <v>#REF!</v>
      </c>
      <c r="W2094" s="44">
        <f>Planning[[#This Row],[Horas Planificadas]]+Planning[[#This Row],[Horas ajustadas adicionales]]</f>
        <v>305</v>
      </c>
      <c r="X2094" s="142"/>
    </row>
    <row r="2095" spans="1:24" x14ac:dyDescent="0.2">
      <c r="A2095" s="7" t="s">
        <v>204</v>
      </c>
      <c r="B2095" s="7" t="s">
        <v>205</v>
      </c>
      <c r="C2095" s="3"/>
      <c r="D2095" s="3" t="s">
        <v>459</v>
      </c>
      <c r="E2095" s="4"/>
      <c r="F2095" s="3" t="s">
        <v>126</v>
      </c>
      <c r="G2095" s="9"/>
      <c r="H2095" s="9">
        <v>162</v>
      </c>
      <c r="I2095" s="12"/>
      <c r="J2095" s="5" t="e">
        <f>SUM(SUMIFS(#REF!,#REF!,Planning[[#This Row],[Tipo de Tarea y especialidad]],#REF!,Planning[[#This Row],[Proyectos Reiwa]]),SUMIFS(#REF!,#REF!,Planning[[#This Row],[Tipo de Tarea y especialidad]],#REF!,Planning[[#This Row],[Proyectos]]))</f>
        <v>#REF!</v>
      </c>
      <c r="K2095" s="5" t="e">
        <f>Planning[[#This Row],[Horas Planificadas]]+Planning[[#This Row],[Horas ajustadas adicionales]]-Planning[[#This Row],[Horas utilizadas]]</f>
        <v>#REF!</v>
      </c>
      <c r="L2095" s="7">
        <v>0</v>
      </c>
      <c r="M2095" s="19" t="e">
        <f>Planning[[#This Row],[Saldo]]-Planning[[#This Row],[Saldo estimado]]</f>
        <v>#REF!</v>
      </c>
      <c r="N2095" s="60" t="e">
        <f>+SUMIFS(#REF!,#REF!,Planning[[#This Row],[Proyectos]],#REF!,Planning[[#This Row],[Tipo de Tarea y especialidad]])</f>
        <v>#REF!</v>
      </c>
      <c r="O2095" s="19">
        <f t="shared" si="64"/>
        <v>10</v>
      </c>
      <c r="P2095" s="19">
        <f t="shared" si="65"/>
        <v>2024</v>
      </c>
      <c r="Q20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95" s="19" t="str">
        <f>TEXT(Planning[[#This Row],[Mes]]*29,"mmmm")</f>
        <v>October</v>
      </c>
      <c r="S20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95" s="193"/>
      <c r="U2095" s="43" t="e">
        <f>IF(Planning[[#This Row],[Horas Planificadas]]&lt;&gt;0,+K2095/Planning[[#This Row],[Horas Planificadas]],0)</f>
        <v>#REF!</v>
      </c>
      <c r="V2095" s="43" t="e">
        <f>IF(Planning[[#This Row],[Horas Planificadas]]&lt;&gt;0,Planning[[#This Row],[Horas utilizadas]]/Planning[[#This Row],[Horas Planificadas]],0)</f>
        <v>#REF!</v>
      </c>
      <c r="W2095" s="44">
        <f>Planning[[#This Row],[Horas Planificadas]]+Planning[[#This Row],[Horas ajustadas adicionales]]</f>
        <v>162</v>
      </c>
      <c r="X2095" s="142"/>
    </row>
    <row r="2096" spans="1:24" x14ac:dyDescent="0.2">
      <c r="A2096" s="7" t="s">
        <v>204</v>
      </c>
      <c r="B2096" s="7" t="s">
        <v>205</v>
      </c>
      <c r="C2096" s="3"/>
      <c r="D2096" s="3" t="s">
        <v>459</v>
      </c>
      <c r="E2096" s="4"/>
      <c r="F2096" s="3" t="s">
        <v>127</v>
      </c>
      <c r="G2096" s="9"/>
      <c r="H2096" s="9">
        <v>279</v>
      </c>
      <c r="I2096" s="12"/>
      <c r="J2096" s="5" t="e">
        <f>SUM(SUMIFS(#REF!,#REF!,Planning[[#This Row],[Tipo de Tarea y especialidad]],#REF!,Planning[[#This Row],[Proyectos Reiwa]]),SUMIFS(#REF!,#REF!,Planning[[#This Row],[Tipo de Tarea y especialidad]],#REF!,Planning[[#This Row],[Proyectos]]))</f>
        <v>#REF!</v>
      </c>
      <c r="K2096" s="5" t="e">
        <f>Planning[[#This Row],[Horas Planificadas]]+Planning[[#This Row],[Horas ajustadas adicionales]]-Planning[[#This Row],[Horas utilizadas]]</f>
        <v>#REF!</v>
      </c>
      <c r="L2096" s="7">
        <v>0</v>
      </c>
      <c r="M2096" s="19" t="e">
        <f>Planning[[#This Row],[Saldo]]-Planning[[#This Row],[Saldo estimado]]</f>
        <v>#REF!</v>
      </c>
      <c r="N2096" s="60" t="e">
        <f>+SUMIFS(#REF!,#REF!,Planning[[#This Row],[Proyectos]],#REF!,Planning[[#This Row],[Tipo de Tarea y especialidad]])</f>
        <v>#REF!</v>
      </c>
      <c r="O2096" s="19">
        <f t="shared" si="64"/>
        <v>10</v>
      </c>
      <c r="P2096" s="19">
        <f t="shared" si="65"/>
        <v>2024</v>
      </c>
      <c r="Q20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96" s="19" t="str">
        <f>TEXT(Planning[[#This Row],[Mes]]*29,"mmmm")</f>
        <v>October</v>
      </c>
      <c r="S20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96" s="193"/>
      <c r="U2096" s="43" t="e">
        <f>IF(Planning[[#This Row],[Horas Planificadas]]&lt;&gt;0,+K2096/Planning[[#This Row],[Horas Planificadas]],0)</f>
        <v>#REF!</v>
      </c>
      <c r="V2096" s="43" t="e">
        <f>IF(Planning[[#This Row],[Horas Planificadas]]&lt;&gt;0,Planning[[#This Row],[Horas utilizadas]]/Planning[[#This Row],[Horas Planificadas]],0)</f>
        <v>#REF!</v>
      </c>
      <c r="W2096" s="44">
        <f>Planning[[#This Row],[Horas Planificadas]]+Planning[[#This Row],[Horas ajustadas adicionales]]</f>
        <v>279</v>
      </c>
      <c r="X2096" s="142"/>
    </row>
    <row r="2097" spans="1:24" x14ac:dyDescent="0.2">
      <c r="A2097" s="7" t="s">
        <v>204</v>
      </c>
      <c r="B2097" s="7" t="s">
        <v>205</v>
      </c>
      <c r="C2097" s="3"/>
      <c r="D2097" s="3" t="s">
        <v>459</v>
      </c>
      <c r="E2097" s="4"/>
      <c r="F2097" s="3" t="s">
        <v>128</v>
      </c>
      <c r="G2097" s="9"/>
      <c r="H2097" s="9"/>
      <c r="I2097" s="12"/>
      <c r="J2097" s="5" t="e">
        <f>SUM(SUMIFS(#REF!,#REF!,Planning[[#This Row],[Tipo de Tarea y especialidad]],#REF!,Planning[[#This Row],[Proyectos Reiwa]]),SUMIFS(#REF!,#REF!,Planning[[#This Row],[Tipo de Tarea y especialidad]],#REF!,Planning[[#This Row],[Proyectos]]))</f>
        <v>#REF!</v>
      </c>
      <c r="K2097" s="5" t="e">
        <f>Planning[[#This Row],[Horas Planificadas]]+Planning[[#This Row],[Horas ajustadas adicionales]]-Planning[[#This Row],[Horas utilizadas]]</f>
        <v>#REF!</v>
      </c>
      <c r="L2097" s="7">
        <v>0</v>
      </c>
      <c r="M2097" s="19" t="e">
        <f>Planning[[#This Row],[Saldo]]-Planning[[#This Row],[Saldo estimado]]</f>
        <v>#REF!</v>
      </c>
      <c r="N2097" s="60" t="e">
        <f>+SUMIFS(#REF!,#REF!,Planning[[#This Row],[Proyectos]],#REF!,Planning[[#This Row],[Tipo de Tarea y especialidad]])</f>
        <v>#REF!</v>
      </c>
      <c r="O2097" s="19">
        <f t="shared" si="64"/>
        <v>10</v>
      </c>
      <c r="P2097" s="19">
        <f t="shared" si="65"/>
        <v>2024</v>
      </c>
      <c r="Q20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097" s="19" t="str">
        <f>TEXT(Planning[[#This Row],[Mes]]*29,"mmmm")</f>
        <v>October</v>
      </c>
      <c r="S20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97" s="193"/>
      <c r="U2097" s="43">
        <f>IF(Planning[[#This Row],[Horas Planificadas]]&lt;&gt;0,+K2097/Planning[[#This Row],[Horas Planificadas]],0)</f>
        <v>0</v>
      </c>
      <c r="V2097" s="43">
        <f>IF(Planning[[#This Row],[Horas Planificadas]]&lt;&gt;0,Planning[[#This Row],[Horas utilizadas]]/Planning[[#This Row],[Horas Planificadas]],0)</f>
        <v>0</v>
      </c>
      <c r="W2097" s="44">
        <f>Planning[[#This Row],[Horas Planificadas]]+Planning[[#This Row],[Horas ajustadas adicionales]]</f>
        <v>0</v>
      </c>
      <c r="X2097" s="142"/>
    </row>
    <row r="2098" spans="1:24" x14ac:dyDescent="0.2">
      <c r="A2098" s="7" t="s">
        <v>204</v>
      </c>
      <c r="B2098" s="7" t="s">
        <v>205</v>
      </c>
      <c r="C2098" s="3"/>
      <c r="D2098" s="3" t="s">
        <v>459</v>
      </c>
      <c r="E2098" s="4" t="s">
        <v>31</v>
      </c>
      <c r="F2098" s="3" t="s">
        <v>31</v>
      </c>
      <c r="G2098" s="9">
        <v>409</v>
      </c>
      <c r="H2098" s="17">
        <v>409</v>
      </c>
      <c r="I2098" s="18"/>
      <c r="J2098" s="14" t="e">
        <f>+SUMIFS(#REF!,#REF!,Planning[[#This Row],[Tarifa]],#REF!,Planning[[#This Row],[Proyectos]])</f>
        <v>#REF!</v>
      </c>
      <c r="K2098" s="14" t="e">
        <f>Planning[[#This Row],[Horas Planificadas]]+Planning[[#This Row],[Horas ajustadas adicionales]]-Planning[[#This Row],[Horas utilizadas]]</f>
        <v>#REF!</v>
      </c>
      <c r="L2098" s="15">
        <v>0</v>
      </c>
      <c r="M2098" s="16" t="e">
        <f>Planning[[#This Row],[Saldo]]-Planning[[#This Row],[Saldo estimado]]</f>
        <v>#REF!</v>
      </c>
      <c r="N2098" s="60" t="e">
        <f>+SUMIFS(#REF!,#REF!,Planning[[#This Row],[Proyectos]],#REF!,Planning[[#This Row],[Tipo de Tarea y especialidad]])</f>
        <v>#REF!</v>
      </c>
      <c r="O2098" s="16">
        <f t="shared" si="64"/>
        <v>10</v>
      </c>
      <c r="P2098" s="16">
        <f t="shared" si="65"/>
        <v>2024</v>
      </c>
      <c r="Q2098" s="16" t="e">
        <f>+SUMIFS(#REF!,#REF!,Planning[[#This Row],[Tarifa]],#REF!,Planning[[#This Row],[Proyectos]],#REF!,Planning[[#This Row],[Mes]],#REF!,Planning[[#This Row],[Año]])</f>
        <v>#REF!</v>
      </c>
      <c r="R2098" s="16" t="str">
        <f>TEXT(Planning[[#This Row],[Mes]]*29,"mmmm")</f>
        <v>October</v>
      </c>
      <c r="S20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98" s="193"/>
      <c r="U2098" s="43" t="e">
        <f>IF(Planning[[#This Row],[Horas Planificadas]]&lt;&gt;0,+K2098/Planning[[#This Row],[Horas Planificadas]],0)</f>
        <v>#REF!</v>
      </c>
      <c r="V2098" s="43" t="e">
        <f>IF(Planning[[#This Row],[Horas Planificadas]]&lt;&gt;0,Planning[[#This Row],[Horas utilizadas]]/Planning[[#This Row],[Horas Planificadas]],0)</f>
        <v>#REF!</v>
      </c>
      <c r="W2098" s="44">
        <f>Planning[[#This Row],[Horas Planificadas]]+Planning[[#This Row],[Horas ajustadas adicionales]]</f>
        <v>409</v>
      </c>
      <c r="X2098" s="142"/>
    </row>
    <row r="2099" spans="1:24" ht="22.5" x14ac:dyDescent="0.2">
      <c r="A2099" s="7" t="s">
        <v>204</v>
      </c>
      <c r="B2099" s="7" t="s">
        <v>205</v>
      </c>
      <c r="C2099" s="3"/>
      <c r="D2099" s="3" t="s">
        <v>459</v>
      </c>
      <c r="E2099" s="4" t="s">
        <v>32</v>
      </c>
      <c r="F2099" s="3"/>
      <c r="G2099" s="9">
        <v>698</v>
      </c>
      <c r="H2099" s="14">
        <f>SUM(H2100:H2102)</f>
        <v>460</v>
      </c>
      <c r="I2099" s="14"/>
      <c r="J2099" s="14" t="e">
        <f>SUM(J2100:J2102)</f>
        <v>#REF!</v>
      </c>
      <c r="K2099" s="15" t="e">
        <f>SUM(K2100:K2102)</f>
        <v>#REF!</v>
      </c>
      <c r="L2099" s="15">
        <v>0</v>
      </c>
      <c r="M2099" s="16" t="e">
        <f>SUM(M2100:M2102)</f>
        <v>#REF!</v>
      </c>
      <c r="N2099" s="60" t="e">
        <f>+SUMIFS(#REF!,#REF!,Planning[[#This Row],[Proyectos]],#REF!,Planning[[#This Row],[Tipo de Tarea y especialidad]])</f>
        <v>#REF!</v>
      </c>
      <c r="O2099" s="16">
        <f t="shared" si="64"/>
        <v>10</v>
      </c>
      <c r="P2099" s="16">
        <f t="shared" si="65"/>
        <v>2024</v>
      </c>
      <c r="Q2099" s="16" t="e">
        <f>SUM(Q2100:Q2102)</f>
        <v>#REF!</v>
      </c>
      <c r="R2099" s="16" t="str">
        <f>TEXT(Planning[[#This Row],[Mes]]*29,"mmmm")</f>
        <v>October</v>
      </c>
      <c r="S20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099" s="193"/>
      <c r="U2099" s="43" t="e">
        <f>IF(Planning[[#This Row],[Horas Planificadas]]&lt;&gt;0,+K2099/Planning[[#This Row],[Horas Planificadas]],0)</f>
        <v>#REF!</v>
      </c>
      <c r="V2099" s="43" t="e">
        <f>IF(Planning[[#This Row],[Horas Planificadas]]&lt;&gt;0,Planning[[#This Row],[Horas utilizadas]]/Planning[[#This Row],[Horas Planificadas]],0)</f>
        <v>#REF!</v>
      </c>
      <c r="W2099" s="44">
        <f>Planning[[#This Row],[Horas Planificadas]]+Planning[[#This Row],[Horas ajustadas adicionales]]</f>
        <v>460</v>
      </c>
      <c r="X2099" s="142"/>
    </row>
    <row r="2100" spans="1:24" x14ac:dyDescent="0.2">
      <c r="A2100" s="7" t="s">
        <v>204</v>
      </c>
      <c r="B2100" s="7" t="s">
        <v>205</v>
      </c>
      <c r="C2100" s="3"/>
      <c r="D2100" s="3" t="s">
        <v>459</v>
      </c>
      <c r="E2100" s="4"/>
      <c r="F2100" s="3" t="s">
        <v>129</v>
      </c>
      <c r="G2100" s="9"/>
      <c r="H2100" s="9">
        <v>170</v>
      </c>
      <c r="I2100" s="12"/>
      <c r="J2100" s="5" t="e">
        <f>SUM(SUMIFS(#REF!,#REF!,Planning[[#This Row],[Tipo de Tarea y especialidad]],#REF!,Planning[[#This Row],[Proyectos Reiwa]]),SUMIFS(#REF!,#REF!,Planning[[#This Row],[Tipo de Tarea y especialidad]],#REF!,Planning[[#This Row],[Proyectos]]))</f>
        <v>#REF!</v>
      </c>
      <c r="K2100" s="5" t="e">
        <f>Planning[[#This Row],[Horas Planificadas]]+Planning[[#This Row],[Horas ajustadas adicionales]]-Planning[[#This Row],[Horas utilizadas]]</f>
        <v>#REF!</v>
      </c>
      <c r="L2100" s="7">
        <v>0</v>
      </c>
      <c r="M2100" s="19" t="e">
        <f>Planning[[#This Row],[Saldo]]-Planning[[#This Row],[Saldo estimado]]</f>
        <v>#REF!</v>
      </c>
      <c r="N2100" s="60" t="e">
        <f>+SUMIFS(#REF!,#REF!,Planning[[#This Row],[Proyectos]],#REF!,Planning[[#This Row],[Tipo de Tarea y especialidad]])</f>
        <v>#REF!</v>
      </c>
      <c r="O2100" s="19">
        <f t="shared" si="64"/>
        <v>10</v>
      </c>
      <c r="P2100" s="19">
        <f t="shared" si="65"/>
        <v>2024</v>
      </c>
      <c r="Q21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00" s="19" t="str">
        <f>TEXT(Planning[[#This Row],[Mes]]*29,"mmmm")</f>
        <v>October</v>
      </c>
      <c r="S21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00" s="193"/>
      <c r="U2100" s="43" t="e">
        <f>IF(Planning[[#This Row],[Horas Planificadas]]&lt;&gt;0,+K2100/Planning[[#This Row],[Horas Planificadas]],0)</f>
        <v>#REF!</v>
      </c>
      <c r="V2100" s="43" t="e">
        <f>IF(Planning[[#This Row],[Horas Planificadas]]&lt;&gt;0,Planning[[#This Row],[Horas utilizadas]]/Planning[[#This Row],[Horas Planificadas]],0)</f>
        <v>#REF!</v>
      </c>
      <c r="W2100" s="44">
        <f>Planning[[#This Row],[Horas Planificadas]]+Planning[[#This Row],[Horas ajustadas adicionales]]</f>
        <v>170</v>
      </c>
      <c r="X2100" s="142"/>
    </row>
    <row r="2101" spans="1:24" x14ac:dyDescent="0.2">
      <c r="A2101" s="7" t="s">
        <v>204</v>
      </c>
      <c r="B2101" s="7" t="s">
        <v>205</v>
      </c>
      <c r="C2101" s="3"/>
      <c r="D2101" s="3" t="s">
        <v>459</v>
      </c>
      <c r="E2101" s="4"/>
      <c r="F2101" s="3" t="s">
        <v>130</v>
      </c>
      <c r="G2101" s="9"/>
      <c r="H2101" s="9">
        <v>290</v>
      </c>
      <c r="I2101" s="12"/>
      <c r="J2101" s="5" t="e">
        <f>SUM(SUMIFS(#REF!,#REF!,Planning[[#This Row],[Tipo de Tarea y especialidad]],#REF!,Planning[[#This Row],[Proyectos Reiwa]]),SUMIFS(#REF!,#REF!,Planning[[#This Row],[Tipo de Tarea y especialidad]],#REF!,Planning[[#This Row],[Proyectos]]))</f>
        <v>#REF!</v>
      </c>
      <c r="K2101" s="5" t="e">
        <f>Planning[[#This Row],[Horas Planificadas]]+Planning[[#This Row],[Horas ajustadas adicionales]]-Planning[[#This Row],[Horas utilizadas]]</f>
        <v>#REF!</v>
      </c>
      <c r="L2101" s="7">
        <v>0</v>
      </c>
      <c r="M2101" s="19" t="e">
        <f>Planning[[#This Row],[Saldo]]-Planning[[#This Row],[Saldo estimado]]</f>
        <v>#REF!</v>
      </c>
      <c r="N2101" s="60" t="e">
        <f>+SUMIFS(#REF!,#REF!,Planning[[#This Row],[Proyectos]],#REF!,Planning[[#This Row],[Tipo de Tarea y especialidad]])</f>
        <v>#REF!</v>
      </c>
      <c r="O2101" s="19">
        <f t="shared" si="64"/>
        <v>10</v>
      </c>
      <c r="P2101" s="19">
        <f t="shared" si="65"/>
        <v>2024</v>
      </c>
      <c r="Q21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01" s="19" t="str">
        <f>TEXT(Planning[[#This Row],[Mes]]*29,"mmmm")</f>
        <v>October</v>
      </c>
      <c r="S21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01" s="193"/>
      <c r="U2101" s="43" t="e">
        <f>IF(Planning[[#This Row],[Horas Planificadas]]&lt;&gt;0,+K2101/Planning[[#This Row],[Horas Planificadas]],0)</f>
        <v>#REF!</v>
      </c>
      <c r="V2101" s="43" t="e">
        <f>IF(Planning[[#This Row],[Horas Planificadas]]&lt;&gt;0,Planning[[#This Row],[Horas utilizadas]]/Planning[[#This Row],[Horas Planificadas]],0)</f>
        <v>#REF!</v>
      </c>
      <c r="W2101" s="44">
        <f>Planning[[#This Row],[Horas Planificadas]]+Planning[[#This Row],[Horas ajustadas adicionales]]</f>
        <v>290</v>
      </c>
      <c r="X2101" s="142"/>
    </row>
    <row r="2102" spans="1:24" x14ac:dyDescent="0.2">
      <c r="A2102" s="7" t="s">
        <v>204</v>
      </c>
      <c r="B2102" s="7" t="s">
        <v>205</v>
      </c>
      <c r="C2102" s="3"/>
      <c r="D2102" s="3" t="s">
        <v>459</v>
      </c>
      <c r="E2102" s="4"/>
      <c r="F2102" s="3" t="s">
        <v>131</v>
      </c>
      <c r="G2102" s="9"/>
      <c r="H2102" s="9"/>
      <c r="I2102" s="12"/>
      <c r="J2102" s="5" t="e">
        <f>SUM(SUMIFS(#REF!,#REF!,Planning[[#This Row],[Tipo de Tarea y especialidad]],#REF!,Planning[[#This Row],[Proyectos Reiwa]]),SUMIFS(#REF!,#REF!,Planning[[#This Row],[Tipo de Tarea y especialidad]],#REF!,Planning[[#This Row],[Proyectos]]))</f>
        <v>#REF!</v>
      </c>
      <c r="K2102" s="5" t="e">
        <f>Planning[[#This Row],[Horas Planificadas]]+Planning[[#This Row],[Horas ajustadas adicionales]]-Planning[[#This Row],[Horas utilizadas]]</f>
        <v>#REF!</v>
      </c>
      <c r="L2102" s="7">
        <v>0</v>
      </c>
      <c r="M2102" s="19" t="e">
        <f>Planning[[#This Row],[Saldo]]-Planning[[#This Row],[Saldo estimado]]</f>
        <v>#REF!</v>
      </c>
      <c r="N2102" s="60" t="e">
        <f>+SUMIFS(#REF!,#REF!,Planning[[#This Row],[Proyectos]],#REF!,Planning[[#This Row],[Tipo de Tarea y especialidad]])</f>
        <v>#REF!</v>
      </c>
      <c r="O2102" s="19">
        <f t="shared" si="64"/>
        <v>10</v>
      </c>
      <c r="P2102" s="19">
        <f t="shared" si="65"/>
        <v>2024</v>
      </c>
      <c r="Q21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02" s="19" t="str">
        <f>TEXT(Planning[[#This Row],[Mes]]*29,"mmmm")</f>
        <v>October</v>
      </c>
      <c r="S21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02" s="193"/>
      <c r="U2102" s="43">
        <f>IF(Planning[[#This Row],[Horas Planificadas]]&lt;&gt;0,+K2102/Planning[[#This Row],[Horas Planificadas]],0)</f>
        <v>0</v>
      </c>
      <c r="V2102" s="43">
        <f>IF(Planning[[#This Row],[Horas Planificadas]]&lt;&gt;0,Planning[[#This Row],[Horas utilizadas]]/Planning[[#This Row],[Horas Planificadas]],0)</f>
        <v>0</v>
      </c>
      <c r="W2102" s="44">
        <f>Planning[[#This Row],[Horas Planificadas]]+Planning[[#This Row],[Horas ajustadas adicionales]]</f>
        <v>0</v>
      </c>
      <c r="X2102" s="142"/>
    </row>
    <row r="2103" spans="1:24" ht="22.5" x14ac:dyDescent="0.2">
      <c r="A2103" s="7" t="s">
        <v>204</v>
      </c>
      <c r="B2103" s="7" t="s">
        <v>118</v>
      </c>
      <c r="C2103" s="3"/>
      <c r="D2103" s="3" t="s">
        <v>461</v>
      </c>
      <c r="E2103" s="33" t="s">
        <v>28</v>
      </c>
      <c r="F2103" s="36"/>
      <c r="G2103" s="7">
        <v>720</v>
      </c>
      <c r="H2103" s="24">
        <f>SUM(H2104:H2105)</f>
        <v>720</v>
      </c>
      <c r="I2103" s="14"/>
      <c r="J2103" s="14" t="e">
        <f>SUM(J2104:J2105)</f>
        <v>#REF!</v>
      </c>
      <c r="K2103" s="18" t="e">
        <f>SUM(K2104:K2105)</f>
        <v>#REF!</v>
      </c>
      <c r="L2103" s="15">
        <f>SUM(L2104:L2105)</f>
        <v>18</v>
      </c>
      <c r="M2103" s="28" t="e">
        <f>SUM(M2104:M2105)</f>
        <v>#REF!</v>
      </c>
      <c r="N2103" s="61" t="e">
        <f>+SUMIFS(#REF!,#REF!,Planning[[#This Row],[Proyectos]],#REF!,Planning[[#This Row],[Tipo de Tarea y especialidad]])</f>
        <v>#REF!</v>
      </c>
      <c r="O2103" s="28">
        <f t="shared" si="64"/>
        <v>10</v>
      </c>
      <c r="P2103" s="28">
        <f t="shared" si="65"/>
        <v>2024</v>
      </c>
      <c r="Q2103" s="28" t="e">
        <f>SUM(Q2104:Q2105)</f>
        <v>#REF!</v>
      </c>
      <c r="R2103" s="28" t="str">
        <f>TEXT(Planning[[#This Row],[Mes]]*29,"mmmm")</f>
        <v>October</v>
      </c>
      <c r="S21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03" s="192" t="s">
        <v>462</v>
      </c>
      <c r="U2103" s="43" t="e">
        <f>IF(Planning[[#This Row],[Horas Planificadas]]&lt;&gt;0,+K2103/Planning[[#This Row],[Horas Planificadas]],0)</f>
        <v>#REF!</v>
      </c>
      <c r="V2103" s="43" t="e">
        <f>IF(Planning[[#This Row],[Horas Planificadas]]&lt;&gt;0,Planning[[#This Row],[Horas utilizadas]]/Planning[[#This Row],[Horas Planificadas]],0)</f>
        <v>#REF!</v>
      </c>
      <c r="W2103" s="44">
        <f>Planning[[#This Row],[Horas Planificadas]]+Planning[[#This Row],[Horas ajustadas adicionales]]</f>
        <v>720</v>
      </c>
      <c r="X2103" s="142"/>
    </row>
    <row r="2104" spans="1:24" x14ac:dyDescent="0.2">
      <c r="A2104" s="7" t="s">
        <v>204</v>
      </c>
      <c r="B2104" s="7" t="s">
        <v>118</v>
      </c>
      <c r="C2104" s="3"/>
      <c r="D2104" s="3" t="s">
        <v>461</v>
      </c>
      <c r="E2104" s="33"/>
      <c r="F2104" s="36" t="s">
        <v>120</v>
      </c>
      <c r="G2104" s="7"/>
      <c r="H2104" s="7">
        <v>580</v>
      </c>
      <c r="I2104" s="12"/>
      <c r="J2104" s="5" t="e">
        <f>SUM(SUMIFS(#REF!,#REF!,Planning[[#This Row],[Tipo de Tarea y especialidad]],#REF!,Planning[[#This Row],[Proyectos Reiwa]]),SUMIFS(#REF!,#REF!,Planning[[#This Row],[Tipo de Tarea y especialidad]],#REF!,Planning[[#This Row],[Proyectos]]))</f>
        <v>#REF!</v>
      </c>
      <c r="K2104" s="5" t="e">
        <f>Planning[[#This Row],[Horas Planificadas]]+Planning[[#This Row],[Horas ajustadas adicionales]]-Planning[[#This Row],[Horas utilizadas]]</f>
        <v>#REF!</v>
      </c>
      <c r="L2104" s="7">
        <v>9</v>
      </c>
      <c r="M2104" s="19" t="e">
        <f>Planning[[#This Row],[Saldo]]-Planning[[#This Row],[Saldo estimado]]</f>
        <v>#REF!</v>
      </c>
      <c r="N2104" s="60" t="e">
        <f>+SUMIFS(#REF!,#REF!,Planning[[#This Row],[Proyectos]],#REF!,Planning[[#This Row],[Tipo de Tarea y especialidad]])</f>
        <v>#REF!</v>
      </c>
      <c r="O2104" s="19">
        <f t="shared" si="64"/>
        <v>10</v>
      </c>
      <c r="P2104" s="19">
        <f t="shared" si="65"/>
        <v>2024</v>
      </c>
      <c r="Q21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04" s="19" t="str">
        <f>TEXT(Planning[[#This Row],[Mes]]*29,"mmmm")</f>
        <v>October</v>
      </c>
      <c r="S21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04" s="193"/>
      <c r="U2104" s="43" t="e">
        <f>IF(Planning[[#This Row],[Horas Planificadas]]&lt;&gt;0,+K2104/Planning[[#This Row],[Horas Planificadas]],0)</f>
        <v>#REF!</v>
      </c>
      <c r="V2104" s="43" t="e">
        <f>IF(Planning[[#This Row],[Horas Planificadas]]&lt;&gt;0,Planning[[#This Row],[Horas utilizadas]]/Planning[[#This Row],[Horas Planificadas]],0)</f>
        <v>#REF!</v>
      </c>
      <c r="W2104" s="44">
        <f>Planning[[#This Row],[Horas Planificadas]]+Planning[[#This Row],[Horas ajustadas adicionales]]</f>
        <v>580</v>
      </c>
      <c r="X2104" s="142"/>
    </row>
    <row r="2105" spans="1:24" x14ac:dyDescent="0.2">
      <c r="A2105" s="7" t="s">
        <v>204</v>
      </c>
      <c r="B2105" s="7" t="s">
        <v>118</v>
      </c>
      <c r="C2105" s="3"/>
      <c r="D2105" s="3" t="s">
        <v>461</v>
      </c>
      <c r="E2105" s="33"/>
      <c r="F2105" s="36" t="s">
        <v>121</v>
      </c>
      <c r="G2105" s="7"/>
      <c r="H2105" s="7">
        <v>140</v>
      </c>
      <c r="I2105" s="12"/>
      <c r="J2105" s="5" t="e">
        <f>SUM(SUMIFS(#REF!,#REF!,Planning[[#This Row],[Tipo de Tarea y especialidad]],#REF!,Planning[[#This Row],[Proyectos Reiwa]]),SUMIFS(#REF!,#REF!,Planning[[#This Row],[Tipo de Tarea y especialidad]],#REF!,Planning[[#This Row],[Proyectos]]))</f>
        <v>#REF!</v>
      </c>
      <c r="K2105" s="5" t="e">
        <f>Planning[[#This Row],[Horas Planificadas]]+Planning[[#This Row],[Horas ajustadas adicionales]]-Planning[[#This Row],[Horas utilizadas]]</f>
        <v>#REF!</v>
      </c>
      <c r="L2105" s="7">
        <v>9</v>
      </c>
      <c r="M2105" s="19" t="e">
        <f>Planning[[#This Row],[Saldo]]-Planning[[#This Row],[Saldo estimado]]</f>
        <v>#REF!</v>
      </c>
      <c r="N2105" s="60" t="e">
        <f>+SUMIFS(#REF!,#REF!,Planning[[#This Row],[Proyectos]],#REF!,Planning[[#This Row],[Tipo de Tarea y especialidad]])</f>
        <v>#REF!</v>
      </c>
      <c r="O2105" s="19">
        <f t="shared" si="64"/>
        <v>10</v>
      </c>
      <c r="P2105" s="19">
        <f t="shared" si="65"/>
        <v>2024</v>
      </c>
      <c r="Q21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05" s="19" t="str">
        <f>TEXT(Planning[[#This Row],[Mes]]*29,"mmmm")</f>
        <v>October</v>
      </c>
      <c r="S21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05" s="193"/>
      <c r="U2105" s="43" t="e">
        <f>IF(Planning[[#This Row],[Horas Planificadas]]&lt;&gt;0,+K2105/Planning[[#This Row],[Horas Planificadas]],0)</f>
        <v>#REF!</v>
      </c>
      <c r="V2105" s="43" t="e">
        <f>IF(Planning[[#This Row],[Horas Planificadas]]&lt;&gt;0,Planning[[#This Row],[Horas utilizadas]]/Planning[[#This Row],[Horas Planificadas]],0)</f>
        <v>#REF!</v>
      </c>
      <c r="W2105" s="44">
        <f>Planning[[#This Row],[Horas Planificadas]]+Planning[[#This Row],[Horas ajustadas adicionales]]</f>
        <v>140</v>
      </c>
      <c r="X2105" s="142"/>
    </row>
    <row r="2106" spans="1:24" x14ac:dyDescent="0.2">
      <c r="A2106" s="7" t="s">
        <v>204</v>
      </c>
      <c r="B2106" s="7" t="s">
        <v>118</v>
      </c>
      <c r="C2106" s="3"/>
      <c r="D2106" s="3" t="s">
        <v>461</v>
      </c>
      <c r="E2106" s="33" t="s">
        <v>30</v>
      </c>
      <c r="F2106" s="36"/>
      <c r="G2106" s="7">
        <v>474</v>
      </c>
      <c r="H2106" s="24">
        <f>SUM(H2107:H2113)</f>
        <v>517</v>
      </c>
      <c r="I2106" s="14"/>
      <c r="J2106" s="14" t="e">
        <f>SUM(J2107:J2113)</f>
        <v>#REF!</v>
      </c>
      <c r="K2106" s="18" t="e">
        <f>SUM(K2107:K2113)</f>
        <v>#REF!</v>
      </c>
      <c r="L2106" s="15">
        <f>SUM(L2107:L2113)</f>
        <v>18</v>
      </c>
      <c r="M2106" s="16" t="e">
        <f>SUM(M2107:M2113)</f>
        <v>#REF!</v>
      </c>
      <c r="N2106" s="60" t="e">
        <f>+SUMIFS(#REF!,#REF!,Planning[[#This Row],[Proyectos]],#REF!,Planning[[#This Row],[Tipo de Tarea y especialidad]])</f>
        <v>#REF!</v>
      </c>
      <c r="O2106" s="16">
        <f t="shared" si="64"/>
        <v>10</v>
      </c>
      <c r="P2106" s="16">
        <f t="shared" si="65"/>
        <v>2024</v>
      </c>
      <c r="Q2106" s="16" t="e">
        <f>SUM(Q2107:Q2113)</f>
        <v>#REF!</v>
      </c>
      <c r="R2106" s="16" t="str">
        <f>TEXT(Planning[[#This Row],[Mes]]*29,"mmmm")</f>
        <v>October</v>
      </c>
      <c r="S21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06" s="193"/>
      <c r="U2106" s="43" t="e">
        <f>IF(Planning[[#This Row],[Horas Planificadas]]&lt;&gt;0,+K2106/Planning[[#This Row],[Horas Planificadas]],0)</f>
        <v>#REF!</v>
      </c>
      <c r="V2106" s="43" t="e">
        <f>IF(Planning[[#This Row],[Horas Planificadas]]&lt;&gt;0,Planning[[#This Row],[Horas utilizadas]]/Planning[[#This Row],[Horas Planificadas]],0)</f>
        <v>#REF!</v>
      </c>
      <c r="W2106" s="44">
        <f>Planning[[#This Row],[Horas Planificadas]]+Planning[[#This Row],[Horas ajustadas adicionales]]</f>
        <v>517</v>
      </c>
      <c r="X2106" s="142"/>
    </row>
    <row r="2107" spans="1:24" ht="12.75" customHeight="1" x14ac:dyDescent="0.2">
      <c r="A2107" s="7" t="s">
        <v>204</v>
      </c>
      <c r="B2107" s="7" t="s">
        <v>118</v>
      </c>
      <c r="C2107" s="3"/>
      <c r="D2107" s="3" t="s">
        <v>461</v>
      </c>
      <c r="E2107" s="4"/>
      <c r="F2107" s="3" t="s">
        <v>122</v>
      </c>
      <c r="G2107" s="9"/>
      <c r="H2107" s="12">
        <v>165</v>
      </c>
      <c r="I2107" s="12"/>
      <c r="J2107" s="5" t="e">
        <f>SUM(SUMIFS(#REF!,#REF!,Planning[[#This Row],[Tipo de Tarea y especialidad]],#REF!,Planning[[#This Row],[Proyectos Reiwa]]),SUMIFS(#REF!,#REF!,Planning[[#This Row],[Tipo de Tarea y especialidad]],#REF!,Planning[[#This Row],[Proyectos]]))</f>
        <v>#REF!</v>
      </c>
      <c r="K2107" s="27" t="e">
        <f>Planning[[#This Row],[Horas Planificadas]]+Planning[[#This Row],[Horas ajustadas adicionales]]-Planning[[#This Row],[Horas utilizadas]]</f>
        <v>#REF!</v>
      </c>
      <c r="L2107" s="7"/>
      <c r="M2107" s="34" t="e">
        <f>Planning[[#This Row],[Saldo]]-Planning[[#This Row],[Saldo estimado]]</f>
        <v>#REF!</v>
      </c>
      <c r="N2107" s="62" t="e">
        <f>+SUMIFS(#REF!,#REF!,Planning[[#This Row],[Proyectos]],#REF!,Planning[[#This Row],[Tipo de Tarea y especialidad]])</f>
        <v>#REF!</v>
      </c>
      <c r="O2107" s="34">
        <f t="shared" si="64"/>
        <v>10</v>
      </c>
      <c r="P2107" s="34">
        <f t="shared" si="65"/>
        <v>2024</v>
      </c>
      <c r="Q21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07" s="19" t="str">
        <f>TEXT(Planning[[#This Row],[Mes]]*29,"mmmm")</f>
        <v>October</v>
      </c>
      <c r="S21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07" s="193"/>
      <c r="U2107" s="43" t="e">
        <f>IF(Planning[[#This Row],[Horas Planificadas]]&lt;&gt;0,+K2107/Planning[[#This Row],[Horas Planificadas]],0)</f>
        <v>#REF!</v>
      </c>
      <c r="V2107" s="43" t="e">
        <f>IF(Planning[[#This Row],[Horas Planificadas]]&lt;&gt;0,Planning[[#This Row],[Horas utilizadas]]/Planning[[#This Row],[Horas Planificadas]],0)</f>
        <v>#REF!</v>
      </c>
      <c r="W2107" s="44">
        <f>Planning[[#This Row],[Horas Planificadas]]+Planning[[#This Row],[Horas ajustadas adicionales]]</f>
        <v>165</v>
      </c>
      <c r="X2107" s="142"/>
    </row>
    <row r="2108" spans="1:24" x14ac:dyDescent="0.2">
      <c r="A2108" s="7" t="s">
        <v>204</v>
      </c>
      <c r="B2108" s="7" t="s">
        <v>118</v>
      </c>
      <c r="C2108" s="3"/>
      <c r="D2108" s="3" t="s">
        <v>461</v>
      </c>
      <c r="E2108" s="4"/>
      <c r="F2108" s="3" t="s">
        <v>123</v>
      </c>
      <c r="G2108" s="9"/>
      <c r="H2108" s="9"/>
      <c r="I2108" s="12"/>
      <c r="J2108" s="5" t="e">
        <f>SUM(SUMIFS(#REF!,#REF!,Planning[[#This Row],[Tipo de Tarea y especialidad]],#REF!,Planning[[#This Row],[Proyectos Reiwa]]),SUMIFS(#REF!,#REF!,Planning[[#This Row],[Tipo de Tarea y especialidad]],#REF!,Planning[[#This Row],[Proyectos]]))</f>
        <v>#REF!</v>
      </c>
      <c r="K2108" s="5" t="e">
        <f>Planning[[#This Row],[Horas Planificadas]]+Planning[[#This Row],[Horas ajustadas adicionales]]-Planning[[#This Row],[Horas utilizadas]]</f>
        <v>#REF!</v>
      </c>
      <c r="L2108" s="7"/>
      <c r="M2108" s="19" t="e">
        <f>Planning[[#This Row],[Saldo]]-Planning[[#This Row],[Saldo estimado]]</f>
        <v>#REF!</v>
      </c>
      <c r="N2108" s="60" t="e">
        <f>+SUMIFS(#REF!,#REF!,Planning[[#This Row],[Proyectos]],#REF!,Planning[[#This Row],[Tipo de Tarea y especialidad]])</f>
        <v>#REF!</v>
      </c>
      <c r="O2108" s="19">
        <f t="shared" si="64"/>
        <v>10</v>
      </c>
      <c r="P2108" s="19">
        <f t="shared" si="65"/>
        <v>2024</v>
      </c>
      <c r="Q21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08" s="19" t="str">
        <f>TEXT(Planning[[#This Row],[Mes]]*29,"mmmm")</f>
        <v>October</v>
      </c>
      <c r="S21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08" s="193"/>
      <c r="U2108" s="43">
        <f>IF(Planning[[#This Row],[Horas Planificadas]]&lt;&gt;0,+K2108/Planning[[#This Row],[Horas Planificadas]],0)</f>
        <v>0</v>
      </c>
      <c r="V2108" s="43">
        <f>IF(Planning[[#This Row],[Horas Planificadas]]&lt;&gt;0,Planning[[#This Row],[Horas utilizadas]]/Planning[[#This Row],[Horas Planificadas]],0)</f>
        <v>0</v>
      </c>
      <c r="W2108" s="44">
        <f>Planning[[#This Row],[Horas Planificadas]]+Planning[[#This Row],[Horas ajustadas adicionales]]</f>
        <v>0</v>
      </c>
      <c r="X2108" s="142"/>
    </row>
    <row r="2109" spans="1:24" x14ac:dyDescent="0.2">
      <c r="A2109" s="7" t="s">
        <v>204</v>
      </c>
      <c r="B2109" s="7" t="s">
        <v>118</v>
      </c>
      <c r="C2109" s="3"/>
      <c r="D2109" s="3" t="s">
        <v>461</v>
      </c>
      <c r="E2109" s="4"/>
      <c r="F2109" s="3" t="s">
        <v>124</v>
      </c>
      <c r="G2109" s="9"/>
      <c r="H2109" s="9"/>
      <c r="I2109" s="12"/>
      <c r="J2109" s="5" t="e">
        <f>SUM(SUMIFS(#REF!,#REF!,Planning[[#This Row],[Tipo de Tarea y especialidad]],#REF!,Planning[[#This Row],[Proyectos Reiwa]]),SUMIFS(#REF!,#REF!,Planning[[#This Row],[Tipo de Tarea y especialidad]],#REF!,Planning[[#This Row],[Proyectos]]))</f>
        <v>#REF!</v>
      </c>
      <c r="K2109" s="5" t="e">
        <f>Planning[[#This Row],[Horas Planificadas]]+Planning[[#This Row],[Horas ajustadas adicionales]]-Planning[[#This Row],[Horas utilizadas]]</f>
        <v>#REF!</v>
      </c>
      <c r="L2109" s="7"/>
      <c r="M2109" s="19" t="e">
        <f>Planning[[#This Row],[Saldo]]-Planning[[#This Row],[Saldo estimado]]</f>
        <v>#REF!</v>
      </c>
      <c r="N2109" s="60" t="e">
        <f>+SUMIFS(#REF!,#REF!,Planning[[#This Row],[Proyectos]],#REF!,Planning[[#This Row],[Tipo de Tarea y especialidad]])</f>
        <v>#REF!</v>
      </c>
      <c r="O2109" s="19">
        <f t="shared" si="64"/>
        <v>10</v>
      </c>
      <c r="P2109" s="19">
        <f t="shared" si="65"/>
        <v>2024</v>
      </c>
      <c r="Q21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09" s="19" t="str">
        <f>TEXT(Planning[[#This Row],[Mes]]*29,"mmmm")</f>
        <v>October</v>
      </c>
      <c r="S21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09" s="193"/>
      <c r="U2109" s="43">
        <f>IF(Planning[[#This Row],[Horas Planificadas]]&lt;&gt;0,+K2109/Planning[[#This Row],[Horas Planificadas]],0)</f>
        <v>0</v>
      </c>
      <c r="V2109" s="43">
        <f>IF(Planning[[#This Row],[Horas Planificadas]]&lt;&gt;0,Planning[[#This Row],[Horas utilizadas]]/Planning[[#This Row],[Horas Planificadas]],0)</f>
        <v>0</v>
      </c>
      <c r="W2109" s="44">
        <f>Planning[[#This Row],[Horas Planificadas]]+Planning[[#This Row],[Horas ajustadas adicionales]]</f>
        <v>0</v>
      </c>
      <c r="X2109" s="142"/>
    </row>
    <row r="2110" spans="1:24" x14ac:dyDescent="0.2">
      <c r="A2110" s="7" t="s">
        <v>204</v>
      </c>
      <c r="B2110" s="7" t="s">
        <v>118</v>
      </c>
      <c r="C2110" s="3"/>
      <c r="D2110" s="3" t="s">
        <v>461</v>
      </c>
      <c r="E2110" s="4"/>
      <c r="F2110" s="3" t="s">
        <v>125</v>
      </c>
      <c r="G2110" s="9"/>
      <c r="H2110" s="12">
        <v>160</v>
      </c>
      <c r="I2110" s="12"/>
      <c r="J2110" s="5" t="e">
        <f>SUM(SUMIFS(#REF!,#REF!,Planning[[#This Row],[Tipo de Tarea y especialidad]],#REF!,Planning[[#This Row],[Proyectos Reiwa]]),SUMIFS(#REF!,#REF!,Planning[[#This Row],[Tipo de Tarea y especialidad]],#REF!,Planning[[#This Row],[Proyectos]]))</f>
        <v>#REF!</v>
      </c>
      <c r="K2110" s="27" t="e">
        <f>Planning[[#This Row],[Horas Planificadas]]+Planning[[#This Row],[Horas ajustadas adicionales]]-Planning[[#This Row],[Horas utilizadas]]</f>
        <v>#REF!</v>
      </c>
      <c r="L2110" s="7">
        <v>18</v>
      </c>
      <c r="M2110" s="19" t="e">
        <f>Planning[[#This Row],[Saldo]]-Planning[[#This Row],[Saldo estimado]]</f>
        <v>#REF!</v>
      </c>
      <c r="N2110" s="60" t="e">
        <f>+SUMIFS(#REF!,#REF!,Planning[[#This Row],[Proyectos]],#REF!,Planning[[#This Row],[Tipo de Tarea y especialidad]])</f>
        <v>#REF!</v>
      </c>
      <c r="O2110" s="19">
        <f t="shared" si="64"/>
        <v>10</v>
      </c>
      <c r="P2110" s="19">
        <f t="shared" si="65"/>
        <v>2024</v>
      </c>
      <c r="Q21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10" s="19" t="str">
        <f>TEXT(Planning[[#This Row],[Mes]]*29,"mmmm")</f>
        <v>October</v>
      </c>
      <c r="S21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10" s="193"/>
      <c r="U2110" s="43" t="e">
        <f>IF(Planning[[#This Row],[Horas Planificadas]]&lt;&gt;0,+K2110/Planning[[#This Row],[Horas Planificadas]],0)</f>
        <v>#REF!</v>
      </c>
      <c r="V2110" s="43" t="e">
        <f>IF(Planning[[#This Row],[Horas Planificadas]]&lt;&gt;0,Planning[[#This Row],[Horas utilizadas]]/Planning[[#This Row],[Horas Planificadas]],0)</f>
        <v>#REF!</v>
      </c>
      <c r="W2110" s="44">
        <f>Planning[[#This Row],[Horas Planificadas]]+Planning[[#This Row],[Horas ajustadas adicionales]]</f>
        <v>160</v>
      </c>
      <c r="X2110" s="142"/>
    </row>
    <row r="2111" spans="1:24" x14ac:dyDescent="0.2">
      <c r="A2111" s="7" t="s">
        <v>204</v>
      </c>
      <c r="B2111" s="7" t="s">
        <v>118</v>
      </c>
      <c r="C2111" s="3"/>
      <c r="D2111" s="3" t="s">
        <v>461</v>
      </c>
      <c r="E2111" s="4"/>
      <c r="F2111" s="3" t="s">
        <v>126</v>
      </c>
      <c r="G2111" s="9"/>
      <c r="H2111" s="9">
        <v>192</v>
      </c>
      <c r="I2111" s="12"/>
      <c r="J2111" s="5" t="e">
        <f>SUM(SUMIFS(#REF!,#REF!,Planning[[#This Row],[Tipo de Tarea y especialidad]],#REF!,Planning[[#This Row],[Proyectos Reiwa]]),SUMIFS(#REF!,#REF!,Planning[[#This Row],[Tipo de Tarea y especialidad]],#REF!,Planning[[#This Row],[Proyectos]]))</f>
        <v>#REF!</v>
      </c>
      <c r="K2111" s="5" t="e">
        <f>Planning[[#This Row],[Horas Planificadas]]+Planning[[#This Row],[Horas ajustadas adicionales]]-Planning[[#This Row],[Horas utilizadas]]</f>
        <v>#REF!</v>
      </c>
      <c r="L2111" s="7">
        <v>0</v>
      </c>
      <c r="M2111" s="19" t="e">
        <f>Planning[[#This Row],[Saldo]]-Planning[[#This Row],[Saldo estimado]]</f>
        <v>#REF!</v>
      </c>
      <c r="N2111" s="60" t="e">
        <f>+SUMIFS(#REF!,#REF!,Planning[[#This Row],[Proyectos]],#REF!,Planning[[#This Row],[Tipo de Tarea y especialidad]])</f>
        <v>#REF!</v>
      </c>
      <c r="O2111" s="19">
        <f t="shared" si="64"/>
        <v>10</v>
      </c>
      <c r="P2111" s="19">
        <f t="shared" si="65"/>
        <v>2024</v>
      </c>
      <c r="Q21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11" s="19" t="str">
        <f>TEXT(Planning[[#This Row],[Mes]]*29,"mmmm")</f>
        <v>October</v>
      </c>
      <c r="S21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11" s="193"/>
      <c r="U2111" s="43" t="e">
        <f>IF(Planning[[#This Row],[Horas Planificadas]]&lt;&gt;0,+K2111/Planning[[#This Row],[Horas Planificadas]],0)</f>
        <v>#REF!</v>
      </c>
      <c r="V2111" s="43" t="e">
        <f>IF(Planning[[#This Row],[Horas Planificadas]]&lt;&gt;0,Planning[[#This Row],[Horas utilizadas]]/Planning[[#This Row],[Horas Planificadas]],0)</f>
        <v>#REF!</v>
      </c>
      <c r="W2111" s="44">
        <f>Planning[[#This Row],[Horas Planificadas]]+Planning[[#This Row],[Horas ajustadas adicionales]]</f>
        <v>192</v>
      </c>
      <c r="X2111" s="142"/>
    </row>
    <row r="2112" spans="1:24" x14ac:dyDescent="0.2">
      <c r="A2112" s="7" t="s">
        <v>204</v>
      </c>
      <c r="B2112" s="7" t="s">
        <v>118</v>
      </c>
      <c r="C2112" s="3"/>
      <c r="D2112" s="3" t="s">
        <v>461</v>
      </c>
      <c r="E2112" s="4"/>
      <c r="F2112" s="3" t="s">
        <v>127</v>
      </c>
      <c r="G2112" s="9"/>
      <c r="H2112" s="9"/>
      <c r="I2112" s="12"/>
      <c r="J2112" s="5" t="e">
        <f>SUM(SUMIFS(#REF!,#REF!,Planning[[#This Row],[Tipo de Tarea y especialidad]],#REF!,Planning[[#This Row],[Proyectos Reiwa]]),SUMIFS(#REF!,#REF!,Planning[[#This Row],[Tipo de Tarea y especialidad]],#REF!,Planning[[#This Row],[Proyectos]]))</f>
        <v>#REF!</v>
      </c>
      <c r="K2112" s="5" t="e">
        <f>Planning[[#This Row],[Horas Planificadas]]+Planning[[#This Row],[Horas ajustadas adicionales]]-Planning[[#This Row],[Horas utilizadas]]</f>
        <v>#REF!</v>
      </c>
      <c r="L2112" s="7"/>
      <c r="M2112" s="19" t="e">
        <f>Planning[[#This Row],[Saldo]]-Planning[[#This Row],[Saldo estimado]]</f>
        <v>#REF!</v>
      </c>
      <c r="N2112" s="60" t="e">
        <f>+SUMIFS(#REF!,#REF!,Planning[[#This Row],[Proyectos]],#REF!,Planning[[#This Row],[Tipo de Tarea y especialidad]])</f>
        <v>#REF!</v>
      </c>
      <c r="O2112" s="19">
        <f t="shared" si="64"/>
        <v>10</v>
      </c>
      <c r="P2112" s="19">
        <f t="shared" si="65"/>
        <v>2024</v>
      </c>
      <c r="Q21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12" s="19" t="str">
        <f>TEXT(Planning[[#This Row],[Mes]]*29,"mmmm")</f>
        <v>October</v>
      </c>
      <c r="S21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12" s="193"/>
      <c r="U2112" s="43">
        <f>IF(Planning[[#This Row],[Horas Planificadas]]&lt;&gt;0,+K2112/Planning[[#This Row],[Horas Planificadas]],0)</f>
        <v>0</v>
      </c>
      <c r="V2112" s="43">
        <f>IF(Planning[[#This Row],[Horas Planificadas]]&lt;&gt;0,Planning[[#This Row],[Horas utilizadas]]/Planning[[#This Row],[Horas Planificadas]],0)</f>
        <v>0</v>
      </c>
      <c r="W2112" s="44">
        <f>Planning[[#This Row],[Horas Planificadas]]+Planning[[#This Row],[Horas ajustadas adicionales]]</f>
        <v>0</v>
      </c>
      <c r="X2112" s="142"/>
    </row>
    <row r="2113" spans="1:24" x14ac:dyDescent="0.2">
      <c r="A2113" s="7" t="s">
        <v>204</v>
      </c>
      <c r="B2113" s="7" t="s">
        <v>118</v>
      </c>
      <c r="C2113" s="3"/>
      <c r="D2113" s="3" t="s">
        <v>461</v>
      </c>
      <c r="E2113" s="4"/>
      <c r="F2113" s="3" t="s">
        <v>128</v>
      </c>
      <c r="G2113" s="9"/>
      <c r="H2113" s="9"/>
      <c r="I2113" s="12"/>
      <c r="J2113" s="5" t="e">
        <f>SUM(SUMIFS(#REF!,#REF!,Planning[[#This Row],[Tipo de Tarea y especialidad]],#REF!,Planning[[#This Row],[Proyectos Reiwa]]),SUMIFS(#REF!,#REF!,Planning[[#This Row],[Tipo de Tarea y especialidad]],#REF!,Planning[[#This Row],[Proyectos]]))</f>
        <v>#REF!</v>
      </c>
      <c r="K2113" s="5" t="e">
        <f>Planning[[#This Row],[Horas Planificadas]]+Planning[[#This Row],[Horas ajustadas adicionales]]-Planning[[#This Row],[Horas utilizadas]]</f>
        <v>#REF!</v>
      </c>
      <c r="L2113" s="7"/>
      <c r="M2113" s="19" t="e">
        <f>Planning[[#This Row],[Saldo]]-Planning[[#This Row],[Saldo estimado]]</f>
        <v>#REF!</v>
      </c>
      <c r="N2113" s="60" t="e">
        <f>+SUMIFS(#REF!,#REF!,Planning[[#This Row],[Proyectos]],#REF!,Planning[[#This Row],[Tipo de Tarea y especialidad]])</f>
        <v>#REF!</v>
      </c>
      <c r="O2113" s="19">
        <f t="shared" si="64"/>
        <v>10</v>
      </c>
      <c r="P2113" s="19">
        <f t="shared" si="65"/>
        <v>2024</v>
      </c>
      <c r="Q21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13" s="19" t="str">
        <f>TEXT(Planning[[#This Row],[Mes]]*29,"mmmm")</f>
        <v>October</v>
      </c>
      <c r="S21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13" s="193"/>
      <c r="U2113" s="43">
        <f>IF(Planning[[#This Row],[Horas Planificadas]]&lt;&gt;0,+K2113/Planning[[#This Row],[Horas Planificadas]],0)</f>
        <v>0</v>
      </c>
      <c r="V2113" s="43">
        <f>IF(Planning[[#This Row],[Horas Planificadas]]&lt;&gt;0,Planning[[#This Row],[Horas utilizadas]]/Planning[[#This Row],[Horas Planificadas]],0)</f>
        <v>0</v>
      </c>
      <c r="W2113" s="44">
        <f>Planning[[#This Row],[Horas Planificadas]]+Planning[[#This Row],[Horas ajustadas adicionales]]</f>
        <v>0</v>
      </c>
      <c r="X2113" s="142"/>
    </row>
    <row r="2114" spans="1:24" x14ac:dyDescent="0.2">
      <c r="A2114" s="7" t="s">
        <v>204</v>
      </c>
      <c r="B2114" s="7" t="s">
        <v>118</v>
      </c>
      <c r="C2114" s="3"/>
      <c r="D2114" s="3" t="s">
        <v>461</v>
      </c>
      <c r="E2114" s="4" t="s">
        <v>31</v>
      </c>
      <c r="F2114" s="3" t="s">
        <v>31</v>
      </c>
      <c r="G2114" s="9">
        <v>98</v>
      </c>
      <c r="H2114" s="17">
        <v>98</v>
      </c>
      <c r="I2114" s="18"/>
      <c r="J2114" s="14" t="e">
        <f>+SUMIFS(#REF!,#REF!,Planning[[#This Row],[Tarifa]],#REF!,Planning[[#This Row],[Proyectos]])</f>
        <v>#REF!</v>
      </c>
      <c r="K2114" s="14" t="e">
        <f>Planning[[#This Row],[Horas Planificadas]]+Planning[[#This Row],[Horas ajustadas adicionales]]-Planning[[#This Row],[Horas utilizadas]]</f>
        <v>#REF!</v>
      </c>
      <c r="L2114" s="15"/>
      <c r="M2114" s="16" t="e">
        <f>Planning[[#This Row],[Saldo]]-Planning[[#This Row],[Saldo estimado]]</f>
        <v>#REF!</v>
      </c>
      <c r="N2114" s="60" t="e">
        <f>+SUMIFS(#REF!,#REF!,Planning[[#This Row],[Proyectos]],#REF!,Planning[[#This Row],[Tipo de Tarea y especialidad]])</f>
        <v>#REF!</v>
      </c>
      <c r="O2114" s="16">
        <f t="shared" si="64"/>
        <v>10</v>
      </c>
      <c r="P2114" s="16">
        <f t="shared" si="65"/>
        <v>2024</v>
      </c>
      <c r="Q2114" s="16" t="e">
        <f>+SUMIFS(#REF!,#REF!,Planning[[#This Row],[Tarifa]],#REF!,Planning[[#This Row],[Proyectos]],#REF!,Planning[[#This Row],[Mes]],#REF!,Planning[[#This Row],[Año]])</f>
        <v>#REF!</v>
      </c>
      <c r="R2114" s="16" t="str">
        <f>TEXT(Planning[[#This Row],[Mes]]*29,"mmmm")</f>
        <v>October</v>
      </c>
      <c r="S21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14" s="193"/>
      <c r="U2114" s="43" t="e">
        <f>IF(Planning[[#This Row],[Horas Planificadas]]&lt;&gt;0,+K2114/Planning[[#This Row],[Horas Planificadas]],0)</f>
        <v>#REF!</v>
      </c>
      <c r="V2114" s="43" t="e">
        <f>IF(Planning[[#This Row],[Horas Planificadas]]&lt;&gt;0,Planning[[#This Row],[Horas utilizadas]]/Planning[[#This Row],[Horas Planificadas]],0)</f>
        <v>#REF!</v>
      </c>
      <c r="W2114" s="44">
        <f>Planning[[#This Row],[Horas Planificadas]]+Planning[[#This Row],[Horas ajustadas adicionales]]</f>
        <v>98</v>
      </c>
      <c r="X2114" s="142"/>
    </row>
    <row r="2115" spans="1:24" ht="22.5" x14ac:dyDescent="0.2">
      <c r="A2115" s="7" t="s">
        <v>204</v>
      </c>
      <c r="B2115" s="7" t="s">
        <v>118</v>
      </c>
      <c r="C2115" s="3"/>
      <c r="D2115" s="3" t="s">
        <v>461</v>
      </c>
      <c r="E2115" s="4" t="s">
        <v>32</v>
      </c>
      <c r="F2115" s="3"/>
      <c r="G2115" s="9">
        <v>400</v>
      </c>
      <c r="H2115" s="25">
        <f>SUM(H2116:H2118)</f>
        <v>400</v>
      </c>
      <c r="I2115" s="14"/>
      <c r="J2115" s="14" t="e">
        <f>SUM(J2116:J2118)</f>
        <v>#REF!</v>
      </c>
      <c r="K2115" s="18" t="e">
        <f>SUM(K2116:K2118)</f>
        <v>#REF!</v>
      </c>
      <c r="L2115" s="15">
        <f>SUM(L2116:L2118)</f>
        <v>268</v>
      </c>
      <c r="M2115" s="16" t="e">
        <f>SUM(M2116:M2118)</f>
        <v>#REF!</v>
      </c>
      <c r="N2115" s="60" t="e">
        <f>+SUMIFS(#REF!,#REF!,Planning[[#This Row],[Proyectos]],#REF!,Planning[[#This Row],[Tipo de Tarea y especialidad]])</f>
        <v>#REF!</v>
      </c>
      <c r="O2115" s="16">
        <f t="shared" si="64"/>
        <v>10</v>
      </c>
      <c r="P2115" s="16">
        <f t="shared" si="65"/>
        <v>2024</v>
      </c>
      <c r="Q2115" s="16" t="e">
        <f>SUM(Q2116:Q2118)</f>
        <v>#REF!</v>
      </c>
      <c r="R2115" s="16" t="str">
        <f>TEXT(Planning[[#This Row],[Mes]]*29,"mmmm")</f>
        <v>October</v>
      </c>
      <c r="S21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15" s="193"/>
      <c r="U2115" s="43" t="e">
        <f>IF(Planning[[#This Row],[Horas Planificadas]]&lt;&gt;0,+K2115/Planning[[#This Row],[Horas Planificadas]],0)</f>
        <v>#REF!</v>
      </c>
      <c r="V2115" s="43" t="e">
        <f>IF(Planning[[#This Row],[Horas Planificadas]]&lt;&gt;0,Planning[[#This Row],[Horas utilizadas]]/Planning[[#This Row],[Horas Planificadas]],0)</f>
        <v>#REF!</v>
      </c>
      <c r="W2115" s="44">
        <f>Planning[[#This Row],[Horas Planificadas]]+Planning[[#This Row],[Horas ajustadas adicionales]]</f>
        <v>400</v>
      </c>
      <c r="X2115" s="142"/>
    </row>
    <row r="2116" spans="1:24" x14ac:dyDescent="0.2">
      <c r="A2116" s="7" t="s">
        <v>204</v>
      </c>
      <c r="B2116" s="7" t="s">
        <v>118</v>
      </c>
      <c r="C2116" s="3"/>
      <c r="D2116" s="3" t="s">
        <v>461</v>
      </c>
      <c r="E2116" s="4"/>
      <c r="F2116" s="3" t="s">
        <v>129</v>
      </c>
      <c r="G2116" s="9"/>
      <c r="H2116" s="9">
        <v>400</v>
      </c>
      <c r="I2116" s="12"/>
      <c r="J2116" s="5" t="e">
        <f>SUM(SUMIFS(#REF!,#REF!,Planning[[#This Row],[Tipo de Tarea y especialidad]],#REF!,Planning[[#This Row],[Proyectos Reiwa]]),SUMIFS(#REF!,#REF!,Planning[[#This Row],[Tipo de Tarea y especialidad]],#REF!,Planning[[#This Row],[Proyectos]]))</f>
        <v>#REF!</v>
      </c>
      <c r="K2116" s="5" t="e">
        <f>Planning[[#This Row],[Horas Planificadas]]+Planning[[#This Row],[Horas ajustadas adicionales]]-Planning[[#This Row],[Horas utilizadas]]</f>
        <v>#REF!</v>
      </c>
      <c r="L2116" s="7">
        <v>268</v>
      </c>
      <c r="M2116" s="19" t="e">
        <f>Planning[[#This Row],[Saldo]]-Planning[[#This Row],[Saldo estimado]]</f>
        <v>#REF!</v>
      </c>
      <c r="N2116" s="60" t="e">
        <f>+SUMIFS(#REF!,#REF!,Planning[[#This Row],[Proyectos]],#REF!,Planning[[#This Row],[Tipo de Tarea y especialidad]])</f>
        <v>#REF!</v>
      </c>
      <c r="O2116" s="19">
        <f t="shared" si="64"/>
        <v>10</v>
      </c>
      <c r="P2116" s="19">
        <f t="shared" si="65"/>
        <v>2024</v>
      </c>
      <c r="Q21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16" s="19" t="str">
        <f>TEXT(Planning[[#This Row],[Mes]]*29,"mmmm")</f>
        <v>October</v>
      </c>
      <c r="S21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16" s="193"/>
      <c r="U2116" s="43" t="e">
        <f>IF(Planning[[#This Row],[Horas Planificadas]]&lt;&gt;0,+K2116/Planning[[#This Row],[Horas Planificadas]],0)</f>
        <v>#REF!</v>
      </c>
      <c r="V2116" s="43" t="e">
        <f>IF(Planning[[#This Row],[Horas Planificadas]]&lt;&gt;0,Planning[[#This Row],[Horas utilizadas]]/Planning[[#This Row],[Horas Planificadas]],0)</f>
        <v>#REF!</v>
      </c>
      <c r="W2116" s="44">
        <f>Planning[[#This Row],[Horas Planificadas]]+Planning[[#This Row],[Horas ajustadas adicionales]]</f>
        <v>400</v>
      </c>
      <c r="X2116" s="142"/>
    </row>
    <row r="2117" spans="1:24" x14ac:dyDescent="0.2">
      <c r="A2117" s="7" t="s">
        <v>204</v>
      </c>
      <c r="B2117" s="7" t="s">
        <v>118</v>
      </c>
      <c r="C2117" s="3"/>
      <c r="D2117" s="3" t="s">
        <v>461</v>
      </c>
      <c r="E2117" s="4"/>
      <c r="F2117" s="3" t="s">
        <v>130</v>
      </c>
      <c r="G2117" s="9"/>
      <c r="H2117" s="9"/>
      <c r="I2117" s="12"/>
      <c r="J2117" s="5" t="e">
        <f>SUM(SUMIFS(#REF!,#REF!,Planning[[#This Row],[Tipo de Tarea y especialidad]],#REF!,Planning[[#This Row],[Proyectos Reiwa]]),SUMIFS(#REF!,#REF!,Planning[[#This Row],[Tipo de Tarea y especialidad]],#REF!,Planning[[#This Row],[Proyectos]]))</f>
        <v>#REF!</v>
      </c>
      <c r="K2117" s="5" t="e">
        <f>Planning[[#This Row],[Horas Planificadas]]+Planning[[#This Row],[Horas ajustadas adicionales]]-Planning[[#This Row],[Horas utilizadas]]</f>
        <v>#REF!</v>
      </c>
      <c r="L2117" s="7"/>
      <c r="M2117" s="19" t="e">
        <f>Planning[[#This Row],[Saldo]]-Planning[[#This Row],[Saldo estimado]]</f>
        <v>#REF!</v>
      </c>
      <c r="N2117" s="60" t="e">
        <f>+SUMIFS(#REF!,#REF!,Planning[[#This Row],[Proyectos]],#REF!,Planning[[#This Row],[Tipo de Tarea y especialidad]])</f>
        <v>#REF!</v>
      </c>
      <c r="O2117" s="19">
        <f t="shared" si="64"/>
        <v>10</v>
      </c>
      <c r="P2117" s="19">
        <f t="shared" si="65"/>
        <v>2024</v>
      </c>
      <c r="Q21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17" s="19" t="str">
        <f>TEXT(Planning[[#This Row],[Mes]]*29,"mmmm")</f>
        <v>October</v>
      </c>
      <c r="S21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17" s="193"/>
      <c r="U2117" s="43">
        <f>IF(Planning[[#This Row],[Horas Planificadas]]&lt;&gt;0,+K2117/Planning[[#This Row],[Horas Planificadas]],0)</f>
        <v>0</v>
      </c>
      <c r="V2117" s="43">
        <f>IF(Planning[[#This Row],[Horas Planificadas]]&lt;&gt;0,Planning[[#This Row],[Horas utilizadas]]/Planning[[#This Row],[Horas Planificadas]],0)</f>
        <v>0</v>
      </c>
      <c r="W2117" s="44">
        <f>Planning[[#This Row],[Horas Planificadas]]+Planning[[#This Row],[Horas ajustadas adicionales]]</f>
        <v>0</v>
      </c>
      <c r="X2117" s="142"/>
    </row>
    <row r="2118" spans="1:24" x14ac:dyDescent="0.2">
      <c r="A2118" s="7" t="s">
        <v>204</v>
      </c>
      <c r="B2118" s="7" t="s">
        <v>118</v>
      </c>
      <c r="C2118" s="3"/>
      <c r="D2118" s="3" t="s">
        <v>461</v>
      </c>
      <c r="E2118" s="4"/>
      <c r="F2118" s="3" t="s">
        <v>131</v>
      </c>
      <c r="G2118" s="9"/>
      <c r="H2118" s="9"/>
      <c r="I2118" s="12"/>
      <c r="J2118" s="5" t="e">
        <f>SUM(SUMIFS(#REF!,#REF!,Planning[[#This Row],[Tipo de Tarea y especialidad]],#REF!,Planning[[#This Row],[Proyectos Reiwa]]),SUMIFS(#REF!,#REF!,Planning[[#This Row],[Tipo de Tarea y especialidad]],#REF!,Planning[[#This Row],[Proyectos]]))</f>
        <v>#REF!</v>
      </c>
      <c r="K2118" s="5" t="e">
        <f>Planning[[#This Row],[Horas Planificadas]]+Planning[[#This Row],[Horas ajustadas adicionales]]-Planning[[#This Row],[Horas utilizadas]]</f>
        <v>#REF!</v>
      </c>
      <c r="L2118" s="7"/>
      <c r="M2118" s="19" t="e">
        <f>Planning[[#This Row],[Saldo]]-Planning[[#This Row],[Saldo estimado]]</f>
        <v>#REF!</v>
      </c>
      <c r="N2118" s="60" t="e">
        <f>+SUMIFS(#REF!,#REF!,Planning[[#This Row],[Proyectos]],#REF!,Planning[[#This Row],[Tipo de Tarea y especialidad]])</f>
        <v>#REF!</v>
      </c>
      <c r="O2118" s="19">
        <f t="shared" si="64"/>
        <v>10</v>
      </c>
      <c r="P2118" s="19">
        <f t="shared" si="65"/>
        <v>2024</v>
      </c>
      <c r="Q21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18" s="19" t="str">
        <f>TEXT(Planning[[#This Row],[Mes]]*29,"mmmm")</f>
        <v>October</v>
      </c>
      <c r="S21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18" s="193"/>
      <c r="U2118" s="43">
        <f>IF(Planning[[#This Row],[Horas Planificadas]]&lt;&gt;0,+K2118/Planning[[#This Row],[Horas Planificadas]],0)</f>
        <v>0</v>
      </c>
      <c r="V2118" s="43">
        <f>IF(Planning[[#This Row],[Horas Planificadas]]&lt;&gt;0,Planning[[#This Row],[Horas utilizadas]]/Planning[[#This Row],[Horas Planificadas]],0)</f>
        <v>0</v>
      </c>
      <c r="W2118" s="44">
        <f>Planning[[#This Row],[Horas Planificadas]]+Planning[[#This Row],[Horas ajustadas adicionales]]</f>
        <v>0</v>
      </c>
      <c r="X2118" s="142"/>
    </row>
    <row r="2119" spans="1:24" ht="22.5" x14ac:dyDescent="0.2">
      <c r="A2119" s="7" t="s">
        <v>168</v>
      </c>
      <c r="B2119" s="7" t="s">
        <v>463</v>
      </c>
      <c r="C2119" s="3">
        <v>116871</v>
      </c>
      <c r="D2119" s="3" t="s">
        <v>464</v>
      </c>
      <c r="E2119" s="4" t="s">
        <v>28</v>
      </c>
      <c r="F2119" s="3"/>
      <c r="G2119" s="9">
        <v>400</v>
      </c>
      <c r="H2119" s="14">
        <f>SUM(H2120:H2121)</f>
        <v>732</v>
      </c>
      <c r="I2119" s="14"/>
      <c r="J2119" s="14" t="e">
        <f>SUM(J2120:J2121)</f>
        <v>#REF!</v>
      </c>
      <c r="K2119" s="15" t="e">
        <f>SUM(K2120:K2121)</f>
        <v>#REF!</v>
      </c>
      <c r="L2119" s="15">
        <f>SUM(L2120:L2121)</f>
        <v>46</v>
      </c>
      <c r="M2119" s="28" t="e">
        <f>SUM(M2120:M2121)</f>
        <v>#REF!</v>
      </c>
      <c r="N2119" s="61" t="e">
        <f>+SUMIFS(#REF!,#REF!,Planning[[#This Row],[Proyectos]],#REF!,Planning[[#This Row],[Tipo de Tarea y especialidad]])</f>
        <v>#REF!</v>
      </c>
      <c r="O2119" s="28">
        <f t="shared" ref="O2119:O2182" si="66">$L$4</f>
        <v>10</v>
      </c>
      <c r="P2119" s="28">
        <f t="shared" ref="P2119:P2182" si="67">$M$4</f>
        <v>2024</v>
      </c>
      <c r="Q2119" s="28" t="e">
        <f>SUM(Q2120:Q2121)</f>
        <v>#REF!</v>
      </c>
      <c r="R2119" s="28" t="str">
        <f>TEXT(Planning[[#This Row],[Mes]]*29,"mmmm")</f>
        <v>October</v>
      </c>
      <c r="S21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19" s="234" t="s">
        <v>465</v>
      </c>
      <c r="U2119" s="43" t="e">
        <f>IF(Planning[[#This Row],[Horas Planificadas]]&lt;&gt;0,+K2119/Planning[[#This Row],[Horas Planificadas]],0)</f>
        <v>#REF!</v>
      </c>
      <c r="V2119" s="43" t="e">
        <f>IF(Planning[[#This Row],[Horas Planificadas]]&lt;&gt;0,Planning[[#This Row],[Horas utilizadas]]/Planning[[#This Row],[Horas Planificadas]],0)</f>
        <v>#REF!</v>
      </c>
      <c r="W2119" s="44">
        <f>Planning[[#This Row],[Horas Planificadas]]+Planning[[#This Row],[Horas ajustadas adicionales]]</f>
        <v>732</v>
      </c>
      <c r="X2119" s="142"/>
    </row>
    <row r="2120" spans="1:24" x14ac:dyDescent="0.2">
      <c r="A2120" s="7" t="s">
        <v>168</v>
      </c>
      <c r="B2120" s="7" t="s">
        <v>463</v>
      </c>
      <c r="C2120" s="3">
        <v>116871</v>
      </c>
      <c r="D2120" s="3" t="s">
        <v>464</v>
      </c>
      <c r="E2120" s="4"/>
      <c r="F2120" s="3" t="s">
        <v>120</v>
      </c>
      <c r="G2120" s="9"/>
      <c r="H2120" s="9">
        <v>480</v>
      </c>
      <c r="I2120" s="12">
        <v>10</v>
      </c>
      <c r="J2120" s="5" t="e">
        <f>SUM(SUMIFS(#REF!,#REF!,Planning[[#This Row],[Tipo de Tarea y especialidad]],#REF!,Planning[[#This Row],[Proyectos Reiwa]]),SUMIFS(#REF!,#REF!,Planning[[#This Row],[Tipo de Tarea y especialidad]],#REF!,Planning[[#This Row],[Proyectos]]))</f>
        <v>#REF!</v>
      </c>
      <c r="K2120" s="5" t="e">
        <f>Planning[[#This Row],[Horas Planificadas]]+Planning[[#This Row],[Horas ajustadas adicionales]]-Planning[[#This Row],[Horas utilizadas]]</f>
        <v>#REF!</v>
      </c>
      <c r="L2120" s="7">
        <v>10</v>
      </c>
      <c r="M2120" s="19" t="e">
        <f>Planning[[#This Row],[Saldo]]-Planning[[#This Row],[Saldo estimado]]</f>
        <v>#REF!</v>
      </c>
      <c r="N2120" s="60" t="e">
        <f>+SUMIFS(#REF!,#REF!,Planning[[#This Row],[Proyectos]],#REF!,Planning[[#This Row],[Tipo de Tarea y especialidad]])</f>
        <v>#REF!</v>
      </c>
      <c r="O2120" s="19">
        <f t="shared" si="66"/>
        <v>10</v>
      </c>
      <c r="P2120" s="19">
        <f t="shared" si="67"/>
        <v>2024</v>
      </c>
      <c r="Q21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20" s="19" t="str">
        <f>TEXT(Planning[[#This Row],[Mes]]*29,"mmmm")</f>
        <v>October</v>
      </c>
      <c r="S21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20" s="193"/>
      <c r="U2120" s="43" t="e">
        <f>IF(Planning[[#This Row],[Horas Planificadas]]&lt;&gt;0,+K2120/Planning[[#This Row],[Horas Planificadas]],0)</f>
        <v>#REF!</v>
      </c>
      <c r="V2120" s="43" t="e">
        <f>IF(Planning[[#This Row],[Horas Planificadas]]&lt;&gt;0,Planning[[#This Row],[Horas utilizadas]]/Planning[[#This Row],[Horas Planificadas]],0)</f>
        <v>#REF!</v>
      </c>
      <c r="W2120" s="44">
        <f>Planning[[#This Row],[Horas Planificadas]]+Planning[[#This Row],[Horas ajustadas adicionales]]</f>
        <v>490</v>
      </c>
      <c r="X2120" s="142"/>
    </row>
    <row r="2121" spans="1:24" x14ac:dyDescent="0.2">
      <c r="A2121" s="7" t="s">
        <v>168</v>
      </c>
      <c r="B2121" s="7" t="s">
        <v>463</v>
      </c>
      <c r="C2121" s="3">
        <v>116871</v>
      </c>
      <c r="D2121" s="3" t="s">
        <v>464</v>
      </c>
      <c r="E2121" s="4"/>
      <c r="F2121" s="3" t="s">
        <v>121</v>
      </c>
      <c r="G2121" s="9"/>
      <c r="H2121" s="9">
        <v>252</v>
      </c>
      <c r="I2121" s="12">
        <f>27+36+18</f>
        <v>81</v>
      </c>
      <c r="J2121" s="5" t="e">
        <f>SUM(SUMIFS(#REF!,#REF!,Planning[[#This Row],[Tipo de Tarea y especialidad]],#REF!,Planning[[#This Row],[Proyectos Reiwa]]),SUMIFS(#REF!,#REF!,Planning[[#This Row],[Tipo de Tarea y especialidad]],#REF!,Planning[[#This Row],[Proyectos]]))</f>
        <v>#REF!</v>
      </c>
      <c r="K2121" s="5" t="e">
        <f>Planning[[#This Row],[Horas Planificadas]]+Planning[[#This Row],[Horas ajustadas adicionales]]-Planning[[#This Row],[Horas utilizadas]]</f>
        <v>#REF!</v>
      </c>
      <c r="L2121" s="7">
        <f>27+9</f>
        <v>36</v>
      </c>
      <c r="M2121" s="19" t="e">
        <f>Planning[[#This Row],[Saldo]]-Planning[[#This Row],[Saldo estimado]]</f>
        <v>#REF!</v>
      </c>
      <c r="N2121" s="60" t="e">
        <f>+SUMIFS(#REF!,#REF!,Planning[[#This Row],[Proyectos]],#REF!,Planning[[#This Row],[Tipo de Tarea y especialidad]])</f>
        <v>#REF!</v>
      </c>
      <c r="O2121" s="19">
        <f t="shared" si="66"/>
        <v>10</v>
      </c>
      <c r="P2121" s="19">
        <f t="shared" si="67"/>
        <v>2024</v>
      </c>
      <c r="Q21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21" s="19" t="str">
        <f>TEXT(Planning[[#This Row],[Mes]]*29,"mmmm")</f>
        <v>October</v>
      </c>
      <c r="S21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21" s="193"/>
      <c r="U2121" s="43" t="e">
        <f>IF(Planning[[#This Row],[Horas Planificadas]]&lt;&gt;0,+K2121/Planning[[#This Row],[Horas Planificadas]],0)</f>
        <v>#REF!</v>
      </c>
      <c r="V2121" s="43" t="e">
        <f>IF(Planning[[#This Row],[Horas Planificadas]]&lt;&gt;0,Planning[[#This Row],[Horas utilizadas]]/Planning[[#This Row],[Horas Planificadas]],0)</f>
        <v>#REF!</v>
      </c>
      <c r="W2121" s="44">
        <f>Planning[[#This Row],[Horas Planificadas]]+Planning[[#This Row],[Horas ajustadas adicionales]]</f>
        <v>333</v>
      </c>
      <c r="X2121" s="142"/>
    </row>
    <row r="2122" spans="1:24" x14ac:dyDescent="0.2">
      <c r="A2122" s="7" t="s">
        <v>168</v>
      </c>
      <c r="B2122" s="7" t="s">
        <v>463</v>
      </c>
      <c r="C2122" s="3">
        <v>116871</v>
      </c>
      <c r="D2122" s="3" t="s">
        <v>464</v>
      </c>
      <c r="E2122" s="4" t="s">
        <v>30</v>
      </c>
      <c r="F2122" s="3"/>
      <c r="G2122" s="9">
        <v>915</v>
      </c>
      <c r="H2122" s="25">
        <f>SUM(H2123:H2129)</f>
        <v>881</v>
      </c>
      <c r="I2122" s="14"/>
      <c r="J2122" s="14" t="e">
        <f>SUM(J2123:J2129)</f>
        <v>#REF!</v>
      </c>
      <c r="K2122" s="18" t="e">
        <f>SUM(K2123:K2129)</f>
        <v>#REF!</v>
      </c>
      <c r="L2122" s="15">
        <f>SUM(L2123:L2129)</f>
        <v>107</v>
      </c>
      <c r="M2122" s="16" t="e">
        <f>SUM(M2123:M2129)</f>
        <v>#REF!</v>
      </c>
      <c r="N2122" s="60" t="e">
        <f>+SUMIFS(#REF!,#REF!,Planning[[#This Row],[Proyectos]],#REF!,Planning[[#This Row],[Tipo de Tarea y especialidad]])</f>
        <v>#REF!</v>
      </c>
      <c r="O2122" s="16">
        <f t="shared" si="66"/>
        <v>10</v>
      </c>
      <c r="P2122" s="16">
        <f t="shared" si="67"/>
        <v>2024</v>
      </c>
      <c r="Q2122" s="16" t="e">
        <f>SUM(Q2123:Q2129)</f>
        <v>#REF!</v>
      </c>
      <c r="R2122" s="16" t="str">
        <f>TEXT(Planning[[#This Row],[Mes]]*29,"mmmm")</f>
        <v>October</v>
      </c>
      <c r="S21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22" s="193"/>
      <c r="U2122" s="43" t="e">
        <f>IF(Planning[[#This Row],[Horas Planificadas]]&lt;&gt;0,+K2122/Planning[[#This Row],[Horas Planificadas]],0)</f>
        <v>#REF!</v>
      </c>
      <c r="V2122" s="43" t="e">
        <f>IF(Planning[[#This Row],[Horas Planificadas]]&lt;&gt;0,Planning[[#This Row],[Horas utilizadas]]/Planning[[#This Row],[Horas Planificadas]],0)</f>
        <v>#REF!</v>
      </c>
      <c r="W2122" s="44">
        <f>Planning[[#This Row],[Horas Planificadas]]+Planning[[#This Row],[Horas ajustadas adicionales]]</f>
        <v>881</v>
      </c>
      <c r="X2122" s="142"/>
    </row>
    <row r="2123" spans="1:24" x14ac:dyDescent="0.2">
      <c r="A2123" s="7" t="s">
        <v>168</v>
      </c>
      <c r="B2123" s="7" t="s">
        <v>463</v>
      </c>
      <c r="C2123" s="3">
        <v>116871</v>
      </c>
      <c r="D2123" s="3" t="s">
        <v>464</v>
      </c>
      <c r="E2123" s="4"/>
      <c r="F2123" s="3" t="s">
        <v>122</v>
      </c>
      <c r="G2123" s="9"/>
      <c r="H2123" s="12"/>
      <c r="I2123" s="12">
        <v>36</v>
      </c>
      <c r="J2123" s="5" t="e">
        <f>SUM(SUMIFS(#REF!,#REF!,Planning[[#This Row],[Tipo de Tarea y especialidad]],#REF!,Planning[[#This Row],[Proyectos Reiwa]]),SUMIFS(#REF!,#REF!,Planning[[#This Row],[Tipo de Tarea y especialidad]],#REF!,Planning[[#This Row],[Proyectos]]))</f>
        <v>#REF!</v>
      </c>
      <c r="K2123" s="27" t="e">
        <f>Planning[[#This Row],[Horas Planificadas]]+Planning[[#This Row],[Horas ajustadas adicionales]]-Planning[[#This Row],[Horas utilizadas]]</f>
        <v>#REF!</v>
      </c>
      <c r="L2123" s="7">
        <v>0</v>
      </c>
      <c r="M2123" s="34" t="e">
        <f>Planning[[#This Row],[Saldo]]-Planning[[#This Row],[Saldo estimado]]</f>
        <v>#REF!</v>
      </c>
      <c r="N2123" s="62" t="e">
        <f>+SUMIFS(#REF!,#REF!,Planning[[#This Row],[Proyectos]],#REF!,Planning[[#This Row],[Tipo de Tarea y especialidad]])</f>
        <v>#REF!</v>
      </c>
      <c r="O2123" s="34">
        <f t="shared" si="66"/>
        <v>10</v>
      </c>
      <c r="P2123" s="34">
        <f t="shared" si="67"/>
        <v>2024</v>
      </c>
      <c r="Q21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23" s="19" t="str">
        <f>TEXT(Planning[[#This Row],[Mes]]*29,"mmmm")</f>
        <v>October</v>
      </c>
      <c r="S21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23" s="193"/>
      <c r="U2123" s="43">
        <f>IF(Planning[[#This Row],[Horas Planificadas]]&lt;&gt;0,+K2123/Planning[[#This Row],[Horas Planificadas]],0)</f>
        <v>0</v>
      </c>
      <c r="V2123" s="43">
        <f>IF(Planning[[#This Row],[Horas Planificadas]]&lt;&gt;0,Planning[[#This Row],[Horas utilizadas]]/Planning[[#This Row],[Horas Planificadas]],0)</f>
        <v>0</v>
      </c>
      <c r="W2123" s="44">
        <f>Planning[[#This Row],[Horas Planificadas]]+Planning[[#This Row],[Horas ajustadas adicionales]]</f>
        <v>36</v>
      </c>
      <c r="X2123" s="142"/>
    </row>
    <row r="2124" spans="1:24" x14ac:dyDescent="0.2">
      <c r="A2124" s="7" t="s">
        <v>168</v>
      </c>
      <c r="B2124" s="7" t="s">
        <v>463</v>
      </c>
      <c r="C2124" s="3">
        <v>116871</v>
      </c>
      <c r="D2124" s="3" t="s">
        <v>464</v>
      </c>
      <c r="E2124" s="4"/>
      <c r="F2124" s="3" t="s">
        <v>123</v>
      </c>
      <c r="G2124" s="9"/>
      <c r="H2124" s="9">
        <v>360</v>
      </c>
      <c r="I2124" s="12">
        <f>63+116</f>
        <v>179</v>
      </c>
      <c r="J2124" s="5" t="e">
        <f>SUM(SUMIFS(#REF!,#REF!,Planning[[#This Row],[Tipo de Tarea y especialidad]],#REF!,Planning[[#This Row],[Proyectos Reiwa]]),SUMIFS(#REF!,#REF!,Planning[[#This Row],[Tipo de Tarea y especialidad]],#REF!,Planning[[#This Row],[Proyectos]]))</f>
        <v>#REF!</v>
      </c>
      <c r="K2124" s="5" t="e">
        <f>Planning[[#This Row],[Horas Planificadas]]+Planning[[#This Row],[Horas ajustadas adicionales]]-Planning[[#This Row],[Horas utilizadas]]</f>
        <v>#REF!</v>
      </c>
      <c r="L2124" s="7">
        <v>0</v>
      </c>
      <c r="M2124" s="19" t="e">
        <f>Planning[[#This Row],[Saldo]]-Planning[[#This Row],[Saldo estimado]]</f>
        <v>#REF!</v>
      </c>
      <c r="N2124" s="60" t="e">
        <f>+SUMIFS(#REF!,#REF!,Planning[[#This Row],[Proyectos]],#REF!,Planning[[#This Row],[Tipo de Tarea y especialidad]])</f>
        <v>#REF!</v>
      </c>
      <c r="O2124" s="19">
        <f t="shared" si="66"/>
        <v>10</v>
      </c>
      <c r="P2124" s="19">
        <f t="shared" si="67"/>
        <v>2024</v>
      </c>
      <c r="Q21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24" s="19" t="str">
        <f>TEXT(Planning[[#This Row],[Mes]]*29,"mmmm")</f>
        <v>October</v>
      </c>
      <c r="S21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24" s="193"/>
      <c r="U2124" s="43" t="e">
        <f>IF(Planning[[#This Row],[Horas Planificadas]]&lt;&gt;0,+K2124/Planning[[#This Row],[Horas Planificadas]],0)</f>
        <v>#REF!</v>
      </c>
      <c r="V2124" s="43" t="e">
        <f>IF(Planning[[#This Row],[Horas Planificadas]]&lt;&gt;0,Planning[[#This Row],[Horas utilizadas]]/Planning[[#This Row],[Horas Planificadas]],0)</f>
        <v>#REF!</v>
      </c>
      <c r="W2124" s="44">
        <f>Planning[[#This Row],[Horas Planificadas]]+Planning[[#This Row],[Horas ajustadas adicionales]]</f>
        <v>539</v>
      </c>
      <c r="X2124" s="142"/>
    </row>
    <row r="2125" spans="1:24" x14ac:dyDescent="0.2">
      <c r="A2125" s="7" t="s">
        <v>168</v>
      </c>
      <c r="B2125" s="7" t="s">
        <v>463</v>
      </c>
      <c r="C2125" s="3">
        <v>116871</v>
      </c>
      <c r="D2125" s="3" t="s">
        <v>464</v>
      </c>
      <c r="E2125" s="4"/>
      <c r="F2125" s="3" t="s">
        <v>124</v>
      </c>
      <c r="G2125" s="9"/>
      <c r="H2125" s="9">
        <v>63</v>
      </c>
      <c r="I2125" s="12">
        <v>49</v>
      </c>
      <c r="J2125" s="5" t="e">
        <f>SUM(SUMIFS(#REF!,#REF!,Planning[[#This Row],[Tipo de Tarea y especialidad]],#REF!,Planning[[#This Row],[Proyectos Reiwa]]),SUMIFS(#REF!,#REF!,Planning[[#This Row],[Tipo de Tarea y especialidad]],#REF!,Planning[[#This Row],[Proyectos]]))</f>
        <v>#REF!</v>
      </c>
      <c r="K2125" s="5" t="e">
        <f>Planning[[#This Row],[Horas Planificadas]]+Planning[[#This Row],[Horas ajustadas adicionales]]-Planning[[#This Row],[Horas utilizadas]]</f>
        <v>#REF!</v>
      </c>
      <c r="L2125" s="7">
        <v>49</v>
      </c>
      <c r="M2125" s="19" t="e">
        <f>Planning[[#This Row],[Saldo]]-Planning[[#This Row],[Saldo estimado]]</f>
        <v>#REF!</v>
      </c>
      <c r="N2125" s="60" t="e">
        <f>+SUMIFS(#REF!,#REF!,Planning[[#This Row],[Proyectos]],#REF!,Planning[[#This Row],[Tipo de Tarea y especialidad]])</f>
        <v>#REF!</v>
      </c>
      <c r="O2125" s="19">
        <f t="shared" si="66"/>
        <v>10</v>
      </c>
      <c r="P2125" s="19">
        <f t="shared" si="67"/>
        <v>2024</v>
      </c>
      <c r="Q21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25" s="19" t="str">
        <f>TEXT(Planning[[#This Row],[Mes]]*29,"mmmm")</f>
        <v>October</v>
      </c>
      <c r="S21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25" s="193"/>
      <c r="U2125" s="43" t="e">
        <f>IF(Planning[[#This Row],[Horas Planificadas]]&lt;&gt;0,+K2125/Planning[[#This Row],[Horas Planificadas]],0)</f>
        <v>#REF!</v>
      </c>
      <c r="V2125" s="43" t="e">
        <f>IF(Planning[[#This Row],[Horas Planificadas]]&lt;&gt;0,Planning[[#This Row],[Horas utilizadas]]/Planning[[#This Row],[Horas Planificadas]],0)</f>
        <v>#REF!</v>
      </c>
      <c r="W2125" s="44">
        <f>Planning[[#This Row],[Horas Planificadas]]+Planning[[#This Row],[Horas ajustadas adicionales]]</f>
        <v>112</v>
      </c>
      <c r="X2125" s="142"/>
    </row>
    <row r="2126" spans="1:24" x14ac:dyDescent="0.2">
      <c r="A2126" s="7" t="s">
        <v>168</v>
      </c>
      <c r="B2126" s="7" t="s">
        <v>463</v>
      </c>
      <c r="C2126" s="3">
        <v>116871</v>
      </c>
      <c r="D2126" s="3" t="s">
        <v>464</v>
      </c>
      <c r="E2126" s="4"/>
      <c r="F2126" s="3" t="s">
        <v>125</v>
      </c>
      <c r="G2126" s="9"/>
      <c r="H2126" s="12">
        <v>201</v>
      </c>
      <c r="I2126" s="12">
        <f>27+27</f>
        <v>54</v>
      </c>
      <c r="J2126" s="5" t="e">
        <f>SUM(SUMIFS(#REF!,#REF!,Planning[[#This Row],[Tipo de Tarea y especialidad]],#REF!,Planning[[#This Row],[Proyectos Reiwa]]),SUMIFS(#REF!,#REF!,Planning[[#This Row],[Tipo de Tarea y especialidad]],#REF!,Planning[[#This Row],[Proyectos]]))</f>
        <v>#REF!</v>
      </c>
      <c r="K2126" s="27" t="e">
        <f>Planning[[#This Row],[Horas Planificadas]]+Planning[[#This Row],[Horas ajustadas adicionales]]-Planning[[#This Row],[Horas utilizadas]]</f>
        <v>#REF!</v>
      </c>
      <c r="L2126" s="7">
        <v>21</v>
      </c>
      <c r="M2126" s="19" t="e">
        <f>Planning[[#This Row],[Saldo]]-Planning[[#This Row],[Saldo estimado]]</f>
        <v>#REF!</v>
      </c>
      <c r="N2126" s="60" t="e">
        <f>+SUMIFS(#REF!,#REF!,Planning[[#This Row],[Proyectos]],#REF!,Planning[[#This Row],[Tipo de Tarea y especialidad]])</f>
        <v>#REF!</v>
      </c>
      <c r="O2126" s="19">
        <f t="shared" si="66"/>
        <v>10</v>
      </c>
      <c r="P2126" s="19">
        <f t="shared" si="67"/>
        <v>2024</v>
      </c>
      <c r="Q21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26" s="19" t="str">
        <f>TEXT(Planning[[#This Row],[Mes]]*29,"mmmm")</f>
        <v>October</v>
      </c>
      <c r="S21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26" s="193"/>
      <c r="U2126" s="43" t="e">
        <f>IF(Planning[[#This Row],[Horas Planificadas]]&lt;&gt;0,+K2126/Planning[[#This Row],[Horas Planificadas]],0)</f>
        <v>#REF!</v>
      </c>
      <c r="V2126" s="43" t="e">
        <f>IF(Planning[[#This Row],[Horas Planificadas]]&lt;&gt;0,Planning[[#This Row],[Horas utilizadas]]/Planning[[#This Row],[Horas Planificadas]],0)</f>
        <v>#REF!</v>
      </c>
      <c r="W2126" s="44">
        <f>Planning[[#This Row],[Horas Planificadas]]+Planning[[#This Row],[Horas ajustadas adicionales]]</f>
        <v>255</v>
      </c>
      <c r="X2126" s="142"/>
    </row>
    <row r="2127" spans="1:24" x14ac:dyDescent="0.2">
      <c r="A2127" s="7" t="s">
        <v>168</v>
      </c>
      <c r="B2127" s="7" t="s">
        <v>463</v>
      </c>
      <c r="C2127" s="3">
        <v>116871</v>
      </c>
      <c r="D2127" s="3" t="s">
        <v>464</v>
      </c>
      <c r="E2127" s="4"/>
      <c r="F2127" s="3" t="s">
        <v>126</v>
      </c>
      <c r="G2127" s="9"/>
      <c r="H2127" s="9"/>
      <c r="I2127" s="12"/>
      <c r="J2127" s="5" t="e">
        <f>SUM(SUMIFS(#REF!,#REF!,Planning[[#This Row],[Tipo de Tarea y especialidad]],#REF!,Planning[[#This Row],[Proyectos Reiwa]]),SUMIFS(#REF!,#REF!,Planning[[#This Row],[Tipo de Tarea y especialidad]],#REF!,Planning[[#This Row],[Proyectos]]))</f>
        <v>#REF!</v>
      </c>
      <c r="K2127" s="5" t="e">
        <f>Planning[[#This Row],[Horas Planificadas]]+Planning[[#This Row],[Horas ajustadas adicionales]]-Planning[[#This Row],[Horas utilizadas]]</f>
        <v>#REF!</v>
      </c>
      <c r="L2127" s="7">
        <v>0</v>
      </c>
      <c r="M2127" s="19" t="e">
        <f>Planning[[#This Row],[Saldo]]-Planning[[#This Row],[Saldo estimado]]</f>
        <v>#REF!</v>
      </c>
      <c r="N2127" s="60" t="e">
        <f>+SUMIFS(#REF!,#REF!,Planning[[#This Row],[Proyectos]],#REF!,Planning[[#This Row],[Tipo de Tarea y especialidad]])</f>
        <v>#REF!</v>
      </c>
      <c r="O2127" s="19">
        <f t="shared" si="66"/>
        <v>10</v>
      </c>
      <c r="P2127" s="19">
        <f t="shared" si="67"/>
        <v>2024</v>
      </c>
      <c r="Q21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27" s="19" t="str">
        <f>TEXT(Planning[[#This Row],[Mes]]*29,"mmmm")</f>
        <v>October</v>
      </c>
      <c r="S21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27" s="193"/>
      <c r="U2127" s="43">
        <f>IF(Planning[[#This Row],[Horas Planificadas]]&lt;&gt;0,+K2127/Planning[[#This Row],[Horas Planificadas]],0)</f>
        <v>0</v>
      </c>
      <c r="V2127" s="43">
        <f>IF(Planning[[#This Row],[Horas Planificadas]]&lt;&gt;0,Planning[[#This Row],[Horas utilizadas]]/Planning[[#This Row],[Horas Planificadas]],0)</f>
        <v>0</v>
      </c>
      <c r="W2127" s="44">
        <f>Planning[[#This Row],[Horas Planificadas]]+Planning[[#This Row],[Horas ajustadas adicionales]]</f>
        <v>0</v>
      </c>
      <c r="X2127" s="142"/>
    </row>
    <row r="2128" spans="1:24" x14ac:dyDescent="0.2">
      <c r="A2128" s="7" t="s">
        <v>168</v>
      </c>
      <c r="B2128" s="7" t="s">
        <v>463</v>
      </c>
      <c r="C2128" s="3">
        <v>116871</v>
      </c>
      <c r="D2128" s="3" t="s">
        <v>464</v>
      </c>
      <c r="E2128" s="4"/>
      <c r="F2128" s="3" t="s">
        <v>127</v>
      </c>
      <c r="G2128" s="9"/>
      <c r="H2128" s="9">
        <v>203</v>
      </c>
      <c r="I2128" s="12">
        <f>36+27</f>
        <v>63</v>
      </c>
      <c r="J2128" s="5" t="e">
        <f>SUM(SUMIFS(#REF!,#REF!,Planning[[#This Row],[Tipo de Tarea y especialidad]],#REF!,Planning[[#This Row],[Proyectos Reiwa]]),SUMIFS(#REF!,#REF!,Planning[[#This Row],[Tipo de Tarea y especialidad]],#REF!,Planning[[#This Row],[Proyectos]]))</f>
        <v>#REF!</v>
      </c>
      <c r="K2128" s="5" t="e">
        <f>Planning[[#This Row],[Horas Planificadas]]+Planning[[#This Row],[Horas ajustadas adicionales]]-Planning[[#This Row],[Horas utilizadas]]</f>
        <v>#REF!</v>
      </c>
      <c r="L2128" s="7">
        <v>27</v>
      </c>
      <c r="M2128" s="19" t="e">
        <f>Planning[[#This Row],[Saldo]]-Planning[[#This Row],[Saldo estimado]]</f>
        <v>#REF!</v>
      </c>
      <c r="N2128" s="60" t="e">
        <f>+SUMIFS(#REF!,#REF!,Planning[[#This Row],[Proyectos]],#REF!,Planning[[#This Row],[Tipo de Tarea y especialidad]])</f>
        <v>#REF!</v>
      </c>
      <c r="O2128" s="19">
        <f t="shared" si="66"/>
        <v>10</v>
      </c>
      <c r="P2128" s="19">
        <f t="shared" si="67"/>
        <v>2024</v>
      </c>
      <c r="Q21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28" s="19" t="str">
        <f>TEXT(Planning[[#This Row],[Mes]]*29,"mmmm")</f>
        <v>October</v>
      </c>
      <c r="S21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28" s="193"/>
      <c r="U2128" s="43" t="e">
        <f>IF(Planning[[#This Row],[Horas Planificadas]]&lt;&gt;0,+K2128/Planning[[#This Row],[Horas Planificadas]],0)</f>
        <v>#REF!</v>
      </c>
      <c r="V2128" s="43" t="e">
        <f>IF(Planning[[#This Row],[Horas Planificadas]]&lt;&gt;0,Planning[[#This Row],[Horas utilizadas]]/Planning[[#This Row],[Horas Planificadas]],0)</f>
        <v>#REF!</v>
      </c>
      <c r="W2128" s="44">
        <f>Planning[[#This Row],[Horas Planificadas]]+Planning[[#This Row],[Horas ajustadas adicionales]]</f>
        <v>266</v>
      </c>
      <c r="X2128" s="142"/>
    </row>
    <row r="2129" spans="1:24" x14ac:dyDescent="0.2">
      <c r="A2129" s="7" t="s">
        <v>168</v>
      </c>
      <c r="B2129" s="7" t="s">
        <v>463</v>
      </c>
      <c r="C2129" s="3">
        <v>116871</v>
      </c>
      <c r="D2129" s="3" t="s">
        <v>464</v>
      </c>
      <c r="E2129" s="4"/>
      <c r="F2129" s="3" t="s">
        <v>128</v>
      </c>
      <c r="G2129" s="9"/>
      <c r="H2129" s="9">
        <v>54</v>
      </c>
      <c r="I2129" s="12">
        <v>10</v>
      </c>
      <c r="J2129" s="5" t="e">
        <f>SUM(SUMIFS(#REF!,#REF!,Planning[[#This Row],[Tipo de Tarea y especialidad]],#REF!,Planning[[#This Row],[Proyectos Reiwa]]),SUMIFS(#REF!,#REF!,Planning[[#This Row],[Tipo de Tarea y especialidad]],#REF!,Planning[[#This Row],[Proyectos]]))</f>
        <v>#REF!</v>
      </c>
      <c r="K2129" s="5" t="e">
        <f>Planning[[#This Row],[Horas Planificadas]]+Planning[[#This Row],[Horas ajustadas adicionales]]-Planning[[#This Row],[Horas utilizadas]]</f>
        <v>#REF!</v>
      </c>
      <c r="L2129" s="7">
        <v>10</v>
      </c>
      <c r="M2129" s="19" t="e">
        <f>Planning[[#This Row],[Saldo]]-Planning[[#This Row],[Saldo estimado]]</f>
        <v>#REF!</v>
      </c>
      <c r="N2129" s="60" t="e">
        <f>+SUMIFS(#REF!,#REF!,Planning[[#This Row],[Proyectos]],#REF!,Planning[[#This Row],[Tipo de Tarea y especialidad]])</f>
        <v>#REF!</v>
      </c>
      <c r="O2129" s="19">
        <f t="shared" si="66"/>
        <v>10</v>
      </c>
      <c r="P2129" s="19">
        <f t="shared" si="67"/>
        <v>2024</v>
      </c>
      <c r="Q21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29" s="19" t="str">
        <f>TEXT(Planning[[#This Row],[Mes]]*29,"mmmm")</f>
        <v>October</v>
      </c>
      <c r="S21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29" s="193"/>
      <c r="U2129" s="43" t="e">
        <f>IF(Planning[[#This Row],[Horas Planificadas]]&lt;&gt;0,+K2129/Planning[[#This Row],[Horas Planificadas]],0)</f>
        <v>#REF!</v>
      </c>
      <c r="V2129" s="43" t="e">
        <f>IF(Planning[[#This Row],[Horas Planificadas]]&lt;&gt;0,Planning[[#This Row],[Horas utilizadas]]/Planning[[#This Row],[Horas Planificadas]],0)</f>
        <v>#REF!</v>
      </c>
      <c r="W2129" s="44">
        <f>Planning[[#This Row],[Horas Planificadas]]+Planning[[#This Row],[Horas ajustadas adicionales]]</f>
        <v>64</v>
      </c>
      <c r="X2129" s="142"/>
    </row>
    <row r="2130" spans="1:24" x14ac:dyDescent="0.2">
      <c r="A2130" s="7" t="s">
        <v>168</v>
      </c>
      <c r="B2130" s="7" t="s">
        <v>463</v>
      </c>
      <c r="C2130" s="3">
        <v>116871</v>
      </c>
      <c r="D2130" s="3" t="s">
        <v>464</v>
      </c>
      <c r="E2130" s="4" t="s">
        <v>31</v>
      </c>
      <c r="F2130" s="3" t="s">
        <v>31</v>
      </c>
      <c r="G2130" s="9">
        <v>279</v>
      </c>
      <c r="H2130" s="17">
        <v>279</v>
      </c>
      <c r="I2130" s="18">
        <f>30+45+9</f>
        <v>84</v>
      </c>
      <c r="J2130" s="14" t="e">
        <f>+SUMIFS(#REF!,#REF!,Planning[[#This Row],[Tarifa]],#REF!,Planning[[#This Row],[Proyectos]])</f>
        <v>#REF!</v>
      </c>
      <c r="K2130" s="14" t="e">
        <f>Planning[[#This Row],[Horas Planificadas]]+Planning[[#This Row],[Horas ajustadas adicionales]]-Planning[[#This Row],[Horas utilizadas]]</f>
        <v>#REF!</v>
      </c>
      <c r="L2130" s="15">
        <v>92</v>
      </c>
      <c r="M2130" s="16" t="e">
        <f>Planning[[#This Row],[Saldo]]-Planning[[#This Row],[Saldo estimado]]</f>
        <v>#REF!</v>
      </c>
      <c r="N2130" s="60" t="e">
        <f>+SUMIFS(#REF!,#REF!,Planning[[#This Row],[Proyectos]],#REF!,Planning[[#This Row],[Tipo de Tarea y especialidad]])</f>
        <v>#REF!</v>
      </c>
      <c r="O2130" s="16">
        <f t="shared" si="66"/>
        <v>10</v>
      </c>
      <c r="P2130" s="16">
        <f t="shared" si="67"/>
        <v>2024</v>
      </c>
      <c r="Q2130" s="16" t="e">
        <f>+SUMIFS(#REF!,#REF!,Planning[[#This Row],[Tarifa]],#REF!,Planning[[#This Row],[Proyectos]],#REF!,Planning[[#This Row],[Mes]],#REF!,Planning[[#This Row],[Año]])</f>
        <v>#REF!</v>
      </c>
      <c r="R2130" s="16" t="str">
        <f>TEXT(Planning[[#This Row],[Mes]]*29,"mmmm")</f>
        <v>October</v>
      </c>
      <c r="S21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30" s="193"/>
      <c r="U2130" s="43" t="e">
        <f>IF(Planning[[#This Row],[Horas Planificadas]]&lt;&gt;0,+K2130/Planning[[#This Row],[Horas Planificadas]],0)</f>
        <v>#REF!</v>
      </c>
      <c r="V2130" s="43" t="e">
        <f>IF(Planning[[#This Row],[Horas Planificadas]]&lt;&gt;0,Planning[[#This Row],[Horas utilizadas]]/Planning[[#This Row],[Horas Planificadas]],0)</f>
        <v>#REF!</v>
      </c>
      <c r="W2130" s="44">
        <f>Planning[[#This Row],[Horas Planificadas]]+Planning[[#This Row],[Horas ajustadas adicionales]]</f>
        <v>363</v>
      </c>
      <c r="X2130" s="142"/>
    </row>
    <row r="2131" spans="1:24" ht="22.5" x14ac:dyDescent="0.2">
      <c r="A2131" s="7" t="s">
        <v>168</v>
      </c>
      <c r="B2131" s="7" t="s">
        <v>463</v>
      </c>
      <c r="C2131" s="3">
        <v>116871</v>
      </c>
      <c r="D2131" s="3" t="s">
        <v>464</v>
      </c>
      <c r="E2131" s="4" t="s">
        <v>32</v>
      </c>
      <c r="F2131" s="3"/>
      <c r="G2131" s="9">
        <v>542</v>
      </c>
      <c r="H2131" s="25">
        <f>SUM(H2132:H2134)</f>
        <v>315</v>
      </c>
      <c r="I2131" s="14"/>
      <c r="J2131" s="14" t="e">
        <f>SUM(J2132:J2134)</f>
        <v>#REF!</v>
      </c>
      <c r="K2131" s="18" t="e">
        <f>SUM(K2132:K2134)</f>
        <v>#REF!</v>
      </c>
      <c r="L2131" s="15" t="e">
        <f>SUM(L2132:L2134)</f>
        <v>#REF!</v>
      </c>
      <c r="M2131" s="16" t="e">
        <f>SUM(M2132:M2134)</f>
        <v>#REF!</v>
      </c>
      <c r="N2131" s="60" t="e">
        <f>+SUMIFS(#REF!,#REF!,Planning[[#This Row],[Proyectos]],#REF!,Planning[[#This Row],[Tipo de Tarea y especialidad]])</f>
        <v>#REF!</v>
      </c>
      <c r="O2131" s="16">
        <f t="shared" si="66"/>
        <v>10</v>
      </c>
      <c r="P2131" s="16">
        <f t="shared" si="67"/>
        <v>2024</v>
      </c>
      <c r="Q2131" s="16" t="e">
        <f>SUM(Q2132:Q2134)</f>
        <v>#REF!</v>
      </c>
      <c r="R2131" s="16" t="str">
        <f>TEXT(Planning[[#This Row],[Mes]]*29,"mmmm")</f>
        <v>October</v>
      </c>
      <c r="S21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31" s="193"/>
      <c r="U2131" s="43" t="e">
        <f>IF(Planning[[#This Row],[Horas Planificadas]]&lt;&gt;0,+K2131/Planning[[#This Row],[Horas Planificadas]],0)</f>
        <v>#REF!</v>
      </c>
      <c r="V2131" s="43" t="e">
        <f>IF(Planning[[#This Row],[Horas Planificadas]]&lt;&gt;0,Planning[[#This Row],[Horas utilizadas]]/Planning[[#This Row],[Horas Planificadas]],0)</f>
        <v>#REF!</v>
      </c>
      <c r="W2131" s="44">
        <f>Planning[[#This Row],[Horas Planificadas]]+Planning[[#This Row],[Horas ajustadas adicionales]]</f>
        <v>315</v>
      </c>
      <c r="X2131" s="142"/>
    </row>
    <row r="2132" spans="1:24" x14ac:dyDescent="0.2">
      <c r="A2132" s="7" t="s">
        <v>168</v>
      </c>
      <c r="B2132" s="7" t="s">
        <v>463</v>
      </c>
      <c r="C2132" s="3">
        <v>116871</v>
      </c>
      <c r="D2132" s="3" t="s">
        <v>464</v>
      </c>
      <c r="E2132" s="4"/>
      <c r="F2132" s="3" t="s">
        <v>129</v>
      </c>
      <c r="G2132" s="9"/>
      <c r="H2132" s="9"/>
      <c r="I2132" s="12">
        <v>50</v>
      </c>
      <c r="J2132" s="5" t="e">
        <f>SUM(SUMIFS(#REF!,#REF!,Planning[[#This Row],[Tipo de Tarea y especialidad]],#REF!,Planning[[#This Row],[Proyectos Reiwa]]),SUMIFS(#REF!,#REF!,Planning[[#This Row],[Tipo de Tarea y especialidad]],#REF!,Planning[[#This Row],[Proyectos]]))</f>
        <v>#REF!</v>
      </c>
      <c r="K2132" s="5" t="e">
        <f>Planning[[#This Row],[Horas Planificadas]]+Planning[[#This Row],[Horas ajustadas adicionales]]-Planning[[#This Row],[Horas utilizadas]]</f>
        <v>#REF!</v>
      </c>
      <c r="L2132" s="7" t="e">
        <f>Planning[[#This Row],[Saldo]]</f>
        <v>#REF!</v>
      </c>
      <c r="M2132" s="19" t="e">
        <f>Planning[[#This Row],[Saldo]]-Planning[[#This Row],[Saldo estimado]]</f>
        <v>#REF!</v>
      </c>
      <c r="N2132" s="60" t="e">
        <f>+SUMIFS(#REF!,#REF!,Planning[[#This Row],[Proyectos]],#REF!,Planning[[#This Row],[Tipo de Tarea y especialidad]])</f>
        <v>#REF!</v>
      </c>
      <c r="O2132" s="19">
        <f t="shared" si="66"/>
        <v>10</v>
      </c>
      <c r="P2132" s="19">
        <f t="shared" si="67"/>
        <v>2024</v>
      </c>
      <c r="Q21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32" s="19" t="str">
        <f>TEXT(Planning[[#This Row],[Mes]]*29,"mmmm")</f>
        <v>October</v>
      </c>
      <c r="S21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32" s="193"/>
      <c r="U2132" s="43">
        <f>IF(Planning[[#This Row],[Horas Planificadas]]&lt;&gt;0,+K2132/Planning[[#This Row],[Horas Planificadas]],0)</f>
        <v>0</v>
      </c>
      <c r="V2132" s="43">
        <f>IF(Planning[[#This Row],[Horas Planificadas]]&lt;&gt;0,Planning[[#This Row],[Horas utilizadas]]/Planning[[#This Row],[Horas Planificadas]],0)</f>
        <v>0</v>
      </c>
      <c r="W2132" s="44">
        <f>Planning[[#This Row],[Horas Planificadas]]+Planning[[#This Row],[Horas ajustadas adicionales]]</f>
        <v>50</v>
      </c>
      <c r="X2132" s="142"/>
    </row>
    <row r="2133" spans="1:24" x14ac:dyDescent="0.2">
      <c r="A2133" s="7" t="s">
        <v>168</v>
      </c>
      <c r="B2133" s="7" t="s">
        <v>463</v>
      </c>
      <c r="C2133" s="3">
        <v>116871</v>
      </c>
      <c r="D2133" s="3" t="s">
        <v>464</v>
      </c>
      <c r="E2133" s="4"/>
      <c r="F2133" s="3" t="s">
        <v>130</v>
      </c>
      <c r="G2133" s="9"/>
      <c r="H2133" s="9">
        <v>189</v>
      </c>
      <c r="I2133" s="12">
        <f>30+60</f>
        <v>90</v>
      </c>
      <c r="J2133" s="5" t="e">
        <f>SUM(SUMIFS(#REF!,#REF!,Planning[[#This Row],[Tipo de Tarea y especialidad]],#REF!,Planning[[#This Row],[Proyectos Reiwa]]),SUMIFS(#REF!,#REF!,Planning[[#This Row],[Tipo de Tarea y especialidad]],#REF!,Planning[[#This Row],[Proyectos]]))</f>
        <v>#REF!</v>
      </c>
      <c r="K2133" s="5" t="e">
        <f>Planning[[#This Row],[Horas Planificadas]]+Planning[[#This Row],[Horas ajustadas adicionales]]-Planning[[#This Row],[Horas utilizadas]]</f>
        <v>#REF!</v>
      </c>
      <c r="L2133" s="7" t="e">
        <f>Planning[[#This Row],[Saldo]]</f>
        <v>#REF!</v>
      </c>
      <c r="M2133" s="19" t="e">
        <f>Planning[[#This Row],[Saldo]]-Planning[[#This Row],[Saldo estimado]]</f>
        <v>#REF!</v>
      </c>
      <c r="N2133" s="60" t="e">
        <f>+SUMIFS(#REF!,#REF!,Planning[[#This Row],[Proyectos]],#REF!,Planning[[#This Row],[Tipo de Tarea y especialidad]])</f>
        <v>#REF!</v>
      </c>
      <c r="O2133" s="19">
        <f t="shared" si="66"/>
        <v>10</v>
      </c>
      <c r="P2133" s="19">
        <f t="shared" si="67"/>
        <v>2024</v>
      </c>
      <c r="Q21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33" s="19" t="str">
        <f>TEXT(Planning[[#This Row],[Mes]]*29,"mmmm")</f>
        <v>October</v>
      </c>
      <c r="S21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33" s="193"/>
      <c r="U2133" s="43" t="e">
        <f>IF(Planning[[#This Row],[Horas Planificadas]]&lt;&gt;0,+K2133/Planning[[#This Row],[Horas Planificadas]],0)</f>
        <v>#REF!</v>
      </c>
      <c r="V2133" s="43" t="e">
        <f>IF(Planning[[#This Row],[Horas Planificadas]]&lt;&gt;0,Planning[[#This Row],[Horas utilizadas]]/Planning[[#This Row],[Horas Planificadas]],0)</f>
        <v>#REF!</v>
      </c>
      <c r="W2133" s="44">
        <f>Planning[[#This Row],[Horas Planificadas]]+Planning[[#This Row],[Horas ajustadas adicionales]]</f>
        <v>279</v>
      </c>
      <c r="X2133" s="142"/>
    </row>
    <row r="2134" spans="1:24" x14ac:dyDescent="0.2">
      <c r="A2134" s="7" t="s">
        <v>168</v>
      </c>
      <c r="B2134" s="7" t="s">
        <v>463</v>
      </c>
      <c r="C2134" s="3">
        <v>116871</v>
      </c>
      <c r="D2134" s="3" t="s">
        <v>464</v>
      </c>
      <c r="E2134" s="4"/>
      <c r="F2134" s="3" t="s">
        <v>131</v>
      </c>
      <c r="G2134" s="9"/>
      <c r="H2134" s="9">
        <v>126</v>
      </c>
      <c r="I2134" s="12">
        <v>32</v>
      </c>
      <c r="J2134" s="5" t="e">
        <f>SUM(SUMIFS(#REF!,#REF!,Planning[[#This Row],[Tipo de Tarea y especialidad]],#REF!,Planning[[#This Row],[Proyectos Reiwa]]),SUMIFS(#REF!,#REF!,Planning[[#This Row],[Tipo de Tarea y especialidad]],#REF!,Planning[[#This Row],[Proyectos]]))</f>
        <v>#REF!</v>
      </c>
      <c r="K2134" s="5" t="e">
        <f>Planning[[#This Row],[Horas Planificadas]]+Planning[[#This Row],[Horas ajustadas adicionales]]-Planning[[#This Row],[Horas utilizadas]]</f>
        <v>#REF!</v>
      </c>
      <c r="L2134" s="7" t="e">
        <f>Planning[[#This Row],[Saldo]]</f>
        <v>#REF!</v>
      </c>
      <c r="M2134" s="19" t="e">
        <f>Planning[[#This Row],[Saldo]]-Planning[[#This Row],[Saldo estimado]]</f>
        <v>#REF!</v>
      </c>
      <c r="N2134" s="60" t="e">
        <f>+SUMIFS(#REF!,#REF!,Planning[[#This Row],[Proyectos]],#REF!,Planning[[#This Row],[Tipo de Tarea y especialidad]])</f>
        <v>#REF!</v>
      </c>
      <c r="O2134" s="19">
        <f t="shared" si="66"/>
        <v>10</v>
      </c>
      <c r="P2134" s="19">
        <f t="shared" si="67"/>
        <v>2024</v>
      </c>
      <c r="Q21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34" s="19" t="str">
        <f>TEXT(Planning[[#This Row],[Mes]]*29,"mmmm")</f>
        <v>October</v>
      </c>
      <c r="S21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34" s="193"/>
      <c r="U2134" s="43" t="e">
        <f>IF(Planning[[#This Row],[Horas Planificadas]]&lt;&gt;0,+K2134/Planning[[#This Row],[Horas Planificadas]],0)</f>
        <v>#REF!</v>
      </c>
      <c r="V2134" s="43" t="e">
        <f>IF(Planning[[#This Row],[Horas Planificadas]]&lt;&gt;0,Planning[[#This Row],[Horas utilizadas]]/Planning[[#This Row],[Horas Planificadas]],0)</f>
        <v>#REF!</v>
      </c>
      <c r="W2134" s="44">
        <f>Planning[[#This Row],[Horas Planificadas]]+Planning[[#This Row],[Horas ajustadas adicionales]]</f>
        <v>158</v>
      </c>
      <c r="X2134" s="142"/>
    </row>
    <row r="2135" spans="1:24" ht="22.5" x14ac:dyDescent="0.2">
      <c r="A2135" s="7" t="s">
        <v>389</v>
      </c>
      <c r="B2135" s="7" t="s">
        <v>178</v>
      </c>
      <c r="C2135" s="3"/>
      <c r="D2135" s="3" t="s">
        <v>466</v>
      </c>
      <c r="E2135" s="4" t="s">
        <v>28</v>
      </c>
      <c r="F2135" s="3"/>
      <c r="G2135" s="9">
        <v>406</v>
      </c>
      <c r="H2135" s="14">
        <f>SUM(H2136:H2137)</f>
        <v>439</v>
      </c>
      <c r="I2135" s="14"/>
      <c r="J2135" s="14" t="e">
        <f>SUM(J2136:J2137)</f>
        <v>#REF!</v>
      </c>
      <c r="K2135" s="15" t="e">
        <f>SUM(K2136:K2137)</f>
        <v>#REF!</v>
      </c>
      <c r="L2135" s="15">
        <f>SUM(L2136:L2137)</f>
        <v>0</v>
      </c>
      <c r="M2135" s="28" t="e">
        <f>SUM(M2136:M2137)</f>
        <v>#REF!</v>
      </c>
      <c r="N2135" s="61" t="e">
        <f>+SUMIFS(#REF!,#REF!,Planning[[#This Row],[Proyectos]],#REF!,Planning[[#This Row],[Tipo de Tarea y especialidad]])</f>
        <v>#REF!</v>
      </c>
      <c r="O2135" s="28">
        <f t="shared" si="66"/>
        <v>10</v>
      </c>
      <c r="P2135" s="28">
        <f t="shared" si="67"/>
        <v>2024</v>
      </c>
      <c r="Q2135" s="28" t="e">
        <f>SUM(Q2136:Q2137)</f>
        <v>#REF!</v>
      </c>
      <c r="R2135" s="28" t="str">
        <f>TEXT(Planning[[#This Row],[Mes]]*29,"mmmm")</f>
        <v>October</v>
      </c>
      <c r="S21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35" s="192" t="s">
        <v>467</v>
      </c>
      <c r="U2135" s="43" t="e">
        <f>IF(Planning[[#This Row],[Horas Planificadas]]&lt;&gt;0,+K2135/Planning[[#This Row],[Horas Planificadas]],0)</f>
        <v>#REF!</v>
      </c>
      <c r="V2135" s="43" t="e">
        <f>IF(Planning[[#This Row],[Horas Planificadas]]&lt;&gt;0,Planning[[#This Row],[Horas utilizadas]]/Planning[[#This Row],[Horas Planificadas]],0)</f>
        <v>#REF!</v>
      </c>
      <c r="W2135" s="44">
        <f>Planning[[#This Row],[Horas Planificadas]]+Planning[[#This Row],[Horas ajustadas adicionales]]</f>
        <v>439</v>
      </c>
      <c r="X2135" s="142"/>
    </row>
    <row r="2136" spans="1:24" x14ac:dyDescent="0.2">
      <c r="A2136" s="7" t="s">
        <v>389</v>
      </c>
      <c r="B2136" s="7" t="s">
        <v>178</v>
      </c>
      <c r="C2136" s="3"/>
      <c r="D2136" s="3" t="s">
        <v>466</v>
      </c>
      <c r="E2136" s="4"/>
      <c r="F2136" s="3" t="s">
        <v>120</v>
      </c>
      <c r="G2136" s="9"/>
      <c r="H2136" s="9">
        <v>370</v>
      </c>
      <c r="I2136" s="12"/>
      <c r="J2136" s="5" t="e">
        <f>SUM(SUMIFS(#REF!,#REF!,Planning[[#This Row],[Tipo de Tarea y especialidad]],#REF!,Planning[[#This Row],[Proyectos Reiwa]]),SUMIFS(#REF!,#REF!,Planning[[#This Row],[Tipo de Tarea y especialidad]],#REF!,Planning[[#This Row],[Proyectos]]))</f>
        <v>#REF!</v>
      </c>
      <c r="K2136" s="5" t="e">
        <f>Planning[[#This Row],[Horas Planificadas]]+Planning[[#This Row],[Horas ajustadas adicionales]]-Planning[[#This Row],[Horas utilizadas]]</f>
        <v>#REF!</v>
      </c>
      <c r="L2136" s="7">
        <v>0</v>
      </c>
      <c r="M2136" s="19" t="e">
        <f>Planning[[#This Row],[Saldo]]-Planning[[#This Row],[Saldo estimado]]</f>
        <v>#REF!</v>
      </c>
      <c r="N2136" s="60" t="e">
        <f>+SUMIFS(#REF!,#REF!,Planning[[#This Row],[Proyectos]],#REF!,Planning[[#This Row],[Tipo de Tarea y especialidad]])</f>
        <v>#REF!</v>
      </c>
      <c r="O2136" s="19">
        <f t="shared" si="66"/>
        <v>10</v>
      </c>
      <c r="P2136" s="19">
        <f t="shared" si="67"/>
        <v>2024</v>
      </c>
      <c r="Q21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36" s="19" t="str">
        <f>TEXT(Planning[[#This Row],[Mes]]*29,"mmmm")</f>
        <v>October</v>
      </c>
      <c r="S21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36" s="193"/>
      <c r="U2136" s="43" t="e">
        <f>IF(Planning[[#This Row],[Horas Planificadas]]&lt;&gt;0,+K2136/Planning[[#This Row],[Horas Planificadas]],0)</f>
        <v>#REF!</v>
      </c>
      <c r="V2136" s="43" t="e">
        <f>IF(Planning[[#This Row],[Horas Planificadas]]&lt;&gt;0,Planning[[#This Row],[Horas utilizadas]]/Planning[[#This Row],[Horas Planificadas]],0)</f>
        <v>#REF!</v>
      </c>
      <c r="W2136" s="44">
        <f>Planning[[#This Row],[Horas Planificadas]]+Planning[[#This Row],[Horas ajustadas adicionales]]</f>
        <v>370</v>
      </c>
      <c r="X2136" s="142"/>
    </row>
    <row r="2137" spans="1:24" x14ac:dyDescent="0.2">
      <c r="A2137" s="7" t="s">
        <v>389</v>
      </c>
      <c r="B2137" s="7" t="s">
        <v>178</v>
      </c>
      <c r="C2137" s="3"/>
      <c r="D2137" s="3" t="s">
        <v>466</v>
      </c>
      <c r="E2137" s="4"/>
      <c r="F2137" s="3" t="s">
        <v>121</v>
      </c>
      <c r="G2137" s="9"/>
      <c r="H2137" s="9">
        <v>69</v>
      </c>
      <c r="I2137" s="12"/>
      <c r="J2137" s="5" t="e">
        <f>SUM(SUMIFS(#REF!,#REF!,Planning[[#This Row],[Tipo de Tarea y especialidad]],#REF!,Planning[[#This Row],[Proyectos Reiwa]]),SUMIFS(#REF!,#REF!,Planning[[#This Row],[Tipo de Tarea y especialidad]],#REF!,Planning[[#This Row],[Proyectos]]))</f>
        <v>#REF!</v>
      </c>
      <c r="K2137" s="5" t="e">
        <f>Planning[[#This Row],[Horas Planificadas]]+Planning[[#This Row],[Horas ajustadas adicionales]]-Planning[[#This Row],[Horas utilizadas]]</f>
        <v>#REF!</v>
      </c>
      <c r="L2137" s="7">
        <v>0</v>
      </c>
      <c r="M2137" s="19" t="e">
        <f>Planning[[#This Row],[Saldo]]-Planning[[#This Row],[Saldo estimado]]</f>
        <v>#REF!</v>
      </c>
      <c r="N2137" s="60" t="e">
        <f>+SUMIFS(#REF!,#REF!,Planning[[#This Row],[Proyectos]],#REF!,Planning[[#This Row],[Tipo de Tarea y especialidad]])</f>
        <v>#REF!</v>
      </c>
      <c r="O2137" s="19">
        <f t="shared" si="66"/>
        <v>10</v>
      </c>
      <c r="P2137" s="19">
        <f t="shared" si="67"/>
        <v>2024</v>
      </c>
      <c r="Q21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37" s="19" t="str">
        <f>TEXT(Planning[[#This Row],[Mes]]*29,"mmmm")</f>
        <v>October</v>
      </c>
      <c r="S21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37" s="193"/>
      <c r="U2137" s="43" t="e">
        <f>IF(Planning[[#This Row],[Horas Planificadas]]&lt;&gt;0,+K2137/Planning[[#This Row],[Horas Planificadas]],0)</f>
        <v>#REF!</v>
      </c>
      <c r="V2137" s="43" t="e">
        <f>IF(Planning[[#This Row],[Horas Planificadas]]&lt;&gt;0,Planning[[#This Row],[Horas utilizadas]]/Planning[[#This Row],[Horas Planificadas]],0)</f>
        <v>#REF!</v>
      </c>
      <c r="W2137" s="44">
        <f>Planning[[#This Row],[Horas Planificadas]]+Planning[[#This Row],[Horas ajustadas adicionales]]</f>
        <v>69</v>
      </c>
      <c r="X2137" s="142"/>
    </row>
    <row r="2138" spans="1:24" x14ac:dyDescent="0.2">
      <c r="A2138" s="7" t="s">
        <v>389</v>
      </c>
      <c r="B2138" s="7" t="s">
        <v>178</v>
      </c>
      <c r="C2138" s="3"/>
      <c r="D2138" s="3" t="s">
        <v>466</v>
      </c>
      <c r="E2138" s="4" t="s">
        <v>30</v>
      </c>
      <c r="F2138" s="3"/>
      <c r="G2138" s="9">
        <v>451</v>
      </c>
      <c r="H2138" s="25">
        <f>SUM(H2139:H2145)</f>
        <v>766</v>
      </c>
      <c r="I2138" s="14"/>
      <c r="J2138" s="14" t="e">
        <f>SUM(J2139:J2145)</f>
        <v>#REF!</v>
      </c>
      <c r="K2138" s="18" t="e">
        <f>SUM(K2139:K2145)</f>
        <v>#REF!</v>
      </c>
      <c r="L2138" s="15">
        <f>SUM(L2139:L2145)</f>
        <v>0</v>
      </c>
      <c r="M2138" s="16" t="e">
        <f>SUM(M2139:M2145)</f>
        <v>#REF!</v>
      </c>
      <c r="N2138" s="60" t="e">
        <f>+SUMIFS(#REF!,#REF!,Planning[[#This Row],[Proyectos]],#REF!,Planning[[#This Row],[Tipo de Tarea y especialidad]])</f>
        <v>#REF!</v>
      </c>
      <c r="O2138" s="16">
        <f t="shared" si="66"/>
        <v>10</v>
      </c>
      <c r="P2138" s="16">
        <f t="shared" si="67"/>
        <v>2024</v>
      </c>
      <c r="Q2138" s="16" t="e">
        <f>SUM(Q2139:Q2145)</f>
        <v>#REF!</v>
      </c>
      <c r="R2138" s="16" t="str">
        <f>TEXT(Planning[[#This Row],[Mes]]*29,"mmmm")</f>
        <v>October</v>
      </c>
      <c r="S21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38" s="193"/>
      <c r="U2138" s="43" t="e">
        <f>IF(Planning[[#This Row],[Horas Planificadas]]&lt;&gt;0,+K2138/Planning[[#This Row],[Horas Planificadas]],0)</f>
        <v>#REF!</v>
      </c>
      <c r="V2138" s="43" t="e">
        <f>IF(Planning[[#This Row],[Horas Planificadas]]&lt;&gt;0,Planning[[#This Row],[Horas utilizadas]]/Planning[[#This Row],[Horas Planificadas]],0)</f>
        <v>#REF!</v>
      </c>
      <c r="W2138" s="44">
        <f>Planning[[#This Row],[Horas Planificadas]]+Planning[[#This Row],[Horas ajustadas adicionales]]</f>
        <v>766</v>
      </c>
      <c r="X2138" s="142"/>
    </row>
    <row r="2139" spans="1:24" x14ac:dyDescent="0.2">
      <c r="A2139" s="7" t="s">
        <v>389</v>
      </c>
      <c r="B2139" s="7" t="s">
        <v>178</v>
      </c>
      <c r="C2139" s="3"/>
      <c r="D2139" s="3" t="s">
        <v>466</v>
      </c>
      <c r="E2139" s="33"/>
      <c r="F2139" s="33" t="s">
        <v>122</v>
      </c>
      <c r="G2139" s="7"/>
      <c r="H2139" s="7">
        <v>369</v>
      </c>
      <c r="I2139" s="12"/>
      <c r="J2139" s="5" t="e">
        <f>SUM(SUMIFS(#REF!,#REF!,Planning[[#This Row],[Tipo de Tarea y especialidad]],#REF!,Planning[[#This Row],[Proyectos Reiwa]]),SUMIFS(#REF!,#REF!,Planning[[#This Row],[Tipo de Tarea y especialidad]],#REF!,Planning[[#This Row],[Proyectos]]))</f>
        <v>#REF!</v>
      </c>
      <c r="K2139" s="5" t="e">
        <f>Planning[[#This Row],[Horas Planificadas]]+Planning[[#This Row],[Horas ajustadas adicionales]]-Planning[[#This Row],[Horas utilizadas]]</f>
        <v>#REF!</v>
      </c>
      <c r="L2139" s="7">
        <v>0</v>
      </c>
      <c r="M2139" s="19" t="e">
        <f>Planning[[#This Row],[Saldo]]-Planning[[#This Row],[Saldo estimado]]</f>
        <v>#REF!</v>
      </c>
      <c r="N2139" s="60" t="e">
        <f>+SUMIFS(#REF!,#REF!,Planning[[#This Row],[Proyectos]],#REF!,Planning[[#This Row],[Tipo de Tarea y especialidad]])</f>
        <v>#REF!</v>
      </c>
      <c r="O2139" s="19">
        <f t="shared" si="66"/>
        <v>10</v>
      </c>
      <c r="P2139" s="19">
        <f t="shared" si="67"/>
        <v>2024</v>
      </c>
      <c r="Q21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39" s="19" t="str">
        <f>TEXT(Planning[[#This Row],[Mes]]*29,"mmmm")</f>
        <v>October</v>
      </c>
      <c r="S21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39" s="193"/>
      <c r="U2139" s="43" t="e">
        <f>IF(Planning[[#This Row],[Horas Planificadas]]&lt;&gt;0,+K2139/Planning[[#This Row],[Horas Planificadas]],0)</f>
        <v>#REF!</v>
      </c>
      <c r="V2139" s="43" t="e">
        <f>IF(Planning[[#This Row],[Horas Planificadas]]&lt;&gt;0,Planning[[#This Row],[Horas utilizadas]]/Planning[[#This Row],[Horas Planificadas]],0)</f>
        <v>#REF!</v>
      </c>
      <c r="W2139" s="44">
        <f>Planning[[#This Row],[Horas Planificadas]]+Planning[[#This Row],[Horas ajustadas adicionales]]</f>
        <v>369</v>
      </c>
      <c r="X2139" s="142"/>
    </row>
    <row r="2140" spans="1:24" x14ac:dyDescent="0.2">
      <c r="A2140" s="7" t="s">
        <v>389</v>
      </c>
      <c r="B2140" s="7" t="s">
        <v>178</v>
      </c>
      <c r="C2140" s="3"/>
      <c r="D2140" s="3" t="s">
        <v>466</v>
      </c>
      <c r="E2140" s="33"/>
      <c r="F2140" s="33" t="s">
        <v>123</v>
      </c>
      <c r="G2140" s="7"/>
      <c r="H2140" s="7">
        <v>81</v>
      </c>
      <c r="I2140" s="12"/>
      <c r="J2140" s="5" t="e">
        <f>SUM(SUMIFS(#REF!,#REF!,Planning[[#This Row],[Tipo de Tarea y especialidad]],#REF!,Planning[[#This Row],[Proyectos Reiwa]]),SUMIFS(#REF!,#REF!,Planning[[#This Row],[Tipo de Tarea y especialidad]],#REF!,Planning[[#This Row],[Proyectos]]))</f>
        <v>#REF!</v>
      </c>
      <c r="K2140" s="5" t="e">
        <f>Planning[[#This Row],[Horas Planificadas]]+Planning[[#This Row],[Horas ajustadas adicionales]]-Planning[[#This Row],[Horas utilizadas]]</f>
        <v>#REF!</v>
      </c>
      <c r="L2140" s="7">
        <v>0</v>
      </c>
      <c r="M2140" s="19" t="e">
        <f>Planning[[#This Row],[Saldo]]-Planning[[#This Row],[Saldo estimado]]</f>
        <v>#REF!</v>
      </c>
      <c r="N2140" s="60" t="e">
        <f>+SUMIFS(#REF!,#REF!,Planning[[#This Row],[Proyectos]],#REF!,Planning[[#This Row],[Tipo de Tarea y especialidad]])</f>
        <v>#REF!</v>
      </c>
      <c r="O2140" s="19">
        <f t="shared" si="66"/>
        <v>10</v>
      </c>
      <c r="P2140" s="19">
        <f t="shared" si="67"/>
        <v>2024</v>
      </c>
      <c r="Q21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40" s="19" t="str">
        <f>TEXT(Planning[[#This Row],[Mes]]*29,"mmmm")</f>
        <v>October</v>
      </c>
      <c r="S21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40" s="193"/>
      <c r="U2140" s="43" t="e">
        <f>IF(Planning[[#This Row],[Horas Planificadas]]&lt;&gt;0,+K2140/Planning[[#This Row],[Horas Planificadas]],0)</f>
        <v>#REF!</v>
      </c>
      <c r="V2140" s="43" t="e">
        <f>IF(Planning[[#This Row],[Horas Planificadas]]&lt;&gt;0,Planning[[#This Row],[Horas utilizadas]]/Planning[[#This Row],[Horas Planificadas]],0)</f>
        <v>#REF!</v>
      </c>
      <c r="W2140" s="44">
        <f>Planning[[#This Row],[Horas Planificadas]]+Planning[[#This Row],[Horas ajustadas adicionales]]</f>
        <v>81</v>
      </c>
      <c r="X2140" s="142"/>
    </row>
    <row r="2141" spans="1:24" x14ac:dyDescent="0.2">
      <c r="A2141" s="7" t="s">
        <v>389</v>
      </c>
      <c r="B2141" s="7" t="s">
        <v>178</v>
      </c>
      <c r="C2141" s="3"/>
      <c r="D2141" s="3" t="s">
        <v>466</v>
      </c>
      <c r="E2141" s="33"/>
      <c r="F2141" s="33" t="s">
        <v>124</v>
      </c>
      <c r="G2141" s="7"/>
      <c r="H2141" s="7">
        <v>100</v>
      </c>
      <c r="I2141" s="12"/>
      <c r="J2141" s="5" t="e">
        <f>SUM(SUMIFS(#REF!,#REF!,Planning[[#This Row],[Tipo de Tarea y especialidad]],#REF!,Planning[[#This Row],[Proyectos Reiwa]]),SUMIFS(#REF!,#REF!,Planning[[#This Row],[Tipo de Tarea y especialidad]],#REF!,Planning[[#This Row],[Proyectos]]))</f>
        <v>#REF!</v>
      </c>
      <c r="K2141" s="5" t="e">
        <f>Planning[[#This Row],[Horas Planificadas]]+Planning[[#This Row],[Horas ajustadas adicionales]]-Planning[[#This Row],[Horas utilizadas]]</f>
        <v>#REF!</v>
      </c>
      <c r="L2141" s="7">
        <v>0</v>
      </c>
      <c r="M2141" s="19" t="e">
        <f>Planning[[#This Row],[Saldo]]-Planning[[#This Row],[Saldo estimado]]</f>
        <v>#REF!</v>
      </c>
      <c r="N2141" s="60" t="e">
        <f>+SUMIFS(#REF!,#REF!,Planning[[#This Row],[Proyectos]],#REF!,Planning[[#This Row],[Tipo de Tarea y especialidad]])</f>
        <v>#REF!</v>
      </c>
      <c r="O2141" s="19">
        <f t="shared" si="66"/>
        <v>10</v>
      </c>
      <c r="P2141" s="19">
        <f t="shared" si="67"/>
        <v>2024</v>
      </c>
      <c r="Q21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41" s="19" t="str">
        <f>TEXT(Planning[[#This Row],[Mes]]*29,"mmmm")</f>
        <v>October</v>
      </c>
      <c r="S21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41" s="193"/>
      <c r="U2141" s="43" t="e">
        <f>IF(Planning[[#This Row],[Horas Planificadas]]&lt;&gt;0,+K2141/Planning[[#This Row],[Horas Planificadas]],0)</f>
        <v>#REF!</v>
      </c>
      <c r="V2141" s="43" t="e">
        <f>IF(Planning[[#This Row],[Horas Planificadas]]&lt;&gt;0,Planning[[#This Row],[Horas utilizadas]]/Planning[[#This Row],[Horas Planificadas]],0)</f>
        <v>#REF!</v>
      </c>
      <c r="W2141" s="44">
        <f>Planning[[#This Row],[Horas Planificadas]]+Planning[[#This Row],[Horas ajustadas adicionales]]</f>
        <v>100</v>
      </c>
      <c r="X2141" s="142"/>
    </row>
    <row r="2142" spans="1:24" x14ac:dyDescent="0.2">
      <c r="A2142" s="7" t="s">
        <v>389</v>
      </c>
      <c r="B2142" s="7" t="s">
        <v>178</v>
      </c>
      <c r="C2142" s="3"/>
      <c r="D2142" s="3" t="s">
        <v>466</v>
      </c>
      <c r="E2142" s="33"/>
      <c r="F2142" s="33" t="s">
        <v>125</v>
      </c>
      <c r="G2142" s="7"/>
      <c r="H2142" s="7"/>
      <c r="I2142" s="12"/>
      <c r="J2142" s="5" t="e">
        <f>SUM(SUMIFS(#REF!,#REF!,Planning[[#This Row],[Tipo de Tarea y especialidad]],#REF!,Planning[[#This Row],[Proyectos Reiwa]]),SUMIFS(#REF!,#REF!,Planning[[#This Row],[Tipo de Tarea y especialidad]],#REF!,Planning[[#This Row],[Proyectos]]))</f>
        <v>#REF!</v>
      </c>
      <c r="K2142" s="5" t="e">
        <f>Planning[[#This Row],[Horas Planificadas]]+Planning[[#This Row],[Horas ajustadas adicionales]]-Planning[[#This Row],[Horas utilizadas]]</f>
        <v>#REF!</v>
      </c>
      <c r="L2142" s="7">
        <v>0</v>
      </c>
      <c r="M2142" s="19" t="e">
        <f>Planning[[#This Row],[Saldo]]-Planning[[#This Row],[Saldo estimado]]</f>
        <v>#REF!</v>
      </c>
      <c r="N2142" s="60" t="e">
        <f>+SUMIFS(#REF!,#REF!,Planning[[#This Row],[Proyectos]],#REF!,Planning[[#This Row],[Tipo de Tarea y especialidad]])</f>
        <v>#REF!</v>
      </c>
      <c r="O2142" s="19">
        <f t="shared" si="66"/>
        <v>10</v>
      </c>
      <c r="P2142" s="19">
        <f t="shared" si="67"/>
        <v>2024</v>
      </c>
      <c r="Q21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42" s="19" t="str">
        <f>TEXT(Planning[[#This Row],[Mes]]*29,"mmmm")</f>
        <v>October</v>
      </c>
      <c r="S21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42" s="193"/>
      <c r="U2142" s="43">
        <f>IF(Planning[[#This Row],[Horas Planificadas]]&lt;&gt;0,+K2142/Planning[[#This Row],[Horas Planificadas]],0)</f>
        <v>0</v>
      </c>
      <c r="V2142" s="43">
        <f>IF(Planning[[#This Row],[Horas Planificadas]]&lt;&gt;0,Planning[[#This Row],[Horas utilizadas]]/Planning[[#This Row],[Horas Planificadas]],0)</f>
        <v>0</v>
      </c>
      <c r="W2142" s="44">
        <f>Planning[[#This Row],[Horas Planificadas]]+Planning[[#This Row],[Horas ajustadas adicionales]]</f>
        <v>0</v>
      </c>
      <c r="X2142" s="142"/>
    </row>
    <row r="2143" spans="1:24" x14ac:dyDescent="0.2">
      <c r="A2143" s="7" t="s">
        <v>389</v>
      </c>
      <c r="B2143" s="7" t="s">
        <v>178</v>
      </c>
      <c r="C2143" s="3"/>
      <c r="D2143" s="3" t="s">
        <v>466</v>
      </c>
      <c r="E2143" s="4"/>
      <c r="F2143" s="3" t="s">
        <v>126</v>
      </c>
      <c r="G2143" s="9"/>
      <c r="H2143" s="12"/>
      <c r="I2143" s="12"/>
      <c r="J2143" s="5" t="e">
        <f>SUM(SUMIFS(#REF!,#REF!,Planning[[#This Row],[Tipo de Tarea y especialidad]],#REF!,Planning[[#This Row],[Proyectos Reiwa]]),SUMIFS(#REF!,#REF!,Planning[[#This Row],[Tipo de Tarea y especialidad]],#REF!,Planning[[#This Row],[Proyectos]]))</f>
        <v>#REF!</v>
      </c>
      <c r="K2143" s="27" t="e">
        <f>Planning[[#This Row],[Horas Planificadas]]+Planning[[#This Row],[Horas ajustadas adicionales]]-Planning[[#This Row],[Horas utilizadas]]</f>
        <v>#REF!</v>
      </c>
      <c r="L2143" s="7">
        <v>0</v>
      </c>
      <c r="M2143" s="34" t="e">
        <f>Planning[[#This Row],[Saldo]]-Planning[[#This Row],[Saldo estimado]]</f>
        <v>#REF!</v>
      </c>
      <c r="N2143" s="62" t="e">
        <f>+SUMIFS(#REF!,#REF!,Planning[[#This Row],[Proyectos]],#REF!,Planning[[#This Row],[Tipo de Tarea y especialidad]])</f>
        <v>#REF!</v>
      </c>
      <c r="O2143" s="34">
        <f t="shared" si="66"/>
        <v>10</v>
      </c>
      <c r="P2143" s="34">
        <f t="shared" si="67"/>
        <v>2024</v>
      </c>
      <c r="Q21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43" s="19" t="str">
        <f>TEXT(Planning[[#This Row],[Mes]]*29,"mmmm")</f>
        <v>October</v>
      </c>
      <c r="S21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43" s="193"/>
      <c r="U2143" s="43">
        <f>IF(Planning[[#This Row],[Horas Planificadas]]&lt;&gt;0,+K2143/Planning[[#This Row],[Horas Planificadas]],0)</f>
        <v>0</v>
      </c>
      <c r="V2143" s="43">
        <f>IF(Planning[[#This Row],[Horas Planificadas]]&lt;&gt;0,Planning[[#This Row],[Horas utilizadas]]/Planning[[#This Row],[Horas Planificadas]],0)</f>
        <v>0</v>
      </c>
      <c r="W2143" s="44">
        <f>Planning[[#This Row],[Horas Planificadas]]+Planning[[#This Row],[Horas ajustadas adicionales]]</f>
        <v>0</v>
      </c>
      <c r="X2143" s="142"/>
    </row>
    <row r="2144" spans="1:24" x14ac:dyDescent="0.2">
      <c r="A2144" s="7" t="s">
        <v>389</v>
      </c>
      <c r="B2144" s="7" t="s">
        <v>178</v>
      </c>
      <c r="C2144" s="3"/>
      <c r="D2144" s="3" t="s">
        <v>466</v>
      </c>
      <c r="E2144" s="4"/>
      <c r="F2144" s="3" t="s">
        <v>127</v>
      </c>
      <c r="G2144" s="9"/>
      <c r="H2144" s="9">
        <v>153</v>
      </c>
      <c r="I2144" s="12"/>
      <c r="J2144" s="5" t="e">
        <f>SUM(SUMIFS(#REF!,#REF!,Planning[[#This Row],[Tipo de Tarea y especialidad]],#REF!,Planning[[#This Row],[Proyectos Reiwa]]),SUMIFS(#REF!,#REF!,Planning[[#This Row],[Tipo de Tarea y especialidad]],#REF!,Planning[[#This Row],[Proyectos]]))</f>
        <v>#REF!</v>
      </c>
      <c r="K2144" s="5" t="e">
        <f>Planning[[#This Row],[Horas Planificadas]]+Planning[[#This Row],[Horas ajustadas adicionales]]-Planning[[#This Row],[Horas utilizadas]]</f>
        <v>#REF!</v>
      </c>
      <c r="L2144" s="7">
        <v>0</v>
      </c>
      <c r="M2144" s="19" t="e">
        <f>Planning[[#This Row],[Saldo]]-Planning[[#This Row],[Saldo estimado]]</f>
        <v>#REF!</v>
      </c>
      <c r="N2144" s="60" t="e">
        <f>+SUMIFS(#REF!,#REF!,Planning[[#This Row],[Proyectos]],#REF!,Planning[[#This Row],[Tipo de Tarea y especialidad]])</f>
        <v>#REF!</v>
      </c>
      <c r="O2144" s="19">
        <f t="shared" si="66"/>
        <v>10</v>
      </c>
      <c r="P2144" s="19">
        <f t="shared" si="67"/>
        <v>2024</v>
      </c>
      <c r="Q21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44" s="19" t="str">
        <f>TEXT(Planning[[#This Row],[Mes]]*29,"mmmm")</f>
        <v>October</v>
      </c>
      <c r="S21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44" s="193"/>
      <c r="U2144" s="43" t="e">
        <f>IF(Planning[[#This Row],[Horas Planificadas]]&lt;&gt;0,+K2144/Planning[[#This Row],[Horas Planificadas]],0)</f>
        <v>#REF!</v>
      </c>
      <c r="V2144" s="43" t="e">
        <f>IF(Planning[[#This Row],[Horas Planificadas]]&lt;&gt;0,Planning[[#This Row],[Horas utilizadas]]/Planning[[#This Row],[Horas Planificadas]],0)</f>
        <v>#REF!</v>
      </c>
      <c r="W2144" s="44">
        <f>Planning[[#This Row],[Horas Planificadas]]+Planning[[#This Row],[Horas ajustadas adicionales]]</f>
        <v>153</v>
      </c>
      <c r="X2144" s="142"/>
    </row>
    <row r="2145" spans="1:24" x14ac:dyDescent="0.2">
      <c r="A2145" s="7" t="s">
        <v>389</v>
      </c>
      <c r="B2145" s="7" t="s">
        <v>178</v>
      </c>
      <c r="C2145" s="3"/>
      <c r="D2145" s="3" t="s">
        <v>466</v>
      </c>
      <c r="E2145" s="4"/>
      <c r="F2145" s="3" t="s">
        <v>128</v>
      </c>
      <c r="G2145" s="9"/>
      <c r="H2145" s="9">
        <v>63</v>
      </c>
      <c r="I2145" s="12"/>
      <c r="J2145" s="5" t="e">
        <f>SUM(SUMIFS(#REF!,#REF!,Planning[[#This Row],[Tipo de Tarea y especialidad]],#REF!,Planning[[#This Row],[Proyectos Reiwa]]),SUMIFS(#REF!,#REF!,Planning[[#This Row],[Tipo de Tarea y especialidad]],#REF!,Planning[[#This Row],[Proyectos]]))</f>
        <v>#REF!</v>
      </c>
      <c r="K2145" s="5" t="e">
        <f>Planning[[#This Row],[Horas Planificadas]]+Planning[[#This Row],[Horas ajustadas adicionales]]-Planning[[#This Row],[Horas utilizadas]]</f>
        <v>#REF!</v>
      </c>
      <c r="L2145" s="7">
        <v>0</v>
      </c>
      <c r="M2145" s="19" t="e">
        <f>Planning[[#This Row],[Saldo]]-Planning[[#This Row],[Saldo estimado]]</f>
        <v>#REF!</v>
      </c>
      <c r="N2145" s="60" t="e">
        <f>+SUMIFS(#REF!,#REF!,Planning[[#This Row],[Proyectos]],#REF!,Planning[[#This Row],[Tipo de Tarea y especialidad]])</f>
        <v>#REF!</v>
      </c>
      <c r="O2145" s="19">
        <f t="shared" si="66"/>
        <v>10</v>
      </c>
      <c r="P2145" s="19">
        <f t="shared" si="67"/>
        <v>2024</v>
      </c>
      <c r="Q21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45" s="19" t="str">
        <f>TEXT(Planning[[#This Row],[Mes]]*29,"mmmm")</f>
        <v>October</v>
      </c>
      <c r="S21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45" s="193"/>
      <c r="U2145" s="43" t="e">
        <f>IF(Planning[[#This Row],[Horas Planificadas]]&lt;&gt;0,+K2145/Planning[[#This Row],[Horas Planificadas]],0)</f>
        <v>#REF!</v>
      </c>
      <c r="V2145" s="43" t="e">
        <f>IF(Planning[[#This Row],[Horas Planificadas]]&lt;&gt;0,Planning[[#This Row],[Horas utilizadas]]/Planning[[#This Row],[Horas Planificadas]],0)</f>
        <v>#REF!</v>
      </c>
      <c r="W2145" s="44">
        <f>Planning[[#This Row],[Horas Planificadas]]+Planning[[#This Row],[Horas ajustadas adicionales]]</f>
        <v>63</v>
      </c>
      <c r="X2145" s="142"/>
    </row>
    <row r="2146" spans="1:24" x14ac:dyDescent="0.2">
      <c r="A2146" s="7" t="s">
        <v>389</v>
      </c>
      <c r="B2146" s="7" t="s">
        <v>178</v>
      </c>
      <c r="C2146" s="3"/>
      <c r="D2146" s="3" t="s">
        <v>466</v>
      </c>
      <c r="E2146" s="4" t="s">
        <v>31</v>
      </c>
      <c r="F2146" s="3" t="s">
        <v>31</v>
      </c>
      <c r="G2146" s="9">
        <v>237</v>
      </c>
      <c r="H2146" s="18">
        <v>237</v>
      </c>
      <c r="I2146" s="18"/>
      <c r="J2146" s="14" t="e">
        <f>+SUMIFS(#REF!,#REF!,Planning[[#This Row],[Tarifa]],#REF!,Planning[[#This Row],[Proyectos]])</f>
        <v>#REF!</v>
      </c>
      <c r="K2146" s="24" t="e">
        <f>Planning[[#This Row],[Horas Planificadas]]+Planning[[#This Row],[Horas ajustadas adicionales]]-Planning[[#This Row],[Horas utilizadas]]</f>
        <v>#REF!</v>
      </c>
      <c r="L2146" s="15">
        <v>0</v>
      </c>
      <c r="M2146" s="16" t="e">
        <f>Planning[[#This Row],[Saldo]]-Planning[[#This Row],[Saldo estimado]]</f>
        <v>#REF!</v>
      </c>
      <c r="N2146" s="60" t="e">
        <f>+SUMIFS(#REF!,#REF!,Planning[[#This Row],[Proyectos]],#REF!,Planning[[#This Row],[Tipo de Tarea y especialidad]])</f>
        <v>#REF!</v>
      </c>
      <c r="O2146" s="16">
        <f t="shared" si="66"/>
        <v>10</v>
      </c>
      <c r="P2146" s="16">
        <f t="shared" si="67"/>
        <v>2024</v>
      </c>
      <c r="Q2146" s="16" t="e">
        <f>+SUMIFS(#REF!,#REF!,Planning[[#This Row],[Tarifa]],#REF!,Planning[[#This Row],[Proyectos]],#REF!,Planning[[#This Row],[Mes]],#REF!,Planning[[#This Row],[Año]])</f>
        <v>#REF!</v>
      </c>
      <c r="R2146" s="16" t="str">
        <f>TEXT(Planning[[#This Row],[Mes]]*29,"mmmm")</f>
        <v>October</v>
      </c>
      <c r="S21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46" s="193"/>
      <c r="U2146" s="43" t="e">
        <f>IF(Planning[[#This Row],[Horas Planificadas]]&lt;&gt;0,+K2146/Planning[[#This Row],[Horas Planificadas]],0)</f>
        <v>#REF!</v>
      </c>
      <c r="V2146" s="43" t="e">
        <f>IF(Planning[[#This Row],[Horas Planificadas]]&lt;&gt;0,Planning[[#This Row],[Horas utilizadas]]/Planning[[#This Row],[Horas Planificadas]],0)</f>
        <v>#REF!</v>
      </c>
      <c r="W2146" s="44">
        <f>Planning[[#This Row],[Horas Planificadas]]+Planning[[#This Row],[Horas ajustadas adicionales]]</f>
        <v>237</v>
      </c>
      <c r="X2146" s="142"/>
    </row>
    <row r="2147" spans="1:24" ht="22.5" x14ac:dyDescent="0.2">
      <c r="A2147" s="7" t="s">
        <v>389</v>
      </c>
      <c r="B2147" s="7" t="s">
        <v>178</v>
      </c>
      <c r="C2147" s="3"/>
      <c r="D2147" s="3" t="s">
        <v>466</v>
      </c>
      <c r="E2147" s="4" t="s">
        <v>32</v>
      </c>
      <c r="F2147" s="3"/>
      <c r="G2147" s="9">
        <v>360</v>
      </c>
      <c r="H2147" s="25">
        <f>SUM(H2148:H2150)</f>
        <v>369</v>
      </c>
      <c r="I2147" s="14"/>
      <c r="J2147" s="14" t="e">
        <f>SUM(J2148:J2150)</f>
        <v>#REF!</v>
      </c>
      <c r="K2147" s="18" t="e">
        <f>SUM(K2148:K2150)</f>
        <v>#REF!</v>
      </c>
      <c r="L2147" s="15">
        <f>SUM(L2148:L2150)</f>
        <v>0</v>
      </c>
      <c r="M2147" s="16" t="e">
        <f>SUM(M2148:M2150)</f>
        <v>#REF!</v>
      </c>
      <c r="N2147" s="60" t="e">
        <f>+SUMIFS(#REF!,#REF!,Planning[[#This Row],[Proyectos]],#REF!,Planning[[#This Row],[Tipo de Tarea y especialidad]])</f>
        <v>#REF!</v>
      </c>
      <c r="O2147" s="16">
        <f t="shared" si="66"/>
        <v>10</v>
      </c>
      <c r="P2147" s="16">
        <f t="shared" si="67"/>
        <v>2024</v>
      </c>
      <c r="Q2147" s="16" t="e">
        <f>SUM(Q2148:Q2150)</f>
        <v>#REF!</v>
      </c>
      <c r="R2147" s="16" t="str">
        <f>TEXT(Planning[[#This Row],[Mes]]*29,"mmmm")</f>
        <v>October</v>
      </c>
      <c r="S21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47" s="193"/>
      <c r="U2147" s="43" t="e">
        <f>IF(Planning[[#This Row],[Horas Planificadas]]&lt;&gt;0,+K2147/Planning[[#This Row],[Horas Planificadas]],0)</f>
        <v>#REF!</v>
      </c>
      <c r="V2147" s="43" t="e">
        <f>IF(Planning[[#This Row],[Horas Planificadas]]&lt;&gt;0,Planning[[#This Row],[Horas utilizadas]]/Planning[[#This Row],[Horas Planificadas]],0)</f>
        <v>#REF!</v>
      </c>
      <c r="W2147" s="44">
        <f>Planning[[#This Row],[Horas Planificadas]]+Planning[[#This Row],[Horas ajustadas adicionales]]</f>
        <v>369</v>
      </c>
      <c r="X2147" s="142"/>
    </row>
    <row r="2148" spans="1:24" x14ac:dyDescent="0.2">
      <c r="A2148" s="7" t="s">
        <v>389</v>
      </c>
      <c r="B2148" s="7" t="s">
        <v>178</v>
      </c>
      <c r="C2148" s="3"/>
      <c r="D2148" s="3" t="s">
        <v>466</v>
      </c>
      <c r="E2148" s="4"/>
      <c r="F2148" s="3" t="s">
        <v>129</v>
      </c>
      <c r="G2148" s="9"/>
      <c r="H2148" s="9">
        <v>240</v>
      </c>
      <c r="I2148" s="12"/>
      <c r="J2148" s="5" t="e">
        <f>SUM(SUMIFS(#REF!,#REF!,Planning[[#This Row],[Tipo de Tarea y especialidad]],#REF!,Planning[[#This Row],[Proyectos Reiwa]]),SUMIFS(#REF!,#REF!,Planning[[#This Row],[Tipo de Tarea y especialidad]],#REF!,Planning[[#This Row],[Proyectos]]))</f>
        <v>#REF!</v>
      </c>
      <c r="K2148" s="5" t="e">
        <f>Planning[[#This Row],[Horas Planificadas]]+Planning[[#This Row],[Horas ajustadas adicionales]]-Planning[[#This Row],[Horas utilizadas]]</f>
        <v>#REF!</v>
      </c>
      <c r="L2148" s="7">
        <v>0</v>
      </c>
      <c r="M2148" s="19" t="e">
        <f>Planning[[#This Row],[Saldo]]-Planning[[#This Row],[Saldo estimado]]</f>
        <v>#REF!</v>
      </c>
      <c r="N2148" s="60" t="e">
        <f>+SUMIFS(#REF!,#REF!,Planning[[#This Row],[Proyectos]],#REF!,Planning[[#This Row],[Tipo de Tarea y especialidad]])</f>
        <v>#REF!</v>
      </c>
      <c r="O2148" s="19">
        <f t="shared" si="66"/>
        <v>10</v>
      </c>
      <c r="P2148" s="19">
        <f t="shared" si="67"/>
        <v>2024</v>
      </c>
      <c r="Q21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48" s="19" t="str">
        <f>TEXT(Planning[[#This Row],[Mes]]*29,"mmmm")</f>
        <v>October</v>
      </c>
      <c r="S21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48" s="193"/>
      <c r="U2148" s="43" t="e">
        <f>IF(Planning[[#This Row],[Horas Planificadas]]&lt;&gt;0,+K2148/Planning[[#This Row],[Horas Planificadas]],0)</f>
        <v>#REF!</v>
      </c>
      <c r="V2148" s="43" t="e">
        <f>IF(Planning[[#This Row],[Horas Planificadas]]&lt;&gt;0,Planning[[#This Row],[Horas utilizadas]]/Planning[[#This Row],[Horas Planificadas]],0)</f>
        <v>#REF!</v>
      </c>
      <c r="W2148" s="44">
        <f>Planning[[#This Row],[Horas Planificadas]]+Planning[[#This Row],[Horas ajustadas adicionales]]</f>
        <v>240</v>
      </c>
      <c r="X2148" s="142"/>
    </row>
    <row r="2149" spans="1:24" x14ac:dyDescent="0.2">
      <c r="A2149" s="7" t="s">
        <v>389</v>
      </c>
      <c r="B2149" s="7" t="s">
        <v>178</v>
      </c>
      <c r="C2149" s="3"/>
      <c r="D2149" s="3" t="s">
        <v>466</v>
      </c>
      <c r="E2149" s="4"/>
      <c r="F2149" s="3" t="s">
        <v>130</v>
      </c>
      <c r="G2149" s="9"/>
      <c r="H2149" s="9"/>
      <c r="I2149" s="12"/>
      <c r="J2149" s="5" t="e">
        <f>SUM(SUMIFS(#REF!,#REF!,Planning[[#This Row],[Tipo de Tarea y especialidad]],#REF!,Planning[[#This Row],[Proyectos Reiwa]]),SUMIFS(#REF!,#REF!,Planning[[#This Row],[Tipo de Tarea y especialidad]],#REF!,Planning[[#This Row],[Proyectos]]))</f>
        <v>#REF!</v>
      </c>
      <c r="K2149" s="5" t="e">
        <f>Planning[[#This Row],[Horas Planificadas]]+Planning[[#This Row],[Horas ajustadas adicionales]]-Planning[[#This Row],[Horas utilizadas]]</f>
        <v>#REF!</v>
      </c>
      <c r="L2149" s="7">
        <v>0</v>
      </c>
      <c r="M2149" s="19" t="e">
        <f>Planning[[#This Row],[Saldo]]-Planning[[#This Row],[Saldo estimado]]</f>
        <v>#REF!</v>
      </c>
      <c r="N2149" s="60" t="e">
        <f>+SUMIFS(#REF!,#REF!,Planning[[#This Row],[Proyectos]],#REF!,Planning[[#This Row],[Tipo de Tarea y especialidad]])</f>
        <v>#REF!</v>
      </c>
      <c r="O2149" s="19">
        <f t="shared" si="66"/>
        <v>10</v>
      </c>
      <c r="P2149" s="19">
        <f t="shared" si="67"/>
        <v>2024</v>
      </c>
      <c r="Q21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49" s="19" t="str">
        <f>TEXT(Planning[[#This Row],[Mes]]*29,"mmmm")</f>
        <v>October</v>
      </c>
      <c r="S21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49" s="193"/>
      <c r="U2149" s="43">
        <f>IF(Planning[[#This Row],[Horas Planificadas]]&lt;&gt;0,+K2149/Planning[[#This Row],[Horas Planificadas]],0)</f>
        <v>0</v>
      </c>
      <c r="V2149" s="43">
        <f>IF(Planning[[#This Row],[Horas Planificadas]]&lt;&gt;0,Planning[[#This Row],[Horas utilizadas]]/Planning[[#This Row],[Horas Planificadas]],0)</f>
        <v>0</v>
      </c>
      <c r="W2149" s="44">
        <f>Planning[[#This Row],[Horas Planificadas]]+Planning[[#This Row],[Horas ajustadas adicionales]]</f>
        <v>0</v>
      </c>
      <c r="X2149" s="142"/>
    </row>
    <row r="2150" spans="1:24" x14ac:dyDescent="0.2">
      <c r="A2150" s="7" t="s">
        <v>389</v>
      </c>
      <c r="B2150" s="7" t="s">
        <v>178</v>
      </c>
      <c r="C2150" s="3"/>
      <c r="D2150" s="3" t="s">
        <v>466</v>
      </c>
      <c r="E2150" s="4"/>
      <c r="F2150" s="3" t="s">
        <v>131</v>
      </c>
      <c r="G2150" s="9"/>
      <c r="H2150" s="9">
        <v>129</v>
      </c>
      <c r="I2150" s="12"/>
      <c r="J2150" s="5" t="e">
        <f>SUM(SUMIFS(#REF!,#REF!,Planning[[#This Row],[Tipo de Tarea y especialidad]],#REF!,Planning[[#This Row],[Proyectos Reiwa]]),SUMIFS(#REF!,#REF!,Planning[[#This Row],[Tipo de Tarea y especialidad]],#REF!,Planning[[#This Row],[Proyectos]]))</f>
        <v>#REF!</v>
      </c>
      <c r="K2150" s="5" t="e">
        <f>Planning[[#This Row],[Horas Planificadas]]+Planning[[#This Row],[Horas ajustadas adicionales]]-Planning[[#This Row],[Horas utilizadas]]</f>
        <v>#REF!</v>
      </c>
      <c r="L2150" s="7">
        <v>0</v>
      </c>
      <c r="M2150" s="19" t="e">
        <f>Planning[[#This Row],[Saldo]]-Planning[[#This Row],[Saldo estimado]]</f>
        <v>#REF!</v>
      </c>
      <c r="N2150" s="60" t="e">
        <f>+SUMIFS(#REF!,#REF!,Planning[[#This Row],[Proyectos]],#REF!,Planning[[#This Row],[Tipo de Tarea y especialidad]])</f>
        <v>#REF!</v>
      </c>
      <c r="O2150" s="19">
        <f t="shared" si="66"/>
        <v>10</v>
      </c>
      <c r="P2150" s="19">
        <f t="shared" si="67"/>
        <v>2024</v>
      </c>
      <c r="Q21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50" s="19" t="str">
        <f>TEXT(Planning[[#This Row],[Mes]]*29,"mmmm")</f>
        <v>October</v>
      </c>
      <c r="S21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50" s="193"/>
      <c r="U2150" s="43" t="e">
        <f>IF(Planning[[#This Row],[Horas Planificadas]]&lt;&gt;0,+K2150/Planning[[#This Row],[Horas Planificadas]],0)</f>
        <v>#REF!</v>
      </c>
      <c r="V2150" s="43" t="e">
        <f>IF(Planning[[#This Row],[Horas Planificadas]]&lt;&gt;0,Planning[[#This Row],[Horas utilizadas]]/Planning[[#This Row],[Horas Planificadas]],0)</f>
        <v>#REF!</v>
      </c>
      <c r="W2150" s="44">
        <f>Planning[[#This Row],[Horas Planificadas]]+Planning[[#This Row],[Horas ajustadas adicionales]]</f>
        <v>129</v>
      </c>
      <c r="X2150" s="142"/>
    </row>
    <row r="2151" spans="1:24" ht="22.5" x14ac:dyDescent="0.2">
      <c r="A2151" s="7"/>
      <c r="B2151" s="7"/>
      <c r="C2151" s="3"/>
      <c r="D2151" s="3" t="s">
        <v>468</v>
      </c>
      <c r="E2151" s="4" t="s">
        <v>28</v>
      </c>
      <c r="F2151" s="3"/>
      <c r="G2151" s="9"/>
      <c r="H2151" s="9">
        <v>0</v>
      </c>
      <c r="I2151" s="12"/>
      <c r="J2151" s="5" t="e">
        <f>+SUMIFS(#REF!,#REF!,Planning[[#This Row],[Tarifa]],#REF!,Planning[[#This Row],[Proyectos]])</f>
        <v>#REF!</v>
      </c>
      <c r="K2151" s="5" t="e">
        <f>Planning[[#This Row],[Horas Planificadas]]+Planning[[#This Row],[Horas ajustadas adicionales]]-Planning[[#This Row],[Horas utilizadas]]</f>
        <v>#REF!</v>
      </c>
      <c r="L2151" s="7"/>
      <c r="M2151" s="19" t="e">
        <f>Planning[[#This Row],[Saldo]]-Planning[[#This Row],[Saldo estimado]]</f>
        <v>#REF!</v>
      </c>
      <c r="N2151" s="60" t="e">
        <f>+SUMIFS(#REF!,#REF!,Planning[[#This Row],[Proyectos]],#REF!,Planning[[#This Row],[Tipo de Tarea y especialidad]])</f>
        <v>#REF!</v>
      </c>
      <c r="O2151" s="19">
        <f t="shared" si="66"/>
        <v>10</v>
      </c>
      <c r="P2151" s="19">
        <f t="shared" si="67"/>
        <v>2024</v>
      </c>
      <c r="Q2151" s="19" t="e">
        <f>+SUMIFS(#REF!,#REF!,Planning[[#This Row],[Tarifa]],#REF!,Planning[[#This Row],[Proyectos]],#REF!,Planning[[#This Row],[Mes]],#REF!,Planning[[#This Row],[Año]])</f>
        <v>#REF!</v>
      </c>
      <c r="R2151" s="19" t="str">
        <f>TEXT(Planning[[#This Row],[Mes]]*29,"mmmm")</f>
        <v>October</v>
      </c>
      <c r="S21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51" s="228"/>
      <c r="U2151" s="43">
        <f>IF(Planning[[#This Row],[Horas Planificadas]]&lt;&gt;0,+K2151/Planning[[#This Row],[Horas Planificadas]],0)</f>
        <v>0</v>
      </c>
      <c r="V2151" s="43">
        <f>IF(Planning[[#This Row],[Horas Planificadas]]&lt;&gt;0,Planning[[#This Row],[Horas utilizadas]]/Planning[[#This Row],[Horas Planificadas]],0)</f>
        <v>0</v>
      </c>
      <c r="W2151" s="44">
        <f>Planning[[#This Row],[Horas Planificadas]]+Planning[[#This Row],[Horas ajustadas adicionales]]</f>
        <v>0</v>
      </c>
      <c r="X2151" s="142"/>
    </row>
    <row r="2152" spans="1:24" x14ac:dyDescent="0.2">
      <c r="A2152" s="7"/>
      <c r="B2152" s="7"/>
      <c r="C2152" s="3"/>
      <c r="D2152" s="3" t="s">
        <v>468</v>
      </c>
      <c r="E2152" s="4" t="s">
        <v>30</v>
      </c>
      <c r="F2152" s="3"/>
      <c r="G2152" s="9"/>
      <c r="H2152" s="9">
        <v>0</v>
      </c>
      <c r="I2152" s="12"/>
      <c r="J2152" s="5" t="e">
        <f>+SUMIFS(#REF!,#REF!,Planning[[#This Row],[Tarifa]],#REF!,Planning[[#This Row],[Proyectos]])</f>
        <v>#REF!</v>
      </c>
      <c r="K2152" s="5" t="e">
        <f>Planning[[#This Row],[Horas Planificadas]]+Planning[[#This Row],[Horas ajustadas adicionales]]-Planning[[#This Row],[Horas utilizadas]]</f>
        <v>#REF!</v>
      </c>
      <c r="L2152" s="7"/>
      <c r="M2152" s="19" t="e">
        <f>Planning[[#This Row],[Saldo]]-Planning[[#This Row],[Saldo estimado]]</f>
        <v>#REF!</v>
      </c>
      <c r="N2152" s="60" t="e">
        <f>+SUMIFS(#REF!,#REF!,Planning[[#This Row],[Proyectos]],#REF!,Planning[[#This Row],[Tipo de Tarea y especialidad]])</f>
        <v>#REF!</v>
      </c>
      <c r="O2152" s="19">
        <f t="shared" si="66"/>
        <v>10</v>
      </c>
      <c r="P2152" s="19">
        <f t="shared" si="67"/>
        <v>2024</v>
      </c>
      <c r="Q2152" s="19" t="e">
        <f>+SUMIFS(#REF!,#REF!,Planning[[#This Row],[Tarifa]],#REF!,Planning[[#This Row],[Proyectos]],#REF!,Planning[[#This Row],[Mes]],#REF!,Planning[[#This Row],[Año]])</f>
        <v>#REF!</v>
      </c>
      <c r="R2152" s="19" t="str">
        <f>TEXT(Planning[[#This Row],[Mes]]*29,"mmmm")</f>
        <v>October</v>
      </c>
      <c r="S21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52" s="228"/>
      <c r="U2152" s="43">
        <f>IF(Planning[[#This Row],[Horas Planificadas]]&lt;&gt;0,+K2152/Planning[[#This Row],[Horas Planificadas]],0)</f>
        <v>0</v>
      </c>
      <c r="V2152" s="43">
        <f>IF(Planning[[#This Row],[Horas Planificadas]]&lt;&gt;0,Planning[[#This Row],[Horas utilizadas]]/Planning[[#This Row],[Horas Planificadas]],0)</f>
        <v>0</v>
      </c>
      <c r="W2152" s="44">
        <f>Planning[[#This Row],[Horas Planificadas]]+Planning[[#This Row],[Horas ajustadas adicionales]]</f>
        <v>0</v>
      </c>
      <c r="X2152" s="142"/>
    </row>
    <row r="2153" spans="1:24" x14ac:dyDescent="0.2">
      <c r="A2153" s="7"/>
      <c r="B2153" s="7"/>
      <c r="C2153" s="3"/>
      <c r="D2153" s="3" t="s">
        <v>468</v>
      </c>
      <c r="E2153" s="4" t="s">
        <v>31</v>
      </c>
      <c r="F2153" s="3"/>
      <c r="G2153" s="9"/>
      <c r="H2153" s="9">
        <v>9</v>
      </c>
      <c r="I2153" s="12"/>
      <c r="J2153" s="5" t="e">
        <f>+SUMIFS(#REF!,#REF!,Planning[[#This Row],[Tarifa]],#REF!,Planning[[#This Row],[Proyectos]])</f>
        <v>#REF!</v>
      </c>
      <c r="K2153" s="5" t="e">
        <f>Planning[[#This Row],[Horas Planificadas]]+Planning[[#This Row],[Horas ajustadas adicionales]]-Planning[[#This Row],[Horas utilizadas]]</f>
        <v>#REF!</v>
      </c>
      <c r="L2153" s="7"/>
      <c r="M2153" s="19" t="e">
        <f>Planning[[#This Row],[Saldo]]-Planning[[#This Row],[Saldo estimado]]</f>
        <v>#REF!</v>
      </c>
      <c r="N2153" s="60" t="e">
        <f>+SUMIFS(#REF!,#REF!,Planning[[#This Row],[Proyectos]],#REF!,Planning[[#This Row],[Tipo de Tarea y especialidad]])</f>
        <v>#REF!</v>
      </c>
      <c r="O2153" s="19">
        <f t="shared" si="66"/>
        <v>10</v>
      </c>
      <c r="P2153" s="19">
        <f t="shared" si="67"/>
        <v>2024</v>
      </c>
      <c r="Q2153" s="19" t="e">
        <f>+SUMIFS(#REF!,#REF!,Planning[[#This Row],[Tarifa]],#REF!,Planning[[#This Row],[Proyectos]],#REF!,Planning[[#This Row],[Mes]],#REF!,Planning[[#This Row],[Año]])</f>
        <v>#REF!</v>
      </c>
      <c r="R2153" s="19" t="str">
        <f>TEXT(Planning[[#This Row],[Mes]]*29,"mmmm")</f>
        <v>October</v>
      </c>
      <c r="S21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53" s="228"/>
      <c r="U2153" s="43" t="e">
        <f>IF(Planning[[#This Row],[Horas Planificadas]]&lt;&gt;0,+K2153/Planning[[#This Row],[Horas Planificadas]],0)</f>
        <v>#REF!</v>
      </c>
      <c r="V2153" s="43" t="e">
        <f>IF(Planning[[#This Row],[Horas Planificadas]]&lt;&gt;0,Planning[[#This Row],[Horas utilizadas]]/Planning[[#This Row],[Horas Planificadas]],0)</f>
        <v>#REF!</v>
      </c>
      <c r="W2153" s="44">
        <f>Planning[[#This Row],[Horas Planificadas]]+Planning[[#This Row],[Horas ajustadas adicionales]]</f>
        <v>9</v>
      </c>
      <c r="X2153" s="142"/>
    </row>
    <row r="2154" spans="1:24" ht="22.5" x14ac:dyDescent="0.2">
      <c r="A2154" s="7"/>
      <c r="B2154" s="7"/>
      <c r="C2154" s="3"/>
      <c r="D2154" s="3" t="s">
        <v>468</v>
      </c>
      <c r="E2154" s="4" t="s">
        <v>32</v>
      </c>
      <c r="F2154" s="3"/>
      <c r="G2154" s="9"/>
      <c r="H2154" s="9">
        <v>50</v>
      </c>
      <c r="I2154" s="12"/>
      <c r="J2154" s="5" t="e">
        <f>+SUMIFS(#REF!,#REF!,Planning[[#This Row],[Tarifa]],#REF!,Planning[[#This Row],[Proyectos]])</f>
        <v>#REF!</v>
      </c>
      <c r="K2154" s="5" t="e">
        <f>Planning[[#This Row],[Horas Planificadas]]+Planning[[#This Row],[Horas ajustadas adicionales]]-Planning[[#This Row],[Horas utilizadas]]</f>
        <v>#REF!</v>
      </c>
      <c r="L2154" s="7"/>
      <c r="M2154" s="19" t="e">
        <f>Planning[[#This Row],[Saldo]]-Planning[[#This Row],[Saldo estimado]]</f>
        <v>#REF!</v>
      </c>
      <c r="N2154" s="60" t="e">
        <f>+SUMIFS(#REF!,#REF!,Planning[[#This Row],[Proyectos]],#REF!,Planning[[#This Row],[Tipo de Tarea y especialidad]])</f>
        <v>#REF!</v>
      </c>
      <c r="O2154" s="19">
        <f t="shared" si="66"/>
        <v>10</v>
      </c>
      <c r="P2154" s="19">
        <f t="shared" si="67"/>
        <v>2024</v>
      </c>
      <c r="Q2154" s="19" t="e">
        <f>+SUMIFS(#REF!,#REF!,Planning[[#This Row],[Tarifa]],#REF!,Planning[[#This Row],[Proyectos]],#REF!,Planning[[#This Row],[Mes]],#REF!,Planning[[#This Row],[Año]])</f>
        <v>#REF!</v>
      </c>
      <c r="R2154" s="19" t="str">
        <f>TEXT(Planning[[#This Row],[Mes]]*29,"mmmm")</f>
        <v>October</v>
      </c>
      <c r="S21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54" s="228"/>
      <c r="U2154" s="43" t="e">
        <f>IF(Planning[[#This Row],[Horas Planificadas]]&lt;&gt;0,+K2154/Planning[[#This Row],[Horas Planificadas]],0)</f>
        <v>#REF!</v>
      </c>
      <c r="V2154" s="43" t="e">
        <f>IF(Planning[[#This Row],[Horas Planificadas]]&lt;&gt;0,Planning[[#This Row],[Horas utilizadas]]/Planning[[#This Row],[Horas Planificadas]],0)</f>
        <v>#REF!</v>
      </c>
      <c r="W2154" s="44">
        <f>Planning[[#This Row],[Horas Planificadas]]+Planning[[#This Row],[Horas ajustadas adicionales]]</f>
        <v>50</v>
      </c>
      <c r="X2154" s="142"/>
    </row>
    <row r="2155" spans="1:24" ht="22.5" x14ac:dyDescent="0.2">
      <c r="A2155" s="7" t="s">
        <v>294</v>
      </c>
      <c r="B2155" s="7" t="s">
        <v>393</v>
      </c>
      <c r="C2155" s="3"/>
      <c r="D2155" s="3" t="s">
        <v>469</v>
      </c>
      <c r="E2155" s="4" t="s">
        <v>28</v>
      </c>
      <c r="F2155" s="3"/>
      <c r="G2155" s="9">
        <v>205</v>
      </c>
      <c r="H2155" s="14">
        <f>SUM(H2156:H2157)</f>
        <v>250</v>
      </c>
      <c r="I2155" s="14"/>
      <c r="J2155" s="14" t="e">
        <f>SUM(J2156:J2157)</f>
        <v>#REF!</v>
      </c>
      <c r="K2155" s="15" t="e">
        <f>SUM(K2156:K2157)</f>
        <v>#REF!</v>
      </c>
      <c r="L2155" s="15">
        <f>SUM(L2156:L2157)</f>
        <v>64</v>
      </c>
      <c r="M2155" s="28" t="e">
        <f>SUM(M2156:M2157)</f>
        <v>#REF!</v>
      </c>
      <c r="N2155" s="61" t="e">
        <f>+SUMIFS(#REF!,#REF!,Planning[[#This Row],[Proyectos]],#REF!,Planning[[#This Row],[Tipo de Tarea y especialidad]])</f>
        <v>#REF!</v>
      </c>
      <c r="O2155" s="28">
        <f t="shared" si="66"/>
        <v>10</v>
      </c>
      <c r="P2155" s="28">
        <f t="shared" si="67"/>
        <v>2024</v>
      </c>
      <c r="Q2155" s="28" t="e">
        <f>SUM(Q2156:Q2157)</f>
        <v>#REF!</v>
      </c>
      <c r="R2155" s="28" t="str">
        <f>TEXT(Planning[[#This Row],[Mes]]*29,"mmmm")</f>
        <v>October</v>
      </c>
      <c r="S21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55" s="192" t="s">
        <v>470</v>
      </c>
      <c r="U2155" s="43" t="e">
        <f>IF(Planning[[#This Row],[Horas Planificadas]]&lt;&gt;0,+K2155/Planning[[#This Row],[Horas Planificadas]],0)</f>
        <v>#REF!</v>
      </c>
      <c r="V2155" s="43" t="e">
        <f>IF(Planning[[#This Row],[Horas Planificadas]]&lt;&gt;0,Planning[[#This Row],[Horas utilizadas]]/Planning[[#This Row],[Horas Planificadas]],0)</f>
        <v>#REF!</v>
      </c>
      <c r="W2155" s="44">
        <f>Planning[[#This Row],[Horas Planificadas]]+Planning[[#This Row],[Horas ajustadas adicionales]]</f>
        <v>250</v>
      </c>
      <c r="X2155" s="142"/>
    </row>
    <row r="2156" spans="1:24" x14ac:dyDescent="0.2">
      <c r="A2156" s="7" t="s">
        <v>294</v>
      </c>
      <c r="B2156" s="7" t="s">
        <v>393</v>
      </c>
      <c r="C2156" s="3"/>
      <c r="D2156" s="3" t="s">
        <v>469</v>
      </c>
      <c r="E2156" s="4"/>
      <c r="F2156" s="3" t="s">
        <v>120</v>
      </c>
      <c r="G2156" s="9"/>
      <c r="H2156" s="9">
        <v>150</v>
      </c>
      <c r="I2156" s="12"/>
      <c r="J2156" s="5" t="e">
        <f>SUM(SUMIFS(#REF!,#REF!,Planning[[#This Row],[Tipo de Tarea y especialidad]],#REF!,Planning[[#This Row],[Proyectos Reiwa]]),SUMIFS(#REF!,#REF!,Planning[[#This Row],[Tipo de Tarea y especialidad]],#REF!,Planning[[#This Row],[Proyectos]]))</f>
        <v>#REF!</v>
      </c>
      <c r="K2156" s="5" t="e">
        <f>Planning[[#This Row],[Horas Planificadas]]+Planning[[#This Row],[Horas ajustadas adicionales]]-Planning[[#This Row],[Horas utilizadas]]</f>
        <v>#REF!</v>
      </c>
      <c r="L2156" s="7">
        <v>45</v>
      </c>
      <c r="M2156" s="19" t="e">
        <f>Planning[[#This Row],[Saldo]]-Planning[[#This Row],[Saldo estimado]]</f>
        <v>#REF!</v>
      </c>
      <c r="N2156" s="60" t="e">
        <f>+SUMIFS(#REF!,#REF!,Planning[[#This Row],[Proyectos]],#REF!,Planning[[#This Row],[Tipo de Tarea y especialidad]])</f>
        <v>#REF!</v>
      </c>
      <c r="O2156" s="19">
        <f t="shared" si="66"/>
        <v>10</v>
      </c>
      <c r="P2156" s="19">
        <f t="shared" si="67"/>
        <v>2024</v>
      </c>
      <c r="Q21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56" s="19" t="str">
        <f>TEXT(Planning[[#This Row],[Mes]]*29,"mmmm")</f>
        <v>October</v>
      </c>
      <c r="S21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56" s="193"/>
      <c r="U2156" s="43" t="e">
        <f>IF(Planning[[#This Row],[Horas Planificadas]]&lt;&gt;0,+K2156/Planning[[#This Row],[Horas Planificadas]],0)</f>
        <v>#REF!</v>
      </c>
      <c r="V2156" s="43" t="e">
        <f>IF(Planning[[#This Row],[Horas Planificadas]]&lt;&gt;0,Planning[[#This Row],[Horas utilizadas]]/Planning[[#This Row],[Horas Planificadas]],0)</f>
        <v>#REF!</v>
      </c>
      <c r="W2156" s="44">
        <f>Planning[[#This Row],[Horas Planificadas]]+Planning[[#This Row],[Horas ajustadas adicionales]]</f>
        <v>150</v>
      </c>
      <c r="X2156" s="142"/>
    </row>
    <row r="2157" spans="1:24" x14ac:dyDescent="0.2">
      <c r="A2157" s="7" t="s">
        <v>294</v>
      </c>
      <c r="B2157" s="7" t="s">
        <v>393</v>
      </c>
      <c r="C2157" s="3"/>
      <c r="D2157" s="3" t="s">
        <v>469</v>
      </c>
      <c r="E2157" s="4"/>
      <c r="F2157" s="3" t="s">
        <v>121</v>
      </c>
      <c r="G2157" s="9"/>
      <c r="H2157" s="9">
        <v>100</v>
      </c>
      <c r="I2157" s="12"/>
      <c r="J2157" s="5" t="e">
        <f>SUM(SUMIFS(#REF!,#REF!,Planning[[#This Row],[Tipo de Tarea y especialidad]],#REF!,Planning[[#This Row],[Proyectos Reiwa]]),SUMIFS(#REF!,#REF!,Planning[[#This Row],[Tipo de Tarea y especialidad]],#REF!,Planning[[#This Row],[Proyectos]]))</f>
        <v>#REF!</v>
      </c>
      <c r="K2157" s="5" t="e">
        <f>Planning[[#This Row],[Horas Planificadas]]+Planning[[#This Row],[Horas ajustadas adicionales]]-Planning[[#This Row],[Horas utilizadas]]</f>
        <v>#REF!</v>
      </c>
      <c r="L2157" s="7">
        <v>19</v>
      </c>
      <c r="M2157" s="19" t="e">
        <f>Planning[[#This Row],[Saldo]]-Planning[[#This Row],[Saldo estimado]]</f>
        <v>#REF!</v>
      </c>
      <c r="N2157" s="60" t="e">
        <f>+SUMIFS(#REF!,#REF!,Planning[[#This Row],[Proyectos]],#REF!,Planning[[#This Row],[Tipo de Tarea y especialidad]])</f>
        <v>#REF!</v>
      </c>
      <c r="O2157" s="19">
        <f t="shared" si="66"/>
        <v>10</v>
      </c>
      <c r="P2157" s="19">
        <f t="shared" si="67"/>
        <v>2024</v>
      </c>
      <c r="Q21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57" s="19" t="str">
        <f>TEXT(Planning[[#This Row],[Mes]]*29,"mmmm")</f>
        <v>October</v>
      </c>
      <c r="S21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57" s="193"/>
      <c r="U2157" s="43" t="e">
        <f>IF(Planning[[#This Row],[Horas Planificadas]]&lt;&gt;0,+K2157/Planning[[#This Row],[Horas Planificadas]],0)</f>
        <v>#REF!</v>
      </c>
      <c r="V2157" s="43" t="e">
        <f>IF(Planning[[#This Row],[Horas Planificadas]]&lt;&gt;0,Planning[[#This Row],[Horas utilizadas]]/Planning[[#This Row],[Horas Planificadas]],0)</f>
        <v>#REF!</v>
      </c>
      <c r="W2157" s="44">
        <f>Planning[[#This Row],[Horas Planificadas]]+Planning[[#This Row],[Horas ajustadas adicionales]]</f>
        <v>100</v>
      </c>
      <c r="X2157" s="142"/>
    </row>
    <row r="2158" spans="1:24" x14ac:dyDescent="0.2">
      <c r="A2158" s="7" t="s">
        <v>294</v>
      </c>
      <c r="B2158" s="7" t="s">
        <v>393</v>
      </c>
      <c r="C2158" s="3"/>
      <c r="D2158" s="3" t="s">
        <v>469</v>
      </c>
      <c r="E2158" s="4" t="s">
        <v>30</v>
      </c>
      <c r="F2158" s="3"/>
      <c r="G2158" s="9">
        <v>430</v>
      </c>
      <c r="H2158" s="25">
        <f>SUM(H2159:H2165)</f>
        <v>518</v>
      </c>
      <c r="I2158" s="14"/>
      <c r="J2158" s="14" t="e">
        <f>SUM(J2159:J2165)</f>
        <v>#REF!</v>
      </c>
      <c r="K2158" s="18" t="e">
        <f>SUM(K2159:K2165)</f>
        <v>#REF!</v>
      </c>
      <c r="L2158" s="15">
        <f>SUM(L2159:L2165)</f>
        <v>121</v>
      </c>
      <c r="M2158" s="16" t="e">
        <f>SUM(M2159:M2165)</f>
        <v>#REF!</v>
      </c>
      <c r="N2158" s="60" t="e">
        <f>+SUMIFS(#REF!,#REF!,Planning[[#This Row],[Proyectos]],#REF!,Planning[[#This Row],[Tipo de Tarea y especialidad]])</f>
        <v>#REF!</v>
      </c>
      <c r="O2158" s="16">
        <f t="shared" si="66"/>
        <v>10</v>
      </c>
      <c r="P2158" s="16">
        <f t="shared" si="67"/>
        <v>2024</v>
      </c>
      <c r="Q2158" s="16" t="e">
        <f>SUM(Q2159:Q2165)</f>
        <v>#REF!</v>
      </c>
      <c r="R2158" s="16" t="str">
        <f>TEXT(Planning[[#This Row],[Mes]]*29,"mmmm")</f>
        <v>October</v>
      </c>
      <c r="S21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58" s="193"/>
      <c r="U2158" s="43" t="e">
        <f>IF(Planning[[#This Row],[Horas Planificadas]]&lt;&gt;0,+K2158/Planning[[#This Row],[Horas Planificadas]],0)</f>
        <v>#REF!</v>
      </c>
      <c r="V2158" s="43" t="e">
        <f>IF(Planning[[#This Row],[Horas Planificadas]]&lt;&gt;0,Planning[[#This Row],[Horas utilizadas]]/Planning[[#This Row],[Horas Planificadas]],0)</f>
        <v>#REF!</v>
      </c>
      <c r="W2158" s="44">
        <f>Planning[[#This Row],[Horas Planificadas]]+Planning[[#This Row],[Horas ajustadas adicionales]]</f>
        <v>518</v>
      </c>
      <c r="X2158" s="142"/>
    </row>
    <row r="2159" spans="1:24" x14ac:dyDescent="0.2">
      <c r="A2159" s="7" t="s">
        <v>294</v>
      </c>
      <c r="B2159" s="7" t="s">
        <v>393</v>
      </c>
      <c r="C2159" s="3"/>
      <c r="D2159" s="3" t="s">
        <v>469</v>
      </c>
      <c r="E2159" s="4"/>
      <c r="F2159" s="3" t="s">
        <v>122</v>
      </c>
      <c r="G2159" s="9"/>
      <c r="H2159" s="12"/>
      <c r="I2159" s="12"/>
      <c r="J2159" s="5" t="e">
        <f>SUM(SUMIFS(#REF!,#REF!,Planning[[#This Row],[Tipo de Tarea y especialidad]],#REF!,Planning[[#This Row],[Proyectos Reiwa]]),SUMIFS(#REF!,#REF!,Planning[[#This Row],[Tipo de Tarea y especialidad]],#REF!,Planning[[#This Row],[Proyectos]]))</f>
        <v>#REF!</v>
      </c>
      <c r="K2159" s="27" t="e">
        <f>Planning[[#This Row],[Horas Planificadas]]+Planning[[#This Row],[Horas ajustadas adicionales]]-Planning[[#This Row],[Horas utilizadas]]</f>
        <v>#REF!</v>
      </c>
      <c r="L2159" s="7"/>
      <c r="M2159" s="34" t="e">
        <f>Planning[[#This Row],[Saldo]]-Planning[[#This Row],[Saldo estimado]]</f>
        <v>#REF!</v>
      </c>
      <c r="N2159" s="62" t="e">
        <f>+SUMIFS(#REF!,#REF!,Planning[[#This Row],[Proyectos]],#REF!,Planning[[#This Row],[Tipo de Tarea y especialidad]])</f>
        <v>#REF!</v>
      </c>
      <c r="O2159" s="34">
        <f t="shared" si="66"/>
        <v>10</v>
      </c>
      <c r="P2159" s="34">
        <f t="shared" si="67"/>
        <v>2024</v>
      </c>
      <c r="Q21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59" s="19" t="str">
        <f>TEXT(Planning[[#This Row],[Mes]]*29,"mmmm")</f>
        <v>October</v>
      </c>
      <c r="S21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59" s="193"/>
      <c r="U2159" s="43">
        <f>IF(Planning[[#This Row],[Horas Planificadas]]&lt;&gt;0,+K2159/Planning[[#This Row],[Horas Planificadas]],0)</f>
        <v>0</v>
      </c>
      <c r="V2159" s="43">
        <f>IF(Planning[[#This Row],[Horas Planificadas]]&lt;&gt;0,Planning[[#This Row],[Horas utilizadas]]/Planning[[#This Row],[Horas Planificadas]],0)</f>
        <v>0</v>
      </c>
      <c r="W2159" s="44">
        <f>Planning[[#This Row],[Horas Planificadas]]+Planning[[#This Row],[Horas ajustadas adicionales]]</f>
        <v>0</v>
      </c>
      <c r="X2159" s="142"/>
    </row>
    <row r="2160" spans="1:24" x14ac:dyDescent="0.2">
      <c r="A2160" s="7" t="s">
        <v>294</v>
      </c>
      <c r="B2160" s="7" t="s">
        <v>393</v>
      </c>
      <c r="C2160" s="3"/>
      <c r="D2160" s="3" t="s">
        <v>469</v>
      </c>
      <c r="E2160" s="4"/>
      <c r="F2160" s="3" t="s">
        <v>123</v>
      </c>
      <c r="G2160" s="9"/>
      <c r="H2160" s="9"/>
      <c r="I2160" s="12"/>
      <c r="J2160" s="5" t="e">
        <f>SUM(SUMIFS(#REF!,#REF!,Planning[[#This Row],[Tipo de Tarea y especialidad]],#REF!,Planning[[#This Row],[Proyectos Reiwa]]),SUMIFS(#REF!,#REF!,Planning[[#This Row],[Tipo de Tarea y especialidad]],#REF!,Planning[[#This Row],[Proyectos]]))</f>
        <v>#REF!</v>
      </c>
      <c r="K2160" s="5" t="e">
        <f>Planning[[#This Row],[Horas Planificadas]]+Planning[[#This Row],[Horas ajustadas adicionales]]-Planning[[#This Row],[Horas utilizadas]]</f>
        <v>#REF!</v>
      </c>
      <c r="L2160" s="7"/>
      <c r="M2160" s="19" t="e">
        <f>Planning[[#This Row],[Saldo]]-Planning[[#This Row],[Saldo estimado]]</f>
        <v>#REF!</v>
      </c>
      <c r="N2160" s="60" t="e">
        <f>+SUMIFS(#REF!,#REF!,Planning[[#This Row],[Proyectos]],#REF!,Planning[[#This Row],[Tipo de Tarea y especialidad]])</f>
        <v>#REF!</v>
      </c>
      <c r="O2160" s="19">
        <f t="shared" si="66"/>
        <v>10</v>
      </c>
      <c r="P2160" s="19">
        <f t="shared" si="67"/>
        <v>2024</v>
      </c>
      <c r="Q21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60" s="19" t="str">
        <f>TEXT(Planning[[#This Row],[Mes]]*29,"mmmm")</f>
        <v>October</v>
      </c>
      <c r="S21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60" s="193"/>
      <c r="U2160" s="43">
        <f>IF(Planning[[#This Row],[Horas Planificadas]]&lt;&gt;0,+K2160/Planning[[#This Row],[Horas Planificadas]],0)</f>
        <v>0</v>
      </c>
      <c r="V2160" s="43">
        <f>IF(Planning[[#This Row],[Horas Planificadas]]&lt;&gt;0,Planning[[#This Row],[Horas utilizadas]]/Planning[[#This Row],[Horas Planificadas]],0)</f>
        <v>0</v>
      </c>
      <c r="W2160" s="44">
        <f>Planning[[#This Row],[Horas Planificadas]]+Planning[[#This Row],[Horas ajustadas adicionales]]</f>
        <v>0</v>
      </c>
      <c r="X2160" s="142"/>
    </row>
    <row r="2161" spans="1:24" x14ac:dyDescent="0.2">
      <c r="A2161" s="7" t="s">
        <v>294</v>
      </c>
      <c r="B2161" s="7" t="s">
        <v>393</v>
      </c>
      <c r="C2161" s="3"/>
      <c r="D2161" s="3" t="s">
        <v>469</v>
      </c>
      <c r="E2161" s="4"/>
      <c r="F2161" s="3" t="s">
        <v>124</v>
      </c>
      <c r="G2161" s="9"/>
      <c r="H2161" s="9">
        <v>518</v>
      </c>
      <c r="I2161" s="12"/>
      <c r="J2161" s="5" t="e">
        <f>SUM(SUMIFS(#REF!,#REF!,Planning[[#This Row],[Tipo de Tarea y especialidad]],#REF!,Planning[[#This Row],[Proyectos Reiwa]]),SUMIFS(#REF!,#REF!,Planning[[#This Row],[Tipo de Tarea y especialidad]],#REF!,Planning[[#This Row],[Proyectos]]))</f>
        <v>#REF!</v>
      </c>
      <c r="K2161" s="5" t="e">
        <f>Planning[[#This Row],[Horas Planificadas]]+Planning[[#This Row],[Horas ajustadas adicionales]]-Planning[[#This Row],[Horas utilizadas]]</f>
        <v>#REF!</v>
      </c>
      <c r="L2161" s="7">
        <v>0</v>
      </c>
      <c r="M2161" s="19" t="e">
        <f>Planning[[#This Row],[Saldo]]-Planning[[#This Row],[Saldo estimado]]</f>
        <v>#REF!</v>
      </c>
      <c r="N2161" s="60" t="e">
        <f>+SUMIFS(#REF!,#REF!,Planning[[#This Row],[Proyectos]],#REF!,Planning[[#This Row],[Tipo de Tarea y especialidad]])</f>
        <v>#REF!</v>
      </c>
      <c r="O2161" s="19">
        <f t="shared" si="66"/>
        <v>10</v>
      </c>
      <c r="P2161" s="19">
        <f t="shared" si="67"/>
        <v>2024</v>
      </c>
      <c r="Q21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61" s="19" t="str">
        <f>TEXT(Planning[[#This Row],[Mes]]*29,"mmmm")</f>
        <v>October</v>
      </c>
      <c r="S21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61" s="193"/>
      <c r="U2161" s="43" t="e">
        <f>IF(Planning[[#This Row],[Horas Planificadas]]&lt;&gt;0,+K2161/Planning[[#This Row],[Horas Planificadas]],0)</f>
        <v>#REF!</v>
      </c>
      <c r="V2161" s="43" t="e">
        <f>IF(Planning[[#This Row],[Horas Planificadas]]&lt;&gt;0,Planning[[#This Row],[Horas utilizadas]]/Planning[[#This Row],[Horas Planificadas]],0)</f>
        <v>#REF!</v>
      </c>
      <c r="W2161" s="44">
        <f>Planning[[#This Row],[Horas Planificadas]]+Planning[[#This Row],[Horas ajustadas adicionales]]</f>
        <v>518</v>
      </c>
      <c r="X2161" s="142"/>
    </row>
    <row r="2162" spans="1:24" x14ac:dyDescent="0.2">
      <c r="A2162" s="7" t="s">
        <v>294</v>
      </c>
      <c r="B2162" s="7" t="s">
        <v>393</v>
      </c>
      <c r="C2162" s="3"/>
      <c r="D2162" s="3" t="s">
        <v>469</v>
      </c>
      <c r="E2162" s="4"/>
      <c r="F2162" s="3" t="s">
        <v>125</v>
      </c>
      <c r="G2162" s="9"/>
      <c r="H2162" s="12"/>
      <c r="I2162" s="12"/>
      <c r="J2162" s="5" t="e">
        <f>SUM(SUMIFS(#REF!,#REF!,Planning[[#This Row],[Tipo de Tarea y especialidad]],#REF!,Planning[[#This Row],[Proyectos Reiwa]]),SUMIFS(#REF!,#REF!,Planning[[#This Row],[Tipo de Tarea y especialidad]],#REF!,Planning[[#This Row],[Proyectos]]))</f>
        <v>#REF!</v>
      </c>
      <c r="K2162" s="27" t="e">
        <f>Planning[[#This Row],[Horas Planificadas]]+Planning[[#This Row],[Horas ajustadas adicionales]]-Planning[[#This Row],[Horas utilizadas]]</f>
        <v>#REF!</v>
      </c>
      <c r="L2162" s="7">
        <v>0</v>
      </c>
      <c r="M2162" s="19" t="e">
        <f>Planning[[#This Row],[Saldo]]-Planning[[#This Row],[Saldo estimado]]</f>
        <v>#REF!</v>
      </c>
      <c r="N2162" s="60" t="e">
        <f>+SUMIFS(#REF!,#REF!,Planning[[#This Row],[Proyectos]],#REF!,Planning[[#This Row],[Tipo de Tarea y especialidad]])</f>
        <v>#REF!</v>
      </c>
      <c r="O2162" s="19">
        <f t="shared" si="66"/>
        <v>10</v>
      </c>
      <c r="P2162" s="19">
        <f t="shared" si="67"/>
        <v>2024</v>
      </c>
      <c r="Q21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62" s="19" t="str">
        <f>TEXT(Planning[[#This Row],[Mes]]*29,"mmmm")</f>
        <v>October</v>
      </c>
      <c r="S21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62" s="193"/>
      <c r="U2162" s="43">
        <f>IF(Planning[[#This Row],[Horas Planificadas]]&lt;&gt;0,+K2162/Planning[[#This Row],[Horas Planificadas]],0)</f>
        <v>0</v>
      </c>
      <c r="V2162" s="43">
        <f>IF(Planning[[#This Row],[Horas Planificadas]]&lt;&gt;0,Planning[[#This Row],[Horas utilizadas]]/Planning[[#This Row],[Horas Planificadas]],0)</f>
        <v>0</v>
      </c>
      <c r="W2162" s="44">
        <f>Planning[[#This Row],[Horas Planificadas]]+Planning[[#This Row],[Horas ajustadas adicionales]]</f>
        <v>0</v>
      </c>
      <c r="X2162" s="142"/>
    </row>
    <row r="2163" spans="1:24" x14ac:dyDescent="0.2">
      <c r="A2163" s="7" t="s">
        <v>294</v>
      </c>
      <c r="B2163" s="7" t="s">
        <v>393</v>
      </c>
      <c r="C2163" s="3"/>
      <c r="D2163" s="3" t="s">
        <v>469</v>
      </c>
      <c r="E2163" s="4"/>
      <c r="F2163" s="3" t="s">
        <v>126</v>
      </c>
      <c r="G2163" s="9"/>
      <c r="H2163" s="9"/>
      <c r="I2163" s="12"/>
      <c r="J2163" s="5" t="e">
        <f>SUM(SUMIFS(#REF!,#REF!,Planning[[#This Row],[Tipo de Tarea y especialidad]],#REF!,Planning[[#This Row],[Proyectos Reiwa]]),SUMIFS(#REF!,#REF!,Planning[[#This Row],[Tipo de Tarea y especialidad]],#REF!,Planning[[#This Row],[Proyectos]]))</f>
        <v>#REF!</v>
      </c>
      <c r="K2163" s="5" t="e">
        <f>Planning[[#This Row],[Horas Planificadas]]+Planning[[#This Row],[Horas ajustadas adicionales]]-Planning[[#This Row],[Horas utilizadas]]</f>
        <v>#REF!</v>
      </c>
      <c r="L2163" s="7"/>
      <c r="M2163" s="19" t="e">
        <f>Planning[[#This Row],[Saldo]]-Planning[[#This Row],[Saldo estimado]]</f>
        <v>#REF!</v>
      </c>
      <c r="N2163" s="60" t="e">
        <f>+SUMIFS(#REF!,#REF!,Planning[[#This Row],[Proyectos]],#REF!,Planning[[#This Row],[Tipo de Tarea y especialidad]])</f>
        <v>#REF!</v>
      </c>
      <c r="O2163" s="19">
        <f t="shared" si="66"/>
        <v>10</v>
      </c>
      <c r="P2163" s="19">
        <f t="shared" si="67"/>
        <v>2024</v>
      </c>
      <c r="Q21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63" s="19" t="str">
        <f>TEXT(Planning[[#This Row],[Mes]]*29,"mmmm")</f>
        <v>October</v>
      </c>
      <c r="S21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63" s="193"/>
      <c r="U2163" s="43">
        <f>IF(Planning[[#This Row],[Horas Planificadas]]&lt;&gt;0,+K2163/Planning[[#This Row],[Horas Planificadas]],0)</f>
        <v>0</v>
      </c>
      <c r="V2163" s="43">
        <f>IF(Planning[[#This Row],[Horas Planificadas]]&lt;&gt;0,Planning[[#This Row],[Horas utilizadas]]/Planning[[#This Row],[Horas Planificadas]],0)</f>
        <v>0</v>
      </c>
      <c r="W2163" s="44">
        <f>Planning[[#This Row],[Horas Planificadas]]+Planning[[#This Row],[Horas ajustadas adicionales]]</f>
        <v>0</v>
      </c>
      <c r="X2163" s="142"/>
    </row>
    <row r="2164" spans="1:24" x14ac:dyDescent="0.2">
      <c r="A2164" s="7" t="s">
        <v>294</v>
      </c>
      <c r="B2164" s="7" t="s">
        <v>393</v>
      </c>
      <c r="C2164" s="3"/>
      <c r="D2164" s="3" t="s">
        <v>469</v>
      </c>
      <c r="E2164" s="4"/>
      <c r="F2164" s="3" t="s">
        <v>127</v>
      </c>
      <c r="G2164" s="9"/>
      <c r="H2164" s="9"/>
      <c r="I2164" s="12"/>
      <c r="J2164" s="5" t="e">
        <f>SUM(SUMIFS(#REF!,#REF!,Planning[[#This Row],[Tipo de Tarea y especialidad]],#REF!,Planning[[#This Row],[Proyectos Reiwa]]),SUMIFS(#REF!,#REF!,Planning[[#This Row],[Tipo de Tarea y especialidad]],#REF!,Planning[[#This Row],[Proyectos]]))</f>
        <v>#REF!</v>
      </c>
      <c r="K2164" s="5" t="e">
        <f>Planning[[#This Row],[Horas Planificadas]]+Planning[[#This Row],[Horas ajustadas adicionales]]-Planning[[#This Row],[Horas utilizadas]]</f>
        <v>#REF!</v>
      </c>
      <c r="L2164" s="7"/>
      <c r="M2164" s="19" t="e">
        <f>Planning[[#This Row],[Saldo]]-Planning[[#This Row],[Saldo estimado]]</f>
        <v>#REF!</v>
      </c>
      <c r="N2164" s="60" t="e">
        <f>+SUMIFS(#REF!,#REF!,Planning[[#This Row],[Proyectos]],#REF!,Planning[[#This Row],[Tipo de Tarea y especialidad]])</f>
        <v>#REF!</v>
      </c>
      <c r="O2164" s="19">
        <f t="shared" si="66"/>
        <v>10</v>
      </c>
      <c r="P2164" s="19">
        <f t="shared" si="67"/>
        <v>2024</v>
      </c>
      <c r="Q21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64" s="19" t="str">
        <f>TEXT(Planning[[#This Row],[Mes]]*29,"mmmm")</f>
        <v>October</v>
      </c>
      <c r="S21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64" s="193"/>
      <c r="U2164" s="43">
        <f>IF(Planning[[#This Row],[Horas Planificadas]]&lt;&gt;0,+K2164/Planning[[#This Row],[Horas Planificadas]],0)</f>
        <v>0</v>
      </c>
      <c r="V2164" s="43">
        <f>IF(Planning[[#This Row],[Horas Planificadas]]&lt;&gt;0,Planning[[#This Row],[Horas utilizadas]]/Planning[[#This Row],[Horas Planificadas]],0)</f>
        <v>0</v>
      </c>
      <c r="W2164" s="44">
        <f>Planning[[#This Row],[Horas Planificadas]]+Planning[[#This Row],[Horas ajustadas adicionales]]</f>
        <v>0</v>
      </c>
      <c r="X2164" s="142"/>
    </row>
    <row r="2165" spans="1:24" x14ac:dyDescent="0.2">
      <c r="A2165" s="7" t="s">
        <v>294</v>
      </c>
      <c r="B2165" s="7" t="s">
        <v>393</v>
      </c>
      <c r="C2165" s="3"/>
      <c r="D2165" s="3" t="s">
        <v>469</v>
      </c>
      <c r="E2165" s="4"/>
      <c r="F2165" s="3" t="s">
        <v>128</v>
      </c>
      <c r="G2165" s="9"/>
      <c r="H2165" s="9"/>
      <c r="I2165" s="12"/>
      <c r="J2165" s="5" t="e">
        <f>SUM(SUMIFS(#REF!,#REF!,Planning[[#This Row],[Tipo de Tarea y especialidad]],#REF!,Planning[[#This Row],[Proyectos Reiwa]]),SUMIFS(#REF!,#REF!,Planning[[#This Row],[Tipo de Tarea y especialidad]],#REF!,Planning[[#This Row],[Proyectos]]))</f>
        <v>#REF!</v>
      </c>
      <c r="K2165" s="5" t="e">
        <f>Planning[[#This Row],[Horas Planificadas]]+Planning[[#This Row],[Horas ajustadas adicionales]]-Planning[[#This Row],[Horas utilizadas]]</f>
        <v>#REF!</v>
      </c>
      <c r="L2165" s="7">
        <v>121</v>
      </c>
      <c r="M2165" s="19" t="e">
        <f>Planning[[#This Row],[Saldo]]-Planning[[#This Row],[Saldo estimado]]</f>
        <v>#REF!</v>
      </c>
      <c r="N2165" s="60" t="e">
        <f>+SUMIFS(#REF!,#REF!,Planning[[#This Row],[Proyectos]],#REF!,Planning[[#This Row],[Tipo de Tarea y especialidad]])</f>
        <v>#REF!</v>
      </c>
      <c r="O2165" s="19">
        <f t="shared" si="66"/>
        <v>10</v>
      </c>
      <c r="P2165" s="19">
        <f t="shared" si="67"/>
        <v>2024</v>
      </c>
      <c r="Q21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65" s="19" t="str">
        <f>TEXT(Planning[[#This Row],[Mes]]*29,"mmmm")</f>
        <v>October</v>
      </c>
      <c r="S21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65" s="193"/>
      <c r="U2165" s="43">
        <f>IF(Planning[[#This Row],[Horas Planificadas]]&lt;&gt;0,+K2165/Planning[[#This Row],[Horas Planificadas]],0)</f>
        <v>0</v>
      </c>
      <c r="V2165" s="43">
        <f>IF(Planning[[#This Row],[Horas Planificadas]]&lt;&gt;0,Planning[[#This Row],[Horas utilizadas]]/Planning[[#This Row],[Horas Planificadas]],0)</f>
        <v>0</v>
      </c>
      <c r="W2165" s="44">
        <f>Planning[[#This Row],[Horas Planificadas]]+Planning[[#This Row],[Horas ajustadas adicionales]]</f>
        <v>0</v>
      </c>
      <c r="X2165" s="142"/>
    </row>
    <row r="2166" spans="1:24" x14ac:dyDescent="0.2">
      <c r="A2166" s="7" t="s">
        <v>294</v>
      </c>
      <c r="B2166" s="7" t="s">
        <v>393</v>
      </c>
      <c r="C2166" s="3"/>
      <c r="D2166" s="3" t="s">
        <v>469</v>
      </c>
      <c r="E2166" s="4" t="s">
        <v>31</v>
      </c>
      <c r="F2166" s="3" t="s">
        <v>31</v>
      </c>
      <c r="G2166" s="9">
        <v>156</v>
      </c>
      <c r="H2166" s="17">
        <v>237</v>
      </c>
      <c r="I2166" s="18"/>
      <c r="J2166" s="14" t="e">
        <f>+SUMIFS(#REF!,#REF!,Planning[[#This Row],[Tarifa]],#REF!,Planning[[#This Row],[Proyectos]])</f>
        <v>#REF!</v>
      </c>
      <c r="K2166" s="14" t="e">
        <f>Planning[[#This Row],[Horas Planificadas]]+Planning[[#This Row],[Horas ajustadas adicionales]]-Planning[[#This Row],[Horas utilizadas]]</f>
        <v>#REF!</v>
      </c>
      <c r="L2166" s="15">
        <v>0</v>
      </c>
      <c r="M2166" s="16" t="e">
        <f>Planning[[#This Row],[Saldo]]-Planning[[#This Row],[Saldo estimado]]</f>
        <v>#REF!</v>
      </c>
      <c r="N2166" s="60" t="e">
        <f>+SUMIFS(#REF!,#REF!,Planning[[#This Row],[Proyectos]],#REF!,Planning[[#This Row],[Tipo de Tarea y especialidad]])</f>
        <v>#REF!</v>
      </c>
      <c r="O2166" s="16">
        <f t="shared" si="66"/>
        <v>10</v>
      </c>
      <c r="P2166" s="16">
        <f t="shared" si="67"/>
        <v>2024</v>
      </c>
      <c r="Q2166" s="16" t="e">
        <f>+SUMIFS(#REF!,#REF!,Planning[[#This Row],[Tarifa]],#REF!,Planning[[#This Row],[Proyectos]],#REF!,Planning[[#This Row],[Mes]],#REF!,Planning[[#This Row],[Año]])</f>
        <v>#REF!</v>
      </c>
      <c r="R2166" s="16" t="str">
        <f>TEXT(Planning[[#This Row],[Mes]]*29,"mmmm")</f>
        <v>October</v>
      </c>
      <c r="S21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66" s="193"/>
      <c r="U2166" s="43" t="e">
        <f>IF(Planning[[#This Row],[Horas Planificadas]]&lt;&gt;0,+K2166/Planning[[#This Row],[Horas Planificadas]],0)</f>
        <v>#REF!</v>
      </c>
      <c r="V2166" s="43" t="e">
        <f>IF(Planning[[#This Row],[Horas Planificadas]]&lt;&gt;0,Planning[[#This Row],[Horas utilizadas]]/Planning[[#This Row],[Horas Planificadas]],0)</f>
        <v>#REF!</v>
      </c>
      <c r="W2166" s="44">
        <f>Planning[[#This Row],[Horas Planificadas]]+Planning[[#This Row],[Horas ajustadas adicionales]]</f>
        <v>237</v>
      </c>
      <c r="X2166" s="142"/>
    </row>
    <row r="2167" spans="1:24" ht="22.5" x14ac:dyDescent="0.2">
      <c r="A2167" s="7" t="s">
        <v>294</v>
      </c>
      <c r="B2167" s="7" t="s">
        <v>393</v>
      </c>
      <c r="C2167" s="3"/>
      <c r="D2167" s="3" t="s">
        <v>469</v>
      </c>
      <c r="E2167" s="4" t="s">
        <v>32</v>
      </c>
      <c r="F2167" s="3"/>
      <c r="G2167" s="9">
        <v>220</v>
      </c>
      <c r="H2167" s="25">
        <f>SUM(H2168:H2170)</f>
        <v>160</v>
      </c>
      <c r="I2167" s="14"/>
      <c r="J2167" s="14" t="e">
        <f>SUM(J2168:J2170)</f>
        <v>#REF!</v>
      </c>
      <c r="K2167" s="18" t="e">
        <f>SUM(K2168:K2170)</f>
        <v>#REF!</v>
      </c>
      <c r="L2167" s="15">
        <f>SUM(L2168:L2170)</f>
        <v>160</v>
      </c>
      <c r="M2167" s="16" t="e">
        <f>SUM(M2168:M2170)</f>
        <v>#REF!</v>
      </c>
      <c r="N2167" s="60" t="e">
        <f>+SUMIFS(#REF!,#REF!,Planning[[#This Row],[Proyectos]],#REF!,Planning[[#This Row],[Tipo de Tarea y especialidad]])</f>
        <v>#REF!</v>
      </c>
      <c r="O2167" s="16">
        <f t="shared" si="66"/>
        <v>10</v>
      </c>
      <c r="P2167" s="16">
        <f t="shared" si="67"/>
        <v>2024</v>
      </c>
      <c r="Q2167" s="16" t="e">
        <f>SUM(Q2168:Q2170)</f>
        <v>#REF!</v>
      </c>
      <c r="R2167" s="16" t="str">
        <f>TEXT(Planning[[#This Row],[Mes]]*29,"mmmm")</f>
        <v>October</v>
      </c>
      <c r="S21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67" s="193"/>
      <c r="U2167" s="43" t="e">
        <f>IF(Planning[[#This Row],[Horas Planificadas]]&lt;&gt;0,+K2167/Planning[[#This Row],[Horas Planificadas]],0)</f>
        <v>#REF!</v>
      </c>
      <c r="V2167" s="43" t="e">
        <f>IF(Planning[[#This Row],[Horas Planificadas]]&lt;&gt;0,Planning[[#This Row],[Horas utilizadas]]/Planning[[#This Row],[Horas Planificadas]],0)</f>
        <v>#REF!</v>
      </c>
      <c r="W2167" s="44">
        <f>Planning[[#This Row],[Horas Planificadas]]+Planning[[#This Row],[Horas ajustadas adicionales]]</f>
        <v>160</v>
      </c>
      <c r="X2167" s="142"/>
    </row>
    <row r="2168" spans="1:24" x14ac:dyDescent="0.2">
      <c r="A2168" s="7" t="s">
        <v>294</v>
      </c>
      <c r="B2168" s="7" t="s">
        <v>393</v>
      </c>
      <c r="C2168" s="3"/>
      <c r="D2168" s="3" t="s">
        <v>469</v>
      </c>
      <c r="E2168" s="4"/>
      <c r="F2168" s="3" t="s">
        <v>129</v>
      </c>
      <c r="G2168" s="9"/>
      <c r="H2168" s="9"/>
      <c r="I2168" s="12"/>
      <c r="J2168" s="5" t="e">
        <f>SUM(SUMIFS(#REF!,#REF!,Planning[[#This Row],[Tipo de Tarea y especialidad]],#REF!,Planning[[#This Row],[Proyectos Reiwa]]),SUMIFS(#REF!,#REF!,Planning[[#This Row],[Tipo de Tarea y especialidad]],#REF!,Planning[[#This Row],[Proyectos]]))</f>
        <v>#REF!</v>
      </c>
      <c r="K2168" s="5" t="e">
        <f>Planning[[#This Row],[Horas Planificadas]]+Planning[[#This Row],[Horas ajustadas adicionales]]-Planning[[#This Row],[Horas utilizadas]]</f>
        <v>#REF!</v>
      </c>
      <c r="L2168" s="7"/>
      <c r="M2168" s="19" t="e">
        <f>Planning[[#This Row],[Saldo]]-Planning[[#This Row],[Saldo estimado]]</f>
        <v>#REF!</v>
      </c>
      <c r="N2168" s="60" t="e">
        <f>+SUMIFS(#REF!,#REF!,Planning[[#This Row],[Proyectos]],#REF!,Planning[[#This Row],[Tipo de Tarea y especialidad]])</f>
        <v>#REF!</v>
      </c>
      <c r="O2168" s="19">
        <f t="shared" si="66"/>
        <v>10</v>
      </c>
      <c r="P2168" s="19">
        <f t="shared" si="67"/>
        <v>2024</v>
      </c>
      <c r="Q21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68" s="19" t="str">
        <f>TEXT(Planning[[#This Row],[Mes]]*29,"mmmm")</f>
        <v>October</v>
      </c>
      <c r="S21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68" s="193"/>
      <c r="U2168" s="43">
        <f>IF(Planning[[#This Row],[Horas Planificadas]]&lt;&gt;0,+K2168/Planning[[#This Row],[Horas Planificadas]],0)</f>
        <v>0</v>
      </c>
      <c r="V2168" s="43">
        <f>IF(Planning[[#This Row],[Horas Planificadas]]&lt;&gt;0,Planning[[#This Row],[Horas utilizadas]]/Planning[[#This Row],[Horas Planificadas]],0)</f>
        <v>0</v>
      </c>
      <c r="W2168" s="44">
        <f>Planning[[#This Row],[Horas Planificadas]]+Planning[[#This Row],[Horas ajustadas adicionales]]</f>
        <v>0</v>
      </c>
      <c r="X2168" s="142"/>
    </row>
    <row r="2169" spans="1:24" x14ac:dyDescent="0.2">
      <c r="A2169" s="7" t="s">
        <v>294</v>
      </c>
      <c r="B2169" s="7" t="s">
        <v>393</v>
      </c>
      <c r="C2169" s="3"/>
      <c r="D2169" s="3" t="s">
        <v>469</v>
      </c>
      <c r="E2169" s="4"/>
      <c r="F2169" s="3" t="s">
        <v>130</v>
      </c>
      <c r="G2169" s="9"/>
      <c r="H2169" s="9"/>
      <c r="I2169" s="12"/>
      <c r="J2169" s="5" t="e">
        <f>SUM(SUMIFS(#REF!,#REF!,Planning[[#This Row],[Tipo de Tarea y especialidad]],#REF!,Planning[[#This Row],[Proyectos Reiwa]]),SUMIFS(#REF!,#REF!,Planning[[#This Row],[Tipo de Tarea y especialidad]],#REF!,Planning[[#This Row],[Proyectos]]))</f>
        <v>#REF!</v>
      </c>
      <c r="K2169" s="5" t="e">
        <f>Planning[[#This Row],[Horas Planificadas]]+Planning[[#This Row],[Horas ajustadas adicionales]]-Planning[[#This Row],[Horas utilizadas]]</f>
        <v>#REF!</v>
      </c>
      <c r="L2169" s="7"/>
      <c r="M2169" s="19" t="e">
        <f>Planning[[#This Row],[Saldo]]-Planning[[#This Row],[Saldo estimado]]</f>
        <v>#REF!</v>
      </c>
      <c r="N2169" s="60" t="e">
        <f>+SUMIFS(#REF!,#REF!,Planning[[#This Row],[Proyectos]],#REF!,Planning[[#This Row],[Tipo de Tarea y especialidad]])</f>
        <v>#REF!</v>
      </c>
      <c r="O2169" s="19">
        <f t="shared" si="66"/>
        <v>10</v>
      </c>
      <c r="P2169" s="19">
        <f t="shared" si="67"/>
        <v>2024</v>
      </c>
      <c r="Q21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69" s="19" t="str">
        <f>TEXT(Planning[[#This Row],[Mes]]*29,"mmmm")</f>
        <v>October</v>
      </c>
      <c r="S21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69" s="193"/>
      <c r="U2169" s="43">
        <f>IF(Planning[[#This Row],[Horas Planificadas]]&lt;&gt;0,+K2169/Planning[[#This Row],[Horas Planificadas]],0)</f>
        <v>0</v>
      </c>
      <c r="V2169" s="43">
        <f>IF(Planning[[#This Row],[Horas Planificadas]]&lt;&gt;0,Planning[[#This Row],[Horas utilizadas]]/Planning[[#This Row],[Horas Planificadas]],0)</f>
        <v>0</v>
      </c>
      <c r="W2169" s="44">
        <f>Planning[[#This Row],[Horas Planificadas]]+Planning[[#This Row],[Horas ajustadas adicionales]]</f>
        <v>0</v>
      </c>
      <c r="X2169" s="142"/>
    </row>
    <row r="2170" spans="1:24" x14ac:dyDescent="0.2">
      <c r="A2170" s="7" t="s">
        <v>294</v>
      </c>
      <c r="B2170" s="7" t="s">
        <v>393</v>
      </c>
      <c r="C2170" s="3"/>
      <c r="D2170" s="3" t="s">
        <v>469</v>
      </c>
      <c r="E2170" s="4"/>
      <c r="F2170" s="3" t="s">
        <v>131</v>
      </c>
      <c r="G2170" s="9"/>
      <c r="H2170" s="9">
        <v>160</v>
      </c>
      <c r="I2170" s="12"/>
      <c r="J2170" s="5" t="e">
        <f>SUM(SUMIFS(#REF!,#REF!,Planning[[#This Row],[Tipo de Tarea y especialidad]],#REF!,Planning[[#This Row],[Proyectos Reiwa]]),SUMIFS(#REF!,#REF!,Planning[[#This Row],[Tipo de Tarea y especialidad]],#REF!,Planning[[#This Row],[Proyectos]]))</f>
        <v>#REF!</v>
      </c>
      <c r="K2170" s="5" t="e">
        <f>Planning[[#This Row],[Horas Planificadas]]+Planning[[#This Row],[Horas ajustadas adicionales]]-Planning[[#This Row],[Horas utilizadas]]</f>
        <v>#REF!</v>
      </c>
      <c r="L2170" s="7">
        <v>160</v>
      </c>
      <c r="M2170" s="19" t="e">
        <f>Planning[[#This Row],[Saldo]]-Planning[[#This Row],[Saldo estimado]]</f>
        <v>#REF!</v>
      </c>
      <c r="N2170" s="60" t="e">
        <f>+SUMIFS(#REF!,#REF!,Planning[[#This Row],[Proyectos]],#REF!,Planning[[#This Row],[Tipo de Tarea y especialidad]])</f>
        <v>#REF!</v>
      </c>
      <c r="O2170" s="19">
        <f t="shared" si="66"/>
        <v>10</v>
      </c>
      <c r="P2170" s="19">
        <f t="shared" si="67"/>
        <v>2024</v>
      </c>
      <c r="Q21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70" s="19" t="str">
        <f>TEXT(Planning[[#This Row],[Mes]]*29,"mmmm")</f>
        <v>October</v>
      </c>
      <c r="S21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70" s="193"/>
      <c r="U2170" s="43" t="e">
        <f>IF(Planning[[#This Row],[Horas Planificadas]]&lt;&gt;0,+K2170/Planning[[#This Row],[Horas Planificadas]],0)</f>
        <v>#REF!</v>
      </c>
      <c r="V2170" s="43" t="e">
        <f>IF(Planning[[#This Row],[Horas Planificadas]]&lt;&gt;0,Planning[[#This Row],[Horas utilizadas]]/Planning[[#This Row],[Horas Planificadas]],0)</f>
        <v>#REF!</v>
      </c>
      <c r="W2170" s="44">
        <f>Planning[[#This Row],[Horas Planificadas]]+Planning[[#This Row],[Horas ajustadas adicionales]]</f>
        <v>160</v>
      </c>
      <c r="X2170" s="142"/>
    </row>
    <row r="2171" spans="1:24" ht="22.5" x14ac:dyDescent="0.2">
      <c r="A2171" s="7" t="s">
        <v>177</v>
      </c>
      <c r="B2171" s="7" t="s">
        <v>169</v>
      </c>
      <c r="C2171" s="3"/>
      <c r="D2171" s="3" t="s">
        <v>471</v>
      </c>
      <c r="E2171" s="4" t="s">
        <v>28</v>
      </c>
      <c r="F2171" s="3"/>
      <c r="G2171" s="9">
        <v>230</v>
      </c>
      <c r="H2171" s="14">
        <f>SUM(H2172:H2173)</f>
        <v>194</v>
      </c>
      <c r="I2171" s="14"/>
      <c r="J2171" s="14" t="e">
        <f>SUM(J2172:J2173)</f>
        <v>#REF!</v>
      </c>
      <c r="K2171" s="15" t="e">
        <f>SUM(K2172:K2173)</f>
        <v>#REF!</v>
      </c>
      <c r="L2171" s="15">
        <f>SUM(L2172:L2173)</f>
        <v>0</v>
      </c>
      <c r="M2171" s="28" t="e">
        <f>SUM(M2172:M2173)</f>
        <v>#REF!</v>
      </c>
      <c r="N2171" s="61" t="e">
        <f>+SUMIFS(#REF!,#REF!,Planning[[#This Row],[Proyectos]],#REF!,Planning[[#This Row],[Tipo de Tarea y especialidad]])</f>
        <v>#REF!</v>
      </c>
      <c r="O2171" s="28">
        <f t="shared" si="66"/>
        <v>10</v>
      </c>
      <c r="P2171" s="28">
        <f t="shared" si="67"/>
        <v>2024</v>
      </c>
      <c r="Q2171" s="28" t="e">
        <f>SUM(Q2172:Q2173)</f>
        <v>#REF!</v>
      </c>
      <c r="R2171" s="28" t="str">
        <f>TEXT(Planning[[#This Row],[Mes]]*29,"mmmm")</f>
        <v>October</v>
      </c>
      <c r="S21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71" s="192" t="s">
        <v>472</v>
      </c>
      <c r="U2171" s="43" t="e">
        <f>IF(Planning[[#This Row],[Horas Planificadas]]&lt;&gt;0,+K2171/Planning[[#This Row],[Horas Planificadas]],0)</f>
        <v>#REF!</v>
      </c>
      <c r="V2171" s="43" t="e">
        <f>IF(Planning[[#This Row],[Horas Planificadas]]&lt;&gt;0,Planning[[#This Row],[Horas utilizadas]]/Planning[[#This Row],[Horas Planificadas]],0)</f>
        <v>#REF!</v>
      </c>
      <c r="W2171" s="44">
        <f>Planning[[#This Row],[Horas Planificadas]]+Planning[[#This Row],[Horas ajustadas adicionales]]</f>
        <v>194</v>
      </c>
      <c r="X2171" s="142"/>
    </row>
    <row r="2172" spans="1:24" x14ac:dyDescent="0.2">
      <c r="A2172" s="7" t="s">
        <v>177</v>
      </c>
      <c r="B2172" s="7" t="s">
        <v>169</v>
      </c>
      <c r="C2172" s="3"/>
      <c r="D2172" s="3" t="s">
        <v>471</v>
      </c>
      <c r="E2172" s="4"/>
      <c r="F2172" s="3" t="s">
        <v>120</v>
      </c>
      <c r="G2172" s="9"/>
      <c r="H2172" s="9">
        <v>153</v>
      </c>
      <c r="I2172" s="12"/>
      <c r="J2172" s="5" t="e">
        <f>SUM(SUMIFS(#REF!,#REF!,Planning[[#This Row],[Tipo de Tarea y especialidad]],#REF!,Planning[[#This Row],[Proyectos Reiwa]]),SUMIFS(#REF!,#REF!,Planning[[#This Row],[Tipo de Tarea y especialidad]],#REF!,Planning[[#This Row],[Proyectos]]))</f>
        <v>#REF!</v>
      </c>
      <c r="K2172" s="5" t="e">
        <f>Planning[[#This Row],[Horas Planificadas]]+Planning[[#This Row],[Horas ajustadas adicionales]]-Planning[[#This Row],[Horas utilizadas]]</f>
        <v>#REF!</v>
      </c>
      <c r="L2172" s="7">
        <v>0</v>
      </c>
      <c r="M2172" s="19" t="e">
        <f>Planning[[#This Row],[Saldo]]-Planning[[#This Row],[Saldo estimado]]</f>
        <v>#REF!</v>
      </c>
      <c r="N2172" s="60" t="e">
        <f>+SUMIFS(#REF!,#REF!,Planning[[#This Row],[Proyectos]],#REF!,Planning[[#This Row],[Tipo de Tarea y especialidad]])</f>
        <v>#REF!</v>
      </c>
      <c r="O2172" s="19">
        <f t="shared" si="66"/>
        <v>10</v>
      </c>
      <c r="P2172" s="19">
        <f t="shared" si="67"/>
        <v>2024</v>
      </c>
      <c r="Q21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72" s="19" t="str">
        <f>TEXT(Planning[[#This Row],[Mes]]*29,"mmmm")</f>
        <v>October</v>
      </c>
      <c r="S21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72" s="193"/>
      <c r="U2172" s="43" t="e">
        <f>IF(Planning[[#This Row],[Horas Planificadas]]&lt;&gt;0,+K2172/Planning[[#This Row],[Horas Planificadas]],0)</f>
        <v>#REF!</v>
      </c>
      <c r="V2172" s="43" t="e">
        <f>IF(Planning[[#This Row],[Horas Planificadas]]&lt;&gt;0,Planning[[#This Row],[Horas utilizadas]]/Planning[[#This Row],[Horas Planificadas]],0)</f>
        <v>#REF!</v>
      </c>
      <c r="W2172" s="44">
        <f>Planning[[#This Row],[Horas Planificadas]]+Planning[[#This Row],[Horas ajustadas adicionales]]</f>
        <v>153</v>
      </c>
      <c r="X2172" s="142"/>
    </row>
    <row r="2173" spans="1:24" x14ac:dyDescent="0.2">
      <c r="A2173" s="7" t="s">
        <v>177</v>
      </c>
      <c r="B2173" s="7" t="s">
        <v>169</v>
      </c>
      <c r="C2173" s="3"/>
      <c r="D2173" s="3" t="s">
        <v>471</v>
      </c>
      <c r="E2173" s="4"/>
      <c r="F2173" s="3" t="s">
        <v>121</v>
      </c>
      <c r="G2173" s="9"/>
      <c r="H2173" s="9">
        <v>41</v>
      </c>
      <c r="I2173" s="12"/>
      <c r="J2173" s="5" t="e">
        <f>SUM(SUMIFS(#REF!,#REF!,Planning[[#This Row],[Tipo de Tarea y especialidad]],#REF!,Planning[[#This Row],[Proyectos Reiwa]]),SUMIFS(#REF!,#REF!,Planning[[#This Row],[Tipo de Tarea y especialidad]],#REF!,Planning[[#This Row],[Proyectos]]))</f>
        <v>#REF!</v>
      </c>
      <c r="K2173" s="5" t="e">
        <f>Planning[[#This Row],[Horas Planificadas]]+Planning[[#This Row],[Horas ajustadas adicionales]]-Planning[[#This Row],[Horas utilizadas]]</f>
        <v>#REF!</v>
      </c>
      <c r="L2173" s="7">
        <v>0</v>
      </c>
      <c r="M2173" s="19" t="e">
        <f>Planning[[#This Row],[Saldo]]-Planning[[#This Row],[Saldo estimado]]</f>
        <v>#REF!</v>
      </c>
      <c r="N2173" s="60" t="e">
        <f>+SUMIFS(#REF!,#REF!,Planning[[#This Row],[Proyectos]],#REF!,Planning[[#This Row],[Tipo de Tarea y especialidad]])</f>
        <v>#REF!</v>
      </c>
      <c r="O2173" s="19">
        <f t="shared" si="66"/>
        <v>10</v>
      </c>
      <c r="P2173" s="19">
        <f t="shared" si="67"/>
        <v>2024</v>
      </c>
      <c r="Q21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73" s="19" t="str">
        <f>TEXT(Planning[[#This Row],[Mes]]*29,"mmmm")</f>
        <v>October</v>
      </c>
      <c r="S21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73" s="193"/>
      <c r="U2173" s="43" t="e">
        <f>IF(Planning[[#This Row],[Horas Planificadas]]&lt;&gt;0,+K2173/Planning[[#This Row],[Horas Planificadas]],0)</f>
        <v>#REF!</v>
      </c>
      <c r="V2173" s="43" t="e">
        <f>IF(Planning[[#This Row],[Horas Planificadas]]&lt;&gt;0,Planning[[#This Row],[Horas utilizadas]]/Planning[[#This Row],[Horas Planificadas]],0)</f>
        <v>#REF!</v>
      </c>
      <c r="W2173" s="44">
        <f>Planning[[#This Row],[Horas Planificadas]]+Planning[[#This Row],[Horas ajustadas adicionales]]</f>
        <v>41</v>
      </c>
      <c r="X2173" s="142"/>
    </row>
    <row r="2174" spans="1:24" x14ac:dyDescent="0.2">
      <c r="A2174" s="7" t="s">
        <v>177</v>
      </c>
      <c r="B2174" s="7" t="s">
        <v>169</v>
      </c>
      <c r="C2174" s="3"/>
      <c r="D2174" s="3" t="s">
        <v>471</v>
      </c>
      <c r="E2174" s="4" t="s">
        <v>30</v>
      </c>
      <c r="F2174" s="3"/>
      <c r="G2174" s="9">
        <v>244</v>
      </c>
      <c r="H2174" s="25">
        <f>SUM(H2175:H2181)</f>
        <v>244</v>
      </c>
      <c r="I2174" s="14"/>
      <c r="J2174" s="14" t="e">
        <f>SUM(J2175:J2181)</f>
        <v>#REF!</v>
      </c>
      <c r="K2174" s="18" t="e">
        <f>SUM(K2175:K2181)</f>
        <v>#REF!</v>
      </c>
      <c r="L2174" s="15">
        <f>SUM(L2175:L2181)</f>
        <v>0</v>
      </c>
      <c r="M2174" s="16" t="e">
        <f>SUM(M2175:M2181)</f>
        <v>#REF!</v>
      </c>
      <c r="N2174" s="60" t="e">
        <f>+SUMIFS(#REF!,#REF!,Planning[[#This Row],[Proyectos]],#REF!,Planning[[#This Row],[Tipo de Tarea y especialidad]])</f>
        <v>#REF!</v>
      </c>
      <c r="O2174" s="16">
        <f t="shared" si="66"/>
        <v>10</v>
      </c>
      <c r="P2174" s="16">
        <f t="shared" si="67"/>
        <v>2024</v>
      </c>
      <c r="Q2174" s="16" t="e">
        <f>SUM(Q2175:Q2181)</f>
        <v>#REF!</v>
      </c>
      <c r="R2174" s="16" t="str">
        <f>TEXT(Planning[[#This Row],[Mes]]*29,"mmmm")</f>
        <v>October</v>
      </c>
      <c r="S21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74" s="193"/>
      <c r="U2174" s="43" t="e">
        <f>IF(Planning[[#This Row],[Horas Planificadas]]&lt;&gt;0,+K2174/Planning[[#This Row],[Horas Planificadas]],0)</f>
        <v>#REF!</v>
      </c>
      <c r="V2174" s="43" t="e">
        <f>IF(Planning[[#This Row],[Horas Planificadas]]&lt;&gt;0,Planning[[#This Row],[Horas utilizadas]]/Planning[[#This Row],[Horas Planificadas]],0)</f>
        <v>#REF!</v>
      </c>
      <c r="W2174" s="44">
        <f>Planning[[#This Row],[Horas Planificadas]]+Planning[[#This Row],[Horas ajustadas adicionales]]</f>
        <v>244</v>
      </c>
      <c r="X2174" s="142"/>
    </row>
    <row r="2175" spans="1:24" x14ac:dyDescent="0.2">
      <c r="A2175" s="7" t="s">
        <v>177</v>
      </c>
      <c r="B2175" s="7" t="s">
        <v>169</v>
      </c>
      <c r="C2175" s="3"/>
      <c r="D2175" s="3" t="s">
        <v>471</v>
      </c>
      <c r="E2175" s="33"/>
      <c r="F2175" s="33" t="s">
        <v>122</v>
      </c>
      <c r="G2175" s="7"/>
      <c r="H2175" s="7">
        <v>84</v>
      </c>
      <c r="I2175" s="12"/>
      <c r="J2175" s="5" t="e">
        <f>SUM(SUMIFS(#REF!,#REF!,Planning[[#This Row],[Tipo de Tarea y especialidad]],#REF!,Planning[[#This Row],[Proyectos Reiwa]]),SUMIFS(#REF!,#REF!,Planning[[#This Row],[Tipo de Tarea y especialidad]],#REF!,Planning[[#This Row],[Proyectos]]))</f>
        <v>#REF!</v>
      </c>
      <c r="K2175" s="5" t="e">
        <f>Planning[[#This Row],[Horas Planificadas]]+Planning[[#This Row],[Horas ajustadas adicionales]]-Planning[[#This Row],[Horas utilizadas]]</f>
        <v>#REF!</v>
      </c>
      <c r="L2175" s="7">
        <v>0</v>
      </c>
      <c r="M2175" s="19" t="e">
        <f>Planning[[#This Row],[Saldo]]-Planning[[#This Row],[Saldo estimado]]</f>
        <v>#REF!</v>
      </c>
      <c r="N2175" s="60" t="e">
        <f>+SUMIFS(#REF!,#REF!,Planning[[#This Row],[Proyectos]],#REF!,Planning[[#This Row],[Tipo de Tarea y especialidad]])</f>
        <v>#REF!</v>
      </c>
      <c r="O2175" s="19">
        <f t="shared" si="66"/>
        <v>10</v>
      </c>
      <c r="P2175" s="19">
        <f t="shared" si="67"/>
        <v>2024</v>
      </c>
      <c r="Q21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75" s="19" t="str">
        <f>TEXT(Planning[[#This Row],[Mes]]*29,"mmmm")</f>
        <v>October</v>
      </c>
      <c r="S21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75" s="193"/>
      <c r="U2175" s="43" t="e">
        <f>IF(Planning[[#This Row],[Horas Planificadas]]&lt;&gt;0,+K2175/Planning[[#This Row],[Horas Planificadas]],0)</f>
        <v>#REF!</v>
      </c>
      <c r="V2175" s="43" t="e">
        <f>IF(Planning[[#This Row],[Horas Planificadas]]&lt;&gt;0,Planning[[#This Row],[Horas utilizadas]]/Planning[[#This Row],[Horas Planificadas]],0)</f>
        <v>#REF!</v>
      </c>
      <c r="W2175" s="44">
        <f>Planning[[#This Row],[Horas Planificadas]]+Planning[[#This Row],[Horas ajustadas adicionales]]</f>
        <v>84</v>
      </c>
      <c r="X2175" s="142"/>
    </row>
    <row r="2176" spans="1:24" x14ac:dyDescent="0.2">
      <c r="A2176" s="7" t="s">
        <v>177</v>
      </c>
      <c r="B2176" s="7" t="s">
        <v>169</v>
      </c>
      <c r="C2176" s="3"/>
      <c r="D2176" s="3" t="s">
        <v>471</v>
      </c>
      <c r="E2176" s="33"/>
      <c r="F2176" s="33" t="s">
        <v>123</v>
      </c>
      <c r="G2176" s="7"/>
      <c r="H2176" s="7"/>
      <c r="I2176" s="12"/>
      <c r="J2176" s="5" t="e">
        <f>SUM(SUMIFS(#REF!,#REF!,Planning[[#This Row],[Tipo de Tarea y especialidad]],#REF!,Planning[[#This Row],[Proyectos Reiwa]]),SUMIFS(#REF!,#REF!,Planning[[#This Row],[Tipo de Tarea y especialidad]],#REF!,Planning[[#This Row],[Proyectos]]))</f>
        <v>#REF!</v>
      </c>
      <c r="K2176" s="5" t="e">
        <f>Planning[[#This Row],[Horas Planificadas]]+Planning[[#This Row],[Horas ajustadas adicionales]]-Planning[[#This Row],[Horas utilizadas]]</f>
        <v>#REF!</v>
      </c>
      <c r="L2176" s="7">
        <v>0</v>
      </c>
      <c r="M2176" s="19" t="e">
        <f>Planning[[#This Row],[Saldo]]-Planning[[#This Row],[Saldo estimado]]</f>
        <v>#REF!</v>
      </c>
      <c r="N2176" s="60" t="e">
        <f>+SUMIFS(#REF!,#REF!,Planning[[#This Row],[Proyectos]],#REF!,Planning[[#This Row],[Tipo de Tarea y especialidad]])</f>
        <v>#REF!</v>
      </c>
      <c r="O2176" s="19">
        <f t="shared" si="66"/>
        <v>10</v>
      </c>
      <c r="P2176" s="19">
        <f t="shared" si="67"/>
        <v>2024</v>
      </c>
      <c r="Q21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76" s="19" t="str">
        <f>TEXT(Planning[[#This Row],[Mes]]*29,"mmmm")</f>
        <v>October</v>
      </c>
      <c r="S21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76" s="193"/>
      <c r="U2176" s="43">
        <f>IF(Planning[[#This Row],[Horas Planificadas]]&lt;&gt;0,+K2176/Planning[[#This Row],[Horas Planificadas]],0)</f>
        <v>0</v>
      </c>
      <c r="V2176" s="43">
        <f>IF(Planning[[#This Row],[Horas Planificadas]]&lt;&gt;0,Planning[[#This Row],[Horas utilizadas]]/Planning[[#This Row],[Horas Planificadas]],0)</f>
        <v>0</v>
      </c>
      <c r="W2176" s="44">
        <f>Planning[[#This Row],[Horas Planificadas]]+Planning[[#This Row],[Horas ajustadas adicionales]]</f>
        <v>0</v>
      </c>
      <c r="X2176" s="142"/>
    </row>
    <row r="2177" spans="1:24" x14ac:dyDescent="0.2">
      <c r="A2177" s="7" t="s">
        <v>177</v>
      </c>
      <c r="B2177" s="7" t="s">
        <v>169</v>
      </c>
      <c r="C2177" s="3"/>
      <c r="D2177" s="3" t="s">
        <v>471</v>
      </c>
      <c r="E2177" s="33"/>
      <c r="F2177" s="33" t="s">
        <v>124</v>
      </c>
      <c r="G2177" s="7"/>
      <c r="H2177" s="7"/>
      <c r="I2177" s="12"/>
      <c r="J2177" s="5" t="e">
        <f>SUM(SUMIFS(#REF!,#REF!,Planning[[#This Row],[Tipo de Tarea y especialidad]],#REF!,Planning[[#This Row],[Proyectos Reiwa]]),SUMIFS(#REF!,#REF!,Planning[[#This Row],[Tipo de Tarea y especialidad]],#REF!,Planning[[#This Row],[Proyectos]]))</f>
        <v>#REF!</v>
      </c>
      <c r="K2177" s="5" t="e">
        <f>Planning[[#This Row],[Horas Planificadas]]+Planning[[#This Row],[Horas ajustadas adicionales]]-Planning[[#This Row],[Horas utilizadas]]</f>
        <v>#REF!</v>
      </c>
      <c r="L2177" s="7">
        <v>0</v>
      </c>
      <c r="M2177" s="19" t="e">
        <f>Planning[[#This Row],[Saldo]]-Planning[[#This Row],[Saldo estimado]]</f>
        <v>#REF!</v>
      </c>
      <c r="N2177" s="60" t="e">
        <f>+SUMIFS(#REF!,#REF!,Planning[[#This Row],[Proyectos]],#REF!,Planning[[#This Row],[Tipo de Tarea y especialidad]])</f>
        <v>#REF!</v>
      </c>
      <c r="O2177" s="19">
        <f t="shared" si="66"/>
        <v>10</v>
      </c>
      <c r="P2177" s="19">
        <f t="shared" si="67"/>
        <v>2024</v>
      </c>
      <c r="Q21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77" s="19" t="str">
        <f>TEXT(Planning[[#This Row],[Mes]]*29,"mmmm")</f>
        <v>October</v>
      </c>
      <c r="S21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77" s="193"/>
      <c r="U2177" s="43">
        <f>IF(Planning[[#This Row],[Horas Planificadas]]&lt;&gt;0,+K2177/Planning[[#This Row],[Horas Planificadas]],0)</f>
        <v>0</v>
      </c>
      <c r="V2177" s="43">
        <f>IF(Planning[[#This Row],[Horas Planificadas]]&lt;&gt;0,Planning[[#This Row],[Horas utilizadas]]/Planning[[#This Row],[Horas Planificadas]],0)</f>
        <v>0</v>
      </c>
      <c r="W2177" s="44">
        <f>Planning[[#This Row],[Horas Planificadas]]+Planning[[#This Row],[Horas ajustadas adicionales]]</f>
        <v>0</v>
      </c>
      <c r="X2177" s="142"/>
    </row>
    <row r="2178" spans="1:24" x14ac:dyDescent="0.2">
      <c r="A2178" s="7" t="s">
        <v>177</v>
      </c>
      <c r="B2178" s="7" t="s">
        <v>169</v>
      </c>
      <c r="C2178" s="3"/>
      <c r="D2178" s="3" t="s">
        <v>471</v>
      </c>
      <c r="E2178" s="33"/>
      <c r="F2178" s="33" t="s">
        <v>125</v>
      </c>
      <c r="G2178" s="7"/>
      <c r="H2178" s="7">
        <v>124</v>
      </c>
      <c r="I2178" s="12"/>
      <c r="J2178" s="5" t="e">
        <f>SUM(SUMIFS(#REF!,#REF!,Planning[[#This Row],[Tipo de Tarea y especialidad]],#REF!,Planning[[#This Row],[Proyectos Reiwa]]),SUMIFS(#REF!,#REF!,Planning[[#This Row],[Tipo de Tarea y especialidad]],#REF!,Planning[[#This Row],[Proyectos]]))</f>
        <v>#REF!</v>
      </c>
      <c r="K2178" s="5" t="e">
        <f>Planning[[#This Row],[Horas Planificadas]]+Planning[[#This Row],[Horas ajustadas adicionales]]-Planning[[#This Row],[Horas utilizadas]]</f>
        <v>#REF!</v>
      </c>
      <c r="L2178" s="7">
        <v>0</v>
      </c>
      <c r="M2178" s="19" t="e">
        <f>Planning[[#This Row],[Saldo]]-Planning[[#This Row],[Saldo estimado]]</f>
        <v>#REF!</v>
      </c>
      <c r="N2178" s="60" t="e">
        <f>+SUMIFS(#REF!,#REF!,Planning[[#This Row],[Proyectos]],#REF!,Planning[[#This Row],[Tipo de Tarea y especialidad]])</f>
        <v>#REF!</v>
      </c>
      <c r="O2178" s="19">
        <f t="shared" si="66"/>
        <v>10</v>
      </c>
      <c r="P2178" s="19">
        <f t="shared" si="67"/>
        <v>2024</v>
      </c>
      <c r="Q21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78" s="19" t="str">
        <f>TEXT(Planning[[#This Row],[Mes]]*29,"mmmm")</f>
        <v>October</v>
      </c>
      <c r="S21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78" s="193"/>
      <c r="U2178" s="43" t="e">
        <f>IF(Planning[[#This Row],[Horas Planificadas]]&lt;&gt;0,+K2178/Planning[[#This Row],[Horas Planificadas]],0)</f>
        <v>#REF!</v>
      </c>
      <c r="V2178" s="43" t="e">
        <f>IF(Planning[[#This Row],[Horas Planificadas]]&lt;&gt;0,Planning[[#This Row],[Horas utilizadas]]/Planning[[#This Row],[Horas Planificadas]],0)</f>
        <v>#REF!</v>
      </c>
      <c r="W2178" s="44">
        <f>Planning[[#This Row],[Horas Planificadas]]+Planning[[#This Row],[Horas ajustadas adicionales]]</f>
        <v>124</v>
      </c>
      <c r="X2178" s="142"/>
    </row>
    <row r="2179" spans="1:24" x14ac:dyDescent="0.2">
      <c r="A2179" s="7" t="s">
        <v>177</v>
      </c>
      <c r="B2179" s="7" t="s">
        <v>169</v>
      </c>
      <c r="C2179" s="3"/>
      <c r="D2179" s="3" t="s">
        <v>471</v>
      </c>
      <c r="E2179" s="4"/>
      <c r="F2179" s="3" t="s">
        <v>126</v>
      </c>
      <c r="G2179" s="9"/>
      <c r="H2179" s="12">
        <v>36</v>
      </c>
      <c r="I2179" s="12"/>
      <c r="J2179" s="5" t="e">
        <f>SUM(SUMIFS(#REF!,#REF!,Planning[[#This Row],[Tipo de Tarea y especialidad]],#REF!,Planning[[#This Row],[Proyectos Reiwa]]),SUMIFS(#REF!,#REF!,Planning[[#This Row],[Tipo de Tarea y especialidad]],#REF!,Planning[[#This Row],[Proyectos]]))</f>
        <v>#REF!</v>
      </c>
      <c r="K2179" s="27" t="e">
        <f>Planning[[#This Row],[Horas Planificadas]]+Planning[[#This Row],[Horas ajustadas adicionales]]-Planning[[#This Row],[Horas utilizadas]]</f>
        <v>#REF!</v>
      </c>
      <c r="L2179" s="7">
        <v>0</v>
      </c>
      <c r="M2179" s="34" t="e">
        <f>Planning[[#This Row],[Saldo]]-Planning[[#This Row],[Saldo estimado]]</f>
        <v>#REF!</v>
      </c>
      <c r="N2179" s="62" t="e">
        <f>+SUMIFS(#REF!,#REF!,Planning[[#This Row],[Proyectos]],#REF!,Planning[[#This Row],[Tipo de Tarea y especialidad]])</f>
        <v>#REF!</v>
      </c>
      <c r="O2179" s="34">
        <f t="shared" si="66"/>
        <v>10</v>
      </c>
      <c r="P2179" s="34">
        <f t="shared" si="67"/>
        <v>2024</v>
      </c>
      <c r="Q21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79" s="19" t="str">
        <f>TEXT(Planning[[#This Row],[Mes]]*29,"mmmm")</f>
        <v>October</v>
      </c>
      <c r="S21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79" s="193"/>
      <c r="U2179" s="43" t="e">
        <f>IF(Planning[[#This Row],[Horas Planificadas]]&lt;&gt;0,+K2179/Planning[[#This Row],[Horas Planificadas]],0)</f>
        <v>#REF!</v>
      </c>
      <c r="V2179" s="43" t="e">
        <f>IF(Planning[[#This Row],[Horas Planificadas]]&lt;&gt;0,Planning[[#This Row],[Horas utilizadas]]/Planning[[#This Row],[Horas Planificadas]],0)</f>
        <v>#REF!</v>
      </c>
      <c r="W2179" s="44">
        <f>Planning[[#This Row],[Horas Planificadas]]+Planning[[#This Row],[Horas ajustadas adicionales]]</f>
        <v>36</v>
      </c>
      <c r="X2179" s="142"/>
    </row>
    <row r="2180" spans="1:24" x14ac:dyDescent="0.2">
      <c r="A2180" s="7" t="s">
        <v>177</v>
      </c>
      <c r="B2180" s="7" t="s">
        <v>169</v>
      </c>
      <c r="C2180" s="3"/>
      <c r="D2180" s="3" t="s">
        <v>471</v>
      </c>
      <c r="E2180" s="4"/>
      <c r="F2180" s="3" t="s">
        <v>127</v>
      </c>
      <c r="G2180" s="9"/>
      <c r="H2180" s="9"/>
      <c r="I2180" s="12"/>
      <c r="J2180" s="5" t="e">
        <f>SUM(SUMIFS(#REF!,#REF!,Planning[[#This Row],[Tipo de Tarea y especialidad]],#REF!,Planning[[#This Row],[Proyectos Reiwa]]),SUMIFS(#REF!,#REF!,Planning[[#This Row],[Tipo de Tarea y especialidad]],#REF!,Planning[[#This Row],[Proyectos]]))</f>
        <v>#REF!</v>
      </c>
      <c r="K2180" s="5" t="e">
        <f>Planning[[#This Row],[Horas Planificadas]]+Planning[[#This Row],[Horas ajustadas adicionales]]-Planning[[#This Row],[Horas utilizadas]]</f>
        <v>#REF!</v>
      </c>
      <c r="L2180" s="7">
        <v>0</v>
      </c>
      <c r="M2180" s="19" t="e">
        <f>Planning[[#This Row],[Saldo]]-Planning[[#This Row],[Saldo estimado]]</f>
        <v>#REF!</v>
      </c>
      <c r="N2180" s="60" t="e">
        <f>+SUMIFS(#REF!,#REF!,Planning[[#This Row],[Proyectos]],#REF!,Planning[[#This Row],[Tipo de Tarea y especialidad]])</f>
        <v>#REF!</v>
      </c>
      <c r="O2180" s="19">
        <f t="shared" si="66"/>
        <v>10</v>
      </c>
      <c r="P2180" s="19">
        <f t="shared" si="67"/>
        <v>2024</v>
      </c>
      <c r="Q21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80" s="19" t="str">
        <f>TEXT(Planning[[#This Row],[Mes]]*29,"mmmm")</f>
        <v>October</v>
      </c>
      <c r="S21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80" s="193"/>
      <c r="U2180" s="43">
        <f>IF(Planning[[#This Row],[Horas Planificadas]]&lt;&gt;0,+K2180/Planning[[#This Row],[Horas Planificadas]],0)</f>
        <v>0</v>
      </c>
      <c r="V2180" s="43">
        <f>IF(Planning[[#This Row],[Horas Planificadas]]&lt;&gt;0,Planning[[#This Row],[Horas utilizadas]]/Planning[[#This Row],[Horas Planificadas]],0)</f>
        <v>0</v>
      </c>
      <c r="W2180" s="44">
        <f>Planning[[#This Row],[Horas Planificadas]]+Planning[[#This Row],[Horas ajustadas adicionales]]</f>
        <v>0</v>
      </c>
      <c r="X2180" s="142"/>
    </row>
    <row r="2181" spans="1:24" x14ac:dyDescent="0.2">
      <c r="A2181" s="7" t="s">
        <v>177</v>
      </c>
      <c r="B2181" s="7" t="s">
        <v>169</v>
      </c>
      <c r="C2181" s="3"/>
      <c r="D2181" s="3" t="s">
        <v>471</v>
      </c>
      <c r="E2181" s="4"/>
      <c r="F2181" s="3" t="s">
        <v>128</v>
      </c>
      <c r="G2181" s="9"/>
      <c r="H2181" s="9"/>
      <c r="I2181" s="12"/>
      <c r="J2181" s="5" t="e">
        <f>SUM(SUMIFS(#REF!,#REF!,Planning[[#This Row],[Tipo de Tarea y especialidad]],#REF!,Planning[[#This Row],[Proyectos Reiwa]]),SUMIFS(#REF!,#REF!,Planning[[#This Row],[Tipo de Tarea y especialidad]],#REF!,Planning[[#This Row],[Proyectos]]))</f>
        <v>#REF!</v>
      </c>
      <c r="K2181" s="5" t="e">
        <f>Planning[[#This Row],[Horas Planificadas]]+Planning[[#This Row],[Horas ajustadas adicionales]]-Planning[[#This Row],[Horas utilizadas]]</f>
        <v>#REF!</v>
      </c>
      <c r="L2181" s="7">
        <v>0</v>
      </c>
      <c r="M2181" s="19" t="e">
        <f>Planning[[#This Row],[Saldo]]-Planning[[#This Row],[Saldo estimado]]</f>
        <v>#REF!</v>
      </c>
      <c r="N2181" s="60" t="e">
        <f>+SUMIFS(#REF!,#REF!,Planning[[#This Row],[Proyectos]],#REF!,Planning[[#This Row],[Tipo de Tarea y especialidad]])</f>
        <v>#REF!</v>
      </c>
      <c r="O2181" s="19">
        <f t="shared" si="66"/>
        <v>10</v>
      </c>
      <c r="P2181" s="19">
        <f t="shared" si="67"/>
        <v>2024</v>
      </c>
      <c r="Q21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81" s="19" t="str">
        <f>TEXT(Planning[[#This Row],[Mes]]*29,"mmmm")</f>
        <v>October</v>
      </c>
      <c r="S21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81" s="193"/>
      <c r="U2181" s="43">
        <f>IF(Planning[[#This Row],[Horas Planificadas]]&lt;&gt;0,+K2181/Planning[[#This Row],[Horas Planificadas]],0)</f>
        <v>0</v>
      </c>
      <c r="V2181" s="43">
        <f>IF(Planning[[#This Row],[Horas Planificadas]]&lt;&gt;0,Planning[[#This Row],[Horas utilizadas]]/Planning[[#This Row],[Horas Planificadas]],0)</f>
        <v>0</v>
      </c>
      <c r="W2181" s="44">
        <f>Planning[[#This Row],[Horas Planificadas]]+Planning[[#This Row],[Horas ajustadas adicionales]]</f>
        <v>0</v>
      </c>
      <c r="X2181" s="142"/>
    </row>
    <row r="2182" spans="1:24" x14ac:dyDescent="0.2">
      <c r="A2182" s="7" t="s">
        <v>177</v>
      </c>
      <c r="B2182" s="7" t="s">
        <v>169</v>
      </c>
      <c r="C2182" s="3"/>
      <c r="D2182" s="3" t="s">
        <v>471</v>
      </c>
      <c r="E2182" s="4" t="s">
        <v>31</v>
      </c>
      <c r="F2182" s="3" t="s">
        <v>31</v>
      </c>
      <c r="G2182" s="9">
        <v>0</v>
      </c>
      <c r="H2182" s="18">
        <v>0</v>
      </c>
      <c r="I2182" s="18"/>
      <c r="J2182" s="14" t="e">
        <f>+SUMIFS(#REF!,#REF!,Planning[[#This Row],[Tarifa]],#REF!,Planning[[#This Row],[Proyectos]])</f>
        <v>#REF!</v>
      </c>
      <c r="K2182" s="24" t="e">
        <f>Planning[[#This Row],[Horas Planificadas]]+Planning[[#This Row],[Horas ajustadas adicionales]]-Planning[[#This Row],[Horas utilizadas]]</f>
        <v>#REF!</v>
      </c>
      <c r="L2182" s="15">
        <v>0</v>
      </c>
      <c r="M2182" s="16" t="e">
        <f>Planning[[#This Row],[Saldo]]-Planning[[#This Row],[Saldo estimado]]</f>
        <v>#REF!</v>
      </c>
      <c r="N2182" s="60" t="e">
        <f>+SUMIFS(#REF!,#REF!,Planning[[#This Row],[Proyectos]],#REF!,Planning[[#This Row],[Tipo de Tarea y especialidad]])</f>
        <v>#REF!</v>
      </c>
      <c r="O2182" s="16">
        <f t="shared" si="66"/>
        <v>10</v>
      </c>
      <c r="P2182" s="16">
        <f t="shared" si="67"/>
        <v>2024</v>
      </c>
      <c r="Q2182" s="16" t="e">
        <f>+SUMIFS(#REF!,#REF!,Planning[[#This Row],[Tarifa]],#REF!,Planning[[#This Row],[Proyectos]],#REF!,Planning[[#This Row],[Mes]],#REF!,Planning[[#This Row],[Año]])</f>
        <v>#REF!</v>
      </c>
      <c r="R2182" s="16" t="str">
        <f>TEXT(Planning[[#This Row],[Mes]]*29,"mmmm")</f>
        <v>October</v>
      </c>
      <c r="S21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82" s="193"/>
      <c r="U2182" s="43">
        <f>IF(Planning[[#This Row],[Horas Planificadas]]&lt;&gt;0,+K2182/Planning[[#This Row],[Horas Planificadas]],0)</f>
        <v>0</v>
      </c>
      <c r="V2182" s="43">
        <f>IF(Planning[[#This Row],[Horas Planificadas]]&lt;&gt;0,Planning[[#This Row],[Horas utilizadas]]/Planning[[#This Row],[Horas Planificadas]],0)</f>
        <v>0</v>
      </c>
      <c r="W2182" s="44">
        <f>Planning[[#This Row],[Horas Planificadas]]+Planning[[#This Row],[Horas ajustadas adicionales]]</f>
        <v>0</v>
      </c>
      <c r="X2182" s="142"/>
    </row>
    <row r="2183" spans="1:24" ht="22.5" x14ac:dyDescent="0.2">
      <c r="A2183" s="7" t="s">
        <v>177</v>
      </c>
      <c r="B2183" s="7" t="s">
        <v>169</v>
      </c>
      <c r="C2183" s="3"/>
      <c r="D2183" s="3" t="s">
        <v>471</v>
      </c>
      <c r="E2183" s="4" t="s">
        <v>32</v>
      </c>
      <c r="F2183" s="3"/>
      <c r="G2183" s="9">
        <v>0</v>
      </c>
      <c r="H2183" s="25">
        <f>SUM(H2184:H2186)</f>
        <v>0</v>
      </c>
      <c r="I2183" s="14"/>
      <c r="J2183" s="14" t="e">
        <f>SUM(J2184:J2186)</f>
        <v>#REF!</v>
      </c>
      <c r="K2183" s="18" t="e">
        <f>SUM(K2184:K2186)</f>
        <v>#REF!</v>
      </c>
      <c r="L2183" s="15">
        <f>SUM(L2184:L2186)</f>
        <v>0</v>
      </c>
      <c r="M2183" s="16" t="e">
        <f>SUM(M2184:M2186)</f>
        <v>#REF!</v>
      </c>
      <c r="N2183" s="60" t="e">
        <f>+SUMIFS(#REF!,#REF!,Planning[[#This Row],[Proyectos]],#REF!,Planning[[#This Row],[Tipo de Tarea y especialidad]])</f>
        <v>#REF!</v>
      </c>
      <c r="O2183" s="16">
        <f t="shared" ref="O2183:O2246" si="68">$L$4</f>
        <v>10</v>
      </c>
      <c r="P2183" s="16">
        <f t="shared" ref="P2183:P2246" si="69">$M$4</f>
        <v>2024</v>
      </c>
      <c r="Q2183" s="16" t="e">
        <f>SUM(Q2184:Q2186)</f>
        <v>#REF!</v>
      </c>
      <c r="R2183" s="16" t="str">
        <f>TEXT(Planning[[#This Row],[Mes]]*29,"mmmm")</f>
        <v>October</v>
      </c>
      <c r="S21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83" s="193"/>
      <c r="U2183" s="43">
        <f>IF(Planning[[#This Row],[Horas Planificadas]]&lt;&gt;0,+K2183/Planning[[#This Row],[Horas Planificadas]],0)</f>
        <v>0</v>
      </c>
      <c r="V2183" s="43">
        <f>IF(Planning[[#This Row],[Horas Planificadas]]&lt;&gt;0,Planning[[#This Row],[Horas utilizadas]]/Planning[[#This Row],[Horas Planificadas]],0)</f>
        <v>0</v>
      </c>
      <c r="W2183" s="44">
        <f>Planning[[#This Row],[Horas Planificadas]]+Planning[[#This Row],[Horas ajustadas adicionales]]</f>
        <v>0</v>
      </c>
      <c r="X2183" s="142"/>
    </row>
    <row r="2184" spans="1:24" x14ac:dyDescent="0.2">
      <c r="A2184" s="7" t="s">
        <v>177</v>
      </c>
      <c r="B2184" s="7" t="s">
        <v>169</v>
      </c>
      <c r="C2184" s="3"/>
      <c r="D2184" s="3" t="s">
        <v>471</v>
      </c>
      <c r="E2184" s="4"/>
      <c r="F2184" s="3" t="s">
        <v>129</v>
      </c>
      <c r="G2184" s="9"/>
      <c r="H2184" s="9"/>
      <c r="I2184" s="12"/>
      <c r="J2184" s="5" t="e">
        <f>SUM(SUMIFS(#REF!,#REF!,Planning[[#This Row],[Tipo de Tarea y especialidad]],#REF!,Planning[[#This Row],[Proyectos Reiwa]]),SUMIFS(#REF!,#REF!,Planning[[#This Row],[Tipo de Tarea y especialidad]],#REF!,Planning[[#This Row],[Proyectos]]))</f>
        <v>#REF!</v>
      </c>
      <c r="K2184" s="5" t="e">
        <f>Planning[[#This Row],[Horas Planificadas]]+Planning[[#This Row],[Horas ajustadas adicionales]]-Planning[[#This Row],[Horas utilizadas]]</f>
        <v>#REF!</v>
      </c>
      <c r="L2184" s="7">
        <v>0</v>
      </c>
      <c r="M2184" s="19" t="e">
        <f>Planning[[#This Row],[Saldo]]-Planning[[#This Row],[Saldo estimado]]</f>
        <v>#REF!</v>
      </c>
      <c r="N2184" s="60" t="e">
        <f>+SUMIFS(#REF!,#REF!,Planning[[#This Row],[Proyectos]],#REF!,Planning[[#This Row],[Tipo de Tarea y especialidad]])</f>
        <v>#REF!</v>
      </c>
      <c r="O2184" s="19">
        <f t="shared" si="68"/>
        <v>10</v>
      </c>
      <c r="P2184" s="19">
        <f t="shared" si="69"/>
        <v>2024</v>
      </c>
      <c r="Q21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84" s="19" t="str">
        <f>TEXT(Planning[[#This Row],[Mes]]*29,"mmmm")</f>
        <v>October</v>
      </c>
      <c r="S21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84" s="193"/>
      <c r="U2184" s="43">
        <f>IF(Planning[[#This Row],[Horas Planificadas]]&lt;&gt;0,+K2184/Planning[[#This Row],[Horas Planificadas]],0)</f>
        <v>0</v>
      </c>
      <c r="V2184" s="43">
        <f>IF(Planning[[#This Row],[Horas Planificadas]]&lt;&gt;0,Planning[[#This Row],[Horas utilizadas]]/Planning[[#This Row],[Horas Planificadas]],0)</f>
        <v>0</v>
      </c>
      <c r="W2184" s="44">
        <f>Planning[[#This Row],[Horas Planificadas]]+Planning[[#This Row],[Horas ajustadas adicionales]]</f>
        <v>0</v>
      </c>
      <c r="X2184" s="142"/>
    </row>
    <row r="2185" spans="1:24" x14ac:dyDescent="0.2">
      <c r="A2185" s="7" t="s">
        <v>177</v>
      </c>
      <c r="B2185" s="7" t="s">
        <v>169</v>
      </c>
      <c r="C2185" s="3"/>
      <c r="D2185" s="3" t="s">
        <v>471</v>
      </c>
      <c r="E2185" s="4"/>
      <c r="F2185" s="3" t="s">
        <v>130</v>
      </c>
      <c r="G2185" s="9"/>
      <c r="H2185" s="9"/>
      <c r="I2185" s="12"/>
      <c r="J2185" s="5" t="e">
        <f>SUM(SUMIFS(#REF!,#REF!,Planning[[#This Row],[Tipo de Tarea y especialidad]],#REF!,Planning[[#This Row],[Proyectos Reiwa]]),SUMIFS(#REF!,#REF!,Planning[[#This Row],[Tipo de Tarea y especialidad]],#REF!,Planning[[#This Row],[Proyectos]]))</f>
        <v>#REF!</v>
      </c>
      <c r="K2185" s="5" t="e">
        <f>Planning[[#This Row],[Horas Planificadas]]+Planning[[#This Row],[Horas ajustadas adicionales]]-Planning[[#This Row],[Horas utilizadas]]</f>
        <v>#REF!</v>
      </c>
      <c r="L2185" s="7">
        <v>0</v>
      </c>
      <c r="M2185" s="19" t="e">
        <f>Planning[[#This Row],[Saldo]]-Planning[[#This Row],[Saldo estimado]]</f>
        <v>#REF!</v>
      </c>
      <c r="N2185" s="60" t="e">
        <f>+SUMIFS(#REF!,#REF!,Planning[[#This Row],[Proyectos]],#REF!,Planning[[#This Row],[Tipo de Tarea y especialidad]])</f>
        <v>#REF!</v>
      </c>
      <c r="O2185" s="19">
        <f t="shared" si="68"/>
        <v>10</v>
      </c>
      <c r="P2185" s="19">
        <f t="shared" si="69"/>
        <v>2024</v>
      </c>
      <c r="Q21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85" s="19" t="str">
        <f>TEXT(Planning[[#This Row],[Mes]]*29,"mmmm")</f>
        <v>October</v>
      </c>
      <c r="S21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85" s="193"/>
      <c r="U2185" s="43">
        <f>IF(Planning[[#This Row],[Horas Planificadas]]&lt;&gt;0,+K2185/Planning[[#This Row],[Horas Planificadas]],0)</f>
        <v>0</v>
      </c>
      <c r="V2185" s="43">
        <f>IF(Planning[[#This Row],[Horas Planificadas]]&lt;&gt;0,Planning[[#This Row],[Horas utilizadas]]/Planning[[#This Row],[Horas Planificadas]],0)</f>
        <v>0</v>
      </c>
      <c r="W2185" s="44">
        <f>Planning[[#This Row],[Horas Planificadas]]+Planning[[#This Row],[Horas ajustadas adicionales]]</f>
        <v>0</v>
      </c>
      <c r="X2185" s="142"/>
    </row>
    <row r="2186" spans="1:24" x14ac:dyDescent="0.2">
      <c r="A2186" s="7" t="s">
        <v>177</v>
      </c>
      <c r="B2186" s="7" t="s">
        <v>169</v>
      </c>
      <c r="C2186" s="3"/>
      <c r="D2186" s="3" t="s">
        <v>471</v>
      </c>
      <c r="E2186" s="4"/>
      <c r="F2186" s="3" t="s">
        <v>131</v>
      </c>
      <c r="G2186" s="9"/>
      <c r="H2186" s="9"/>
      <c r="I2186" s="12"/>
      <c r="J2186" s="5" t="e">
        <f>SUM(SUMIFS(#REF!,#REF!,Planning[[#This Row],[Tipo de Tarea y especialidad]],#REF!,Planning[[#This Row],[Proyectos Reiwa]]),SUMIFS(#REF!,#REF!,Planning[[#This Row],[Tipo de Tarea y especialidad]],#REF!,Planning[[#This Row],[Proyectos]]))</f>
        <v>#REF!</v>
      </c>
      <c r="K2186" s="5" t="e">
        <f>Planning[[#This Row],[Horas Planificadas]]+Planning[[#This Row],[Horas ajustadas adicionales]]-Planning[[#This Row],[Horas utilizadas]]</f>
        <v>#REF!</v>
      </c>
      <c r="L2186" s="7">
        <v>0</v>
      </c>
      <c r="M2186" s="19" t="e">
        <f>Planning[[#This Row],[Saldo]]-Planning[[#This Row],[Saldo estimado]]</f>
        <v>#REF!</v>
      </c>
      <c r="N2186" s="60" t="e">
        <f>+SUMIFS(#REF!,#REF!,Planning[[#This Row],[Proyectos]],#REF!,Planning[[#This Row],[Tipo de Tarea y especialidad]])</f>
        <v>#REF!</v>
      </c>
      <c r="O2186" s="19">
        <f t="shared" si="68"/>
        <v>10</v>
      </c>
      <c r="P2186" s="19">
        <f t="shared" si="69"/>
        <v>2024</v>
      </c>
      <c r="Q21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86" s="19" t="str">
        <f>TEXT(Planning[[#This Row],[Mes]]*29,"mmmm")</f>
        <v>October</v>
      </c>
      <c r="S21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86" s="193"/>
      <c r="U2186" s="43">
        <f>IF(Planning[[#This Row],[Horas Planificadas]]&lt;&gt;0,+K2186/Planning[[#This Row],[Horas Planificadas]],0)</f>
        <v>0</v>
      </c>
      <c r="V2186" s="43">
        <f>IF(Planning[[#This Row],[Horas Planificadas]]&lt;&gt;0,Planning[[#This Row],[Horas utilizadas]]/Planning[[#This Row],[Horas Planificadas]],0)</f>
        <v>0</v>
      </c>
      <c r="W2186" s="44">
        <f>Planning[[#This Row],[Horas Planificadas]]+Planning[[#This Row],[Horas ajustadas adicionales]]</f>
        <v>0</v>
      </c>
      <c r="X2186" s="142"/>
    </row>
    <row r="2187" spans="1:24" ht="22.5" x14ac:dyDescent="0.2">
      <c r="A2187" s="7"/>
      <c r="B2187" s="7"/>
      <c r="C2187" s="3"/>
      <c r="D2187" s="3" t="s">
        <v>473</v>
      </c>
      <c r="E2187" s="4" t="s">
        <v>28</v>
      </c>
      <c r="F2187" s="3"/>
      <c r="G2187" s="9"/>
      <c r="H2187" s="9">
        <v>70</v>
      </c>
      <c r="I2187" s="12"/>
      <c r="J2187" s="5" t="e">
        <f>+SUMIFS(#REF!,#REF!,Planning[[#This Row],[Tarifa]],#REF!,Planning[[#This Row],[Proyectos]])</f>
        <v>#REF!</v>
      </c>
      <c r="K2187" s="5" t="e">
        <f>Planning[[#This Row],[Horas Planificadas]]+Planning[[#This Row],[Horas ajustadas adicionales]]-Planning[[#This Row],[Horas utilizadas]]</f>
        <v>#REF!</v>
      </c>
      <c r="L2187" s="7"/>
      <c r="M2187" s="19" t="e">
        <f>Planning[[#This Row],[Saldo]]-Planning[[#This Row],[Saldo estimado]]</f>
        <v>#REF!</v>
      </c>
      <c r="N2187" s="60" t="e">
        <f>+SUMIFS(#REF!,#REF!,Planning[[#This Row],[Proyectos]],#REF!,Planning[[#This Row],[Tipo de Tarea y especialidad]])</f>
        <v>#REF!</v>
      </c>
      <c r="O2187" s="19">
        <f t="shared" si="68"/>
        <v>10</v>
      </c>
      <c r="P2187" s="19">
        <f t="shared" si="69"/>
        <v>2024</v>
      </c>
      <c r="Q2187" s="19" t="e">
        <f>+SUMIFS(#REF!,#REF!,Planning[[#This Row],[Tarifa]],#REF!,Planning[[#This Row],[Proyectos]],#REF!,Planning[[#This Row],[Mes]],#REF!,Planning[[#This Row],[Año]])</f>
        <v>#REF!</v>
      </c>
      <c r="R2187" s="19" t="str">
        <f>TEXT(Planning[[#This Row],[Mes]]*29,"mmmm")</f>
        <v>October</v>
      </c>
      <c r="S21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87" s="228"/>
      <c r="U2187" s="43" t="e">
        <f>IF(Planning[[#This Row],[Horas Planificadas]]&lt;&gt;0,+K2187/Planning[[#This Row],[Horas Planificadas]],0)</f>
        <v>#REF!</v>
      </c>
      <c r="V2187" s="43" t="e">
        <f>IF(Planning[[#This Row],[Horas Planificadas]]&lt;&gt;0,Planning[[#This Row],[Horas utilizadas]]/Planning[[#This Row],[Horas Planificadas]],0)</f>
        <v>#REF!</v>
      </c>
      <c r="W2187" s="44">
        <f>Planning[[#This Row],[Horas Planificadas]]+Planning[[#This Row],[Horas ajustadas adicionales]]</f>
        <v>70</v>
      </c>
      <c r="X2187" s="142"/>
    </row>
    <row r="2188" spans="1:24" x14ac:dyDescent="0.2">
      <c r="A2188" s="7"/>
      <c r="B2188" s="7"/>
      <c r="C2188" s="3"/>
      <c r="D2188" s="3" t="s">
        <v>473</v>
      </c>
      <c r="E2188" s="4" t="s">
        <v>30</v>
      </c>
      <c r="F2188" s="3"/>
      <c r="G2188" s="9"/>
      <c r="H2188" s="9">
        <v>117</v>
      </c>
      <c r="I2188" s="12"/>
      <c r="J2188" s="5" t="e">
        <f>+SUMIFS(#REF!,#REF!,Planning[[#This Row],[Tarifa]],#REF!,Planning[[#This Row],[Proyectos]])</f>
        <v>#REF!</v>
      </c>
      <c r="K2188" s="5" t="e">
        <f>Planning[[#This Row],[Horas Planificadas]]+Planning[[#This Row],[Horas ajustadas adicionales]]-Planning[[#This Row],[Horas utilizadas]]</f>
        <v>#REF!</v>
      </c>
      <c r="L2188" s="7"/>
      <c r="M2188" s="19" t="e">
        <f>Planning[[#This Row],[Saldo]]-Planning[[#This Row],[Saldo estimado]]</f>
        <v>#REF!</v>
      </c>
      <c r="N2188" s="60" t="e">
        <f>+SUMIFS(#REF!,#REF!,Planning[[#This Row],[Proyectos]],#REF!,Planning[[#This Row],[Tipo de Tarea y especialidad]])</f>
        <v>#REF!</v>
      </c>
      <c r="O2188" s="19">
        <f t="shared" si="68"/>
        <v>10</v>
      </c>
      <c r="P2188" s="19">
        <f t="shared" si="69"/>
        <v>2024</v>
      </c>
      <c r="Q2188" s="19" t="e">
        <f>+SUMIFS(#REF!,#REF!,Planning[[#This Row],[Tarifa]],#REF!,Planning[[#This Row],[Proyectos]],#REF!,Planning[[#This Row],[Mes]],#REF!,Planning[[#This Row],[Año]])</f>
        <v>#REF!</v>
      </c>
      <c r="R2188" s="19" t="str">
        <f>TEXT(Planning[[#This Row],[Mes]]*29,"mmmm")</f>
        <v>October</v>
      </c>
      <c r="S21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88" s="228"/>
      <c r="U2188" s="43" t="e">
        <f>IF(Planning[[#This Row],[Horas Planificadas]]&lt;&gt;0,+K2188/Planning[[#This Row],[Horas Planificadas]],0)</f>
        <v>#REF!</v>
      </c>
      <c r="V2188" s="43" t="e">
        <f>IF(Planning[[#This Row],[Horas Planificadas]]&lt;&gt;0,Planning[[#This Row],[Horas utilizadas]]/Planning[[#This Row],[Horas Planificadas]],0)</f>
        <v>#REF!</v>
      </c>
      <c r="W2188" s="44">
        <f>Planning[[#This Row],[Horas Planificadas]]+Planning[[#This Row],[Horas ajustadas adicionales]]</f>
        <v>117</v>
      </c>
      <c r="X2188" s="142"/>
    </row>
    <row r="2189" spans="1:24" x14ac:dyDescent="0.2">
      <c r="A2189" s="7"/>
      <c r="B2189" s="7"/>
      <c r="C2189" s="3"/>
      <c r="D2189" s="3" t="s">
        <v>473</v>
      </c>
      <c r="E2189" s="4" t="s">
        <v>31</v>
      </c>
      <c r="F2189" s="3"/>
      <c r="G2189" s="9"/>
      <c r="H2189" s="9">
        <v>27</v>
      </c>
      <c r="I2189" s="12"/>
      <c r="J2189" s="5" t="e">
        <f>+SUMIFS(#REF!,#REF!,Planning[[#This Row],[Tarifa]],#REF!,Planning[[#This Row],[Proyectos]])</f>
        <v>#REF!</v>
      </c>
      <c r="K2189" s="5" t="e">
        <f>Planning[[#This Row],[Horas Planificadas]]+Planning[[#This Row],[Horas ajustadas adicionales]]-Planning[[#This Row],[Horas utilizadas]]</f>
        <v>#REF!</v>
      </c>
      <c r="L2189" s="7"/>
      <c r="M2189" s="19" t="e">
        <f>Planning[[#This Row],[Saldo]]-Planning[[#This Row],[Saldo estimado]]</f>
        <v>#REF!</v>
      </c>
      <c r="N2189" s="60" t="e">
        <f>+SUMIFS(#REF!,#REF!,Planning[[#This Row],[Proyectos]],#REF!,Planning[[#This Row],[Tipo de Tarea y especialidad]])</f>
        <v>#REF!</v>
      </c>
      <c r="O2189" s="19">
        <f t="shared" si="68"/>
        <v>10</v>
      </c>
      <c r="P2189" s="19">
        <f t="shared" si="69"/>
        <v>2024</v>
      </c>
      <c r="Q2189" s="19" t="e">
        <f>+SUMIFS(#REF!,#REF!,Planning[[#This Row],[Tarifa]],#REF!,Planning[[#This Row],[Proyectos]],#REF!,Planning[[#This Row],[Mes]],#REF!,Planning[[#This Row],[Año]])</f>
        <v>#REF!</v>
      </c>
      <c r="R2189" s="19" t="str">
        <f>TEXT(Planning[[#This Row],[Mes]]*29,"mmmm")</f>
        <v>October</v>
      </c>
      <c r="S21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89" s="228"/>
      <c r="U2189" s="43" t="e">
        <f>IF(Planning[[#This Row],[Horas Planificadas]]&lt;&gt;0,+K2189/Planning[[#This Row],[Horas Planificadas]],0)</f>
        <v>#REF!</v>
      </c>
      <c r="V2189" s="43" t="e">
        <f>IF(Planning[[#This Row],[Horas Planificadas]]&lt;&gt;0,Planning[[#This Row],[Horas utilizadas]]/Planning[[#This Row],[Horas Planificadas]],0)</f>
        <v>#REF!</v>
      </c>
      <c r="W2189" s="44">
        <f>Planning[[#This Row],[Horas Planificadas]]+Planning[[#This Row],[Horas ajustadas adicionales]]</f>
        <v>27</v>
      </c>
      <c r="X2189" s="142"/>
    </row>
    <row r="2190" spans="1:24" ht="22.5" x14ac:dyDescent="0.2">
      <c r="A2190" s="7"/>
      <c r="B2190" s="7"/>
      <c r="C2190" s="3"/>
      <c r="D2190" s="3" t="s">
        <v>473</v>
      </c>
      <c r="E2190" s="4" t="s">
        <v>32</v>
      </c>
      <c r="F2190" s="3"/>
      <c r="G2190" s="9"/>
      <c r="H2190" s="9">
        <v>40</v>
      </c>
      <c r="I2190" s="12"/>
      <c r="J2190" s="5" t="e">
        <f>+SUMIFS(#REF!,#REF!,Planning[[#This Row],[Tarifa]],#REF!,Planning[[#This Row],[Proyectos]])</f>
        <v>#REF!</v>
      </c>
      <c r="K2190" s="5" t="e">
        <f>Planning[[#This Row],[Horas Planificadas]]+Planning[[#This Row],[Horas ajustadas adicionales]]-Planning[[#This Row],[Horas utilizadas]]</f>
        <v>#REF!</v>
      </c>
      <c r="L2190" s="7"/>
      <c r="M2190" s="19" t="e">
        <f>Planning[[#This Row],[Saldo]]-Planning[[#This Row],[Saldo estimado]]</f>
        <v>#REF!</v>
      </c>
      <c r="N2190" s="60" t="e">
        <f>+SUMIFS(#REF!,#REF!,Planning[[#This Row],[Proyectos]],#REF!,Planning[[#This Row],[Tipo de Tarea y especialidad]])</f>
        <v>#REF!</v>
      </c>
      <c r="O2190" s="19">
        <f t="shared" si="68"/>
        <v>10</v>
      </c>
      <c r="P2190" s="19">
        <f t="shared" si="69"/>
        <v>2024</v>
      </c>
      <c r="Q2190" s="19" t="e">
        <f>+SUMIFS(#REF!,#REF!,Planning[[#This Row],[Tarifa]],#REF!,Planning[[#This Row],[Proyectos]],#REF!,Planning[[#This Row],[Mes]],#REF!,Planning[[#This Row],[Año]])</f>
        <v>#REF!</v>
      </c>
      <c r="R2190" s="19" t="str">
        <f>TEXT(Planning[[#This Row],[Mes]]*29,"mmmm")</f>
        <v>October</v>
      </c>
      <c r="S21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90" s="228"/>
      <c r="U2190" s="43" t="e">
        <f>IF(Planning[[#This Row],[Horas Planificadas]]&lt;&gt;0,+K2190/Planning[[#This Row],[Horas Planificadas]],0)</f>
        <v>#REF!</v>
      </c>
      <c r="V2190" s="43" t="e">
        <f>IF(Planning[[#This Row],[Horas Planificadas]]&lt;&gt;0,Planning[[#This Row],[Horas utilizadas]]/Planning[[#This Row],[Horas Planificadas]],0)</f>
        <v>#REF!</v>
      </c>
      <c r="W2190" s="44">
        <f>Planning[[#This Row],[Horas Planificadas]]+Planning[[#This Row],[Horas ajustadas adicionales]]</f>
        <v>40</v>
      </c>
      <c r="X2190" s="142"/>
    </row>
    <row r="2191" spans="1:24" ht="22.5" x14ac:dyDescent="0.2">
      <c r="A2191" s="7" t="s">
        <v>294</v>
      </c>
      <c r="B2191" s="7" t="s">
        <v>118</v>
      </c>
      <c r="C2191" s="3"/>
      <c r="D2191" s="3" t="s">
        <v>474</v>
      </c>
      <c r="E2191" s="4" t="s">
        <v>28</v>
      </c>
      <c r="F2191" s="3"/>
      <c r="G2191" s="9">
        <v>3364</v>
      </c>
      <c r="H2191" s="14">
        <f>SUM(H2192:H2193)</f>
        <v>3364</v>
      </c>
      <c r="I2191" s="14"/>
      <c r="J2191" s="14" t="e">
        <f>SUM(J2192:J2193)</f>
        <v>#REF!</v>
      </c>
      <c r="K2191" s="15" t="e">
        <f>SUM(K2192:K2193)</f>
        <v>#REF!</v>
      </c>
      <c r="L2191" s="15">
        <f>SUM(L2192:L2193)</f>
        <v>0</v>
      </c>
      <c r="M2191" s="28" t="e">
        <f>SUM(M2192:M2193)</f>
        <v>#REF!</v>
      </c>
      <c r="N2191" s="61" t="e">
        <f>+SUMIFS(#REF!,#REF!,Planning[[#This Row],[Proyectos]],#REF!,Planning[[#This Row],[Tipo de Tarea y especialidad]])</f>
        <v>#REF!</v>
      </c>
      <c r="O2191" s="28">
        <f t="shared" si="68"/>
        <v>10</v>
      </c>
      <c r="P2191" s="28">
        <f t="shared" si="69"/>
        <v>2024</v>
      </c>
      <c r="Q2191" s="28" t="e">
        <f>SUM(Q2192:Q2193)</f>
        <v>#REF!</v>
      </c>
      <c r="R2191" s="28" t="str">
        <f>TEXT(Planning[[#This Row],[Mes]]*29,"mmmm")</f>
        <v>October</v>
      </c>
      <c r="S21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91" s="216" t="s">
        <v>475</v>
      </c>
      <c r="U2191" s="43" t="e">
        <f>IF(Planning[[#This Row],[Horas Planificadas]]&lt;&gt;0,+K2191/Planning[[#This Row],[Horas Planificadas]],0)</f>
        <v>#REF!</v>
      </c>
      <c r="V2191" s="43" t="e">
        <f>IF(Planning[[#This Row],[Horas Planificadas]]&lt;&gt;0,Planning[[#This Row],[Horas utilizadas]]/Planning[[#This Row],[Horas Planificadas]],0)</f>
        <v>#REF!</v>
      </c>
      <c r="W2191" s="44">
        <f>Planning[[#This Row],[Horas Planificadas]]+Planning[[#This Row],[Horas ajustadas adicionales]]</f>
        <v>3364</v>
      </c>
      <c r="X2191" s="142"/>
    </row>
    <row r="2192" spans="1:24" x14ac:dyDescent="0.2">
      <c r="A2192" s="7" t="s">
        <v>294</v>
      </c>
      <c r="B2192" s="7" t="s">
        <v>118</v>
      </c>
      <c r="C2192" s="3"/>
      <c r="D2192" s="3" t="s">
        <v>474</v>
      </c>
      <c r="E2192" s="4"/>
      <c r="F2192" s="3" t="s">
        <v>120</v>
      </c>
      <c r="G2192" s="9"/>
      <c r="H2192" s="9">
        <v>2624</v>
      </c>
      <c r="I2192" s="12">
        <v>360</v>
      </c>
      <c r="J2192" s="5" t="e">
        <f>SUM(SUMIFS(#REF!,#REF!,Planning[[#This Row],[Tipo de Tarea y especialidad]],#REF!,Planning[[#This Row],[Proyectos Reiwa]]),SUMIFS(#REF!,#REF!,Planning[[#This Row],[Tipo de Tarea y especialidad]],#REF!,Planning[[#This Row],[Proyectos]]))</f>
        <v>#REF!</v>
      </c>
      <c r="K2192" s="5" t="e">
        <f>Planning[[#This Row],[Horas Planificadas]]+Planning[[#This Row],[Horas ajustadas adicionales]]-Planning[[#This Row],[Horas utilizadas]]</f>
        <v>#REF!</v>
      </c>
      <c r="L2192" s="7"/>
      <c r="M2192" s="19" t="e">
        <f>Planning[[#This Row],[Saldo]]-Planning[[#This Row],[Saldo estimado]]</f>
        <v>#REF!</v>
      </c>
      <c r="N2192" s="60" t="e">
        <f>+SUMIFS(#REF!,#REF!,Planning[[#This Row],[Proyectos]],#REF!,Planning[[#This Row],[Tipo de Tarea y especialidad]])</f>
        <v>#REF!</v>
      </c>
      <c r="O2192" s="19">
        <f t="shared" si="68"/>
        <v>10</v>
      </c>
      <c r="P2192" s="19">
        <f t="shared" si="69"/>
        <v>2024</v>
      </c>
      <c r="Q21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92" s="19" t="str">
        <f>TEXT(Planning[[#This Row],[Mes]]*29,"mmmm")</f>
        <v>October</v>
      </c>
      <c r="S21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92" s="193"/>
      <c r="U2192" s="43" t="e">
        <f>IF(Planning[[#This Row],[Horas Planificadas]]&lt;&gt;0,+K2192/Planning[[#This Row],[Horas Planificadas]],0)</f>
        <v>#REF!</v>
      </c>
      <c r="V2192" s="43" t="e">
        <f>IF(Planning[[#This Row],[Horas Planificadas]]&lt;&gt;0,Planning[[#This Row],[Horas utilizadas]]/Planning[[#This Row],[Horas Planificadas]],0)</f>
        <v>#REF!</v>
      </c>
      <c r="W2192" s="44">
        <f>Planning[[#This Row],[Horas Planificadas]]+Planning[[#This Row],[Horas ajustadas adicionales]]</f>
        <v>2984</v>
      </c>
      <c r="X2192" s="142"/>
    </row>
    <row r="2193" spans="1:24" x14ac:dyDescent="0.2">
      <c r="A2193" s="7" t="s">
        <v>294</v>
      </c>
      <c r="B2193" s="7" t="s">
        <v>118</v>
      </c>
      <c r="C2193" s="3"/>
      <c r="D2193" s="3" t="s">
        <v>474</v>
      </c>
      <c r="E2193" s="4"/>
      <c r="F2193" s="3" t="s">
        <v>121</v>
      </c>
      <c r="G2193" s="9"/>
      <c r="H2193" s="9">
        <v>740</v>
      </c>
      <c r="I2193" s="12">
        <v>110</v>
      </c>
      <c r="J2193" s="5" t="e">
        <f>SUM(SUMIFS(#REF!,#REF!,Planning[[#This Row],[Tipo de Tarea y especialidad]],#REF!,Planning[[#This Row],[Proyectos Reiwa]]),SUMIFS(#REF!,#REF!,Planning[[#This Row],[Tipo de Tarea y especialidad]],#REF!,Planning[[#This Row],[Proyectos]]))</f>
        <v>#REF!</v>
      </c>
      <c r="K2193" s="5" t="e">
        <f>Planning[[#This Row],[Horas Planificadas]]+Planning[[#This Row],[Horas ajustadas adicionales]]-Planning[[#This Row],[Horas utilizadas]]</f>
        <v>#REF!</v>
      </c>
      <c r="L2193" s="7"/>
      <c r="M2193" s="19" t="e">
        <f>Planning[[#This Row],[Saldo]]-Planning[[#This Row],[Saldo estimado]]</f>
        <v>#REF!</v>
      </c>
      <c r="N2193" s="60" t="e">
        <f>+SUMIFS(#REF!,#REF!,Planning[[#This Row],[Proyectos]],#REF!,Planning[[#This Row],[Tipo de Tarea y especialidad]])</f>
        <v>#REF!</v>
      </c>
      <c r="O2193" s="19">
        <f t="shared" si="68"/>
        <v>10</v>
      </c>
      <c r="P2193" s="19">
        <f t="shared" si="69"/>
        <v>2024</v>
      </c>
      <c r="Q21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93" s="19" t="str">
        <f>TEXT(Planning[[#This Row],[Mes]]*29,"mmmm")</f>
        <v>October</v>
      </c>
      <c r="S21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93" s="193"/>
      <c r="U2193" s="43" t="e">
        <f>IF(Planning[[#This Row],[Horas Planificadas]]&lt;&gt;0,+K2193/Planning[[#This Row],[Horas Planificadas]],0)</f>
        <v>#REF!</v>
      </c>
      <c r="V2193" s="43" t="e">
        <f>IF(Planning[[#This Row],[Horas Planificadas]]&lt;&gt;0,Planning[[#This Row],[Horas utilizadas]]/Planning[[#This Row],[Horas Planificadas]],0)</f>
        <v>#REF!</v>
      </c>
      <c r="W2193" s="44">
        <f>Planning[[#This Row],[Horas Planificadas]]+Planning[[#This Row],[Horas ajustadas adicionales]]</f>
        <v>850</v>
      </c>
      <c r="X2193" s="142"/>
    </row>
    <row r="2194" spans="1:24" x14ac:dyDescent="0.2">
      <c r="A2194" s="7" t="s">
        <v>294</v>
      </c>
      <c r="B2194" s="7" t="s">
        <v>118</v>
      </c>
      <c r="C2194" s="3"/>
      <c r="D2194" s="3" t="s">
        <v>474</v>
      </c>
      <c r="E2194" s="4" t="s">
        <v>30</v>
      </c>
      <c r="F2194" s="3"/>
      <c r="G2194" s="9">
        <v>1650</v>
      </c>
      <c r="H2194" s="25">
        <f>SUM(H2195:H2201)</f>
        <v>1650</v>
      </c>
      <c r="I2194" s="14"/>
      <c r="J2194" s="14" t="e">
        <f>SUM(J2195:J2201)</f>
        <v>#REF!</v>
      </c>
      <c r="K2194" s="18" t="e">
        <f>SUM(K2195:K2201)</f>
        <v>#REF!</v>
      </c>
      <c r="L2194" s="15">
        <f>SUM(L2195:L2201)</f>
        <v>0</v>
      </c>
      <c r="M2194" s="16" t="e">
        <f>SUM(M2195:M2201)</f>
        <v>#REF!</v>
      </c>
      <c r="N2194" s="60" t="e">
        <f>+SUMIFS(#REF!,#REF!,Planning[[#This Row],[Proyectos]],#REF!,Planning[[#This Row],[Tipo de Tarea y especialidad]])</f>
        <v>#REF!</v>
      </c>
      <c r="O2194" s="16">
        <f t="shared" si="68"/>
        <v>10</v>
      </c>
      <c r="P2194" s="16">
        <f t="shared" si="69"/>
        <v>2024</v>
      </c>
      <c r="Q2194" s="16" t="e">
        <f>SUM(Q2195:Q2201)</f>
        <v>#REF!</v>
      </c>
      <c r="R2194" s="16" t="str">
        <f>TEXT(Planning[[#This Row],[Mes]]*29,"mmmm")</f>
        <v>October</v>
      </c>
      <c r="S21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94" s="193"/>
      <c r="U2194" s="43" t="e">
        <f>IF(Planning[[#This Row],[Horas Planificadas]]&lt;&gt;0,+K2194/Planning[[#This Row],[Horas Planificadas]],0)</f>
        <v>#REF!</v>
      </c>
      <c r="V2194" s="43" t="e">
        <f>IF(Planning[[#This Row],[Horas Planificadas]]&lt;&gt;0,Planning[[#This Row],[Horas utilizadas]]/Planning[[#This Row],[Horas Planificadas]],0)</f>
        <v>#REF!</v>
      </c>
      <c r="W2194" s="44">
        <f>Planning[[#This Row],[Horas Planificadas]]+Planning[[#This Row],[Horas ajustadas adicionales]]</f>
        <v>1650</v>
      </c>
      <c r="X2194" s="142"/>
    </row>
    <row r="2195" spans="1:24" x14ac:dyDescent="0.2">
      <c r="A2195" s="7" t="s">
        <v>294</v>
      </c>
      <c r="B2195" s="7" t="s">
        <v>118</v>
      </c>
      <c r="C2195" s="3"/>
      <c r="D2195" s="3" t="s">
        <v>474</v>
      </c>
      <c r="E2195" s="4"/>
      <c r="F2195" s="3" t="s">
        <v>122</v>
      </c>
      <c r="G2195" s="9"/>
      <c r="H2195" s="12">
        <v>700</v>
      </c>
      <c r="I2195" s="12">
        <v>72</v>
      </c>
      <c r="J2195" s="5" t="e">
        <f>SUM(SUMIFS(#REF!,#REF!,Planning[[#This Row],[Tipo de Tarea y especialidad]],#REF!,Planning[[#This Row],[Proyectos Reiwa]]),SUMIFS(#REF!,#REF!,Planning[[#This Row],[Tipo de Tarea y especialidad]],#REF!,Planning[[#This Row],[Proyectos]]))</f>
        <v>#REF!</v>
      </c>
      <c r="K2195" s="27" t="e">
        <f>Planning[[#This Row],[Horas Planificadas]]+Planning[[#This Row],[Horas ajustadas adicionales]]-Planning[[#This Row],[Horas utilizadas]]</f>
        <v>#REF!</v>
      </c>
      <c r="L2195" s="7"/>
      <c r="M2195" s="34" t="e">
        <f>Planning[[#This Row],[Saldo]]-Planning[[#This Row],[Saldo estimado]]</f>
        <v>#REF!</v>
      </c>
      <c r="N2195" s="62" t="e">
        <f>+SUMIFS(#REF!,#REF!,Planning[[#This Row],[Proyectos]],#REF!,Planning[[#This Row],[Tipo de Tarea y especialidad]])</f>
        <v>#REF!</v>
      </c>
      <c r="O2195" s="34">
        <f t="shared" si="68"/>
        <v>10</v>
      </c>
      <c r="P2195" s="34">
        <f t="shared" si="69"/>
        <v>2024</v>
      </c>
      <c r="Q21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95" s="19" t="str">
        <f>TEXT(Planning[[#This Row],[Mes]]*29,"mmmm")</f>
        <v>October</v>
      </c>
      <c r="S21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95" s="193"/>
      <c r="U2195" s="43" t="e">
        <f>IF(Planning[[#This Row],[Horas Planificadas]]&lt;&gt;0,+K2195/Planning[[#This Row],[Horas Planificadas]],0)</f>
        <v>#REF!</v>
      </c>
      <c r="V2195" s="43" t="e">
        <f>IF(Planning[[#This Row],[Horas Planificadas]]&lt;&gt;0,Planning[[#This Row],[Horas utilizadas]]/Planning[[#This Row],[Horas Planificadas]],0)</f>
        <v>#REF!</v>
      </c>
      <c r="W2195" s="44">
        <f>Planning[[#This Row],[Horas Planificadas]]+Planning[[#This Row],[Horas ajustadas adicionales]]</f>
        <v>772</v>
      </c>
      <c r="X2195" s="142"/>
    </row>
    <row r="2196" spans="1:24" x14ac:dyDescent="0.2">
      <c r="A2196" s="7" t="s">
        <v>294</v>
      </c>
      <c r="B2196" s="7" t="s">
        <v>118</v>
      </c>
      <c r="C2196" s="3"/>
      <c r="D2196" s="3" t="s">
        <v>474</v>
      </c>
      <c r="E2196" s="4"/>
      <c r="F2196" s="3" t="s">
        <v>123</v>
      </c>
      <c r="G2196" s="9"/>
      <c r="H2196" s="9">
        <v>495</v>
      </c>
      <c r="I2196" s="12"/>
      <c r="J2196" s="5" t="e">
        <f>SUM(SUMIFS(#REF!,#REF!,Planning[[#This Row],[Tipo de Tarea y especialidad]],#REF!,Planning[[#This Row],[Proyectos Reiwa]]),SUMIFS(#REF!,#REF!,Planning[[#This Row],[Tipo de Tarea y especialidad]],#REF!,Planning[[#This Row],[Proyectos]]))</f>
        <v>#REF!</v>
      </c>
      <c r="K2196" s="5" t="e">
        <f>Planning[[#This Row],[Horas Planificadas]]+Planning[[#This Row],[Horas ajustadas adicionales]]-Planning[[#This Row],[Horas utilizadas]]</f>
        <v>#REF!</v>
      </c>
      <c r="L2196" s="7"/>
      <c r="M2196" s="19" t="e">
        <f>Planning[[#This Row],[Saldo]]-Planning[[#This Row],[Saldo estimado]]</f>
        <v>#REF!</v>
      </c>
      <c r="N2196" s="60" t="e">
        <f>+SUMIFS(#REF!,#REF!,Planning[[#This Row],[Proyectos]],#REF!,Planning[[#This Row],[Tipo de Tarea y especialidad]])</f>
        <v>#REF!</v>
      </c>
      <c r="O2196" s="19">
        <f t="shared" si="68"/>
        <v>10</v>
      </c>
      <c r="P2196" s="19">
        <f t="shared" si="69"/>
        <v>2024</v>
      </c>
      <c r="Q21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96" s="19" t="str">
        <f>TEXT(Planning[[#This Row],[Mes]]*29,"mmmm")</f>
        <v>October</v>
      </c>
      <c r="S21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96" s="193"/>
      <c r="U2196" s="43" t="e">
        <f>IF(Planning[[#This Row],[Horas Planificadas]]&lt;&gt;0,+K2196/Planning[[#This Row],[Horas Planificadas]],0)</f>
        <v>#REF!</v>
      </c>
      <c r="V2196" s="43" t="e">
        <f>IF(Planning[[#This Row],[Horas Planificadas]]&lt;&gt;0,Planning[[#This Row],[Horas utilizadas]]/Planning[[#This Row],[Horas Planificadas]],0)</f>
        <v>#REF!</v>
      </c>
      <c r="W2196" s="44">
        <f>Planning[[#This Row],[Horas Planificadas]]+Planning[[#This Row],[Horas ajustadas adicionales]]</f>
        <v>495</v>
      </c>
      <c r="X2196" s="142"/>
    </row>
    <row r="2197" spans="1:24" x14ac:dyDescent="0.2">
      <c r="A2197" s="7" t="s">
        <v>294</v>
      </c>
      <c r="B2197" s="7" t="s">
        <v>118</v>
      </c>
      <c r="C2197" s="3"/>
      <c r="D2197" s="3" t="s">
        <v>474</v>
      </c>
      <c r="E2197" s="4"/>
      <c r="F2197" s="3" t="s">
        <v>124</v>
      </c>
      <c r="G2197" s="9"/>
      <c r="H2197" s="9"/>
      <c r="I2197" s="12"/>
      <c r="J2197" s="5" t="e">
        <f>SUM(SUMIFS(#REF!,#REF!,Planning[[#This Row],[Tipo de Tarea y especialidad]],#REF!,Planning[[#This Row],[Proyectos Reiwa]]),SUMIFS(#REF!,#REF!,Planning[[#This Row],[Tipo de Tarea y especialidad]],#REF!,Planning[[#This Row],[Proyectos]]))</f>
        <v>#REF!</v>
      </c>
      <c r="K2197" s="5" t="e">
        <f>Planning[[#This Row],[Horas Planificadas]]+Planning[[#This Row],[Horas ajustadas adicionales]]-Planning[[#This Row],[Horas utilizadas]]</f>
        <v>#REF!</v>
      </c>
      <c r="L2197" s="7"/>
      <c r="M2197" s="19" t="e">
        <f>Planning[[#This Row],[Saldo]]-Planning[[#This Row],[Saldo estimado]]</f>
        <v>#REF!</v>
      </c>
      <c r="N2197" s="60" t="e">
        <f>+SUMIFS(#REF!,#REF!,Planning[[#This Row],[Proyectos]],#REF!,Planning[[#This Row],[Tipo de Tarea y especialidad]])</f>
        <v>#REF!</v>
      </c>
      <c r="O2197" s="19">
        <f t="shared" si="68"/>
        <v>10</v>
      </c>
      <c r="P2197" s="19">
        <f t="shared" si="69"/>
        <v>2024</v>
      </c>
      <c r="Q21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97" s="19" t="str">
        <f>TEXT(Planning[[#This Row],[Mes]]*29,"mmmm")</f>
        <v>October</v>
      </c>
      <c r="S21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97" s="193"/>
      <c r="U2197" s="43">
        <f>IF(Planning[[#This Row],[Horas Planificadas]]&lt;&gt;0,+K2197/Planning[[#This Row],[Horas Planificadas]],0)</f>
        <v>0</v>
      </c>
      <c r="V2197" s="43">
        <f>IF(Planning[[#This Row],[Horas Planificadas]]&lt;&gt;0,Planning[[#This Row],[Horas utilizadas]]/Planning[[#This Row],[Horas Planificadas]],0)</f>
        <v>0</v>
      </c>
      <c r="W2197" s="44">
        <f>Planning[[#This Row],[Horas Planificadas]]+Planning[[#This Row],[Horas ajustadas adicionales]]</f>
        <v>0</v>
      </c>
      <c r="X2197" s="142"/>
    </row>
    <row r="2198" spans="1:24" x14ac:dyDescent="0.2">
      <c r="A2198" s="7" t="s">
        <v>294</v>
      </c>
      <c r="B2198" s="7" t="s">
        <v>118</v>
      </c>
      <c r="C2198" s="3"/>
      <c r="D2198" s="3" t="s">
        <v>474</v>
      </c>
      <c r="E2198" s="4"/>
      <c r="F2198" s="3" t="s">
        <v>125</v>
      </c>
      <c r="G2198" s="9"/>
      <c r="H2198" s="12">
        <v>185</v>
      </c>
      <c r="I2198" s="12">
        <v>54</v>
      </c>
      <c r="J2198" s="5" t="e">
        <f>SUM(SUMIFS(#REF!,#REF!,Planning[[#This Row],[Tipo de Tarea y especialidad]],#REF!,Planning[[#This Row],[Proyectos Reiwa]]),SUMIFS(#REF!,#REF!,Planning[[#This Row],[Tipo de Tarea y especialidad]],#REF!,Planning[[#This Row],[Proyectos]]))</f>
        <v>#REF!</v>
      </c>
      <c r="K2198" s="27" t="e">
        <f>Planning[[#This Row],[Horas Planificadas]]+Planning[[#This Row],[Horas ajustadas adicionales]]-Planning[[#This Row],[Horas utilizadas]]</f>
        <v>#REF!</v>
      </c>
      <c r="L2198" s="7"/>
      <c r="M2198" s="19" t="e">
        <f>Planning[[#This Row],[Saldo]]-Planning[[#This Row],[Saldo estimado]]</f>
        <v>#REF!</v>
      </c>
      <c r="N2198" s="60" t="e">
        <f>+SUMIFS(#REF!,#REF!,Planning[[#This Row],[Proyectos]],#REF!,Planning[[#This Row],[Tipo de Tarea y especialidad]])</f>
        <v>#REF!</v>
      </c>
      <c r="O2198" s="19">
        <f t="shared" si="68"/>
        <v>10</v>
      </c>
      <c r="P2198" s="19">
        <f t="shared" si="69"/>
        <v>2024</v>
      </c>
      <c r="Q21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98" s="19" t="str">
        <f>TEXT(Planning[[#This Row],[Mes]]*29,"mmmm")</f>
        <v>October</v>
      </c>
      <c r="S21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98" s="193"/>
      <c r="U2198" s="43" t="e">
        <f>IF(Planning[[#This Row],[Horas Planificadas]]&lt;&gt;0,+K2198/Planning[[#This Row],[Horas Planificadas]],0)</f>
        <v>#REF!</v>
      </c>
      <c r="V2198" s="43" t="e">
        <f>IF(Planning[[#This Row],[Horas Planificadas]]&lt;&gt;0,Planning[[#This Row],[Horas utilizadas]]/Planning[[#This Row],[Horas Planificadas]],0)</f>
        <v>#REF!</v>
      </c>
      <c r="W2198" s="44">
        <f>Planning[[#This Row],[Horas Planificadas]]+Planning[[#This Row],[Horas ajustadas adicionales]]</f>
        <v>239</v>
      </c>
      <c r="X2198" s="142"/>
    </row>
    <row r="2199" spans="1:24" x14ac:dyDescent="0.2">
      <c r="A2199" s="7" t="s">
        <v>294</v>
      </c>
      <c r="B2199" s="7" t="s">
        <v>118</v>
      </c>
      <c r="C2199" s="3"/>
      <c r="D2199" s="3" t="s">
        <v>474</v>
      </c>
      <c r="E2199" s="4"/>
      <c r="F2199" s="3" t="s">
        <v>126</v>
      </c>
      <c r="G2199" s="9"/>
      <c r="H2199" s="9">
        <v>135</v>
      </c>
      <c r="I2199" s="12"/>
      <c r="J2199" s="5" t="e">
        <f>SUM(SUMIFS(#REF!,#REF!,Planning[[#This Row],[Tipo de Tarea y especialidad]],#REF!,Planning[[#This Row],[Proyectos Reiwa]]),SUMIFS(#REF!,#REF!,Planning[[#This Row],[Tipo de Tarea y especialidad]],#REF!,Planning[[#This Row],[Proyectos]]))</f>
        <v>#REF!</v>
      </c>
      <c r="K2199" s="5" t="e">
        <f>Planning[[#This Row],[Horas Planificadas]]+Planning[[#This Row],[Horas ajustadas adicionales]]-Planning[[#This Row],[Horas utilizadas]]</f>
        <v>#REF!</v>
      </c>
      <c r="L2199" s="7"/>
      <c r="M2199" s="19" t="e">
        <f>Planning[[#This Row],[Saldo]]-Planning[[#This Row],[Saldo estimado]]</f>
        <v>#REF!</v>
      </c>
      <c r="N2199" s="60" t="e">
        <f>+SUMIFS(#REF!,#REF!,Planning[[#This Row],[Proyectos]],#REF!,Planning[[#This Row],[Tipo de Tarea y especialidad]])</f>
        <v>#REF!</v>
      </c>
      <c r="O2199" s="19">
        <f t="shared" si="68"/>
        <v>10</v>
      </c>
      <c r="P2199" s="19">
        <f t="shared" si="69"/>
        <v>2024</v>
      </c>
      <c r="Q21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199" s="19" t="str">
        <f>TEXT(Planning[[#This Row],[Mes]]*29,"mmmm")</f>
        <v>October</v>
      </c>
      <c r="S21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199" s="193"/>
      <c r="U2199" s="43" t="e">
        <f>IF(Planning[[#This Row],[Horas Planificadas]]&lt;&gt;0,+K2199/Planning[[#This Row],[Horas Planificadas]],0)</f>
        <v>#REF!</v>
      </c>
      <c r="V2199" s="43" t="e">
        <f>IF(Planning[[#This Row],[Horas Planificadas]]&lt;&gt;0,Planning[[#This Row],[Horas utilizadas]]/Planning[[#This Row],[Horas Planificadas]],0)</f>
        <v>#REF!</v>
      </c>
      <c r="W2199" s="44">
        <f>Planning[[#This Row],[Horas Planificadas]]+Planning[[#This Row],[Horas ajustadas adicionales]]</f>
        <v>135</v>
      </c>
      <c r="X2199" s="142"/>
    </row>
    <row r="2200" spans="1:24" x14ac:dyDescent="0.2">
      <c r="A2200" s="7" t="s">
        <v>294</v>
      </c>
      <c r="B2200" s="7" t="s">
        <v>118</v>
      </c>
      <c r="C2200" s="3"/>
      <c r="D2200" s="3" t="s">
        <v>474</v>
      </c>
      <c r="E2200" s="4"/>
      <c r="F2200" s="3" t="s">
        <v>127</v>
      </c>
      <c r="G2200" s="9"/>
      <c r="H2200" s="9">
        <v>135</v>
      </c>
      <c r="I2200" s="12"/>
      <c r="J2200" s="5" t="e">
        <f>SUM(SUMIFS(#REF!,#REF!,Planning[[#This Row],[Tipo de Tarea y especialidad]],#REF!,Planning[[#This Row],[Proyectos Reiwa]]),SUMIFS(#REF!,#REF!,Planning[[#This Row],[Tipo de Tarea y especialidad]],#REF!,Planning[[#This Row],[Proyectos]]))</f>
        <v>#REF!</v>
      </c>
      <c r="K2200" s="5" t="e">
        <f>Planning[[#This Row],[Horas Planificadas]]+Planning[[#This Row],[Horas ajustadas adicionales]]-Planning[[#This Row],[Horas utilizadas]]</f>
        <v>#REF!</v>
      </c>
      <c r="L2200" s="7"/>
      <c r="M2200" s="19" t="e">
        <f>Planning[[#This Row],[Saldo]]-Planning[[#This Row],[Saldo estimado]]</f>
        <v>#REF!</v>
      </c>
      <c r="N2200" s="60" t="e">
        <f>+SUMIFS(#REF!,#REF!,Planning[[#This Row],[Proyectos]],#REF!,Planning[[#This Row],[Tipo de Tarea y especialidad]])</f>
        <v>#REF!</v>
      </c>
      <c r="O2200" s="19">
        <f t="shared" si="68"/>
        <v>10</v>
      </c>
      <c r="P2200" s="19">
        <f t="shared" si="69"/>
        <v>2024</v>
      </c>
      <c r="Q22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00" s="19" t="str">
        <f>TEXT(Planning[[#This Row],[Mes]]*29,"mmmm")</f>
        <v>October</v>
      </c>
      <c r="S22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00" s="193"/>
      <c r="U2200" s="43" t="e">
        <f>IF(Planning[[#This Row],[Horas Planificadas]]&lt;&gt;0,+K2200/Planning[[#This Row],[Horas Planificadas]],0)</f>
        <v>#REF!</v>
      </c>
      <c r="V2200" s="43" t="e">
        <f>IF(Planning[[#This Row],[Horas Planificadas]]&lt;&gt;0,Planning[[#This Row],[Horas utilizadas]]/Planning[[#This Row],[Horas Planificadas]],0)</f>
        <v>#REF!</v>
      </c>
      <c r="W2200" s="44">
        <f>Planning[[#This Row],[Horas Planificadas]]+Planning[[#This Row],[Horas ajustadas adicionales]]</f>
        <v>135</v>
      </c>
      <c r="X2200" s="142"/>
    </row>
    <row r="2201" spans="1:24" x14ac:dyDescent="0.2">
      <c r="A2201" s="7" t="s">
        <v>294</v>
      </c>
      <c r="B2201" s="7" t="s">
        <v>118</v>
      </c>
      <c r="C2201" s="3"/>
      <c r="D2201" s="3" t="s">
        <v>474</v>
      </c>
      <c r="E2201" s="4"/>
      <c r="F2201" s="3" t="s">
        <v>128</v>
      </c>
      <c r="G2201" s="9"/>
      <c r="H2201" s="9"/>
      <c r="I2201" s="12"/>
      <c r="J2201" s="5" t="e">
        <f>SUM(SUMIFS(#REF!,#REF!,Planning[[#This Row],[Tipo de Tarea y especialidad]],#REF!,Planning[[#This Row],[Proyectos Reiwa]]),SUMIFS(#REF!,#REF!,Planning[[#This Row],[Tipo de Tarea y especialidad]],#REF!,Planning[[#This Row],[Proyectos]]))</f>
        <v>#REF!</v>
      </c>
      <c r="K2201" s="5" t="e">
        <f>Planning[[#This Row],[Horas Planificadas]]+Planning[[#This Row],[Horas ajustadas adicionales]]-Planning[[#This Row],[Horas utilizadas]]</f>
        <v>#REF!</v>
      </c>
      <c r="L2201" s="7"/>
      <c r="M2201" s="19" t="e">
        <f>Planning[[#This Row],[Saldo]]-Planning[[#This Row],[Saldo estimado]]</f>
        <v>#REF!</v>
      </c>
      <c r="N2201" s="60" t="e">
        <f>+SUMIFS(#REF!,#REF!,Planning[[#This Row],[Proyectos]],#REF!,Planning[[#This Row],[Tipo de Tarea y especialidad]])</f>
        <v>#REF!</v>
      </c>
      <c r="O2201" s="19">
        <f t="shared" si="68"/>
        <v>10</v>
      </c>
      <c r="P2201" s="19">
        <f t="shared" si="69"/>
        <v>2024</v>
      </c>
      <c r="Q22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01" s="19" t="str">
        <f>TEXT(Planning[[#This Row],[Mes]]*29,"mmmm")</f>
        <v>October</v>
      </c>
      <c r="S22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01" s="193"/>
      <c r="U2201" s="43">
        <f>IF(Planning[[#This Row],[Horas Planificadas]]&lt;&gt;0,+K2201/Planning[[#This Row],[Horas Planificadas]],0)</f>
        <v>0</v>
      </c>
      <c r="V2201" s="43">
        <f>IF(Planning[[#This Row],[Horas Planificadas]]&lt;&gt;0,Planning[[#This Row],[Horas utilizadas]]/Planning[[#This Row],[Horas Planificadas]],0)</f>
        <v>0</v>
      </c>
      <c r="W2201" s="44">
        <f>Planning[[#This Row],[Horas Planificadas]]+Planning[[#This Row],[Horas ajustadas adicionales]]</f>
        <v>0</v>
      </c>
      <c r="X2201" s="142"/>
    </row>
    <row r="2202" spans="1:24" x14ac:dyDescent="0.2">
      <c r="A2202" s="7" t="s">
        <v>294</v>
      </c>
      <c r="B2202" s="7" t="s">
        <v>118</v>
      </c>
      <c r="C2202" s="3"/>
      <c r="D2202" s="3" t="s">
        <v>474</v>
      </c>
      <c r="E2202" s="4" t="s">
        <v>31</v>
      </c>
      <c r="F2202" s="3" t="s">
        <v>31</v>
      </c>
      <c r="G2202" s="9">
        <v>216</v>
      </c>
      <c r="H2202" s="17">
        <v>216</v>
      </c>
      <c r="I2202" s="18"/>
      <c r="J2202" s="14" t="e">
        <f>+SUMIFS(#REF!,#REF!,Planning[[#This Row],[Tarifa]],#REF!,Planning[[#This Row],[Proyectos]])</f>
        <v>#REF!</v>
      </c>
      <c r="K2202" s="14" t="e">
        <f>Planning[[#This Row],[Horas Planificadas]]+Planning[[#This Row],[Horas ajustadas adicionales]]-Planning[[#This Row],[Horas utilizadas]]</f>
        <v>#REF!</v>
      </c>
      <c r="L2202" s="15"/>
      <c r="M2202" s="16" t="e">
        <f>Planning[[#This Row],[Saldo]]-Planning[[#This Row],[Saldo estimado]]</f>
        <v>#REF!</v>
      </c>
      <c r="N2202" s="60" t="e">
        <f>+SUMIFS(#REF!,#REF!,Planning[[#This Row],[Proyectos]],#REF!,Planning[[#This Row],[Tipo de Tarea y especialidad]])</f>
        <v>#REF!</v>
      </c>
      <c r="O2202" s="16">
        <f t="shared" si="68"/>
        <v>10</v>
      </c>
      <c r="P2202" s="16">
        <f t="shared" si="69"/>
        <v>2024</v>
      </c>
      <c r="Q2202" s="16" t="e">
        <f>+SUMIFS(#REF!,#REF!,Planning[[#This Row],[Tarifa]],#REF!,Planning[[#This Row],[Proyectos]],#REF!,Planning[[#This Row],[Mes]],#REF!,Planning[[#This Row],[Año]])</f>
        <v>#REF!</v>
      </c>
      <c r="R2202" s="16" t="str">
        <f>TEXT(Planning[[#This Row],[Mes]]*29,"mmmm")</f>
        <v>October</v>
      </c>
      <c r="S22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02" s="193"/>
      <c r="U2202" s="43" t="e">
        <f>IF(Planning[[#This Row],[Horas Planificadas]]&lt;&gt;0,+K2202/Planning[[#This Row],[Horas Planificadas]],0)</f>
        <v>#REF!</v>
      </c>
      <c r="V2202" s="43" t="e">
        <f>IF(Planning[[#This Row],[Horas Planificadas]]&lt;&gt;0,Planning[[#This Row],[Horas utilizadas]]/Planning[[#This Row],[Horas Planificadas]],0)</f>
        <v>#REF!</v>
      </c>
      <c r="W2202" s="44">
        <f>Planning[[#This Row],[Horas Planificadas]]+Planning[[#This Row],[Horas ajustadas adicionales]]</f>
        <v>216</v>
      </c>
      <c r="X2202" s="142"/>
    </row>
    <row r="2203" spans="1:24" ht="22.5" x14ac:dyDescent="0.2">
      <c r="A2203" s="7" t="s">
        <v>294</v>
      </c>
      <c r="B2203" s="7" t="s">
        <v>118</v>
      </c>
      <c r="C2203" s="3"/>
      <c r="D2203" s="3" t="s">
        <v>474</v>
      </c>
      <c r="E2203" s="4" t="s">
        <v>32</v>
      </c>
      <c r="F2203" s="3"/>
      <c r="G2203" s="9">
        <v>560</v>
      </c>
      <c r="H2203" s="25">
        <f>SUM(H2204:H2206)</f>
        <v>560</v>
      </c>
      <c r="I2203" s="14"/>
      <c r="J2203" s="14" t="e">
        <f>SUM(J2204:J2206)</f>
        <v>#REF!</v>
      </c>
      <c r="K2203" s="18" t="e">
        <f>SUM(K2204:K2206)</f>
        <v>#REF!</v>
      </c>
      <c r="L2203" s="15">
        <f>SUM(L2204:L2206)</f>
        <v>0</v>
      </c>
      <c r="M2203" s="16" t="e">
        <f>SUM(M2204:M2206)</f>
        <v>#REF!</v>
      </c>
      <c r="N2203" s="60" t="e">
        <f>+SUMIFS(#REF!,#REF!,Planning[[#This Row],[Proyectos]],#REF!,Planning[[#This Row],[Tipo de Tarea y especialidad]])</f>
        <v>#REF!</v>
      </c>
      <c r="O2203" s="16">
        <f t="shared" si="68"/>
        <v>10</v>
      </c>
      <c r="P2203" s="16">
        <f t="shared" si="69"/>
        <v>2024</v>
      </c>
      <c r="Q2203" s="16" t="e">
        <f>SUM(Q2204:Q2206)</f>
        <v>#REF!</v>
      </c>
      <c r="R2203" s="16" t="str">
        <f>TEXT(Planning[[#This Row],[Mes]]*29,"mmmm")</f>
        <v>October</v>
      </c>
      <c r="S22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03" s="193"/>
      <c r="U2203" s="43" t="e">
        <f>IF(Planning[[#This Row],[Horas Planificadas]]&lt;&gt;0,+K2203/Planning[[#This Row],[Horas Planificadas]],0)</f>
        <v>#REF!</v>
      </c>
      <c r="V2203" s="43" t="e">
        <f>IF(Planning[[#This Row],[Horas Planificadas]]&lt;&gt;0,Planning[[#This Row],[Horas utilizadas]]/Planning[[#This Row],[Horas Planificadas]],0)</f>
        <v>#REF!</v>
      </c>
      <c r="W2203" s="44">
        <f>Planning[[#This Row],[Horas Planificadas]]+Planning[[#This Row],[Horas ajustadas adicionales]]</f>
        <v>560</v>
      </c>
      <c r="X2203" s="142"/>
    </row>
    <row r="2204" spans="1:24" x14ac:dyDescent="0.2">
      <c r="A2204" s="7" t="s">
        <v>294</v>
      </c>
      <c r="B2204" s="7" t="s">
        <v>118</v>
      </c>
      <c r="C2204" s="3"/>
      <c r="D2204" s="3" t="s">
        <v>474</v>
      </c>
      <c r="E2204" s="4"/>
      <c r="F2204" s="3" t="s">
        <v>129</v>
      </c>
      <c r="G2204" s="9"/>
      <c r="H2204" s="9">
        <v>280</v>
      </c>
      <c r="I2204" s="12">
        <v>72</v>
      </c>
      <c r="J2204" s="5" t="e">
        <f>SUM(SUMIFS(#REF!,#REF!,Planning[[#This Row],[Tipo de Tarea y especialidad]],#REF!,Planning[[#This Row],[Proyectos Reiwa]]),SUMIFS(#REF!,#REF!,Planning[[#This Row],[Tipo de Tarea y especialidad]],#REF!,Planning[[#This Row],[Proyectos]]))</f>
        <v>#REF!</v>
      </c>
      <c r="K2204" s="5" t="e">
        <f>Planning[[#This Row],[Horas Planificadas]]+Planning[[#This Row],[Horas ajustadas adicionales]]-Planning[[#This Row],[Horas utilizadas]]</f>
        <v>#REF!</v>
      </c>
      <c r="L2204" s="7"/>
      <c r="M2204" s="19" t="e">
        <f>Planning[[#This Row],[Saldo]]-Planning[[#This Row],[Saldo estimado]]</f>
        <v>#REF!</v>
      </c>
      <c r="N2204" s="60" t="e">
        <f>+SUMIFS(#REF!,#REF!,Planning[[#This Row],[Proyectos]],#REF!,Planning[[#This Row],[Tipo de Tarea y especialidad]])</f>
        <v>#REF!</v>
      </c>
      <c r="O2204" s="19">
        <f t="shared" si="68"/>
        <v>10</v>
      </c>
      <c r="P2204" s="19">
        <f t="shared" si="69"/>
        <v>2024</v>
      </c>
      <c r="Q22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04" s="19" t="str">
        <f>TEXT(Planning[[#This Row],[Mes]]*29,"mmmm")</f>
        <v>October</v>
      </c>
      <c r="S22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04" s="193"/>
      <c r="U2204" s="43" t="e">
        <f>IF(Planning[[#This Row],[Horas Planificadas]]&lt;&gt;0,+K2204/Planning[[#This Row],[Horas Planificadas]],0)</f>
        <v>#REF!</v>
      </c>
      <c r="V2204" s="43" t="e">
        <f>IF(Planning[[#This Row],[Horas Planificadas]]&lt;&gt;0,Planning[[#This Row],[Horas utilizadas]]/Planning[[#This Row],[Horas Planificadas]],0)</f>
        <v>#REF!</v>
      </c>
      <c r="W2204" s="44">
        <f>Planning[[#This Row],[Horas Planificadas]]+Planning[[#This Row],[Horas ajustadas adicionales]]</f>
        <v>352</v>
      </c>
      <c r="X2204" s="142"/>
    </row>
    <row r="2205" spans="1:24" x14ac:dyDescent="0.2">
      <c r="A2205" s="7" t="s">
        <v>294</v>
      </c>
      <c r="B2205" s="7" t="s">
        <v>118</v>
      </c>
      <c r="C2205" s="3"/>
      <c r="D2205" s="3" t="s">
        <v>474</v>
      </c>
      <c r="E2205" s="4"/>
      <c r="F2205" s="3" t="s">
        <v>130</v>
      </c>
      <c r="G2205" s="9"/>
      <c r="H2205" s="9">
        <v>280</v>
      </c>
      <c r="I2205" s="12"/>
      <c r="J2205" s="5" t="e">
        <f>SUM(SUMIFS(#REF!,#REF!,Planning[[#This Row],[Tipo de Tarea y especialidad]],#REF!,Planning[[#This Row],[Proyectos Reiwa]]),SUMIFS(#REF!,#REF!,Planning[[#This Row],[Tipo de Tarea y especialidad]],#REF!,Planning[[#This Row],[Proyectos]]))</f>
        <v>#REF!</v>
      </c>
      <c r="K2205" s="5" t="e">
        <f>Planning[[#This Row],[Horas Planificadas]]+Planning[[#This Row],[Horas ajustadas adicionales]]-Planning[[#This Row],[Horas utilizadas]]</f>
        <v>#REF!</v>
      </c>
      <c r="L2205" s="7"/>
      <c r="M2205" s="19" t="e">
        <f>Planning[[#This Row],[Saldo]]-Planning[[#This Row],[Saldo estimado]]</f>
        <v>#REF!</v>
      </c>
      <c r="N2205" s="60" t="e">
        <f>+SUMIFS(#REF!,#REF!,Planning[[#This Row],[Proyectos]],#REF!,Planning[[#This Row],[Tipo de Tarea y especialidad]])</f>
        <v>#REF!</v>
      </c>
      <c r="O2205" s="19">
        <f t="shared" si="68"/>
        <v>10</v>
      </c>
      <c r="P2205" s="19">
        <f t="shared" si="69"/>
        <v>2024</v>
      </c>
      <c r="Q22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05" s="19" t="str">
        <f>TEXT(Planning[[#This Row],[Mes]]*29,"mmmm")</f>
        <v>October</v>
      </c>
      <c r="S22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05" s="193"/>
      <c r="U2205" s="43" t="e">
        <f>IF(Planning[[#This Row],[Horas Planificadas]]&lt;&gt;0,+K2205/Planning[[#This Row],[Horas Planificadas]],0)</f>
        <v>#REF!</v>
      </c>
      <c r="V2205" s="43" t="e">
        <f>IF(Planning[[#This Row],[Horas Planificadas]]&lt;&gt;0,Planning[[#This Row],[Horas utilizadas]]/Planning[[#This Row],[Horas Planificadas]],0)</f>
        <v>#REF!</v>
      </c>
      <c r="W2205" s="44">
        <f>Planning[[#This Row],[Horas Planificadas]]+Planning[[#This Row],[Horas ajustadas adicionales]]</f>
        <v>280</v>
      </c>
      <c r="X2205" s="142"/>
    </row>
    <row r="2206" spans="1:24" x14ac:dyDescent="0.2">
      <c r="A2206" s="7" t="s">
        <v>294</v>
      </c>
      <c r="B2206" s="7" t="s">
        <v>118</v>
      </c>
      <c r="C2206" s="3"/>
      <c r="D2206" s="3" t="s">
        <v>474</v>
      </c>
      <c r="E2206" s="4"/>
      <c r="F2206" s="3" t="s">
        <v>131</v>
      </c>
      <c r="G2206" s="9"/>
      <c r="H2206" s="9"/>
      <c r="I2206" s="12"/>
      <c r="J2206" s="5" t="e">
        <f>SUM(SUMIFS(#REF!,#REF!,Planning[[#This Row],[Tipo de Tarea y especialidad]],#REF!,Planning[[#This Row],[Proyectos Reiwa]]),SUMIFS(#REF!,#REF!,Planning[[#This Row],[Tipo de Tarea y especialidad]],#REF!,Planning[[#This Row],[Proyectos]]))</f>
        <v>#REF!</v>
      </c>
      <c r="K2206" s="5" t="e">
        <f>Planning[[#This Row],[Horas Planificadas]]+Planning[[#This Row],[Horas ajustadas adicionales]]-Planning[[#This Row],[Horas utilizadas]]</f>
        <v>#REF!</v>
      </c>
      <c r="L2206" s="7"/>
      <c r="M2206" s="19" t="e">
        <f>Planning[[#This Row],[Saldo]]-Planning[[#This Row],[Saldo estimado]]</f>
        <v>#REF!</v>
      </c>
      <c r="N2206" s="60" t="e">
        <f>+SUMIFS(#REF!,#REF!,Planning[[#This Row],[Proyectos]],#REF!,Planning[[#This Row],[Tipo de Tarea y especialidad]])</f>
        <v>#REF!</v>
      </c>
      <c r="O2206" s="19">
        <f t="shared" si="68"/>
        <v>10</v>
      </c>
      <c r="P2206" s="19">
        <f t="shared" si="69"/>
        <v>2024</v>
      </c>
      <c r="Q22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06" s="19" t="str">
        <f>TEXT(Planning[[#This Row],[Mes]]*29,"mmmm")</f>
        <v>October</v>
      </c>
      <c r="S22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06" s="193"/>
      <c r="U2206" s="43">
        <f>IF(Planning[[#This Row],[Horas Planificadas]]&lt;&gt;0,+K2206/Planning[[#This Row],[Horas Planificadas]],0)</f>
        <v>0</v>
      </c>
      <c r="V2206" s="43">
        <f>IF(Planning[[#This Row],[Horas Planificadas]]&lt;&gt;0,Planning[[#This Row],[Horas utilizadas]]/Planning[[#This Row],[Horas Planificadas]],0)</f>
        <v>0</v>
      </c>
      <c r="W2206" s="44">
        <f>Planning[[#This Row],[Horas Planificadas]]+Planning[[#This Row],[Horas ajustadas adicionales]]</f>
        <v>0</v>
      </c>
      <c r="X2206" s="142"/>
    </row>
    <row r="2207" spans="1:24" ht="22.5" x14ac:dyDescent="0.2">
      <c r="A2207" s="7" t="s">
        <v>389</v>
      </c>
      <c r="B2207" s="7" t="s">
        <v>205</v>
      </c>
      <c r="C2207" s="3"/>
      <c r="D2207" s="3" t="s">
        <v>476</v>
      </c>
      <c r="E2207" s="4" t="s">
        <v>28</v>
      </c>
      <c r="F2207" s="3"/>
      <c r="G2207" s="9">
        <v>0</v>
      </c>
      <c r="H2207" s="14">
        <f>SUM(H2208:H2209)</f>
        <v>40</v>
      </c>
      <c r="I2207" s="14"/>
      <c r="J2207" s="14" t="e">
        <f>SUM(J2208:J2209)</f>
        <v>#REF!</v>
      </c>
      <c r="K2207" s="15" t="e">
        <f>SUM(K2208:K2209)</f>
        <v>#REF!</v>
      </c>
      <c r="L2207" s="15">
        <f>SUM(L2208:L2209)</f>
        <v>0</v>
      </c>
      <c r="M2207" s="28" t="e">
        <f>SUM(M2208:M2209)</f>
        <v>#REF!</v>
      </c>
      <c r="N2207" s="61" t="e">
        <f>+SUMIFS(#REF!,#REF!,Planning[[#This Row],[Proyectos]],#REF!,Planning[[#This Row],[Tipo de Tarea y especialidad]])</f>
        <v>#REF!</v>
      </c>
      <c r="O2207" s="28">
        <f t="shared" si="68"/>
        <v>10</v>
      </c>
      <c r="P2207" s="28">
        <f t="shared" si="69"/>
        <v>2024</v>
      </c>
      <c r="Q2207" s="28" t="e">
        <f>SUM(Q2208:Q2209)</f>
        <v>#REF!</v>
      </c>
      <c r="R2207" s="28" t="str">
        <f>TEXT(Planning[[#This Row],[Mes]]*29,"mmmm")</f>
        <v>October</v>
      </c>
      <c r="S22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07" s="192" t="s">
        <v>477</v>
      </c>
      <c r="U2207" s="43" t="e">
        <f>IF(Planning[[#This Row],[Horas Planificadas]]&lt;&gt;0,+K2207/Planning[[#This Row],[Horas Planificadas]],0)</f>
        <v>#REF!</v>
      </c>
      <c r="V2207" s="43" t="e">
        <f>IF(Planning[[#This Row],[Horas Planificadas]]&lt;&gt;0,Planning[[#This Row],[Horas utilizadas]]/Planning[[#This Row],[Horas Planificadas]],0)</f>
        <v>#REF!</v>
      </c>
      <c r="W2207" s="44">
        <f>Planning[[#This Row],[Horas Planificadas]]+Planning[[#This Row],[Horas ajustadas adicionales]]</f>
        <v>40</v>
      </c>
      <c r="X2207" s="142"/>
    </row>
    <row r="2208" spans="1:24" x14ac:dyDescent="0.2">
      <c r="A2208" s="7" t="s">
        <v>389</v>
      </c>
      <c r="B2208" s="7" t="s">
        <v>205</v>
      </c>
      <c r="C2208" s="3"/>
      <c r="D2208" s="3" t="s">
        <v>476</v>
      </c>
      <c r="E2208" s="4"/>
      <c r="F2208" s="3" t="s">
        <v>120</v>
      </c>
      <c r="G2208" s="9"/>
      <c r="H2208" s="9">
        <v>40</v>
      </c>
      <c r="I2208" s="12"/>
      <c r="J2208" s="5" t="e">
        <f>SUM(SUMIFS(#REF!,#REF!,Planning[[#This Row],[Tipo de Tarea y especialidad]],#REF!,Planning[[#This Row],[Proyectos Reiwa]]),SUMIFS(#REF!,#REF!,Planning[[#This Row],[Tipo de Tarea y especialidad]],#REF!,Planning[[#This Row],[Proyectos]]))</f>
        <v>#REF!</v>
      </c>
      <c r="K2208" s="5" t="e">
        <f>Planning[[#This Row],[Horas Planificadas]]+Planning[[#This Row],[Horas ajustadas adicionales]]-Planning[[#This Row],[Horas utilizadas]]</f>
        <v>#REF!</v>
      </c>
      <c r="L2208" s="7">
        <v>0</v>
      </c>
      <c r="M2208" s="19" t="e">
        <f>Planning[[#This Row],[Saldo]]-Planning[[#This Row],[Saldo estimado]]</f>
        <v>#REF!</v>
      </c>
      <c r="N2208" s="60" t="e">
        <f>+SUMIFS(#REF!,#REF!,Planning[[#This Row],[Proyectos]],#REF!,Planning[[#This Row],[Tipo de Tarea y especialidad]])</f>
        <v>#REF!</v>
      </c>
      <c r="O2208" s="19">
        <f t="shared" si="68"/>
        <v>10</v>
      </c>
      <c r="P2208" s="19">
        <f t="shared" si="69"/>
        <v>2024</v>
      </c>
      <c r="Q22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08" s="19" t="str">
        <f>TEXT(Planning[[#This Row],[Mes]]*29,"mmmm")</f>
        <v>October</v>
      </c>
      <c r="S22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08" s="193"/>
      <c r="U2208" s="43" t="e">
        <f>IF(Planning[[#This Row],[Horas Planificadas]]&lt;&gt;0,+K2208/Planning[[#This Row],[Horas Planificadas]],0)</f>
        <v>#REF!</v>
      </c>
      <c r="V2208" s="43" t="e">
        <f>IF(Planning[[#This Row],[Horas Planificadas]]&lt;&gt;0,Planning[[#This Row],[Horas utilizadas]]/Planning[[#This Row],[Horas Planificadas]],0)</f>
        <v>#REF!</v>
      </c>
      <c r="W2208" s="44">
        <f>Planning[[#This Row],[Horas Planificadas]]+Planning[[#This Row],[Horas ajustadas adicionales]]</f>
        <v>40</v>
      </c>
      <c r="X2208" s="142"/>
    </row>
    <row r="2209" spans="1:24" x14ac:dyDescent="0.2">
      <c r="A2209" s="7" t="s">
        <v>389</v>
      </c>
      <c r="B2209" s="7" t="s">
        <v>205</v>
      </c>
      <c r="C2209" s="3"/>
      <c r="D2209" s="3" t="s">
        <v>476</v>
      </c>
      <c r="E2209" s="4"/>
      <c r="F2209" s="3" t="s">
        <v>121</v>
      </c>
      <c r="G2209" s="9"/>
      <c r="H2209" s="9"/>
      <c r="I2209" s="12"/>
      <c r="J2209" s="5" t="e">
        <f>SUM(SUMIFS(#REF!,#REF!,Planning[[#This Row],[Tipo de Tarea y especialidad]],#REF!,Planning[[#This Row],[Proyectos Reiwa]]),SUMIFS(#REF!,#REF!,Planning[[#This Row],[Tipo de Tarea y especialidad]],#REF!,Planning[[#This Row],[Proyectos]]))</f>
        <v>#REF!</v>
      </c>
      <c r="K2209" s="5" t="e">
        <f>Planning[[#This Row],[Horas Planificadas]]+Planning[[#This Row],[Horas ajustadas adicionales]]-Planning[[#This Row],[Horas utilizadas]]</f>
        <v>#REF!</v>
      </c>
      <c r="L2209" s="7"/>
      <c r="M2209" s="19" t="e">
        <f>Planning[[#This Row],[Saldo]]-Planning[[#This Row],[Saldo estimado]]</f>
        <v>#REF!</v>
      </c>
      <c r="N2209" s="60" t="e">
        <f>+SUMIFS(#REF!,#REF!,Planning[[#This Row],[Proyectos]],#REF!,Planning[[#This Row],[Tipo de Tarea y especialidad]])</f>
        <v>#REF!</v>
      </c>
      <c r="O2209" s="19">
        <f t="shared" si="68"/>
        <v>10</v>
      </c>
      <c r="P2209" s="19">
        <f t="shared" si="69"/>
        <v>2024</v>
      </c>
      <c r="Q22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09" s="19" t="str">
        <f>TEXT(Planning[[#This Row],[Mes]]*29,"mmmm")</f>
        <v>October</v>
      </c>
      <c r="S22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09" s="193"/>
      <c r="U2209" s="43">
        <f>IF(Planning[[#This Row],[Horas Planificadas]]&lt;&gt;0,+K2209/Planning[[#This Row],[Horas Planificadas]],0)</f>
        <v>0</v>
      </c>
      <c r="V2209" s="43">
        <f>IF(Planning[[#This Row],[Horas Planificadas]]&lt;&gt;0,Planning[[#This Row],[Horas utilizadas]]/Planning[[#This Row],[Horas Planificadas]],0)</f>
        <v>0</v>
      </c>
      <c r="W2209" s="44">
        <f>Planning[[#This Row],[Horas Planificadas]]+Planning[[#This Row],[Horas ajustadas adicionales]]</f>
        <v>0</v>
      </c>
      <c r="X2209" s="142"/>
    </row>
    <row r="2210" spans="1:24" x14ac:dyDescent="0.2">
      <c r="A2210" s="7" t="s">
        <v>389</v>
      </c>
      <c r="B2210" s="7" t="s">
        <v>205</v>
      </c>
      <c r="C2210" s="3"/>
      <c r="D2210" s="3" t="s">
        <v>476</v>
      </c>
      <c r="E2210" s="4" t="s">
        <v>30</v>
      </c>
      <c r="F2210" s="3"/>
      <c r="G2210" s="9">
        <v>855</v>
      </c>
      <c r="H2210" s="25">
        <f>SUM(H2211:H2217)</f>
        <v>855</v>
      </c>
      <c r="I2210" s="14"/>
      <c r="J2210" s="14" t="e">
        <f>SUM(J2211:J2217)</f>
        <v>#REF!</v>
      </c>
      <c r="K2210" s="18" t="e">
        <f>SUM(K2211:K2217)</f>
        <v>#REF!</v>
      </c>
      <c r="L2210" s="15">
        <f>SUM(L2211:L2217)</f>
        <v>0</v>
      </c>
      <c r="M2210" s="16" t="e">
        <f>SUM(M2211:M2217)</f>
        <v>#REF!</v>
      </c>
      <c r="N2210" s="60" t="e">
        <f>+SUMIFS(#REF!,#REF!,Planning[[#This Row],[Proyectos]],#REF!,Planning[[#This Row],[Tipo de Tarea y especialidad]])</f>
        <v>#REF!</v>
      </c>
      <c r="O2210" s="16">
        <f t="shared" si="68"/>
        <v>10</v>
      </c>
      <c r="P2210" s="16">
        <f t="shared" si="69"/>
        <v>2024</v>
      </c>
      <c r="Q2210" s="16" t="e">
        <f>SUM(Q2211:Q2217)</f>
        <v>#REF!</v>
      </c>
      <c r="R2210" s="16" t="str">
        <f>TEXT(Planning[[#This Row],[Mes]]*29,"mmmm")</f>
        <v>October</v>
      </c>
      <c r="S22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10" s="193"/>
      <c r="U2210" s="43" t="e">
        <f>IF(Planning[[#This Row],[Horas Planificadas]]&lt;&gt;0,+K2210/Planning[[#This Row],[Horas Planificadas]],0)</f>
        <v>#REF!</v>
      </c>
      <c r="V2210" s="43" t="e">
        <f>IF(Planning[[#This Row],[Horas Planificadas]]&lt;&gt;0,Planning[[#This Row],[Horas utilizadas]]/Planning[[#This Row],[Horas Planificadas]],0)</f>
        <v>#REF!</v>
      </c>
      <c r="W2210" s="44">
        <f>Planning[[#This Row],[Horas Planificadas]]+Planning[[#This Row],[Horas ajustadas adicionales]]</f>
        <v>855</v>
      </c>
      <c r="X2210" s="142"/>
    </row>
    <row r="2211" spans="1:24" x14ac:dyDescent="0.2">
      <c r="A2211" s="7" t="s">
        <v>389</v>
      </c>
      <c r="B2211" s="7" t="s">
        <v>205</v>
      </c>
      <c r="C2211" s="3"/>
      <c r="D2211" s="3" t="s">
        <v>476</v>
      </c>
      <c r="E2211" s="4"/>
      <c r="F2211" s="3" t="s">
        <v>122</v>
      </c>
      <c r="G2211" s="9"/>
      <c r="H2211" s="12">
        <v>18</v>
      </c>
      <c r="I2211" s="12"/>
      <c r="J2211" s="5" t="e">
        <f>SUM(SUMIFS(#REF!,#REF!,Planning[[#This Row],[Tipo de Tarea y especialidad]],#REF!,Planning[[#This Row],[Proyectos Reiwa]]),SUMIFS(#REF!,#REF!,Planning[[#This Row],[Tipo de Tarea y especialidad]],#REF!,Planning[[#This Row],[Proyectos]]))</f>
        <v>#REF!</v>
      </c>
      <c r="K2211" s="27" t="e">
        <f>Planning[[#This Row],[Horas Planificadas]]+Planning[[#This Row],[Horas ajustadas adicionales]]-Planning[[#This Row],[Horas utilizadas]]</f>
        <v>#REF!</v>
      </c>
      <c r="L2211" s="7">
        <v>0</v>
      </c>
      <c r="M2211" s="34" t="e">
        <f>Planning[[#This Row],[Saldo]]-Planning[[#This Row],[Saldo estimado]]</f>
        <v>#REF!</v>
      </c>
      <c r="N2211" s="62" t="e">
        <f>+SUMIFS(#REF!,#REF!,Planning[[#This Row],[Proyectos]],#REF!,Planning[[#This Row],[Tipo de Tarea y especialidad]])</f>
        <v>#REF!</v>
      </c>
      <c r="O2211" s="34">
        <f t="shared" si="68"/>
        <v>10</v>
      </c>
      <c r="P2211" s="34">
        <f t="shared" si="69"/>
        <v>2024</v>
      </c>
      <c r="Q22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11" s="19" t="str">
        <f>TEXT(Planning[[#This Row],[Mes]]*29,"mmmm")</f>
        <v>October</v>
      </c>
      <c r="S22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11" s="193"/>
      <c r="U2211" s="43" t="e">
        <f>IF(Planning[[#This Row],[Horas Planificadas]]&lt;&gt;0,+K2211/Planning[[#This Row],[Horas Planificadas]],0)</f>
        <v>#REF!</v>
      </c>
      <c r="V2211" s="43" t="e">
        <f>IF(Planning[[#This Row],[Horas Planificadas]]&lt;&gt;0,Planning[[#This Row],[Horas utilizadas]]/Planning[[#This Row],[Horas Planificadas]],0)</f>
        <v>#REF!</v>
      </c>
      <c r="W2211" s="44">
        <f>Planning[[#This Row],[Horas Planificadas]]+Planning[[#This Row],[Horas ajustadas adicionales]]</f>
        <v>18</v>
      </c>
      <c r="X2211" s="142"/>
    </row>
    <row r="2212" spans="1:24" x14ac:dyDescent="0.2">
      <c r="A2212" s="7" t="s">
        <v>389</v>
      </c>
      <c r="B2212" s="7" t="s">
        <v>205</v>
      </c>
      <c r="C2212" s="3"/>
      <c r="D2212" s="3" t="s">
        <v>476</v>
      </c>
      <c r="E2212" s="4"/>
      <c r="F2212" s="3" t="s">
        <v>123</v>
      </c>
      <c r="G2212" s="9"/>
      <c r="H2212" s="9">
        <v>261</v>
      </c>
      <c r="I2212" s="12"/>
      <c r="J2212" s="5" t="e">
        <f>SUM(SUMIFS(#REF!,#REF!,Planning[[#This Row],[Tipo de Tarea y especialidad]],#REF!,Planning[[#This Row],[Proyectos Reiwa]]),SUMIFS(#REF!,#REF!,Planning[[#This Row],[Tipo de Tarea y especialidad]],#REF!,Planning[[#This Row],[Proyectos]]))</f>
        <v>#REF!</v>
      </c>
      <c r="K2212" s="5" t="e">
        <f>Planning[[#This Row],[Horas Planificadas]]+Planning[[#This Row],[Horas ajustadas adicionales]]-Planning[[#This Row],[Horas utilizadas]]</f>
        <v>#REF!</v>
      </c>
      <c r="L2212" s="7">
        <v>0</v>
      </c>
      <c r="M2212" s="19" t="e">
        <f>Planning[[#This Row],[Saldo]]-Planning[[#This Row],[Saldo estimado]]</f>
        <v>#REF!</v>
      </c>
      <c r="N2212" s="60" t="e">
        <f>+SUMIFS(#REF!,#REF!,Planning[[#This Row],[Proyectos]],#REF!,Planning[[#This Row],[Tipo de Tarea y especialidad]])</f>
        <v>#REF!</v>
      </c>
      <c r="O2212" s="19">
        <f t="shared" si="68"/>
        <v>10</v>
      </c>
      <c r="P2212" s="19">
        <f t="shared" si="69"/>
        <v>2024</v>
      </c>
      <c r="Q22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12" s="19" t="str">
        <f>TEXT(Planning[[#This Row],[Mes]]*29,"mmmm")</f>
        <v>October</v>
      </c>
      <c r="S22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12" s="193"/>
      <c r="U2212" s="43" t="e">
        <f>IF(Planning[[#This Row],[Horas Planificadas]]&lt;&gt;0,+K2212/Planning[[#This Row],[Horas Planificadas]],0)</f>
        <v>#REF!</v>
      </c>
      <c r="V2212" s="43" t="e">
        <f>IF(Planning[[#This Row],[Horas Planificadas]]&lt;&gt;0,Planning[[#This Row],[Horas utilizadas]]/Planning[[#This Row],[Horas Planificadas]],0)</f>
        <v>#REF!</v>
      </c>
      <c r="W2212" s="44">
        <f>Planning[[#This Row],[Horas Planificadas]]+Planning[[#This Row],[Horas ajustadas adicionales]]</f>
        <v>261</v>
      </c>
      <c r="X2212" s="142"/>
    </row>
    <row r="2213" spans="1:24" x14ac:dyDescent="0.2">
      <c r="A2213" s="7" t="s">
        <v>389</v>
      </c>
      <c r="B2213" s="7" t="s">
        <v>205</v>
      </c>
      <c r="C2213" s="3"/>
      <c r="D2213" s="3" t="s">
        <v>476</v>
      </c>
      <c r="E2213" s="4"/>
      <c r="F2213" s="3" t="s">
        <v>124</v>
      </c>
      <c r="G2213" s="9"/>
      <c r="H2213" s="9">
        <v>126</v>
      </c>
      <c r="I2213" s="12"/>
      <c r="J2213" s="5" t="e">
        <f>SUM(SUMIFS(#REF!,#REF!,Planning[[#This Row],[Tipo de Tarea y especialidad]],#REF!,Planning[[#This Row],[Proyectos Reiwa]]),SUMIFS(#REF!,#REF!,Planning[[#This Row],[Tipo de Tarea y especialidad]],#REF!,Planning[[#This Row],[Proyectos]]))</f>
        <v>#REF!</v>
      </c>
      <c r="K2213" s="5" t="e">
        <f>Planning[[#This Row],[Horas Planificadas]]+Planning[[#This Row],[Horas ajustadas adicionales]]-Planning[[#This Row],[Horas utilizadas]]</f>
        <v>#REF!</v>
      </c>
      <c r="L2213" s="7">
        <v>0</v>
      </c>
      <c r="M2213" s="19" t="e">
        <f>Planning[[#This Row],[Saldo]]-Planning[[#This Row],[Saldo estimado]]</f>
        <v>#REF!</v>
      </c>
      <c r="N2213" s="60" t="e">
        <f>+SUMIFS(#REF!,#REF!,Planning[[#This Row],[Proyectos]],#REF!,Planning[[#This Row],[Tipo de Tarea y especialidad]])</f>
        <v>#REF!</v>
      </c>
      <c r="O2213" s="19">
        <f t="shared" si="68"/>
        <v>10</v>
      </c>
      <c r="P2213" s="19">
        <f t="shared" si="69"/>
        <v>2024</v>
      </c>
      <c r="Q22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13" s="19" t="str">
        <f>TEXT(Planning[[#This Row],[Mes]]*29,"mmmm")</f>
        <v>October</v>
      </c>
      <c r="S22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13" s="193"/>
      <c r="U2213" s="43" t="e">
        <f>IF(Planning[[#This Row],[Horas Planificadas]]&lt;&gt;0,+K2213/Planning[[#This Row],[Horas Planificadas]],0)</f>
        <v>#REF!</v>
      </c>
      <c r="V2213" s="43" t="e">
        <f>IF(Planning[[#This Row],[Horas Planificadas]]&lt;&gt;0,Planning[[#This Row],[Horas utilizadas]]/Planning[[#This Row],[Horas Planificadas]],0)</f>
        <v>#REF!</v>
      </c>
      <c r="W2213" s="44">
        <f>Planning[[#This Row],[Horas Planificadas]]+Planning[[#This Row],[Horas ajustadas adicionales]]</f>
        <v>126</v>
      </c>
      <c r="X2213" s="142"/>
    </row>
    <row r="2214" spans="1:24" x14ac:dyDescent="0.2">
      <c r="A2214" s="7" t="s">
        <v>389</v>
      </c>
      <c r="B2214" s="7" t="s">
        <v>205</v>
      </c>
      <c r="C2214" s="3"/>
      <c r="D2214" s="3" t="s">
        <v>476</v>
      </c>
      <c r="E2214" s="4"/>
      <c r="F2214" s="3" t="s">
        <v>125</v>
      </c>
      <c r="G2214" s="9"/>
      <c r="H2214" s="12">
        <v>279</v>
      </c>
      <c r="I2214" s="12"/>
      <c r="J2214" s="5" t="e">
        <f>SUM(SUMIFS(#REF!,#REF!,Planning[[#This Row],[Tipo de Tarea y especialidad]],#REF!,Planning[[#This Row],[Proyectos Reiwa]]),SUMIFS(#REF!,#REF!,Planning[[#This Row],[Tipo de Tarea y especialidad]],#REF!,Planning[[#This Row],[Proyectos]]))</f>
        <v>#REF!</v>
      </c>
      <c r="K2214" s="27" t="e">
        <f>Planning[[#This Row],[Horas Planificadas]]+Planning[[#This Row],[Horas ajustadas adicionales]]-Planning[[#This Row],[Horas utilizadas]]</f>
        <v>#REF!</v>
      </c>
      <c r="L2214" s="7">
        <v>0</v>
      </c>
      <c r="M2214" s="19" t="e">
        <f>Planning[[#This Row],[Saldo]]-Planning[[#This Row],[Saldo estimado]]</f>
        <v>#REF!</v>
      </c>
      <c r="N2214" s="60" t="e">
        <f>+SUMIFS(#REF!,#REF!,Planning[[#This Row],[Proyectos]],#REF!,Planning[[#This Row],[Tipo de Tarea y especialidad]])</f>
        <v>#REF!</v>
      </c>
      <c r="O2214" s="19">
        <f t="shared" si="68"/>
        <v>10</v>
      </c>
      <c r="P2214" s="19">
        <f t="shared" si="69"/>
        <v>2024</v>
      </c>
      <c r="Q22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14" s="19" t="str">
        <f>TEXT(Planning[[#This Row],[Mes]]*29,"mmmm")</f>
        <v>October</v>
      </c>
      <c r="S22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14" s="193"/>
      <c r="U2214" s="43" t="e">
        <f>IF(Planning[[#This Row],[Horas Planificadas]]&lt;&gt;0,+K2214/Planning[[#This Row],[Horas Planificadas]],0)</f>
        <v>#REF!</v>
      </c>
      <c r="V2214" s="43" t="e">
        <f>IF(Planning[[#This Row],[Horas Planificadas]]&lt;&gt;0,Planning[[#This Row],[Horas utilizadas]]/Planning[[#This Row],[Horas Planificadas]],0)</f>
        <v>#REF!</v>
      </c>
      <c r="W2214" s="44">
        <f>Planning[[#This Row],[Horas Planificadas]]+Planning[[#This Row],[Horas ajustadas adicionales]]</f>
        <v>279</v>
      </c>
      <c r="X2214" s="142"/>
    </row>
    <row r="2215" spans="1:24" x14ac:dyDescent="0.2">
      <c r="A2215" s="7" t="s">
        <v>389</v>
      </c>
      <c r="B2215" s="7" t="s">
        <v>205</v>
      </c>
      <c r="C2215" s="3"/>
      <c r="D2215" s="3" t="s">
        <v>476</v>
      </c>
      <c r="E2215" s="4"/>
      <c r="F2215" s="3" t="s">
        <v>126</v>
      </c>
      <c r="G2215" s="9"/>
      <c r="H2215" s="9">
        <v>54</v>
      </c>
      <c r="I2215" s="12"/>
      <c r="J2215" s="5" t="e">
        <f>SUM(SUMIFS(#REF!,#REF!,Planning[[#This Row],[Tipo de Tarea y especialidad]],#REF!,Planning[[#This Row],[Proyectos Reiwa]]),SUMIFS(#REF!,#REF!,Planning[[#This Row],[Tipo de Tarea y especialidad]],#REF!,Planning[[#This Row],[Proyectos]]))</f>
        <v>#REF!</v>
      </c>
      <c r="K2215" s="5" t="e">
        <f>Planning[[#This Row],[Horas Planificadas]]+Planning[[#This Row],[Horas ajustadas adicionales]]-Planning[[#This Row],[Horas utilizadas]]</f>
        <v>#REF!</v>
      </c>
      <c r="L2215" s="7">
        <v>0</v>
      </c>
      <c r="M2215" s="19" t="e">
        <f>Planning[[#This Row],[Saldo]]-Planning[[#This Row],[Saldo estimado]]</f>
        <v>#REF!</v>
      </c>
      <c r="N2215" s="60" t="e">
        <f>+SUMIFS(#REF!,#REF!,Planning[[#This Row],[Proyectos]],#REF!,Planning[[#This Row],[Tipo de Tarea y especialidad]])</f>
        <v>#REF!</v>
      </c>
      <c r="O2215" s="19">
        <f t="shared" si="68"/>
        <v>10</v>
      </c>
      <c r="P2215" s="19">
        <f t="shared" si="69"/>
        <v>2024</v>
      </c>
      <c r="Q22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15" s="19" t="str">
        <f>TEXT(Planning[[#This Row],[Mes]]*29,"mmmm")</f>
        <v>October</v>
      </c>
      <c r="S22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15" s="193"/>
      <c r="U2215" s="43" t="e">
        <f>IF(Planning[[#This Row],[Horas Planificadas]]&lt;&gt;0,+K2215/Planning[[#This Row],[Horas Planificadas]],0)</f>
        <v>#REF!</v>
      </c>
      <c r="V2215" s="43" t="e">
        <f>IF(Planning[[#This Row],[Horas Planificadas]]&lt;&gt;0,Planning[[#This Row],[Horas utilizadas]]/Planning[[#This Row],[Horas Planificadas]],0)</f>
        <v>#REF!</v>
      </c>
      <c r="W2215" s="44">
        <f>Planning[[#This Row],[Horas Planificadas]]+Planning[[#This Row],[Horas ajustadas adicionales]]</f>
        <v>54</v>
      </c>
      <c r="X2215" s="142"/>
    </row>
    <row r="2216" spans="1:24" x14ac:dyDescent="0.2">
      <c r="A2216" s="7" t="s">
        <v>389</v>
      </c>
      <c r="B2216" s="7" t="s">
        <v>205</v>
      </c>
      <c r="C2216" s="3"/>
      <c r="D2216" s="3" t="s">
        <v>476</v>
      </c>
      <c r="E2216" s="4"/>
      <c r="F2216" s="3" t="s">
        <v>127</v>
      </c>
      <c r="G2216" s="9"/>
      <c r="H2216" s="9">
        <v>27</v>
      </c>
      <c r="I2216" s="12"/>
      <c r="J2216" s="5" t="e">
        <f>SUM(SUMIFS(#REF!,#REF!,Planning[[#This Row],[Tipo de Tarea y especialidad]],#REF!,Planning[[#This Row],[Proyectos Reiwa]]),SUMIFS(#REF!,#REF!,Planning[[#This Row],[Tipo de Tarea y especialidad]],#REF!,Planning[[#This Row],[Proyectos]]))</f>
        <v>#REF!</v>
      </c>
      <c r="K2216" s="5" t="e">
        <f>Planning[[#This Row],[Horas Planificadas]]+Planning[[#This Row],[Horas ajustadas adicionales]]-Planning[[#This Row],[Horas utilizadas]]</f>
        <v>#REF!</v>
      </c>
      <c r="L2216" s="7">
        <v>0</v>
      </c>
      <c r="M2216" s="19" t="e">
        <f>Planning[[#This Row],[Saldo]]-Planning[[#This Row],[Saldo estimado]]</f>
        <v>#REF!</v>
      </c>
      <c r="N2216" s="60" t="e">
        <f>+SUMIFS(#REF!,#REF!,Planning[[#This Row],[Proyectos]],#REF!,Planning[[#This Row],[Tipo de Tarea y especialidad]])</f>
        <v>#REF!</v>
      </c>
      <c r="O2216" s="19">
        <f t="shared" si="68"/>
        <v>10</v>
      </c>
      <c r="P2216" s="19">
        <f t="shared" si="69"/>
        <v>2024</v>
      </c>
      <c r="Q22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16" s="19" t="str">
        <f>TEXT(Planning[[#This Row],[Mes]]*29,"mmmm")</f>
        <v>October</v>
      </c>
      <c r="S22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16" s="193"/>
      <c r="U2216" s="43" t="e">
        <f>IF(Planning[[#This Row],[Horas Planificadas]]&lt;&gt;0,+K2216/Planning[[#This Row],[Horas Planificadas]],0)</f>
        <v>#REF!</v>
      </c>
      <c r="V2216" s="43" t="e">
        <f>IF(Planning[[#This Row],[Horas Planificadas]]&lt;&gt;0,Planning[[#This Row],[Horas utilizadas]]/Planning[[#This Row],[Horas Planificadas]],0)</f>
        <v>#REF!</v>
      </c>
      <c r="W2216" s="44">
        <f>Planning[[#This Row],[Horas Planificadas]]+Planning[[#This Row],[Horas ajustadas adicionales]]</f>
        <v>27</v>
      </c>
      <c r="X2216" s="142"/>
    </row>
    <row r="2217" spans="1:24" x14ac:dyDescent="0.2">
      <c r="A2217" s="7" t="s">
        <v>389</v>
      </c>
      <c r="B2217" s="7" t="s">
        <v>205</v>
      </c>
      <c r="C2217" s="3"/>
      <c r="D2217" s="3" t="s">
        <v>476</v>
      </c>
      <c r="E2217" s="4"/>
      <c r="F2217" s="3" t="s">
        <v>128</v>
      </c>
      <c r="G2217" s="9"/>
      <c r="H2217" s="9">
        <v>90</v>
      </c>
      <c r="I2217" s="12"/>
      <c r="J2217" s="5" t="e">
        <f>SUM(SUMIFS(#REF!,#REF!,Planning[[#This Row],[Tipo de Tarea y especialidad]],#REF!,Planning[[#This Row],[Proyectos Reiwa]]),SUMIFS(#REF!,#REF!,Planning[[#This Row],[Tipo de Tarea y especialidad]],#REF!,Planning[[#This Row],[Proyectos]]))</f>
        <v>#REF!</v>
      </c>
      <c r="K2217" s="5" t="e">
        <f>Planning[[#This Row],[Horas Planificadas]]+Planning[[#This Row],[Horas ajustadas adicionales]]-Planning[[#This Row],[Horas utilizadas]]</f>
        <v>#REF!</v>
      </c>
      <c r="L2217" s="7">
        <v>0</v>
      </c>
      <c r="M2217" s="19" t="e">
        <f>Planning[[#This Row],[Saldo]]-Planning[[#This Row],[Saldo estimado]]</f>
        <v>#REF!</v>
      </c>
      <c r="N2217" s="60" t="e">
        <f>+SUMIFS(#REF!,#REF!,Planning[[#This Row],[Proyectos]],#REF!,Planning[[#This Row],[Tipo de Tarea y especialidad]])</f>
        <v>#REF!</v>
      </c>
      <c r="O2217" s="19">
        <f t="shared" si="68"/>
        <v>10</v>
      </c>
      <c r="P2217" s="19">
        <f t="shared" si="69"/>
        <v>2024</v>
      </c>
      <c r="Q22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17" s="19" t="str">
        <f>TEXT(Planning[[#This Row],[Mes]]*29,"mmmm")</f>
        <v>October</v>
      </c>
      <c r="S22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17" s="193"/>
      <c r="U2217" s="43" t="e">
        <f>IF(Planning[[#This Row],[Horas Planificadas]]&lt;&gt;0,+K2217/Planning[[#This Row],[Horas Planificadas]],0)</f>
        <v>#REF!</v>
      </c>
      <c r="V2217" s="43" t="e">
        <f>IF(Planning[[#This Row],[Horas Planificadas]]&lt;&gt;0,Planning[[#This Row],[Horas utilizadas]]/Planning[[#This Row],[Horas Planificadas]],0)</f>
        <v>#REF!</v>
      </c>
      <c r="W2217" s="44">
        <f>Planning[[#This Row],[Horas Planificadas]]+Planning[[#This Row],[Horas ajustadas adicionales]]</f>
        <v>90</v>
      </c>
      <c r="X2217" s="142"/>
    </row>
    <row r="2218" spans="1:24" x14ac:dyDescent="0.2">
      <c r="A2218" s="7" t="s">
        <v>389</v>
      </c>
      <c r="B2218" s="7" t="s">
        <v>205</v>
      </c>
      <c r="C2218" s="3"/>
      <c r="D2218" s="3" t="s">
        <v>476</v>
      </c>
      <c r="E2218" s="4" t="s">
        <v>31</v>
      </c>
      <c r="F2218" s="3" t="s">
        <v>31</v>
      </c>
      <c r="G2218" s="9">
        <v>211</v>
      </c>
      <c r="H2218" s="17">
        <v>211</v>
      </c>
      <c r="I2218" s="18"/>
      <c r="J2218" s="14" t="e">
        <f>+SUMIFS(#REF!,#REF!,Planning[[#This Row],[Tarifa]],#REF!,Planning[[#This Row],[Proyectos]])</f>
        <v>#REF!</v>
      </c>
      <c r="K2218" s="14" t="e">
        <f>Planning[[#This Row],[Horas Planificadas]]+Planning[[#This Row],[Horas ajustadas adicionales]]-Planning[[#This Row],[Horas utilizadas]]</f>
        <v>#REF!</v>
      </c>
      <c r="L2218" s="15">
        <v>4</v>
      </c>
      <c r="M2218" s="16" t="e">
        <f>Planning[[#This Row],[Saldo]]-Planning[[#This Row],[Saldo estimado]]</f>
        <v>#REF!</v>
      </c>
      <c r="N2218" s="60" t="e">
        <f>+SUMIFS(#REF!,#REF!,Planning[[#This Row],[Proyectos]],#REF!,Planning[[#This Row],[Tipo de Tarea y especialidad]])</f>
        <v>#REF!</v>
      </c>
      <c r="O2218" s="16">
        <f t="shared" si="68"/>
        <v>10</v>
      </c>
      <c r="P2218" s="16">
        <f t="shared" si="69"/>
        <v>2024</v>
      </c>
      <c r="Q2218" s="16" t="e">
        <f>+SUMIFS(#REF!,#REF!,Planning[[#This Row],[Tarifa]],#REF!,Planning[[#This Row],[Proyectos]],#REF!,Planning[[#This Row],[Mes]],#REF!,Planning[[#This Row],[Año]])</f>
        <v>#REF!</v>
      </c>
      <c r="R2218" s="16" t="str">
        <f>TEXT(Planning[[#This Row],[Mes]]*29,"mmmm")</f>
        <v>October</v>
      </c>
      <c r="S22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18" s="193"/>
      <c r="U2218" s="43" t="e">
        <f>IF(Planning[[#This Row],[Horas Planificadas]]&lt;&gt;0,+K2218/Planning[[#This Row],[Horas Planificadas]],0)</f>
        <v>#REF!</v>
      </c>
      <c r="V2218" s="43" t="e">
        <f>IF(Planning[[#This Row],[Horas Planificadas]]&lt;&gt;0,Planning[[#This Row],[Horas utilizadas]]/Planning[[#This Row],[Horas Planificadas]],0)</f>
        <v>#REF!</v>
      </c>
      <c r="W2218" s="44">
        <f>Planning[[#This Row],[Horas Planificadas]]+Planning[[#This Row],[Horas ajustadas adicionales]]</f>
        <v>211</v>
      </c>
      <c r="X2218" s="142"/>
    </row>
    <row r="2219" spans="1:24" ht="22.5" x14ac:dyDescent="0.2">
      <c r="A2219" s="7" t="s">
        <v>389</v>
      </c>
      <c r="B2219" s="7" t="s">
        <v>205</v>
      </c>
      <c r="C2219" s="3"/>
      <c r="D2219" s="3" t="s">
        <v>476</v>
      </c>
      <c r="E2219" s="4" t="s">
        <v>32</v>
      </c>
      <c r="F2219" s="3"/>
      <c r="G2219" s="9">
        <v>430</v>
      </c>
      <c r="H2219" s="25">
        <f>SUM(H2220:H2222)</f>
        <v>430</v>
      </c>
      <c r="I2219" s="14"/>
      <c r="J2219" s="14" t="e">
        <f>SUM(J2220:J2222)</f>
        <v>#REF!</v>
      </c>
      <c r="K2219" s="18" t="e">
        <f>SUM(K2220:K2222)</f>
        <v>#REF!</v>
      </c>
      <c r="L2219" s="15">
        <f>SUM(L2220:L2222)</f>
        <v>0</v>
      </c>
      <c r="M2219" s="16" t="e">
        <f>SUM(M2220:M2222)</f>
        <v>#REF!</v>
      </c>
      <c r="N2219" s="60" t="e">
        <f>+SUMIFS(#REF!,#REF!,Planning[[#This Row],[Proyectos]],#REF!,Planning[[#This Row],[Tipo de Tarea y especialidad]])</f>
        <v>#REF!</v>
      </c>
      <c r="O2219" s="16">
        <f t="shared" si="68"/>
        <v>10</v>
      </c>
      <c r="P2219" s="16">
        <f t="shared" si="69"/>
        <v>2024</v>
      </c>
      <c r="Q2219" s="16" t="e">
        <f>SUM(Q2220:Q2222)</f>
        <v>#REF!</v>
      </c>
      <c r="R2219" s="16" t="str">
        <f>TEXT(Planning[[#This Row],[Mes]]*29,"mmmm")</f>
        <v>October</v>
      </c>
      <c r="S22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19" s="193"/>
      <c r="U2219" s="43" t="e">
        <f>IF(Planning[[#This Row],[Horas Planificadas]]&lt;&gt;0,+K2219/Planning[[#This Row],[Horas Planificadas]],0)</f>
        <v>#REF!</v>
      </c>
      <c r="V2219" s="43" t="e">
        <f>IF(Planning[[#This Row],[Horas Planificadas]]&lt;&gt;0,Planning[[#This Row],[Horas utilizadas]]/Planning[[#This Row],[Horas Planificadas]],0)</f>
        <v>#REF!</v>
      </c>
      <c r="W2219" s="44">
        <f>Planning[[#This Row],[Horas Planificadas]]+Planning[[#This Row],[Horas ajustadas adicionales]]</f>
        <v>430</v>
      </c>
      <c r="X2219" s="142"/>
    </row>
    <row r="2220" spans="1:24" x14ac:dyDescent="0.2">
      <c r="A2220" s="7" t="s">
        <v>389</v>
      </c>
      <c r="B2220" s="7" t="s">
        <v>205</v>
      </c>
      <c r="C2220" s="3"/>
      <c r="D2220" s="3" t="s">
        <v>476</v>
      </c>
      <c r="E2220" s="4"/>
      <c r="F2220" s="3" t="s">
        <v>129</v>
      </c>
      <c r="G2220" s="9"/>
      <c r="H2220" s="9">
        <v>50</v>
      </c>
      <c r="I2220" s="12"/>
      <c r="J2220" s="5" t="e">
        <f>SUM(SUMIFS(#REF!,#REF!,Planning[[#This Row],[Tipo de Tarea y especialidad]],#REF!,Planning[[#This Row],[Proyectos Reiwa]]),SUMIFS(#REF!,#REF!,Planning[[#This Row],[Tipo de Tarea y especialidad]],#REF!,Planning[[#This Row],[Proyectos]]))</f>
        <v>#REF!</v>
      </c>
      <c r="K2220" s="5" t="e">
        <f>Planning[[#This Row],[Horas Planificadas]]+Planning[[#This Row],[Horas ajustadas adicionales]]-Planning[[#This Row],[Horas utilizadas]]</f>
        <v>#REF!</v>
      </c>
      <c r="L2220" s="7">
        <v>0</v>
      </c>
      <c r="M2220" s="19" t="e">
        <f>Planning[[#This Row],[Saldo]]-Planning[[#This Row],[Saldo estimado]]</f>
        <v>#REF!</v>
      </c>
      <c r="N2220" s="60" t="e">
        <f>+SUMIFS(#REF!,#REF!,Planning[[#This Row],[Proyectos]],#REF!,Planning[[#This Row],[Tipo de Tarea y especialidad]])</f>
        <v>#REF!</v>
      </c>
      <c r="O2220" s="19">
        <f t="shared" si="68"/>
        <v>10</v>
      </c>
      <c r="P2220" s="19">
        <f t="shared" si="69"/>
        <v>2024</v>
      </c>
      <c r="Q22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20" s="19" t="str">
        <f>TEXT(Planning[[#This Row],[Mes]]*29,"mmmm")</f>
        <v>October</v>
      </c>
      <c r="S22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20" s="193"/>
      <c r="U2220" s="43" t="e">
        <f>IF(Planning[[#This Row],[Horas Planificadas]]&lt;&gt;0,+K2220/Planning[[#This Row],[Horas Planificadas]],0)</f>
        <v>#REF!</v>
      </c>
      <c r="V2220" s="43" t="e">
        <f>IF(Planning[[#This Row],[Horas Planificadas]]&lt;&gt;0,Planning[[#This Row],[Horas utilizadas]]/Planning[[#This Row],[Horas Planificadas]],0)</f>
        <v>#REF!</v>
      </c>
      <c r="W2220" s="44">
        <f>Planning[[#This Row],[Horas Planificadas]]+Planning[[#This Row],[Horas ajustadas adicionales]]</f>
        <v>50</v>
      </c>
      <c r="X2220" s="142"/>
    </row>
    <row r="2221" spans="1:24" x14ac:dyDescent="0.2">
      <c r="A2221" s="7" t="s">
        <v>389</v>
      </c>
      <c r="B2221" s="7" t="s">
        <v>205</v>
      </c>
      <c r="C2221" s="3"/>
      <c r="D2221" s="3" t="s">
        <v>476</v>
      </c>
      <c r="E2221" s="4"/>
      <c r="F2221" s="3" t="s">
        <v>130</v>
      </c>
      <c r="G2221" s="9"/>
      <c r="H2221" s="9">
        <v>160</v>
      </c>
      <c r="I2221" s="12"/>
      <c r="J2221" s="5" t="e">
        <f>SUM(SUMIFS(#REF!,#REF!,Planning[[#This Row],[Tipo de Tarea y especialidad]],#REF!,Planning[[#This Row],[Proyectos Reiwa]]),SUMIFS(#REF!,#REF!,Planning[[#This Row],[Tipo de Tarea y especialidad]],#REF!,Planning[[#This Row],[Proyectos]]))</f>
        <v>#REF!</v>
      </c>
      <c r="K2221" s="5" t="e">
        <f>Planning[[#This Row],[Horas Planificadas]]+Planning[[#This Row],[Horas ajustadas adicionales]]-Planning[[#This Row],[Horas utilizadas]]</f>
        <v>#REF!</v>
      </c>
      <c r="L2221" s="7">
        <v>0</v>
      </c>
      <c r="M2221" s="19" t="e">
        <f>Planning[[#This Row],[Saldo]]-Planning[[#This Row],[Saldo estimado]]</f>
        <v>#REF!</v>
      </c>
      <c r="N2221" s="60" t="e">
        <f>+SUMIFS(#REF!,#REF!,Planning[[#This Row],[Proyectos]],#REF!,Planning[[#This Row],[Tipo de Tarea y especialidad]])</f>
        <v>#REF!</v>
      </c>
      <c r="O2221" s="19">
        <f t="shared" si="68"/>
        <v>10</v>
      </c>
      <c r="P2221" s="19">
        <f t="shared" si="69"/>
        <v>2024</v>
      </c>
      <c r="Q22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21" s="19" t="str">
        <f>TEXT(Planning[[#This Row],[Mes]]*29,"mmmm")</f>
        <v>October</v>
      </c>
      <c r="S22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21" s="193"/>
      <c r="U2221" s="43" t="e">
        <f>IF(Planning[[#This Row],[Horas Planificadas]]&lt;&gt;0,+K2221/Planning[[#This Row],[Horas Planificadas]],0)</f>
        <v>#REF!</v>
      </c>
      <c r="V2221" s="43" t="e">
        <f>IF(Planning[[#This Row],[Horas Planificadas]]&lt;&gt;0,Planning[[#This Row],[Horas utilizadas]]/Planning[[#This Row],[Horas Planificadas]],0)</f>
        <v>#REF!</v>
      </c>
      <c r="W2221" s="44">
        <f>Planning[[#This Row],[Horas Planificadas]]+Planning[[#This Row],[Horas ajustadas adicionales]]</f>
        <v>160</v>
      </c>
      <c r="X2221" s="142"/>
    </row>
    <row r="2222" spans="1:24" x14ac:dyDescent="0.2">
      <c r="A2222" s="7" t="s">
        <v>389</v>
      </c>
      <c r="B2222" s="7" t="s">
        <v>205</v>
      </c>
      <c r="C2222" s="3"/>
      <c r="D2222" s="3" t="s">
        <v>476</v>
      </c>
      <c r="E2222" s="4"/>
      <c r="F2222" s="3" t="s">
        <v>131</v>
      </c>
      <c r="G2222" s="9"/>
      <c r="H2222" s="9">
        <v>220</v>
      </c>
      <c r="I2222" s="12"/>
      <c r="J2222" s="5" t="e">
        <f>SUM(SUMIFS(#REF!,#REF!,Planning[[#This Row],[Tipo de Tarea y especialidad]],#REF!,Planning[[#This Row],[Proyectos Reiwa]]),SUMIFS(#REF!,#REF!,Planning[[#This Row],[Tipo de Tarea y especialidad]],#REF!,Planning[[#This Row],[Proyectos]]))</f>
        <v>#REF!</v>
      </c>
      <c r="K2222" s="5" t="e">
        <f>Planning[[#This Row],[Horas Planificadas]]+Planning[[#This Row],[Horas ajustadas adicionales]]-Planning[[#This Row],[Horas utilizadas]]</f>
        <v>#REF!</v>
      </c>
      <c r="L2222" s="7">
        <v>0</v>
      </c>
      <c r="M2222" s="19" t="e">
        <f>Planning[[#This Row],[Saldo]]-Planning[[#This Row],[Saldo estimado]]</f>
        <v>#REF!</v>
      </c>
      <c r="N2222" s="60" t="e">
        <f>+SUMIFS(#REF!,#REF!,Planning[[#This Row],[Proyectos]],#REF!,Planning[[#This Row],[Tipo de Tarea y especialidad]])</f>
        <v>#REF!</v>
      </c>
      <c r="O2222" s="19">
        <f t="shared" si="68"/>
        <v>10</v>
      </c>
      <c r="P2222" s="19">
        <f t="shared" si="69"/>
        <v>2024</v>
      </c>
      <c r="Q22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22" s="19" t="str">
        <f>TEXT(Planning[[#This Row],[Mes]]*29,"mmmm")</f>
        <v>October</v>
      </c>
      <c r="S22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22" s="193"/>
      <c r="U2222" s="43" t="e">
        <f>IF(Planning[[#This Row],[Horas Planificadas]]&lt;&gt;0,+K2222/Planning[[#This Row],[Horas Planificadas]],0)</f>
        <v>#REF!</v>
      </c>
      <c r="V2222" s="43" t="e">
        <f>IF(Planning[[#This Row],[Horas Planificadas]]&lt;&gt;0,Planning[[#This Row],[Horas utilizadas]]/Planning[[#This Row],[Horas Planificadas]],0)</f>
        <v>#REF!</v>
      </c>
      <c r="W2222" s="44">
        <f>Planning[[#This Row],[Horas Planificadas]]+Planning[[#This Row],[Horas ajustadas adicionales]]</f>
        <v>220</v>
      </c>
      <c r="X2222" s="142"/>
    </row>
    <row r="2223" spans="1:24" ht="22.5" x14ac:dyDescent="0.2">
      <c r="A2223" s="7"/>
      <c r="B2223" s="7"/>
      <c r="C2223" s="3"/>
      <c r="D2223" s="3" t="s">
        <v>478</v>
      </c>
      <c r="E2223" s="4" t="s">
        <v>28</v>
      </c>
      <c r="F2223" s="3"/>
      <c r="G2223" s="9"/>
      <c r="H2223" s="12">
        <v>80</v>
      </c>
      <c r="I2223" s="12"/>
      <c r="J2223" s="5" t="e">
        <f>+SUMIFS(#REF!,#REF!,Planning[[#This Row],[Tarifa]],#REF!,Planning[[#This Row],[Proyectos]])</f>
        <v>#REF!</v>
      </c>
      <c r="K2223" s="27" t="e">
        <f>Planning[[#This Row],[Horas Planificadas]]+Planning[[#This Row],[Horas ajustadas adicionales]]-Planning[[#This Row],[Horas utilizadas]]</f>
        <v>#REF!</v>
      </c>
      <c r="L2223" s="7"/>
      <c r="M2223" s="19" t="e">
        <f>Planning[[#This Row],[Saldo]]-Planning[[#This Row],[Saldo estimado]]</f>
        <v>#REF!</v>
      </c>
      <c r="N2223" s="60" t="e">
        <f>+SUMIFS(#REF!,#REF!,Planning[[#This Row],[Proyectos]],#REF!,Planning[[#This Row],[Tipo de Tarea y especialidad]])</f>
        <v>#REF!</v>
      </c>
      <c r="O2223" s="19">
        <f t="shared" si="68"/>
        <v>10</v>
      </c>
      <c r="P2223" s="19">
        <f t="shared" si="69"/>
        <v>2024</v>
      </c>
      <c r="Q2223" s="19" t="e">
        <f>+SUMIFS(#REF!,#REF!,Planning[[#This Row],[Tarifa]],#REF!,Planning[[#This Row],[Proyectos]],#REF!,Planning[[#This Row],[Mes]],#REF!,Planning[[#This Row],[Año]])</f>
        <v>#REF!</v>
      </c>
      <c r="R2223" s="19" t="str">
        <f>TEXT(Planning[[#This Row],[Mes]]*29,"mmmm")</f>
        <v>October</v>
      </c>
      <c r="S22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23" s="228"/>
      <c r="U2223" s="43" t="e">
        <f>IF(Planning[[#This Row],[Horas Planificadas]]&lt;&gt;0,+K2223/Planning[[#This Row],[Horas Planificadas]],0)</f>
        <v>#REF!</v>
      </c>
      <c r="V2223" s="43" t="e">
        <f>IF(Planning[[#This Row],[Horas Planificadas]]&lt;&gt;0,Planning[[#This Row],[Horas utilizadas]]/Planning[[#This Row],[Horas Planificadas]],0)</f>
        <v>#REF!</v>
      </c>
      <c r="W2223" s="44">
        <f>Planning[[#This Row],[Horas Planificadas]]+Planning[[#This Row],[Horas ajustadas adicionales]]</f>
        <v>80</v>
      </c>
      <c r="X2223" s="142"/>
    </row>
    <row r="2224" spans="1:24" x14ac:dyDescent="0.2">
      <c r="A2224" s="7"/>
      <c r="B2224" s="7"/>
      <c r="C2224" s="3"/>
      <c r="D2224" s="3" t="s">
        <v>478</v>
      </c>
      <c r="E2224" s="4" t="s">
        <v>30</v>
      </c>
      <c r="F2224" s="3"/>
      <c r="G2224" s="9"/>
      <c r="H2224" s="9">
        <v>120</v>
      </c>
      <c r="I2224" s="12"/>
      <c r="J2224" s="5" t="e">
        <f>+SUMIFS(#REF!,#REF!,Planning[[#This Row],[Tarifa]],#REF!,Planning[[#This Row],[Proyectos]])</f>
        <v>#REF!</v>
      </c>
      <c r="K2224" s="5" t="e">
        <f>Planning[[#This Row],[Horas Planificadas]]+Planning[[#This Row],[Horas ajustadas adicionales]]-Planning[[#This Row],[Horas utilizadas]]</f>
        <v>#REF!</v>
      </c>
      <c r="L2224" s="7"/>
      <c r="M2224" s="19" t="e">
        <f>Planning[[#This Row],[Saldo]]-Planning[[#This Row],[Saldo estimado]]</f>
        <v>#REF!</v>
      </c>
      <c r="N2224" s="60" t="e">
        <f>+SUMIFS(#REF!,#REF!,Planning[[#This Row],[Proyectos]],#REF!,Planning[[#This Row],[Tipo de Tarea y especialidad]])</f>
        <v>#REF!</v>
      </c>
      <c r="O2224" s="19">
        <f t="shared" si="68"/>
        <v>10</v>
      </c>
      <c r="P2224" s="19">
        <f t="shared" si="69"/>
        <v>2024</v>
      </c>
      <c r="Q2224" s="19" t="e">
        <f>+SUMIFS(#REF!,#REF!,Planning[[#This Row],[Tarifa]],#REF!,Planning[[#This Row],[Proyectos]],#REF!,Planning[[#This Row],[Mes]],#REF!,Planning[[#This Row],[Año]])</f>
        <v>#REF!</v>
      </c>
      <c r="R2224" s="19" t="str">
        <f>TEXT(Planning[[#This Row],[Mes]]*29,"mmmm")</f>
        <v>October</v>
      </c>
      <c r="S22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24" s="228"/>
      <c r="U2224" s="43" t="e">
        <f>IF(Planning[[#This Row],[Horas Planificadas]]&lt;&gt;0,+K2224/Planning[[#This Row],[Horas Planificadas]],0)</f>
        <v>#REF!</v>
      </c>
      <c r="V2224" s="43" t="e">
        <f>IF(Planning[[#This Row],[Horas Planificadas]]&lt;&gt;0,Planning[[#This Row],[Horas utilizadas]]/Planning[[#This Row],[Horas Planificadas]],0)</f>
        <v>#REF!</v>
      </c>
      <c r="W2224" s="44">
        <f>Planning[[#This Row],[Horas Planificadas]]+Planning[[#This Row],[Horas ajustadas adicionales]]</f>
        <v>120</v>
      </c>
      <c r="X2224" s="142"/>
    </row>
    <row r="2225" spans="1:24" x14ac:dyDescent="0.2">
      <c r="A2225" s="7"/>
      <c r="B2225" s="7"/>
      <c r="C2225" s="3"/>
      <c r="D2225" s="3" t="s">
        <v>478</v>
      </c>
      <c r="E2225" s="4" t="s">
        <v>31</v>
      </c>
      <c r="F2225" s="3"/>
      <c r="G2225" s="9"/>
      <c r="H2225" s="9">
        <v>40</v>
      </c>
      <c r="I2225" s="12"/>
      <c r="J2225" s="5" t="e">
        <f>+SUMIFS(#REF!,#REF!,Planning[[#This Row],[Tarifa]],#REF!,Planning[[#This Row],[Proyectos]])</f>
        <v>#REF!</v>
      </c>
      <c r="K2225" s="5" t="e">
        <f>Planning[[#This Row],[Horas Planificadas]]+Planning[[#This Row],[Horas ajustadas adicionales]]-Planning[[#This Row],[Horas utilizadas]]</f>
        <v>#REF!</v>
      </c>
      <c r="L2225" s="7"/>
      <c r="M2225" s="19" t="e">
        <f>Planning[[#This Row],[Saldo]]-Planning[[#This Row],[Saldo estimado]]</f>
        <v>#REF!</v>
      </c>
      <c r="N2225" s="60" t="e">
        <f>+SUMIFS(#REF!,#REF!,Planning[[#This Row],[Proyectos]],#REF!,Planning[[#This Row],[Tipo de Tarea y especialidad]])</f>
        <v>#REF!</v>
      </c>
      <c r="O2225" s="19">
        <f t="shared" si="68"/>
        <v>10</v>
      </c>
      <c r="P2225" s="19">
        <f t="shared" si="69"/>
        <v>2024</v>
      </c>
      <c r="Q2225" s="19" t="e">
        <f>+SUMIFS(#REF!,#REF!,Planning[[#This Row],[Tarifa]],#REF!,Planning[[#This Row],[Proyectos]],#REF!,Planning[[#This Row],[Mes]],#REF!,Planning[[#This Row],[Año]])</f>
        <v>#REF!</v>
      </c>
      <c r="R2225" s="19" t="str">
        <f>TEXT(Planning[[#This Row],[Mes]]*29,"mmmm")</f>
        <v>October</v>
      </c>
      <c r="S22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25" s="228"/>
      <c r="U2225" s="43" t="e">
        <f>IF(Planning[[#This Row],[Horas Planificadas]]&lt;&gt;0,+K2225/Planning[[#This Row],[Horas Planificadas]],0)</f>
        <v>#REF!</v>
      </c>
      <c r="V2225" s="43" t="e">
        <f>IF(Planning[[#This Row],[Horas Planificadas]]&lt;&gt;0,Planning[[#This Row],[Horas utilizadas]]/Planning[[#This Row],[Horas Planificadas]],0)</f>
        <v>#REF!</v>
      </c>
      <c r="W2225" s="44">
        <f>Planning[[#This Row],[Horas Planificadas]]+Planning[[#This Row],[Horas ajustadas adicionales]]</f>
        <v>40</v>
      </c>
      <c r="X2225" s="142"/>
    </row>
    <row r="2226" spans="1:24" ht="22.5" x14ac:dyDescent="0.2">
      <c r="A2226" s="7"/>
      <c r="B2226" s="7"/>
      <c r="C2226" s="3"/>
      <c r="D2226" s="3" t="s">
        <v>478</v>
      </c>
      <c r="E2226" s="4" t="s">
        <v>32</v>
      </c>
      <c r="F2226" s="3"/>
      <c r="G2226" s="9"/>
      <c r="H2226" s="9">
        <v>50</v>
      </c>
      <c r="I2226" s="12"/>
      <c r="J2226" s="5" t="e">
        <f>+SUMIFS(#REF!,#REF!,Planning[[#This Row],[Tarifa]],#REF!,Planning[[#This Row],[Proyectos]])</f>
        <v>#REF!</v>
      </c>
      <c r="K2226" s="5" t="e">
        <f>Planning[[#This Row],[Horas Planificadas]]+Planning[[#This Row],[Horas ajustadas adicionales]]-Planning[[#This Row],[Horas utilizadas]]</f>
        <v>#REF!</v>
      </c>
      <c r="L2226" s="7"/>
      <c r="M2226" s="19" t="e">
        <f>Planning[[#This Row],[Saldo]]-Planning[[#This Row],[Saldo estimado]]</f>
        <v>#REF!</v>
      </c>
      <c r="N2226" s="60" t="e">
        <f>+SUMIFS(#REF!,#REF!,Planning[[#This Row],[Proyectos]],#REF!,Planning[[#This Row],[Tipo de Tarea y especialidad]])</f>
        <v>#REF!</v>
      </c>
      <c r="O2226" s="19">
        <f t="shared" si="68"/>
        <v>10</v>
      </c>
      <c r="P2226" s="19">
        <f t="shared" si="69"/>
        <v>2024</v>
      </c>
      <c r="Q2226" s="19" t="e">
        <f>+SUMIFS(#REF!,#REF!,Planning[[#This Row],[Tarifa]],#REF!,Planning[[#This Row],[Proyectos]],#REF!,Planning[[#This Row],[Mes]],#REF!,Planning[[#This Row],[Año]])</f>
        <v>#REF!</v>
      </c>
      <c r="R2226" s="19" t="str">
        <f>TEXT(Planning[[#This Row],[Mes]]*29,"mmmm")</f>
        <v>October</v>
      </c>
      <c r="S22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26" s="228"/>
      <c r="U2226" s="43" t="e">
        <f>IF(Planning[[#This Row],[Horas Planificadas]]&lt;&gt;0,+K2226/Planning[[#This Row],[Horas Planificadas]],0)</f>
        <v>#REF!</v>
      </c>
      <c r="V2226" s="43" t="e">
        <f>IF(Planning[[#This Row],[Horas Planificadas]]&lt;&gt;0,Planning[[#This Row],[Horas utilizadas]]/Planning[[#This Row],[Horas Planificadas]],0)</f>
        <v>#REF!</v>
      </c>
      <c r="W2226" s="44">
        <f>Planning[[#This Row],[Horas Planificadas]]+Planning[[#This Row],[Horas ajustadas adicionales]]</f>
        <v>50</v>
      </c>
      <c r="X2226" s="142"/>
    </row>
    <row r="2227" spans="1:24" ht="13.35" customHeight="1" x14ac:dyDescent="0.2">
      <c r="A2227" s="7" t="s">
        <v>204</v>
      </c>
      <c r="B2227" s="7" t="s">
        <v>288</v>
      </c>
      <c r="C2227" s="3"/>
      <c r="D2227" s="3" t="s">
        <v>479</v>
      </c>
      <c r="E2227" s="4" t="s">
        <v>28</v>
      </c>
      <c r="F2227" s="3"/>
      <c r="G2227" s="9">
        <v>50</v>
      </c>
      <c r="H2227" s="14">
        <f>SUM(H2228:H2229)</f>
        <v>50</v>
      </c>
      <c r="I2227" s="14"/>
      <c r="J2227" s="14" t="e">
        <f>SUM(J2228:J2229)</f>
        <v>#REF!</v>
      </c>
      <c r="K2227" s="15" t="e">
        <f>SUM(K2228:K2229)</f>
        <v>#REF!</v>
      </c>
      <c r="L2227" s="15">
        <f>SUM(L2228:L2229)</f>
        <v>0</v>
      </c>
      <c r="M2227" s="14" t="e">
        <f>SUM(M2228:M2229)</f>
        <v>#REF!</v>
      </c>
      <c r="N2227" s="66" t="e">
        <f>+SUMIFS(#REF!,#REF!,Planning[[#This Row],[Proyectos]],#REF!,Planning[[#This Row],[Tipo de Tarea y especialidad]])</f>
        <v>#REF!</v>
      </c>
      <c r="O2227" s="14">
        <f t="shared" si="68"/>
        <v>10</v>
      </c>
      <c r="P2227" s="14">
        <f t="shared" si="69"/>
        <v>2024</v>
      </c>
      <c r="Q2227" s="28" t="e">
        <f>SUM(Q2228:Q2229)</f>
        <v>#REF!</v>
      </c>
      <c r="R2227" s="28" t="str">
        <f>TEXT(Planning[[#This Row],[Mes]]*29,"mmmm")</f>
        <v>October</v>
      </c>
      <c r="S22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27" s="207" t="s">
        <v>480</v>
      </c>
      <c r="U2227" s="43" t="e">
        <f>IF(Planning[[#This Row],[Horas Planificadas]]&lt;&gt;0,+K2227/Planning[[#This Row],[Horas Planificadas]],0)</f>
        <v>#REF!</v>
      </c>
      <c r="V2227" s="43" t="e">
        <f>IF(Planning[[#This Row],[Horas Planificadas]]&lt;&gt;0,Planning[[#This Row],[Horas utilizadas]]/Planning[[#This Row],[Horas Planificadas]],0)</f>
        <v>#REF!</v>
      </c>
      <c r="W2227" s="44">
        <f>Planning[[#This Row],[Horas Planificadas]]+Planning[[#This Row],[Horas ajustadas adicionales]]</f>
        <v>50</v>
      </c>
      <c r="X2227" s="142"/>
    </row>
    <row r="2228" spans="1:24" x14ac:dyDescent="0.2">
      <c r="A2228" s="7" t="s">
        <v>204</v>
      </c>
      <c r="B2228" s="7" t="s">
        <v>288</v>
      </c>
      <c r="C2228" s="3"/>
      <c r="D2228" s="3" t="s">
        <v>479</v>
      </c>
      <c r="E2228" s="4"/>
      <c r="F2228" s="3" t="s">
        <v>120</v>
      </c>
      <c r="G2228" s="9"/>
      <c r="H2228" s="9">
        <v>35</v>
      </c>
      <c r="I2228" s="12"/>
      <c r="J2228" s="5" t="e">
        <f>SUM(SUMIFS(#REF!,#REF!,Planning[[#This Row],[Tipo de Tarea y especialidad]],#REF!,Planning[[#This Row],[Proyectos Reiwa]]),SUMIFS(#REF!,#REF!,Planning[[#This Row],[Tipo de Tarea y especialidad]],#REF!,Planning[[#This Row],[Proyectos]]))</f>
        <v>#REF!</v>
      </c>
      <c r="K2228" s="5" t="e">
        <f>Planning[[#This Row],[Horas Planificadas]]+Planning[[#This Row],[Horas ajustadas adicionales]]-Planning[[#This Row],[Horas utilizadas]]</f>
        <v>#REF!</v>
      </c>
      <c r="L2228" s="7">
        <v>0</v>
      </c>
      <c r="M2228" s="19" t="e">
        <f>Planning[[#This Row],[Saldo]]-Planning[[#This Row],[Saldo estimado]]</f>
        <v>#REF!</v>
      </c>
      <c r="N2228" s="60" t="e">
        <f>+SUMIFS(#REF!,#REF!,Planning[[#This Row],[Proyectos]],#REF!,Planning[[#This Row],[Tipo de Tarea y especialidad]])</f>
        <v>#REF!</v>
      </c>
      <c r="O2228" s="19">
        <f t="shared" si="68"/>
        <v>10</v>
      </c>
      <c r="P2228" s="19">
        <f t="shared" si="69"/>
        <v>2024</v>
      </c>
      <c r="Q22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28" s="19" t="str">
        <f>TEXT(Planning[[#This Row],[Mes]]*29,"mmmm")</f>
        <v>October</v>
      </c>
      <c r="S22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28" s="208"/>
      <c r="U2228" s="43" t="e">
        <f>IF(Planning[[#This Row],[Horas Planificadas]]&lt;&gt;0,+K2228/Planning[[#This Row],[Horas Planificadas]],0)</f>
        <v>#REF!</v>
      </c>
      <c r="V2228" s="43" t="e">
        <f>IF(Planning[[#This Row],[Horas Planificadas]]&lt;&gt;0,Planning[[#This Row],[Horas utilizadas]]/Planning[[#This Row],[Horas Planificadas]],0)</f>
        <v>#REF!</v>
      </c>
      <c r="W2228" s="44">
        <f>Planning[[#This Row],[Horas Planificadas]]+Planning[[#This Row],[Horas ajustadas adicionales]]</f>
        <v>35</v>
      </c>
      <c r="X2228" s="142"/>
    </row>
    <row r="2229" spans="1:24" x14ac:dyDescent="0.2">
      <c r="A2229" s="7" t="s">
        <v>204</v>
      </c>
      <c r="B2229" s="7" t="s">
        <v>288</v>
      </c>
      <c r="C2229" s="3"/>
      <c r="D2229" s="3" t="s">
        <v>479</v>
      </c>
      <c r="E2229" s="4"/>
      <c r="F2229" s="3" t="s">
        <v>121</v>
      </c>
      <c r="G2229" s="9"/>
      <c r="H2229" s="9">
        <v>15</v>
      </c>
      <c r="I2229" s="12"/>
      <c r="J2229" s="5" t="e">
        <f>SUM(SUMIFS(#REF!,#REF!,Planning[[#This Row],[Tipo de Tarea y especialidad]],#REF!,Planning[[#This Row],[Proyectos Reiwa]]),SUMIFS(#REF!,#REF!,Planning[[#This Row],[Tipo de Tarea y especialidad]],#REF!,Planning[[#This Row],[Proyectos]]))</f>
        <v>#REF!</v>
      </c>
      <c r="K2229" s="5" t="e">
        <f>Planning[[#This Row],[Horas Planificadas]]+Planning[[#This Row],[Horas ajustadas adicionales]]-Planning[[#This Row],[Horas utilizadas]]</f>
        <v>#REF!</v>
      </c>
      <c r="L2229" s="7">
        <v>0</v>
      </c>
      <c r="M2229" s="19" t="e">
        <f>Planning[[#This Row],[Saldo]]-Planning[[#This Row],[Saldo estimado]]</f>
        <v>#REF!</v>
      </c>
      <c r="N2229" s="60" t="e">
        <f>+SUMIFS(#REF!,#REF!,Planning[[#This Row],[Proyectos]],#REF!,Planning[[#This Row],[Tipo de Tarea y especialidad]])</f>
        <v>#REF!</v>
      </c>
      <c r="O2229" s="19">
        <f t="shared" si="68"/>
        <v>10</v>
      </c>
      <c r="P2229" s="19">
        <f t="shared" si="69"/>
        <v>2024</v>
      </c>
      <c r="Q22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29" s="19" t="str">
        <f>TEXT(Planning[[#This Row],[Mes]]*29,"mmmm")</f>
        <v>October</v>
      </c>
      <c r="S22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29" s="208"/>
      <c r="U2229" s="43" t="e">
        <f>IF(Planning[[#This Row],[Horas Planificadas]]&lt;&gt;0,+K2229/Planning[[#This Row],[Horas Planificadas]],0)</f>
        <v>#REF!</v>
      </c>
      <c r="V2229" s="43" t="e">
        <f>IF(Planning[[#This Row],[Horas Planificadas]]&lt;&gt;0,Planning[[#This Row],[Horas utilizadas]]/Planning[[#This Row],[Horas Planificadas]],0)</f>
        <v>#REF!</v>
      </c>
      <c r="W2229" s="44">
        <f>Planning[[#This Row],[Horas Planificadas]]+Planning[[#This Row],[Horas ajustadas adicionales]]</f>
        <v>15</v>
      </c>
      <c r="X2229" s="142"/>
    </row>
    <row r="2230" spans="1:24" x14ac:dyDescent="0.2">
      <c r="A2230" s="7" t="s">
        <v>204</v>
      </c>
      <c r="B2230" s="7" t="s">
        <v>288</v>
      </c>
      <c r="C2230" s="3"/>
      <c r="D2230" s="3" t="s">
        <v>479</v>
      </c>
      <c r="E2230" s="4" t="s">
        <v>30</v>
      </c>
      <c r="F2230" s="3"/>
      <c r="G2230" s="9">
        <v>72</v>
      </c>
      <c r="H2230" s="14">
        <f>SUM(H2231:H2237)</f>
        <v>72</v>
      </c>
      <c r="I2230" s="14"/>
      <c r="J2230" s="14" t="e">
        <f>SUM(J2231:J2237)</f>
        <v>#REF!</v>
      </c>
      <c r="K2230" s="15" t="e">
        <f>SUM(K2231:K2237)</f>
        <v>#REF!</v>
      </c>
      <c r="L2230" s="15">
        <f>SUM(L2231:L2237)</f>
        <v>0</v>
      </c>
      <c r="M2230" s="16" t="e">
        <f>SUM(M2231:M2237)</f>
        <v>#REF!</v>
      </c>
      <c r="N2230" s="60" t="e">
        <f>+SUMIFS(#REF!,#REF!,Planning[[#This Row],[Proyectos]],#REF!,Planning[[#This Row],[Tipo de Tarea y especialidad]])</f>
        <v>#REF!</v>
      </c>
      <c r="O2230" s="16">
        <f t="shared" si="68"/>
        <v>10</v>
      </c>
      <c r="P2230" s="16">
        <f t="shared" si="69"/>
        <v>2024</v>
      </c>
      <c r="Q2230" s="16" t="e">
        <f>SUM(Q2231:Q2237)</f>
        <v>#REF!</v>
      </c>
      <c r="R2230" s="16" t="str">
        <f>TEXT(Planning[[#This Row],[Mes]]*29,"mmmm")</f>
        <v>October</v>
      </c>
      <c r="S22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30" s="208"/>
      <c r="U2230" s="43" t="e">
        <f>IF(Planning[[#This Row],[Horas Planificadas]]&lt;&gt;0,+K2230/Planning[[#This Row],[Horas Planificadas]],0)</f>
        <v>#REF!</v>
      </c>
      <c r="V2230" s="43" t="e">
        <f>IF(Planning[[#This Row],[Horas Planificadas]]&lt;&gt;0,Planning[[#This Row],[Horas utilizadas]]/Planning[[#This Row],[Horas Planificadas]],0)</f>
        <v>#REF!</v>
      </c>
      <c r="W2230" s="44">
        <f>Planning[[#This Row],[Horas Planificadas]]+Planning[[#This Row],[Horas ajustadas adicionales]]</f>
        <v>72</v>
      </c>
      <c r="X2230" s="142"/>
    </row>
    <row r="2231" spans="1:24" x14ac:dyDescent="0.2">
      <c r="A2231" s="7" t="s">
        <v>204</v>
      </c>
      <c r="B2231" s="7" t="s">
        <v>288</v>
      </c>
      <c r="C2231" s="3"/>
      <c r="D2231" s="3" t="s">
        <v>479</v>
      </c>
      <c r="E2231" s="4"/>
      <c r="F2231" s="3" t="s">
        <v>122</v>
      </c>
      <c r="G2231" s="9"/>
      <c r="H2231" s="9"/>
      <c r="I2231" s="12"/>
      <c r="J2231" s="5" t="e">
        <f>SUM(SUMIFS(#REF!,#REF!,Planning[[#This Row],[Tipo de Tarea y especialidad]],#REF!,Planning[[#This Row],[Proyectos Reiwa]]),SUMIFS(#REF!,#REF!,Planning[[#This Row],[Tipo de Tarea y especialidad]],#REF!,Planning[[#This Row],[Proyectos]]))</f>
        <v>#REF!</v>
      </c>
      <c r="K2231" s="5" t="e">
        <f>Planning[[#This Row],[Horas Planificadas]]+Planning[[#This Row],[Horas ajustadas adicionales]]-Planning[[#This Row],[Horas utilizadas]]</f>
        <v>#REF!</v>
      </c>
      <c r="L2231" s="7"/>
      <c r="M2231" s="19" t="e">
        <f>Planning[[#This Row],[Saldo]]-Planning[[#This Row],[Saldo estimado]]</f>
        <v>#REF!</v>
      </c>
      <c r="N2231" s="60" t="e">
        <f>+SUMIFS(#REF!,#REF!,Planning[[#This Row],[Proyectos]],#REF!,Planning[[#This Row],[Tipo de Tarea y especialidad]])</f>
        <v>#REF!</v>
      </c>
      <c r="O2231" s="19">
        <f t="shared" si="68"/>
        <v>10</v>
      </c>
      <c r="P2231" s="19">
        <f t="shared" si="69"/>
        <v>2024</v>
      </c>
      <c r="Q22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31" s="19" t="str">
        <f>TEXT(Planning[[#This Row],[Mes]]*29,"mmmm")</f>
        <v>October</v>
      </c>
      <c r="S22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31" s="208"/>
      <c r="U2231" s="43">
        <f>IF(Planning[[#This Row],[Horas Planificadas]]&lt;&gt;0,+K2231/Planning[[#This Row],[Horas Planificadas]],0)</f>
        <v>0</v>
      </c>
      <c r="V2231" s="43">
        <f>IF(Planning[[#This Row],[Horas Planificadas]]&lt;&gt;0,Planning[[#This Row],[Horas utilizadas]]/Planning[[#This Row],[Horas Planificadas]],0)</f>
        <v>0</v>
      </c>
      <c r="W2231" s="44">
        <f>Planning[[#This Row],[Horas Planificadas]]+Planning[[#This Row],[Horas ajustadas adicionales]]</f>
        <v>0</v>
      </c>
      <c r="X2231" s="142"/>
    </row>
    <row r="2232" spans="1:24" x14ac:dyDescent="0.2">
      <c r="A2232" s="7" t="s">
        <v>204</v>
      </c>
      <c r="B2232" s="7" t="s">
        <v>288</v>
      </c>
      <c r="C2232" s="3"/>
      <c r="D2232" s="3" t="s">
        <v>479</v>
      </c>
      <c r="E2232" s="4"/>
      <c r="F2232" s="3" t="s">
        <v>123</v>
      </c>
      <c r="G2232" s="9"/>
      <c r="H2232" s="9"/>
      <c r="I2232" s="12"/>
      <c r="J2232" s="5" t="e">
        <f>SUM(SUMIFS(#REF!,#REF!,Planning[[#This Row],[Tipo de Tarea y especialidad]],#REF!,Planning[[#This Row],[Proyectos Reiwa]]),SUMIFS(#REF!,#REF!,Planning[[#This Row],[Tipo de Tarea y especialidad]],#REF!,Planning[[#This Row],[Proyectos]]))</f>
        <v>#REF!</v>
      </c>
      <c r="K2232" s="5" t="e">
        <f>Planning[[#This Row],[Horas Planificadas]]+Planning[[#This Row],[Horas ajustadas adicionales]]-Planning[[#This Row],[Horas utilizadas]]</f>
        <v>#REF!</v>
      </c>
      <c r="L2232" s="7"/>
      <c r="M2232" s="19" t="e">
        <f>Planning[[#This Row],[Saldo]]-Planning[[#This Row],[Saldo estimado]]</f>
        <v>#REF!</v>
      </c>
      <c r="N2232" s="60" t="e">
        <f>+SUMIFS(#REF!,#REF!,Planning[[#This Row],[Proyectos]],#REF!,Planning[[#This Row],[Tipo de Tarea y especialidad]])</f>
        <v>#REF!</v>
      </c>
      <c r="O2232" s="19">
        <f t="shared" si="68"/>
        <v>10</v>
      </c>
      <c r="P2232" s="19">
        <f t="shared" si="69"/>
        <v>2024</v>
      </c>
      <c r="Q22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32" s="19" t="str">
        <f>TEXT(Planning[[#This Row],[Mes]]*29,"mmmm")</f>
        <v>October</v>
      </c>
      <c r="S22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32" s="208"/>
      <c r="U2232" s="43">
        <f>IF(Planning[[#This Row],[Horas Planificadas]]&lt;&gt;0,+K2232/Planning[[#This Row],[Horas Planificadas]],0)</f>
        <v>0</v>
      </c>
      <c r="V2232" s="43">
        <f>IF(Planning[[#This Row],[Horas Planificadas]]&lt;&gt;0,Planning[[#This Row],[Horas utilizadas]]/Planning[[#This Row],[Horas Planificadas]],0)</f>
        <v>0</v>
      </c>
      <c r="W2232" s="44">
        <f>Planning[[#This Row],[Horas Planificadas]]+Planning[[#This Row],[Horas ajustadas adicionales]]</f>
        <v>0</v>
      </c>
      <c r="X2232" s="142"/>
    </row>
    <row r="2233" spans="1:24" x14ac:dyDescent="0.2">
      <c r="A2233" s="7" t="s">
        <v>204</v>
      </c>
      <c r="B2233" s="7" t="s">
        <v>288</v>
      </c>
      <c r="C2233" s="3"/>
      <c r="D2233" s="3" t="s">
        <v>479</v>
      </c>
      <c r="E2233" s="4"/>
      <c r="F2233" s="3" t="s">
        <v>124</v>
      </c>
      <c r="G2233" s="9"/>
      <c r="H2233" s="9">
        <v>72</v>
      </c>
      <c r="I2233" s="12"/>
      <c r="J2233" s="5" t="e">
        <f>SUM(SUMIFS(#REF!,#REF!,Planning[[#This Row],[Tipo de Tarea y especialidad]],#REF!,Planning[[#This Row],[Proyectos Reiwa]]),SUMIFS(#REF!,#REF!,Planning[[#This Row],[Tipo de Tarea y especialidad]],#REF!,Planning[[#This Row],[Proyectos]]))</f>
        <v>#REF!</v>
      </c>
      <c r="K2233" s="5" t="e">
        <f>Planning[[#This Row],[Horas Planificadas]]+Planning[[#This Row],[Horas ajustadas adicionales]]-Planning[[#This Row],[Horas utilizadas]]</f>
        <v>#REF!</v>
      </c>
      <c r="L2233" s="7">
        <v>0</v>
      </c>
      <c r="M2233" s="19" t="e">
        <f>Planning[[#This Row],[Saldo]]-Planning[[#This Row],[Saldo estimado]]</f>
        <v>#REF!</v>
      </c>
      <c r="N2233" s="60" t="e">
        <f>+SUMIFS(#REF!,#REF!,Planning[[#This Row],[Proyectos]],#REF!,Planning[[#This Row],[Tipo de Tarea y especialidad]])</f>
        <v>#REF!</v>
      </c>
      <c r="O2233" s="19">
        <f t="shared" si="68"/>
        <v>10</v>
      </c>
      <c r="P2233" s="19">
        <f t="shared" si="69"/>
        <v>2024</v>
      </c>
      <c r="Q22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33" s="19" t="str">
        <f>TEXT(Planning[[#This Row],[Mes]]*29,"mmmm")</f>
        <v>October</v>
      </c>
      <c r="S22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33" s="208"/>
      <c r="U2233" s="43" t="e">
        <f>IF(Planning[[#This Row],[Horas Planificadas]]&lt;&gt;0,+K2233/Planning[[#This Row],[Horas Planificadas]],0)</f>
        <v>#REF!</v>
      </c>
      <c r="V2233" s="43" t="e">
        <f>IF(Planning[[#This Row],[Horas Planificadas]]&lt;&gt;0,Planning[[#This Row],[Horas utilizadas]]/Planning[[#This Row],[Horas Planificadas]],0)</f>
        <v>#REF!</v>
      </c>
      <c r="W2233" s="44">
        <f>Planning[[#This Row],[Horas Planificadas]]+Planning[[#This Row],[Horas ajustadas adicionales]]</f>
        <v>72</v>
      </c>
      <c r="X2233" s="142"/>
    </row>
    <row r="2234" spans="1:24" x14ac:dyDescent="0.2">
      <c r="A2234" s="7" t="s">
        <v>204</v>
      </c>
      <c r="B2234" s="7" t="s">
        <v>288</v>
      </c>
      <c r="C2234" s="3"/>
      <c r="D2234" s="3" t="s">
        <v>479</v>
      </c>
      <c r="E2234" s="4"/>
      <c r="F2234" s="3" t="s">
        <v>125</v>
      </c>
      <c r="G2234" s="9"/>
      <c r="H2234" s="9"/>
      <c r="I2234" s="12"/>
      <c r="J2234" s="5" t="e">
        <f>SUM(SUMIFS(#REF!,#REF!,Planning[[#This Row],[Tipo de Tarea y especialidad]],#REF!,Planning[[#This Row],[Proyectos Reiwa]]),SUMIFS(#REF!,#REF!,Planning[[#This Row],[Tipo de Tarea y especialidad]],#REF!,Planning[[#This Row],[Proyectos]]))</f>
        <v>#REF!</v>
      </c>
      <c r="K2234" s="5" t="e">
        <f>Planning[[#This Row],[Horas Planificadas]]+Planning[[#This Row],[Horas ajustadas adicionales]]-Planning[[#This Row],[Horas utilizadas]]</f>
        <v>#REF!</v>
      </c>
      <c r="L2234" s="7">
        <v>0</v>
      </c>
      <c r="M2234" s="19" t="e">
        <f>Planning[[#This Row],[Saldo]]-Planning[[#This Row],[Saldo estimado]]</f>
        <v>#REF!</v>
      </c>
      <c r="N2234" s="60" t="e">
        <f>+SUMIFS(#REF!,#REF!,Planning[[#This Row],[Proyectos]],#REF!,Planning[[#This Row],[Tipo de Tarea y especialidad]])</f>
        <v>#REF!</v>
      </c>
      <c r="O2234" s="19">
        <f t="shared" si="68"/>
        <v>10</v>
      </c>
      <c r="P2234" s="19">
        <f t="shared" si="69"/>
        <v>2024</v>
      </c>
      <c r="Q22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34" s="19" t="str">
        <f>TEXT(Planning[[#This Row],[Mes]]*29,"mmmm")</f>
        <v>October</v>
      </c>
      <c r="S22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34" s="208"/>
      <c r="U2234" s="43">
        <f>IF(Planning[[#This Row],[Horas Planificadas]]&lt;&gt;0,+K2234/Planning[[#This Row],[Horas Planificadas]],0)</f>
        <v>0</v>
      </c>
      <c r="V2234" s="43">
        <f>IF(Planning[[#This Row],[Horas Planificadas]]&lt;&gt;0,Planning[[#This Row],[Horas utilizadas]]/Planning[[#This Row],[Horas Planificadas]],0)</f>
        <v>0</v>
      </c>
      <c r="W2234" s="44">
        <f>Planning[[#This Row],[Horas Planificadas]]+Planning[[#This Row],[Horas ajustadas adicionales]]</f>
        <v>0</v>
      </c>
      <c r="X2234" s="142"/>
    </row>
    <row r="2235" spans="1:24" x14ac:dyDescent="0.2">
      <c r="A2235" s="7" t="s">
        <v>204</v>
      </c>
      <c r="B2235" s="7" t="s">
        <v>288</v>
      </c>
      <c r="C2235" s="3"/>
      <c r="D2235" s="3" t="s">
        <v>479</v>
      </c>
      <c r="E2235" s="4"/>
      <c r="F2235" s="3" t="s">
        <v>126</v>
      </c>
      <c r="G2235" s="9"/>
      <c r="H2235" s="9"/>
      <c r="I2235" s="12"/>
      <c r="J2235" s="5" t="e">
        <f>SUM(SUMIFS(#REF!,#REF!,Planning[[#This Row],[Tipo de Tarea y especialidad]],#REF!,Planning[[#This Row],[Proyectos Reiwa]]),SUMIFS(#REF!,#REF!,Planning[[#This Row],[Tipo de Tarea y especialidad]],#REF!,Planning[[#This Row],[Proyectos]]))</f>
        <v>#REF!</v>
      </c>
      <c r="K2235" s="5" t="e">
        <f>Planning[[#This Row],[Horas Planificadas]]+Planning[[#This Row],[Horas ajustadas adicionales]]-Planning[[#This Row],[Horas utilizadas]]</f>
        <v>#REF!</v>
      </c>
      <c r="L2235" s="7"/>
      <c r="M2235" s="19" t="e">
        <f>Planning[[#This Row],[Saldo]]-Planning[[#This Row],[Saldo estimado]]</f>
        <v>#REF!</v>
      </c>
      <c r="N2235" s="60" t="e">
        <f>+SUMIFS(#REF!,#REF!,Planning[[#This Row],[Proyectos]],#REF!,Planning[[#This Row],[Tipo de Tarea y especialidad]])</f>
        <v>#REF!</v>
      </c>
      <c r="O2235" s="19">
        <f t="shared" si="68"/>
        <v>10</v>
      </c>
      <c r="P2235" s="19">
        <f t="shared" si="69"/>
        <v>2024</v>
      </c>
      <c r="Q22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35" s="19" t="str">
        <f>TEXT(Planning[[#This Row],[Mes]]*29,"mmmm")</f>
        <v>October</v>
      </c>
      <c r="S22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35" s="208"/>
      <c r="U2235" s="43">
        <f>IF(Planning[[#This Row],[Horas Planificadas]]&lt;&gt;0,+K2235/Planning[[#This Row],[Horas Planificadas]],0)</f>
        <v>0</v>
      </c>
      <c r="V2235" s="43">
        <f>IF(Planning[[#This Row],[Horas Planificadas]]&lt;&gt;0,Planning[[#This Row],[Horas utilizadas]]/Planning[[#This Row],[Horas Planificadas]],0)</f>
        <v>0</v>
      </c>
      <c r="W2235" s="44">
        <f>Planning[[#This Row],[Horas Planificadas]]+Planning[[#This Row],[Horas ajustadas adicionales]]</f>
        <v>0</v>
      </c>
      <c r="X2235" s="142"/>
    </row>
    <row r="2236" spans="1:24" x14ac:dyDescent="0.2">
      <c r="A2236" s="7" t="s">
        <v>204</v>
      </c>
      <c r="B2236" s="7" t="s">
        <v>288</v>
      </c>
      <c r="C2236" s="3"/>
      <c r="D2236" s="3" t="s">
        <v>479</v>
      </c>
      <c r="E2236" s="4"/>
      <c r="F2236" s="3" t="s">
        <v>127</v>
      </c>
      <c r="G2236" s="9"/>
      <c r="H2236" s="9"/>
      <c r="I2236" s="12"/>
      <c r="J2236" s="5" t="e">
        <f>SUM(SUMIFS(#REF!,#REF!,Planning[[#This Row],[Tipo de Tarea y especialidad]],#REF!,Planning[[#This Row],[Proyectos Reiwa]]),SUMIFS(#REF!,#REF!,Planning[[#This Row],[Tipo de Tarea y especialidad]],#REF!,Planning[[#This Row],[Proyectos]]))</f>
        <v>#REF!</v>
      </c>
      <c r="K2236" s="5" t="e">
        <f>Planning[[#This Row],[Horas Planificadas]]+Planning[[#This Row],[Horas ajustadas adicionales]]-Planning[[#This Row],[Horas utilizadas]]</f>
        <v>#REF!</v>
      </c>
      <c r="L2236" s="7"/>
      <c r="M2236" s="19" t="e">
        <f>Planning[[#This Row],[Saldo]]-Planning[[#This Row],[Saldo estimado]]</f>
        <v>#REF!</v>
      </c>
      <c r="N2236" s="60" t="e">
        <f>+SUMIFS(#REF!,#REF!,Planning[[#This Row],[Proyectos]],#REF!,Planning[[#This Row],[Tipo de Tarea y especialidad]])</f>
        <v>#REF!</v>
      </c>
      <c r="O2236" s="19">
        <f t="shared" si="68"/>
        <v>10</v>
      </c>
      <c r="P2236" s="19">
        <f t="shared" si="69"/>
        <v>2024</v>
      </c>
      <c r="Q22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36" s="19" t="str">
        <f>TEXT(Planning[[#This Row],[Mes]]*29,"mmmm")</f>
        <v>October</v>
      </c>
      <c r="S22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36" s="208"/>
      <c r="U2236" s="43">
        <f>IF(Planning[[#This Row],[Horas Planificadas]]&lt;&gt;0,+K2236/Planning[[#This Row],[Horas Planificadas]],0)</f>
        <v>0</v>
      </c>
      <c r="V2236" s="43">
        <f>IF(Planning[[#This Row],[Horas Planificadas]]&lt;&gt;0,Planning[[#This Row],[Horas utilizadas]]/Planning[[#This Row],[Horas Planificadas]],0)</f>
        <v>0</v>
      </c>
      <c r="W2236" s="44">
        <f>Planning[[#This Row],[Horas Planificadas]]+Planning[[#This Row],[Horas ajustadas adicionales]]</f>
        <v>0</v>
      </c>
      <c r="X2236" s="142"/>
    </row>
    <row r="2237" spans="1:24" x14ac:dyDescent="0.2">
      <c r="A2237" s="7" t="s">
        <v>204</v>
      </c>
      <c r="B2237" s="7" t="s">
        <v>288</v>
      </c>
      <c r="C2237" s="3"/>
      <c r="D2237" s="3" t="s">
        <v>479</v>
      </c>
      <c r="E2237" s="4"/>
      <c r="F2237" s="3" t="s">
        <v>128</v>
      </c>
      <c r="G2237" s="9"/>
      <c r="H2237" s="9"/>
      <c r="I2237" s="12"/>
      <c r="J2237" s="5" t="e">
        <f>SUM(SUMIFS(#REF!,#REF!,Planning[[#This Row],[Tipo de Tarea y especialidad]],#REF!,Planning[[#This Row],[Proyectos Reiwa]]),SUMIFS(#REF!,#REF!,Planning[[#This Row],[Tipo de Tarea y especialidad]],#REF!,Planning[[#This Row],[Proyectos]]))</f>
        <v>#REF!</v>
      </c>
      <c r="K2237" s="5" t="e">
        <f>Planning[[#This Row],[Horas Planificadas]]+Planning[[#This Row],[Horas ajustadas adicionales]]-Planning[[#This Row],[Horas utilizadas]]</f>
        <v>#REF!</v>
      </c>
      <c r="L2237" s="7">
        <v>0</v>
      </c>
      <c r="M2237" s="19" t="e">
        <f>Planning[[#This Row],[Saldo]]-Planning[[#This Row],[Saldo estimado]]</f>
        <v>#REF!</v>
      </c>
      <c r="N2237" s="60" t="e">
        <f>+SUMIFS(#REF!,#REF!,Planning[[#This Row],[Proyectos]],#REF!,Planning[[#This Row],[Tipo de Tarea y especialidad]])</f>
        <v>#REF!</v>
      </c>
      <c r="O2237" s="19">
        <f t="shared" si="68"/>
        <v>10</v>
      </c>
      <c r="P2237" s="19">
        <f t="shared" si="69"/>
        <v>2024</v>
      </c>
      <c r="Q22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37" s="19" t="str">
        <f>TEXT(Planning[[#This Row],[Mes]]*29,"mmmm")</f>
        <v>October</v>
      </c>
      <c r="S22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37" s="208"/>
      <c r="U2237" s="43">
        <f>IF(Planning[[#This Row],[Horas Planificadas]]&lt;&gt;0,+K2237/Planning[[#This Row],[Horas Planificadas]],0)</f>
        <v>0</v>
      </c>
      <c r="V2237" s="43">
        <f>IF(Planning[[#This Row],[Horas Planificadas]]&lt;&gt;0,Planning[[#This Row],[Horas utilizadas]]/Planning[[#This Row],[Horas Planificadas]],0)</f>
        <v>0</v>
      </c>
      <c r="W2237" s="44">
        <f>Planning[[#This Row],[Horas Planificadas]]+Planning[[#This Row],[Horas ajustadas adicionales]]</f>
        <v>0</v>
      </c>
      <c r="X2237" s="142"/>
    </row>
    <row r="2238" spans="1:24" x14ac:dyDescent="0.2">
      <c r="A2238" s="7" t="s">
        <v>204</v>
      </c>
      <c r="B2238" s="7" t="s">
        <v>288</v>
      </c>
      <c r="C2238" s="3"/>
      <c r="D2238" s="3" t="s">
        <v>479</v>
      </c>
      <c r="E2238" s="4" t="s">
        <v>31</v>
      </c>
      <c r="F2238" s="3" t="s">
        <v>31</v>
      </c>
      <c r="G2238" s="9">
        <v>63</v>
      </c>
      <c r="H2238" s="17">
        <v>63</v>
      </c>
      <c r="I2238" s="18"/>
      <c r="J2238" s="14" t="e">
        <f>+SUMIFS(#REF!,#REF!,Planning[[#This Row],[Tarifa]],#REF!,Planning[[#This Row],[Proyectos]])</f>
        <v>#REF!</v>
      </c>
      <c r="K2238" s="14" t="e">
        <f>Planning[[#This Row],[Horas Planificadas]]+Planning[[#This Row],[Horas ajustadas adicionales]]-Planning[[#This Row],[Horas utilizadas]]</f>
        <v>#REF!</v>
      </c>
      <c r="L2238" s="15">
        <v>0</v>
      </c>
      <c r="M2238" s="16" t="e">
        <f>Planning[[#This Row],[Saldo]]-Planning[[#This Row],[Saldo estimado]]</f>
        <v>#REF!</v>
      </c>
      <c r="N2238" s="60" t="e">
        <f>+SUMIFS(#REF!,#REF!,Planning[[#This Row],[Proyectos]],#REF!,Planning[[#This Row],[Tipo de Tarea y especialidad]])</f>
        <v>#REF!</v>
      </c>
      <c r="O2238" s="16">
        <f t="shared" si="68"/>
        <v>10</v>
      </c>
      <c r="P2238" s="16">
        <f t="shared" si="69"/>
        <v>2024</v>
      </c>
      <c r="Q2238" s="16" t="e">
        <f>+SUMIFS(#REF!,#REF!,Planning[[#This Row],[Tarifa]],#REF!,Planning[[#This Row],[Proyectos]],#REF!,Planning[[#This Row],[Mes]],#REF!,Planning[[#This Row],[Año]])</f>
        <v>#REF!</v>
      </c>
      <c r="R2238" s="16" t="str">
        <f>TEXT(Planning[[#This Row],[Mes]]*29,"mmmm")</f>
        <v>October</v>
      </c>
      <c r="S22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38" s="208"/>
      <c r="U2238" s="43" t="e">
        <f>IF(Planning[[#This Row],[Horas Planificadas]]&lt;&gt;0,+K2238/Planning[[#This Row],[Horas Planificadas]],0)</f>
        <v>#REF!</v>
      </c>
      <c r="V2238" s="43" t="e">
        <f>IF(Planning[[#This Row],[Horas Planificadas]]&lt;&gt;0,Planning[[#This Row],[Horas utilizadas]]/Planning[[#This Row],[Horas Planificadas]],0)</f>
        <v>#REF!</v>
      </c>
      <c r="W2238" s="44">
        <f>Planning[[#This Row],[Horas Planificadas]]+Planning[[#This Row],[Horas ajustadas adicionales]]</f>
        <v>63</v>
      </c>
      <c r="X2238" s="142"/>
    </row>
    <row r="2239" spans="1:24" ht="22.5" x14ac:dyDescent="0.2">
      <c r="A2239" s="7" t="s">
        <v>204</v>
      </c>
      <c r="B2239" s="7" t="s">
        <v>288</v>
      </c>
      <c r="C2239" s="3"/>
      <c r="D2239" s="3" t="s">
        <v>479</v>
      </c>
      <c r="E2239" s="4" t="s">
        <v>32</v>
      </c>
      <c r="F2239" s="3"/>
      <c r="G2239" s="9">
        <v>50</v>
      </c>
      <c r="H2239" s="14">
        <f>SUM(H2240:H2242)</f>
        <v>50</v>
      </c>
      <c r="I2239" s="14"/>
      <c r="J2239" s="14" t="e">
        <f>SUM(J2240:J2242)</f>
        <v>#REF!</v>
      </c>
      <c r="K2239" s="15" t="e">
        <f>SUM(K2240:K2242)</f>
        <v>#REF!</v>
      </c>
      <c r="L2239" s="15">
        <f>SUM(L2240:L2242)</f>
        <v>0</v>
      </c>
      <c r="M2239" s="16" t="e">
        <f>SUM(M2240:M2242)</f>
        <v>#REF!</v>
      </c>
      <c r="N2239" s="60" t="e">
        <f>+SUMIFS(#REF!,#REF!,Planning[[#This Row],[Proyectos]],#REF!,Planning[[#This Row],[Tipo de Tarea y especialidad]])</f>
        <v>#REF!</v>
      </c>
      <c r="O2239" s="16">
        <f t="shared" si="68"/>
        <v>10</v>
      </c>
      <c r="P2239" s="16">
        <f t="shared" si="69"/>
        <v>2024</v>
      </c>
      <c r="Q2239" s="16" t="e">
        <f>SUM(Q2240:Q2242)</f>
        <v>#REF!</v>
      </c>
      <c r="R2239" s="16" t="str">
        <f>TEXT(Planning[[#This Row],[Mes]]*29,"mmmm")</f>
        <v>October</v>
      </c>
      <c r="S22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39" s="208"/>
      <c r="U2239" s="43" t="e">
        <f>IF(Planning[[#This Row],[Horas Planificadas]]&lt;&gt;0,+K2239/Planning[[#This Row],[Horas Planificadas]],0)</f>
        <v>#REF!</v>
      </c>
      <c r="V2239" s="43" t="e">
        <f>IF(Planning[[#This Row],[Horas Planificadas]]&lt;&gt;0,Planning[[#This Row],[Horas utilizadas]]/Planning[[#This Row],[Horas Planificadas]],0)</f>
        <v>#REF!</v>
      </c>
      <c r="W2239" s="44">
        <f>Planning[[#This Row],[Horas Planificadas]]+Planning[[#This Row],[Horas ajustadas adicionales]]</f>
        <v>50</v>
      </c>
      <c r="X2239" s="142"/>
    </row>
    <row r="2240" spans="1:24" x14ac:dyDescent="0.2">
      <c r="A2240" s="7" t="s">
        <v>204</v>
      </c>
      <c r="B2240" s="7" t="s">
        <v>288</v>
      </c>
      <c r="C2240" s="3"/>
      <c r="D2240" s="3" t="s">
        <v>479</v>
      </c>
      <c r="E2240" s="4"/>
      <c r="F2240" s="3" t="s">
        <v>129</v>
      </c>
      <c r="G2240" s="9"/>
      <c r="H2240" s="9"/>
      <c r="I2240" s="12"/>
      <c r="J2240" s="5" t="e">
        <f>SUM(SUMIFS(#REF!,#REF!,Planning[[#This Row],[Tipo de Tarea y especialidad]],#REF!,Planning[[#This Row],[Proyectos Reiwa]]),SUMIFS(#REF!,#REF!,Planning[[#This Row],[Tipo de Tarea y especialidad]],#REF!,Planning[[#This Row],[Proyectos]]))</f>
        <v>#REF!</v>
      </c>
      <c r="K2240" s="5" t="e">
        <f>Planning[[#This Row],[Horas Planificadas]]+Planning[[#This Row],[Horas ajustadas adicionales]]-Planning[[#This Row],[Horas utilizadas]]</f>
        <v>#REF!</v>
      </c>
      <c r="L2240" s="7"/>
      <c r="M2240" s="19" t="e">
        <f>Planning[[#This Row],[Saldo]]-Planning[[#This Row],[Saldo estimado]]</f>
        <v>#REF!</v>
      </c>
      <c r="N2240" s="60" t="e">
        <f>+SUMIFS(#REF!,#REF!,Planning[[#This Row],[Proyectos]],#REF!,Planning[[#This Row],[Tipo de Tarea y especialidad]])</f>
        <v>#REF!</v>
      </c>
      <c r="O2240" s="19">
        <f t="shared" si="68"/>
        <v>10</v>
      </c>
      <c r="P2240" s="19">
        <f t="shared" si="69"/>
        <v>2024</v>
      </c>
      <c r="Q22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40" s="19" t="str">
        <f>TEXT(Planning[[#This Row],[Mes]]*29,"mmmm")</f>
        <v>October</v>
      </c>
      <c r="S22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40" s="208"/>
      <c r="U2240" s="43">
        <f>IF(Planning[[#This Row],[Horas Planificadas]]&lt;&gt;0,+K2240/Planning[[#This Row],[Horas Planificadas]],0)</f>
        <v>0</v>
      </c>
      <c r="V2240" s="43">
        <f>IF(Planning[[#This Row],[Horas Planificadas]]&lt;&gt;0,Planning[[#This Row],[Horas utilizadas]]/Planning[[#This Row],[Horas Planificadas]],0)</f>
        <v>0</v>
      </c>
      <c r="W2240" s="44">
        <f>Planning[[#This Row],[Horas Planificadas]]+Planning[[#This Row],[Horas ajustadas adicionales]]</f>
        <v>0</v>
      </c>
      <c r="X2240" s="142"/>
    </row>
    <row r="2241" spans="1:24" x14ac:dyDescent="0.2">
      <c r="A2241" s="7" t="s">
        <v>204</v>
      </c>
      <c r="B2241" s="7" t="s">
        <v>288</v>
      </c>
      <c r="C2241" s="3"/>
      <c r="D2241" s="3" t="s">
        <v>479</v>
      </c>
      <c r="E2241" s="4"/>
      <c r="F2241" s="3" t="s">
        <v>130</v>
      </c>
      <c r="G2241" s="9"/>
      <c r="H2241" s="9"/>
      <c r="I2241" s="12"/>
      <c r="J2241" s="5" t="e">
        <f>SUM(SUMIFS(#REF!,#REF!,Planning[[#This Row],[Tipo de Tarea y especialidad]],#REF!,Planning[[#This Row],[Proyectos Reiwa]]),SUMIFS(#REF!,#REF!,Planning[[#This Row],[Tipo de Tarea y especialidad]],#REF!,Planning[[#This Row],[Proyectos]]))</f>
        <v>#REF!</v>
      </c>
      <c r="K2241" s="5" t="e">
        <f>Planning[[#This Row],[Horas Planificadas]]+Planning[[#This Row],[Horas ajustadas adicionales]]-Planning[[#This Row],[Horas utilizadas]]</f>
        <v>#REF!</v>
      </c>
      <c r="L2241" s="7"/>
      <c r="M2241" s="19" t="e">
        <f>Planning[[#This Row],[Saldo]]-Planning[[#This Row],[Saldo estimado]]</f>
        <v>#REF!</v>
      </c>
      <c r="N2241" s="60" t="e">
        <f>+SUMIFS(#REF!,#REF!,Planning[[#This Row],[Proyectos]],#REF!,Planning[[#This Row],[Tipo de Tarea y especialidad]])</f>
        <v>#REF!</v>
      </c>
      <c r="O2241" s="19">
        <f t="shared" si="68"/>
        <v>10</v>
      </c>
      <c r="P2241" s="19">
        <f t="shared" si="69"/>
        <v>2024</v>
      </c>
      <c r="Q22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41" s="19" t="str">
        <f>TEXT(Planning[[#This Row],[Mes]]*29,"mmmm")</f>
        <v>October</v>
      </c>
      <c r="S22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41" s="208"/>
      <c r="U2241" s="43">
        <f>IF(Planning[[#This Row],[Horas Planificadas]]&lt;&gt;0,+K2241/Planning[[#This Row],[Horas Planificadas]],0)</f>
        <v>0</v>
      </c>
      <c r="V2241" s="43">
        <f>IF(Planning[[#This Row],[Horas Planificadas]]&lt;&gt;0,Planning[[#This Row],[Horas utilizadas]]/Planning[[#This Row],[Horas Planificadas]],0)</f>
        <v>0</v>
      </c>
      <c r="W2241" s="44">
        <f>Planning[[#This Row],[Horas Planificadas]]+Planning[[#This Row],[Horas ajustadas adicionales]]</f>
        <v>0</v>
      </c>
      <c r="X2241" s="142"/>
    </row>
    <row r="2242" spans="1:24" x14ac:dyDescent="0.2">
      <c r="A2242" s="7" t="s">
        <v>204</v>
      </c>
      <c r="B2242" s="7" t="s">
        <v>288</v>
      </c>
      <c r="C2242" s="3"/>
      <c r="D2242" s="3" t="s">
        <v>479</v>
      </c>
      <c r="E2242" s="4"/>
      <c r="F2242" s="3" t="s">
        <v>131</v>
      </c>
      <c r="G2242" s="9"/>
      <c r="H2242" s="9">
        <v>50</v>
      </c>
      <c r="I2242" s="12"/>
      <c r="J2242" s="5" t="e">
        <f>SUM(SUMIFS(#REF!,#REF!,Planning[[#This Row],[Tipo de Tarea y especialidad]],#REF!,Planning[[#This Row],[Proyectos Reiwa]]),SUMIFS(#REF!,#REF!,Planning[[#This Row],[Tipo de Tarea y especialidad]],#REF!,Planning[[#This Row],[Proyectos]]))</f>
        <v>#REF!</v>
      </c>
      <c r="K2242" s="5" t="e">
        <f>Planning[[#This Row],[Horas Planificadas]]+Planning[[#This Row],[Horas ajustadas adicionales]]-Planning[[#This Row],[Horas utilizadas]]</f>
        <v>#REF!</v>
      </c>
      <c r="L2242" s="7">
        <v>0</v>
      </c>
      <c r="M2242" s="19" t="e">
        <f>Planning[[#This Row],[Saldo]]-Planning[[#This Row],[Saldo estimado]]</f>
        <v>#REF!</v>
      </c>
      <c r="N2242" s="60" t="e">
        <f>+SUMIFS(#REF!,#REF!,Planning[[#This Row],[Proyectos]],#REF!,Planning[[#This Row],[Tipo de Tarea y especialidad]])</f>
        <v>#REF!</v>
      </c>
      <c r="O2242" s="19">
        <f t="shared" si="68"/>
        <v>10</v>
      </c>
      <c r="P2242" s="19">
        <f t="shared" si="69"/>
        <v>2024</v>
      </c>
      <c r="Q22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42" s="19" t="str">
        <f>TEXT(Planning[[#This Row],[Mes]]*29,"mmmm")</f>
        <v>October</v>
      </c>
      <c r="S22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42" s="208"/>
      <c r="U2242" s="43" t="e">
        <f>IF(Planning[[#This Row],[Horas Planificadas]]&lt;&gt;0,+K2242/Planning[[#This Row],[Horas Planificadas]],0)</f>
        <v>#REF!</v>
      </c>
      <c r="V2242" s="43" t="e">
        <f>IF(Planning[[#This Row],[Horas Planificadas]]&lt;&gt;0,Planning[[#This Row],[Horas utilizadas]]/Planning[[#This Row],[Horas Planificadas]],0)</f>
        <v>#REF!</v>
      </c>
      <c r="W2242" s="44">
        <f>Planning[[#This Row],[Horas Planificadas]]+Planning[[#This Row],[Horas ajustadas adicionales]]</f>
        <v>50</v>
      </c>
      <c r="X2242" s="142"/>
    </row>
    <row r="2243" spans="1:24" ht="22.5" x14ac:dyDescent="0.2">
      <c r="A2243" s="7" t="s">
        <v>117</v>
      </c>
      <c r="B2243" s="7" t="s">
        <v>220</v>
      </c>
      <c r="C2243" s="3"/>
      <c r="D2243" s="3" t="s">
        <v>481</v>
      </c>
      <c r="E2243" s="33" t="s">
        <v>28</v>
      </c>
      <c r="F2243" s="33"/>
      <c r="G2243" s="7">
        <v>429</v>
      </c>
      <c r="H2243" s="24">
        <f>SUM(H2244:H2245)</f>
        <v>590</v>
      </c>
      <c r="I2243" s="14"/>
      <c r="J2243" s="14" t="e">
        <f>SUM(J2244:J2245)</f>
        <v>#REF!</v>
      </c>
      <c r="K2243" s="18" t="e">
        <f>SUM(K2244:K2245)</f>
        <v>#REF!</v>
      </c>
      <c r="L2243" s="15">
        <f>SUM(L2244:L2245)</f>
        <v>0</v>
      </c>
      <c r="M2243" s="28" t="e">
        <f>SUM(M2244:M2245)</f>
        <v>#REF!</v>
      </c>
      <c r="N2243" s="61" t="e">
        <f>+SUMIFS(#REF!,#REF!,Planning[[#This Row],[Proyectos]],#REF!,Planning[[#This Row],[Tipo de Tarea y especialidad]])</f>
        <v>#REF!</v>
      </c>
      <c r="O2243" s="28">
        <f t="shared" si="68"/>
        <v>10</v>
      </c>
      <c r="P2243" s="28">
        <f t="shared" si="69"/>
        <v>2024</v>
      </c>
      <c r="Q2243" s="28" t="e">
        <f>SUM(Q2244:Q2245)</f>
        <v>#REF!</v>
      </c>
      <c r="R2243" s="28" t="str">
        <f>TEXT(Planning[[#This Row],[Mes]]*29,"mmmm")</f>
        <v>October</v>
      </c>
      <c r="S22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43" s="235" t="s">
        <v>482</v>
      </c>
      <c r="U2243" s="43" t="e">
        <f>IF(Planning[[#This Row],[Horas Planificadas]]&lt;&gt;0,+K2243/Planning[[#This Row],[Horas Planificadas]],0)</f>
        <v>#REF!</v>
      </c>
      <c r="V2243" s="43" t="e">
        <f>IF(Planning[[#This Row],[Horas Planificadas]]&lt;&gt;0,Planning[[#This Row],[Horas utilizadas]]/Planning[[#This Row],[Horas Planificadas]],0)</f>
        <v>#REF!</v>
      </c>
      <c r="W2243" s="44">
        <f>Planning[[#This Row],[Horas Planificadas]]+Planning[[#This Row],[Horas ajustadas adicionales]]</f>
        <v>590</v>
      </c>
      <c r="X2243" s="142"/>
    </row>
    <row r="2244" spans="1:24" x14ac:dyDescent="0.2">
      <c r="A2244" s="7" t="s">
        <v>117</v>
      </c>
      <c r="B2244" s="7" t="s">
        <v>220</v>
      </c>
      <c r="C2244" s="3"/>
      <c r="D2244" s="3" t="s">
        <v>481</v>
      </c>
      <c r="E2244" s="33"/>
      <c r="F2244" s="33" t="s">
        <v>120</v>
      </c>
      <c r="G2244" s="7"/>
      <c r="H2244" s="7">
        <v>330</v>
      </c>
      <c r="I2244" s="12"/>
      <c r="J2244" s="5" t="e">
        <f>SUM(SUMIFS(#REF!,#REF!,Planning[[#This Row],[Tipo de Tarea y especialidad]],#REF!,Planning[[#This Row],[Proyectos Reiwa]]),SUMIFS(#REF!,#REF!,Planning[[#This Row],[Tipo de Tarea y especialidad]],#REF!,Planning[[#This Row],[Proyectos]]))</f>
        <v>#REF!</v>
      </c>
      <c r="K2244" s="5" t="e">
        <f>Planning[[#This Row],[Horas Planificadas]]+Planning[[#This Row],[Horas ajustadas adicionales]]-Planning[[#This Row],[Horas utilizadas]]</f>
        <v>#REF!</v>
      </c>
      <c r="L2244" s="7">
        <v>0</v>
      </c>
      <c r="M2244" s="19" t="e">
        <f>Planning[[#This Row],[Saldo]]-Planning[[#This Row],[Saldo estimado]]</f>
        <v>#REF!</v>
      </c>
      <c r="N2244" s="60" t="e">
        <f>+SUMIFS(#REF!,#REF!,Planning[[#This Row],[Proyectos]],#REF!,Planning[[#This Row],[Tipo de Tarea y especialidad]])</f>
        <v>#REF!</v>
      </c>
      <c r="O2244" s="19">
        <f t="shared" si="68"/>
        <v>10</v>
      </c>
      <c r="P2244" s="19">
        <f t="shared" si="69"/>
        <v>2024</v>
      </c>
      <c r="Q22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44" s="19" t="str">
        <f>TEXT(Planning[[#This Row],[Mes]]*29,"mmmm")</f>
        <v>October</v>
      </c>
      <c r="S22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44" s="235"/>
      <c r="U2244" s="43" t="e">
        <f>IF(Planning[[#This Row],[Horas Planificadas]]&lt;&gt;0,+K2244/Planning[[#This Row],[Horas Planificadas]],0)</f>
        <v>#REF!</v>
      </c>
      <c r="V2244" s="43" t="e">
        <f>IF(Planning[[#This Row],[Horas Planificadas]]&lt;&gt;0,Planning[[#This Row],[Horas utilizadas]]/Planning[[#This Row],[Horas Planificadas]],0)</f>
        <v>#REF!</v>
      </c>
      <c r="W2244" s="44">
        <f>Planning[[#This Row],[Horas Planificadas]]+Planning[[#This Row],[Horas ajustadas adicionales]]</f>
        <v>330</v>
      </c>
      <c r="X2244" s="142"/>
    </row>
    <row r="2245" spans="1:24" x14ac:dyDescent="0.2">
      <c r="A2245" s="7" t="s">
        <v>117</v>
      </c>
      <c r="B2245" s="7" t="s">
        <v>220</v>
      </c>
      <c r="C2245" s="3"/>
      <c r="D2245" s="3" t="s">
        <v>481</v>
      </c>
      <c r="E2245" s="33"/>
      <c r="F2245" s="33" t="s">
        <v>121</v>
      </c>
      <c r="G2245" s="7"/>
      <c r="H2245" s="7">
        <v>260</v>
      </c>
      <c r="I2245" s="12"/>
      <c r="J2245" s="5" t="e">
        <f>SUM(SUMIFS(#REF!,#REF!,Planning[[#This Row],[Tipo de Tarea y especialidad]],#REF!,Planning[[#This Row],[Proyectos Reiwa]]),SUMIFS(#REF!,#REF!,Planning[[#This Row],[Tipo de Tarea y especialidad]],#REF!,Planning[[#This Row],[Proyectos]]))</f>
        <v>#REF!</v>
      </c>
      <c r="K2245" s="5" t="e">
        <f>Planning[[#This Row],[Horas Planificadas]]+Planning[[#This Row],[Horas ajustadas adicionales]]-Planning[[#This Row],[Horas utilizadas]]</f>
        <v>#REF!</v>
      </c>
      <c r="L2245" s="7">
        <v>0</v>
      </c>
      <c r="M2245" s="19" t="e">
        <f>Planning[[#This Row],[Saldo]]-Planning[[#This Row],[Saldo estimado]]</f>
        <v>#REF!</v>
      </c>
      <c r="N2245" s="60" t="e">
        <f>+SUMIFS(#REF!,#REF!,Planning[[#This Row],[Proyectos]],#REF!,Planning[[#This Row],[Tipo de Tarea y especialidad]])</f>
        <v>#REF!</v>
      </c>
      <c r="O2245" s="19">
        <f t="shared" si="68"/>
        <v>10</v>
      </c>
      <c r="P2245" s="19">
        <f t="shared" si="69"/>
        <v>2024</v>
      </c>
      <c r="Q22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45" s="19" t="str">
        <f>TEXT(Planning[[#This Row],[Mes]]*29,"mmmm")</f>
        <v>October</v>
      </c>
      <c r="S22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45" s="235"/>
      <c r="U2245" s="43" t="e">
        <f>IF(Planning[[#This Row],[Horas Planificadas]]&lt;&gt;0,+K2245/Planning[[#This Row],[Horas Planificadas]],0)</f>
        <v>#REF!</v>
      </c>
      <c r="V2245" s="43" t="e">
        <f>IF(Planning[[#This Row],[Horas Planificadas]]&lt;&gt;0,Planning[[#This Row],[Horas utilizadas]]/Planning[[#This Row],[Horas Planificadas]],0)</f>
        <v>#REF!</v>
      </c>
      <c r="W2245" s="44">
        <f>Planning[[#This Row],[Horas Planificadas]]+Planning[[#This Row],[Horas ajustadas adicionales]]</f>
        <v>260</v>
      </c>
      <c r="X2245" s="142"/>
    </row>
    <row r="2246" spans="1:24" x14ac:dyDescent="0.2">
      <c r="A2246" s="7" t="s">
        <v>117</v>
      </c>
      <c r="B2246" s="7" t="s">
        <v>220</v>
      </c>
      <c r="C2246" s="3"/>
      <c r="D2246" s="3" t="s">
        <v>481</v>
      </c>
      <c r="E2246" s="33" t="s">
        <v>30</v>
      </c>
      <c r="F2246" s="33"/>
      <c r="G2246" s="7">
        <v>491</v>
      </c>
      <c r="H2246" s="24">
        <f>SUM(H2247:H2253)</f>
        <v>425</v>
      </c>
      <c r="I2246" s="14"/>
      <c r="J2246" s="14" t="e">
        <f>SUM(J2247:J2253)</f>
        <v>#REF!</v>
      </c>
      <c r="K2246" s="18" t="e">
        <f>SUM(K2247:K2253)</f>
        <v>#REF!</v>
      </c>
      <c r="L2246" s="15">
        <f>SUM(L2247:L2253)</f>
        <v>0</v>
      </c>
      <c r="M2246" s="16" t="e">
        <f>SUM(M2247:M2253)</f>
        <v>#REF!</v>
      </c>
      <c r="N2246" s="60" t="e">
        <f>+SUMIFS(#REF!,#REF!,Planning[[#This Row],[Proyectos]],#REF!,Planning[[#This Row],[Tipo de Tarea y especialidad]])</f>
        <v>#REF!</v>
      </c>
      <c r="O2246" s="16">
        <f t="shared" si="68"/>
        <v>10</v>
      </c>
      <c r="P2246" s="16">
        <f t="shared" si="69"/>
        <v>2024</v>
      </c>
      <c r="Q2246" s="16" t="e">
        <f>SUM(Q2247:Q2253)</f>
        <v>#REF!</v>
      </c>
      <c r="R2246" s="16" t="str">
        <f>TEXT(Planning[[#This Row],[Mes]]*29,"mmmm")</f>
        <v>October</v>
      </c>
      <c r="S22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46" s="235"/>
      <c r="U2246" s="43" t="e">
        <f>IF(Planning[[#This Row],[Horas Planificadas]]&lt;&gt;0,+K2246/Planning[[#This Row],[Horas Planificadas]],0)</f>
        <v>#REF!</v>
      </c>
      <c r="V2246" s="43" t="e">
        <f>IF(Planning[[#This Row],[Horas Planificadas]]&lt;&gt;0,Planning[[#This Row],[Horas utilizadas]]/Planning[[#This Row],[Horas Planificadas]],0)</f>
        <v>#REF!</v>
      </c>
      <c r="W2246" s="44">
        <f>Planning[[#This Row],[Horas Planificadas]]+Planning[[#This Row],[Horas ajustadas adicionales]]</f>
        <v>425</v>
      </c>
      <c r="X2246" s="142"/>
    </row>
    <row r="2247" spans="1:24" x14ac:dyDescent="0.2">
      <c r="A2247" s="7" t="s">
        <v>117</v>
      </c>
      <c r="B2247" s="7" t="s">
        <v>220</v>
      </c>
      <c r="C2247" s="3"/>
      <c r="D2247" s="3" t="s">
        <v>481</v>
      </c>
      <c r="E2247" s="4"/>
      <c r="F2247" s="3" t="s">
        <v>122</v>
      </c>
      <c r="G2247" s="9"/>
      <c r="H2247" s="12">
        <v>425</v>
      </c>
      <c r="I2247" s="12"/>
      <c r="J2247" s="5" t="e">
        <f>SUM(SUMIFS(#REF!,#REF!,Planning[[#This Row],[Tipo de Tarea y especialidad]],#REF!,Planning[[#This Row],[Proyectos Reiwa]]),SUMIFS(#REF!,#REF!,Planning[[#This Row],[Tipo de Tarea y especialidad]],#REF!,Planning[[#This Row],[Proyectos]]))</f>
        <v>#REF!</v>
      </c>
      <c r="K2247" s="27" t="e">
        <f>Planning[[#This Row],[Horas Planificadas]]+Planning[[#This Row],[Horas ajustadas adicionales]]-Planning[[#This Row],[Horas utilizadas]]</f>
        <v>#REF!</v>
      </c>
      <c r="L2247" s="7">
        <v>0</v>
      </c>
      <c r="M2247" s="34" t="e">
        <f>Planning[[#This Row],[Saldo]]-Planning[[#This Row],[Saldo estimado]]</f>
        <v>#REF!</v>
      </c>
      <c r="N2247" s="62" t="e">
        <f>+SUMIFS(#REF!,#REF!,Planning[[#This Row],[Proyectos]],#REF!,Planning[[#This Row],[Tipo de Tarea y especialidad]])</f>
        <v>#REF!</v>
      </c>
      <c r="O2247" s="34">
        <f t="shared" ref="O2247:O2310" si="70">$L$4</f>
        <v>10</v>
      </c>
      <c r="P2247" s="34">
        <f t="shared" ref="P2247:P2310" si="71">$M$4</f>
        <v>2024</v>
      </c>
      <c r="Q22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47" s="19" t="str">
        <f>TEXT(Planning[[#This Row],[Mes]]*29,"mmmm")</f>
        <v>October</v>
      </c>
      <c r="S22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47" s="235"/>
      <c r="U2247" s="43" t="e">
        <f>IF(Planning[[#This Row],[Horas Planificadas]]&lt;&gt;0,+K2247/Planning[[#This Row],[Horas Planificadas]],0)</f>
        <v>#REF!</v>
      </c>
      <c r="V2247" s="43" t="e">
        <f>IF(Planning[[#This Row],[Horas Planificadas]]&lt;&gt;0,Planning[[#This Row],[Horas utilizadas]]/Planning[[#This Row],[Horas Planificadas]],0)</f>
        <v>#REF!</v>
      </c>
      <c r="W2247" s="44">
        <f>Planning[[#This Row],[Horas Planificadas]]+Planning[[#This Row],[Horas ajustadas adicionales]]</f>
        <v>425</v>
      </c>
      <c r="X2247" s="142"/>
    </row>
    <row r="2248" spans="1:24" x14ac:dyDescent="0.2">
      <c r="A2248" s="7" t="s">
        <v>117</v>
      </c>
      <c r="B2248" s="7" t="s">
        <v>220</v>
      </c>
      <c r="C2248" s="3"/>
      <c r="D2248" s="3" t="s">
        <v>481</v>
      </c>
      <c r="E2248" s="4"/>
      <c r="F2248" s="3" t="s">
        <v>123</v>
      </c>
      <c r="G2248" s="9"/>
      <c r="H2248" s="9"/>
      <c r="I2248" s="12"/>
      <c r="J2248" s="5" t="e">
        <f>SUM(SUMIFS(#REF!,#REF!,Planning[[#This Row],[Tipo de Tarea y especialidad]],#REF!,Planning[[#This Row],[Proyectos Reiwa]]),SUMIFS(#REF!,#REF!,Planning[[#This Row],[Tipo de Tarea y especialidad]],#REF!,Planning[[#This Row],[Proyectos]]))</f>
        <v>#REF!</v>
      </c>
      <c r="K2248" s="5" t="e">
        <f>Planning[[#This Row],[Horas Planificadas]]+Planning[[#This Row],[Horas ajustadas adicionales]]-Planning[[#This Row],[Horas utilizadas]]</f>
        <v>#REF!</v>
      </c>
      <c r="L2248" s="7">
        <v>0</v>
      </c>
      <c r="M2248" s="19" t="e">
        <f>Planning[[#This Row],[Saldo]]-Planning[[#This Row],[Saldo estimado]]</f>
        <v>#REF!</v>
      </c>
      <c r="N2248" s="60" t="e">
        <f>+SUMIFS(#REF!,#REF!,Planning[[#This Row],[Proyectos]],#REF!,Planning[[#This Row],[Tipo de Tarea y especialidad]])</f>
        <v>#REF!</v>
      </c>
      <c r="O2248" s="19">
        <f t="shared" si="70"/>
        <v>10</v>
      </c>
      <c r="P2248" s="19">
        <f t="shared" si="71"/>
        <v>2024</v>
      </c>
      <c r="Q22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48" s="19" t="str">
        <f>TEXT(Planning[[#This Row],[Mes]]*29,"mmmm")</f>
        <v>October</v>
      </c>
      <c r="S22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48" s="235"/>
      <c r="U2248" s="43">
        <f>IF(Planning[[#This Row],[Horas Planificadas]]&lt;&gt;0,+K2248/Planning[[#This Row],[Horas Planificadas]],0)</f>
        <v>0</v>
      </c>
      <c r="V2248" s="43">
        <f>IF(Planning[[#This Row],[Horas Planificadas]]&lt;&gt;0,Planning[[#This Row],[Horas utilizadas]]/Planning[[#This Row],[Horas Planificadas]],0)</f>
        <v>0</v>
      </c>
      <c r="W2248" s="44">
        <f>Planning[[#This Row],[Horas Planificadas]]+Planning[[#This Row],[Horas ajustadas adicionales]]</f>
        <v>0</v>
      </c>
      <c r="X2248" s="142"/>
    </row>
    <row r="2249" spans="1:24" x14ac:dyDescent="0.2">
      <c r="A2249" s="7" t="s">
        <v>117</v>
      </c>
      <c r="B2249" s="7" t="s">
        <v>220</v>
      </c>
      <c r="C2249" s="3"/>
      <c r="D2249" s="3" t="s">
        <v>481</v>
      </c>
      <c r="E2249" s="4"/>
      <c r="F2249" s="3" t="s">
        <v>124</v>
      </c>
      <c r="G2249" s="9"/>
      <c r="H2249" s="9"/>
      <c r="I2249" s="12"/>
      <c r="J2249" s="5" t="e">
        <f>SUM(SUMIFS(#REF!,#REF!,Planning[[#This Row],[Tipo de Tarea y especialidad]],#REF!,Planning[[#This Row],[Proyectos Reiwa]]),SUMIFS(#REF!,#REF!,Planning[[#This Row],[Tipo de Tarea y especialidad]],#REF!,Planning[[#This Row],[Proyectos]]))</f>
        <v>#REF!</v>
      </c>
      <c r="K2249" s="5" t="e">
        <f>Planning[[#This Row],[Horas Planificadas]]+Planning[[#This Row],[Horas ajustadas adicionales]]-Planning[[#This Row],[Horas utilizadas]]</f>
        <v>#REF!</v>
      </c>
      <c r="L2249" s="7">
        <v>0</v>
      </c>
      <c r="M2249" s="19" t="e">
        <f>Planning[[#This Row],[Saldo]]-Planning[[#This Row],[Saldo estimado]]</f>
        <v>#REF!</v>
      </c>
      <c r="N2249" s="60" t="e">
        <f>+SUMIFS(#REF!,#REF!,Planning[[#This Row],[Proyectos]],#REF!,Planning[[#This Row],[Tipo de Tarea y especialidad]])</f>
        <v>#REF!</v>
      </c>
      <c r="O2249" s="19">
        <f t="shared" si="70"/>
        <v>10</v>
      </c>
      <c r="P2249" s="19">
        <f t="shared" si="71"/>
        <v>2024</v>
      </c>
      <c r="Q22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49" s="19" t="str">
        <f>TEXT(Planning[[#This Row],[Mes]]*29,"mmmm")</f>
        <v>October</v>
      </c>
      <c r="S22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49" s="235"/>
      <c r="U2249" s="43">
        <f>IF(Planning[[#This Row],[Horas Planificadas]]&lt;&gt;0,+K2249/Planning[[#This Row],[Horas Planificadas]],0)</f>
        <v>0</v>
      </c>
      <c r="V2249" s="43">
        <f>IF(Planning[[#This Row],[Horas Planificadas]]&lt;&gt;0,Planning[[#This Row],[Horas utilizadas]]/Planning[[#This Row],[Horas Planificadas]],0)</f>
        <v>0</v>
      </c>
      <c r="W2249" s="44">
        <f>Planning[[#This Row],[Horas Planificadas]]+Planning[[#This Row],[Horas ajustadas adicionales]]</f>
        <v>0</v>
      </c>
      <c r="X2249" s="142"/>
    </row>
    <row r="2250" spans="1:24" x14ac:dyDescent="0.2">
      <c r="A2250" s="7" t="s">
        <v>117</v>
      </c>
      <c r="B2250" s="7" t="s">
        <v>220</v>
      </c>
      <c r="C2250" s="3"/>
      <c r="D2250" s="3" t="s">
        <v>481</v>
      </c>
      <c r="E2250" s="4"/>
      <c r="F2250" s="3" t="s">
        <v>125</v>
      </c>
      <c r="G2250" s="9"/>
      <c r="H2250" s="12"/>
      <c r="I2250" s="12"/>
      <c r="J2250" s="5" t="e">
        <f>SUM(SUMIFS(#REF!,#REF!,Planning[[#This Row],[Tipo de Tarea y especialidad]],#REF!,Planning[[#This Row],[Proyectos Reiwa]]),SUMIFS(#REF!,#REF!,Planning[[#This Row],[Tipo de Tarea y especialidad]],#REF!,Planning[[#This Row],[Proyectos]]))</f>
        <v>#REF!</v>
      </c>
      <c r="K2250" s="27" t="e">
        <f>Planning[[#This Row],[Horas Planificadas]]+Planning[[#This Row],[Horas ajustadas adicionales]]-Planning[[#This Row],[Horas utilizadas]]</f>
        <v>#REF!</v>
      </c>
      <c r="L2250" s="7">
        <v>0</v>
      </c>
      <c r="M2250" s="19" t="e">
        <f>Planning[[#This Row],[Saldo]]-Planning[[#This Row],[Saldo estimado]]</f>
        <v>#REF!</v>
      </c>
      <c r="N2250" s="60" t="e">
        <f>+SUMIFS(#REF!,#REF!,Planning[[#This Row],[Proyectos]],#REF!,Planning[[#This Row],[Tipo de Tarea y especialidad]])</f>
        <v>#REF!</v>
      </c>
      <c r="O2250" s="19">
        <f t="shared" si="70"/>
        <v>10</v>
      </c>
      <c r="P2250" s="19">
        <f t="shared" si="71"/>
        <v>2024</v>
      </c>
      <c r="Q22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50" s="19" t="str">
        <f>TEXT(Planning[[#This Row],[Mes]]*29,"mmmm")</f>
        <v>October</v>
      </c>
      <c r="S22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50" s="235"/>
      <c r="U2250" s="43">
        <f>IF(Planning[[#This Row],[Horas Planificadas]]&lt;&gt;0,+K2250/Planning[[#This Row],[Horas Planificadas]],0)</f>
        <v>0</v>
      </c>
      <c r="V2250" s="43">
        <f>IF(Planning[[#This Row],[Horas Planificadas]]&lt;&gt;0,Planning[[#This Row],[Horas utilizadas]]/Planning[[#This Row],[Horas Planificadas]],0)</f>
        <v>0</v>
      </c>
      <c r="W2250" s="44">
        <f>Planning[[#This Row],[Horas Planificadas]]+Planning[[#This Row],[Horas ajustadas adicionales]]</f>
        <v>0</v>
      </c>
      <c r="X2250" s="142"/>
    </row>
    <row r="2251" spans="1:24" x14ac:dyDescent="0.2">
      <c r="A2251" s="7" t="s">
        <v>117</v>
      </c>
      <c r="B2251" s="7" t="s">
        <v>220</v>
      </c>
      <c r="C2251" s="3"/>
      <c r="D2251" s="3" t="s">
        <v>481</v>
      </c>
      <c r="E2251" s="4"/>
      <c r="F2251" s="3" t="s">
        <v>126</v>
      </c>
      <c r="G2251" s="9"/>
      <c r="H2251" s="9"/>
      <c r="I2251" s="12"/>
      <c r="J2251" s="5" t="e">
        <f>SUM(SUMIFS(#REF!,#REF!,Planning[[#This Row],[Tipo de Tarea y especialidad]],#REF!,Planning[[#This Row],[Proyectos Reiwa]]),SUMIFS(#REF!,#REF!,Planning[[#This Row],[Tipo de Tarea y especialidad]],#REF!,Planning[[#This Row],[Proyectos]]))</f>
        <v>#REF!</v>
      </c>
      <c r="K2251" s="5" t="e">
        <f>Planning[[#This Row],[Horas Planificadas]]+Planning[[#This Row],[Horas ajustadas adicionales]]-Planning[[#This Row],[Horas utilizadas]]</f>
        <v>#REF!</v>
      </c>
      <c r="L2251" s="7">
        <v>0</v>
      </c>
      <c r="M2251" s="19" t="e">
        <f>Planning[[#This Row],[Saldo]]-Planning[[#This Row],[Saldo estimado]]</f>
        <v>#REF!</v>
      </c>
      <c r="N2251" s="60" t="e">
        <f>+SUMIFS(#REF!,#REF!,Planning[[#This Row],[Proyectos]],#REF!,Planning[[#This Row],[Tipo de Tarea y especialidad]])</f>
        <v>#REF!</v>
      </c>
      <c r="O2251" s="19">
        <f t="shared" si="70"/>
        <v>10</v>
      </c>
      <c r="P2251" s="19">
        <f t="shared" si="71"/>
        <v>2024</v>
      </c>
      <c r="Q22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51" s="19" t="str">
        <f>TEXT(Planning[[#This Row],[Mes]]*29,"mmmm")</f>
        <v>October</v>
      </c>
      <c r="S22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51" s="235"/>
      <c r="U2251" s="43">
        <f>IF(Planning[[#This Row],[Horas Planificadas]]&lt;&gt;0,+K2251/Planning[[#This Row],[Horas Planificadas]],0)</f>
        <v>0</v>
      </c>
      <c r="V2251" s="43">
        <f>IF(Planning[[#This Row],[Horas Planificadas]]&lt;&gt;0,Planning[[#This Row],[Horas utilizadas]]/Planning[[#This Row],[Horas Planificadas]],0)</f>
        <v>0</v>
      </c>
      <c r="W2251" s="44">
        <f>Planning[[#This Row],[Horas Planificadas]]+Planning[[#This Row],[Horas ajustadas adicionales]]</f>
        <v>0</v>
      </c>
      <c r="X2251" s="142"/>
    </row>
    <row r="2252" spans="1:24" x14ac:dyDescent="0.2">
      <c r="A2252" s="7" t="s">
        <v>117</v>
      </c>
      <c r="B2252" s="7" t="s">
        <v>220</v>
      </c>
      <c r="C2252" s="3"/>
      <c r="D2252" s="3" t="s">
        <v>481</v>
      </c>
      <c r="E2252" s="4"/>
      <c r="F2252" s="3" t="s">
        <v>127</v>
      </c>
      <c r="G2252" s="9"/>
      <c r="H2252" s="9"/>
      <c r="I2252" s="12"/>
      <c r="J2252" s="5" t="e">
        <f>SUM(SUMIFS(#REF!,#REF!,Planning[[#This Row],[Tipo de Tarea y especialidad]],#REF!,Planning[[#This Row],[Proyectos Reiwa]]),SUMIFS(#REF!,#REF!,Planning[[#This Row],[Tipo de Tarea y especialidad]],#REF!,Planning[[#This Row],[Proyectos]]))</f>
        <v>#REF!</v>
      </c>
      <c r="K2252" s="5" t="e">
        <f>Planning[[#This Row],[Horas Planificadas]]+Planning[[#This Row],[Horas ajustadas adicionales]]-Planning[[#This Row],[Horas utilizadas]]</f>
        <v>#REF!</v>
      </c>
      <c r="L2252" s="7">
        <v>0</v>
      </c>
      <c r="M2252" s="19" t="e">
        <f>Planning[[#This Row],[Saldo]]-Planning[[#This Row],[Saldo estimado]]</f>
        <v>#REF!</v>
      </c>
      <c r="N2252" s="60" t="e">
        <f>+SUMIFS(#REF!,#REF!,Planning[[#This Row],[Proyectos]],#REF!,Planning[[#This Row],[Tipo de Tarea y especialidad]])</f>
        <v>#REF!</v>
      </c>
      <c r="O2252" s="19">
        <f t="shared" si="70"/>
        <v>10</v>
      </c>
      <c r="P2252" s="19">
        <f t="shared" si="71"/>
        <v>2024</v>
      </c>
      <c r="Q22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52" s="19" t="str">
        <f>TEXT(Planning[[#This Row],[Mes]]*29,"mmmm")</f>
        <v>October</v>
      </c>
      <c r="S22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52" s="235"/>
      <c r="U2252" s="43">
        <f>IF(Planning[[#This Row],[Horas Planificadas]]&lt;&gt;0,+K2252/Planning[[#This Row],[Horas Planificadas]],0)</f>
        <v>0</v>
      </c>
      <c r="V2252" s="43">
        <f>IF(Planning[[#This Row],[Horas Planificadas]]&lt;&gt;0,Planning[[#This Row],[Horas utilizadas]]/Planning[[#This Row],[Horas Planificadas]],0)</f>
        <v>0</v>
      </c>
      <c r="W2252" s="44">
        <f>Planning[[#This Row],[Horas Planificadas]]+Planning[[#This Row],[Horas ajustadas adicionales]]</f>
        <v>0</v>
      </c>
      <c r="X2252" s="142"/>
    </row>
    <row r="2253" spans="1:24" x14ac:dyDescent="0.2">
      <c r="A2253" s="7" t="s">
        <v>117</v>
      </c>
      <c r="B2253" s="7" t="s">
        <v>220</v>
      </c>
      <c r="C2253" s="3"/>
      <c r="D2253" s="3" t="s">
        <v>481</v>
      </c>
      <c r="E2253" s="4"/>
      <c r="F2253" s="3" t="s">
        <v>128</v>
      </c>
      <c r="G2253" s="9"/>
      <c r="H2253" s="9"/>
      <c r="I2253" s="12"/>
      <c r="J2253" s="5" t="e">
        <f>SUM(SUMIFS(#REF!,#REF!,Planning[[#This Row],[Tipo de Tarea y especialidad]],#REF!,Planning[[#This Row],[Proyectos Reiwa]]),SUMIFS(#REF!,#REF!,Planning[[#This Row],[Tipo de Tarea y especialidad]],#REF!,Planning[[#This Row],[Proyectos]]))</f>
        <v>#REF!</v>
      </c>
      <c r="K2253" s="5" t="e">
        <f>Planning[[#This Row],[Horas Planificadas]]+Planning[[#This Row],[Horas ajustadas adicionales]]-Planning[[#This Row],[Horas utilizadas]]</f>
        <v>#REF!</v>
      </c>
      <c r="L2253" s="7">
        <v>0</v>
      </c>
      <c r="M2253" s="19" t="e">
        <f>Planning[[#This Row],[Saldo]]-Planning[[#This Row],[Saldo estimado]]</f>
        <v>#REF!</v>
      </c>
      <c r="N2253" s="60" t="e">
        <f>+SUMIFS(#REF!,#REF!,Planning[[#This Row],[Proyectos]],#REF!,Planning[[#This Row],[Tipo de Tarea y especialidad]])</f>
        <v>#REF!</v>
      </c>
      <c r="O2253" s="19">
        <f t="shared" si="70"/>
        <v>10</v>
      </c>
      <c r="P2253" s="19">
        <f t="shared" si="71"/>
        <v>2024</v>
      </c>
      <c r="Q22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53" s="19" t="str">
        <f>TEXT(Planning[[#This Row],[Mes]]*29,"mmmm")</f>
        <v>October</v>
      </c>
      <c r="S22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53" s="235"/>
      <c r="U2253" s="43">
        <f>IF(Planning[[#This Row],[Horas Planificadas]]&lt;&gt;0,+K2253/Planning[[#This Row],[Horas Planificadas]],0)</f>
        <v>0</v>
      </c>
      <c r="V2253" s="43">
        <f>IF(Planning[[#This Row],[Horas Planificadas]]&lt;&gt;0,Planning[[#This Row],[Horas utilizadas]]/Planning[[#This Row],[Horas Planificadas]],0)</f>
        <v>0</v>
      </c>
      <c r="W2253" s="44">
        <f>Planning[[#This Row],[Horas Planificadas]]+Planning[[#This Row],[Horas ajustadas adicionales]]</f>
        <v>0</v>
      </c>
      <c r="X2253" s="142"/>
    </row>
    <row r="2254" spans="1:24" x14ac:dyDescent="0.2">
      <c r="A2254" s="7" t="s">
        <v>117</v>
      </c>
      <c r="B2254" s="7" t="s">
        <v>220</v>
      </c>
      <c r="C2254" s="3"/>
      <c r="D2254" s="3" t="s">
        <v>481</v>
      </c>
      <c r="E2254" s="4" t="s">
        <v>31</v>
      </c>
      <c r="F2254" s="3" t="s">
        <v>31</v>
      </c>
      <c r="G2254" s="9">
        <v>185</v>
      </c>
      <c r="H2254" s="17">
        <v>185</v>
      </c>
      <c r="I2254" s="18"/>
      <c r="J2254" s="14" t="e">
        <f>+SUMIFS(#REF!,#REF!,Planning[[#This Row],[Tarifa]],#REF!,Planning[[#This Row],[Proyectos]])</f>
        <v>#REF!</v>
      </c>
      <c r="K2254" s="14" t="e">
        <f>Planning[[#This Row],[Horas Planificadas]]+Planning[[#This Row],[Horas ajustadas adicionales]]-Planning[[#This Row],[Horas utilizadas]]</f>
        <v>#REF!</v>
      </c>
      <c r="L2254" s="15"/>
      <c r="M2254" s="16" t="e">
        <f>Planning[[#This Row],[Saldo]]-Planning[[#This Row],[Saldo estimado]]</f>
        <v>#REF!</v>
      </c>
      <c r="N2254" s="60" t="e">
        <f>+SUMIFS(#REF!,#REF!,Planning[[#This Row],[Proyectos]],#REF!,Planning[[#This Row],[Tipo de Tarea y especialidad]])</f>
        <v>#REF!</v>
      </c>
      <c r="O2254" s="16">
        <f t="shared" si="70"/>
        <v>10</v>
      </c>
      <c r="P2254" s="16">
        <f t="shared" si="71"/>
        <v>2024</v>
      </c>
      <c r="Q2254" s="16" t="e">
        <f>+SUMIFS(#REF!,#REF!,Planning[[#This Row],[Tarifa]],#REF!,Planning[[#This Row],[Proyectos]],#REF!,Planning[[#This Row],[Mes]],#REF!,Planning[[#This Row],[Año]])</f>
        <v>#REF!</v>
      </c>
      <c r="R2254" s="16" t="str">
        <f>TEXT(Planning[[#This Row],[Mes]]*29,"mmmm")</f>
        <v>October</v>
      </c>
      <c r="S22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54" s="235"/>
      <c r="U2254" s="43" t="e">
        <f>IF(Planning[[#This Row],[Horas Planificadas]]&lt;&gt;0,+K2254/Planning[[#This Row],[Horas Planificadas]],0)</f>
        <v>#REF!</v>
      </c>
      <c r="V2254" s="43" t="e">
        <f>IF(Planning[[#This Row],[Horas Planificadas]]&lt;&gt;0,Planning[[#This Row],[Horas utilizadas]]/Planning[[#This Row],[Horas Planificadas]],0)</f>
        <v>#REF!</v>
      </c>
      <c r="W2254" s="44">
        <f>Planning[[#This Row],[Horas Planificadas]]+Planning[[#This Row],[Horas ajustadas adicionales]]</f>
        <v>185</v>
      </c>
      <c r="X2254" s="142"/>
    </row>
    <row r="2255" spans="1:24" ht="22.5" x14ac:dyDescent="0.2">
      <c r="A2255" s="7" t="s">
        <v>117</v>
      </c>
      <c r="B2255" s="7" t="s">
        <v>220</v>
      </c>
      <c r="C2255" s="3"/>
      <c r="D2255" s="3" t="s">
        <v>481</v>
      </c>
      <c r="E2255" s="4" t="s">
        <v>32</v>
      </c>
      <c r="F2255" s="3"/>
      <c r="G2255" s="9">
        <v>560</v>
      </c>
      <c r="H2255" s="25">
        <f>SUM(H2256:H2258)</f>
        <v>440</v>
      </c>
      <c r="I2255" s="14"/>
      <c r="J2255" s="14" t="e">
        <f>SUM(J2256:J2258)</f>
        <v>#REF!</v>
      </c>
      <c r="K2255" s="18" t="e">
        <f>SUM(K2256:K2258)</f>
        <v>#REF!</v>
      </c>
      <c r="L2255" s="15">
        <f>SUM(L2256:L2258)</f>
        <v>0</v>
      </c>
      <c r="M2255" s="16" t="e">
        <f>SUM(M2256:M2258)</f>
        <v>#REF!</v>
      </c>
      <c r="N2255" s="60" t="e">
        <f>+SUMIFS(#REF!,#REF!,Planning[[#This Row],[Proyectos]],#REF!,Planning[[#This Row],[Tipo de Tarea y especialidad]])</f>
        <v>#REF!</v>
      </c>
      <c r="O2255" s="16">
        <f t="shared" si="70"/>
        <v>10</v>
      </c>
      <c r="P2255" s="16">
        <f t="shared" si="71"/>
        <v>2024</v>
      </c>
      <c r="Q2255" s="16" t="e">
        <f>SUM(Q2256:Q2258)</f>
        <v>#REF!</v>
      </c>
      <c r="R2255" s="16" t="str">
        <f>TEXT(Planning[[#This Row],[Mes]]*29,"mmmm")</f>
        <v>October</v>
      </c>
      <c r="S22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55" s="235"/>
      <c r="U2255" s="43" t="e">
        <f>IF(Planning[[#This Row],[Horas Planificadas]]&lt;&gt;0,+K2255/Planning[[#This Row],[Horas Planificadas]],0)</f>
        <v>#REF!</v>
      </c>
      <c r="V2255" s="43" t="e">
        <f>IF(Planning[[#This Row],[Horas Planificadas]]&lt;&gt;0,Planning[[#This Row],[Horas utilizadas]]/Planning[[#This Row],[Horas Planificadas]],0)</f>
        <v>#REF!</v>
      </c>
      <c r="W2255" s="44">
        <f>Planning[[#This Row],[Horas Planificadas]]+Planning[[#This Row],[Horas ajustadas adicionales]]</f>
        <v>440</v>
      </c>
      <c r="X2255" s="142"/>
    </row>
    <row r="2256" spans="1:24" x14ac:dyDescent="0.2">
      <c r="A2256" s="7" t="s">
        <v>117</v>
      </c>
      <c r="B2256" s="7" t="s">
        <v>220</v>
      </c>
      <c r="C2256" s="3"/>
      <c r="D2256" s="3" t="s">
        <v>481</v>
      </c>
      <c r="E2256" s="4"/>
      <c r="F2256" s="3" t="s">
        <v>129</v>
      </c>
      <c r="G2256" s="9"/>
      <c r="H2256" s="9">
        <v>440</v>
      </c>
      <c r="I2256" s="12"/>
      <c r="J2256" s="5" t="e">
        <f>SUM(SUMIFS(#REF!,#REF!,Planning[[#This Row],[Tipo de Tarea y especialidad]],#REF!,Planning[[#This Row],[Proyectos Reiwa]]),SUMIFS(#REF!,#REF!,Planning[[#This Row],[Tipo de Tarea y especialidad]],#REF!,Planning[[#This Row],[Proyectos]]))</f>
        <v>#REF!</v>
      </c>
      <c r="K2256" s="5" t="e">
        <f>Planning[[#This Row],[Horas Planificadas]]+Planning[[#This Row],[Horas ajustadas adicionales]]-Planning[[#This Row],[Horas utilizadas]]</f>
        <v>#REF!</v>
      </c>
      <c r="L2256" s="7">
        <v>0</v>
      </c>
      <c r="M2256" s="19" t="e">
        <f>Planning[[#This Row],[Saldo]]-Planning[[#This Row],[Saldo estimado]]</f>
        <v>#REF!</v>
      </c>
      <c r="N2256" s="60" t="e">
        <f>+SUMIFS(#REF!,#REF!,Planning[[#This Row],[Proyectos]],#REF!,Planning[[#This Row],[Tipo de Tarea y especialidad]])</f>
        <v>#REF!</v>
      </c>
      <c r="O2256" s="19">
        <f t="shared" si="70"/>
        <v>10</v>
      </c>
      <c r="P2256" s="19">
        <f t="shared" si="71"/>
        <v>2024</v>
      </c>
      <c r="Q22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56" s="19" t="str">
        <f>TEXT(Planning[[#This Row],[Mes]]*29,"mmmm")</f>
        <v>October</v>
      </c>
      <c r="S22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56" s="235"/>
      <c r="U2256" s="43" t="e">
        <f>IF(Planning[[#This Row],[Horas Planificadas]]&lt;&gt;0,+K2256/Planning[[#This Row],[Horas Planificadas]],0)</f>
        <v>#REF!</v>
      </c>
      <c r="V2256" s="43" t="e">
        <f>IF(Planning[[#This Row],[Horas Planificadas]]&lt;&gt;0,Planning[[#This Row],[Horas utilizadas]]/Planning[[#This Row],[Horas Planificadas]],0)</f>
        <v>#REF!</v>
      </c>
      <c r="W2256" s="44">
        <f>Planning[[#This Row],[Horas Planificadas]]+Planning[[#This Row],[Horas ajustadas adicionales]]</f>
        <v>440</v>
      </c>
      <c r="X2256" s="142"/>
    </row>
    <row r="2257" spans="1:24" x14ac:dyDescent="0.2">
      <c r="A2257" s="7" t="s">
        <v>117</v>
      </c>
      <c r="B2257" s="7" t="s">
        <v>220</v>
      </c>
      <c r="C2257" s="3"/>
      <c r="D2257" s="3" t="s">
        <v>481</v>
      </c>
      <c r="E2257" s="4"/>
      <c r="F2257" s="3" t="s">
        <v>130</v>
      </c>
      <c r="G2257" s="9"/>
      <c r="H2257" s="9"/>
      <c r="I2257" s="12"/>
      <c r="J2257" s="5" t="e">
        <f>SUM(SUMIFS(#REF!,#REF!,Planning[[#This Row],[Tipo de Tarea y especialidad]],#REF!,Planning[[#This Row],[Proyectos Reiwa]]),SUMIFS(#REF!,#REF!,Planning[[#This Row],[Tipo de Tarea y especialidad]],#REF!,Planning[[#This Row],[Proyectos]]))</f>
        <v>#REF!</v>
      </c>
      <c r="K2257" s="5" t="e">
        <f>Planning[[#This Row],[Horas Planificadas]]+Planning[[#This Row],[Horas ajustadas adicionales]]-Planning[[#This Row],[Horas utilizadas]]</f>
        <v>#REF!</v>
      </c>
      <c r="L2257" s="7">
        <v>0</v>
      </c>
      <c r="M2257" s="19" t="e">
        <f>Planning[[#This Row],[Saldo]]-Planning[[#This Row],[Saldo estimado]]</f>
        <v>#REF!</v>
      </c>
      <c r="N2257" s="60" t="e">
        <f>+SUMIFS(#REF!,#REF!,Planning[[#This Row],[Proyectos]],#REF!,Planning[[#This Row],[Tipo de Tarea y especialidad]])</f>
        <v>#REF!</v>
      </c>
      <c r="O2257" s="19">
        <f t="shared" si="70"/>
        <v>10</v>
      </c>
      <c r="P2257" s="19">
        <f t="shared" si="71"/>
        <v>2024</v>
      </c>
      <c r="Q22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57" s="19" t="str">
        <f>TEXT(Planning[[#This Row],[Mes]]*29,"mmmm")</f>
        <v>October</v>
      </c>
      <c r="S22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57" s="235"/>
      <c r="U2257" s="43">
        <f>IF(Planning[[#This Row],[Horas Planificadas]]&lt;&gt;0,+K2257/Planning[[#This Row],[Horas Planificadas]],0)</f>
        <v>0</v>
      </c>
      <c r="V2257" s="43">
        <f>IF(Planning[[#This Row],[Horas Planificadas]]&lt;&gt;0,Planning[[#This Row],[Horas utilizadas]]/Planning[[#This Row],[Horas Planificadas]],0)</f>
        <v>0</v>
      </c>
      <c r="W2257" s="44">
        <f>Planning[[#This Row],[Horas Planificadas]]+Planning[[#This Row],[Horas ajustadas adicionales]]</f>
        <v>0</v>
      </c>
      <c r="X2257" s="142"/>
    </row>
    <row r="2258" spans="1:24" x14ac:dyDescent="0.2">
      <c r="A2258" s="7" t="s">
        <v>117</v>
      </c>
      <c r="B2258" s="7" t="s">
        <v>220</v>
      </c>
      <c r="C2258" s="3"/>
      <c r="D2258" s="3" t="s">
        <v>481</v>
      </c>
      <c r="E2258" s="4"/>
      <c r="F2258" s="3" t="s">
        <v>131</v>
      </c>
      <c r="G2258" s="9"/>
      <c r="H2258" s="9"/>
      <c r="I2258" s="12"/>
      <c r="J2258" s="5" t="e">
        <f>SUM(SUMIFS(#REF!,#REF!,Planning[[#This Row],[Tipo de Tarea y especialidad]],#REF!,Planning[[#This Row],[Proyectos Reiwa]]),SUMIFS(#REF!,#REF!,Planning[[#This Row],[Tipo de Tarea y especialidad]],#REF!,Planning[[#This Row],[Proyectos]]))</f>
        <v>#REF!</v>
      </c>
      <c r="K2258" s="5" t="e">
        <f>Planning[[#This Row],[Horas Planificadas]]+Planning[[#This Row],[Horas ajustadas adicionales]]-Planning[[#This Row],[Horas utilizadas]]</f>
        <v>#REF!</v>
      </c>
      <c r="L2258" s="7">
        <v>0</v>
      </c>
      <c r="M2258" s="19" t="e">
        <f>Planning[[#This Row],[Saldo]]-Planning[[#This Row],[Saldo estimado]]</f>
        <v>#REF!</v>
      </c>
      <c r="N2258" s="60" t="e">
        <f>+SUMIFS(#REF!,#REF!,Planning[[#This Row],[Proyectos]],#REF!,Planning[[#This Row],[Tipo de Tarea y especialidad]])</f>
        <v>#REF!</v>
      </c>
      <c r="O2258" s="19">
        <f t="shared" si="70"/>
        <v>10</v>
      </c>
      <c r="P2258" s="19">
        <f t="shared" si="71"/>
        <v>2024</v>
      </c>
      <c r="Q22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58" s="19" t="str">
        <f>TEXT(Planning[[#This Row],[Mes]]*29,"mmmm")</f>
        <v>October</v>
      </c>
      <c r="S22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58" s="235"/>
      <c r="U2258" s="43">
        <f>IF(Planning[[#This Row],[Horas Planificadas]]&lt;&gt;0,+K2258/Planning[[#This Row],[Horas Planificadas]],0)</f>
        <v>0</v>
      </c>
      <c r="V2258" s="43">
        <f>IF(Planning[[#This Row],[Horas Planificadas]]&lt;&gt;0,Planning[[#This Row],[Horas utilizadas]]/Planning[[#This Row],[Horas Planificadas]],0)</f>
        <v>0</v>
      </c>
      <c r="W2258" s="44">
        <f>Planning[[#This Row],[Horas Planificadas]]+Planning[[#This Row],[Horas ajustadas adicionales]]</f>
        <v>0</v>
      </c>
      <c r="X2258" s="142"/>
    </row>
    <row r="2259" spans="1:24" ht="22.5" x14ac:dyDescent="0.2">
      <c r="A2259" s="7" t="s">
        <v>483</v>
      </c>
      <c r="B2259" s="7" t="s">
        <v>205</v>
      </c>
      <c r="C2259" s="3"/>
      <c r="D2259" s="3" t="s">
        <v>484</v>
      </c>
      <c r="E2259" s="4" t="s">
        <v>28</v>
      </c>
      <c r="F2259" s="3"/>
      <c r="G2259" s="9">
        <v>0</v>
      </c>
      <c r="H2259" s="14">
        <f>SUM(H2260:H2261)</f>
        <v>0</v>
      </c>
      <c r="I2259" s="14"/>
      <c r="J2259" s="14" t="e">
        <f>SUM(J2260:J2261)</f>
        <v>#REF!</v>
      </c>
      <c r="K2259" s="15" t="e">
        <f>SUM(K2260:K2261)</f>
        <v>#REF!</v>
      </c>
      <c r="L2259" s="15">
        <f>SUM(L2260:L2261)</f>
        <v>0</v>
      </c>
      <c r="M2259" s="28" t="e">
        <f>SUM(M2260:M2261)</f>
        <v>#REF!</v>
      </c>
      <c r="N2259" s="61" t="e">
        <f>+SUMIFS(#REF!,#REF!,Planning[[#This Row],[Proyectos]],#REF!,Planning[[#This Row],[Tipo de Tarea y especialidad]])</f>
        <v>#REF!</v>
      </c>
      <c r="O2259" s="28">
        <f t="shared" si="70"/>
        <v>10</v>
      </c>
      <c r="P2259" s="28">
        <f t="shared" si="71"/>
        <v>2024</v>
      </c>
      <c r="Q2259" s="28" t="e">
        <f>SUM(Q2260:Q2261)</f>
        <v>#REF!</v>
      </c>
      <c r="R2259" s="28" t="str">
        <f>TEXT(Planning[[#This Row],[Mes]]*29,"mmmm")</f>
        <v>October</v>
      </c>
      <c r="S22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59" s="192" t="s">
        <v>485</v>
      </c>
      <c r="U2259" s="43">
        <f>IF(Planning[[#This Row],[Horas Planificadas]]&lt;&gt;0,+K2259/Planning[[#This Row],[Horas Planificadas]],0)</f>
        <v>0</v>
      </c>
      <c r="V2259" s="43">
        <f>IF(Planning[[#This Row],[Horas Planificadas]]&lt;&gt;0,Planning[[#This Row],[Horas utilizadas]]/Planning[[#This Row],[Horas Planificadas]],0)</f>
        <v>0</v>
      </c>
      <c r="W2259" s="44">
        <f>Planning[[#This Row],[Horas Planificadas]]+Planning[[#This Row],[Horas ajustadas adicionales]]</f>
        <v>0</v>
      </c>
      <c r="X2259" s="142"/>
    </row>
    <row r="2260" spans="1:24" x14ac:dyDescent="0.2">
      <c r="A2260" s="7" t="s">
        <v>483</v>
      </c>
      <c r="B2260" s="7" t="s">
        <v>205</v>
      </c>
      <c r="C2260" s="3"/>
      <c r="D2260" s="3" t="s">
        <v>484</v>
      </c>
      <c r="E2260" s="4"/>
      <c r="F2260" s="3" t="s">
        <v>120</v>
      </c>
      <c r="G2260" s="9"/>
      <c r="H2260" s="9"/>
      <c r="I2260" s="12"/>
      <c r="J2260" s="5" t="e">
        <f>SUM(SUMIFS(#REF!,#REF!,Planning[[#This Row],[Tipo de Tarea y especialidad]],#REF!,Planning[[#This Row],[Proyectos Reiwa]]),SUMIFS(#REF!,#REF!,Planning[[#This Row],[Tipo de Tarea y especialidad]],#REF!,Planning[[#This Row],[Proyectos]]))</f>
        <v>#REF!</v>
      </c>
      <c r="K2260" s="5" t="e">
        <f>Planning[[#This Row],[Horas Planificadas]]+Planning[[#This Row],[Horas ajustadas adicionales]]-Planning[[#This Row],[Horas utilizadas]]</f>
        <v>#REF!</v>
      </c>
      <c r="L2260" s="7"/>
      <c r="M2260" s="19" t="e">
        <f>Planning[[#This Row],[Saldo]]-Planning[[#This Row],[Saldo estimado]]</f>
        <v>#REF!</v>
      </c>
      <c r="N2260" s="60" t="e">
        <f>+SUMIFS(#REF!,#REF!,Planning[[#This Row],[Proyectos]],#REF!,Planning[[#This Row],[Tipo de Tarea y especialidad]])</f>
        <v>#REF!</v>
      </c>
      <c r="O2260" s="19">
        <f t="shared" si="70"/>
        <v>10</v>
      </c>
      <c r="P2260" s="19">
        <f t="shared" si="71"/>
        <v>2024</v>
      </c>
      <c r="Q22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60" s="19" t="str">
        <f>TEXT(Planning[[#This Row],[Mes]]*29,"mmmm")</f>
        <v>October</v>
      </c>
      <c r="S22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60" s="193"/>
      <c r="U2260" s="43">
        <f>IF(Planning[[#This Row],[Horas Planificadas]]&lt;&gt;0,+K2260/Planning[[#This Row],[Horas Planificadas]],0)</f>
        <v>0</v>
      </c>
      <c r="V2260" s="43">
        <f>IF(Planning[[#This Row],[Horas Planificadas]]&lt;&gt;0,Planning[[#This Row],[Horas utilizadas]]/Planning[[#This Row],[Horas Planificadas]],0)</f>
        <v>0</v>
      </c>
      <c r="W2260" s="44">
        <f>Planning[[#This Row],[Horas Planificadas]]+Planning[[#This Row],[Horas ajustadas adicionales]]</f>
        <v>0</v>
      </c>
      <c r="X2260" s="142"/>
    </row>
    <row r="2261" spans="1:24" x14ac:dyDescent="0.2">
      <c r="A2261" s="7" t="s">
        <v>483</v>
      </c>
      <c r="B2261" s="7" t="s">
        <v>205</v>
      </c>
      <c r="C2261" s="3"/>
      <c r="D2261" s="3" t="s">
        <v>484</v>
      </c>
      <c r="E2261" s="4"/>
      <c r="F2261" s="3" t="s">
        <v>121</v>
      </c>
      <c r="G2261" s="9"/>
      <c r="H2261" s="9"/>
      <c r="I2261" s="12"/>
      <c r="J2261" s="5" t="e">
        <f>SUM(SUMIFS(#REF!,#REF!,Planning[[#This Row],[Tipo de Tarea y especialidad]],#REF!,Planning[[#This Row],[Proyectos Reiwa]]),SUMIFS(#REF!,#REF!,Planning[[#This Row],[Tipo de Tarea y especialidad]],#REF!,Planning[[#This Row],[Proyectos]]))</f>
        <v>#REF!</v>
      </c>
      <c r="K2261" s="5" t="e">
        <f>Planning[[#This Row],[Horas Planificadas]]+Planning[[#This Row],[Horas ajustadas adicionales]]-Planning[[#This Row],[Horas utilizadas]]</f>
        <v>#REF!</v>
      </c>
      <c r="L2261" s="7"/>
      <c r="M2261" s="19" t="e">
        <f>Planning[[#This Row],[Saldo]]-Planning[[#This Row],[Saldo estimado]]</f>
        <v>#REF!</v>
      </c>
      <c r="N2261" s="60" t="e">
        <f>+SUMIFS(#REF!,#REF!,Planning[[#This Row],[Proyectos]],#REF!,Planning[[#This Row],[Tipo de Tarea y especialidad]])</f>
        <v>#REF!</v>
      </c>
      <c r="O2261" s="19">
        <f t="shared" si="70"/>
        <v>10</v>
      </c>
      <c r="P2261" s="19">
        <f t="shared" si="71"/>
        <v>2024</v>
      </c>
      <c r="Q22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61" s="19" t="str">
        <f>TEXT(Planning[[#This Row],[Mes]]*29,"mmmm")</f>
        <v>October</v>
      </c>
      <c r="S22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61" s="193"/>
      <c r="U2261" s="43">
        <f>IF(Planning[[#This Row],[Horas Planificadas]]&lt;&gt;0,+K2261/Planning[[#This Row],[Horas Planificadas]],0)</f>
        <v>0</v>
      </c>
      <c r="V2261" s="43">
        <f>IF(Planning[[#This Row],[Horas Planificadas]]&lt;&gt;0,Planning[[#This Row],[Horas utilizadas]]/Planning[[#This Row],[Horas Planificadas]],0)</f>
        <v>0</v>
      </c>
      <c r="W2261" s="44">
        <f>Planning[[#This Row],[Horas Planificadas]]+Planning[[#This Row],[Horas ajustadas adicionales]]</f>
        <v>0</v>
      </c>
      <c r="X2261" s="142"/>
    </row>
    <row r="2262" spans="1:24" x14ac:dyDescent="0.2">
      <c r="A2262" s="7" t="s">
        <v>483</v>
      </c>
      <c r="B2262" s="7" t="s">
        <v>205</v>
      </c>
      <c r="C2262" s="3"/>
      <c r="D2262" s="3" t="s">
        <v>484</v>
      </c>
      <c r="E2262" s="4" t="s">
        <v>30</v>
      </c>
      <c r="F2262" s="3"/>
      <c r="G2262" s="9">
        <v>60</v>
      </c>
      <c r="H2262" s="25">
        <f>SUM(H2263:H2269)</f>
        <v>60</v>
      </c>
      <c r="I2262" s="14"/>
      <c r="J2262" s="14" t="e">
        <f>SUM(J2263:J2269)</f>
        <v>#REF!</v>
      </c>
      <c r="K2262" s="18" t="e">
        <f>SUM(K2263:K2269)</f>
        <v>#REF!</v>
      </c>
      <c r="L2262" s="15">
        <f>SUM(L2263:L2269)</f>
        <v>0</v>
      </c>
      <c r="M2262" s="16" t="e">
        <f>SUM(M2263:M2269)</f>
        <v>#REF!</v>
      </c>
      <c r="N2262" s="60" t="e">
        <f>+SUMIFS(#REF!,#REF!,Planning[[#This Row],[Proyectos]],#REF!,Planning[[#This Row],[Tipo de Tarea y especialidad]])</f>
        <v>#REF!</v>
      </c>
      <c r="O2262" s="16">
        <f t="shared" si="70"/>
        <v>10</v>
      </c>
      <c r="P2262" s="16">
        <f t="shared" si="71"/>
        <v>2024</v>
      </c>
      <c r="Q2262" s="16" t="e">
        <f>SUM(Q2263:Q2269)</f>
        <v>#REF!</v>
      </c>
      <c r="R2262" s="16" t="str">
        <f>TEXT(Planning[[#This Row],[Mes]]*29,"mmmm")</f>
        <v>October</v>
      </c>
      <c r="S22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62" s="193"/>
      <c r="U2262" s="43" t="e">
        <f>IF(Planning[[#This Row],[Horas Planificadas]]&lt;&gt;0,+K2262/Planning[[#This Row],[Horas Planificadas]],0)</f>
        <v>#REF!</v>
      </c>
      <c r="V2262" s="43" t="e">
        <f>IF(Planning[[#This Row],[Horas Planificadas]]&lt;&gt;0,Planning[[#This Row],[Horas utilizadas]]/Planning[[#This Row],[Horas Planificadas]],0)</f>
        <v>#REF!</v>
      </c>
      <c r="W2262" s="44">
        <f>Planning[[#This Row],[Horas Planificadas]]+Planning[[#This Row],[Horas ajustadas adicionales]]</f>
        <v>60</v>
      </c>
      <c r="X2262" s="142"/>
    </row>
    <row r="2263" spans="1:24" ht="12.75" customHeight="1" x14ac:dyDescent="0.2">
      <c r="A2263" s="7" t="s">
        <v>483</v>
      </c>
      <c r="B2263" s="7" t="s">
        <v>205</v>
      </c>
      <c r="C2263" s="3"/>
      <c r="D2263" s="3" t="s">
        <v>484</v>
      </c>
      <c r="E2263" s="4"/>
      <c r="F2263" s="3" t="s">
        <v>122</v>
      </c>
      <c r="G2263" s="9"/>
      <c r="H2263" s="12"/>
      <c r="I2263" s="12"/>
      <c r="J2263" s="5" t="e">
        <f>SUM(SUMIFS(#REF!,#REF!,Planning[[#This Row],[Tipo de Tarea y especialidad]],#REF!,Planning[[#This Row],[Proyectos Reiwa]]),SUMIFS(#REF!,#REF!,Planning[[#This Row],[Tipo de Tarea y especialidad]],#REF!,Planning[[#This Row],[Proyectos]]))</f>
        <v>#REF!</v>
      </c>
      <c r="K2263" s="27" t="e">
        <f>Planning[[#This Row],[Horas Planificadas]]+Planning[[#This Row],[Horas ajustadas adicionales]]-Planning[[#This Row],[Horas utilizadas]]</f>
        <v>#REF!</v>
      </c>
      <c r="L2263" s="7"/>
      <c r="M2263" s="34" t="e">
        <f>Planning[[#This Row],[Saldo]]-Planning[[#This Row],[Saldo estimado]]</f>
        <v>#REF!</v>
      </c>
      <c r="N2263" s="62" t="e">
        <f>+SUMIFS(#REF!,#REF!,Planning[[#This Row],[Proyectos]],#REF!,Planning[[#This Row],[Tipo de Tarea y especialidad]])</f>
        <v>#REF!</v>
      </c>
      <c r="O2263" s="34">
        <f t="shared" si="70"/>
        <v>10</v>
      </c>
      <c r="P2263" s="34">
        <f t="shared" si="71"/>
        <v>2024</v>
      </c>
      <c r="Q22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63" s="19" t="str">
        <f>TEXT(Planning[[#This Row],[Mes]]*29,"mmmm")</f>
        <v>October</v>
      </c>
      <c r="S22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63" s="193"/>
      <c r="U2263" s="43">
        <f>IF(Planning[[#This Row],[Horas Planificadas]]&lt;&gt;0,+K2263/Planning[[#This Row],[Horas Planificadas]],0)</f>
        <v>0</v>
      </c>
      <c r="V2263" s="43">
        <f>IF(Planning[[#This Row],[Horas Planificadas]]&lt;&gt;0,Planning[[#This Row],[Horas utilizadas]]/Planning[[#This Row],[Horas Planificadas]],0)</f>
        <v>0</v>
      </c>
      <c r="W2263" s="44">
        <f>Planning[[#This Row],[Horas Planificadas]]+Planning[[#This Row],[Horas ajustadas adicionales]]</f>
        <v>0</v>
      </c>
      <c r="X2263" s="142"/>
    </row>
    <row r="2264" spans="1:24" x14ac:dyDescent="0.2">
      <c r="A2264" s="7" t="s">
        <v>483</v>
      </c>
      <c r="B2264" s="7" t="s">
        <v>205</v>
      </c>
      <c r="C2264" s="3"/>
      <c r="D2264" s="3" t="s">
        <v>484</v>
      </c>
      <c r="E2264" s="4"/>
      <c r="F2264" s="3" t="s">
        <v>123</v>
      </c>
      <c r="G2264" s="9"/>
      <c r="H2264" s="9">
        <v>48</v>
      </c>
      <c r="I2264" s="12"/>
      <c r="J2264" s="5" t="e">
        <f>SUM(SUMIFS(#REF!,#REF!,Planning[[#This Row],[Tipo de Tarea y especialidad]],#REF!,Planning[[#This Row],[Proyectos Reiwa]]),SUMIFS(#REF!,#REF!,Planning[[#This Row],[Tipo de Tarea y especialidad]],#REF!,Planning[[#This Row],[Proyectos]]))</f>
        <v>#REF!</v>
      </c>
      <c r="K2264" s="5" t="e">
        <f>Planning[[#This Row],[Horas Planificadas]]+Planning[[#This Row],[Horas ajustadas adicionales]]-Planning[[#This Row],[Horas utilizadas]]</f>
        <v>#REF!</v>
      </c>
      <c r="L2264" s="7">
        <v>0</v>
      </c>
      <c r="M2264" s="19" t="e">
        <f>Planning[[#This Row],[Saldo]]-Planning[[#This Row],[Saldo estimado]]</f>
        <v>#REF!</v>
      </c>
      <c r="N2264" s="60" t="e">
        <f>+SUMIFS(#REF!,#REF!,Planning[[#This Row],[Proyectos]],#REF!,Planning[[#This Row],[Tipo de Tarea y especialidad]])</f>
        <v>#REF!</v>
      </c>
      <c r="O2264" s="19">
        <f t="shared" si="70"/>
        <v>10</v>
      </c>
      <c r="P2264" s="19">
        <f t="shared" si="71"/>
        <v>2024</v>
      </c>
      <c r="Q22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64" s="19" t="str">
        <f>TEXT(Planning[[#This Row],[Mes]]*29,"mmmm")</f>
        <v>October</v>
      </c>
      <c r="S22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64" s="193"/>
      <c r="U2264" s="43" t="e">
        <f>IF(Planning[[#This Row],[Horas Planificadas]]&lt;&gt;0,+K2264/Planning[[#This Row],[Horas Planificadas]],0)</f>
        <v>#REF!</v>
      </c>
      <c r="V2264" s="43" t="e">
        <f>IF(Planning[[#This Row],[Horas Planificadas]]&lt;&gt;0,Planning[[#This Row],[Horas utilizadas]]/Planning[[#This Row],[Horas Planificadas]],0)</f>
        <v>#REF!</v>
      </c>
      <c r="W2264" s="44">
        <f>Planning[[#This Row],[Horas Planificadas]]+Planning[[#This Row],[Horas ajustadas adicionales]]</f>
        <v>48</v>
      </c>
      <c r="X2264" s="142"/>
    </row>
    <row r="2265" spans="1:24" x14ac:dyDescent="0.2">
      <c r="A2265" s="7" t="s">
        <v>483</v>
      </c>
      <c r="B2265" s="7" t="s">
        <v>205</v>
      </c>
      <c r="C2265" s="3"/>
      <c r="D2265" s="3" t="s">
        <v>484</v>
      </c>
      <c r="E2265" s="4"/>
      <c r="F2265" s="3" t="s">
        <v>124</v>
      </c>
      <c r="G2265" s="9"/>
      <c r="H2265" s="9"/>
      <c r="I2265" s="12"/>
      <c r="J2265" s="5" t="e">
        <f>SUM(SUMIFS(#REF!,#REF!,Planning[[#This Row],[Tipo de Tarea y especialidad]],#REF!,Planning[[#This Row],[Proyectos Reiwa]]),SUMIFS(#REF!,#REF!,Planning[[#This Row],[Tipo de Tarea y especialidad]],#REF!,Planning[[#This Row],[Proyectos]]))</f>
        <v>#REF!</v>
      </c>
      <c r="K2265" s="5" t="e">
        <f>Planning[[#This Row],[Horas Planificadas]]+Planning[[#This Row],[Horas ajustadas adicionales]]-Planning[[#This Row],[Horas utilizadas]]</f>
        <v>#REF!</v>
      </c>
      <c r="L2265" s="7"/>
      <c r="M2265" s="19" t="e">
        <f>Planning[[#This Row],[Saldo]]-Planning[[#This Row],[Saldo estimado]]</f>
        <v>#REF!</v>
      </c>
      <c r="N2265" s="60" t="e">
        <f>+SUMIFS(#REF!,#REF!,Planning[[#This Row],[Proyectos]],#REF!,Planning[[#This Row],[Tipo de Tarea y especialidad]])</f>
        <v>#REF!</v>
      </c>
      <c r="O2265" s="19">
        <f t="shared" si="70"/>
        <v>10</v>
      </c>
      <c r="P2265" s="19">
        <f t="shared" si="71"/>
        <v>2024</v>
      </c>
      <c r="Q22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65" s="19" t="str">
        <f>TEXT(Planning[[#This Row],[Mes]]*29,"mmmm")</f>
        <v>October</v>
      </c>
      <c r="S22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65" s="193"/>
      <c r="U2265" s="43">
        <f>IF(Planning[[#This Row],[Horas Planificadas]]&lt;&gt;0,+K2265/Planning[[#This Row],[Horas Planificadas]],0)</f>
        <v>0</v>
      </c>
      <c r="V2265" s="43">
        <f>IF(Planning[[#This Row],[Horas Planificadas]]&lt;&gt;0,Planning[[#This Row],[Horas utilizadas]]/Planning[[#This Row],[Horas Planificadas]],0)</f>
        <v>0</v>
      </c>
      <c r="W2265" s="44">
        <f>Planning[[#This Row],[Horas Planificadas]]+Planning[[#This Row],[Horas ajustadas adicionales]]</f>
        <v>0</v>
      </c>
      <c r="X2265" s="142"/>
    </row>
    <row r="2266" spans="1:24" x14ac:dyDescent="0.2">
      <c r="A2266" s="7" t="s">
        <v>483</v>
      </c>
      <c r="B2266" s="7" t="s">
        <v>205</v>
      </c>
      <c r="C2266" s="3"/>
      <c r="D2266" s="3" t="s">
        <v>484</v>
      </c>
      <c r="E2266" s="4"/>
      <c r="F2266" s="3" t="s">
        <v>125</v>
      </c>
      <c r="G2266" s="9"/>
      <c r="H2266" s="12">
        <v>12</v>
      </c>
      <c r="I2266" s="12"/>
      <c r="J2266" s="5" t="e">
        <f>SUM(SUMIFS(#REF!,#REF!,Planning[[#This Row],[Tipo de Tarea y especialidad]],#REF!,Planning[[#This Row],[Proyectos Reiwa]]),SUMIFS(#REF!,#REF!,Planning[[#This Row],[Tipo de Tarea y especialidad]],#REF!,Planning[[#This Row],[Proyectos]]))</f>
        <v>#REF!</v>
      </c>
      <c r="K2266" s="27" t="e">
        <f>Planning[[#This Row],[Horas Planificadas]]+Planning[[#This Row],[Horas ajustadas adicionales]]-Planning[[#This Row],[Horas utilizadas]]</f>
        <v>#REF!</v>
      </c>
      <c r="L2266" s="7">
        <v>0</v>
      </c>
      <c r="M2266" s="19" t="e">
        <f>Planning[[#This Row],[Saldo]]-Planning[[#This Row],[Saldo estimado]]</f>
        <v>#REF!</v>
      </c>
      <c r="N2266" s="60" t="e">
        <f>+SUMIFS(#REF!,#REF!,Planning[[#This Row],[Proyectos]],#REF!,Planning[[#This Row],[Tipo de Tarea y especialidad]])</f>
        <v>#REF!</v>
      </c>
      <c r="O2266" s="19">
        <f t="shared" si="70"/>
        <v>10</v>
      </c>
      <c r="P2266" s="19">
        <f t="shared" si="71"/>
        <v>2024</v>
      </c>
      <c r="Q22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66" s="19" t="str">
        <f>TEXT(Planning[[#This Row],[Mes]]*29,"mmmm")</f>
        <v>October</v>
      </c>
      <c r="S22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66" s="193"/>
      <c r="U2266" s="43" t="e">
        <f>IF(Planning[[#This Row],[Horas Planificadas]]&lt;&gt;0,+K2266/Planning[[#This Row],[Horas Planificadas]],0)</f>
        <v>#REF!</v>
      </c>
      <c r="V2266" s="43" t="e">
        <f>IF(Planning[[#This Row],[Horas Planificadas]]&lt;&gt;0,Planning[[#This Row],[Horas utilizadas]]/Planning[[#This Row],[Horas Planificadas]],0)</f>
        <v>#REF!</v>
      </c>
      <c r="W2266" s="44">
        <f>Planning[[#This Row],[Horas Planificadas]]+Planning[[#This Row],[Horas ajustadas adicionales]]</f>
        <v>12</v>
      </c>
      <c r="X2266" s="142"/>
    </row>
    <row r="2267" spans="1:24" x14ac:dyDescent="0.2">
      <c r="A2267" s="7" t="s">
        <v>483</v>
      </c>
      <c r="B2267" s="7" t="s">
        <v>205</v>
      </c>
      <c r="C2267" s="3"/>
      <c r="D2267" s="3" t="s">
        <v>484</v>
      </c>
      <c r="E2267" s="4"/>
      <c r="F2267" s="3" t="s">
        <v>126</v>
      </c>
      <c r="G2267" s="9"/>
      <c r="H2267" s="9"/>
      <c r="I2267" s="12"/>
      <c r="J2267" s="5" t="e">
        <f>SUM(SUMIFS(#REF!,#REF!,Planning[[#This Row],[Tipo de Tarea y especialidad]],#REF!,Planning[[#This Row],[Proyectos Reiwa]]),SUMIFS(#REF!,#REF!,Planning[[#This Row],[Tipo de Tarea y especialidad]],#REF!,Planning[[#This Row],[Proyectos]]))</f>
        <v>#REF!</v>
      </c>
      <c r="K2267" s="5" t="e">
        <f>Planning[[#This Row],[Horas Planificadas]]+Planning[[#This Row],[Horas ajustadas adicionales]]-Planning[[#This Row],[Horas utilizadas]]</f>
        <v>#REF!</v>
      </c>
      <c r="L2267" s="7"/>
      <c r="M2267" s="19" t="e">
        <f>Planning[[#This Row],[Saldo]]-Planning[[#This Row],[Saldo estimado]]</f>
        <v>#REF!</v>
      </c>
      <c r="N2267" s="60" t="e">
        <f>+SUMIFS(#REF!,#REF!,Planning[[#This Row],[Proyectos]],#REF!,Planning[[#This Row],[Tipo de Tarea y especialidad]])</f>
        <v>#REF!</v>
      </c>
      <c r="O2267" s="19">
        <f t="shared" si="70"/>
        <v>10</v>
      </c>
      <c r="P2267" s="19">
        <f t="shared" si="71"/>
        <v>2024</v>
      </c>
      <c r="Q22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67" s="19" t="str">
        <f>TEXT(Planning[[#This Row],[Mes]]*29,"mmmm")</f>
        <v>October</v>
      </c>
      <c r="S22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67" s="193"/>
      <c r="U2267" s="43">
        <f>IF(Planning[[#This Row],[Horas Planificadas]]&lt;&gt;0,+K2267/Planning[[#This Row],[Horas Planificadas]],0)</f>
        <v>0</v>
      </c>
      <c r="V2267" s="43">
        <f>IF(Planning[[#This Row],[Horas Planificadas]]&lt;&gt;0,Planning[[#This Row],[Horas utilizadas]]/Planning[[#This Row],[Horas Planificadas]],0)</f>
        <v>0</v>
      </c>
      <c r="W2267" s="44">
        <f>Planning[[#This Row],[Horas Planificadas]]+Planning[[#This Row],[Horas ajustadas adicionales]]</f>
        <v>0</v>
      </c>
      <c r="X2267" s="142"/>
    </row>
    <row r="2268" spans="1:24" x14ac:dyDescent="0.2">
      <c r="A2268" s="7" t="s">
        <v>483</v>
      </c>
      <c r="B2268" s="7" t="s">
        <v>205</v>
      </c>
      <c r="C2268" s="3"/>
      <c r="D2268" s="3" t="s">
        <v>484</v>
      </c>
      <c r="E2268" s="4"/>
      <c r="F2268" s="3" t="s">
        <v>127</v>
      </c>
      <c r="G2268" s="9"/>
      <c r="H2268" s="9"/>
      <c r="I2268" s="12"/>
      <c r="J2268" s="5" t="e">
        <f>SUM(SUMIFS(#REF!,#REF!,Planning[[#This Row],[Tipo de Tarea y especialidad]],#REF!,Planning[[#This Row],[Proyectos Reiwa]]),SUMIFS(#REF!,#REF!,Planning[[#This Row],[Tipo de Tarea y especialidad]],#REF!,Planning[[#This Row],[Proyectos]]))</f>
        <v>#REF!</v>
      </c>
      <c r="K2268" s="5" t="e">
        <f>Planning[[#This Row],[Horas Planificadas]]+Planning[[#This Row],[Horas ajustadas adicionales]]-Planning[[#This Row],[Horas utilizadas]]</f>
        <v>#REF!</v>
      </c>
      <c r="L2268" s="7"/>
      <c r="M2268" s="19" t="e">
        <f>Planning[[#This Row],[Saldo]]-Planning[[#This Row],[Saldo estimado]]</f>
        <v>#REF!</v>
      </c>
      <c r="N2268" s="60" t="e">
        <f>+SUMIFS(#REF!,#REF!,Planning[[#This Row],[Proyectos]],#REF!,Planning[[#This Row],[Tipo de Tarea y especialidad]])</f>
        <v>#REF!</v>
      </c>
      <c r="O2268" s="19">
        <f t="shared" si="70"/>
        <v>10</v>
      </c>
      <c r="P2268" s="19">
        <f t="shared" si="71"/>
        <v>2024</v>
      </c>
      <c r="Q22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68" s="19" t="str">
        <f>TEXT(Planning[[#This Row],[Mes]]*29,"mmmm")</f>
        <v>October</v>
      </c>
      <c r="S22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68" s="193"/>
      <c r="U2268" s="43">
        <f>IF(Planning[[#This Row],[Horas Planificadas]]&lt;&gt;0,+K2268/Planning[[#This Row],[Horas Planificadas]],0)</f>
        <v>0</v>
      </c>
      <c r="V2268" s="43">
        <f>IF(Planning[[#This Row],[Horas Planificadas]]&lt;&gt;0,Planning[[#This Row],[Horas utilizadas]]/Planning[[#This Row],[Horas Planificadas]],0)</f>
        <v>0</v>
      </c>
      <c r="W2268" s="44">
        <f>Planning[[#This Row],[Horas Planificadas]]+Planning[[#This Row],[Horas ajustadas adicionales]]</f>
        <v>0</v>
      </c>
      <c r="X2268" s="142"/>
    </row>
    <row r="2269" spans="1:24" x14ac:dyDescent="0.2">
      <c r="A2269" s="7" t="s">
        <v>483</v>
      </c>
      <c r="B2269" s="7" t="s">
        <v>205</v>
      </c>
      <c r="C2269" s="3"/>
      <c r="D2269" s="3" t="s">
        <v>484</v>
      </c>
      <c r="E2269" s="4"/>
      <c r="F2269" s="3" t="s">
        <v>128</v>
      </c>
      <c r="G2269" s="9"/>
      <c r="H2269" s="9"/>
      <c r="I2269" s="12"/>
      <c r="J2269" s="5" t="e">
        <f>SUM(SUMIFS(#REF!,#REF!,Planning[[#This Row],[Tipo de Tarea y especialidad]],#REF!,Planning[[#This Row],[Proyectos Reiwa]]),SUMIFS(#REF!,#REF!,Planning[[#This Row],[Tipo de Tarea y especialidad]],#REF!,Planning[[#This Row],[Proyectos]]))</f>
        <v>#REF!</v>
      </c>
      <c r="K2269" s="5" t="e">
        <f>Planning[[#This Row],[Horas Planificadas]]+Planning[[#This Row],[Horas ajustadas adicionales]]-Planning[[#This Row],[Horas utilizadas]]</f>
        <v>#REF!</v>
      </c>
      <c r="L2269" s="7"/>
      <c r="M2269" s="19" t="e">
        <f>Planning[[#This Row],[Saldo]]-Planning[[#This Row],[Saldo estimado]]</f>
        <v>#REF!</v>
      </c>
      <c r="N2269" s="60" t="e">
        <f>+SUMIFS(#REF!,#REF!,Planning[[#This Row],[Proyectos]],#REF!,Planning[[#This Row],[Tipo de Tarea y especialidad]])</f>
        <v>#REF!</v>
      </c>
      <c r="O2269" s="19">
        <f t="shared" si="70"/>
        <v>10</v>
      </c>
      <c r="P2269" s="19">
        <f t="shared" si="71"/>
        <v>2024</v>
      </c>
      <c r="Q22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69" s="19" t="str">
        <f>TEXT(Planning[[#This Row],[Mes]]*29,"mmmm")</f>
        <v>October</v>
      </c>
      <c r="S22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69" s="193"/>
      <c r="U2269" s="43">
        <f>IF(Planning[[#This Row],[Horas Planificadas]]&lt;&gt;0,+K2269/Planning[[#This Row],[Horas Planificadas]],0)</f>
        <v>0</v>
      </c>
      <c r="V2269" s="43">
        <f>IF(Planning[[#This Row],[Horas Planificadas]]&lt;&gt;0,Planning[[#This Row],[Horas utilizadas]]/Planning[[#This Row],[Horas Planificadas]],0)</f>
        <v>0</v>
      </c>
      <c r="W2269" s="44">
        <f>Planning[[#This Row],[Horas Planificadas]]+Planning[[#This Row],[Horas ajustadas adicionales]]</f>
        <v>0</v>
      </c>
      <c r="X2269" s="142"/>
    </row>
    <row r="2270" spans="1:24" x14ac:dyDescent="0.2">
      <c r="A2270" s="7" t="s">
        <v>483</v>
      </c>
      <c r="B2270" s="7" t="s">
        <v>205</v>
      </c>
      <c r="C2270" s="3"/>
      <c r="D2270" s="3" t="s">
        <v>484</v>
      </c>
      <c r="E2270" s="4" t="s">
        <v>31</v>
      </c>
      <c r="F2270" s="3" t="s">
        <v>31</v>
      </c>
      <c r="G2270" s="9">
        <v>12</v>
      </c>
      <c r="H2270" s="17">
        <v>12</v>
      </c>
      <c r="I2270" s="18"/>
      <c r="J2270" s="14" t="e">
        <f>+SUMIFS(#REF!,#REF!,Planning[[#This Row],[Tarifa]],#REF!,Planning[[#This Row],[Proyectos]])</f>
        <v>#REF!</v>
      </c>
      <c r="K2270" s="14" t="e">
        <f>Planning[[#This Row],[Horas Planificadas]]+Planning[[#This Row],[Horas ajustadas adicionales]]-Planning[[#This Row],[Horas utilizadas]]</f>
        <v>#REF!</v>
      </c>
      <c r="L2270" s="15">
        <v>0</v>
      </c>
      <c r="M2270" s="16" t="e">
        <f>Planning[[#This Row],[Saldo]]-Planning[[#This Row],[Saldo estimado]]</f>
        <v>#REF!</v>
      </c>
      <c r="N2270" s="60" t="e">
        <f>+SUMIFS(#REF!,#REF!,Planning[[#This Row],[Proyectos]],#REF!,Planning[[#This Row],[Tipo de Tarea y especialidad]])</f>
        <v>#REF!</v>
      </c>
      <c r="O2270" s="16">
        <f t="shared" si="70"/>
        <v>10</v>
      </c>
      <c r="P2270" s="16">
        <f t="shared" si="71"/>
        <v>2024</v>
      </c>
      <c r="Q2270" s="16" t="e">
        <f>+SUMIFS(#REF!,#REF!,Planning[[#This Row],[Tarifa]],#REF!,Planning[[#This Row],[Proyectos]],#REF!,Planning[[#This Row],[Mes]],#REF!,Planning[[#This Row],[Año]])</f>
        <v>#REF!</v>
      </c>
      <c r="R2270" s="16" t="str">
        <f>TEXT(Planning[[#This Row],[Mes]]*29,"mmmm")</f>
        <v>October</v>
      </c>
      <c r="S22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70" s="193"/>
      <c r="U2270" s="43" t="e">
        <f>IF(Planning[[#This Row],[Horas Planificadas]]&lt;&gt;0,+K2270/Planning[[#This Row],[Horas Planificadas]],0)</f>
        <v>#REF!</v>
      </c>
      <c r="V2270" s="43" t="e">
        <f>IF(Planning[[#This Row],[Horas Planificadas]]&lt;&gt;0,Planning[[#This Row],[Horas utilizadas]]/Planning[[#This Row],[Horas Planificadas]],0)</f>
        <v>#REF!</v>
      </c>
      <c r="W2270" s="44">
        <f>Planning[[#This Row],[Horas Planificadas]]+Planning[[#This Row],[Horas ajustadas adicionales]]</f>
        <v>12</v>
      </c>
      <c r="X2270" s="142"/>
    </row>
    <row r="2271" spans="1:24" ht="22.5" x14ac:dyDescent="0.2">
      <c r="A2271" s="7" t="s">
        <v>483</v>
      </c>
      <c r="B2271" s="7" t="s">
        <v>205</v>
      </c>
      <c r="C2271" s="3"/>
      <c r="D2271" s="3" t="s">
        <v>484</v>
      </c>
      <c r="E2271" s="4" t="s">
        <v>32</v>
      </c>
      <c r="F2271" s="3"/>
      <c r="G2271" s="9">
        <v>36</v>
      </c>
      <c r="H2271" s="25">
        <f>SUM(H2272:H2274)</f>
        <v>36</v>
      </c>
      <c r="I2271" s="14"/>
      <c r="J2271" s="14" t="e">
        <f>SUM(J2272:J2274)</f>
        <v>#REF!</v>
      </c>
      <c r="K2271" s="18" t="e">
        <f>SUM(K2272:K2274)</f>
        <v>#REF!</v>
      </c>
      <c r="L2271" s="15">
        <f>SUM(L2272:L2274)</f>
        <v>0</v>
      </c>
      <c r="M2271" s="16" t="e">
        <f>SUM(M2272:M2274)</f>
        <v>#REF!</v>
      </c>
      <c r="N2271" s="60" t="e">
        <f>+SUMIFS(#REF!,#REF!,Planning[[#This Row],[Proyectos]],#REF!,Planning[[#This Row],[Tipo de Tarea y especialidad]])</f>
        <v>#REF!</v>
      </c>
      <c r="O2271" s="16">
        <f t="shared" si="70"/>
        <v>10</v>
      </c>
      <c r="P2271" s="16">
        <f t="shared" si="71"/>
        <v>2024</v>
      </c>
      <c r="Q2271" s="16" t="e">
        <f>SUM(Q2272:Q2274)</f>
        <v>#REF!</v>
      </c>
      <c r="R2271" s="16" t="str">
        <f>TEXT(Planning[[#This Row],[Mes]]*29,"mmmm")</f>
        <v>October</v>
      </c>
      <c r="S22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71" s="193"/>
      <c r="U2271" s="43" t="e">
        <f>IF(Planning[[#This Row],[Horas Planificadas]]&lt;&gt;0,+K2271/Planning[[#This Row],[Horas Planificadas]],0)</f>
        <v>#REF!</v>
      </c>
      <c r="V2271" s="43" t="e">
        <f>IF(Planning[[#This Row],[Horas Planificadas]]&lt;&gt;0,Planning[[#This Row],[Horas utilizadas]]/Planning[[#This Row],[Horas Planificadas]],0)</f>
        <v>#REF!</v>
      </c>
      <c r="W2271" s="44">
        <f>Planning[[#This Row],[Horas Planificadas]]+Planning[[#This Row],[Horas ajustadas adicionales]]</f>
        <v>36</v>
      </c>
      <c r="X2271" s="142"/>
    </row>
    <row r="2272" spans="1:24" x14ac:dyDescent="0.2">
      <c r="A2272" s="7" t="s">
        <v>483</v>
      </c>
      <c r="B2272" s="7" t="s">
        <v>205</v>
      </c>
      <c r="C2272" s="3"/>
      <c r="D2272" s="3" t="s">
        <v>484</v>
      </c>
      <c r="E2272" s="4"/>
      <c r="F2272" s="3" t="s">
        <v>129</v>
      </c>
      <c r="G2272" s="9"/>
      <c r="H2272" s="9"/>
      <c r="I2272" s="12"/>
      <c r="J2272" s="5" t="e">
        <f>SUM(SUMIFS(#REF!,#REF!,Planning[[#This Row],[Tipo de Tarea y especialidad]],#REF!,Planning[[#This Row],[Proyectos Reiwa]]),SUMIFS(#REF!,#REF!,Planning[[#This Row],[Tipo de Tarea y especialidad]],#REF!,Planning[[#This Row],[Proyectos]]))</f>
        <v>#REF!</v>
      </c>
      <c r="K2272" s="5" t="e">
        <f>Planning[[#This Row],[Horas Planificadas]]+Planning[[#This Row],[Horas ajustadas adicionales]]-Planning[[#This Row],[Horas utilizadas]]</f>
        <v>#REF!</v>
      </c>
      <c r="L2272" s="7"/>
      <c r="M2272" s="19" t="e">
        <f>Planning[[#This Row],[Saldo]]-Planning[[#This Row],[Saldo estimado]]</f>
        <v>#REF!</v>
      </c>
      <c r="N2272" s="60" t="e">
        <f>+SUMIFS(#REF!,#REF!,Planning[[#This Row],[Proyectos]],#REF!,Planning[[#This Row],[Tipo de Tarea y especialidad]])</f>
        <v>#REF!</v>
      </c>
      <c r="O2272" s="19">
        <f t="shared" si="70"/>
        <v>10</v>
      </c>
      <c r="P2272" s="19">
        <f t="shared" si="71"/>
        <v>2024</v>
      </c>
      <c r="Q22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72" s="19" t="str">
        <f>TEXT(Planning[[#This Row],[Mes]]*29,"mmmm")</f>
        <v>October</v>
      </c>
      <c r="S22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72" s="193"/>
      <c r="U2272" s="43">
        <f>IF(Planning[[#This Row],[Horas Planificadas]]&lt;&gt;0,+K2272/Planning[[#This Row],[Horas Planificadas]],0)</f>
        <v>0</v>
      </c>
      <c r="V2272" s="43">
        <f>IF(Planning[[#This Row],[Horas Planificadas]]&lt;&gt;0,Planning[[#This Row],[Horas utilizadas]]/Planning[[#This Row],[Horas Planificadas]],0)</f>
        <v>0</v>
      </c>
      <c r="W2272" s="44">
        <f>Planning[[#This Row],[Horas Planificadas]]+Planning[[#This Row],[Horas ajustadas adicionales]]</f>
        <v>0</v>
      </c>
      <c r="X2272" s="142"/>
    </row>
    <row r="2273" spans="1:24" x14ac:dyDescent="0.2">
      <c r="A2273" s="7" t="s">
        <v>483</v>
      </c>
      <c r="B2273" s="7" t="s">
        <v>205</v>
      </c>
      <c r="C2273" s="3"/>
      <c r="D2273" s="3" t="s">
        <v>484</v>
      </c>
      <c r="E2273" s="4"/>
      <c r="F2273" s="3" t="s">
        <v>130</v>
      </c>
      <c r="G2273" s="9"/>
      <c r="H2273" s="9">
        <v>36</v>
      </c>
      <c r="I2273" s="12"/>
      <c r="J2273" s="5" t="e">
        <f>SUM(SUMIFS(#REF!,#REF!,Planning[[#This Row],[Tipo de Tarea y especialidad]],#REF!,Planning[[#This Row],[Proyectos Reiwa]]),SUMIFS(#REF!,#REF!,Planning[[#This Row],[Tipo de Tarea y especialidad]],#REF!,Planning[[#This Row],[Proyectos]]))</f>
        <v>#REF!</v>
      </c>
      <c r="K2273" s="5" t="e">
        <f>Planning[[#This Row],[Horas Planificadas]]+Planning[[#This Row],[Horas ajustadas adicionales]]-Planning[[#This Row],[Horas utilizadas]]</f>
        <v>#REF!</v>
      </c>
      <c r="L2273" s="7">
        <v>0</v>
      </c>
      <c r="M2273" s="19" t="e">
        <f>Planning[[#This Row],[Saldo]]-Planning[[#This Row],[Saldo estimado]]</f>
        <v>#REF!</v>
      </c>
      <c r="N2273" s="60" t="e">
        <f>+SUMIFS(#REF!,#REF!,Planning[[#This Row],[Proyectos]],#REF!,Planning[[#This Row],[Tipo de Tarea y especialidad]])</f>
        <v>#REF!</v>
      </c>
      <c r="O2273" s="19">
        <f t="shared" si="70"/>
        <v>10</v>
      </c>
      <c r="P2273" s="19">
        <f t="shared" si="71"/>
        <v>2024</v>
      </c>
      <c r="Q22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73" s="19" t="str">
        <f>TEXT(Planning[[#This Row],[Mes]]*29,"mmmm")</f>
        <v>October</v>
      </c>
      <c r="S22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73" s="193"/>
      <c r="U2273" s="43" t="e">
        <f>IF(Planning[[#This Row],[Horas Planificadas]]&lt;&gt;0,+K2273/Planning[[#This Row],[Horas Planificadas]],0)</f>
        <v>#REF!</v>
      </c>
      <c r="V2273" s="43" t="e">
        <f>IF(Planning[[#This Row],[Horas Planificadas]]&lt;&gt;0,Planning[[#This Row],[Horas utilizadas]]/Planning[[#This Row],[Horas Planificadas]],0)</f>
        <v>#REF!</v>
      </c>
      <c r="W2273" s="44">
        <f>Planning[[#This Row],[Horas Planificadas]]+Planning[[#This Row],[Horas ajustadas adicionales]]</f>
        <v>36</v>
      </c>
      <c r="X2273" s="142"/>
    </row>
    <row r="2274" spans="1:24" x14ac:dyDescent="0.2">
      <c r="A2274" s="7" t="s">
        <v>483</v>
      </c>
      <c r="B2274" s="7" t="s">
        <v>205</v>
      </c>
      <c r="C2274" s="3"/>
      <c r="D2274" s="3" t="s">
        <v>484</v>
      </c>
      <c r="E2274" s="4"/>
      <c r="F2274" s="3" t="s">
        <v>131</v>
      </c>
      <c r="G2274" s="9"/>
      <c r="H2274" s="9"/>
      <c r="I2274" s="12"/>
      <c r="J2274" s="5" t="e">
        <f>SUM(SUMIFS(#REF!,#REF!,Planning[[#This Row],[Tipo de Tarea y especialidad]],#REF!,Planning[[#This Row],[Proyectos Reiwa]]),SUMIFS(#REF!,#REF!,Planning[[#This Row],[Tipo de Tarea y especialidad]],#REF!,Planning[[#This Row],[Proyectos]]))</f>
        <v>#REF!</v>
      </c>
      <c r="K2274" s="5" t="e">
        <f>Planning[[#This Row],[Horas Planificadas]]+Planning[[#This Row],[Horas ajustadas adicionales]]-Planning[[#This Row],[Horas utilizadas]]</f>
        <v>#REF!</v>
      </c>
      <c r="L2274" s="7"/>
      <c r="M2274" s="19" t="e">
        <f>Planning[[#This Row],[Saldo]]-Planning[[#This Row],[Saldo estimado]]</f>
        <v>#REF!</v>
      </c>
      <c r="N2274" s="60" t="e">
        <f>+SUMIFS(#REF!,#REF!,Planning[[#This Row],[Proyectos]],#REF!,Planning[[#This Row],[Tipo de Tarea y especialidad]])</f>
        <v>#REF!</v>
      </c>
      <c r="O2274" s="19">
        <f t="shared" si="70"/>
        <v>10</v>
      </c>
      <c r="P2274" s="19">
        <f t="shared" si="71"/>
        <v>2024</v>
      </c>
      <c r="Q22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74" s="19" t="str">
        <f>TEXT(Planning[[#This Row],[Mes]]*29,"mmmm")</f>
        <v>October</v>
      </c>
      <c r="S22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74" s="193"/>
      <c r="U2274" s="43">
        <f>IF(Planning[[#This Row],[Horas Planificadas]]&lt;&gt;0,+K2274/Planning[[#This Row],[Horas Planificadas]],0)</f>
        <v>0</v>
      </c>
      <c r="V2274" s="43">
        <f>IF(Planning[[#This Row],[Horas Planificadas]]&lt;&gt;0,Planning[[#This Row],[Horas utilizadas]]/Planning[[#This Row],[Horas Planificadas]],0)</f>
        <v>0</v>
      </c>
      <c r="W2274" s="44">
        <f>Planning[[#This Row],[Horas Planificadas]]+Planning[[#This Row],[Horas ajustadas adicionales]]</f>
        <v>0</v>
      </c>
      <c r="X2274" s="142"/>
    </row>
    <row r="2275" spans="1:24" ht="22.5" x14ac:dyDescent="0.2">
      <c r="A2275" s="7" t="s">
        <v>486</v>
      </c>
      <c r="B2275" s="7" t="s">
        <v>178</v>
      </c>
      <c r="C2275" s="3"/>
      <c r="D2275" s="3" t="s">
        <v>487</v>
      </c>
      <c r="E2275" s="4" t="s">
        <v>28</v>
      </c>
      <c r="F2275" s="3"/>
      <c r="G2275" s="9">
        <v>0</v>
      </c>
      <c r="H2275" s="14">
        <f>SUM(H2276:H2277)</f>
        <v>0</v>
      </c>
      <c r="I2275" s="14"/>
      <c r="J2275" s="14" t="e">
        <f>SUM(J2276:J2277)</f>
        <v>#REF!</v>
      </c>
      <c r="K2275" s="15" t="e">
        <f>SUM(K2276:K2277)</f>
        <v>#REF!</v>
      </c>
      <c r="L2275" s="15">
        <f>SUM(L2276:L2277)</f>
        <v>0</v>
      </c>
      <c r="M2275" s="28" t="e">
        <f>SUM(M2276:M2277)</f>
        <v>#REF!</v>
      </c>
      <c r="N2275" s="61" t="e">
        <f>+SUMIFS(#REF!,#REF!,Planning[[#This Row],[Proyectos]],#REF!,Planning[[#This Row],[Tipo de Tarea y especialidad]])</f>
        <v>#REF!</v>
      </c>
      <c r="O2275" s="28">
        <f t="shared" si="70"/>
        <v>10</v>
      </c>
      <c r="P2275" s="28">
        <f t="shared" si="71"/>
        <v>2024</v>
      </c>
      <c r="Q2275" s="28" t="e">
        <f>SUM(Q2276:Q2277)</f>
        <v>#REF!</v>
      </c>
      <c r="R2275" s="28" t="str">
        <f>TEXT(Planning[[#This Row],[Mes]]*29,"mmmm")</f>
        <v>October</v>
      </c>
      <c r="S22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75" s="192" t="s">
        <v>488</v>
      </c>
      <c r="U2275" s="43">
        <f>IF(Planning[[#This Row],[Horas Planificadas]]&lt;&gt;0,+K2275/Planning[[#This Row],[Horas Planificadas]],0)</f>
        <v>0</v>
      </c>
      <c r="V2275" s="43">
        <f>IF(Planning[[#This Row],[Horas Planificadas]]&lt;&gt;0,Planning[[#This Row],[Horas utilizadas]]/Planning[[#This Row],[Horas Planificadas]],0)</f>
        <v>0</v>
      </c>
      <c r="W2275" s="44">
        <f>Planning[[#This Row],[Horas Planificadas]]+Planning[[#This Row],[Horas ajustadas adicionales]]</f>
        <v>0</v>
      </c>
      <c r="X2275" s="142"/>
    </row>
    <row r="2276" spans="1:24" x14ac:dyDescent="0.2">
      <c r="A2276" s="7" t="s">
        <v>486</v>
      </c>
      <c r="B2276" s="7" t="s">
        <v>178</v>
      </c>
      <c r="C2276" s="3"/>
      <c r="D2276" s="3" t="s">
        <v>487</v>
      </c>
      <c r="E2276" s="4"/>
      <c r="F2276" s="3" t="s">
        <v>120</v>
      </c>
      <c r="G2276" s="9"/>
      <c r="H2276" s="9"/>
      <c r="I2276" s="12"/>
      <c r="J2276" s="5" t="e">
        <f>SUM(SUMIFS(#REF!,#REF!,Planning[[#This Row],[Tipo de Tarea y especialidad]],#REF!,Planning[[#This Row],[Proyectos Reiwa]]),SUMIFS(#REF!,#REF!,Planning[[#This Row],[Tipo de Tarea y especialidad]],#REF!,Planning[[#This Row],[Proyectos]]))</f>
        <v>#REF!</v>
      </c>
      <c r="K2276" s="5" t="e">
        <f>Planning[[#This Row],[Horas Planificadas]]+Planning[[#This Row],[Horas ajustadas adicionales]]-Planning[[#This Row],[Horas utilizadas]]</f>
        <v>#REF!</v>
      </c>
      <c r="L2276" s="7">
        <v>0</v>
      </c>
      <c r="M2276" s="19" t="e">
        <f>Planning[[#This Row],[Saldo]]-Planning[[#This Row],[Saldo estimado]]</f>
        <v>#REF!</v>
      </c>
      <c r="N2276" s="60" t="e">
        <f>+SUMIFS(#REF!,#REF!,Planning[[#This Row],[Proyectos]],#REF!,Planning[[#This Row],[Tipo de Tarea y especialidad]])</f>
        <v>#REF!</v>
      </c>
      <c r="O2276" s="19">
        <f t="shared" si="70"/>
        <v>10</v>
      </c>
      <c r="P2276" s="19">
        <f t="shared" si="71"/>
        <v>2024</v>
      </c>
      <c r="Q22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76" s="19" t="str">
        <f>TEXT(Planning[[#This Row],[Mes]]*29,"mmmm")</f>
        <v>October</v>
      </c>
      <c r="S22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76" s="193"/>
      <c r="U2276" s="43">
        <f>IF(Planning[[#This Row],[Horas Planificadas]]&lt;&gt;0,+K2276/Planning[[#This Row],[Horas Planificadas]],0)</f>
        <v>0</v>
      </c>
      <c r="V2276" s="43">
        <f>IF(Planning[[#This Row],[Horas Planificadas]]&lt;&gt;0,Planning[[#This Row],[Horas utilizadas]]/Planning[[#This Row],[Horas Planificadas]],0)</f>
        <v>0</v>
      </c>
      <c r="W2276" s="44">
        <f>Planning[[#This Row],[Horas Planificadas]]+Planning[[#This Row],[Horas ajustadas adicionales]]</f>
        <v>0</v>
      </c>
      <c r="X2276" s="142"/>
    </row>
    <row r="2277" spans="1:24" x14ac:dyDescent="0.2">
      <c r="A2277" s="7" t="s">
        <v>486</v>
      </c>
      <c r="B2277" s="7" t="s">
        <v>178</v>
      </c>
      <c r="C2277" s="3"/>
      <c r="D2277" s="3" t="s">
        <v>487</v>
      </c>
      <c r="E2277" s="4"/>
      <c r="F2277" s="3" t="s">
        <v>121</v>
      </c>
      <c r="G2277" s="9"/>
      <c r="H2277" s="9"/>
      <c r="I2277" s="12"/>
      <c r="J2277" s="5" t="e">
        <f>SUM(SUMIFS(#REF!,#REF!,Planning[[#This Row],[Tipo de Tarea y especialidad]],#REF!,Planning[[#This Row],[Proyectos Reiwa]]),SUMIFS(#REF!,#REF!,Planning[[#This Row],[Tipo de Tarea y especialidad]],#REF!,Planning[[#This Row],[Proyectos]]))</f>
        <v>#REF!</v>
      </c>
      <c r="K2277" s="5" t="e">
        <f>Planning[[#This Row],[Horas Planificadas]]+Planning[[#This Row],[Horas ajustadas adicionales]]-Planning[[#This Row],[Horas utilizadas]]</f>
        <v>#REF!</v>
      </c>
      <c r="L2277" s="7">
        <v>0</v>
      </c>
      <c r="M2277" s="19" t="e">
        <f>Planning[[#This Row],[Saldo]]-Planning[[#This Row],[Saldo estimado]]</f>
        <v>#REF!</v>
      </c>
      <c r="N2277" s="60" t="e">
        <f>+SUMIFS(#REF!,#REF!,Planning[[#This Row],[Proyectos]],#REF!,Planning[[#This Row],[Tipo de Tarea y especialidad]])</f>
        <v>#REF!</v>
      </c>
      <c r="O2277" s="19">
        <f t="shared" si="70"/>
        <v>10</v>
      </c>
      <c r="P2277" s="19">
        <f t="shared" si="71"/>
        <v>2024</v>
      </c>
      <c r="Q22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77" s="19" t="str">
        <f>TEXT(Planning[[#This Row],[Mes]]*29,"mmmm")</f>
        <v>October</v>
      </c>
      <c r="S22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77" s="193"/>
      <c r="U2277" s="43">
        <f>IF(Planning[[#This Row],[Horas Planificadas]]&lt;&gt;0,+K2277/Planning[[#This Row],[Horas Planificadas]],0)</f>
        <v>0</v>
      </c>
      <c r="V2277" s="43">
        <f>IF(Planning[[#This Row],[Horas Planificadas]]&lt;&gt;0,Planning[[#This Row],[Horas utilizadas]]/Planning[[#This Row],[Horas Planificadas]],0)</f>
        <v>0</v>
      </c>
      <c r="W2277" s="44">
        <f>Planning[[#This Row],[Horas Planificadas]]+Planning[[#This Row],[Horas ajustadas adicionales]]</f>
        <v>0</v>
      </c>
      <c r="X2277" s="142"/>
    </row>
    <row r="2278" spans="1:24" x14ac:dyDescent="0.2">
      <c r="A2278" s="7" t="s">
        <v>486</v>
      </c>
      <c r="B2278" s="7" t="s">
        <v>178</v>
      </c>
      <c r="C2278" s="3"/>
      <c r="D2278" s="3" t="s">
        <v>487</v>
      </c>
      <c r="E2278" s="4" t="s">
        <v>30</v>
      </c>
      <c r="F2278" s="3"/>
      <c r="G2278" s="9">
        <v>173</v>
      </c>
      <c r="H2278" s="25">
        <f>SUM(H2279:H2285)</f>
        <v>257</v>
      </c>
      <c r="I2278" s="14"/>
      <c r="J2278" s="14" t="e">
        <f>SUM(J2279:J2285)</f>
        <v>#REF!</v>
      </c>
      <c r="K2278" s="18" t="e">
        <f>SUM(K2279:K2285)</f>
        <v>#REF!</v>
      </c>
      <c r="L2278" s="15">
        <f>SUM(L2279:L2285)</f>
        <v>0</v>
      </c>
      <c r="M2278" s="16" t="e">
        <f>SUM(M2279:M2285)</f>
        <v>#REF!</v>
      </c>
      <c r="N2278" s="60" t="e">
        <f>+SUMIFS(#REF!,#REF!,Planning[[#This Row],[Proyectos]],#REF!,Planning[[#This Row],[Tipo de Tarea y especialidad]])</f>
        <v>#REF!</v>
      </c>
      <c r="O2278" s="16">
        <f t="shared" si="70"/>
        <v>10</v>
      </c>
      <c r="P2278" s="16">
        <f t="shared" si="71"/>
        <v>2024</v>
      </c>
      <c r="Q2278" s="16" t="e">
        <f>SUM(Q2279:Q2285)</f>
        <v>#REF!</v>
      </c>
      <c r="R2278" s="16" t="str">
        <f>TEXT(Planning[[#This Row],[Mes]]*29,"mmmm")</f>
        <v>October</v>
      </c>
      <c r="S22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78" s="193"/>
      <c r="U2278" s="43" t="e">
        <f>IF(Planning[[#This Row],[Horas Planificadas]]&lt;&gt;0,+K2278/Planning[[#This Row],[Horas Planificadas]],0)</f>
        <v>#REF!</v>
      </c>
      <c r="V2278" s="43" t="e">
        <f>IF(Planning[[#This Row],[Horas Planificadas]]&lt;&gt;0,Planning[[#This Row],[Horas utilizadas]]/Planning[[#This Row],[Horas Planificadas]],0)</f>
        <v>#REF!</v>
      </c>
      <c r="W2278" s="44">
        <f>Planning[[#This Row],[Horas Planificadas]]+Planning[[#This Row],[Horas ajustadas adicionales]]</f>
        <v>257</v>
      </c>
      <c r="X2278" s="142"/>
    </row>
    <row r="2279" spans="1:24" x14ac:dyDescent="0.2">
      <c r="A2279" s="7" t="s">
        <v>486</v>
      </c>
      <c r="B2279" s="7" t="s">
        <v>178</v>
      </c>
      <c r="C2279" s="3"/>
      <c r="D2279" s="3" t="s">
        <v>487</v>
      </c>
      <c r="E2279" s="4"/>
      <c r="F2279" s="3" t="s">
        <v>122</v>
      </c>
      <c r="G2279" s="9"/>
      <c r="H2279" s="12">
        <v>212</v>
      </c>
      <c r="I2279" s="12"/>
      <c r="J2279" s="5" t="e">
        <f>SUM(SUMIFS(#REF!,#REF!,Planning[[#This Row],[Tipo de Tarea y especialidad]],#REF!,Planning[[#This Row],[Proyectos Reiwa]]),SUMIFS(#REF!,#REF!,Planning[[#This Row],[Tipo de Tarea y especialidad]],#REF!,Planning[[#This Row],[Proyectos]]))</f>
        <v>#REF!</v>
      </c>
      <c r="K2279" s="27" t="e">
        <f>Planning[[#This Row],[Horas Planificadas]]+Planning[[#This Row],[Horas ajustadas adicionales]]-Planning[[#This Row],[Horas utilizadas]]</f>
        <v>#REF!</v>
      </c>
      <c r="L2279" s="7">
        <v>0</v>
      </c>
      <c r="M2279" s="34" t="e">
        <f>Planning[[#This Row],[Saldo]]-Planning[[#This Row],[Saldo estimado]]</f>
        <v>#REF!</v>
      </c>
      <c r="N2279" s="62" t="e">
        <f>+SUMIFS(#REF!,#REF!,Planning[[#This Row],[Proyectos]],#REF!,Planning[[#This Row],[Tipo de Tarea y especialidad]])</f>
        <v>#REF!</v>
      </c>
      <c r="O2279" s="34">
        <f t="shared" si="70"/>
        <v>10</v>
      </c>
      <c r="P2279" s="34">
        <f t="shared" si="71"/>
        <v>2024</v>
      </c>
      <c r="Q22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79" s="19" t="str">
        <f>TEXT(Planning[[#This Row],[Mes]]*29,"mmmm")</f>
        <v>October</v>
      </c>
      <c r="S22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79" s="193"/>
      <c r="U2279" s="43" t="e">
        <f>IF(Planning[[#This Row],[Horas Planificadas]]&lt;&gt;0,+K2279/Planning[[#This Row],[Horas Planificadas]],0)</f>
        <v>#REF!</v>
      </c>
      <c r="V2279" s="43" t="e">
        <f>IF(Planning[[#This Row],[Horas Planificadas]]&lt;&gt;0,Planning[[#This Row],[Horas utilizadas]]/Planning[[#This Row],[Horas Planificadas]],0)</f>
        <v>#REF!</v>
      </c>
      <c r="W2279" s="44">
        <f>Planning[[#This Row],[Horas Planificadas]]+Planning[[#This Row],[Horas ajustadas adicionales]]</f>
        <v>212</v>
      </c>
      <c r="X2279" s="142"/>
    </row>
    <row r="2280" spans="1:24" x14ac:dyDescent="0.2">
      <c r="A2280" s="7" t="s">
        <v>486</v>
      </c>
      <c r="B2280" s="7" t="s">
        <v>178</v>
      </c>
      <c r="C2280" s="3"/>
      <c r="D2280" s="3" t="s">
        <v>487</v>
      </c>
      <c r="E2280" s="4"/>
      <c r="F2280" s="3" t="s">
        <v>123</v>
      </c>
      <c r="G2280" s="9"/>
      <c r="H2280" s="9">
        <v>45</v>
      </c>
      <c r="I2280" s="12"/>
      <c r="J2280" s="5" t="e">
        <f>SUM(SUMIFS(#REF!,#REF!,Planning[[#This Row],[Tipo de Tarea y especialidad]],#REF!,Planning[[#This Row],[Proyectos Reiwa]]),SUMIFS(#REF!,#REF!,Planning[[#This Row],[Tipo de Tarea y especialidad]],#REF!,Planning[[#This Row],[Proyectos]]))</f>
        <v>#REF!</v>
      </c>
      <c r="K2280" s="5" t="e">
        <f>Planning[[#This Row],[Horas Planificadas]]+Planning[[#This Row],[Horas ajustadas adicionales]]-Planning[[#This Row],[Horas utilizadas]]</f>
        <v>#REF!</v>
      </c>
      <c r="L2280" s="7">
        <v>0</v>
      </c>
      <c r="M2280" s="19" t="e">
        <f>Planning[[#This Row],[Saldo]]-Planning[[#This Row],[Saldo estimado]]</f>
        <v>#REF!</v>
      </c>
      <c r="N2280" s="60" t="e">
        <f>+SUMIFS(#REF!,#REF!,Planning[[#This Row],[Proyectos]],#REF!,Planning[[#This Row],[Tipo de Tarea y especialidad]])</f>
        <v>#REF!</v>
      </c>
      <c r="O2280" s="19">
        <f t="shared" si="70"/>
        <v>10</v>
      </c>
      <c r="P2280" s="19">
        <f t="shared" si="71"/>
        <v>2024</v>
      </c>
      <c r="Q22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80" s="19" t="str">
        <f>TEXT(Planning[[#This Row],[Mes]]*29,"mmmm")</f>
        <v>October</v>
      </c>
      <c r="S22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80" s="193"/>
      <c r="U2280" s="43" t="e">
        <f>IF(Planning[[#This Row],[Horas Planificadas]]&lt;&gt;0,+K2280/Planning[[#This Row],[Horas Planificadas]],0)</f>
        <v>#REF!</v>
      </c>
      <c r="V2280" s="43" t="e">
        <f>IF(Planning[[#This Row],[Horas Planificadas]]&lt;&gt;0,Planning[[#This Row],[Horas utilizadas]]/Planning[[#This Row],[Horas Planificadas]],0)</f>
        <v>#REF!</v>
      </c>
      <c r="W2280" s="44">
        <f>Planning[[#This Row],[Horas Planificadas]]+Planning[[#This Row],[Horas ajustadas adicionales]]</f>
        <v>45</v>
      </c>
      <c r="X2280" s="142"/>
    </row>
    <row r="2281" spans="1:24" x14ac:dyDescent="0.2">
      <c r="A2281" s="7" t="s">
        <v>486</v>
      </c>
      <c r="B2281" s="7" t="s">
        <v>178</v>
      </c>
      <c r="C2281" s="3"/>
      <c r="D2281" s="3" t="s">
        <v>487</v>
      </c>
      <c r="E2281" s="4"/>
      <c r="F2281" s="3" t="s">
        <v>124</v>
      </c>
      <c r="G2281" s="9"/>
      <c r="H2281" s="9"/>
      <c r="I2281" s="12"/>
      <c r="J2281" s="5" t="e">
        <f>SUM(SUMIFS(#REF!,#REF!,Planning[[#This Row],[Tipo de Tarea y especialidad]],#REF!,Planning[[#This Row],[Proyectos Reiwa]]),SUMIFS(#REF!,#REF!,Planning[[#This Row],[Tipo de Tarea y especialidad]],#REF!,Planning[[#This Row],[Proyectos]]))</f>
        <v>#REF!</v>
      </c>
      <c r="K2281" s="5" t="e">
        <f>Planning[[#This Row],[Horas Planificadas]]+Planning[[#This Row],[Horas ajustadas adicionales]]-Planning[[#This Row],[Horas utilizadas]]</f>
        <v>#REF!</v>
      </c>
      <c r="L2281" s="7">
        <v>0</v>
      </c>
      <c r="M2281" s="19" t="e">
        <f>Planning[[#This Row],[Saldo]]-Planning[[#This Row],[Saldo estimado]]</f>
        <v>#REF!</v>
      </c>
      <c r="N2281" s="60" t="e">
        <f>+SUMIFS(#REF!,#REF!,Planning[[#This Row],[Proyectos]],#REF!,Planning[[#This Row],[Tipo de Tarea y especialidad]])</f>
        <v>#REF!</v>
      </c>
      <c r="O2281" s="19">
        <f t="shared" si="70"/>
        <v>10</v>
      </c>
      <c r="P2281" s="19">
        <f t="shared" si="71"/>
        <v>2024</v>
      </c>
      <c r="Q22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81" s="19" t="str">
        <f>TEXT(Planning[[#This Row],[Mes]]*29,"mmmm")</f>
        <v>October</v>
      </c>
      <c r="S22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81" s="193"/>
      <c r="U2281" s="43">
        <f>IF(Planning[[#This Row],[Horas Planificadas]]&lt;&gt;0,+K2281/Planning[[#This Row],[Horas Planificadas]],0)</f>
        <v>0</v>
      </c>
      <c r="V2281" s="43">
        <f>IF(Planning[[#This Row],[Horas Planificadas]]&lt;&gt;0,Planning[[#This Row],[Horas utilizadas]]/Planning[[#This Row],[Horas Planificadas]],0)</f>
        <v>0</v>
      </c>
      <c r="W2281" s="44">
        <f>Planning[[#This Row],[Horas Planificadas]]+Planning[[#This Row],[Horas ajustadas adicionales]]</f>
        <v>0</v>
      </c>
      <c r="X2281" s="142"/>
    </row>
    <row r="2282" spans="1:24" x14ac:dyDescent="0.2">
      <c r="A2282" s="7" t="s">
        <v>486</v>
      </c>
      <c r="B2282" s="7" t="s">
        <v>178</v>
      </c>
      <c r="C2282" s="3"/>
      <c r="D2282" s="3" t="s">
        <v>487</v>
      </c>
      <c r="E2282" s="4"/>
      <c r="F2282" s="3" t="s">
        <v>125</v>
      </c>
      <c r="G2282" s="9"/>
      <c r="H2282" s="12"/>
      <c r="I2282" s="12"/>
      <c r="J2282" s="5" t="e">
        <f>SUM(SUMIFS(#REF!,#REF!,Planning[[#This Row],[Tipo de Tarea y especialidad]],#REF!,Planning[[#This Row],[Proyectos Reiwa]]),SUMIFS(#REF!,#REF!,Planning[[#This Row],[Tipo de Tarea y especialidad]],#REF!,Planning[[#This Row],[Proyectos]]))</f>
        <v>#REF!</v>
      </c>
      <c r="K2282" s="27" t="e">
        <f>Planning[[#This Row],[Horas Planificadas]]+Planning[[#This Row],[Horas ajustadas adicionales]]-Planning[[#This Row],[Horas utilizadas]]</f>
        <v>#REF!</v>
      </c>
      <c r="L2282" s="7">
        <v>0</v>
      </c>
      <c r="M2282" s="19" t="e">
        <f>Planning[[#This Row],[Saldo]]-Planning[[#This Row],[Saldo estimado]]</f>
        <v>#REF!</v>
      </c>
      <c r="N2282" s="60" t="e">
        <f>+SUMIFS(#REF!,#REF!,Planning[[#This Row],[Proyectos]],#REF!,Planning[[#This Row],[Tipo de Tarea y especialidad]])</f>
        <v>#REF!</v>
      </c>
      <c r="O2282" s="19">
        <f t="shared" si="70"/>
        <v>10</v>
      </c>
      <c r="P2282" s="19">
        <f t="shared" si="71"/>
        <v>2024</v>
      </c>
      <c r="Q22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82" s="19" t="str">
        <f>TEXT(Planning[[#This Row],[Mes]]*29,"mmmm")</f>
        <v>October</v>
      </c>
      <c r="S22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82" s="193"/>
      <c r="U2282" s="43">
        <f>IF(Planning[[#This Row],[Horas Planificadas]]&lt;&gt;0,+K2282/Planning[[#This Row],[Horas Planificadas]],0)</f>
        <v>0</v>
      </c>
      <c r="V2282" s="43">
        <f>IF(Planning[[#This Row],[Horas Planificadas]]&lt;&gt;0,Planning[[#This Row],[Horas utilizadas]]/Planning[[#This Row],[Horas Planificadas]],0)</f>
        <v>0</v>
      </c>
      <c r="W2282" s="44">
        <f>Planning[[#This Row],[Horas Planificadas]]+Planning[[#This Row],[Horas ajustadas adicionales]]</f>
        <v>0</v>
      </c>
      <c r="X2282" s="142"/>
    </row>
    <row r="2283" spans="1:24" x14ac:dyDescent="0.2">
      <c r="A2283" s="7" t="s">
        <v>486</v>
      </c>
      <c r="B2283" s="7" t="s">
        <v>178</v>
      </c>
      <c r="C2283" s="3"/>
      <c r="D2283" s="3" t="s">
        <v>487</v>
      </c>
      <c r="E2283" s="4"/>
      <c r="F2283" s="3" t="s">
        <v>126</v>
      </c>
      <c r="G2283" s="9"/>
      <c r="H2283" s="9"/>
      <c r="I2283" s="12"/>
      <c r="J2283" s="5" t="e">
        <f>SUM(SUMIFS(#REF!,#REF!,Planning[[#This Row],[Tipo de Tarea y especialidad]],#REF!,Planning[[#This Row],[Proyectos Reiwa]]),SUMIFS(#REF!,#REF!,Planning[[#This Row],[Tipo de Tarea y especialidad]],#REF!,Planning[[#This Row],[Proyectos]]))</f>
        <v>#REF!</v>
      </c>
      <c r="K2283" s="5" t="e">
        <f>Planning[[#This Row],[Horas Planificadas]]+Planning[[#This Row],[Horas ajustadas adicionales]]-Planning[[#This Row],[Horas utilizadas]]</f>
        <v>#REF!</v>
      </c>
      <c r="L2283" s="7">
        <v>0</v>
      </c>
      <c r="M2283" s="19" t="e">
        <f>Planning[[#This Row],[Saldo]]-Planning[[#This Row],[Saldo estimado]]</f>
        <v>#REF!</v>
      </c>
      <c r="N2283" s="60" t="e">
        <f>+SUMIFS(#REF!,#REF!,Planning[[#This Row],[Proyectos]],#REF!,Planning[[#This Row],[Tipo de Tarea y especialidad]])</f>
        <v>#REF!</v>
      </c>
      <c r="O2283" s="19">
        <f t="shared" si="70"/>
        <v>10</v>
      </c>
      <c r="P2283" s="19">
        <f t="shared" si="71"/>
        <v>2024</v>
      </c>
      <c r="Q22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83" s="19" t="str">
        <f>TEXT(Planning[[#This Row],[Mes]]*29,"mmmm")</f>
        <v>October</v>
      </c>
      <c r="S22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83" s="193"/>
      <c r="U2283" s="43">
        <f>IF(Planning[[#This Row],[Horas Planificadas]]&lt;&gt;0,+K2283/Planning[[#This Row],[Horas Planificadas]],0)</f>
        <v>0</v>
      </c>
      <c r="V2283" s="43">
        <f>IF(Planning[[#This Row],[Horas Planificadas]]&lt;&gt;0,Planning[[#This Row],[Horas utilizadas]]/Planning[[#This Row],[Horas Planificadas]],0)</f>
        <v>0</v>
      </c>
      <c r="W2283" s="44">
        <f>Planning[[#This Row],[Horas Planificadas]]+Planning[[#This Row],[Horas ajustadas adicionales]]</f>
        <v>0</v>
      </c>
      <c r="X2283" s="142"/>
    </row>
    <row r="2284" spans="1:24" x14ac:dyDescent="0.2">
      <c r="A2284" s="7" t="s">
        <v>486</v>
      </c>
      <c r="B2284" s="7" t="s">
        <v>178</v>
      </c>
      <c r="C2284" s="3"/>
      <c r="D2284" s="3" t="s">
        <v>487</v>
      </c>
      <c r="E2284" s="4"/>
      <c r="F2284" s="3" t="s">
        <v>127</v>
      </c>
      <c r="G2284" s="9"/>
      <c r="H2284" s="9"/>
      <c r="I2284" s="12"/>
      <c r="J2284" s="5" t="e">
        <f>SUM(SUMIFS(#REF!,#REF!,Planning[[#This Row],[Tipo de Tarea y especialidad]],#REF!,Planning[[#This Row],[Proyectos Reiwa]]),SUMIFS(#REF!,#REF!,Planning[[#This Row],[Tipo de Tarea y especialidad]],#REF!,Planning[[#This Row],[Proyectos]]))</f>
        <v>#REF!</v>
      </c>
      <c r="K2284" s="5" t="e">
        <f>Planning[[#This Row],[Horas Planificadas]]+Planning[[#This Row],[Horas ajustadas adicionales]]-Planning[[#This Row],[Horas utilizadas]]</f>
        <v>#REF!</v>
      </c>
      <c r="L2284" s="7">
        <v>0</v>
      </c>
      <c r="M2284" s="19" t="e">
        <f>Planning[[#This Row],[Saldo]]-Planning[[#This Row],[Saldo estimado]]</f>
        <v>#REF!</v>
      </c>
      <c r="N2284" s="60" t="e">
        <f>+SUMIFS(#REF!,#REF!,Planning[[#This Row],[Proyectos]],#REF!,Planning[[#This Row],[Tipo de Tarea y especialidad]])</f>
        <v>#REF!</v>
      </c>
      <c r="O2284" s="19">
        <f t="shared" si="70"/>
        <v>10</v>
      </c>
      <c r="P2284" s="19">
        <f t="shared" si="71"/>
        <v>2024</v>
      </c>
      <c r="Q22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84" s="19" t="str">
        <f>TEXT(Planning[[#This Row],[Mes]]*29,"mmmm")</f>
        <v>October</v>
      </c>
      <c r="S22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84" s="193"/>
      <c r="U2284" s="43">
        <f>IF(Planning[[#This Row],[Horas Planificadas]]&lt;&gt;0,+K2284/Planning[[#This Row],[Horas Planificadas]],0)</f>
        <v>0</v>
      </c>
      <c r="V2284" s="43">
        <f>IF(Planning[[#This Row],[Horas Planificadas]]&lt;&gt;0,Planning[[#This Row],[Horas utilizadas]]/Planning[[#This Row],[Horas Planificadas]],0)</f>
        <v>0</v>
      </c>
      <c r="W2284" s="44">
        <f>Planning[[#This Row],[Horas Planificadas]]+Planning[[#This Row],[Horas ajustadas adicionales]]</f>
        <v>0</v>
      </c>
      <c r="X2284" s="142"/>
    </row>
    <row r="2285" spans="1:24" x14ac:dyDescent="0.2">
      <c r="A2285" s="7" t="s">
        <v>486</v>
      </c>
      <c r="B2285" s="7" t="s">
        <v>178</v>
      </c>
      <c r="C2285" s="3"/>
      <c r="D2285" s="3" t="s">
        <v>487</v>
      </c>
      <c r="E2285" s="4"/>
      <c r="F2285" s="3" t="s">
        <v>128</v>
      </c>
      <c r="G2285" s="9"/>
      <c r="H2285" s="9"/>
      <c r="I2285" s="12"/>
      <c r="J2285" s="5" t="e">
        <f>SUM(SUMIFS(#REF!,#REF!,Planning[[#This Row],[Tipo de Tarea y especialidad]],#REF!,Planning[[#This Row],[Proyectos Reiwa]]),SUMIFS(#REF!,#REF!,Planning[[#This Row],[Tipo de Tarea y especialidad]],#REF!,Planning[[#This Row],[Proyectos]]))</f>
        <v>#REF!</v>
      </c>
      <c r="K2285" s="5" t="e">
        <f>Planning[[#This Row],[Horas Planificadas]]+Planning[[#This Row],[Horas ajustadas adicionales]]-Planning[[#This Row],[Horas utilizadas]]</f>
        <v>#REF!</v>
      </c>
      <c r="L2285" s="7">
        <v>0</v>
      </c>
      <c r="M2285" s="19" t="e">
        <f>Planning[[#This Row],[Saldo]]-Planning[[#This Row],[Saldo estimado]]</f>
        <v>#REF!</v>
      </c>
      <c r="N2285" s="60" t="e">
        <f>+SUMIFS(#REF!,#REF!,Planning[[#This Row],[Proyectos]],#REF!,Planning[[#This Row],[Tipo de Tarea y especialidad]])</f>
        <v>#REF!</v>
      </c>
      <c r="O2285" s="19">
        <f t="shared" si="70"/>
        <v>10</v>
      </c>
      <c r="P2285" s="19">
        <f t="shared" si="71"/>
        <v>2024</v>
      </c>
      <c r="Q22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85" s="19" t="str">
        <f>TEXT(Planning[[#This Row],[Mes]]*29,"mmmm")</f>
        <v>October</v>
      </c>
      <c r="S22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85" s="193"/>
      <c r="U2285" s="43">
        <f>IF(Planning[[#This Row],[Horas Planificadas]]&lt;&gt;0,+K2285/Planning[[#This Row],[Horas Planificadas]],0)</f>
        <v>0</v>
      </c>
      <c r="V2285" s="43">
        <f>IF(Planning[[#This Row],[Horas Planificadas]]&lt;&gt;0,Planning[[#This Row],[Horas utilizadas]]/Planning[[#This Row],[Horas Planificadas]],0)</f>
        <v>0</v>
      </c>
      <c r="W2285" s="44">
        <f>Planning[[#This Row],[Horas Planificadas]]+Planning[[#This Row],[Horas ajustadas adicionales]]</f>
        <v>0</v>
      </c>
      <c r="X2285" s="142"/>
    </row>
    <row r="2286" spans="1:24" x14ac:dyDescent="0.2">
      <c r="A2286" s="7" t="s">
        <v>486</v>
      </c>
      <c r="B2286" s="7" t="s">
        <v>178</v>
      </c>
      <c r="C2286" s="3"/>
      <c r="D2286" s="3" t="s">
        <v>487</v>
      </c>
      <c r="E2286" s="4" t="s">
        <v>31</v>
      </c>
      <c r="F2286" s="3" t="s">
        <v>31</v>
      </c>
      <c r="G2286" s="9">
        <v>36</v>
      </c>
      <c r="H2286" s="17">
        <v>12</v>
      </c>
      <c r="I2286" s="18"/>
      <c r="J2286" s="14" t="e">
        <f>+SUMIFS(#REF!,#REF!,Planning[[#This Row],[Tarifa]],#REF!,Planning[[#This Row],[Proyectos]])</f>
        <v>#REF!</v>
      </c>
      <c r="K2286" s="14" t="e">
        <f>Planning[[#This Row],[Horas Planificadas]]+Planning[[#This Row],[Horas ajustadas adicionales]]-Planning[[#This Row],[Horas utilizadas]]</f>
        <v>#REF!</v>
      </c>
      <c r="L2286" s="15">
        <v>0</v>
      </c>
      <c r="M2286" s="16" t="e">
        <f>Planning[[#This Row],[Saldo]]-Planning[[#This Row],[Saldo estimado]]</f>
        <v>#REF!</v>
      </c>
      <c r="N2286" s="60" t="e">
        <f>+SUMIFS(#REF!,#REF!,Planning[[#This Row],[Proyectos]],#REF!,Planning[[#This Row],[Tipo de Tarea y especialidad]])</f>
        <v>#REF!</v>
      </c>
      <c r="O2286" s="16">
        <f t="shared" si="70"/>
        <v>10</v>
      </c>
      <c r="P2286" s="16">
        <f t="shared" si="71"/>
        <v>2024</v>
      </c>
      <c r="Q2286" s="16" t="e">
        <f>+SUMIFS(#REF!,#REF!,Planning[[#This Row],[Tarifa]],#REF!,Planning[[#This Row],[Proyectos]],#REF!,Planning[[#This Row],[Mes]],#REF!,Planning[[#This Row],[Año]])</f>
        <v>#REF!</v>
      </c>
      <c r="R2286" s="16" t="str">
        <f>TEXT(Planning[[#This Row],[Mes]]*29,"mmmm")</f>
        <v>October</v>
      </c>
      <c r="S22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86" s="193"/>
      <c r="U2286" s="43" t="e">
        <f>IF(Planning[[#This Row],[Horas Planificadas]]&lt;&gt;0,+K2286/Planning[[#This Row],[Horas Planificadas]],0)</f>
        <v>#REF!</v>
      </c>
      <c r="V2286" s="43" t="e">
        <f>IF(Planning[[#This Row],[Horas Planificadas]]&lt;&gt;0,Planning[[#This Row],[Horas utilizadas]]/Planning[[#This Row],[Horas Planificadas]],0)</f>
        <v>#REF!</v>
      </c>
      <c r="W2286" s="44">
        <f>Planning[[#This Row],[Horas Planificadas]]+Planning[[#This Row],[Horas ajustadas adicionales]]</f>
        <v>12</v>
      </c>
      <c r="X2286" s="142"/>
    </row>
    <row r="2287" spans="1:24" ht="22.5" x14ac:dyDescent="0.2">
      <c r="A2287" s="7" t="s">
        <v>486</v>
      </c>
      <c r="B2287" s="7" t="s">
        <v>178</v>
      </c>
      <c r="C2287" s="3"/>
      <c r="D2287" s="3" t="s">
        <v>487</v>
      </c>
      <c r="E2287" s="4" t="s">
        <v>32</v>
      </c>
      <c r="F2287" s="3"/>
      <c r="G2287" s="9">
        <v>210</v>
      </c>
      <c r="H2287" s="25">
        <f>SUM(H2288:H2290)</f>
        <v>220</v>
      </c>
      <c r="I2287" s="14"/>
      <c r="J2287" s="14" t="e">
        <f>SUM(J2288:J2290)</f>
        <v>#REF!</v>
      </c>
      <c r="K2287" s="18" t="e">
        <f>SUM(K2288:K2290)</f>
        <v>#REF!</v>
      </c>
      <c r="L2287" s="15">
        <f>SUM(L2288:L2290)</f>
        <v>0</v>
      </c>
      <c r="M2287" s="16" t="e">
        <f>SUM(M2288:M2290)</f>
        <v>#REF!</v>
      </c>
      <c r="N2287" s="60" t="e">
        <f>+SUMIFS(#REF!,#REF!,Planning[[#This Row],[Proyectos]],#REF!,Planning[[#This Row],[Tipo de Tarea y especialidad]])</f>
        <v>#REF!</v>
      </c>
      <c r="O2287" s="16">
        <f t="shared" si="70"/>
        <v>10</v>
      </c>
      <c r="P2287" s="16">
        <f t="shared" si="71"/>
        <v>2024</v>
      </c>
      <c r="Q2287" s="16" t="e">
        <f>SUM(Q2288:Q2290)</f>
        <v>#REF!</v>
      </c>
      <c r="R2287" s="16" t="str">
        <f>TEXT(Planning[[#This Row],[Mes]]*29,"mmmm")</f>
        <v>October</v>
      </c>
      <c r="S22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87" s="193"/>
      <c r="U2287" s="43" t="e">
        <f>IF(Planning[[#This Row],[Horas Planificadas]]&lt;&gt;0,+K2287/Planning[[#This Row],[Horas Planificadas]],0)</f>
        <v>#REF!</v>
      </c>
      <c r="V2287" s="43" t="e">
        <f>IF(Planning[[#This Row],[Horas Planificadas]]&lt;&gt;0,Planning[[#This Row],[Horas utilizadas]]/Planning[[#This Row],[Horas Planificadas]],0)</f>
        <v>#REF!</v>
      </c>
      <c r="W2287" s="44">
        <f>Planning[[#This Row],[Horas Planificadas]]+Planning[[#This Row],[Horas ajustadas adicionales]]</f>
        <v>220</v>
      </c>
      <c r="X2287" s="142"/>
    </row>
    <row r="2288" spans="1:24" x14ac:dyDescent="0.2">
      <c r="A2288" s="7" t="s">
        <v>486</v>
      </c>
      <c r="B2288" s="7" t="s">
        <v>178</v>
      </c>
      <c r="C2288" s="3"/>
      <c r="D2288" s="3" t="s">
        <v>487</v>
      </c>
      <c r="E2288" s="4"/>
      <c r="F2288" s="3" t="s">
        <v>129</v>
      </c>
      <c r="G2288" s="9"/>
      <c r="H2288" s="9">
        <v>220</v>
      </c>
      <c r="I2288" s="12"/>
      <c r="J2288" s="5" t="e">
        <f>SUM(SUMIFS(#REF!,#REF!,Planning[[#This Row],[Tipo de Tarea y especialidad]],#REF!,Planning[[#This Row],[Proyectos Reiwa]]),SUMIFS(#REF!,#REF!,Planning[[#This Row],[Tipo de Tarea y especialidad]],#REF!,Planning[[#This Row],[Proyectos]]))</f>
        <v>#REF!</v>
      </c>
      <c r="K2288" s="5" t="e">
        <f>Planning[[#This Row],[Horas Planificadas]]+Planning[[#This Row],[Horas ajustadas adicionales]]-Planning[[#This Row],[Horas utilizadas]]</f>
        <v>#REF!</v>
      </c>
      <c r="L2288" s="7">
        <v>0</v>
      </c>
      <c r="M2288" s="19" t="e">
        <f>Planning[[#This Row],[Saldo]]-Planning[[#This Row],[Saldo estimado]]</f>
        <v>#REF!</v>
      </c>
      <c r="N2288" s="60" t="e">
        <f>+SUMIFS(#REF!,#REF!,Planning[[#This Row],[Proyectos]],#REF!,Planning[[#This Row],[Tipo de Tarea y especialidad]])</f>
        <v>#REF!</v>
      </c>
      <c r="O2288" s="19">
        <f t="shared" si="70"/>
        <v>10</v>
      </c>
      <c r="P2288" s="19">
        <f t="shared" si="71"/>
        <v>2024</v>
      </c>
      <c r="Q22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88" s="19" t="str">
        <f>TEXT(Planning[[#This Row],[Mes]]*29,"mmmm")</f>
        <v>October</v>
      </c>
      <c r="S22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88" s="193"/>
      <c r="U2288" s="43" t="e">
        <f>IF(Planning[[#This Row],[Horas Planificadas]]&lt;&gt;0,+K2288/Planning[[#This Row],[Horas Planificadas]],0)</f>
        <v>#REF!</v>
      </c>
      <c r="V2288" s="43" t="e">
        <f>IF(Planning[[#This Row],[Horas Planificadas]]&lt;&gt;0,Planning[[#This Row],[Horas utilizadas]]/Planning[[#This Row],[Horas Planificadas]],0)</f>
        <v>#REF!</v>
      </c>
      <c r="W2288" s="44">
        <f>Planning[[#This Row],[Horas Planificadas]]+Planning[[#This Row],[Horas ajustadas adicionales]]</f>
        <v>220</v>
      </c>
      <c r="X2288" s="142"/>
    </row>
    <row r="2289" spans="1:24" x14ac:dyDescent="0.2">
      <c r="A2289" s="7" t="s">
        <v>486</v>
      </c>
      <c r="B2289" s="7" t="s">
        <v>178</v>
      </c>
      <c r="C2289" s="3"/>
      <c r="D2289" s="3" t="s">
        <v>487</v>
      </c>
      <c r="E2289" s="4"/>
      <c r="F2289" s="3" t="s">
        <v>130</v>
      </c>
      <c r="G2289" s="9"/>
      <c r="H2289" s="9"/>
      <c r="I2289" s="12"/>
      <c r="J2289" s="5" t="e">
        <f>SUM(SUMIFS(#REF!,#REF!,Planning[[#This Row],[Tipo de Tarea y especialidad]],#REF!,Planning[[#This Row],[Proyectos Reiwa]]),SUMIFS(#REF!,#REF!,Planning[[#This Row],[Tipo de Tarea y especialidad]],#REF!,Planning[[#This Row],[Proyectos]]))</f>
        <v>#REF!</v>
      </c>
      <c r="K2289" s="5" t="e">
        <f>Planning[[#This Row],[Horas Planificadas]]+Planning[[#This Row],[Horas ajustadas adicionales]]-Planning[[#This Row],[Horas utilizadas]]</f>
        <v>#REF!</v>
      </c>
      <c r="L2289" s="7">
        <v>0</v>
      </c>
      <c r="M2289" s="19" t="e">
        <f>Planning[[#This Row],[Saldo]]-Planning[[#This Row],[Saldo estimado]]</f>
        <v>#REF!</v>
      </c>
      <c r="N2289" s="60" t="e">
        <f>+SUMIFS(#REF!,#REF!,Planning[[#This Row],[Proyectos]],#REF!,Planning[[#This Row],[Tipo de Tarea y especialidad]])</f>
        <v>#REF!</v>
      </c>
      <c r="O2289" s="19">
        <f t="shared" si="70"/>
        <v>10</v>
      </c>
      <c r="P2289" s="19">
        <f t="shared" si="71"/>
        <v>2024</v>
      </c>
      <c r="Q22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89" s="19" t="str">
        <f>TEXT(Planning[[#This Row],[Mes]]*29,"mmmm")</f>
        <v>October</v>
      </c>
      <c r="S22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89" s="193"/>
      <c r="U2289" s="43">
        <f>IF(Planning[[#This Row],[Horas Planificadas]]&lt;&gt;0,+K2289/Planning[[#This Row],[Horas Planificadas]],0)</f>
        <v>0</v>
      </c>
      <c r="V2289" s="43">
        <f>IF(Planning[[#This Row],[Horas Planificadas]]&lt;&gt;0,Planning[[#This Row],[Horas utilizadas]]/Planning[[#This Row],[Horas Planificadas]],0)</f>
        <v>0</v>
      </c>
      <c r="W2289" s="44">
        <f>Planning[[#This Row],[Horas Planificadas]]+Planning[[#This Row],[Horas ajustadas adicionales]]</f>
        <v>0</v>
      </c>
      <c r="X2289" s="142"/>
    </row>
    <row r="2290" spans="1:24" x14ac:dyDescent="0.2">
      <c r="A2290" s="7" t="s">
        <v>486</v>
      </c>
      <c r="B2290" s="7" t="s">
        <v>178</v>
      </c>
      <c r="C2290" s="3"/>
      <c r="D2290" s="3" t="s">
        <v>487</v>
      </c>
      <c r="E2290" s="4"/>
      <c r="F2290" s="3" t="s">
        <v>131</v>
      </c>
      <c r="G2290" s="9"/>
      <c r="H2290" s="9"/>
      <c r="I2290" s="12"/>
      <c r="J2290" s="5" t="e">
        <f>SUM(SUMIFS(#REF!,#REF!,Planning[[#This Row],[Tipo de Tarea y especialidad]],#REF!,Planning[[#This Row],[Proyectos Reiwa]]),SUMIFS(#REF!,#REF!,Planning[[#This Row],[Tipo de Tarea y especialidad]],#REF!,Planning[[#This Row],[Proyectos]]))</f>
        <v>#REF!</v>
      </c>
      <c r="K2290" s="5" t="e">
        <f>Planning[[#This Row],[Horas Planificadas]]+Planning[[#This Row],[Horas ajustadas adicionales]]-Planning[[#This Row],[Horas utilizadas]]</f>
        <v>#REF!</v>
      </c>
      <c r="L2290" s="7">
        <v>0</v>
      </c>
      <c r="M2290" s="19" t="e">
        <f>Planning[[#This Row],[Saldo]]-Planning[[#This Row],[Saldo estimado]]</f>
        <v>#REF!</v>
      </c>
      <c r="N2290" s="60" t="e">
        <f>+SUMIFS(#REF!,#REF!,Planning[[#This Row],[Proyectos]],#REF!,Planning[[#This Row],[Tipo de Tarea y especialidad]])</f>
        <v>#REF!</v>
      </c>
      <c r="O2290" s="19">
        <f t="shared" si="70"/>
        <v>10</v>
      </c>
      <c r="P2290" s="19">
        <f t="shared" si="71"/>
        <v>2024</v>
      </c>
      <c r="Q22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90" s="19" t="str">
        <f>TEXT(Planning[[#This Row],[Mes]]*29,"mmmm")</f>
        <v>October</v>
      </c>
      <c r="S22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90" s="193"/>
      <c r="U2290" s="43">
        <f>IF(Planning[[#This Row],[Horas Planificadas]]&lt;&gt;0,+K2290/Planning[[#This Row],[Horas Planificadas]],0)</f>
        <v>0</v>
      </c>
      <c r="V2290" s="43">
        <f>IF(Planning[[#This Row],[Horas Planificadas]]&lt;&gt;0,Planning[[#This Row],[Horas utilizadas]]/Planning[[#This Row],[Horas Planificadas]],0)</f>
        <v>0</v>
      </c>
      <c r="W2290" s="44">
        <f>Planning[[#This Row],[Horas Planificadas]]+Planning[[#This Row],[Horas ajustadas adicionales]]</f>
        <v>0</v>
      </c>
      <c r="X2290" s="142"/>
    </row>
    <row r="2291" spans="1:24" ht="22.5" x14ac:dyDescent="0.2">
      <c r="A2291" s="7"/>
      <c r="B2291" s="7"/>
      <c r="C2291" s="3"/>
      <c r="D2291" s="3" t="s">
        <v>489</v>
      </c>
      <c r="E2291" s="4" t="s">
        <v>28</v>
      </c>
      <c r="F2291" s="3"/>
      <c r="G2291" s="9"/>
      <c r="H2291" s="12">
        <v>0</v>
      </c>
      <c r="I2291" s="12"/>
      <c r="J2291" s="5" t="e">
        <f>+SUMIFS(#REF!,#REF!,Planning[[#This Row],[Tarifa]],#REF!,Planning[[#This Row],[Proyectos]])</f>
        <v>#REF!</v>
      </c>
      <c r="K2291" s="27" t="e">
        <f>Planning[[#This Row],[Horas Planificadas]]+Planning[[#This Row],[Horas ajustadas adicionales]]-Planning[[#This Row],[Horas utilizadas]]</f>
        <v>#REF!</v>
      </c>
      <c r="L2291" s="7"/>
      <c r="M2291" s="19" t="e">
        <f>Planning[[#This Row],[Saldo]]-Planning[[#This Row],[Saldo estimado]]</f>
        <v>#REF!</v>
      </c>
      <c r="N2291" s="60" t="e">
        <f>+SUMIFS(#REF!,#REF!,Planning[[#This Row],[Proyectos]],#REF!,Planning[[#This Row],[Tipo de Tarea y especialidad]])</f>
        <v>#REF!</v>
      </c>
      <c r="O2291" s="19">
        <f t="shared" si="70"/>
        <v>10</v>
      </c>
      <c r="P2291" s="19">
        <f t="shared" si="71"/>
        <v>2024</v>
      </c>
      <c r="Q2291" s="19" t="e">
        <f>+SUMIFS(#REF!,#REF!,Planning[[#This Row],[Tarifa]],#REF!,Planning[[#This Row],[Proyectos]],#REF!,Planning[[#This Row],[Mes]],#REF!,Planning[[#This Row],[Año]])</f>
        <v>#REF!</v>
      </c>
      <c r="R2291" s="19" t="str">
        <f>TEXT(Planning[[#This Row],[Mes]]*29,"mmmm")</f>
        <v>October</v>
      </c>
      <c r="S22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91" s="228"/>
      <c r="U2291" s="43">
        <f>IF(Planning[[#This Row],[Horas Planificadas]]&lt;&gt;0,+K2291/Planning[[#This Row],[Horas Planificadas]],0)</f>
        <v>0</v>
      </c>
      <c r="V2291" s="43">
        <f>IF(Planning[[#This Row],[Horas Planificadas]]&lt;&gt;0,Planning[[#This Row],[Horas utilizadas]]/Planning[[#This Row],[Horas Planificadas]],0)</f>
        <v>0</v>
      </c>
      <c r="W2291" s="44">
        <f>Planning[[#This Row],[Horas Planificadas]]+Planning[[#This Row],[Horas ajustadas adicionales]]</f>
        <v>0</v>
      </c>
      <c r="X2291" s="142"/>
    </row>
    <row r="2292" spans="1:24" x14ac:dyDescent="0.2">
      <c r="A2292" s="7"/>
      <c r="B2292" s="7"/>
      <c r="C2292" s="3"/>
      <c r="D2292" s="3" t="s">
        <v>489</v>
      </c>
      <c r="E2292" s="4" t="s">
        <v>30</v>
      </c>
      <c r="F2292" s="3"/>
      <c r="G2292" s="9"/>
      <c r="H2292" s="9">
        <v>27</v>
      </c>
      <c r="I2292" s="12"/>
      <c r="J2292" s="5" t="e">
        <f>+SUMIFS(#REF!,#REF!,Planning[[#This Row],[Tarifa]],#REF!,Planning[[#This Row],[Proyectos]])</f>
        <v>#REF!</v>
      </c>
      <c r="K2292" s="5" t="e">
        <f>Planning[[#This Row],[Horas Planificadas]]+Planning[[#This Row],[Horas ajustadas adicionales]]-Planning[[#This Row],[Horas utilizadas]]</f>
        <v>#REF!</v>
      </c>
      <c r="L2292" s="7"/>
      <c r="M2292" s="19" t="e">
        <f>Planning[[#This Row],[Saldo]]-Planning[[#This Row],[Saldo estimado]]</f>
        <v>#REF!</v>
      </c>
      <c r="N2292" s="60" t="e">
        <f>+SUMIFS(#REF!,#REF!,Planning[[#This Row],[Proyectos]],#REF!,Planning[[#This Row],[Tipo de Tarea y especialidad]])</f>
        <v>#REF!</v>
      </c>
      <c r="O2292" s="19">
        <f t="shared" si="70"/>
        <v>10</v>
      </c>
      <c r="P2292" s="19">
        <f t="shared" si="71"/>
        <v>2024</v>
      </c>
      <c r="Q2292" s="19" t="e">
        <f>+SUMIFS(#REF!,#REF!,Planning[[#This Row],[Tarifa]],#REF!,Planning[[#This Row],[Proyectos]],#REF!,Planning[[#This Row],[Mes]],#REF!,Planning[[#This Row],[Año]])</f>
        <v>#REF!</v>
      </c>
      <c r="R2292" s="19" t="str">
        <f>TEXT(Planning[[#This Row],[Mes]]*29,"mmmm")</f>
        <v>October</v>
      </c>
      <c r="S22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92" s="228"/>
      <c r="U2292" s="43" t="e">
        <f>IF(Planning[[#This Row],[Horas Planificadas]]&lt;&gt;0,+K2292/Planning[[#This Row],[Horas Planificadas]],0)</f>
        <v>#REF!</v>
      </c>
      <c r="V2292" s="43" t="e">
        <f>IF(Planning[[#This Row],[Horas Planificadas]]&lt;&gt;0,Planning[[#This Row],[Horas utilizadas]]/Planning[[#This Row],[Horas Planificadas]],0)</f>
        <v>#REF!</v>
      </c>
      <c r="W2292" s="44">
        <f>Planning[[#This Row],[Horas Planificadas]]+Planning[[#This Row],[Horas ajustadas adicionales]]</f>
        <v>27</v>
      </c>
      <c r="X2292" s="142"/>
    </row>
    <row r="2293" spans="1:24" x14ac:dyDescent="0.2">
      <c r="A2293" s="7"/>
      <c r="B2293" s="7"/>
      <c r="C2293" s="3"/>
      <c r="D2293" s="3" t="s">
        <v>489</v>
      </c>
      <c r="E2293" s="4" t="s">
        <v>31</v>
      </c>
      <c r="F2293" s="3"/>
      <c r="G2293" s="9"/>
      <c r="H2293" s="9">
        <v>9</v>
      </c>
      <c r="I2293" s="12"/>
      <c r="J2293" s="5" t="e">
        <f>+SUMIFS(#REF!,#REF!,Planning[[#This Row],[Tarifa]],#REF!,Planning[[#This Row],[Proyectos]])</f>
        <v>#REF!</v>
      </c>
      <c r="K2293" s="5" t="e">
        <f>Planning[[#This Row],[Horas Planificadas]]+Planning[[#This Row],[Horas ajustadas adicionales]]-Planning[[#This Row],[Horas utilizadas]]</f>
        <v>#REF!</v>
      </c>
      <c r="L2293" s="7"/>
      <c r="M2293" s="19" t="e">
        <f>Planning[[#This Row],[Saldo]]-Planning[[#This Row],[Saldo estimado]]</f>
        <v>#REF!</v>
      </c>
      <c r="N2293" s="60" t="e">
        <f>+SUMIFS(#REF!,#REF!,Planning[[#This Row],[Proyectos]],#REF!,Planning[[#This Row],[Tipo de Tarea y especialidad]])</f>
        <v>#REF!</v>
      </c>
      <c r="O2293" s="19">
        <f t="shared" si="70"/>
        <v>10</v>
      </c>
      <c r="P2293" s="19">
        <f t="shared" si="71"/>
        <v>2024</v>
      </c>
      <c r="Q2293" s="19" t="e">
        <f>+SUMIFS(#REF!,#REF!,Planning[[#This Row],[Tarifa]],#REF!,Planning[[#This Row],[Proyectos]],#REF!,Planning[[#This Row],[Mes]],#REF!,Planning[[#This Row],[Año]])</f>
        <v>#REF!</v>
      </c>
      <c r="R2293" s="19" t="str">
        <f>TEXT(Planning[[#This Row],[Mes]]*29,"mmmm")</f>
        <v>October</v>
      </c>
      <c r="S22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93" s="228"/>
      <c r="U2293" s="43" t="e">
        <f>IF(Planning[[#This Row],[Horas Planificadas]]&lt;&gt;0,+K2293/Planning[[#This Row],[Horas Planificadas]],0)</f>
        <v>#REF!</v>
      </c>
      <c r="V2293" s="43" t="e">
        <f>IF(Planning[[#This Row],[Horas Planificadas]]&lt;&gt;0,Planning[[#This Row],[Horas utilizadas]]/Planning[[#This Row],[Horas Planificadas]],0)</f>
        <v>#REF!</v>
      </c>
      <c r="W2293" s="44">
        <f>Planning[[#This Row],[Horas Planificadas]]+Planning[[#This Row],[Horas ajustadas adicionales]]</f>
        <v>9</v>
      </c>
      <c r="X2293" s="142"/>
    </row>
    <row r="2294" spans="1:24" ht="22.5" x14ac:dyDescent="0.2">
      <c r="A2294" s="7"/>
      <c r="B2294" s="7"/>
      <c r="C2294" s="3"/>
      <c r="D2294" s="3" t="s">
        <v>489</v>
      </c>
      <c r="E2294" s="4" t="s">
        <v>32</v>
      </c>
      <c r="F2294" s="3"/>
      <c r="G2294" s="9"/>
      <c r="H2294" s="9">
        <v>40</v>
      </c>
      <c r="I2294" s="12"/>
      <c r="J2294" s="5" t="e">
        <f>+SUMIFS(#REF!,#REF!,Planning[[#This Row],[Tarifa]],#REF!,Planning[[#This Row],[Proyectos]])</f>
        <v>#REF!</v>
      </c>
      <c r="K2294" s="5" t="e">
        <f>Planning[[#This Row],[Horas Planificadas]]+Planning[[#This Row],[Horas ajustadas adicionales]]-Planning[[#This Row],[Horas utilizadas]]</f>
        <v>#REF!</v>
      </c>
      <c r="L2294" s="7"/>
      <c r="M2294" s="19" t="e">
        <f>Planning[[#This Row],[Saldo]]-Planning[[#This Row],[Saldo estimado]]</f>
        <v>#REF!</v>
      </c>
      <c r="N2294" s="60" t="e">
        <f>+SUMIFS(#REF!,#REF!,Planning[[#This Row],[Proyectos]],#REF!,Planning[[#This Row],[Tipo de Tarea y especialidad]])</f>
        <v>#REF!</v>
      </c>
      <c r="O2294" s="19">
        <f t="shared" si="70"/>
        <v>10</v>
      </c>
      <c r="P2294" s="19">
        <f t="shared" si="71"/>
        <v>2024</v>
      </c>
      <c r="Q2294" s="19" t="e">
        <f>+SUMIFS(#REF!,#REF!,Planning[[#This Row],[Tarifa]],#REF!,Planning[[#This Row],[Proyectos]],#REF!,Planning[[#This Row],[Mes]],#REF!,Planning[[#This Row],[Año]])</f>
        <v>#REF!</v>
      </c>
      <c r="R2294" s="19" t="str">
        <f>TEXT(Planning[[#This Row],[Mes]]*29,"mmmm")</f>
        <v>October</v>
      </c>
      <c r="S22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94" s="228"/>
      <c r="U2294" s="43" t="e">
        <f>IF(Planning[[#This Row],[Horas Planificadas]]&lt;&gt;0,+K2294/Planning[[#This Row],[Horas Planificadas]],0)</f>
        <v>#REF!</v>
      </c>
      <c r="V2294" s="43" t="e">
        <f>IF(Planning[[#This Row],[Horas Planificadas]]&lt;&gt;0,Planning[[#This Row],[Horas utilizadas]]/Planning[[#This Row],[Horas Planificadas]],0)</f>
        <v>#REF!</v>
      </c>
      <c r="W2294" s="44">
        <f>Planning[[#This Row],[Horas Planificadas]]+Planning[[#This Row],[Horas ajustadas adicionales]]</f>
        <v>40</v>
      </c>
      <c r="X2294" s="142"/>
    </row>
    <row r="2295" spans="1:24" ht="22.5" x14ac:dyDescent="0.2">
      <c r="A2295" s="7" t="s">
        <v>177</v>
      </c>
      <c r="B2295" s="7" t="s">
        <v>393</v>
      </c>
      <c r="C2295" s="3"/>
      <c r="D2295" s="3" t="s">
        <v>490</v>
      </c>
      <c r="E2295" s="4" t="s">
        <v>28</v>
      </c>
      <c r="F2295" s="4"/>
      <c r="G2295" s="7">
        <v>235</v>
      </c>
      <c r="H2295" s="24">
        <f>SUM(H2296:H2297)</f>
        <v>235</v>
      </c>
      <c r="I2295" s="14"/>
      <c r="J2295" s="14" t="e">
        <f>SUM(J2296:J2297)</f>
        <v>#REF!</v>
      </c>
      <c r="K2295" s="18" t="e">
        <f>SUM(K2296:K2297)</f>
        <v>#REF!</v>
      </c>
      <c r="L2295" s="15">
        <f>SUM(L2296:L2297)</f>
        <v>0</v>
      </c>
      <c r="M2295" s="28" t="e">
        <f>SUM(M2296:M2297)</f>
        <v>#REF!</v>
      </c>
      <c r="N2295" s="61" t="e">
        <f>+SUMIFS(#REF!,#REF!,Planning[[#This Row],[Proyectos]],#REF!,Planning[[#This Row],[Tipo de Tarea y especialidad]])</f>
        <v>#REF!</v>
      </c>
      <c r="O2295" s="28">
        <f t="shared" si="70"/>
        <v>10</v>
      </c>
      <c r="P2295" s="28">
        <f t="shared" si="71"/>
        <v>2024</v>
      </c>
      <c r="Q2295" s="28" t="e">
        <f>SUM(Q2296:Q2297)</f>
        <v>#REF!</v>
      </c>
      <c r="R2295" s="28" t="str">
        <f>TEXT(Planning[[#This Row],[Mes]]*29,"mmmm")</f>
        <v>October</v>
      </c>
      <c r="S22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95" s="192" t="s">
        <v>491</v>
      </c>
      <c r="U2295" s="43" t="e">
        <f>IF(Planning[[#This Row],[Horas Planificadas]]&lt;&gt;0,+K2295/Planning[[#This Row],[Horas Planificadas]],0)</f>
        <v>#REF!</v>
      </c>
      <c r="V2295" s="43" t="e">
        <f>IF(Planning[[#This Row],[Horas Planificadas]]&lt;&gt;0,Planning[[#This Row],[Horas utilizadas]]/Planning[[#This Row],[Horas Planificadas]],0)</f>
        <v>#REF!</v>
      </c>
      <c r="W2295" s="44">
        <f>Planning[[#This Row],[Horas Planificadas]]+Planning[[#This Row],[Horas ajustadas adicionales]]</f>
        <v>235</v>
      </c>
      <c r="X2295" s="142"/>
    </row>
    <row r="2296" spans="1:24" x14ac:dyDescent="0.2">
      <c r="A2296" s="7" t="s">
        <v>177</v>
      </c>
      <c r="B2296" s="7" t="s">
        <v>393</v>
      </c>
      <c r="C2296" s="3"/>
      <c r="D2296" s="3" t="s">
        <v>490</v>
      </c>
      <c r="E2296" s="4"/>
      <c r="F2296" s="3" t="s">
        <v>120</v>
      </c>
      <c r="G2296" s="7"/>
      <c r="H2296" s="7">
        <v>175</v>
      </c>
      <c r="I2296" s="12"/>
      <c r="J2296" s="5" t="e">
        <f>SUM(SUMIFS(#REF!,#REF!,Planning[[#This Row],[Tipo de Tarea y especialidad]],#REF!,Planning[[#This Row],[Proyectos Reiwa]]),SUMIFS(#REF!,#REF!,Planning[[#This Row],[Tipo de Tarea y especialidad]],#REF!,Planning[[#This Row],[Proyectos]]))</f>
        <v>#REF!</v>
      </c>
      <c r="K2296" s="5" t="e">
        <f>Planning[[#This Row],[Horas Planificadas]]+Planning[[#This Row],[Horas ajustadas adicionales]]-Planning[[#This Row],[Horas utilizadas]]</f>
        <v>#REF!</v>
      </c>
      <c r="L2296" s="7">
        <v>0</v>
      </c>
      <c r="M2296" s="19" t="e">
        <f>Planning[[#This Row],[Saldo]]-Planning[[#This Row],[Saldo estimado]]</f>
        <v>#REF!</v>
      </c>
      <c r="N2296" s="60" t="e">
        <f>+SUMIFS(#REF!,#REF!,Planning[[#This Row],[Proyectos]],#REF!,Planning[[#This Row],[Tipo de Tarea y especialidad]])</f>
        <v>#REF!</v>
      </c>
      <c r="O2296" s="19">
        <f t="shared" si="70"/>
        <v>10</v>
      </c>
      <c r="P2296" s="19">
        <f t="shared" si="71"/>
        <v>2024</v>
      </c>
      <c r="Q22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96" s="19" t="str">
        <f>TEXT(Planning[[#This Row],[Mes]]*29,"mmmm")</f>
        <v>October</v>
      </c>
      <c r="S22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96" s="193"/>
      <c r="U2296" s="43" t="e">
        <f>IF(Planning[[#This Row],[Horas Planificadas]]&lt;&gt;0,+K2296/Planning[[#This Row],[Horas Planificadas]],0)</f>
        <v>#REF!</v>
      </c>
      <c r="V2296" s="43" t="e">
        <f>IF(Planning[[#This Row],[Horas Planificadas]]&lt;&gt;0,Planning[[#This Row],[Horas utilizadas]]/Planning[[#This Row],[Horas Planificadas]],0)</f>
        <v>#REF!</v>
      </c>
      <c r="W2296" s="44">
        <f>Planning[[#This Row],[Horas Planificadas]]+Planning[[#This Row],[Horas ajustadas adicionales]]</f>
        <v>175</v>
      </c>
      <c r="X2296" s="142"/>
    </row>
    <row r="2297" spans="1:24" x14ac:dyDescent="0.2">
      <c r="A2297" s="7" t="s">
        <v>177</v>
      </c>
      <c r="B2297" s="7" t="s">
        <v>393</v>
      </c>
      <c r="C2297" s="3"/>
      <c r="D2297" s="3" t="s">
        <v>490</v>
      </c>
      <c r="E2297" s="4"/>
      <c r="F2297" s="3" t="s">
        <v>121</v>
      </c>
      <c r="G2297" s="7"/>
      <c r="H2297" s="7">
        <v>60</v>
      </c>
      <c r="I2297" s="12"/>
      <c r="J2297" s="5" t="e">
        <f>SUM(SUMIFS(#REF!,#REF!,Planning[[#This Row],[Tipo de Tarea y especialidad]],#REF!,Planning[[#This Row],[Proyectos Reiwa]]),SUMIFS(#REF!,#REF!,Planning[[#This Row],[Tipo de Tarea y especialidad]],#REF!,Planning[[#This Row],[Proyectos]]))</f>
        <v>#REF!</v>
      </c>
      <c r="K2297" s="5" t="e">
        <f>Planning[[#This Row],[Horas Planificadas]]+Planning[[#This Row],[Horas ajustadas adicionales]]-Planning[[#This Row],[Horas utilizadas]]</f>
        <v>#REF!</v>
      </c>
      <c r="L2297" s="7">
        <v>0</v>
      </c>
      <c r="M2297" s="19" t="e">
        <f>Planning[[#This Row],[Saldo]]-Planning[[#This Row],[Saldo estimado]]</f>
        <v>#REF!</v>
      </c>
      <c r="N2297" s="60" t="e">
        <f>+SUMIFS(#REF!,#REF!,Planning[[#This Row],[Proyectos]],#REF!,Planning[[#This Row],[Tipo de Tarea y especialidad]])</f>
        <v>#REF!</v>
      </c>
      <c r="O2297" s="19">
        <f t="shared" si="70"/>
        <v>10</v>
      </c>
      <c r="P2297" s="19">
        <f t="shared" si="71"/>
        <v>2024</v>
      </c>
      <c r="Q22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97" s="19" t="str">
        <f>TEXT(Planning[[#This Row],[Mes]]*29,"mmmm")</f>
        <v>October</v>
      </c>
      <c r="S22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97" s="193"/>
      <c r="U2297" s="43" t="e">
        <f>IF(Planning[[#This Row],[Horas Planificadas]]&lt;&gt;0,+K2297/Planning[[#This Row],[Horas Planificadas]],0)</f>
        <v>#REF!</v>
      </c>
      <c r="V2297" s="43" t="e">
        <f>IF(Planning[[#This Row],[Horas Planificadas]]&lt;&gt;0,Planning[[#This Row],[Horas utilizadas]]/Planning[[#This Row],[Horas Planificadas]],0)</f>
        <v>#REF!</v>
      </c>
      <c r="W2297" s="44">
        <f>Planning[[#This Row],[Horas Planificadas]]+Planning[[#This Row],[Horas ajustadas adicionales]]</f>
        <v>60</v>
      </c>
      <c r="X2297" s="142"/>
    </row>
    <row r="2298" spans="1:24" x14ac:dyDescent="0.2">
      <c r="A2298" s="7" t="s">
        <v>177</v>
      </c>
      <c r="B2298" s="7" t="s">
        <v>393</v>
      </c>
      <c r="C2298" s="3"/>
      <c r="D2298" s="3" t="s">
        <v>490</v>
      </c>
      <c r="E2298" s="4" t="s">
        <v>30</v>
      </c>
      <c r="F2298" s="3"/>
      <c r="G2298" s="7">
        <v>405</v>
      </c>
      <c r="H2298" s="24">
        <f>SUM(H2299:H2305)</f>
        <v>405</v>
      </c>
      <c r="I2298" s="14"/>
      <c r="J2298" s="14" t="e">
        <f>SUM(J2299:J2305)</f>
        <v>#REF!</v>
      </c>
      <c r="K2298" s="18" t="e">
        <f>SUM(K2299:K2305)</f>
        <v>#REF!</v>
      </c>
      <c r="L2298" s="15">
        <f>SUM(L2299:L2305)</f>
        <v>0</v>
      </c>
      <c r="M2298" s="16" t="e">
        <f>SUM(M2299:M2305)</f>
        <v>#REF!</v>
      </c>
      <c r="N2298" s="60" t="e">
        <f>+SUMIFS(#REF!,#REF!,Planning[[#This Row],[Proyectos]],#REF!,Planning[[#This Row],[Tipo de Tarea y especialidad]])</f>
        <v>#REF!</v>
      </c>
      <c r="O2298" s="16">
        <f t="shared" si="70"/>
        <v>10</v>
      </c>
      <c r="P2298" s="16">
        <f t="shared" si="71"/>
        <v>2024</v>
      </c>
      <c r="Q2298" s="16" t="e">
        <f>SUM(Q2299:Q2305)</f>
        <v>#REF!</v>
      </c>
      <c r="R2298" s="16" t="str">
        <f>TEXT(Planning[[#This Row],[Mes]]*29,"mmmm")</f>
        <v>October</v>
      </c>
      <c r="S22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98" s="193"/>
      <c r="U2298" s="43" t="e">
        <f>IF(Planning[[#This Row],[Horas Planificadas]]&lt;&gt;0,+K2298/Planning[[#This Row],[Horas Planificadas]],0)</f>
        <v>#REF!</v>
      </c>
      <c r="V2298" s="43" t="e">
        <f>IF(Planning[[#This Row],[Horas Planificadas]]&lt;&gt;0,Planning[[#This Row],[Horas utilizadas]]/Planning[[#This Row],[Horas Planificadas]],0)</f>
        <v>#REF!</v>
      </c>
      <c r="W2298" s="44">
        <f>Planning[[#This Row],[Horas Planificadas]]+Planning[[#This Row],[Horas ajustadas adicionales]]</f>
        <v>405</v>
      </c>
      <c r="X2298" s="142"/>
    </row>
    <row r="2299" spans="1:24" x14ac:dyDescent="0.2">
      <c r="A2299" s="7" t="s">
        <v>177</v>
      </c>
      <c r="B2299" s="7" t="s">
        <v>393</v>
      </c>
      <c r="C2299" s="3"/>
      <c r="D2299" s="3" t="s">
        <v>490</v>
      </c>
      <c r="E2299" s="4"/>
      <c r="F2299" s="4" t="s">
        <v>122</v>
      </c>
      <c r="G2299" s="7"/>
      <c r="H2299" s="7">
        <v>65</v>
      </c>
      <c r="I2299" s="12"/>
      <c r="J2299" s="5" t="e">
        <f>SUM(SUMIFS(#REF!,#REF!,Planning[[#This Row],[Tipo de Tarea y especialidad]],#REF!,Planning[[#This Row],[Proyectos Reiwa]]),SUMIFS(#REF!,#REF!,Planning[[#This Row],[Tipo de Tarea y especialidad]],#REF!,Planning[[#This Row],[Proyectos]]))</f>
        <v>#REF!</v>
      </c>
      <c r="K2299" s="5" t="e">
        <f>Planning[[#This Row],[Horas Planificadas]]+Planning[[#This Row],[Horas ajustadas adicionales]]-Planning[[#This Row],[Horas utilizadas]]</f>
        <v>#REF!</v>
      </c>
      <c r="L2299" s="7">
        <v>0</v>
      </c>
      <c r="M2299" s="19" t="e">
        <f>Planning[[#This Row],[Saldo]]-Planning[[#This Row],[Saldo estimado]]</f>
        <v>#REF!</v>
      </c>
      <c r="N2299" s="60" t="e">
        <f>+SUMIFS(#REF!,#REF!,Planning[[#This Row],[Proyectos]],#REF!,Planning[[#This Row],[Tipo de Tarea y especialidad]])</f>
        <v>#REF!</v>
      </c>
      <c r="O2299" s="19">
        <f t="shared" si="70"/>
        <v>10</v>
      </c>
      <c r="P2299" s="19">
        <f t="shared" si="71"/>
        <v>2024</v>
      </c>
      <c r="Q22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299" s="19" t="str">
        <f>TEXT(Planning[[#This Row],[Mes]]*29,"mmmm")</f>
        <v>October</v>
      </c>
      <c r="S22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299" s="193"/>
      <c r="U2299" s="43" t="e">
        <f>IF(Planning[[#This Row],[Horas Planificadas]]&lt;&gt;0,+K2299/Planning[[#This Row],[Horas Planificadas]],0)</f>
        <v>#REF!</v>
      </c>
      <c r="V2299" s="43" t="e">
        <f>IF(Planning[[#This Row],[Horas Planificadas]]&lt;&gt;0,Planning[[#This Row],[Horas utilizadas]]/Planning[[#This Row],[Horas Planificadas]],0)</f>
        <v>#REF!</v>
      </c>
      <c r="W2299" s="44">
        <f>Planning[[#This Row],[Horas Planificadas]]+Planning[[#This Row],[Horas ajustadas adicionales]]</f>
        <v>65</v>
      </c>
      <c r="X2299" s="142"/>
    </row>
    <row r="2300" spans="1:24" x14ac:dyDescent="0.2">
      <c r="A2300" s="7" t="s">
        <v>177</v>
      </c>
      <c r="B2300" s="7" t="s">
        <v>393</v>
      </c>
      <c r="C2300" s="3"/>
      <c r="D2300" s="3" t="s">
        <v>490</v>
      </c>
      <c r="E2300" s="4"/>
      <c r="F2300" s="3" t="s">
        <v>123</v>
      </c>
      <c r="G2300" s="7"/>
      <c r="H2300" s="7"/>
      <c r="I2300" s="12"/>
      <c r="J2300" s="5" t="e">
        <f>SUM(SUMIFS(#REF!,#REF!,Planning[[#This Row],[Tipo de Tarea y especialidad]],#REF!,Planning[[#This Row],[Proyectos Reiwa]]),SUMIFS(#REF!,#REF!,Planning[[#This Row],[Tipo de Tarea y especialidad]],#REF!,Planning[[#This Row],[Proyectos]]))</f>
        <v>#REF!</v>
      </c>
      <c r="K2300" s="5" t="e">
        <f>Planning[[#This Row],[Horas Planificadas]]+Planning[[#This Row],[Horas ajustadas adicionales]]-Planning[[#This Row],[Horas utilizadas]]</f>
        <v>#REF!</v>
      </c>
      <c r="L2300" s="7"/>
      <c r="M2300" s="19" t="e">
        <f>Planning[[#This Row],[Saldo]]-Planning[[#This Row],[Saldo estimado]]</f>
        <v>#REF!</v>
      </c>
      <c r="N2300" s="60" t="e">
        <f>+SUMIFS(#REF!,#REF!,Planning[[#This Row],[Proyectos]],#REF!,Planning[[#This Row],[Tipo de Tarea y especialidad]])</f>
        <v>#REF!</v>
      </c>
      <c r="O2300" s="19">
        <f t="shared" si="70"/>
        <v>10</v>
      </c>
      <c r="P2300" s="19">
        <f t="shared" si="71"/>
        <v>2024</v>
      </c>
      <c r="Q23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00" s="19" t="str">
        <f>TEXT(Planning[[#This Row],[Mes]]*29,"mmmm")</f>
        <v>October</v>
      </c>
      <c r="S23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00" s="193"/>
      <c r="U2300" s="43">
        <f>IF(Planning[[#This Row],[Horas Planificadas]]&lt;&gt;0,+K2300/Planning[[#This Row],[Horas Planificadas]],0)</f>
        <v>0</v>
      </c>
      <c r="V2300" s="43">
        <f>IF(Planning[[#This Row],[Horas Planificadas]]&lt;&gt;0,Planning[[#This Row],[Horas utilizadas]]/Planning[[#This Row],[Horas Planificadas]],0)</f>
        <v>0</v>
      </c>
      <c r="W2300" s="44">
        <f>Planning[[#This Row],[Horas Planificadas]]+Planning[[#This Row],[Horas ajustadas adicionales]]</f>
        <v>0</v>
      </c>
      <c r="X2300" s="142"/>
    </row>
    <row r="2301" spans="1:24" x14ac:dyDescent="0.2">
      <c r="A2301" s="7" t="s">
        <v>177</v>
      </c>
      <c r="B2301" s="7" t="s">
        <v>393</v>
      </c>
      <c r="C2301" s="3"/>
      <c r="D2301" s="3" t="s">
        <v>490</v>
      </c>
      <c r="E2301" s="4"/>
      <c r="F2301" s="3" t="s">
        <v>124</v>
      </c>
      <c r="G2301" s="7"/>
      <c r="H2301" s="7">
        <v>340</v>
      </c>
      <c r="I2301" s="12"/>
      <c r="J2301" s="5" t="e">
        <f>SUM(SUMIFS(#REF!,#REF!,Planning[[#This Row],[Tipo de Tarea y especialidad]],#REF!,Planning[[#This Row],[Proyectos Reiwa]]),SUMIFS(#REF!,#REF!,Planning[[#This Row],[Tipo de Tarea y especialidad]],#REF!,Planning[[#This Row],[Proyectos]]))</f>
        <v>#REF!</v>
      </c>
      <c r="K2301" s="5" t="e">
        <f>Planning[[#This Row],[Horas Planificadas]]+Planning[[#This Row],[Horas ajustadas adicionales]]-Planning[[#This Row],[Horas utilizadas]]</f>
        <v>#REF!</v>
      </c>
      <c r="L2301" s="7">
        <v>0</v>
      </c>
      <c r="M2301" s="19" t="e">
        <f>Planning[[#This Row],[Saldo]]-Planning[[#This Row],[Saldo estimado]]</f>
        <v>#REF!</v>
      </c>
      <c r="N2301" s="60" t="e">
        <f>+SUMIFS(#REF!,#REF!,Planning[[#This Row],[Proyectos]],#REF!,Planning[[#This Row],[Tipo de Tarea y especialidad]])</f>
        <v>#REF!</v>
      </c>
      <c r="O2301" s="19">
        <f t="shared" si="70"/>
        <v>10</v>
      </c>
      <c r="P2301" s="19">
        <f t="shared" si="71"/>
        <v>2024</v>
      </c>
      <c r="Q23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01" s="19" t="str">
        <f>TEXT(Planning[[#This Row],[Mes]]*29,"mmmm")</f>
        <v>October</v>
      </c>
      <c r="S23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01" s="193"/>
      <c r="U2301" s="43" t="e">
        <f>IF(Planning[[#This Row],[Horas Planificadas]]&lt;&gt;0,+K2301/Planning[[#This Row],[Horas Planificadas]],0)</f>
        <v>#REF!</v>
      </c>
      <c r="V2301" s="43" t="e">
        <f>IF(Planning[[#This Row],[Horas Planificadas]]&lt;&gt;0,Planning[[#This Row],[Horas utilizadas]]/Planning[[#This Row],[Horas Planificadas]],0)</f>
        <v>#REF!</v>
      </c>
      <c r="W2301" s="44">
        <f>Planning[[#This Row],[Horas Planificadas]]+Planning[[#This Row],[Horas ajustadas adicionales]]</f>
        <v>340</v>
      </c>
      <c r="X2301" s="142"/>
    </row>
    <row r="2302" spans="1:24" x14ac:dyDescent="0.2">
      <c r="A2302" s="7" t="s">
        <v>177</v>
      </c>
      <c r="B2302" s="7" t="s">
        <v>393</v>
      </c>
      <c r="C2302" s="3"/>
      <c r="D2302" s="3" t="s">
        <v>490</v>
      </c>
      <c r="E2302" s="4"/>
      <c r="F2302" s="3" t="s">
        <v>125</v>
      </c>
      <c r="G2302" s="7"/>
      <c r="H2302" s="7"/>
      <c r="I2302" s="12"/>
      <c r="J2302" s="5" t="e">
        <f>SUM(SUMIFS(#REF!,#REF!,Planning[[#This Row],[Tipo de Tarea y especialidad]],#REF!,Planning[[#This Row],[Proyectos Reiwa]]),SUMIFS(#REF!,#REF!,Planning[[#This Row],[Tipo de Tarea y especialidad]],#REF!,Planning[[#This Row],[Proyectos]]))</f>
        <v>#REF!</v>
      </c>
      <c r="K2302" s="5" t="e">
        <f>Planning[[#This Row],[Horas Planificadas]]+Planning[[#This Row],[Horas ajustadas adicionales]]-Planning[[#This Row],[Horas utilizadas]]</f>
        <v>#REF!</v>
      </c>
      <c r="L2302" s="7"/>
      <c r="M2302" s="19" t="e">
        <f>Planning[[#This Row],[Saldo]]-Planning[[#This Row],[Saldo estimado]]</f>
        <v>#REF!</v>
      </c>
      <c r="N2302" s="60" t="e">
        <f>+SUMIFS(#REF!,#REF!,Planning[[#This Row],[Proyectos]],#REF!,Planning[[#This Row],[Tipo de Tarea y especialidad]])</f>
        <v>#REF!</v>
      </c>
      <c r="O2302" s="19">
        <f t="shared" si="70"/>
        <v>10</v>
      </c>
      <c r="P2302" s="19">
        <f t="shared" si="71"/>
        <v>2024</v>
      </c>
      <c r="Q23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02" s="19" t="str">
        <f>TEXT(Planning[[#This Row],[Mes]]*29,"mmmm")</f>
        <v>October</v>
      </c>
      <c r="S23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02" s="193"/>
      <c r="U2302" s="43">
        <f>IF(Planning[[#This Row],[Horas Planificadas]]&lt;&gt;0,+K2302/Planning[[#This Row],[Horas Planificadas]],0)</f>
        <v>0</v>
      </c>
      <c r="V2302" s="43">
        <f>IF(Planning[[#This Row],[Horas Planificadas]]&lt;&gt;0,Planning[[#This Row],[Horas utilizadas]]/Planning[[#This Row],[Horas Planificadas]],0)</f>
        <v>0</v>
      </c>
      <c r="W2302" s="44">
        <f>Planning[[#This Row],[Horas Planificadas]]+Planning[[#This Row],[Horas ajustadas adicionales]]</f>
        <v>0</v>
      </c>
      <c r="X2302" s="142"/>
    </row>
    <row r="2303" spans="1:24" x14ac:dyDescent="0.2">
      <c r="A2303" s="7" t="s">
        <v>177</v>
      </c>
      <c r="B2303" s="7" t="s">
        <v>393</v>
      </c>
      <c r="C2303" s="3"/>
      <c r="D2303" s="3" t="s">
        <v>490</v>
      </c>
      <c r="E2303" s="4"/>
      <c r="F2303" s="4" t="s">
        <v>126</v>
      </c>
      <c r="G2303" s="7"/>
      <c r="H2303" s="7"/>
      <c r="I2303" s="12"/>
      <c r="J2303" s="5" t="e">
        <f>SUM(SUMIFS(#REF!,#REF!,Planning[[#This Row],[Tipo de Tarea y especialidad]],#REF!,Planning[[#This Row],[Proyectos Reiwa]]),SUMIFS(#REF!,#REF!,Planning[[#This Row],[Tipo de Tarea y especialidad]],#REF!,Planning[[#This Row],[Proyectos]]))</f>
        <v>#REF!</v>
      </c>
      <c r="K2303" s="5" t="e">
        <f>Planning[[#This Row],[Horas Planificadas]]+Planning[[#This Row],[Horas ajustadas adicionales]]-Planning[[#This Row],[Horas utilizadas]]</f>
        <v>#REF!</v>
      </c>
      <c r="L2303" s="7">
        <v>0</v>
      </c>
      <c r="M2303" s="19" t="e">
        <f>Planning[[#This Row],[Saldo]]-Planning[[#This Row],[Saldo estimado]]</f>
        <v>#REF!</v>
      </c>
      <c r="N2303" s="60" t="e">
        <f>+SUMIFS(#REF!,#REF!,Planning[[#This Row],[Proyectos]],#REF!,Planning[[#This Row],[Tipo de Tarea y especialidad]])</f>
        <v>#REF!</v>
      </c>
      <c r="O2303" s="19">
        <f t="shared" si="70"/>
        <v>10</v>
      </c>
      <c r="P2303" s="19">
        <f t="shared" si="71"/>
        <v>2024</v>
      </c>
      <c r="Q23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03" s="19" t="str">
        <f>TEXT(Planning[[#This Row],[Mes]]*29,"mmmm")</f>
        <v>October</v>
      </c>
      <c r="S23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03" s="193"/>
      <c r="U2303" s="43">
        <f>IF(Planning[[#This Row],[Horas Planificadas]]&lt;&gt;0,+K2303/Planning[[#This Row],[Horas Planificadas]],0)</f>
        <v>0</v>
      </c>
      <c r="V2303" s="43">
        <f>IF(Planning[[#This Row],[Horas Planificadas]]&lt;&gt;0,Planning[[#This Row],[Horas utilizadas]]/Planning[[#This Row],[Horas Planificadas]],0)</f>
        <v>0</v>
      </c>
      <c r="W2303" s="44">
        <f>Planning[[#This Row],[Horas Planificadas]]+Planning[[#This Row],[Horas ajustadas adicionales]]</f>
        <v>0</v>
      </c>
      <c r="X2303" s="142"/>
    </row>
    <row r="2304" spans="1:24" x14ac:dyDescent="0.2">
      <c r="A2304" s="7" t="s">
        <v>177</v>
      </c>
      <c r="B2304" s="7" t="s">
        <v>393</v>
      </c>
      <c r="C2304" s="3"/>
      <c r="D2304" s="3" t="s">
        <v>490</v>
      </c>
      <c r="E2304" s="4"/>
      <c r="F2304" s="3" t="s">
        <v>127</v>
      </c>
      <c r="G2304" s="7"/>
      <c r="H2304" s="7"/>
      <c r="I2304" s="12"/>
      <c r="J2304" s="5" t="e">
        <f>SUM(SUMIFS(#REF!,#REF!,Planning[[#This Row],[Tipo de Tarea y especialidad]],#REF!,Planning[[#This Row],[Proyectos Reiwa]]),SUMIFS(#REF!,#REF!,Planning[[#This Row],[Tipo de Tarea y especialidad]],#REF!,Planning[[#This Row],[Proyectos]]))</f>
        <v>#REF!</v>
      </c>
      <c r="K2304" s="5" t="e">
        <f>Planning[[#This Row],[Horas Planificadas]]+Planning[[#This Row],[Horas ajustadas adicionales]]-Planning[[#This Row],[Horas utilizadas]]</f>
        <v>#REF!</v>
      </c>
      <c r="L2304" s="7"/>
      <c r="M2304" s="19" t="e">
        <f>Planning[[#This Row],[Saldo]]-Planning[[#This Row],[Saldo estimado]]</f>
        <v>#REF!</v>
      </c>
      <c r="N2304" s="60" t="e">
        <f>+SUMIFS(#REF!,#REF!,Planning[[#This Row],[Proyectos]],#REF!,Planning[[#This Row],[Tipo de Tarea y especialidad]])</f>
        <v>#REF!</v>
      </c>
      <c r="O2304" s="19">
        <f t="shared" si="70"/>
        <v>10</v>
      </c>
      <c r="P2304" s="19">
        <f t="shared" si="71"/>
        <v>2024</v>
      </c>
      <c r="Q23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04" s="19" t="str">
        <f>TEXT(Planning[[#This Row],[Mes]]*29,"mmmm")</f>
        <v>October</v>
      </c>
      <c r="S23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04" s="193"/>
      <c r="U2304" s="43">
        <f>IF(Planning[[#This Row],[Horas Planificadas]]&lt;&gt;0,+K2304/Planning[[#This Row],[Horas Planificadas]],0)</f>
        <v>0</v>
      </c>
      <c r="V2304" s="43">
        <f>IF(Planning[[#This Row],[Horas Planificadas]]&lt;&gt;0,Planning[[#This Row],[Horas utilizadas]]/Planning[[#This Row],[Horas Planificadas]],0)</f>
        <v>0</v>
      </c>
      <c r="W2304" s="44">
        <f>Planning[[#This Row],[Horas Planificadas]]+Planning[[#This Row],[Horas ajustadas adicionales]]</f>
        <v>0</v>
      </c>
      <c r="X2304" s="142"/>
    </row>
    <row r="2305" spans="1:24" x14ac:dyDescent="0.2">
      <c r="A2305" s="7" t="s">
        <v>177</v>
      </c>
      <c r="B2305" s="7" t="s">
        <v>393</v>
      </c>
      <c r="C2305" s="3"/>
      <c r="D2305" s="3" t="s">
        <v>490</v>
      </c>
      <c r="E2305" s="4"/>
      <c r="F2305" s="3" t="s">
        <v>128</v>
      </c>
      <c r="G2305" s="7"/>
      <c r="H2305" s="7"/>
      <c r="I2305" s="12"/>
      <c r="J2305" s="5" t="e">
        <f>SUM(SUMIFS(#REF!,#REF!,Planning[[#This Row],[Tipo de Tarea y especialidad]],#REF!,Planning[[#This Row],[Proyectos Reiwa]]),SUMIFS(#REF!,#REF!,Planning[[#This Row],[Tipo de Tarea y especialidad]],#REF!,Planning[[#This Row],[Proyectos]]))</f>
        <v>#REF!</v>
      </c>
      <c r="K2305" s="5" t="e">
        <f>Planning[[#This Row],[Horas Planificadas]]+Planning[[#This Row],[Horas ajustadas adicionales]]-Planning[[#This Row],[Horas utilizadas]]</f>
        <v>#REF!</v>
      </c>
      <c r="L2305" s="7">
        <v>0</v>
      </c>
      <c r="M2305" s="19" t="e">
        <f>Planning[[#This Row],[Saldo]]-Planning[[#This Row],[Saldo estimado]]</f>
        <v>#REF!</v>
      </c>
      <c r="N2305" s="60" t="e">
        <f>+SUMIFS(#REF!,#REF!,Planning[[#This Row],[Proyectos]],#REF!,Planning[[#This Row],[Tipo de Tarea y especialidad]])</f>
        <v>#REF!</v>
      </c>
      <c r="O2305" s="19">
        <f t="shared" si="70"/>
        <v>10</v>
      </c>
      <c r="P2305" s="19">
        <f t="shared" si="71"/>
        <v>2024</v>
      </c>
      <c r="Q23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05" s="19" t="str">
        <f>TEXT(Planning[[#This Row],[Mes]]*29,"mmmm")</f>
        <v>October</v>
      </c>
      <c r="S23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05" s="193"/>
      <c r="U2305" s="43">
        <f>IF(Planning[[#This Row],[Horas Planificadas]]&lt;&gt;0,+K2305/Planning[[#This Row],[Horas Planificadas]],0)</f>
        <v>0</v>
      </c>
      <c r="V2305" s="43">
        <f>IF(Planning[[#This Row],[Horas Planificadas]]&lt;&gt;0,Planning[[#This Row],[Horas utilizadas]]/Planning[[#This Row],[Horas Planificadas]],0)</f>
        <v>0</v>
      </c>
      <c r="W2305" s="44">
        <f>Planning[[#This Row],[Horas Planificadas]]+Planning[[#This Row],[Horas ajustadas adicionales]]</f>
        <v>0</v>
      </c>
      <c r="X2305" s="142"/>
    </row>
    <row r="2306" spans="1:24" x14ac:dyDescent="0.2">
      <c r="A2306" s="7" t="s">
        <v>177</v>
      </c>
      <c r="B2306" s="7" t="s">
        <v>393</v>
      </c>
      <c r="C2306" s="3"/>
      <c r="D2306" s="3" t="s">
        <v>490</v>
      </c>
      <c r="E2306" s="4" t="s">
        <v>31</v>
      </c>
      <c r="F2306" s="3" t="s">
        <v>31</v>
      </c>
      <c r="G2306" s="7">
        <v>120</v>
      </c>
      <c r="H2306" s="15">
        <v>120</v>
      </c>
      <c r="I2306" s="18"/>
      <c r="J2306" s="14" t="e">
        <f>+SUMIFS(#REF!,#REF!,Planning[[#This Row],[Tarifa]],#REF!,Planning[[#This Row],[Proyectos]])</f>
        <v>#REF!</v>
      </c>
      <c r="K2306" s="14" t="e">
        <f>Planning[[#This Row],[Horas Planificadas]]+Planning[[#This Row],[Horas ajustadas adicionales]]-Planning[[#This Row],[Horas utilizadas]]</f>
        <v>#REF!</v>
      </c>
      <c r="L2306" s="15">
        <v>0</v>
      </c>
      <c r="M2306" s="16" t="e">
        <f>Planning[[#This Row],[Saldo]]-Planning[[#This Row],[Saldo estimado]]</f>
        <v>#REF!</v>
      </c>
      <c r="N2306" s="60" t="e">
        <f>+SUMIFS(#REF!,#REF!,Planning[[#This Row],[Proyectos]],#REF!,Planning[[#This Row],[Tipo de Tarea y especialidad]])</f>
        <v>#REF!</v>
      </c>
      <c r="O2306" s="16">
        <f t="shared" si="70"/>
        <v>10</v>
      </c>
      <c r="P2306" s="16">
        <f t="shared" si="71"/>
        <v>2024</v>
      </c>
      <c r="Q2306" s="16" t="e">
        <f>+SUMIFS(#REF!,#REF!,Planning[[#This Row],[Tarifa]],#REF!,Planning[[#This Row],[Proyectos]],#REF!,Planning[[#This Row],[Mes]],#REF!,Planning[[#This Row],[Año]])</f>
        <v>#REF!</v>
      </c>
      <c r="R2306" s="16" t="str">
        <f>TEXT(Planning[[#This Row],[Mes]]*29,"mmmm")</f>
        <v>October</v>
      </c>
      <c r="S23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06" s="193"/>
      <c r="U2306" s="43" t="e">
        <f>IF(Planning[[#This Row],[Horas Planificadas]]&lt;&gt;0,+K2306/Planning[[#This Row],[Horas Planificadas]],0)</f>
        <v>#REF!</v>
      </c>
      <c r="V2306" s="43" t="e">
        <f>IF(Planning[[#This Row],[Horas Planificadas]]&lt;&gt;0,Planning[[#This Row],[Horas utilizadas]]/Planning[[#This Row],[Horas Planificadas]],0)</f>
        <v>#REF!</v>
      </c>
      <c r="W2306" s="44">
        <f>Planning[[#This Row],[Horas Planificadas]]+Planning[[#This Row],[Horas ajustadas adicionales]]</f>
        <v>120</v>
      </c>
      <c r="X2306" s="142"/>
    </row>
    <row r="2307" spans="1:24" ht="22.5" x14ac:dyDescent="0.2">
      <c r="A2307" s="7" t="s">
        <v>177</v>
      </c>
      <c r="B2307" s="7" t="s">
        <v>393</v>
      </c>
      <c r="C2307" s="3"/>
      <c r="D2307" s="3" t="s">
        <v>490</v>
      </c>
      <c r="E2307" s="4" t="s">
        <v>32</v>
      </c>
      <c r="F2307" s="4"/>
      <c r="G2307" s="7">
        <v>140</v>
      </c>
      <c r="H2307" s="24">
        <f>SUM(H2308:H2310)</f>
        <v>140</v>
      </c>
      <c r="I2307" s="14"/>
      <c r="J2307" s="14" t="e">
        <f>SUM(J2308:J2310)</f>
        <v>#REF!</v>
      </c>
      <c r="K2307" s="18" t="e">
        <f>SUM(K2308:K2310)</f>
        <v>#REF!</v>
      </c>
      <c r="L2307" s="15">
        <f>SUM(L2308:L2310)</f>
        <v>140</v>
      </c>
      <c r="M2307" s="16" t="e">
        <f>SUM(M2308:M2310)</f>
        <v>#REF!</v>
      </c>
      <c r="N2307" s="60" t="e">
        <f>+SUMIFS(#REF!,#REF!,Planning[[#This Row],[Proyectos]],#REF!,Planning[[#This Row],[Tipo de Tarea y especialidad]])</f>
        <v>#REF!</v>
      </c>
      <c r="O2307" s="16">
        <f t="shared" si="70"/>
        <v>10</v>
      </c>
      <c r="P2307" s="16">
        <f t="shared" si="71"/>
        <v>2024</v>
      </c>
      <c r="Q2307" s="16" t="e">
        <f>SUM(Q2308:Q2310)</f>
        <v>#REF!</v>
      </c>
      <c r="R2307" s="16" t="str">
        <f>TEXT(Planning[[#This Row],[Mes]]*29,"mmmm")</f>
        <v>October</v>
      </c>
      <c r="S23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07" s="193"/>
      <c r="U2307" s="43" t="e">
        <f>IF(Planning[[#This Row],[Horas Planificadas]]&lt;&gt;0,+K2307/Planning[[#This Row],[Horas Planificadas]],0)</f>
        <v>#REF!</v>
      </c>
      <c r="V2307" s="43" t="e">
        <f>IF(Planning[[#This Row],[Horas Planificadas]]&lt;&gt;0,Planning[[#This Row],[Horas utilizadas]]/Planning[[#This Row],[Horas Planificadas]],0)</f>
        <v>#REF!</v>
      </c>
      <c r="W2307" s="44">
        <f>Planning[[#This Row],[Horas Planificadas]]+Planning[[#This Row],[Horas ajustadas adicionales]]</f>
        <v>140</v>
      </c>
      <c r="X2307" s="142"/>
    </row>
    <row r="2308" spans="1:24" x14ac:dyDescent="0.2">
      <c r="A2308" s="7" t="s">
        <v>177</v>
      </c>
      <c r="B2308" s="7" t="s">
        <v>393</v>
      </c>
      <c r="C2308" s="3"/>
      <c r="D2308" s="3" t="s">
        <v>490</v>
      </c>
      <c r="E2308" s="4"/>
      <c r="F2308" s="3" t="s">
        <v>129</v>
      </c>
      <c r="G2308" s="7"/>
      <c r="H2308" s="7"/>
      <c r="I2308" s="12"/>
      <c r="J2308" s="5" t="e">
        <f>SUM(SUMIFS(#REF!,#REF!,Planning[[#This Row],[Tipo de Tarea y especialidad]],#REF!,Planning[[#This Row],[Proyectos Reiwa]]),SUMIFS(#REF!,#REF!,Planning[[#This Row],[Tipo de Tarea y especialidad]],#REF!,Planning[[#This Row],[Proyectos]]))</f>
        <v>#REF!</v>
      </c>
      <c r="K2308" s="5" t="e">
        <f>Planning[[#This Row],[Horas Planificadas]]+Planning[[#This Row],[Horas ajustadas adicionales]]-Planning[[#This Row],[Horas utilizadas]]</f>
        <v>#REF!</v>
      </c>
      <c r="L2308" s="7"/>
      <c r="M2308" s="19" t="e">
        <f>Planning[[#This Row],[Saldo]]-Planning[[#This Row],[Saldo estimado]]</f>
        <v>#REF!</v>
      </c>
      <c r="N2308" s="60" t="e">
        <f>+SUMIFS(#REF!,#REF!,Planning[[#This Row],[Proyectos]],#REF!,Planning[[#This Row],[Tipo de Tarea y especialidad]])</f>
        <v>#REF!</v>
      </c>
      <c r="O2308" s="19">
        <f t="shared" si="70"/>
        <v>10</v>
      </c>
      <c r="P2308" s="19">
        <f t="shared" si="71"/>
        <v>2024</v>
      </c>
      <c r="Q23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08" s="19" t="str">
        <f>TEXT(Planning[[#This Row],[Mes]]*29,"mmmm")</f>
        <v>October</v>
      </c>
      <c r="S23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08" s="193"/>
      <c r="U2308" s="43">
        <f>IF(Planning[[#This Row],[Horas Planificadas]]&lt;&gt;0,+K2308/Planning[[#This Row],[Horas Planificadas]],0)</f>
        <v>0</v>
      </c>
      <c r="V2308" s="43">
        <f>IF(Planning[[#This Row],[Horas Planificadas]]&lt;&gt;0,Planning[[#This Row],[Horas utilizadas]]/Planning[[#This Row],[Horas Planificadas]],0)</f>
        <v>0</v>
      </c>
      <c r="W2308" s="44">
        <f>Planning[[#This Row],[Horas Planificadas]]+Planning[[#This Row],[Horas ajustadas adicionales]]</f>
        <v>0</v>
      </c>
      <c r="X2308" s="142"/>
    </row>
    <row r="2309" spans="1:24" x14ac:dyDescent="0.2">
      <c r="A2309" s="7" t="s">
        <v>177</v>
      </c>
      <c r="B2309" s="7" t="s">
        <v>393</v>
      </c>
      <c r="C2309" s="3"/>
      <c r="D2309" s="3" t="s">
        <v>490</v>
      </c>
      <c r="E2309" s="4"/>
      <c r="F2309" s="3" t="s">
        <v>130</v>
      </c>
      <c r="G2309" s="7"/>
      <c r="H2309" s="7"/>
      <c r="I2309" s="12"/>
      <c r="J2309" s="5" t="e">
        <f>SUM(SUMIFS(#REF!,#REF!,Planning[[#This Row],[Tipo de Tarea y especialidad]],#REF!,Planning[[#This Row],[Proyectos Reiwa]]),SUMIFS(#REF!,#REF!,Planning[[#This Row],[Tipo de Tarea y especialidad]],#REF!,Planning[[#This Row],[Proyectos]]))</f>
        <v>#REF!</v>
      </c>
      <c r="K2309" s="5" t="e">
        <f>Planning[[#This Row],[Horas Planificadas]]+Planning[[#This Row],[Horas ajustadas adicionales]]-Planning[[#This Row],[Horas utilizadas]]</f>
        <v>#REF!</v>
      </c>
      <c r="L2309" s="7"/>
      <c r="M2309" s="19" t="e">
        <f>Planning[[#This Row],[Saldo]]-Planning[[#This Row],[Saldo estimado]]</f>
        <v>#REF!</v>
      </c>
      <c r="N2309" s="60" t="e">
        <f>+SUMIFS(#REF!,#REF!,Planning[[#This Row],[Proyectos]],#REF!,Planning[[#This Row],[Tipo de Tarea y especialidad]])</f>
        <v>#REF!</v>
      </c>
      <c r="O2309" s="19">
        <f t="shared" si="70"/>
        <v>10</v>
      </c>
      <c r="P2309" s="19">
        <f t="shared" si="71"/>
        <v>2024</v>
      </c>
      <c r="Q23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09" s="19" t="str">
        <f>TEXT(Planning[[#This Row],[Mes]]*29,"mmmm")</f>
        <v>October</v>
      </c>
      <c r="S23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09" s="193"/>
      <c r="U2309" s="43">
        <f>IF(Planning[[#This Row],[Horas Planificadas]]&lt;&gt;0,+K2309/Planning[[#This Row],[Horas Planificadas]],0)</f>
        <v>0</v>
      </c>
      <c r="V2309" s="43">
        <f>IF(Planning[[#This Row],[Horas Planificadas]]&lt;&gt;0,Planning[[#This Row],[Horas utilizadas]]/Planning[[#This Row],[Horas Planificadas]],0)</f>
        <v>0</v>
      </c>
      <c r="W2309" s="44">
        <f>Planning[[#This Row],[Horas Planificadas]]+Planning[[#This Row],[Horas ajustadas adicionales]]</f>
        <v>0</v>
      </c>
      <c r="X2309" s="142"/>
    </row>
    <row r="2310" spans="1:24" x14ac:dyDescent="0.2">
      <c r="A2310" s="7" t="s">
        <v>177</v>
      </c>
      <c r="B2310" s="7" t="s">
        <v>393</v>
      </c>
      <c r="C2310" s="3"/>
      <c r="D2310" s="3" t="s">
        <v>490</v>
      </c>
      <c r="E2310" s="4"/>
      <c r="F2310" s="3" t="s">
        <v>131</v>
      </c>
      <c r="G2310" s="7"/>
      <c r="H2310" s="7">
        <v>140</v>
      </c>
      <c r="I2310" s="12"/>
      <c r="J2310" s="5" t="e">
        <f>SUM(SUMIFS(#REF!,#REF!,Planning[[#This Row],[Tipo de Tarea y especialidad]],#REF!,Planning[[#This Row],[Proyectos Reiwa]]),SUMIFS(#REF!,#REF!,Planning[[#This Row],[Tipo de Tarea y especialidad]],#REF!,Planning[[#This Row],[Proyectos]]))</f>
        <v>#REF!</v>
      </c>
      <c r="K2310" s="5" t="e">
        <f>Planning[[#This Row],[Horas Planificadas]]+Planning[[#This Row],[Horas ajustadas adicionales]]-Planning[[#This Row],[Horas utilizadas]]</f>
        <v>#REF!</v>
      </c>
      <c r="L2310" s="7">
        <v>140</v>
      </c>
      <c r="M2310" s="19" t="e">
        <f>Planning[[#This Row],[Saldo]]-Planning[[#This Row],[Saldo estimado]]</f>
        <v>#REF!</v>
      </c>
      <c r="N2310" s="60" t="e">
        <f>+SUMIFS(#REF!,#REF!,Planning[[#This Row],[Proyectos]],#REF!,Planning[[#This Row],[Tipo de Tarea y especialidad]])</f>
        <v>#REF!</v>
      </c>
      <c r="O2310" s="19">
        <f t="shared" si="70"/>
        <v>10</v>
      </c>
      <c r="P2310" s="19">
        <f t="shared" si="71"/>
        <v>2024</v>
      </c>
      <c r="Q23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10" s="19" t="str">
        <f>TEXT(Planning[[#This Row],[Mes]]*29,"mmmm")</f>
        <v>October</v>
      </c>
      <c r="S23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10" s="193"/>
      <c r="U2310" s="43" t="e">
        <f>IF(Planning[[#This Row],[Horas Planificadas]]&lt;&gt;0,+K2310/Planning[[#This Row],[Horas Planificadas]],0)</f>
        <v>#REF!</v>
      </c>
      <c r="V2310" s="43" t="e">
        <f>IF(Planning[[#This Row],[Horas Planificadas]]&lt;&gt;0,Planning[[#This Row],[Horas utilizadas]]/Planning[[#This Row],[Horas Planificadas]],0)</f>
        <v>#REF!</v>
      </c>
      <c r="W2310" s="44">
        <f>Planning[[#This Row],[Horas Planificadas]]+Planning[[#This Row],[Horas ajustadas adicionales]]</f>
        <v>140</v>
      </c>
      <c r="X2310" s="142"/>
    </row>
    <row r="2311" spans="1:24" ht="22.5" x14ac:dyDescent="0.2">
      <c r="A2311" s="7" t="s">
        <v>294</v>
      </c>
      <c r="B2311" s="7" t="s">
        <v>393</v>
      </c>
      <c r="C2311" s="3"/>
      <c r="D2311" s="3" t="s">
        <v>492</v>
      </c>
      <c r="E2311" s="4" t="s">
        <v>28</v>
      </c>
      <c r="F2311" s="3"/>
      <c r="G2311" s="9">
        <v>390</v>
      </c>
      <c r="H2311" s="14">
        <f>SUM(H2312:H2313)</f>
        <v>390</v>
      </c>
      <c r="I2311" s="14"/>
      <c r="J2311" s="14" t="e">
        <f>SUM(J2312:J2313)</f>
        <v>#REF!</v>
      </c>
      <c r="K2311" s="15" t="e">
        <f>SUM(K2312:K2313)</f>
        <v>#REF!</v>
      </c>
      <c r="L2311" s="15">
        <f>SUM(L2312:L2313)</f>
        <v>0</v>
      </c>
      <c r="M2311" s="14" t="e">
        <f>SUM(M2312:M2313)</f>
        <v>#REF!</v>
      </c>
      <c r="N2311" s="66" t="e">
        <f>+SUMIFS(#REF!,#REF!,Planning[[#This Row],[Proyectos]],#REF!,Planning[[#This Row],[Tipo de Tarea y especialidad]])</f>
        <v>#REF!</v>
      </c>
      <c r="O2311" s="14">
        <f t="shared" ref="O2311:O2374" si="72">$L$4</f>
        <v>10</v>
      </c>
      <c r="P2311" s="14">
        <f t="shared" ref="P2311:P2374" si="73">$M$4</f>
        <v>2024</v>
      </c>
      <c r="Q2311" s="28" t="e">
        <f>SUM(Q2312:Q2313)</f>
        <v>#REF!</v>
      </c>
      <c r="R2311" s="28" t="str">
        <f>TEXT(Planning[[#This Row],[Mes]]*29,"mmmm")</f>
        <v>October</v>
      </c>
      <c r="S23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11" s="192" t="s">
        <v>493</v>
      </c>
      <c r="U2311" s="43" t="e">
        <f>IF(Planning[[#This Row],[Horas Planificadas]]&lt;&gt;0,+K2311/Planning[[#This Row],[Horas Planificadas]],0)</f>
        <v>#REF!</v>
      </c>
      <c r="V2311" s="43" t="e">
        <f>IF(Planning[[#This Row],[Horas Planificadas]]&lt;&gt;0,Planning[[#This Row],[Horas utilizadas]]/Planning[[#This Row],[Horas Planificadas]],0)</f>
        <v>#REF!</v>
      </c>
      <c r="W2311" s="44">
        <f>Planning[[#This Row],[Horas Planificadas]]+Planning[[#This Row],[Horas ajustadas adicionales]]</f>
        <v>390</v>
      </c>
      <c r="X2311" s="142"/>
    </row>
    <row r="2312" spans="1:24" x14ac:dyDescent="0.2">
      <c r="A2312" s="7" t="s">
        <v>294</v>
      </c>
      <c r="B2312" s="7" t="s">
        <v>393</v>
      </c>
      <c r="C2312" s="3"/>
      <c r="D2312" s="3" t="s">
        <v>492</v>
      </c>
      <c r="E2312" s="4"/>
      <c r="F2312" s="3" t="s">
        <v>120</v>
      </c>
      <c r="G2312" s="9"/>
      <c r="H2312" s="9">
        <v>282</v>
      </c>
      <c r="I2312" s="12"/>
      <c r="J2312" s="5" t="e">
        <f>SUM(SUMIFS(#REF!,#REF!,Planning[[#This Row],[Tipo de Tarea y especialidad]],#REF!,Planning[[#This Row],[Proyectos Reiwa]]),SUMIFS(#REF!,#REF!,Planning[[#This Row],[Tipo de Tarea y especialidad]],#REF!,Planning[[#This Row],[Proyectos]]))</f>
        <v>#REF!</v>
      </c>
      <c r="K2312" s="5" t="e">
        <f>Planning[[#This Row],[Horas Planificadas]]+Planning[[#This Row],[Horas ajustadas adicionales]]-Planning[[#This Row],[Horas utilizadas]]</f>
        <v>#REF!</v>
      </c>
      <c r="L2312" s="7">
        <v>0</v>
      </c>
      <c r="M2312" s="19" t="e">
        <f>Planning[[#This Row],[Saldo]]-Planning[[#This Row],[Saldo estimado]]</f>
        <v>#REF!</v>
      </c>
      <c r="N2312" s="60" t="e">
        <f>+SUMIFS(#REF!,#REF!,Planning[[#This Row],[Proyectos]],#REF!,Planning[[#This Row],[Tipo de Tarea y especialidad]])</f>
        <v>#REF!</v>
      </c>
      <c r="O2312" s="19">
        <f t="shared" si="72"/>
        <v>10</v>
      </c>
      <c r="P2312" s="19">
        <f t="shared" si="73"/>
        <v>2024</v>
      </c>
      <c r="Q23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12" s="19" t="str">
        <f>TEXT(Planning[[#This Row],[Mes]]*29,"mmmm")</f>
        <v>October</v>
      </c>
      <c r="S23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12" s="193"/>
      <c r="U2312" s="43" t="e">
        <f>IF(Planning[[#This Row],[Horas Planificadas]]&lt;&gt;0,+K2312/Planning[[#This Row],[Horas Planificadas]],0)</f>
        <v>#REF!</v>
      </c>
      <c r="V2312" s="43" t="e">
        <f>IF(Planning[[#This Row],[Horas Planificadas]]&lt;&gt;0,Planning[[#This Row],[Horas utilizadas]]/Planning[[#This Row],[Horas Planificadas]],0)</f>
        <v>#REF!</v>
      </c>
      <c r="W2312" s="44">
        <f>Planning[[#This Row],[Horas Planificadas]]+Planning[[#This Row],[Horas ajustadas adicionales]]</f>
        <v>282</v>
      </c>
      <c r="X2312" s="142"/>
    </row>
    <row r="2313" spans="1:24" x14ac:dyDescent="0.2">
      <c r="A2313" s="7" t="s">
        <v>294</v>
      </c>
      <c r="B2313" s="7" t="s">
        <v>393</v>
      </c>
      <c r="C2313" s="3"/>
      <c r="D2313" s="3" t="s">
        <v>492</v>
      </c>
      <c r="E2313" s="4"/>
      <c r="F2313" s="3" t="s">
        <v>121</v>
      </c>
      <c r="G2313" s="9"/>
      <c r="H2313" s="9">
        <v>108</v>
      </c>
      <c r="I2313" s="12"/>
      <c r="J2313" s="5" t="e">
        <f>SUM(SUMIFS(#REF!,#REF!,Planning[[#This Row],[Tipo de Tarea y especialidad]],#REF!,Planning[[#This Row],[Proyectos Reiwa]]),SUMIFS(#REF!,#REF!,Planning[[#This Row],[Tipo de Tarea y especialidad]],#REF!,Planning[[#This Row],[Proyectos]]))</f>
        <v>#REF!</v>
      </c>
      <c r="K2313" s="5" t="e">
        <f>Planning[[#This Row],[Horas Planificadas]]+Planning[[#This Row],[Horas ajustadas adicionales]]-Planning[[#This Row],[Horas utilizadas]]</f>
        <v>#REF!</v>
      </c>
      <c r="L2313" s="7">
        <v>0</v>
      </c>
      <c r="M2313" s="19" t="e">
        <f>Planning[[#This Row],[Saldo]]-Planning[[#This Row],[Saldo estimado]]</f>
        <v>#REF!</v>
      </c>
      <c r="N2313" s="60" t="e">
        <f>+SUMIFS(#REF!,#REF!,Planning[[#This Row],[Proyectos]],#REF!,Planning[[#This Row],[Tipo de Tarea y especialidad]])</f>
        <v>#REF!</v>
      </c>
      <c r="O2313" s="19">
        <f t="shared" si="72"/>
        <v>10</v>
      </c>
      <c r="P2313" s="19">
        <f t="shared" si="73"/>
        <v>2024</v>
      </c>
      <c r="Q23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13" s="19" t="str">
        <f>TEXT(Planning[[#This Row],[Mes]]*29,"mmmm")</f>
        <v>October</v>
      </c>
      <c r="S23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13" s="193"/>
      <c r="U2313" s="43" t="e">
        <f>IF(Planning[[#This Row],[Horas Planificadas]]&lt;&gt;0,+K2313/Planning[[#This Row],[Horas Planificadas]],0)</f>
        <v>#REF!</v>
      </c>
      <c r="V2313" s="43" t="e">
        <f>IF(Planning[[#This Row],[Horas Planificadas]]&lt;&gt;0,Planning[[#This Row],[Horas utilizadas]]/Planning[[#This Row],[Horas Planificadas]],0)</f>
        <v>#REF!</v>
      </c>
      <c r="W2313" s="44">
        <f>Planning[[#This Row],[Horas Planificadas]]+Planning[[#This Row],[Horas ajustadas adicionales]]</f>
        <v>108</v>
      </c>
      <c r="X2313" s="142"/>
    </row>
    <row r="2314" spans="1:24" x14ac:dyDescent="0.2">
      <c r="A2314" s="7" t="s">
        <v>294</v>
      </c>
      <c r="B2314" s="7" t="s">
        <v>393</v>
      </c>
      <c r="C2314" s="3"/>
      <c r="D2314" s="3" t="s">
        <v>492</v>
      </c>
      <c r="E2314" s="4" t="s">
        <v>30</v>
      </c>
      <c r="F2314" s="3"/>
      <c r="G2314" s="9">
        <v>310</v>
      </c>
      <c r="H2314" s="14">
        <f>SUM(H2315:H2321)</f>
        <v>210</v>
      </c>
      <c r="I2314" s="14"/>
      <c r="J2314" s="14" t="e">
        <f>SUM(J2315:J2321)</f>
        <v>#REF!</v>
      </c>
      <c r="K2314" s="15" t="e">
        <f>SUM(K2315:K2321)</f>
        <v>#REF!</v>
      </c>
      <c r="L2314" s="15">
        <f>SUM(L2315:L2321)</f>
        <v>0</v>
      </c>
      <c r="M2314" s="16" t="e">
        <f>SUM(M2315:M2321)</f>
        <v>#REF!</v>
      </c>
      <c r="N2314" s="60" t="e">
        <f>+SUMIFS(#REF!,#REF!,Planning[[#This Row],[Proyectos]],#REF!,Planning[[#This Row],[Tipo de Tarea y especialidad]])</f>
        <v>#REF!</v>
      </c>
      <c r="O2314" s="16">
        <f t="shared" si="72"/>
        <v>10</v>
      </c>
      <c r="P2314" s="16">
        <f t="shared" si="73"/>
        <v>2024</v>
      </c>
      <c r="Q2314" s="16" t="e">
        <f>SUM(Q2315:Q2321)</f>
        <v>#REF!</v>
      </c>
      <c r="R2314" s="16" t="str">
        <f>TEXT(Planning[[#This Row],[Mes]]*29,"mmmm")</f>
        <v>October</v>
      </c>
      <c r="S23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14" s="193"/>
      <c r="U2314" s="43" t="e">
        <f>IF(Planning[[#This Row],[Horas Planificadas]]&lt;&gt;0,+K2314/Planning[[#This Row],[Horas Planificadas]],0)</f>
        <v>#REF!</v>
      </c>
      <c r="V2314" s="43" t="e">
        <f>IF(Planning[[#This Row],[Horas Planificadas]]&lt;&gt;0,Planning[[#This Row],[Horas utilizadas]]/Planning[[#This Row],[Horas Planificadas]],0)</f>
        <v>#REF!</v>
      </c>
      <c r="W2314" s="44">
        <f>Planning[[#This Row],[Horas Planificadas]]+Planning[[#This Row],[Horas ajustadas adicionales]]</f>
        <v>210</v>
      </c>
      <c r="X2314" s="142"/>
    </row>
    <row r="2315" spans="1:24" x14ac:dyDescent="0.2">
      <c r="A2315" s="7" t="s">
        <v>294</v>
      </c>
      <c r="B2315" s="7" t="s">
        <v>393</v>
      </c>
      <c r="C2315" s="3"/>
      <c r="D2315" s="3" t="s">
        <v>492</v>
      </c>
      <c r="E2315" s="4"/>
      <c r="F2315" s="3" t="s">
        <v>122</v>
      </c>
      <c r="G2315" s="9"/>
      <c r="H2315" s="9"/>
      <c r="I2315" s="12"/>
      <c r="J2315" s="5" t="e">
        <f>SUM(SUMIFS(#REF!,#REF!,Planning[[#This Row],[Tipo de Tarea y especialidad]],#REF!,Planning[[#This Row],[Proyectos Reiwa]]),SUMIFS(#REF!,#REF!,Planning[[#This Row],[Tipo de Tarea y especialidad]],#REF!,Planning[[#This Row],[Proyectos]]))</f>
        <v>#REF!</v>
      </c>
      <c r="K2315" s="5" t="e">
        <f>Planning[[#This Row],[Horas Planificadas]]+Planning[[#This Row],[Horas ajustadas adicionales]]-Planning[[#This Row],[Horas utilizadas]]</f>
        <v>#REF!</v>
      </c>
      <c r="L2315" s="7"/>
      <c r="M2315" s="19" t="e">
        <f>Planning[[#This Row],[Saldo]]-Planning[[#This Row],[Saldo estimado]]</f>
        <v>#REF!</v>
      </c>
      <c r="N2315" s="60" t="e">
        <f>+SUMIFS(#REF!,#REF!,Planning[[#This Row],[Proyectos]],#REF!,Planning[[#This Row],[Tipo de Tarea y especialidad]])</f>
        <v>#REF!</v>
      </c>
      <c r="O2315" s="19">
        <f t="shared" si="72"/>
        <v>10</v>
      </c>
      <c r="P2315" s="19">
        <f t="shared" si="73"/>
        <v>2024</v>
      </c>
      <c r="Q23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15" s="19" t="str">
        <f>TEXT(Planning[[#This Row],[Mes]]*29,"mmmm")</f>
        <v>October</v>
      </c>
      <c r="S23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15" s="193"/>
      <c r="U2315" s="43">
        <f>IF(Planning[[#This Row],[Horas Planificadas]]&lt;&gt;0,+K2315/Planning[[#This Row],[Horas Planificadas]],0)</f>
        <v>0</v>
      </c>
      <c r="V2315" s="43">
        <f>IF(Planning[[#This Row],[Horas Planificadas]]&lt;&gt;0,Planning[[#This Row],[Horas utilizadas]]/Planning[[#This Row],[Horas Planificadas]],0)</f>
        <v>0</v>
      </c>
      <c r="W2315" s="44">
        <f>Planning[[#This Row],[Horas Planificadas]]+Planning[[#This Row],[Horas ajustadas adicionales]]</f>
        <v>0</v>
      </c>
      <c r="X2315" s="142"/>
    </row>
    <row r="2316" spans="1:24" x14ac:dyDescent="0.2">
      <c r="A2316" s="7" t="s">
        <v>294</v>
      </c>
      <c r="B2316" s="7" t="s">
        <v>393</v>
      </c>
      <c r="C2316" s="3"/>
      <c r="D2316" s="3" t="s">
        <v>492</v>
      </c>
      <c r="E2316" s="4"/>
      <c r="F2316" s="3" t="s">
        <v>123</v>
      </c>
      <c r="G2316" s="9"/>
      <c r="H2316" s="9"/>
      <c r="I2316" s="12"/>
      <c r="J2316" s="5" t="e">
        <f>SUM(SUMIFS(#REF!,#REF!,Planning[[#This Row],[Tipo de Tarea y especialidad]],#REF!,Planning[[#This Row],[Proyectos Reiwa]]),SUMIFS(#REF!,#REF!,Planning[[#This Row],[Tipo de Tarea y especialidad]],#REF!,Planning[[#This Row],[Proyectos]]))</f>
        <v>#REF!</v>
      </c>
      <c r="K2316" s="5" t="e">
        <f>Planning[[#This Row],[Horas Planificadas]]+Planning[[#This Row],[Horas ajustadas adicionales]]-Planning[[#This Row],[Horas utilizadas]]</f>
        <v>#REF!</v>
      </c>
      <c r="L2316" s="7"/>
      <c r="M2316" s="19" t="e">
        <f>Planning[[#This Row],[Saldo]]-Planning[[#This Row],[Saldo estimado]]</f>
        <v>#REF!</v>
      </c>
      <c r="N2316" s="60" t="e">
        <f>+SUMIFS(#REF!,#REF!,Planning[[#This Row],[Proyectos]],#REF!,Planning[[#This Row],[Tipo de Tarea y especialidad]])</f>
        <v>#REF!</v>
      </c>
      <c r="O2316" s="19">
        <f t="shared" si="72"/>
        <v>10</v>
      </c>
      <c r="P2316" s="19">
        <f t="shared" si="73"/>
        <v>2024</v>
      </c>
      <c r="Q23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16" s="19" t="str">
        <f>TEXT(Planning[[#This Row],[Mes]]*29,"mmmm")</f>
        <v>October</v>
      </c>
      <c r="S23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16" s="193"/>
      <c r="U2316" s="43">
        <f>IF(Planning[[#This Row],[Horas Planificadas]]&lt;&gt;0,+K2316/Planning[[#This Row],[Horas Planificadas]],0)</f>
        <v>0</v>
      </c>
      <c r="V2316" s="43">
        <f>IF(Planning[[#This Row],[Horas Planificadas]]&lt;&gt;0,Planning[[#This Row],[Horas utilizadas]]/Planning[[#This Row],[Horas Planificadas]],0)</f>
        <v>0</v>
      </c>
      <c r="W2316" s="44">
        <f>Planning[[#This Row],[Horas Planificadas]]+Planning[[#This Row],[Horas ajustadas adicionales]]</f>
        <v>0</v>
      </c>
      <c r="X2316" s="142"/>
    </row>
    <row r="2317" spans="1:24" x14ac:dyDescent="0.2">
      <c r="A2317" s="7" t="s">
        <v>294</v>
      </c>
      <c r="B2317" s="7" t="s">
        <v>393</v>
      </c>
      <c r="C2317" s="3"/>
      <c r="D2317" s="3" t="s">
        <v>492</v>
      </c>
      <c r="E2317" s="4"/>
      <c r="F2317" s="3" t="s">
        <v>124</v>
      </c>
      <c r="G2317" s="9"/>
      <c r="H2317" s="9">
        <v>210</v>
      </c>
      <c r="I2317" s="12"/>
      <c r="J2317" s="5" t="e">
        <f>SUM(SUMIFS(#REF!,#REF!,Planning[[#This Row],[Tipo de Tarea y especialidad]],#REF!,Planning[[#This Row],[Proyectos Reiwa]]),SUMIFS(#REF!,#REF!,Planning[[#This Row],[Tipo de Tarea y especialidad]],#REF!,Planning[[#This Row],[Proyectos]]))</f>
        <v>#REF!</v>
      </c>
      <c r="K2317" s="5" t="e">
        <f>Planning[[#This Row],[Horas Planificadas]]+Planning[[#This Row],[Horas ajustadas adicionales]]-Planning[[#This Row],[Horas utilizadas]]</f>
        <v>#REF!</v>
      </c>
      <c r="L2317" s="7">
        <v>0</v>
      </c>
      <c r="M2317" s="19" t="e">
        <f>Planning[[#This Row],[Saldo]]-Planning[[#This Row],[Saldo estimado]]</f>
        <v>#REF!</v>
      </c>
      <c r="N2317" s="60" t="e">
        <f>+SUMIFS(#REF!,#REF!,Planning[[#This Row],[Proyectos]],#REF!,Planning[[#This Row],[Tipo de Tarea y especialidad]])</f>
        <v>#REF!</v>
      </c>
      <c r="O2317" s="19">
        <f t="shared" si="72"/>
        <v>10</v>
      </c>
      <c r="P2317" s="19">
        <f t="shared" si="73"/>
        <v>2024</v>
      </c>
      <c r="Q23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17" s="19" t="str">
        <f>TEXT(Planning[[#This Row],[Mes]]*29,"mmmm")</f>
        <v>October</v>
      </c>
      <c r="S23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17" s="193"/>
      <c r="U2317" s="43" t="e">
        <f>IF(Planning[[#This Row],[Horas Planificadas]]&lt;&gt;0,+K2317/Planning[[#This Row],[Horas Planificadas]],0)</f>
        <v>#REF!</v>
      </c>
      <c r="V2317" s="43" t="e">
        <f>IF(Planning[[#This Row],[Horas Planificadas]]&lt;&gt;0,Planning[[#This Row],[Horas utilizadas]]/Planning[[#This Row],[Horas Planificadas]],0)</f>
        <v>#REF!</v>
      </c>
      <c r="W2317" s="44">
        <f>Planning[[#This Row],[Horas Planificadas]]+Planning[[#This Row],[Horas ajustadas adicionales]]</f>
        <v>210</v>
      </c>
      <c r="X2317" s="142"/>
    </row>
    <row r="2318" spans="1:24" x14ac:dyDescent="0.2">
      <c r="A2318" s="7" t="s">
        <v>294</v>
      </c>
      <c r="B2318" s="7" t="s">
        <v>393</v>
      </c>
      <c r="C2318" s="3"/>
      <c r="D2318" s="3" t="s">
        <v>492</v>
      </c>
      <c r="E2318" s="4"/>
      <c r="F2318" s="3" t="s">
        <v>125</v>
      </c>
      <c r="G2318" s="9"/>
      <c r="H2318" s="9"/>
      <c r="I2318" s="12"/>
      <c r="J2318" s="5" t="e">
        <f>SUM(SUMIFS(#REF!,#REF!,Planning[[#This Row],[Tipo de Tarea y especialidad]],#REF!,Planning[[#This Row],[Proyectos Reiwa]]),SUMIFS(#REF!,#REF!,Planning[[#This Row],[Tipo de Tarea y especialidad]],#REF!,Planning[[#This Row],[Proyectos]]))</f>
        <v>#REF!</v>
      </c>
      <c r="K2318" s="5" t="e">
        <f>Planning[[#This Row],[Horas Planificadas]]+Planning[[#This Row],[Horas ajustadas adicionales]]-Planning[[#This Row],[Horas utilizadas]]</f>
        <v>#REF!</v>
      </c>
      <c r="L2318" s="7">
        <v>0</v>
      </c>
      <c r="M2318" s="19" t="e">
        <f>Planning[[#This Row],[Saldo]]-Planning[[#This Row],[Saldo estimado]]</f>
        <v>#REF!</v>
      </c>
      <c r="N2318" s="60" t="e">
        <f>+SUMIFS(#REF!,#REF!,Planning[[#This Row],[Proyectos]],#REF!,Planning[[#This Row],[Tipo de Tarea y especialidad]])</f>
        <v>#REF!</v>
      </c>
      <c r="O2318" s="19">
        <f t="shared" si="72"/>
        <v>10</v>
      </c>
      <c r="P2318" s="19">
        <f t="shared" si="73"/>
        <v>2024</v>
      </c>
      <c r="Q23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18" s="19" t="str">
        <f>TEXT(Planning[[#This Row],[Mes]]*29,"mmmm")</f>
        <v>October</v>
      </c>
      <c r="S23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18" s="193"/>
      <c r="U2318" s="43">
        <f>IF(Planning[[#This Row],[Horas Planificadas]]&lt;&gt;0,+K2318/Planning[[#This Row],[Horas Planificadas]],0)</f>
        <v>0</v>
      </c>
      <c r="V2318" s="43">
        <f>IF(Planning[[#This Row],[Horas Planificadas]]&lt;&gt;0,Planning[[#This Row],[Horas utilizadas]]/Planning[[#This Row],[Horas Planificadas]],0)</f>
        <v>0</v>
      </c>
      <c r="W2318" s="44">
        <f>Planning[[#This Row],[Horas Planificadas]]+Planning[[#This Row],[Horas ajustadas adicionales]]</f>
        <v>0</v>
      </c>
      <c r="X2318" s="142"/>
    </row>
    <row r="2319" spans="1:24" x14ac:dyDescent="0.2">
      <c r="A2319" s="7" t="s">
        <v>294</v>
      </c>
      <c r="B2319" s="7" t="s">
        <v>393</v>
      </c>
      <c r="C2319" s="3"/>
      <c r="D2319" s="3" t="s">
        <v>492</v>
      </c>
      <c r="E2319" s="4"/>
      <c r="F2319" s="3" t="s">
        <v>126</v>
      </c>
      <c r="G2319" s="9"/>
      <c r="H2319" s="9"/>
      <c r="I2319" s="12"/>
      <c r="J2319" s="5" t="e">
        <f>SUM(SUMIFS(#REF!,#REF!,Planning[[#This Row],[Tipo de Tarea y especialidad]],#REF!,Planning[[#This Row],[Proyectos Reiwa]]),SUMIFS(#REF!,#REF!,Planning[[#This Row],[Tipo de Tarea y especialidad]],#REF!,Planning[[#This Row],[Proyectos]]))</f>
        <v>#REF!</v>
      </c>
      <c r="K2319" s="5" t="e">
        <f>Planning[[#This Row],[Horas Planificadas]]+Planning[[#This Row],[Horas ajustadas adicionales]]-Planning[[#This Row],[Horas utilizadas]]</f>
        <v>#REF!</v>
      </c>
      <c r="L2319" s="7"/>
      <c r="M2319" s="19" t="e">
        <f>Planning[[#This Row],[Saldo]]-Planning[[#This Row],[Saldo estimado]]</f>
        <v>#REF!</v>
      </c>
      <c r="N2319" s="60" t="e">
        <f>+SUMIFS(#REF!,#REF!,Planning[[#This Row],[Proyectos]],#REF!,Planning[[#This Row],[Tipo de Tarea y especialidad]])</f>
        <v>#REF!</v>
      </c>
      <c r="O2319" s="19">
        <f t="shared" si="72"/>
        <v>10</v>
      </c>
      <c r="P2319" s="19">
        <f t="shared" si="73"/>
        <v>2024</v>
      </c>
      <c r="Q23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19" s="19" t="str">
        <f>TEXT(Planning[[#This Row],[Mes]]*29,"mmmm")</f>
        <v>October</v>
      </c>
      <c r="S23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19" s="193"/>
      <c r="U2319" s="43">
        <f>IF(Planning[[#This Row],[Horas Planificadas]]&lt;&gt;0,+K2319/Planning[[#This Row],[Horas Planificadas]],0)</f>
        <v>0</v>
      </c>
      <c r="V2319" s="43">
        <f>IF(Planning[[#This Row],[Horas Planificadas]]&lt;&gt;0,Planning[[#This Row],[Horas utilizadas]]/Planning[[#This Row],[Horas Planificadas]],0)</f>
        <v>0</v>
      </c>
      <c r="W2319" s="44">
        <f>Planning[[#This Row],[Horas Planificadas]]+Planning[[#This Row],[Horas ajustadas adicionales]]</f>
        <v>0</v>
      </c>
      <c r="X2319" s="142"/>
    </row>
    <row r="2320" spans="1:24" x14ac:dyDescent="0.2">
      <c r="A2320" s="7" t="s">
        <v>294</v>
      </c>
      <c r="B2320" s="7" t="s">
        <v>393</v>
      </c>
      <c r="C2320" s="3"/>
      <c r="D2320" s="3" t="s">
        <v>492</v>
      </c>
      <c r="E2320" s="4"/>
      <c r="F2320" s="3" t="s">
        <v>127</v>
      </c>
      <c r="G2320" s="9"/>
      <c r="H2320" s="9"/>
      <c r="I2320" s="12"/>
      <c r="J2320" s="5" t="e">
        <f>SUM(SUMIFS(#REF!,#REF!,Planning[[#This Row],[Tipo de Tarea y especialidad]],#REF!,Planning[[#This Row],[Proyectos Reiwa]]),SUMIFS(#REF!,#REF!,Planning[[#This Row],[Tipo de Tarea y especialidad]],#REF!,Planning[[#This Row],[Proyectos]]))</f>
        <v>#REF!</v>
      </c>
      <c r="K2320" s="5" t="e">
        <f>Planning[[#This Row],[Horas Planificadas]]+Planning[[#This Row],[Horas ajustadas adicionales]]-Planning[[#This Row],[Horas utilizadas]]</f>
        <v>#REF!</v>
      </c>
      <c r="L2320" s="7"/>
      <c r="M2320" s="19" t="e">
        <f>Planning[[#This Row],[Saldo]]-Planning[[#This Row],[Saldo estimado]]</f>
        <v>#REF!</v>
      </c>
      <c r="N2320" s="60" t="e">
        <f>+SUMIFS(#REF!,#REF!,Planning[[#This Row],[Proyectos]],#REF!,Planning[[#This Row],[Tipo de Tarea y especialidad]])</f>
        <v>#REF!</v>
      </c>
      <c r="O2320" s="19">
        <f t="shared" si="72"/>
        <v>10</v>
      </c>
      <c r="P2320" s="19">
        <f t="shared" si="73"/>
        <v>2024</v>
      </c>
      <c r="Q23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20" s="19" t="str">
        <f>TEXT(Planning[[#This Row],[Mes]]*29,"mmmm")</f>
        <v>October</v>
      </c>
      <c r="S23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20" s="193"/>
      <c r="U2320" s="43">
        <f>IF(Planning[[#This Row],[Horas Planificadas]]&lt;&gt;0,+K2320/Planning[[#This Row],[Horas Planificadas]],0)</f>
        <v>0</v>
      </c>
      <c r="V2320" s="43">
        <f>IF(Planning[[#This Row],[Horas Planificadas]]&lt;&gt;0,Planning[[#This Row],[Horas utilizadas]]/Planning[[#This Row],[Horas Planificadas]],0)</f>
        <v>0</v>
      </c>
      <c r="W2320" s="44">
        <f>Planning[[#This Row],[Horas Planificadas]]+Planning[[#This Row],[Horas ajustadas adicionales]]</f>
        <v>0</v>
      </c>
      <c r="X2320" s="142"/>
    </row>
    <row r="2321" spans="1:24" x14ac:dyDescent="0.2">
      <c r="A2321" s="7" t="s">
        <v>294</v>
      </c>
      <c r="B2321" s="7" t="s">
        <v>393</v>
      </c>
      <c r="C2321" s="3"/>
      <c r="D2321" s="3" t="s">
        <v>492</v>
      </c>
      <c r="E2321" s="4"/>
      <c r="F2321" s="3" t="s">
        <v>128</v>
      </c>
      <c r="G2321" s="9"/>
      <c r="H2321" s="9"/>
      <c r="I2321" s="12"/>
      <c r="J2321" s="5" t="e">
        <f>SUM(SUMIFS(#REF!,#REF!,Planning[[#This Row],[Tipo de Tarea y especialidad]],#REF!,Planning[[#This Row],[Proyectos Reiwa]]),SUMIFS(#REF!,#REF!,Planning[[#This Row],[Tipo de Tarea y especialidad]],#REF!,Planning[[#This Row],[Proyectos]]))</f>
        <v>#REF!</v>
      </c>
      <c r="K2321" s="5" t="e">
        <f>Planning[[#This Row],[Horas Planificadas]]+Planning[[#This Row],[Horas ajustadas adicionales]]-Planning[[#This Row],[Horas utilizadas]]</f>
        <v>#REF!</v>
      </c>
      <c r="L2321" s="7">
        <v>0</v>
      </c>
      <c r="M2321" s="19" t="e">
        <f>Planning[[#This Row],[Saldo]]-Planning[[#This Row],[Saldo estimado]]</f>
        <v>#REF!</v>
      </c>
      <c r="N2321" s="60" t="e">
        <f>+SUMIFS(#REF!,#REF!,Planning[[#This Row],[Proyectos]],#REF!,Planning[[#This Row],[Tipo de Tarea y especialidad]])</f>
        <v>#REF!</v>
      </c>
      <c r="O2321" s="19">
        <f t="shared" si="72"/>
        <v>10</v>
      </c>
      <c r="P2321" s="19">
        <f t="shared" si="73"/>
        <v>2024</v>
      </c>
      <c r="Q23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21" s="19" t="str">
        <f>TEXT(Planning[[#This Row],[Mes]]*29,"mmmm")</f>
        <v>October</v>
      </c>
      <c r="S23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21" s="193"/>
      <c r="U2321" s="43">
        <f>IF(Planning[[#This Row],[Horas Planificadas]]&lt;&gt;0,+K2321/Planning[[#This Row],[Horas Planificadas]],0)</f>
        <v>0</v>
      </c>
      <c r="V2321" s="43">
        <f>IF(Planning[[#This Row],[Horas Planificadas]]&lt;&gt;0,Planning[[#This Row],[Horas utilizadas]]/Planning[[#This Row],[Horas Planificadas]],0)</f>
        <v>0</v>
      </c>
      <c r="W2321" s="44">
        <f>Planning[[#This Row],[Horas Planificadas]]+Planning[[#This Row],[Horas ajustadas adicionales]]</f>
        <v>0</v>
      </c>
      <c r="X2321" s="142"/>
    </row>
    <row r="2322" spans="1:24" x14ac:dyDescent="0.2">
      <c r="A2322" s="7" t="s">
        <v>294</v>
      </c>
      <c r="B2322" s="7" t="s">
        <v>393</v>
      </c>
      <c r="C2322" s="3"/>
      <c r="D2322" s="3" t="s">
        <v>492</v>
      </c>
      <c r="E2322" s="4" t="s">
        <v>31</v>
      </c>
      <c r="F2322" s="3" t="s">
        <v>31</v>
      </c>
      <c r="G2322" s="9">
        <v>140</v>
      </c>
      <c r="H2322" s="17">
        <v>140</v>
      </c>
      <c r="I2322" s="18"/>
      <c r="J2322" s="14" t="e">
        <f>+SUMIFS(#REF!,#REF!,Planning[[#This Row],[Tarifa]],#REF!,Planning[[#This Row],[Proyectos]])</f>
        <v>#REF!</v>
      </c>
      <c r="K2322" s="14" t="e">
        <f>Planning[[#This Row],[Horas Planificadas]]+Planning[[#This Row],[Horas ajustadas adicionales]]-Planning[[#This Row],[Horas utilizadas]]</f>
        <v>#REF!</v>
      </c>
      <c r="L2322" s="15">
        <v>0</v>
      </c>
      <c r="M2322" s="16" t="e">
        <f>Planning[[#This Row],[Saldo]]-Planning[[#This Row],[Saldo estimado]]</f>
        <v>#REF!</v>
      </c>
      <c r="N2322" s="60" t="e">
        <f>+SUMIFS(#REF!,#REF!,Planning[[#This Row],[Proyectos]],#REF!,Planning[[#This Row],[Tipo de Tarea y especialidad]])</f>
        <v>#REF!</v>
      </c>
      <c r="O2322" s="16">
        <f t="shared" si="72"/>
        <v>10</v>
      </c>
      <c r="P2322" s="16">
        <f t="shared" si="73"/>
        <v>2024</v>
      </c>
      <c r="Q2322" s="16" t="e">
        <f>+SUMIFS(#REF!,#REF!,Planning[[#This Row],[Tarifa]],#REF!,Planning[[#This Row],[Proyectos]],#REF!,Planning[[#This Row],[Mes]],#REF!,Planning[[#This Row],[Año]])</f>
        <v>#REF!</v>
      </c>
      <c r="R2322" s="16" t="str">
        <f>TEXT(Planning[[#This Row],[Mes]]*29,"mmmm")</f>
        <v>October</v>
      </c>
      <c r="S23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22" s="193"/>
      <c r="U2322" s="43" t="e">
        <f>IF(Planning[[#This Row],[Horas Planificadas]]&lt;&gt;0,+K2322/Planning[[#This Row],[Horas Planificadas]],0)</f>
        <v>#REF!</v>
      </c>
      <c r="V2322" s="43" t="e">
        <f>IF(Planning[[#This Row],[Horas Planificadas]]&lt;&gt;0,Planning[[#This Row],[Horas utilizadas]]/Planning[[#This Row],[Horas Planificadas]],0)</f>
        <v>#REF!</v>
      </c>
      <c r="W2322" s="44">
        <f>Planning[[#This Row],[Horas Planificadas]]+Planning[[#This Row],[Horas ajustadas adicionales]]</f>
        <v>140</v>
      </c>
      <c r="X2322" s="142"/>
    </row>
    <row r="2323" spans="1:24" ht="22.5" x14ac:dyDescent="0.2">
      <c r="A2323" s="7" t="s">
        <v>294</v>
      </c>
      <c r="B2323" s="7" t="s">
        <v>393</v>
      </c>
      <c r="C2323" s="3"/>
      <c r="D2323" s="3" t="s">
        <v>492</v>
      </c>
      <c r="E2323" s="4" t="s">
        <v>32</v>
      </c>
      <c r="F2323" s="3"/>
      <c r="G2323" s="9">
        <v>200</v>
      </c>
      <c r="H2323" s="14">
        <f>SUM(H2324:H2326)</f>
        <v>300</v>
      </c>
      <c r="I2323" s="14"/>
      <c r="J2323" s="14" t="e">
        <f>SUM(J2324:J2326)</f>
        <v>#REF!</v>
      </c>
      <c r="K2323" s="15" t="e">
        <f>SUM(K2324:K2326)</f>
        <v>#REF!</v>
      </c>
      <c r="L2323" s="15">
        <f>SUM(L2324:L2326)</f>
        <v>100</v>
      </c>
      <c r="M2323" s="16" t="e">
        <f>SUM(M2324:M2326)</f>
        <v>#REF!</v>
      </c>
      <c r="N2323" s="60" t="e">
        <f>+SUMIFS(#REF!,#REF!,Planning[[#This Row],[Proyectos]],#REF!,Planning[[#This Row],[Tipo de Tarea y especialidad]])</f>
        <v>#REF!</v>
      </c>
      <c r="O2323" s="16">
        <f t="shared" si="72"/>
        <v>10</v>
      </c>
      <c r="P2323" s="16">
        <f t="shared" si="73"/>
        <v>2024</v>
      </c>
      <c r="Q2323" s="16" t="e">
        <f>SUM(Q2324:Q2326)</f>
        <v>#REF!</v>
      </c>
      <c r="R2323" s="16" t="str">
        <f>TEXT(Planning[[#This Row],[Mes]]*29,"mmmm")</f>
        <v>October</v>
      </c>
      <c r="S23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23" s="193"/>
      <c r="U2323" s="43" t="e">
        <f>IF(Planning[[#This Row],[Horas Planificadas]]&lt;&gt;0,+K2323/Planning[[#This Row],[Horas Planificadas]],0)</f>
        <v>#REF!</v>
      </c>
      <c r="V2323" s="43" t="e">
        <f>IF(Planning[[#This Row],[Horas Planificadas]]&lt;&gt;0,Planning[[#This Row],[Horas utilizadas]]/Planning[[#This Row],[Horas Planificadas]],0)</f>
        <v>#REF!</v>
      </c>
      <c r="W2323" s="44">
        <f>Planning[[#This Row],[Horas Planificadas]]+Planning[[#This Row],[Horas ajustadas adicionales]]</f>
        <v>300</v>
      </c>
      <c r="X2323" s="142"/>
    </row>
    <row r="2324" spans="1:24" x14ac:dyDescent="0.2">
      <c r="A2324" s="7" t="s">
        <v>294</v>
      </c>
      <c r="B2324" s="7" t="s">
        <v>393</v>
      </c>
      <c r="C2324" s="3"/>
      <c r="D2324" s="3" t="s">
        <v>492</v>
      </c>
      <c r="E2324" s="4"/>
      <c r="F2324" s="3" t="s">
        <v>129</v>
      </c>
      <c r="G2324" s="9"/>
      <c r="H2324" s="9"/>
      <c r="I2324" s="12"/>
      <c r="J2324" s="5" t="e">
        <f>SUM(SUMIFS(#REF!,#REF!,Planning[[#This Row],[Tipo de Tarea y especialidad]],#REF!,Planning[[#This Row],[Proyectos Reiwa]]),SUMIFS(#REF!,#REF!,Planning[[#This Row],[Tipo de Tarea y especialidad]],#REF!,Planning[[#This Row],[Proyectos]]))</f>
        <v>#REF!</v>
      </c>
      <c r="K2324" s="5" t="e">
        <f>Planning[[#This Row],[Horas Planificadas]]+Planning[[#This Row],[Horas ajustadas adicionales]]-Planning[[#This Row],[Horas utilizadas]]</f>
        <v>#REF!</v>
      </c>
      <c r="L2324" s="7"/>
      <c r="M2324" s="19" t="e">
        <f>Planning[[#This Row],[Saldo]]-Planning[[#This Row],[Saldo estimado]]</f>
        <v>#REF!</v>
      </c>
      <c r="N2324" s="60" t="e">
        <f>+SUMIFS(#REF!,#REF!,Planning[[#This Row],[Proyectos]],#REF!,Planning[[#This Row],[Tipo de Tarea y especialidad]])</f>
        <v>#REF!</v>
      </c>
      <c r="O2324" s="19">
        <f t="shared" si="72"/>
        <v>10</v>
      </c>
      <c r="P2324" s="19">
        <f t="shared" si="73"/>
        <v>2024</v>
      </c>
      <c r="Q23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24" s="19" t="str">
        <f>TEXT(Planning[[#This Row],[Mes]]*29,"mmmm")</f>
        <v>October</v>
      </c>
      <c r="S23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24" s="193"/>
      <c r="U2324" s="43">
        <f>IF(Planning[[#This Row],[Horas Planificadas]]&lt;&gt;0,+K2324/Planning[[#This Row],[Horas Planificadas]],0)</f>
        <v>0</v>
      </c>
      <c r="V2324" s="43">
        <f>IF(Planning[[#This Row],[Horas Planificadas]]&lt;&gt;0,Planning[[#This Row],[Horas utilizadas]]/Planning[[#This Row],[Horas Planificadas]],0)</f>
        <v>0</v>
      </c>
      <c r="W2324" s="44">
        <f>Planning[[#This Row],[Horas Planificadas]]+Planning[[#This Row],[Horas ajustadas adicionales]]</f>
        <v>0</v>
      </c>
      <c r="X2324" s="142"/>
    </row>
    <row r="2325" spans="1:24" x14ac:dyDescent="0.2">
      <c r="A2325" s="7" t="s">
        <v>294</v>
      </c>
      <c r="B2325" s="7" t="s">
        <v>393</v>
      </c>
      <c r="C2325" s="3"/>
      <c r="D2325" s="3" t="s">
        <v>492</v>
      </c>
      <c r="E2325" s="4"/>
      <c r="F2325" s="3" t="s">
        <v>130</v>
      </c>
      <c r="G2325" s="9"/>
      <c r="H2325" s="9"/>
      <c r="I2325" s="12"/>
      <c r="J2325" s="5" t="e">
        <f>SUM(SUMIFS(#REF!,#REF!,Planning[[#This Row],[Tipo de Tarea y especialidad]],#REF!,Planning[[#This Row],[Proyectos Reiwa]]),SUMIFS(#REF!,#REF!,Planning[[#This Row],[Tipo de Tarea y especialidad]],#REF!,Planning[[#This Row],[Proyectos]]))</f>
        <v>#REF!</v>
      </c>
      <c r="K2325" s="5" t="e">
        <f>Planning[[#This Row],[Horas Planificadas]]+Planning[[#This Row],[Horas ajustadas adicionales]]-Planning[[#This Row],[Horas utilizadas]]</f>
        <v>#REF!</v>
      </c>
      <c r="L2325" s="7"/>
      <c r="M2325" s="19" t="e">
        <f>Planning[[#This Row],[Saldo]]-Planning[[#This Row],[Saldo estimado]]</f>
        <v>#REF!</v>
      </c>
      <c r="N2325" s="60" t="e">
        <f>+SUMIFS(#REF!,#REF!,Planning[[#This Row],[Proyectos]],#REF!,Planning[[#This Row],[Tipo de Tarea y especialidad]])</f>
        <v>#REF!</v>
      </c>
      <c r="O2325" s="19">
        <f t="shared" si="72"/>
        <v>10</v>
      </c>
      <c r="P2325" s="19">
        <f t="shared" si="73"/>
        <v>2024</v>
      </c>
      <c r="Q23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25" s="19" t="str">
        <f>TEXT(Planning[[#This Row],[Mes]]*29,"mmmm")</f>
        <v>October</v>
      </c>
      <c r="S23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25" s="193"/>
      <c r="U2325" s="43">
        <f>IF(Planning[[#This Row],[Horas Planificadas]]&lt;&gt;0,+K2325/Planning[[#This Row],[Horas Planificadas]],0)</f>
        <v>0</v>
      </c>
      <c r="V2325" s="43">
        <f>IF(Planning[[#This Row],[Horas Planificadas]]&lt;&gt;0,Planning[[#This Row],[Horas utilizadas]]/Planning[[#This Row],[Horas Planificadas]],0)</f>
        <v>0</v>
      </c>
      <c r="W2325" s="44">
        <f>Planning[[#This Row],[Horas Planificadas]]+Planning[[#This Row],[Horas ajustadas adicionales]]</f>
        <v>0</v>
      </c>
      <c r="X2325" s="142"/>
    </row>
    <row r="2326" spans="1:24" x14ac:dyDescent="0.2">
      <c r="A2326" s="7" t="s">
        <v>294</v>
      </c>
      <c r="B2326" s="7" t="s">
        <v>393</v>
      </c>
      <c r="C2326" s="3"/>
      <c r="D2326" s="3" t="s">
        <v>492</v>
      </c>
      <c r="E2326" s="4"/>
      <c r="F2326" s="3" t="s">
        <v>131</v>
      </c>
      <c r="G2326" s="9"/>
      <c r="H2326" s="9">
        <v>300</v>
      </c>
      <c r="I2326" s="12"/>
      <c r="J2326" s="5" t="e">
        <f>SUM(SUMIFS(#REF!,#REF!,Planning[[#This Row],[Tipo de Tarea y especialidad]],#REF!,Planning[[#This Row],[Proyectos Reiwa]]),SUMIFS(#REF!,#REF!,Planning[[#This Row],[Tipo de Tarea y especialidad]],#REF!,Planning[[#This Row],[Proyectos]]))</f>
        <v>#REF!</v>
      </c>
      <c r="K2326" s="5" t="e">
        <f>Planning[[#This Row],[Horas Planificadas]]+Planning[[#This Row],[Horas ajustadas adicionales]]-Planning[[#This Row],[Horas utilizadas]]</f>
        <v>#REF!</v>
      </c>
      <c r="L2326" s="7">
        <v>100</v>
      </c>
      <c r="M2326" s="19" t="e">
        <f>Planning[[#This Row],[Saldo]]-Planning[[#This Row],[Saldo estimado]]</f>
        <v>#REF!</v>
      </c>
      <c r="N2326" s="60" t="e">
        <f>+SUMIFS(#REF!,#REF!,Planning[[#This Row],[Proyectos]],#REF!,Planning[[#This Row],[Tipo de Tarea y especialidad]])</f>
        <v>#REF!</v>
      </c>
      <c r="O2326" s="19">
        <f t="shared" si="72"/>
        <v>10</v>
      </c>
      <c r="P2326" s="19">
        <f t="shared" si="73"/>
        <v>2024</v>
      </c>
      <c r="Q23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26" s="19" t="str">
        <f>TEXT(Planning[[#This Row],[Mes]]*29,"mmmm")</f>
        <v>October</v>
      </c>
      <c r="S23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26" s="193"/>
      <c r="U2326" s="43" t="e">
        <f>IF(Planning[[#This Row],[Horas Planificadas]]&lt;&gt;0,+K2326/Planning[[#This Row],[Horas Planificadas]],0)</f>
        <v>#REF!</v>
      </c>
      <c r="V2326" s="43" t="e">
        <f>IF(Planning[[#This Row],[Horas Planificadas]]&lt;&gt;0,Planning[[#This Row],[Horas utilizadas]]/Planning[[#This Row],[Horas Planificadas]],0)</f>
        <v>#REF!</v>
      </c>
      <c r="W2326" s="44">
        <f>Planning[[#This Row],[Horas Planificadas]]+Planning[[#This Row],[Horas ajustadas adicionales]]</f>
        <v>300</v>
      </c>
      <c r="X2326" s="142"/>
    </row>
    <row r="2327" spans="1:24" ht="13.35" customHeight="1" x14ac:dyDescent="0.2">
      <c r="A2327" s="7" t="s">
        <v>204</v>
      </c>
      <c r="B2327" s="7" t="s">
        <v>288</v>
      </c>
      <c r="C2327" s="3"/>
      <c r="D2327" s="3" t="s">
        <v>494</v>
      </c>
      <c r="E2327" s="4" t="s">
        <v>28</v>
      </c>
      <c r="F2327" s="3"/>
      <c r="G2327" s="9">
        <v>220</v>
      </c>
      <c r="H2327" s="14">
        <f>SUM(H2328:H2329)</f>
        <v>220</v>
      </c>
      <c r="I2327" s="14"/>
      <c r="J2327" s="14" t="e">
        <f>SUM(J2328:J2329)</f>
        <v>#REF!</v>
      </c>
      <c r="K2327" s="15" t="e">
        <f>SUM(K2328:K2329)</f>
        <v>#REF!</v>
      </c>
      <c r="L2327" s="15">
        <f>SUM(L2328:L2329)</f>
        <v>0</v>
      </c>
      <c r="M2327" s="14" t="e">
        <f>SUM(M2328:M2329)</f>
        <v>#REF!</v>
      </c>
      <c r="N2327" s="66" t="e">
        <f>+SUMIFS(#REF!,#REF!,Planning[[#This Row],[Proyectos]],#REF!,Planning[[#This Row],[Tipo de Tarea y especialidad]])</f>
        <v>#REF!</v>
      </c>
      <c r="O2327" s="14">
        <f t="shared" si="72"/>
        <v>10</v>
      </c>
      <c r="P2327" s="14">
        <f t="shared" si="73"/>
        <v>2024</v>
      </c>
      <c r="Q2327" s="28" t="e">
        <f>SUM(Q2328:Q2329)</f>
        <v>#REF!</v>
      </c>
      <c r="R2327" s="28" t="str">
        <f>TEXT(Planning[[#This Row],[Mes]]*29,"mmmm")</f>
        <v>October</v>
      </c>
      <c r="S23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27" s="207" t="s">
        <v>495</v>
      </c>
      <c r="U2327" s="43" t="e">
        <f>IF(Planning[[#This Row],[Horas Planificadas]]&lt;&gt;0,+K2327/Planning[[#This Row],[Horas Planificadas]],0)</f>
        <v>#REF!</v>
      </c>
      <c r="V2327" s="43" t="e">
        <f>IF(Planning[[#This Row],[Horas Planificadas]]&lt;&gt;0,Planning[[#This Row],[Horas utilizadas]]/Planning[[#This Row],[Horas Planificadas]],0)</f>
        <v>#REF!</v>
      </c>
      <c r="W2327" s="44">
        <f>Planning[[#This Row],[Horas Planificadas]]+Planning[[#This Row],[Horas ajustadas adicionales]]</f>
        <v>220</v>
      </c>
      <c r="X2327" s="142"/>
    </row>
    <row r="2328" spans="1:24" x14ac:dyDescent="0.2">
      <c r="A2328" s="7" t="s">
        <v>204</v>
      </c>
      <c r="B2328" s="7" t="s">
        <v>288</v>
      </c>
      <c r="C2328" s="3"/>
      <c r="D2328" s="3" t="s">
        <v>494</v>
      </c>
      <c r="E2328" s="4"/>
      <c r="F2328" s="3" t="s">
        <v>120</v>
      </c>
      <c r="G2328" s="9"/>
      <c r="H2328" s="9">
        <v>160</v>
      </c>
      <c r="I2328" s="12"/>
      <c r="J2328" s="5" t="e">
        <f>SUM(SUMIFS(#REF!,#REF!,Planning[[#This Row],[Tipo de Tarea y especialidad]],#REF!,Planning[[#This Row],[Proyectos Reiwa]]),SUMIFS(#REF!,#REF!,Planning[[#This Row],[Tipo de Tarea y especialidad]],#REF!,Planning[[#This Row],[Proyectos]]))</f>
        <v>#REF!</v>
      </c>
      <c r="K2328" s="5" t="e">
        <f>Planning[[#This Row],[Horas Planificadas]]+Planning[[#This Row],[Horas ajustadas adicionales]]-Planning[[#This Row],[Horas utilizadas]]</f>
        <v>#REF!</v>
      </c>
      <c r="L2328" s="7">
        <v>0</v>
      </c>
      <c r="M2328" s="19" t="e">
        <f>Planning[[#This Row],[Saldo]]-Planning[[#This Row],[Saldo estimado]]</f>
        <v>#REF!</v>
      </c>
      <c r="N2328" s="60" t="e">
        <f>+SUMIFS(#REF!,#REF!,Planning[[#This Row],[Proyectos]],#REF!,Planning[[#This Row],[Tipo de Tarea y especialidad]])</f>
        <v>#REF!</v>
      </c>
      <c r="O2328" s="19">
        <f t="shared" si="72"/>
        <v>10</v>
      </c>
      <c r="P2328" s="19">
        <f t="shared" si="73"/>
        <v>2024</v>
      </c>
      <c r="Q23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28" s="19" t="str">
        <f>TEXT(Planning[[#This Row],[Mes]]*29,"mmmm")</f>
        <v>October</v>
      </c>
      <c r="S23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28" s="208"/>
      <c r="U2328" s="43" t="e">
        <f>IF(Planning[[#This Row],[Horas Planificadas]]&lt;&gt;0,+K2328/Planning[[#This Row],[Horas Planificadas]],0)</f>
        <v>#REF!</v>
      </c>
      <c r="V2328" s="43" t="e">
        <f>IF(Planning[[#This Row],[Horas Planificadas]]&lt;&gt;0,Planning[[#This Row],[Horas utilizadas]]/Planning[[#This Row],[Horas Planificadas]],0)</f>
        <v>#REF!</v>
      </c>
      <c r="W2328" s="44">
        <f>Planning[[#This Row],[Horas Planificadas]]+Planning[[#This Row],[Horas ajustadas adicionales]]</f>
        <v>160</v>
      </c>
      <c r="X2328" s="142"/>
    </row>
    <row r="2329" spans="1:24" x14ac:dyDescent="0.2">
      <c r="A2329" s="7" t="s">
        <v>204</v>
      </c>
      <c r="B2329" s="7" t="s">
        <v>288</v>
      </c>
      <c r="C2329" s="3"/>
      <c r="D2329" s="3" t="s">
        <v>494</v>
      </c>
      <c r="E2329" s="4"/>
      <c r="F2329" s="3" t="s">
        <v>121</v>
      </c>
      <c r="G2329" s="9"/>
      <c r="H2329" s="9">
        <v>60</v>
      </c>
      <c r="I2329" s="12"/>
      <c r="J2329" s="5" t="e">
        <f>SUM(SUMIFS(#REF!,#REF!,Planning[[#This Row],[Tipo de Tarea y especialidad]],#REF!,Planning[[#This Row],[Proyectos Reiwa]]),SUMIFS(#REF!,#REF!,Planning[[#This Row],[Tipo de Tarea y especialidad]],#REF!,Planning[[#This Row],[Proyectos]]))</f>
        <v>#REF!</v>
      </c>
      <c r="K2329" s="5" t="e">
        <f>Planning[[#This Row],[Horas Planificadas]]+Planning[[#This Row],[Horas ajustadas adicionales]]-Planning[[#This Row],[Horas utilizadas]]</f>
        <v>#REF!</v>
      </c>
      <c r="L2329" s="7">
        <v>0</v>
      </c>
      <c r="M2329" s="19" t="e">
        <f>Planning[[#This Row],[Saldo]]-Planning[[#This Row],[Saldo estimado]]</f>
        <v>#REF!</v>
      </c>
      <c r="N2329" s="60" t="e">
        <f>+SUMIFS(#REF!,#REF!,Planning[[#This Row],[Proyectos]],#REF!,Planning[[#This Row],[Tipo de Tarea y especialidad]])</f>
        <v>#REF!</v>
      </c>
      <c r="O2329" s="19">
        <f t="shared" si="72"/>
        <v>10</v>
      </c>
      <c r="P2329" s="19">
        <f t="shared" si="73"/>
        <v>2024</v>
      </c>
      <c r="Q23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29" s="19" t="str">
        <f>TEXT(Planning[[#This Row],[Mes]]*29,"mmmm")</f>
        <v>October</v>
      </c>
      <c r="S23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29" s="208"/>
      <c r="U2329" s="43" t="e">
        <f>IF(Planning[[#This Row],[Horas Planificadas]]&lt;&gt;0,+K2329/Planning[[#This Row],[Horas Planificadas]],0)</f>
        <v>#REF!</v>
      </c>
      <c r="V2329" s="43" t="e">
        <f>IF(Planning[[#This Row],[Horas Planificadas]]&lt;&gt;0,Planning[[#This Row],[Horas utilizadas]]/Planning[[#This Row],[Horas Planificadas]],0)</f>
        <v>#REF!</v>
      </c>
      <c r="W2329" s="44">
        <f>Planning[[#This Row],[Horas Planificadas]]+Planning[[#This Row],[Horas ajustadas adicionales]]</f>
        <v>60</v>
      </c>
      <c r="X2329" s="142"/>
    </row>
    <row r="2330" spans="1:24" x14ac:dyDescent="0.2">
      <c r="A2330" s="7" t="s">
        <v>204</v>
      </c>
      <c r="B2330" s="7" t="s">
        <v>288</v>
      </c>
      <c r="C2330" s="3"/>
      <c r="D2330" s="3" t="s">
        <v>494</v>
      </c>
      <c r="E2330" s="4" t="s">
        <v>30</v>
      </c>
      <c r="F2330" s="3"/>
      <c r="G2330" s="9">
        <v>240</v>
      </c>
      <c r="H2330" s="14">
        <f>SUM(H2331:H2337)</f>
        <v>240</v>
      </c>
      <c r="I2330" s="14"/>
      <c r="J2330" s="14" t="e">
        <f>SUM(J2331:J2337)</f>
        <v>#REF!</v>
      </c>
      <c r="K2330" s="15" t="e">
        <f>SUM(K2331:K2337)</f>
        <v>#REF!</v>
      </c>
      <c r="L2330" s="15">
        <f>SUM(L2331:L2337)</f>
        <v>0</v>
      </c>
      <c r="M2330" s="16" t="e">
        <f>SUM(M2331:M2337)</f>
        <v>#REF!</v>
      </c>
      <c r="N2330" s="60" t="e">
        <f>+SUMIFS(#REF!,#REF!,Planning[[#This Row],[Proyectos]],#REF!,Planning[[#This Row],[Tipo de Tarea y especialidad]])</f>
        <v>#REF!</v>
      </c>
      <c r="O2330" s="16">
        <f t="shared" si="72"/>
        <v>10</v>
      </c>
      <c r="P2330" s="16">
        <f t="shared" si="73"/>
        <v>2024</v>
      </c>
      <c r="Q2330" s="16" t="e">
        <f>SUM(Q2331:Q2337)</f>
        <v>#REF!</v>
      </c>
      <c r="R2330" s="16" t="str">
        <f>TEXT(Planning[[#This Row],[Mes]]*29,"mmmm")</f>
        <v>October</v>
      </c>
      <c r="S23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30" s="208"/>
      <c r="U2330" s="43" t="e">
        <f>IF(Planning[[#This Row],[Horas Planificadas]]&lt;&gt;0,+K2330/Planning[[#This Row],[Horas Planificadas]],0)</f>
        <v>#REF!</v>
      </c>
      <c r="V2330" s="43" t="e">
        <f>IF(Planning[[#This Row],[Horas Planificadas]]&lt;&gt;0,Planning[[#This Row],[Horas utilizadas]]/Planning[[#This Row],[Horas Planificadas]],0)</f>
        <v>#REF!</v>
      </c>
      <c r="W2330" s="44">
        <f>Planning[[#This Row],[Horas Planificadas]]+Planning[[#This Row],[Horas ajustadas adicionales]]</f>
        <v>240</v>
      </c>
      <c r="X2330" s="142"/>
    </row>
    <row r="2331" spans="1:24" x14ac:dyDescent="0.2">
      <c r="A2331" s="7" t="s">
        <v>204</v>
      </c>
      <c r="B2331" s="7" t="s">
        <v>288</v>
      </c>
      <c r="C2331" s="3"/>
      <c r="D2331" s="3" t="s">
        <v>494</v>
      </c>
      <c r="E2331" s="4"/>
      <c r="F2331" s="3" t="s">
        <v>122</v>
      </c>
      <c r="G2331" s="9"/>
      <c r="H2331" s="9"/>
      <c r="I2331" s="12"/>
      <c r="J2331" s="5" t="e">
        <f>SUM(SUMIFS(#REF!,#REF!,Planning[[#This Row],[Tipo de Tarea y especialidad]],#REF!,Planning[[#This Row],[Proyectos Reiwa]]),SUMIFS(#REF!,#REF!,Planning[[#This Row],[Tipo de Tarea y especialidad]],#REF!,Planning[[#This Row],[Proyectos]]))</f>
        <v>#REF!</v>
      </c>
      <c r="K2331" s="5" t="e">
        <f>Planning[[#This Row],[Horas Planificadas]]+Planning[[#This Row],[Horas ajustadas adicionales]]-Planning[[#This Row],[Horas utilizadas]]</f>
        <v>#REF!</v>
      </c>
      <c r="L2331" s="7"/>
      <c r="M2331" s="19" t="e">
        <f>Planning[[#This Row],[Saldo]]-Planning[[#This Row],[Saldo estimado]]</f>
        <v>#REF!</v>
      </c>
      <c r="N2331" s="60" t="e">
        <f>+SUMIFS(#REF!,#REF!,Planning[[#This Row],[Proyectos]],#REF!,Planning[[#This Row],[Tipo de Tarea y especialidad]])</f>
        <v>#REF!</v>
      </c>
      <c r="O2331" s="19">
        <f t="shared" si="72"/>
        <v>10</v>
      </c>
      <c r="P2331" s="19">
        <f t="shared" si="73"/>
        <v>2024</v>
      </c>
      <c r="Q23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31" s="19" t="str">
        <f>TEXT(Planning[[#This Row],[Mes]]*29,"mmmm")</f>
        <v>October</v>
      </c>
      <c r="S23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31" s="208"/>
      <c r="U2331" s="43">
        <f>IF(Planning[[#This Row],[Horas Planificadas]]&lt;&gt;0,+K2331/Planning[[#This Row],[Horas Planificadas]],0)</f>
        <v>0</v>
      </c>
      <c r="V2331" s="43">
        <f>IF(Planning[[#This Row],[Horas Planificadas]]&lt;&gt;0,Planning[[#This Row],[Horas utilizadas]]/Planning[[#This Row],[Horas Planificadas]],0)</f>
        <v>0</v>
      </c>
      <c r="W2331" s="44">
        <f>Planning[[#This Row],[Horas Planificadas]]+Planning[[#This Row],[Horas ajustadas adicionales]]</f>
        <v>0</v>
      </c>
      <c r="X2331" s="142"/>
    </row>
    <row r="2332" spans="1:24" x14ac:dyDescent="0.2">
      <c r="A2332" s="7" t="s">
        <v>204</v>
      </c>
      <c r="B2332" s="7" t="s">
        <v>288</v>
      </c>
      <c r="C2332" s="3"/>
      <c r="D2332" s="3" t="s">
        <v>494</v>
      </c>
      <c r="E2332" s="4"/>
      <c r="F2332" s="3" t="s">
        <v>123</v>
      </c>
      <c r="G2332" s="9"/>
      <c r="H2332" s="9"/>
      <c r="I2332" s="12"/>
      <c r="J2332" s="5" t="e">
        <f>SUM(SUMIFS(#REF!,#REF!,Planning[[#This Row],[Tipo de Tarea y especialidad]],#REF!,Planning[[#This Row],[Proyectos Reiwa]]),SUMIFS(#REF!,#REF!,Planning[[#This Row],[Tipo de Tarea y especialidad]],#REF!,Planning[[#This Row],[Proyectos]]))</f>
        <v>#REF!</v>
      </c>
      <c r="K2332" s="5" t="e">
        <f>Planning[[#This Row],[Horas Planificadas]]+Planning[[#This Row],[Horas ajustadas adicionales]]-Planning[[#This Row],[Horas utilizadas]]</f>
        <v>#REF!</v>
      </c>
      <c r="L2332" s="7"/>
      <c r="M2332" s="19" t="e">
        <f>Planning[[#This Row],[Saldo]]-Planning[[#This Row],[Saldo estimado]]</f>
        <v>#REF!</v>
      </c>
      <c r="N2332" s="60" t="e">
        <f>+SUMIFS(#REF!,#REF!,Planning[[#This Row],[Proyectos]],#REF!,Planning[[#This Row],[Tipo de Tarea y especialidad]])</f>
        <v>#REF!</v>
      </c>
      <c r="O2332" s="19">
        <f t="shared" si="72"/>
        <v>10</v>
      </c>
      <c r="P2332" s="19">
        <f t="shared" si="73"/>
        <v>2024</v>
      </c>
      <c r="Q23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32" s="19" t="str">
        <f>TEXT(Planning[[#This Row],[Mes]]*29,"mmmm")</f>
        <v>October</v>
      </c>
      <c r="S23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32" s="208"/>
      <c r="U2332" s="43">
        <f>IF(Planning[[#This Row],[Horas Planificadas]]&lt;&gt;0,+K2332/Planning[[#This Row],[Horas Planificadas]],0)</f>
        <v>0</v>
      </c>
      <c r="V2332" s="43">
        <f>IF(Planning[[#This Row],[Horas Planificadas]]&lt;&gt;0,Planning[[#This Row],[Horas utilizadas]]/Planning[[#This Row],[Horas Planificadas]],0)</f>
        <v>0</v>
      </c>
      <c r="W2332" s="44">
        <f>Planning[[#This Row],[Horas Planificadas]]+Planning[[#This Row],[Horas ajustadas adicionales]]</f>
        <v>0</v>
      </c>
      <c r="X2332" s="142"/>
    </row>
    <row r="2333" spans="1:24" x14ac:dyDescent="0.2">
      <c r="A2333" s="7" t="s">
        <v>204</v>
      </c>
      <c r="B2333" s="7" t="s">
        <v>288</v>
      </c>
      <c r="C2333" s="3"/>
      <c r="D2333" s="3" t="s">
        <v>494</v>
      </c>
      <c r="E2333" s="4"/>
      <c r="F2333" s="3" t="s">
        <v>124</v>
      </c>
      <c r="G2333" s="9"/>
      <c r="H2333" s="9">
        <v>240</v>
      </c>
      <c r="I2333" s="12"/>
      <c r="J2333" s="5" t="e">
        <f>SUM(SUMIFS(#REF!,#REF!,Planning[[#This Row],[Tipo de Tarea y especialidad]],#REF!,Planning[[#This Row],[Proyectos Reiwa]]),SUMIFS(#REF!,#REF!,Planning[[#This Row],[Tipo de Tarea y especialidad]],#REF!,Planning[[#This Row],[Proyectos]]))</f>
        <v>#REF!</v>
      </c>
      <c r="K2333" s="5" t="e">
        <f>Planning[[#This Row],[Horas Planificadas]]+Planning[[#This Row],[Horas ajustadas adicionales]]-Planning[[#This Row],[Horas utilizadas]]</f>
        <v>#REF!</v>
      </c>
      <c r="L2333" s="7">
        <v>0</v>
      </c>
      <c r="M2333" s="19" t="e">
        <f>Planning[[#This Row],[Saldo]]-Planning[[#This Row],[Saldo estimado]]</f>
        <v>#REF!</v>
      </c>
      <c r="N2333" s="60" t="e">
        <f>+SUMIFS(#REF!,#REF!,Planning[[#This Row],[Proyectos]],#REF!,Planning[[#This Row],[Tipo de Tarea y especialidad]])</f>
        <v>#REF!</v>
      </c>
      <c r="O2333" s="19">
        <f t="shared" si="72"/>
        <v>10</v>
      </c>
      <c r="P2333" s="19">
        <f t="shared" si="73"/>
        <v>2024</v>
      </c>
      <c r="Q23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33" s="19" t="str">
        <f>TEXT(Planning[[#This Row],[Mes]]*29,"mmmm")</f>
        <v>October</v>
      </c>
      <c r="S23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33" s="208"/>
      <c r="U2333" s="43" t="e">
        <f>IF(Planning[[#This Row],[Horas Planificadas]]&lt;&gt;0,+K2333/Planning[[#This Row],[Horas Planificadas]],0)</f>
        <v>#REF!</v>
      </c>
      <c r="V2333" s="43" t="e">
        <f>IF(Planning[[#This Row],[Horas Planificadas]]&lt;&gt;0,Planning[[#This Row],[Horas utilizadas]]/Planning[[#This Row],[Horas Planificadas]],0)</f>
        <v>#REF!</v>
      </c>
      <c r="W2333" s="44">
        <f>Planning[[#This Row],[Horas Planificadas]]+Planning[[#This Row],[Horas ajustadas adicionales]]</f>
        <v>240</v>
      </c>
      <c r="X2333" s="142"/>
    </row>
    <row r="2334" spans="1:24" x14ac:dyDescent="0.2">
      <c r="A2334" s="7" t="s">
        <v>204</v>
      </c>
      <c r="B2334" s="7" t="s">
        <v>288</v>
      </c>
      <c r="C2334" s="3"/>
      <c r="D2334" s="3" t="s">
        <v>494</v>
      </c>
      <c r="E2334" s="4"/>
      <c r="F2334" s="3" t="s">
        <v>125</v>
      </c>
      <c r="G2334" s="9"/>
      <c r="H2334" s="9"/>
      <c r="I2334" s="12"/>
      <c r="J2334" s="5" t="e">
        <f>SUM(SUMIFS(#REF!,#REF!,Planning[[#This Row],[Tipo de Tarea y especialidad]],#REF!,Planning[[#This Row],[Proyectos Reiwa]]),SUMIFS(#REF!,#REF!,Planning[[#This Row],[Tipo de Tarea y especialidad]],#REF!,Planning[[#This Row],[Proyectos]]))</f>
        <v>#REF!</v>
      </c>
      <c r="K2334" s="5" t="e">
        <f>Planning[[#This Row],[Horas Planificadas]]+Planning[[#This Row],[Horas ajustadas adicionales]]-Planning[[#This Row],[Horas utilizadas]]</f>
        <v>#REF!</v>
      </c>
      <c r="L2334" s="7">
        <v>0</v>
      </c>
      <c r="M2334" s="19" t="e">
        <f>Planning[[#This Row],[Saldo]]-Planning[[#This Row],[Saldo estimado]]</f>
        <v>#REF!</v>
      </c>
      <c r="N2334" s="60" t="e">
        <f>+SUMIFS(#REF!,#REF!,Planning[[#This Row],[Proyectos]],#REF!,Planning[[#This Row],[Tipo de Tarea y especialidad]])</f>
        <v>#REF!</v>
      </c>
      <c r="O2334" s="19">
        <f t="shared" si="72"/>
        <v>10</v>
      </c>
      <c r="P2334" s="19">
        <f t="shared" si="73"/>
        <v>2024</v>
      </c>
      <c r="Q23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34" s="19" t="str">
        <f>TEXT(Planning[[#This Row],[Mes]]*29,"mmmm")</f>
        <v>October</v>
      </c>
      <c r="S23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34" s="208"/>
      <c r="U2334" s="43">
        <f>IF(Planning[[#This Row],[Horas Planificadas]]&lt;&gt;0,+K2334/Planning[[#This Row],[Horas Planificadas]],0)</f>
        <v>0</v>
      </c>
      <c r="V2334" s="43">
        <f>IF(Planning[[#This Row],[Horas Planificadas]]&lt;&gt;0,Planning[[#This Row],[Horas utilizadas]]/Planning[[#This Row],[Horas Planificadas]],0)</f>
        <v>0</v>
      </c>
      <c r="W2334" s="44">
        <f>Planning[[#This Row],[Horas Planificadas]]+Planning[[#This Row],[Horas ajustadas adicionales]]</f>
        <v>0</v>
      </c>
      <c r="X2334" s="142"/>
    </row>
    <row r="2335" spans="1:24" x14ac:dyDescent="0.2">
      <c r="A2335" s="7" t="s">
        <v>204</v>
      </c>
      <c r="B2335" s="7" t="s">
        <v>288</v>
      </c>
      <c r="C2335" s="3"/>
      <c r="D2335" s="3" t="s">
        <v>494</v>
      </c>
      <c r="E2335" s="4"/>
      <c r="F2335" s="3" t="s">
        <v>126</v>
      </c>
      <c r="G2335" s="9"/>
      <c r="H2335" s="9"/>
      <c r="I2335" s="12"/>
      <c r="J2335" s="5" t="e">
        <f>SUM(SUMIFS(#REF!,#REF!,Planning[[#This Row],[Tipo de Tarea y especialidad]],#REF!,Planning[[#This Row],[Proyectos Reiwa]]),SUMIFS(#REF!,#REF!,Planning[[#This Row],[Tipo de Tarea y especialidad]],#REF!,Planning[[#This Row],[Proyectos]]))</f>
        <v>#REF!</v>
      </c>
      <c r="K2335" s="5" t="e">
        <f>Planning[[#This Row],[Horas Planificadas]]+Planning[[#This Row],[Horas ajustadas adicionales]]-Planning[[#This Row],[Horas utilizadas]]</f>
        <v>#REF!</v>
      </c>
      <c r="L2335" s="7"/>
      <c r="M2335" s="19" t="e">
        <f>Planning[[#This Row],[Saldo]]-Planning[[#This Row],[Saldo estimado]]</f>
        <v>#REF!</v>
      </c>
      <c r="N2335" s="60" t="e">
        <f>+SUMIFS(#REF!,#REF!,Planning[[#This Row],[Proyectos]],#REF!,Planning[[#This Row],[Tipo de Tarea y especialidad]])</f>
        <v>#REF!</v>
      </c>
      <c r="O2335" s="19">
        <f t="shared" si="72"/>
        <v>10</v>
      </c>
      <c r="P2335" s="19">
        <f t="shared" si="73"/>
        <v>2024</v>
      </c>
      <c r="Q23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35" s="19" t="str">
        <f>TEXT(Planning[[#This Row],[Mes]]*29,"mmmm")</f>
        <v>October</v>
      </c>
      <c r="S23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35" s="208"/>
      <c r="U2335" s="43">
        <f>IF(Planning[[#This Row],[Horas Planificadas]]&lt;&gt;0,+K2335/Planning[[#This Row],[Horas Planificadas]],0)</f>
        <v>0</v>
      </c>
      <c r="V2335" s="43">
        <f>IF(Planning[[#This Row],[Horas Planificadas]]&lt;&gt;0,Planning[[#This Row],[Horas utilizadas]]/Planning[[#This Row],[Horas Planificadas]],0)</f>
        <v>0</v>
      </c>
      <c r="W2335" s="44">
        <f>Planning[[#This Row],[Horas Planificadas]]+Planning[[#This Row],[Horas ajustadas adicionales]]</f>
        <v>0</v>
      </c>
      <c r="X2335" s="142"/>
    </row>
    <row r="2336" spans="1:24" x14ac:dyDescent="0.2">
      <c r="A2336" s="7" t="s">
        <v>204</v>
      </c>
      <c r="B2336" s="7" t="s">
        <v>288</v>
      </c>
      <c r="C2336" s="3"/>
      <c r="D2336" s="3" t="s">
        <v>494</v>
      </c>
      <c r="E2336" s="4"/>
      <c r="F2336" s="3" t="s">
        <v>127</v>
      </c>
      <c r="G2336" s="9"/>
      <c r="H2336" s="9"/>
      <c r="I2336" s="12"/>
      <c r="J2336" s="5" t="e">
        <f>SUM(SUMIFS(#REF!,#REF!,Planning[[#This Row],[Tipo de Tarea y especialidad]],#REF!,Planning[[#This Row],[Proyectos Reiwa]]),SUMIFS(#REF!,#REF!,Planning[[#This Row],[Tipo de Tarea y especialidad]],#REF!,Planning[[#This Row],[Proyectos]]))</f>
        <v>#REF!</v>
      </c>
      <c r="K2336" s="5" t="e">
        <f>Planning[[#This Row],[Horas Planificadas]]+Planning[[#This Row],[Horas ajustadas adicionales]]-Planning[[#This Row],[Horas utilizadas]]</f>
        <v>#REF!</v>
      </c>
      <c r="L2336" s="7"/>
      <c r="M2336" s="19" t="e">
        <f>Planning[[#This Row],[Saldo]]-Planning[[#This Row],[Saldo estimado]]</f>
        <v>#REF!</v>
      </c>
      <c r="N2336" s="60" t="e">
        <f>+SUMIFS(#REF!,#REF!,Planning[[#This Row],[Proyectos]],#REF!,Planning[[#This Row],[Tipo de Tarea y especialidad]])</f>
        <v>#REF!</v>
      </c>
      <c r="O2336" s="19">
        <f t="shared" si="72"/>
        <v>10</v>
      </c>
      <c r="P2336" s="19">
        <f t="shared" si="73"/>
        <v>2024</v>
      </c>
      <c r="Q23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36" s="19" t="str">
        <f>TEXT(Planning[[#This Row],[Mes]]*29,"mmmm")</f>
        <v>October</v>
      </c>
      <c r="S23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36" s="208"/>
      <c r="U2336" s="43">
        <f>IF(Planning[[#This Row],[Horas Planificadas]]&lt;&gt;0,+K2336/Planning[[#This Row],[Horas Planificadas]],0)</f>
        <v>0</v>
      </c>
      <c r="V2336" s="43">
        <f>IF(Planning[[#This Row],[Horas Planificadas]]&lt;&gt;0,Planning[[#This Row],[Horas utilizadas]]/Planning[[#This Row],[Horas Planificadas]],0)</f>
        <v>0</v>
      </c>
      <c r="W2336" s="44">
        <f>Planning[[#This Row],[Horas Planificadas]]+Planning[[#This Row],[Horas ajustadas adicionales]]</f>
        <v>0</v>
      </c>
      <c r="X2336" s="142"/>
    </row>
    <row r="2337" spans="1:24" x14ac:dyDescent="0.2">
      <c r="A2337" s="7" t="s">
        <v>204</v>
      </c>
      <c r="B2337" s="7" t="s">
        <v>288</v>
      </c>
      <c r="C2337" s="3"/>
      <c r="D2337" s="3" t="s">
        <v>494</v>
      </c>
      <c r="E2337" s="4"/>
      <c r="F2337" s="3" t="s">
        <v>128</v>
      </c>
      <c r="G2337" s="9"/>
      <c r="H2337" s="9"/>
      <c r="I2337" s="12"/>
      <c r="J2337" s="5" t="e">
        <f>SUM(SUMIFS(#REF!,#REF!,Planning[[#This Row],[Tipo de Tarea y especialidad]],#REF!,Planning[[#This Row],[Proyectos Reiwa]]),SUMIFS(#REF!,#REF!,Planning[[#This Row],[Tipo de Tarea y especialidad]],#REF!,Planning[[#This Row],[Proyectos]]))</f>
        <v>#REF!</v>
      </c>
      <c r="K2337" s="5" t="e">
        <f>Planning[[#This Row],[Horas Planificadas]]+Planning[[#This Row],[Horas ajustadas adicionales]]-Planning[[#This Row],[Horas utilizadas]]</f>
        <v>#REF!</v>
      </c>
      <c r="L2337" s="7">
        <v>0</v>
      </c>
      <c r="M2337" s="19" t="e">
        <f>Planning[[#This Row],[Saldo]]-Planning[[#This Row],[Saldo estimado]]</f>
        <v>#REF!</v>
      </c>
      <c r="N2337" s="60" t="e">
        <f>+SUMIFS(#REF!,#REF!,Planning[[#This Row],[Proyectos]],#REF!,Planning[[#This Row],[Tipo de Tarea y especialidad]])</f>
        <v>#REF!</v>
      </c>
      <c r="O2337" s="19">
        <f t="shared" si="72"/>
        <v>10</v>
      </c>
      <c r="P2337" s="19">
        <f t="shared" si="73"/>
        <v>2024</v>
      </c>
      <c r="Q23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37" s="19" t="str">
        <f>TEXT(Planning[[#This Row],[Mes]]*29,"mmmm")</f>
        <v>October</v>
      </c>
      <c r="S23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37" s="208"/>
      <c r="U2337" s="43">
        <f>IF(Planning[[#This Row],[Horas Planificadas]]&lt;&gt;0,+K2337/Planning[[#This Row],[Horas Planificadas]],0)</f>
        <v>0</v>
      </c>
      <c r="V2337" s="43">
        <f>IF(Planning[[#This Row],[Horas Planificadas]]&lt;&gt;0,Planning[[#This Row],[Horas utilizadas]]/Planning[[#This Row],[Horas Planificadas]],0)</f>
        <v>0</v>
      </c>
      <c r="W2337" s="44">
        <f>Planning[[#This Row],[Horas Planificadas]]+Planning[[#This Row],[Horas ajustadas adicionales]]</f>
        <v>0</v>
      </c>
      <c r="X2337" s="142"/>
    </row>
    <row r="2338" spans="1:24" x14ac:dyDescent="0.2">
      <c r="A2338" s="7" t="s">
        <v>204</v>
      </c>
      <c r="B2338" s="7" t="s">
        <v>288</v>
      </c>
      <c r="C2338" s="3"/>
      <c r="D2338" s="3" t="s">
        <v>494</v>
      </c>
      <c r="E2338" s="4" t="s">
        <v>31</v>
      </c>
      <c r="F2338" s="3" t="s">
        <v>31</v>
      </c>
      <c r="G2338" s="9">
        <v>120</v>
      </c>
      <c r="H2338" s="17">
        <v>120</v>
      </c>
      <c r="I2338" s="18"/>
      <c r="J2338" s="14" t="e">
        <f>+SUMIFS(#REF!,#REF!,Planning[[#This Row],[Tarifa]],#REF!,Planning[[#This Row],[Proyectos]])</f>
        <v>#REF!</v>
      </c>
      <c r="K2338" s="14" t="e">
        <f>Planning[[#This Row],[Horas Planificadas]]+Planning[[#This Row],[Horas ajustadas adicionales]]-Planning[[#This Row],[Horas utilizadas]]</f>
        <v>#REF!</v>
      </c>
      <c r="L2338" s="15">
        <v>0</v>
      </c>
      <c r="M2338" s="16" t="e">
        <f>Planning[[#This Row],[Saldo]]-Planning[[#This Row],[Saldo estimado]]</f>
        <v>#REF!</v>
      </c>
      <c r="N2338" s="60" t="e">
        <f>+SUMIFS(#REF!,#REF!,Planning[[#This Row],[Proyectos]],#REF!,Planning[[#This Row],[Tipo de Tarea y especialidad]])</f>
        <v>#REF!</v>
      </c>
      <c r="O2338" s="16">
        <f t="shared" si="72"/>
        <v>10</v>
      </c>
      <c r="P2338" s="16">
        <f t="shared" si="73"/>
        <v>2024</v>
      </c>
      <c r="Q2338" s="16" t="e">
        <f>+SUMIFS(#REF!,#REF!,Planning[[#This Row],[Tarifa]],#REF!,Planning[[#This Row],[Proyectos]],#REF!,Planning[[#This Row],[Mes]],#REF!,Planning[[#This Row],[Año]])</f>
        <v>#REF!</v>
      </c>
      <c r="R2338" s="16" t="str">
        <f>TEXT(Planning[[#This Row],[Mes]]*29,"mmmm")</f>
        <v>October</v>
      </c>
      <c r="S23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38" s="208"/>
      <c r="U2338" s="43" t="e">
        <f>IF(Planning[[#This Row],[Horas Planificadas]]&lt;&gt;0,+K2338/Planning[[#This Row],[Horas Planificadas]],0)</f>
        <v>#REF!</v>
      </c>
      <c r="V2338" s="43" t="e">
        <f>IF(Planning[[#This Row],[Horas Planificadas]]&lt;&gt;0,Planning[[#This Row],[Horas utilizadas]]/Planning[[#This Row],[Horas Planificadas]],0)</f>
        <v>#REF!</v>
      </c>
      <c r="W2338" s="44">
        <f>Planning[[#This Row],[Horas Planificadas]]+Planning[[#This Row],[Horas ajustadas adicionales]]</f>
        <v>120</v>
      </c>
      <c r="X2338" s="142"/>
    </row>
    <row r="2339" spans="1:24" ht="22.5" x14ac:dyDescent="0.2">
      <c r="A2339" s="7" t="s">
        <v>204</v>
      </c>
      <c r="B2339" s="7" t="s">
        <v>288</v>
      </c>
      <c r="C2339" s="3"/>
      <c r="D2339" s="3" t="s">
        <v>494</v>
      </c>
      <c r="E2339" s="4" t="s">
        <v>32</v>
      </c>
      <c r="F2339" s="3"/>
      <c r="G2339" s="9">
        <v>180</v>
      </c>
      <c r="H2339" s="14">
        <f>SUM(H2340:H2342)</f>
        <v>180</v>
      </c>
      <c r="I2339" s="14"/>
      <c r="J2339" s="14" t="e">
        <f>SUM(J2340:J2342)</f>
        <v>#REF!</v>
      </c>
      <c r="K2339" s="15" t="e">
        <f>SUM(K2340:K2342)</f>
        <v>#REF!</v>
      </c>
      <c r="L2339" s="15">
        <f>SUM(L2340:L2342)</f>
        <v>0</v>
      </c>
      <c r="M2339" s="16" t="e">
        <f>SUM(M2340:M2342)</f>
        <v>#REF!</v>
      </c>
      <c r="N2339" s="60" t="e">
        <f>+SUMIFS(#REF!,#REF!,Planning[[#This Row],[Proyectos]],#REF!,Planning[[#This Row],[Tipo de Tarea y especialidad]])</f>
        <v>#REF!</v>
      </c>
      <c r="O2339" s="16">
        <f t="shared" si="72"/>
        <v>10</v>
      </c>
      <c r="P2339" s="16">
        <f t="shared" si="73"/>
        <v>2024</v>
      </c>
      <c r="Q2339" s="16" t="e">
        <f>SUM(Q2340:Q2342)</f>
        <v>#REF!</v>
      </c>
      <c r="R2339" s="16" t="str">
        <f>TEXT(Planning[[#This Row],[Mes]]*29,"mmmm")</f>
        <v>October</v>
      </c>
      <c r="S23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39" s="208"/>
      <c r="U2339" s="43" t="e">
        <f>IF(Planning[[#This Row],[Horas Planificadas]]&lt;&gt;0,+K2339/Planning[[#This Row],[Horas Planificadas]],0)</f>
        <v>#REF!</v>
      </c>
      <c r="V2339" s="43" t="e">
        <f>IF(Planning[[#This Row],[Horas Planificadas]]&lt;&gt;0,Planning[[#This Row],[Horas utilizadas]]/Planning[[#This Row],[Horas Planificadas]],0)</f>
        <v>#REF!</v>
      </c>
      <c r="W2339" s="44">
        <f>Planning[[#This Row],[Horas Planificadas]]+Planning[[#This Row],[Horas ajustadas adicionales]]</f>
        <v>180</v>
      </c>
      <c r="X2339" s="142"/>
    </row>
    <row r="2340" spans="1:24" x14ac:dyDescent="0.2">
      <c r="A2340" s="7" t="s">
        <v>204</v>
      </c>
      <c r="B2340" s="7" t="s">
        <v>288</v>
      </c>
      <c r="C2340" s="3"/>
      <c r="D2340" s="3" t="s">
        <v>494</v>
      </c>
      <c r="E2340" s="4"/>
      <c r="F2340" s="3" t="s">
        <v>129</v>
      </c>
      <c r="G2340" s="9"/>
      <c r="H2340" s="9"/>
      <c r="I2340" s="12"/>
      <c r="J2340" s="5" t="e">
        <f>SUM(SUMIFS(#REF!,#REF!,Planning[[#This Row],[Tipo de Tarea y especialidad]],#REF!,Planning[[#This Row],[Proyectos Reiwa]]),SUMIFS(#REF!,#REF!,Planning[[#This Row],[Tipo de Tarea y especialidad]],#REF!,Planning[[#This Row],[Proyectos]]))</f>
        <v>#REF!</v>
      </c>
      <c r="K2340" s="5" t="e">
        <f>Planning[[#This Row],[Horas Planificadas]]+Planning[[#This Row],[Horas ajustadas adicionales]]-Planning[[#This Row],[Horas utilizadas]]</f>
        <v>#REF!</v>
      </c>
      <c r="L2340" s="7"/>
      <c r="M2340" s="19" t="e">
        <f>Planning[[#This Row],[Saldo]]-Planning[[#This Row],[Saldo estimado]]</f>
        <v>#REF!</v>
      </c>
      <c r="N2340" s="60" t="e">
        <f>+SUMIFS(#REF!,#REF!,Planning[[#This Row],[Proyectos]],#REF!,Planning[[#This Row],[Tipo de Tarea y especialidad]])</f>
        <v>#REF!</v>
      </c>
      <c r="O2340" s="19">
        <f t="shared" si="72"/>
        <v>10</v>
      </c>
      <c r="P2340" s="19">
        <f t="shared" si="73"/>
        <v>2024</v>
      </c>
      <c r="Q23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40" s="19" t="str">
        <f>TEXT(Planning[[#This Row],[Mes]]*29,"mmmm")</f>
        <v>October</v>
      </c>
      <c r="S23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40" s="208"/>
      <c r="U2340" s="43">
        <f>IF(Planning[[#This Row],[Horas Planificadas]]&lt;&gt;0,+K2340/Planning[[#This Row],[Horas Planificadas]],0)</f>
        <v>0</v>
      </c>
      <c r="V2340" s="43">
        <f>IF(Planning[[#This Row],[Horas Planificadas]]&lt;&gt;0,Planning[[#This Row],[Horas utilizadas]]/Planning[[#This Row],[Horas Planificadas]],0)</f>
        <v>0</v>
      </c>
      <c r="W2340" s="44">
        <f>Planning[[#This Row],[Horas Planificadas]]+Planning[[#This Row],[Horas ajustadas adicionales]]</f>
        <v>0</v>
      </c>
      <c r="X2340" s="142"/>
    </row>
    <row r="2341" spans="1:24" x14ac:dyDescent="0.2">
      <c r="A2341" s="7" t="s">
        <v>204</v>
      </c>
      <c r="B2341" s="7" t="s">
        <v>288</v>
      </c>
      <c r="C2341" s="3"/>
      <c r="D2341" s="3" t="s">
        <v>494</v>
      </c>
      <c r="E2341" s="4"/>
      <c r="F2341" s="3" t="s">
        <v>130</v>
      </c>
      <c r="G2341" s="9"/>
      <c r="H2341" s="9"/>
      <c r="I2341" s="12"/>
      <c r="J2341" s="5" t="e">
        <f>SUM(SUMIFS(#REF!,#REF!,Planning[[#This Row],[Tipo de Tarea y especialidad]],#REF!,Planning[[#This Row],[Proyectos Reiwa]]),SUMIFS(#REF!,#REF!,Planning[[#This Row],[Tipo de Tarea y especialidad]],#REF!,Planning[[#This Row],[Proyectos]]))</f>
        <v>#REF!</v>
      </c>
      <c r="K2341" s="5" t="e">
        <f>Planning[[#This Row],[Horas Planificadas]]+Planning[[#This Row],[Horas ajustadas adicionales]]-Planning[[#This Row],[Horas utilizadas]]</f>
        <v>#REF!</v>
      </c>
      <c r="L2341" s="7"/>
      <c r="M2341" s="19" t="e">
        <f>Planning[[#This Row],[Saldo]]-Planning[[#This Row],[Saldo estimado]]</f>
        <v>#REF!</v>
      </c>
      <c r="N2341" s="60" t="e">
        <f>+SUMIFS(#REF!,#REF!,Planning[[#This Row],[Proyectos]],#REF!,Planning[[#This Row],[Tipo de Tarea y especialidad]])</f>
        <v>#REF!</v>
      </c>
      <c r="O2341" s="19">
        <f t="shared" si="72"/>
        <v>10</v>
      </c>
      <c r="P2341" s="19">
        <f t="shared" si="73"/>
        <v>2024</v>
      </c>
      <c r="Q23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41" s="19" t="str">
        <f>TEXT(Planning[[#This Row],[Mes]]*29,"mmmm")</f>
        <v>October</v>
      </c>
      <c r="S23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41" s="208"/>
      <c r="U2341" s="43">
        <f>IF(Planning[[#This Row],[Horas Planificadas]]&lt;&gt;0,+K2341/Planning[[#This Row],[Horas Planificadas]],0)</f>
        <v>0</v>
      </c>
      <c r="V2341" s="43">
        <f>IF(Planning[[#This Row],[Horas Planificadas]]&lt;&gt;0,Planning[[#This Row],[Horas utilizadas]]/Planning[[#This Row],[Horas Planificadas]],0)</f>
        <v>0</v>
      </c>
      <c r="W2341" s="44">
        <f>Planning[[#This Row],[Horas Planificadas]]+Planning[[#This Row],[Horas ajustadas adicionales]]</f>
        <v>0</v>
      </c>
      <c r="X2341" s="142"/>
    </row>
    <row r="2342" spans="1:24" x14ac:dyDescent="0.2">
      <c r="A2342" s="7" t="s">
        <v>204</v>
      </c>
      <c r="B2342" s="7" t="s">
        <v>288</v>
      </c>
      <c r="C2342" s="3"/>
      <c r="D2342" s="3" t="s">
        <v>494</v>
      </c>
      <c r="E2342" s="4"/>
      <c r="F2342" s="3" t="s">
        <v>131</v>
      </c>
      <c r="G2342" s="9"/>
      <c r="H2342" s="9">
        <v>180</v>
      </c>
      <c r="I2342" s="12"/>
      <c r="J2342" s="5" t="e">
        <f>SUM(SUMIFS(#REF!,#REF!,Planning[[#This Row],[Tipo de Tarea y especialidad]],#REF!,Planning[[#This Row],[Proyectos Reiwa]]),SUMIFS(#REF!,#REF!,Planning[[#This Row],[Tipo de Tarea y especialidad]],#REF!,Planning[[#This Row],[Proyectos]]))</f>
        <v>#REF!</v>
      </c>
      <c r="K2342" s="5" t="e">
        <f>Planning[[#This Row],[Horas Planificadas]]+Planning[[#This Row],[Horas ajustadas adicionales]]-Planning[[#This Row],[Horas utilizadas]]</f>
        <v>#REF!</v>
      </c>
      <c r="L2342" s="7">
        <v>0</v>
      </c>
      <c r="M2342" s="19" t="e">
        <f>Planning[[#This Row],[Saldo]]-Planning[[#This Row],[Saldo estimado]]</f>
        <v>#REF!</v>
      </c>
      <c r="N2342" s="60" t="e">
        <f>+SUMIFS(#REF!,#REF!,Planning[[#This Row],[Proyectos]],#REF!,Planning[[#This Row],[Tipo de Tarea y especialidad]])</f>
        <v>#REF!</v>
      </c>
      <c r="O2342" s="19">
        <f t="shared" si="72"/>
        <v>10</v>
      </c>
      <c r="P2342" s="19">
        <f t="shared" si="73"/>
        <v>2024</v>
      </c>
      <c r="Q23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42" s="19" t="str">
        <f>TEXT(Planning[[#This Row],[Mes]]*29,"mmmm")</f>
        <v>October</v>
      </c>
      <c r="S23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42" s="208"/>
      <c r="U2342" s="43" t="e">
        <f>IF(Planning[[#This Row],[Horas Planificadas]]&lt;&gt;0,+K2342/Planning[[#This Row],[Horas Planificadas]],0)</f>
        <v>#REF!</v>
      </c>
      <c r="V2342" s="43" t="e">
        <f>IF(Planning[[#This Row],[Horas Planificadas]]&lt;&gt;0,Planning[[#This Row],[Horas utilizadas]]/Planning[[#This Row],[Horas Planificadas]],0)</f>
        <v>#REF!</v>
      </c>
      <c r="W2342" s="44">
        <f>Planning[[#This Row],[Horas Planificadas]]+Planning[[#This Row],[Horas ajustadas adicionales]]</f>
        <v>180</v>
      </c>
      <c r="X2342" s="142"/>
    </row>
    <row r="2343" spans="1:24" ht="22.5" x14ac:dyDescent="0.2">
      <c r="A2343" s="7"/>
      <c r="B2343" s="7"/>
      <c r="C2343" s="3"/>
      <c r="D2343" s="3" t="s">
        <v>496</v>
      </c>
      <c r="E2343" s="4" t="s">
        <v>28</v>
      </c>
      <c r="F2343" s="3"/>
      <c r="G2343" s="9"/>
      <c r="H2343" s="12">
        <v>0</v>
      </c>
      <c r="I2343" s="12"/>
      <c r="J2343" s="5" t="e">
        <f>+SUMIFS(#REF!,#REF!,Planning[[#This Row],[Tarifa]],#REF!,Planning[[#This Row],[Proyectos]])</f>
        <v>#REF!</v>
      </c>
      <c r="K2343" s="27" t="e">
        <f>Planning[[#This Row],[Horas Planificadas]]+Planning[[#This Row],[Horas ajustadas adicionales]]-Planning[[#This Row],[Horas utilizadas]]</f>
        <v>#REF!</v>
      </c>
      <c r="L2343" s="7"/>
      <c r="M2343" s="34" t="e">
        <f>Planning[[#This Row],[Saldo]]-Planning[[#This Row],[Saldo estimado]]</f>
        <v>#REF!</v>
      </c>
      <c r="N2343" s="62" t="e">
        <f>+SUMIFS(#REF!,#REF!,Planning[[#This Row],[Proyectos]],#REF!,Planning[[#This Row],[Tipo de Tarea y especialidad]])</f>
        <v>#REF!</v>
      </c>
      <c r="O2343" s="34">
        <f t="shared" si="72"/>
        <v>10</v>
      </c>
      <c r="P2343" s="34">
        <f t="shared" si="73"/>
        <v>2024</v>
      </c>
      <c r="Q2343" s="34" t="e">
        <f>+SUMIFS(#REF!,#REF!,Planning[[#This Row],[Tarifa]],#REF!,Planning[[#This Row],[Proyectos]],#REF!,Planning[[#This Row],[Mes]],#REF!,Planning[[#This Row],[Año]])</f>
        <v>#REF!</v>
      </c>
      <c r="R2343" s="34" t="str">
        <f>TEXT(Planning[[#This Row],[Mes]]*29,"mmmm")</f>
        <v>October</v>
      </c>
      <c r="S234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43" s="228"/>
      <c r="U2343" s="43">
        <f>IF(Planning[[#This Row],[Horas Planificadas]]&lt;&gt;0,+K2343/Planning[[#This Row],[Horas Planificadas]],0)</f>
        <v>0</v>
      </c>
      <c r="V2343" s="43">
        <f>IF(Planning[[#This Row],[Horas Planificadas]]&lt;&gt;0,Planning[[#This Row],[Horas utilizadas]]/Planning[[#This Row],[Horas Planificadas]],0)</f>
        <v>0</v>
      </c>
      <c r="W2343" s="44">
        <f>Planning[[#This Row],[Horas Planificadas]]+Planning[[#This Row],[Horas ajustadas adicionales]]</f>
        <v>0</v>
      </c>
      <c r="X2343" s="142"/>
    </row>
    <row r="2344" spans="1:24" x14ac:dyDescent="0.2">
      <c r="A2344" s="7"/>
      <c r="B2344" s="7"/>
      <c r="C2344" s="3"/>
      <c r="D2344" s="3" t="s">
        <v>496</v>
      </c>
      <c r="E2344" s="4" t="s">
        <v>30</v>
      </c>
      <c r="F2344" s="3"/>
      <c r="G2344" s="9"/>
      <c r="H2344" s="9">
        <v>83</v>
      </c>
      <c r="I2344" s="12"/>
      <c r="J2344" s="5" t="e">
        <f>+SUMIFS(#REF!,#REF!,Planning[[#This Row],[Tarifa]],#REF!,Planning[[#This Row],[Proyectos]])</f>
        <v>#REF!</v>
      </c>
      <c r="K2344" s="5" t="e">
        <f>Planning[[#This Row],[Horas Planificadas]]+Planning[[#This Row],[Horas ajustadas adicionales]]-Planning[[#This Row],[Horas utilizadas]]</f>
        <v>#REF!</v>
      </c>
      <c r="L2344" s="7"/>
      <c r="M2344" s="19" t="e">
        <f>Planning[[#This Row],[Saldo]]-Planning[[#This Row],[Saldo estimado]]</f>
        <v>#REF!</v>
      </c>
      <c r="N2344" s="60" t="e">
        <f>+SUMIFS(#REF!,#REF!,Planning[[#This Row],[Proyectos]],#REF!,Planning[[#This Row],[Tipo de Tarea y especialidad]])</f>
        <v>#REF!</v>
      </c>
      <c r="O2344" s="19">
        <f t="shared" si="72"/>
        <v>10</v>
      </c>
      <c r="P2344" s="19">
        <f t="shared" si="73"/>
        <v>2024</v>
      </c>
      <c r="Q2344" s="19" t="e">
        <f>+SUMIFS(#REF!,#REF!,Planning[[#This Row],[Tarifa]],#REF!,Planning[[#This Row],[Proyectos]],#REF!,Planning[[#This Row],[Mes]],#REF!,Planning[[#This Row],[Año]])</f>
        <v>#REF!</v>
      </c>
      <c r="R2344" s="19" t="str">
        <f>TEXT(Planning[[#This Row],[Mes]]*29,"mmmm")</f>
        <v>October</v>
      </c>
      <c r="S23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44" s="228"/>
      <c r="U2344" s="43" t="e">
        <f>IF(Planning[[#This Row],[Horas Planificadas]]&lt;&gt;0,+K2344/Planning[[#This Row],[Horas Planificadas]],0)</f>
        <v>#REF!</v>
      </c>
      <c r="V2344" s="43" t="e">
        <f>IF(Planning[[#This Row],[Horas Planificadas]]&lt;&gt;0,Planning[[#This Row],[Horas utilizadas]]/Planning[[#This Row],[Horas Planificadas]],0)</f>
        <v>#REF!</v>
      </c>
      <c r="W2344" s="44">
        <f>Planning[[#This Row],[Horas Planificadas]]+Planning[[#This Row],[Horas ajustadas adicionales]]</f>
        <v>83</v>
      </c>
      <c r="X2344" s="142"/>
    </row>
    <row r="2345" spans="1:24" ht="12.75" customHeight="1" x14ac:dyDescent="0.2">
      <c r="A2345" s="7"/>
      <c r="B2345" s="7"/>
      <c r="C2345" s="3"/>
      <c r="D2345" s="3" t="s">
        <v>496</v>
      </c>
      <c r="E2345" s="4" t="s">
        <v>31</v>
      </c>
      <c r="F2345" s="3"/>
      <c r="G2345" s="9"/>
      <c r="H2345" s="9">
        <v>20</v>
      </c>
      <c r="I2345" s="12"/>
      <c r="J2345" s="5" t="e">
        <f>+SUMIFS(#REF!,#REF!,Planning[[#This Row],[Tarifa]],#REF!,Planning[[#This Row],[Proyectos]])</f>
        <v>#REF!</v>
      </c>
      <c r="K2345" s="5" t="e">
        <f>Planning[[#This Row],[Horas Planificadas]]+Planning[[#This Row],[Horas ajustadas adicionales]]-Planning[[#This Row],[Horas utilizadas]]</f>
        <v>#REF!</v>
      </c>
      <c r="L2345" s="7"/>
      <c r="M2345" s="19" t="e">
        <f>Planning[[#This Row],[Saldo]]-Planning[[#This Row],[Saldo estimado]]</f>
        <v>#REF!</v>
      </c>
      <c r="N2345" s="60" t="e">
        <f>+SUMIFS(#REF!,#REF!,Planning[[#This Row],[Proyectos]],#REF!,Planning[[#This Row],[Tipo de Tarea y especialidad]])</f>
        <v>#REF!</v>
      </c>
      <c r="O2345" s="19">
        <f t="shared" si="72"/>
        <v>10</v>
      </c>
      <c r="P2345" s="19">
        <f t="shared" si="73"/>
        <v>2024</v>
      </c>
      <c r="Q2345" s="19" t="e">
        <f>+SUMIFS(#REF!,#REF!,Planning[[#This Row],[Tarifa]],#REF!,Planning[[#This Row],[Proyectos]],#REF!,Planning[[#This Row],[Mes]],#REF!,Planning[[#This Row],[Año]])</f>
        <v>#REF!</v>
      </c>
      <c r="R2345" s="19" t="str">
        <f>TEXT(Planning[[#This Row],[Mes]]*29,"mmmm")</f>
        <v>October</v>
      </c>
      <c r="S23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45" s="228"/>
      <c r="U2345" s="43" t="e">
        <f>IF(Planning[[#This Row],[Horas Planificadas]]&lt;&gt;0,+K2345/Planning[[#This Row],[Horas Planificadas]],0)</f>
        <v>#REF!</v>
      </c>
      <c r="V2345" s="43" t="e">
        <f>IF(Planning[[#This Row],[Horas Planificadas]]&lt;&gt;0,Planning[[#This Row],[Horas utilizadas]]/Planning[[#This Row],[Horas Planificadas]],0)</f>
        <v>#REF!</v>
      </c>
      <c r="W2345" s="44">
        <f>Planning[[#This Row],[Horas Planificadas]]+Planning[[#This Row],[Horas ajustadas adicionales]]</f>
        <v>20</v>
      </c>
      <c r="X2345" s="142"/>
    </row>
    <row r="2346" spans="1:24" ht="22.5" x14ac:dyDescent="0.2">
      <c r="A2346" s="7"/>
      <c r="B2346" s="7"/>
      <c r="C2346" s="3"/>
      <c r="D2346" s="3" t="s">
        <v>496</v>
      </c>
      <c r="E2346" s="4" t="s">
        <v>32</v>
      </c>
      <c r="F2346" s="3"/>
      <c r="G2346" s="9"/>
      <c r="H2346" s="12">
        <v>48</v>
      </c>
      <c r="I2346" s="12"/>
      <c r="J2346" s="5" t="e">
        <f>+SUMIFS(#REF!,#REF!,Planning[[#This Row],[Tarifa]],#REF!,Planning[[#This Row],[Proyectos]])</f>
        <v>#REF!</v>
      </c>
      <c r="K2346" s="27" t="e">
        <f>Planning[[#This Row],[Horas Planificadas]]+Planning[[#This Row],[Horas ajustadas adicionales]]-Planning[[#This Row],[Horas utilizadas]]</f>
        <v>#REF!</v>
      </c>
      <c r="L2346" s="7"/>
      <c r="M2346" s="19" t="e">
        <f>Planning[[#This Row],[Saldo]]-Planning[[#This Row],[Saldo estimado]]</f>
        <v>#REF!</v>
      </c>
      <c r="N2346" s="60" t="e">
        <f>+SUMIFS(#REF!,#REF!,Planning[[#This Row],[Proyectos]],#REF!,Planning[[#This Row],[Tipo de Tarea y especialidad]])</f>
        <v>#REF!</v>
      </c>
      <c r="O2346" s="19">
        <f t="shared" si="72"/>
        <v>10</v>
      </c>
      <c r="P2346" s="19">
        <f t="shared" si="73"/>
        <v>2024</v>
      </c>
      <c r="Q2346" s="19" t="e">
        <f>+SUMIFS(#REF!,#REF!,Planning[[#This Row],[Tarifa]],#REF!,Planning[[#This Row],[Proyectos]],#REF!,Planning[[#This Row],[Mes]],#REF!,Planning[[#This Row],[Año]])</f>
        <v>#REF!</v>
      </c>
      <c r="R2346" s="19" t="str">
        <f>TEXT(Planning[[#This Row],[Mes]]*29,"mmmm")</f>
        <v>October</v>
      </c>
      <c r="S23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46" s="228"/>
      <c r="U2346" s="43" t="e">
        <f>IF(Planning[[#This Row],[Horas Planificadas]]&lt;&gt;0,+K2346/Planning[[#This Row],[Horas Planificadas]],0)</f>
        <v>#REF!</v>
      </c>
      <c r="V2346" s="43" t="e">
        <f>IF(Planning[[#This Row],[Horas Planificadas]]&lt;&gt;0,Planning[[#This Row],[Horas utilizadas]]/Planning[[#This Row],[Horas Planificadas]],0)</f>
        <v>#REF!</v>
      </c>
      <c r="W2346" s="44">
        <f>Planning[[#This Row],[Horas Planificadas]]+Planning[[#This Row],[Horas ajustadas adicionales]]</f>
        <v>48</v>
      </c>
      <c r="X2346" s="142"/>
    </row>
    <row r="2347" spans="1:24" ht="22.5" x14ac:dyDescent="0.2">
      <c r="A2347" s="7"/>
      <c r="B2347" s="7"/>
      <c r="C2347" s="3"/>
      <c r="D2347" s="3" t="s">
        <v>497</v>
      </c>
      <c r="E2347" s="4" t="s">
        <v>28</v>
      </c>
      <c r="F2347" s="3"/>
      <c r="G2347" s="9"/>
      <c r="H2347" s="9">
        <v>18</v>
      </c>
      <c r="I2347" s="12"/>
      <c r="J2347" s="5" t="e">
        <f>+SUMIFS(#REF!,#REF!,Planning[[#This Row],[Tarifa]],#REF!,Planning[[#This Row],[Proyectos]])</f>
        <v>#REF!</v>
      </c>
      <c r="K2347" s="5" t="e">
        <f>Planning[[#This Row],[Horas Planificadas]]+Planning[[#This Row],[Horas ajustadas adicionales]]-Planning[[#This Row],[Horas utilizadas]]</f>
        <v>#REF!</v>
      </c>
      <c r="L2347" s="7"/>
      <c r="M2347" s="19" t="e">
        <f>Planning[[#This Row],[Saldo]]-Planning[[#This Row],[Saldo estimado]]</f>
        <v>#REF!</v>
      </c>
      <c r="N2347" s="60" t="e">
        <f>+SUMIFS(#REF!,#REF!,Planning[[#This Row],[Proyectos]],#REF!,Planning[[#This Row],[Tipo de Tarea y especialidad]])</f>
        <v>#REF!</v>
      </c>
      <c r="O2347" s="19">
        <f t="shared" si="72"/>
        <v>10</v>
      </c>
      <c r="P2347" s="19">
        <f t="shared" si="73"/>
        <v>2024</v>
      </c>
      <c r="Q2347" s="19" t="e">
        <f>+SUMIFS(#REF!,#REF!,Planning[[#This Row],[Tarifa]],#REF!,Planning[[#This Row],[Proyectos]],#REF!,Planning[[#This Row],[Mes]],#REF!,Planning[[#This Row],[Año]])</f>
        <v>#REF!</v>
      </c>
      <c r="R2347" s="19" t="str">
        <f>TEXT(Planning[[#This Row],[Mes]]*29,"mmmm")</f>
        <v>October</v>
      </c>
      <c r="S23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47" s="228"/>
      <c r="U2347" s="43" t="e">
        <f>IF(Planning[[#This Row],[Horas Planificadas]]&lt;&gt;0,+K2347/Planning[[#This Row],[Horas Planificadas]],0)</f>
        <v>#REF!</v>
      </c>
      <c r="V2347" s="43" t="e">
        <f>IF(Planning[[#This Row],[Horas Planificadas]]&lt;&gt;0,Planning[[#This Row],[Horas utilizadas]]/Planning[[#This Row],[Horas Planificadas]],0)</f>
        <v>#REF!</v>
      </c>
      <c r="W2347" s="44">
        <f>Planning[[#This Row],[Horas Planificadas]]+Planning[[#This Row],[Horas ajustadas adicionales]]</f>
        <v>18</v>
      </c>
      <c r="X2347" s="142"/>
    </row>
    <row r="2348" spans="1:24" x14ac:dyDescent="0.2">
      <c r="A2348" s="7"/>
      <c r="B2348" s="7"/>
      <c r="C2348" s="3"/>
      <c r="D2348" s="3" t="s">
        <v>497</v>
      </c>
      <c r="E2348" s="4" t="s">
        <v>30</v>
      </c>
      <c r="F2348" s="3"/>
      <c r="G2348" s="9"/>
      <c r="H2348" s="9">
        <v>18</v>
      </c>
      <c r="I2348" s="12"/>
      <c r="J2348" s="5" t="e">
        <f>+SUMIFS(#REF!,#REF!,Planning[[#This Row],[Tarifa]],#REF!,Planning[[#This Row],[Proyectos]])</f>
        <v>#REF!</v>
      </c>
      <c r="K2348" s="5" t="e">
        <f>Planning[[#This Row],[Horas Planificadas]]+Planning[[#This Row],[Horas ajustadas adicionales]]-Planning[[#This Row],[Horas utilizadas]]</f>
        <v>#REF!</v>
      </c>
      <c r="L2348" s="7"/>
      <c r="M2348" s="19" t="e">
        <f>Planning[[#This Row],[Saldo]]-Planning[[#This Row],[Saldo estimado]]</f>
        <v>#REF!</v>
      </c>
      <c r="N2348" s="60" t="e">
        <f>+SUMIFS(#REF!,#REF!,Planning[[#This Row],[Proyectos]],#REF!,Planning[[#This Row],[Tipo de Tarea y especialidad]])</f>
        <v>#REF!</v>
      </c>
      <c r="O2348" s="19">
        <f t="shared" si="72"/>
        <v>10</v>
      </c>
      <c r="P2348" s="19">
        <f t="shared" si="73"/>
        <v>2024</v>
      </c>
      <c r="Q2348" s="19" t="e">
        <f>+SUMIFS(#REF!,#REF!,Planning[[#This Row],[Tarifa]],#REF!,Planning[[#This Row],[Proyectos]],#REF!,Planning[[#This Row],[Mes]],#REF!,Planning[[#This Row],[Año]])</f>
        <v>#REF!</v>
      </c>
      <c r="R2348" s="19" t="str">
        <f>TEXT(Planning[[#This Row],[Mes]]*29,"mmmm")</f>
        <v>October</v>
      </c>
      <c r="S23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48" s="228"/>
      <c r="U2348" s="43" t="e">
        <f>IF(Planning[[#This Row],[Horas Planificadas]]&lt;&gt;0,+K2348/Planning[[#This Row],[Horas Planificadas]],0)</f>
        <v>#REF!</v>
      </c>
      <c r="V2348" s="43" t="e">
        <f>IF(Planning[[#This Row],[Horas Planificadas]]&lt;&gt;0,Planning[[#This Row],[Horas utilizadas]]/Planning[[#This Row],[Horas Planificadas]],0)</f>
        <v>#REF!</v>
      </c>
      <c r="W2348" s="44">
        <f>Planning[[#This Row],[Horas Planificadas]]+Planning[[#This Row],[Horas ajustadas adicionales]]</f>
        <v>18</v>
      </c>
      <c r="X2348" s="142"/>
    </row>
    <row r="2349" spans="1:24" x14ac:dyDescent="0.2">
      <c r="A2349" s="7"/>
      <c r="B2349" s="7"/>
      <c r="C2349" s="3"/>
      <c r="D2349" s="3" t="s">
        <v>497</v>
      </c>
      <c r="E2349" s="4" t="s">
        <v>31</v>
      </c>
      <c r="F2349" s="3"/>
      <c r="G2349" s="9"/>
      <c r="H2349" s="9">
        <v>27</v>
      </c>
      <c r="I2349" s="12"/>
      <c r="J2349" s="5" t="e">
        <f>+SUMIFS(#REF!,#REF!,Planning[[#This Row],[Tarifa]],#REF!,Planning[[#This Row],[Proyectos]])</f>
        <v>#REF!</v>
      </c>
      <c r="K2349" s="5" t="e">
        <f>Planning[[#This Row],[Horas Planificadas]]+Planning[[#This Row],[Horas ajustadas adicionales]]-Planning[[#This Row],[Horas utilizadas]]</f>
        <v>#REF!</v>
      </c>
      <c r="L2349" s="7"/>
      <c r="M2349" s="19" t="e">
        <f>Planning[[#This Row],[Saldo]]-Planning[[#This Row],[Saldo estimado]]</f>
        <v>#REF!</v>
      </c>
      <c r="N2349" s="60" t="e">
        <f>+SUMIFS(#REF!,#REF!,Planning[[#This Row],[Proyectos]],#REF!,Planning[[#This Row],[Tipo de Tarea y especialidad]])</f>
        <v>#REF!</v>
      </c>
      <c r="O2349" s="19">
        <f t="shared" si="72"/>
        <v>10</v>
      </c>
      <c r="P2349" s="19">
        <f t="shared" si="73"/>
        <v>2024</v>
      </c>
      <c r="Q2349" s="19" t="e">
        <f>+SUMIFS(#REF!,#REF!,Planning[[#This Row],[Tarifa]],#REF!,Planning[[#This Row],[Proyectos]],#REF!,Planning[[#This Row],[Mes]],#REF!,Planning[[#This Row],[Año]])</f>
        <v>#REF!</v>
      </c>
      <c r="R2349" s="19" t="str">
        <f>TEXT(Planning[[#This Row],[Mes]]*29,"mmmm")</f>
        <v>October</v>
      </c>
      <c r="S23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49" s="228"/>
      <c r="U2349" s="43" t="e">
        <f>IF(Planning[[#This Row],[Horas Planificadas]]&lt;&gt;0,+K2349/Planning[[#This Row],[Horas Planificadas]],0)</f>
        <v>#REF!</v>
      </c>
      <c r="V2349" s="43" t="e">
        <f>IF(Planning[[#This Row],[Horas Planificadas]]&lt;&gt;0,Planning[[#This Row],[Horas utilizadas]]/Planning[[#This Row],[Horas Planificadas]],0)</f>
        <v>#REF!</v>
      </c>
      <c r="W2349" s="44">
        <f>Planning[[#This Row],[Horas Planificadas]]+Planning[[#This Row],[Horas ajustadas adicionales]]</f>
        <v>27</v>
      </c>
      <c r="X2349" s="142"/>
    </row>
    <row r="2350" spans="1:24" ht="22.5" x14ac:dyDescent="0.2">
      <c r="A2350" s="7"/>
      <c r="B2350" s="7"/>
      <c r="C2350" s="3"/>
      <c r="D2350" s="3" t="s">
        <v>497</v>
      </c>
      <c r="E2350" s="4" t="s">
        <v>32</v>
      </c>
      <c r="F2350" s="3"/>
      <c r="G2350" s="9"/>
      <c r="H2350" s="9">
        <v>70</v>
      </c>
      <c r="I2350" s="12"/>
      <c r="J2350" s="5" t="e">
        <f>+SUMIFS(#REF!,#REF!,Planning[[#This Row],[Tarifa]],#REF!,Planning[[#This Row],[Proyectos]])</f>
        <v>#REF!</v>
      </c>
      <c r="K2350" s="5" t="e">
        <f>Planning[[#This Row],[Horas Planificadas]]+Planning[[#This Row],[Horas ajustadas adicionales]]-Planning[[#This Row],[Horas utilizadas]]</f>
        <v>#REF!</v>
      </c>
      <c r="L2350" s="7"/>
      <c r="M2350" s="19" t="e">
        <f>Planning[[#This Row],[Saldo]]-Planning[[#This Row],[Saldo estimado]]</f>
        <v>#REF!</v>
      </c>
      <c r="N2350" s="60" t="e">
        <f>+SUMIFS(#REF!,#REF!,Planning[[#This Row],[Proyectos]],#REF!,Planning[[#This Row],[Tipo de Tarea y especialidad]])</f>
        <v>#REF!</v>
      </c>
      <c r="O2350" s="19">
        <f t="shared" si="72"/>
        <v>10</v>
      </c>
      <c r="P2350" s="19">
        <f t="shared" si="73"/>
        <v>2024</v>
      </c>
      <c r="Q2350" s="19" t="e">
        <f>+SUMIFS(#REF!,#REF!,Planning[[#This Row],[Tarifa]],#REF!,Planning[[#This Row],[Proyectos]],#REF!,Planning[[#This Row],[Mes]],#REF!,Planning[[#This Row],[Año]])</f>
        <v>#REF!</v>
      </c>
      <c r="R2350" s="19" t="str">
        <f>TEXT(Planning[[#This Row],[Mes]]*29,"mmmm")</f>
        <v>October</v>
      </c>
      <c r="S23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50" s="228"/>
      <c r="U2350" s="43" t="e">
        <f>IF(Planning[[#This Row],[Horas Planificadas]]&lt;&gt;0,+K2350/Planning[[#This Row],[Horas Planificadas]],0)</f>
        <v>#REF!</v>
      </c>
      <c r="V2350" s="43" t="e">
        <f>IF(Planning[[#This Row],[Horas Planificadas]]&lt;&gt;0,Planning[[#This Row],[Horas utilizadas]]/Planning[[#This Row],[Horas Planificadas]],0)</f>
        <v>#REF!</v>
      </c>
      <c r="W2350" s="44">
        <f>Planning[[#This Row],[Horas Planificadas]]+Planning[[#This Row],[Horas ajustadas adicionales]]</f>
        <v>70</v>
      </c>
      <c r="X2350" s="142"/>
    </row>
    <row r="2351" spans="1:24" ht="22.5" x14ac:dyDescent="0.2">
      <c r="A2351" s="7"/>
      <c r="B2351" s="7"/>
      <c r="C2351" s="3"/>
      <c r="D2351" s="3" t="s">
        <v>498</v>
      </c>
      <c r="E2351" s="4" t="s">
        <v>28</v>
      </c>
      <c r="F2351" s="3"/>
      <c r="G2351" s="9"/>
      <c r="H2351" s="9">
        <v>0</v>
      </c>
      <c r="I2351" s="12"/>
      <c r="J2351" s="5" t="e">
        <f>+SUMIFS(#REF!,#REF!,Planning[[#This Row],[Tarifa]],#REF!,Planning[[#This Row],[Proyectos]])</f>
        <v>#REF!</v>
      </c>
      <c r="K2351" s="5" t="e">
        <f>Planning[[#This Row],[Horas Planificadas]]+Planning[[#This Row],[Horas ajustadas adicionales]]-Planning[[#This Row],[Horas utilizadas]]</f>
        <v>#REF!</v>
      </c>
      <c r="L2351" s="7"/>
      <c r="M2351" s="19" t="e">
        <f>Planning[[#This Row],[Saldo]]-Planning[[#This Row],[Saldo estimado]]</f>
        <v>#REF!</v>
      </c>
      <c r="N2351" s="60" t="e">
        <f>+SUMIFS(#REF!,#REF!,Planning[[#This Row],[Proyectos]],#REF!,Planning[[#This Row],[Tipo de Tarea y especialidad]])</f>
        <v>#REF!</v>
      </c>
      <c r="O2351" s="19">
        <f t="shared" si="72"/>
        <v>10</v>
      </c>
      <c r="P2351" s="19">
        <f t="shared" si="73"/>
        <v>2024</v>
      </c>
      <c r="Q2351" s="19" t="e">
        <f>+SUMIFS(#REF!,#REF!,Planning[[#This Row],[Tarifa]],#REF!,Planning[[#This Row],[Proyectos]],#REF!,Planning[[#This Row],[Mes]],#REF!,Planning[[#This Row],[Año]])</f>
        <v>#REF!</v>
      </c>
      <c r="R2351" s="19" t="str">
        <f>TEXT(Planning[[#This Row],[Mes]]*29,"mmmm")</f>
        <v>October</v>
      </c>
      <c r="S23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51" s="228"/>
      <c r="U2351" s="43">
        <f>IF(Planning[[#This Row],[Horas Planificadas]]&lt;&gt;0,+K2351/Planning[[#This Row],[Horas Planificadas]],0)</f>
        <v>0</v>
      </c>
      <c r="V2351" s="43">
        <f>IF(Planning[[#This Row],[Horas Planificadas]]&lt;&gt;0,Planning[[#This Row],[Horas utilizadas]]/Planning[[#This Row],[Horas Planificadas]],0)</f>
        <v>0</v>
      </c>
      <c r="W2351" s="44">
        <f>Planning[[#This Row],[Horas Planificadas]]+Planning[[#This Row],[Horas ajustadas adicionales]]</f>
        <v>0</v>
      </c>
      <c r="X2351" s="142"/>
    </row>
    <row r="2352" spans="1:24" x14ac:dyDescent="0.2">
      <c r="A2352" s="7"/>
      <c r="B2352" s="7"/>
      <c r="C2352" s="3"/>
      <c r="D2352" s="3" t="s">
        <v>498</v>
      </c>
      <c r="E2352" s="4" t="s">
        <v>30</v>
      </c>
      <c r="F2352" s="3"/>
      <c r="G2352" s="9"/>
      <c r="H2352" s="9">
        <v>81</v>
      </c>
      <c r="I2352" s="12"/>
      <c r="J2352" s="5" t="e">
        <f>+SUMIFS(#REF!,#REF!,Planning[[#This Row],[Tarifa]],#REF!,Planning[[#This Row],[Proyectos]])</f>
        <v>#REF!</v>
      </c>
      <c r="K2352" s="5" t="e">
        <f>Planning[[#This Row],[Horas Planificadas]]+Planning[[#This Row],[Horas ajustadas adicionales]]-Planning[[#This Row],[Horas utilizadas]]</f>
        <v>#REF!</v>
      </c>
      <c r="L2352" s="7"/>
      <c r="M2352" s="19" t="e">
        <f>Planning[[#This Row],[Saldo]]-Planning[[#This Row],[Saldo estimado]]</f>
        <v>#REF!</v>
      </c>
      <c r="N2352" s="60" t="e">
        <f>+SUMIFS(#REF!,#REF!,Planning[[#This Row],[Proyectos]],#REF!,Planning[[#This Row],[Tipo de Tarea y especialidad]])</f>
        <v>#REF!</v>
      </c>
      <c r="O2352" s="19">
        <f t="shared" si="72"/>
        <v>10</v>
      </c>
      <c r="P2352" s="19">
        <f t="shared" si="73"/>
        <v>2024</v>
      </c>
      <c r="Q2352" s="19" t="e">
        <f>+SUMIFS(#REF!,#REF!,Planning[[#This Row],[Tarifa]],#REF!,Planning[[#This Row],[Proyectos]],#REF!,Planning[[#This Row],[Mes]],#REF!,Planning[[#This Row],[Año]])</f>
        <v>#REF!</v>
      </c>
      <c r="R2352" s="19" t="str">
        <f>TEXT(Planning[[#This Row],[Mes]]*29,"mmmm")</f>
        <v>October</v>
      </c>
      <c r="S23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52" s="228"/>
      <c r="U2352" s="43" t="e">
        <f>IF(Planning[[#This Row],[Horas Planificadas]]&lt;&gt;0,+K2352/Planning[[#This Row],[Horas Planificadas]],0)</f>
        <v>#REF!</v>
      </c>
      <c r="V2352" s="43" t="e">
        <f>IF(Planning[[#This Row],[Horas Planificadas]]&lt;&gt;0,Planning[[#This Row],[Horas utilizadas]]/Planning[[#This Row],[Horas Planificadas]],0)</f>
        <v>#REF!</v>
      </c>
      <c r="W2352" s="44">
        <f>Planning[[#This Row],[Horas Planificadas]]+Planning[[#This Row],[Horas ajustadas adicionales]]</f>
        <v>81</v>
      </c>
      <c r="X2352" s="142"/>
    </row>
    <row r="2353" spans="1:24" x14ac:dyDescent="0.2">
      <c r="A2353" s="7"/>
      <c r="B2353" s="7"/>
      <c r="C2353" s="3"/>
      <c r="D2353" s="3" t="s">
        <v>498</v>
      </c>
      <c r="E2353" s="4" t="s">
        <v>31</v>
      </c>
      <c r="F2353" s="3"/>
      <c r="G2353" s="9"/>
      <c r="H2353" s="9">
        <v>45</v>
      </c>
      <c r="I2353" s="12"/>
      <c r="J2353" s="5" t="e">
        <f>+SUMIFS(#REF!,#REF!,Planning[[#This Row],[Tarifa]],#REF!,Planning[[#This Row],[Proyectos]])</f>
        <v>#REF!</v>
      </c>
      <c r="K2353" s="5" t="e">
        <f>Planning[[#This Row],[Horas Planificadas]]+Planning[[#This Row],[Horas ajustadas adicionales]]-Planning[[#This Row],[Horas utilizadas]]</f>
        <v>#REF!</v>
      </c>
      <c r="L2353" s="7"/>
      <c r="M2353" s="19" t="e">
        <f>Planning[[#This Row],[Saldo]]-Planning[[#This Row],[Saldo estimado]]</f>
        <v>#REF!</v>
      </c>
      <c r="N2353" s="60" t="e">
        <f>+SUMIFS(#REF!,#REF!,Planning[[#This Row],[Proyectos]],#REF!,Planning[[#This Row],[Tipo de Tarea y especialidad]])</f>
        <v>#REF!</v>
      </c>
      <c r="O2353" s="19">
        <f t="shared" si="72"/>
        <v>10</v>
      </c>
      <c r="P2353" s="19">
        <f t="shared" si="73"/>
        <v>2024</v>
      </c>
      <c r="Q2353" s="19" t="e">
        <f>+SUMIFS(#REF!,#REF!,Planning[[#This Row],[Tarifa]],#REF!,Planning[[#This Row],[Proyectos]],#REF!,Planning[[#This Row],[Mes]],#REF!,Planning[[#This Row],[Año]])</f>
        <v>#REF!</v>
      </c>
      <c r="R2353" s="19" t="str">
        <f>TEXT(Planning[[#This Row],[Mes]]*29,"mmmm")</f>
        <v>October</v>
      </c>
      <c r="S23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53" s="228"/>
      <c r="U2353" s="43" t="e">
        <f>IF(Planning[[#This Row],[Horas Planificadas]]&lt;&gt;0,+K2353/Planning[[#This Row],[Horas Planificadas]],0)</f>
        <v>#REF!</v>
      </c>
      <c r="V2353" s="43" t="e">
        <f>IF(Planning[[#This Row],[Horas Planificadas]]&lt;&gt;0,Planning[[#This Row],[Horas utilizadas]]/Planning[[#This Row],[Horas Planificadas]],0)</f>
        <v>#REF!</v>
      </c>
      <c r="W2353" s="44">
        <f>Planning[[#This Row],[Horas Planificadas]]+Planning[[#This Row],[Horas ajustadas adicionales]]</f>
        <v>45</v>
      </c>
      <c r="X2353" s="142"/>
    </row>
    <row r="2354" spans="1:24" ht="22.5" x14ac:dyDescent="0.2">
      <c r="A2354" s="7"/>
      <c r="B2354" s="7"/>
      <c r="C2354" s="3"/>
      <c r="D2354" s="3" t="s">
        <v>498</v>
      </c>
      <c r="E2354" s="4" t="s">
        <v>32</v>
      </c>
      <c r="F2354" s="3"/>
      <c r="G2354" s="9"/>
      <c r="H2354" s="9">
        <v>50</v>
      </c>
      <c r="I2354" s="12"/>
      <c r="J2354" s="5" t="e">
        <f>+SUMIFS(#REF!,#REF!,Planning[[#This Row],[Tarifa]],#REF!,Planning[[#This Row],[Proyectos]])</f>
        <v>#REF!</v>
      </c>
      <c r="K2354" s="5" t="e">
        <f>Planning[[#This Row],[Horas Planificadas]]+Planning[[#This Row],[Horas ajustadas adicionales]]-Planning[[#This Row],[Horas utilizadas]]</f>
        <v>#REF!</v>
      </c>
      <c r="L2354" s="7"/>
      <c r="M2354" s="19" t="e">
        <f>Planning[[#This Row],[Saldo]]-Planning[[#This Row],[Saldo estimado]]</f>
        <v>#REF!</v>
      </c>
      <c r="N2354" s="60" t="e">
        <f>+SUMIFS(#REF!,#REF!,Planning[[#This Row],[Proyectos]],#REF!,Planning[[#This Row],[Tipo de Tarea y especialidad]])</f>
        <v>#REF!</v>
      </c>
      <c r="O2354" s="19">
        <f t="shared" si="72"/>
        <v>10</v>
      </c>
      <c r="P2354" s="19">
        <f t="shared" si="73"/>
        <v>2024</v>
      </c>
      <c r="Q2354" s="19" t="e">
        <f>+SUMIFS(#REF!,#REF!,Planning[[#This Row],[Tarifa]],#REF!,Planning[[#This Row],[Proyectos]],#REF!,Planning[[#This Row],[Mes]],#REF!,Planning[[#This Row],[Año]])</f>
        <v>#REF!</v>
      </c>
      <c r="R2354" s="19" t="str">
        <f>TEXT(Planning[[#This Row],[Mes]]*29,"mmmm")</f>
        <v>October</v>
      </c>
      <c r="S23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54" s="228"/>
      <c r="U2354" s="43" t="e">
        <f>IF(Planning[[#This Row],[Horas Planificadas]]&lt;&gt;0,+K2354/Planning[[#This Row],[Horas Planificadas]],0)</f>
        <v>#REF!</v>
      </c>
      <c r="V2354" s="43" t="e">
        <f>IF(Planning[[#This Row],[Horas Planificadas]]&lt;&gt;0,Planning[[#This Row],[Horas utilizadas]]/Planning[[#This Row],[Horas Planificadas]],0)</f>
        <v>#REF!</v>
      </c>
      <c r="W2354" s="44">
        <f>Planning[[#This Row],[Horas Planificadas]]+Planning[[#This Row],[Horas ajustadas adicionales]]</f>
        <v>50</v>
      </c>
      <c r="X2354" s="142"/>
    </row>
    <row r="2355" spans="1:24" ht="22.5" x14ac:dyDescent="0.2">
      <c r="A2355" s="7"/>
      <c r="B2355" s="7"/>
      <c r="C2355" s="3"/>
      <c r="D2355" s="3" t="s">
        <v>499</v>
      </c>
      <c r="E2355" s="4" t="s">
        <v>28</v>
      </c>
      <c r="F2355" s="3"/>
      <c r="G2355" s="9"/>
      <c r="H2355" s="12">
        <v>158</v>
      </c>
      <c r="I2355" s="12"/>
      <c r="J2355" s="5" t="e">
        <f>+SUMIFS(#REF!,#REF!,Planning[[#This Row],[Tarifa]],#REF!,Planning[[#This Row],[Proyectos]])</f>
        <v>#REF!</v>
      </c>
      <c r="K2355" s="27" t="e">
        <f>Planning[[#This Row],[Horas Planificadas]]+Planning[[#This Row],[Horas ajustadas adicionales]]-Planning[[#This Row],[Horas utilizadas]]</f>
        <v>#REF!</v>
      </c>
      <c r="L2355" s="7"/>
      <c r="M2355" s="19" t="e">
        <f>Planning[[#This Row],[Saldo]]-Planning[[#This Row],[Saldo estimado]]</f>
        <v>#REF!</v>
      </c>
      <c r="N2355" s="60" t="e">
        <f>+SUMIFS(#REF!,#REF!,Planning[[#This Row],[Proyectos]],#REF!,Planning[[#This Row],[Tipo de Tarea y especialidad]])</f>
        <v>#REF!</v>
      </c>
      <c r="O2355" s="19">
        <f t="shared" si="72"/>
        <v>10</v>
      </c>
      <c r="P2355" s="19">
        <f t="shared" si="73"/>
        <v>2024</v>
      </c>
      <c r="Q2355" s="19" t="e">
        <f>+SUMIFS(#REF!,#REF!,Planning[[#This Row],[Tarifa]],#REF!,Planning[[#This Row],[Proyectos]],#REF!,Planning[[#This Row],[Mes]],#REF!,Planning[[#This Row],[Año]])</f>
        <v>#REF!</v>
      </c>
      <c r="R2355" s="19" t="str">
        <f>TEXT(Planning[[#This Row],[Mes]]*29,"mmmm")</f>
        <v>October</v>
      </c>
      <c r="S23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55" s="228"/>
      <c r="U2355" s="43" t="e">
        <f>IF(Planning[[#This Row],[Horas Planificadas]]&lt;&gt;0,+K2355/Planning[[#This Row],[Horas Planificadas]],0)</f>
        <v>#REF!</v>
      </c>
      <c r="V2355" s="43" t="e">
        <f>IF(Planning[[#This Row],[Horas Planificadas]]&lt;&gt;0,Planning[[#This Row],[Horas utilizadas]]/Planning[[#This Row],[Horas Planificadas]],0)</f>
        <v>#REF!</v>
      </c>
      <c r="W2355" s="44">
        <f>Planning[[#This Row],[Horas Planificadas]]+Planning[[#This Row],[Horas ajustadas adicionales]]</f>
        <v>158</v>
      </c>
      <c r="X2355" s="142"/>
    </row>
    <row r="2356" spans="1:24" x14ac:dyDescent="0.2">
      <c r="A2356" s="7"/>
      <c r="B2356" s="7"/>
      <c r="C2356" s="3"/>
      <c r="D2356" s="3" t="s">
        <v>499</v>
      </c>
      <c r="E2356" s="4" t="s">
        <v>30</v>
      </c>
      <c r="F2356" s="3"/>
      <c r="G2356" s="9"/>
      <c r="H2356" s="9">
        <v>153</v>
      </c>
      <c r="I2356" s="12"/>
      <c r="J2356" s="5" t="e">
        <f>+SUMIFS(#REF!,#REF!,Planning[[#This Row],[Tarifa]],#REF!,Planning[[#This Row],[Proyectos]])</f>
        <v>#REF!</v>
      </c>
      <c r="K2356" s="5" t="e">
        <f>Planning[[#This Row],[Horas Planificadas]]+Planning[[#This Row],[Horas ajustadas adicionales]]-Planning[[#This Row],[Horas utilizadas]]</f>
        <v>#REF!</v>
      </c>
      <c r="L2356" s="7"/>
      <c r="M2356" s="19" t="e">
        <f>Planning[[#This Row],[Saldo]]-Planning[[#This Row],[Saldo estimado]]</f>
        <v>#REF!</v>
      </c>
      <c r="N2356" s="60" t="e">
        <f>+SUMIFS(#REF!,#REF!,Planning[[#This Row],[Proyectos]],#REF!,Planning[[#This Row],[Tipo de Tarea y especialidad]])</f>
        <v>#REF!</v>
      </c>
      <c r="O2356" s="19">
        <f t="shared" si="72"/>
        <v>10</v>
      </c>
      <c r="P2356" s="19">
        <f t="shared" si="73"/>
        <v>2024</v>
      </c>
      <c r="Q2356" s="19" t="e">
        <f>+SUMIFS(#REF!,#REF!,Planning[[#This Row],[Tarifa]],#REF!,Planning[[#This Row],[Proyectos]],#REF!,Planning[[#This Row],[Mes]],#REF!,Planning[[#This Row],[Año]])</f>
        <v>#REF!</v>
      </c>
      <c r="R2356" s="19" t="str">
        <f>TEXT(Planning[[#This Row],[Mes]]*29,"mmmm")</f>
        <v>October</v>
      </c>
      <c r="S23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56" s="228"/>
      <c r="U2356" s="43" t="e">
        <f>IF(Planning[[#This Row],[Horas Planificadas]]&lt;&gt;0,+K2356/Planning[[#This Row],[Horas Planificadas]],0)</f>
        <v>#REF!</v>
      </c>
      <c r="V2356" s="43" t="e">
        <f>IF(Planning[[#This Row],[Horas Planificadas]]&lt;&gt;0,Planning[[#This Row],[Horas utilizadas]]/Planning[[#This Row],[Horas Planificadas]],0)</f>
        <v>#REF!</v>
      </c>
      <c r="W2356" s="44">
        <f>Planning[[#This Row],[Horas Planificadas]]+Planning[[#This Row],[Horas ajustadas adicionales]]</f>
        <v>153</v>
      </c>
      <c r="X2356" s="142"/>
    </row>
    <row r="2357" spans="1:24" x14ac:dyDescent="0.2">
      <c r="A2357" s="7"/>
      <c r="B2357" s="7"/>
      <c r="C2357" s="3"/>
      <c r="D2357" s="3" t="s">
        <v>499</v>
      </c>
      <c r="E2357" s="4" t="s">
        <v>31</v>
      </c>
      <c r="F2357" s="3"/>
      <c r="G2357" s="9"/>
      <c r="H2357" s="9">
        <v>72</v>
      </c>
      <c r="I2357" s="12"/>
      <c r="J2357" s="5" t="e">
        <f>+SUMIFS(#REF!,#REF!,Planning[[#This Row],[Tarifa]],#REF!,Planning[[#This Row],[Proyectos]])</f>
        <v>#REF!</v>
      </c>
      <c r="K2357" s="5" t="e">
        <f>Planning[[#This Row],[Horas Planificadas]]+Planning[[#This Row],[Horas ajustadas adicionales]]-Planning[[#This Row],[Horas utilizadas]]</f>
        <v>#REF!</v>
      </c>
      <c r="L2357" s="7"/>
      <c r="M2357" s="19" t="e">
        <f>Planning[[#This Row],[Saldo]]-Planning[[#This Row],[Saldo estimado]]</f>
        <v>#REF!</v>
      </c>
      <c r="N2357" s="60" t="e">
        <f>+SUMIFS(#REF!,#REF!,Planning[[#This Row],[Proyectos]],#REF!,Planning[[#This Row],[Tipo de Tarea y especialidad]])</f>
        <v>#REF!</v>
      </c>
      <c r="O2357" s="19">
        <f t="shared" si="72"/>
        <v>10</v>
      </c>
      <c r="P2357" s="19">
        <f t="shared" si="73"/>
        <v>2024</v>
      </c>
      <c r="Q2357" s="19" t="e">
        <f>+SUMIFS(#REF!,#REF!,Planning[[#This Row],[Tarifa]],#REF!,Planning[[#This Row],[Proyectos]],#REF!,Planning[[#This Row],[Mes]],#REF!,Planning[[#This Row],[Año]])</f>
        <v>#REF!</v>
      </c>
      <c r="R2357" s="19" t="str">
        <f>TEXT(Planning[[#This Row],[Mes]]*29,"mmmm")</f>
        <v>October</v>
      </c>
      <c r="S23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57" s="228"/>
      <c r="U2357" s="43" t="e">
        <f>IF(Planning[[#This Row],[Horas Planificadas]]&lt;&gt;0,+K2357/Planning[[#This Row],[Horas Planificadas]],0)</f>
        <v>#REF!</v>
      </c>
      <c r="V2357" s="43" t="e">
        <f>IF(Planning[[#This Row],[Horas Planificadas]]&lt;&gt;0,Planning[[#This Row],[Horas utilizadas]]/Planning[[#This Row],[Horas Planificadas]],0)</f>
        <v>#REF!</v>
      </c>
      <c r="W2357" s="44">
        <f>Planning[[#This Row],[Horas Planificadas]]+Planning[[#This Row],[Horas ajustadas adicionales]]</f>
        <v>72</v>
      </c>
      <c r="X2357" s="142"/>
    </row>
    <row r="2358" spans="1:24" ht="22.5" x14ac:dyDescent="0.2">
      <c r="A2358" s="7"/>
      <c r="B2358" s="7"/>
      <c r="C2358" s="3"/>
      <c r="D2358" s="3" t="s">
        <v>499</v>
      </c>
      <c r="E2358" s="4" t="s">
        <v>32</v>
      </c>
      <c r="F2358" s="3"/>
      <c r="G2358" s="9"/>
      <c r="H2358" s="9">
        <v>190</v>
      </c>
      <c r="I2358" s="12"/>
      <c r="J2358" s="5" t="e">
        <f>+SUMIFS(#REF!,#REF!,Planning[[#This Row],[Tarifa]],#REF!,Planning[[#This Row],[Proyectos]])</f>
        <v>#REF!</v>
      </c>
      <c r="K2358" s="5" t="e">
        <f>Planning[[#This Row],[Horas Planificadas]]+Planning[[#This Row],[Horas ajustadas adicionales]]-Planning[[#This Row],[Horas utilizadas]]</f>
        <v>#REF!</v>
      </c>
      <c r="L2358" s="7"/>
      <c r="M2358" s="19" t="e">
        <f>Planning[[#This Row],[Saldo]]-Planning[[#This Row],[Saldo estimado]]</f>
        <v>#REF!</v>
      </c>
      <c r="N2358" s="60" t="e">
        <f>+SUMIFS(#REF!,#REF!,Planning[[#This Row],[Proyectos]],#REF!,Planning[[#This Row],[Tipo de Tarea y especialidad]])</f>
        <v>#REF!</v>
      </c>
      <c r="O2358" s="19">
        <f t="shared" si="72"/>
        <v>10</v>
      </c>
      <c r="P2358" s="19">
        <f t="shared" si="73"/>
        <v>2024</v>
      </c>
      <c r="Q2358" s="19" t="e">
        <f>+SUMIFS(#REF!,#REF!,Planning[[#This Row],[Tarifa]],#REF!,Planning[[#This Row],[Proyectos]],#REF!,Planning[[#This Row],[Mes]],#REF!,Planning[[#This Row],[Año]])</f>
        <v>#REF!</v>
      </c>
      <c r="R2358" s="19" t="str">
        <f>TEXT(Planning[[#This Row],[Mes]]*29,"mmmm")</f>
        <v>October</v>
      </c>
      <c r="S23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58" s="228"/>
      <c r="U2358" s="43" t="e">
        <f>IF(Planning[[#This Row],[Horas Planificadas]]&lt;&gt;0,+K2358/Planning[[#This Row],[Horas Planificadas]],0)</f>
        <v>#REF!</v>
      </c>
      <c r="V2358" s="43" t="e">
        <f>IF(Planning[[#This Row],[Horas Planificadas]]&lt;&gt;0,Planning[[#This Row],[Horas utilizadas]]/Planning[[#This Row],[Horas Planificadas]],0)</f>
        <v>#REF!</v>
      </c>
      <c r="W2358" s="44">
        <f>Planning[[#This Row],[Horas Planificadas]]+Planning[[#This Row],[Horas ajustadas adicionales]]</f>
        <v>190</v>
      </c>
      <c r="X2358" s="142"/>
    </row>
    <row r="2359" spans="1:24" ht="22.5" x14ac:dyDescent="0.2">
      <c r="A2359" s="7" t="s">
        <v>294</v>
      </c>
      <c r="B2359" s="7" t="s">
        <v>118</v>
      </c>
      <c r="C2359" s="3"/>
      <c r="D2359" s="3" t="s">
        <v>500</v>
      </c>
      <c r="E2359" s="4" t="s">
        <v>28</v>
      </c>
      <c r="F2359" s="3"/>
      <c r="G2359" s="9">
        <v>2453</v>
      </c>
      <c r="H2359" s="14">
        <f>SUM(H2360:H2361)</f>
        <v>2449</v>
      </c>
      <c r="I2359" s="14"/>
      <c r="J2359" s="14" t="e">
        <f>SUM(J2360:J2361)</f>
        <v>#REF!</v>
      </c>
      <c r="K2359" s="15" t="e">
        <f>SUM(K2360:K2361)</f>
        <v>#REF!</v>
      </c>
      <c r="L2359" s="15">
        <f>SUM(L2360:L2361)</f>
        <v>0</v>
      </c>
      <c r="M2359" s="14" t="e">
        <f>SUM(M2360:M2361)</f>
        <v>#REF!</v>
      </c>
      <c r="N2359" s="66" t="e">
        <f>+SUMIFS(#REF!,#REF!,Planning[[#This Row],[Proyectos]],#REF!,Planning[[#This Row],[Tipo de Tarea y especialidad]])</f>
        <v>#REF!</v>
      </c>
      <c r="O2359" s="14">
        <f t="shared" si="72"/>
        <v>10</v>
      </c>
      <c r="P2359" s="14">
        <f t="shared" si="73"/>
        <v>2024</v>
      </c>
      <c r="Q2359" s="28" t="e">
        <f>SUM(Q2360:Q2361)</f>
        <v>#REF!</v>
      </c>
      <c r="R2359" s="28" t="str">
        <f>TEXT(Planning[[#This Row],[Mes]]*29,"mmmm")</f>
        <v>October</v>
      </c>
      <c r="S23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59" s="192" t="s">
        <v>501</v>
      </c>
      <c r="U2359" s="43" t="e">
        <f>IF(Planning[[#This Row],[Horas Planificadas]]&lt;&gt;0,+K2359/Planning[[#This Row],[Horas Planificadas]],0)</f>
        <v>#REF!</v>
      </c>
      <c r="V2359" s="43" t="e">
        <f>IF(Planning[[#This Row],[Horas Planificadas]]&lt;&gt;0,Planning[[#This Row],[Horas utilizadas]]/Planning[[#This Row],[Horas Planificadas]],0)</f>
        <v>#REF!</v>
      </c>
      <c r="W2359" s="44">
        <f>Planning[[#This Row],[Horas Planificadas]]+Planning[[#This Row],[Horas ajustadas adicionales]]</f>
        <v>2449</v>
      </c>
      <c r="X2359" s="142"/>
    </row>
    <row r="2360" spans="1:24" x14ac:dyDescent="0.2">
      <c r="A2360" s="7" t="s">
        <v>294</v>
      </c>
      <c r="B2360" s="7" t="s">
        <v>118</v>
      </c>
      <c r="C2360" s="3"/>
      <c r="D2360" s="3" t="s">
        <v>500</v>
      </c>
      <c r="E2360" s="4"/>
      <c r="F2360" s="3" t="s">
        <v>120</v>
      </c>
      <c r="G2360" s="9"/>
      <c r="H2360" s="9">
        <v>1835</v>
      </c>
      <c r="I2360" s="12"/>
      <c r="J2360" s="5" t="e">
        <f>SUM(SUMIFS(#REF!,#REF!,Planning[[#This Row],[Tipo de Tarea y especialidad]],#REF!,Planning[[#This Row],[Proyectos Reiwa]]),SUMIFS(#REF!,#REF!,Planning[[#This Row],[Tipo de Tarea y especialidad]],#REF!,Planning[[#This Row],[Proyectos]]))</f>
        <v>#REF!</v>
      </c>
      <c r="K2360" s="5" t="e">
        <f>Planning[[#This Row],[Horas Planificadas]]+Planning[[#This Row],[Horas ajustadas adicionales]]-Planning[[#This Row],[Horas utilizadas]]</f>
        <v>#REF!</v>
      </c>
      <c r="L2360" s="7">
        <v>0</v>
      </c>
      <c r="M2360" s="19" t="e">
        <f>Planning[[#This Row],[Saldo]]-Planning[[#This Row],[Saldo estimado]]</f>
        <v>#REF!</v>
      </c>
      <c r="N2360" s="60" t="e">
        <f>+SUMIFS(#REF!,#REF!,Planning[[#This Row],[Proyectos]],#REF!,Planning[[#This Row],[Tipo de Tarea y especialidad]])</f>
        <v>#REF!</v>
      </c>
      <c r="O2360" s="19">
        <f t="shared" si="72"/>
        <v>10</v>
      </c>
      <c r="P2360" s="19">
        <f t="shared" si="73"/>
        <v>2024</v>
      </c>
      <c r="Q23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60" s="19" t="str">
        <f>TEXT(Planning[[#This Row],[Mes]]*29,"mmmm")</f>
        <v>October</v>
      </c>
      <c r="S23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60" s="193"/>
      <c r="U2360" s="43" t="e">
        <f>IF(Planning[[#This Row],[Horas Planificadas]]&lt;&gt;0,+K2360/Planning[[#This Row],[Horas Planificadas]],0)</f>
        <v>#REF!</v>
      </c>
      <c r="V2360" s="43" t="e">
        <f>IF(Planning[[#This Row],[Horas Planificadas]]&lt;&gt;0,Planning[[#This Row],[Horas utilizadas]]/Planning[[#This Row],[Horas Planificadas]],0)</f>
        <v>#REF!</v>
      </c>
      <c r="W2360" s="44">
        <f>Planning[[#This Row],[Horas Planificadas]]+Planning[[#This Row],[Horas ajustadas adicionales]]</f>
        <v>1835</v>
      </c>
      <c r="X2360" s="142"/>
    </row>
    <row r="2361" spans="1:24" x14ac:dyDescent="0.2">
      <c r="A2361" s="7" t="s">
        <v>294</v>
      </c>
      <c r="B2361" s="7" t="s">
        <v>118</v>
      </c>
      <c r="C2361" s="3"/>
      <c r="D2361" s="3" t="s">
        <v>500</v>
      </c>
      <c r="E2361" s="4"/>
      <c r="F2361" s="3" t="s">
        <v>121</v>
      </c>
      <c r="G2361" s="9"/>
      <c r="H2361" s="9">
        <v>614</v>
      </c>
      <c r="I2361" s="12"/>
      <c r="J2361" s="5" t="e">
        <f>SUM(SUMIFS(#REF!,#REF!,Planning[[#This Row],[Tipo de Tarea y especialidad]],#REF!,Planning[[#This Row],[Proyectos Reiwa]]),SUMIFS(#REF!,#REF!,Planning[[#This Row],[Tipo de Tarea y especialidad]],#REF!,Planning[[#This Row],[Proyectos]]))</f>
        <v>#REF!</v>
      </c>
      <c r="K2361" s="5" t="e">
        <f>Planning[[#This Row],[Horas Planificadas]]+Planning[[#This Row],[Horas ajustadas adicionales]]-Planning[[#This Row],[Horas utilizadas]]</f>
        <v>#REF!</v>
      </c>
      <c r="L2361" s="7">
        <v>0</v>
      </c>
      <c r="M2361" s="19" t="e">
        <f>Planning[[#This Row],[Saldo]]-Planning[[#This Row],[Saldo estimado]]</f>
        <v>#REF!</v>
      </c>
      <c r="N2361" s="60" t="e">
        <f>+SUMIFS(#REF!,#REF!,Planning[[#This Row],[Proyectos]],#REF!,Planning[[#This Row],[Tipo de Tarea y especialidad]])</f>
        <v>#REF!</v>
      </c>
      <c r="O2361" s="19">
        <f t="shared" si="72"/>
        <v>10</v>
      </c>
      <c r="P2361" s="19">
        <f t="shared" si="73"/>
        <v>2024</v>
      </c>
      <c r="Q23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61" s="19" t="str">
        <f>TEXT(Planning[[#This Row],[Mes]]*29,"mmmm")</f>
        <v>October</v>
      </c>
      <c r="S23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61" s="193"/>
      <c r="U2361" s="43" t="e">
        <f>IF(Planning[[#This Row],[Horas Planificadas]]&lt;&gt;0,+K2361/Planning[[#This Row],[Horas Planificadas]],0)</f>
        <v>#REF!</v>
      </c>
      <c r="V2361" s="43" t="e">
        <f>IF(Planning[[#This Row],[Horas Planificadas]]&lt;&gt;0,Planning[[#This Row],[Horas utilizadas]]/Planning[[#This Row],[Horas Planificadas]],0)</f>
        <v>#REF!</v>
      </c>
      <c r="W2361" s="44">
        <f>Planning[[#This Row],[Horas Planificadas]]+Planning[[#This Row],[Horas ajustadas adicionales]]</f>
        <v>614</v>
      </c>
      <c r="X2361" s="142"/>
    </row>
    <row r="2362" spans="1:24" x14ac:dyDescent="0.2">
      <c r="A2362" s="7" t="s">
        <v>294</v>
      </c>
      <c r="B2362" s="7" t="s">
        <v>118</v>
      </c>
      <c r="C2362" s="3"/>
      <c r="D2362" s="3" t="s">
        <v>500</v>
      </c>
      <c r="E2362" s="4" t="s">
        <v>30</v>
      </c>
      <c r="F2362" s="3"/>
      <c r="G2362" s="9">
        <v>2323</v>
      </c>
      <c r="H2362" s="14">
        <f>SUM(H2363:H2369)</f>
        <v>2360</v>
      </c>
      <c r="I2362" s="14"/>
      <c r="J2362" s="14" t="e">
        <f>SUM(J2363:J2369)</f>
        <v>#REF!</v>
      </c>
      <c r="K2362" s="15" t="e">
        <f>SUM(K2363:K2369)</f>
        <v>#REF!</v>
      </c>
      <c r="L2362" s="15">
        <f>SUM(L2363:L2369)</f>
        <v>0</v>
      </c>
      <c r="M2362" s="16" t="e">
        <f>SUM(M2363:M2369)</f>
        <v>#REF!</v>
      </c>
      <c r="N2362" s="60" t="e">
        <f>+SUMIFS(#REF!,#REF!,Planning[[#This Row],[Proyectos]],#REF!,Planning[[#This Row],[Tipo de Tarea y especialidad]])</f>
        <v>#REF!</v>
      </c>
      <c r="O2362" s="16">
        <f t="shared" si="72"/>
        <v>10</v>
      </c>
      <c r="P2362" s="16">
        <f t="shared" si="73"/>
        <v>2024</v>
      </c>
      <c r="Q2362" s="16" t="e">
        <f>SUM(Q2363:Q2369)</f>
        <v>#REF!</v>
      </c>
      <c r="R2362" s="16" t="str">
        <f>TEXT(Planning[[#This Row],[Mes]]*29,"mmmm")</f>
        <v>October</v>
      </c>
      <c r="S23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62" s="193"/>
      <c r="U2362" s="43" t="e">
        <f>IF(Planning[[#This Row],[Horas Planificadas]]&lt;&gt;0,+K2362/Planning[[#This Row],[Horas Planificadas]],0)</f>
        <v>#REF!</v>
      </c>
      <c r="V2362" s="43" t="e">
        <f>IF(Planning[[#This Row],[Horas Planificadas]]&lt;&gt;0,Planning[[#This Row],[Horas utilizadas]]/Planning[[#This Row],[Horas Planificadas]],0)</f>
        <v>#REF!</v>
      </c>
      <c r="W2362" s="44">
        <f>Planning[[#This Row],[Horas Planificadas]]+Planning[[#This Row],[Horas ajustadas adicionales]]</f>
        <v>2360</v>
      </c>
      <c r="X2362" s="142"/>
    </row>
    <row r="2363" spans="1:24" x14ac:dyDescent="0.2">
      <c r="A2363" s="7" t="s">
        <v>294</v>
      </c>
      <c r="B2363" s="7" t="s">
        <v>118</v>
      </c>
      <c r="C2363" s="3"/>
      <c r="D2363" s="3" t="s">
        <v>500</v>
      </c>
      <c r="E2363" s="4"/>
      <c r="F2363" s="3" t="s">
        <v>122</v>
      </c>
      <c r="G2363" s="9"/>
      <c r="H2363" s="9">
        <v>1020</v>
      </c>
      <c r="I2363" s="12">
        <v>90</v>
      </c>
      <c r="J2363" s="5" t="e">
        <f>SUM(SUMIFS(#REF!,#REF!,Planning[[#This Row],[Tipo de Tarea y especialidad]],#REF!,Planning[[#This Row],[Proyectos Reiwa]]),SUMIFS(#REF!,#REF!,Planning[[#This Row],[Tipo de Tarea y especialidad]],#REF!,Planning[[#This Row],[Proyectos]]))</f>
        <v>#REF!</v>
      </c>
      <c r="K2363" s="5" t="e">
        <f>Planning[[#This Row],[Horas Planificadas]]+Planning[[#This Row],[Horas ajustadas adicionales]]-Planning[[#This Row],[Horas utilizadas]]</f>
        <v>#REF!</v>
      </c>
      <c r="L2363" s="7">
        <v>0</v>
      </c>
      <c r="M2363" s="19" t="e">
        <f>Planning[[#This Row],[Saldo]]-Planning[[#This Row],[Saldo estimado]]</f>
        <v>#REF!</v>
      </c>
      <c r="N2363" s="60" t="e">
        <f>+SUMIFS(#REF!,#REF!,Planning[[#This Row],[Proyectos]],#REF!,Planning[[#This Row],[Tipo de Tarea y especialidad]])</f>
        <v>#REF!</v>
      </c>
      <c r="O2363" s="19">
        <f t="shared" si="72"/>
        <v>10</v>
      </c>
      <c r="P2363" s="19">
        <f t="shared" si="73"/>
        <v>2024</v>
      </c>
      <c r="Q23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63" s="19" t="str">
        <f>TEXT(Planning[[#This Row],[Mes]]*29,"mmmm")</f>
        <v>October</v>
      </c>
      <c r="S23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63" s="193"/>
      <c r="U2363" s="43" t="e">
        <f>IF(Planning[[#This Row],[Horas Planificadas]]&lt;&gt;0,+K2363/Planning[[#This Row],[Horas Planificadas]],0)</f>
        <v>#REF!</v>
      </c>
      <c r="V2363" s="43" t="e">
        <f>IF(Planning[[#This Row],[Horas Planificadas]]&lt;&gt;0,Planning[[#This Row],[Horas utilizadas]]/Planning[[#This Row],[Horas Planificadas]],0)</f>
        <v>#REF!</v>
      </c>
      <c r="W2363" s="44">
        <f>Planning[[#This Row],[Horas Planificadas]]+Planning[[#This Row],[Horas ajustadas adicionales]]</f>
        <v>1110</v>
      </c>
      <c r="X2363" s="142"/>
    </row>
    <row r="2364" spans="1:24" x14ac:dyDescent="0.2">
      <c r="A2364" s="7" t="s">
        <v>294</v>
      </c>
      <c r="B2364" s="7" t="s">
        <v>118</v>
      </c>
      <c r="C2364" s="3"/>
      <c r="D2364" s="3" t="s">
        <v>500</v>
      </c>
      <c r="E2364" s="4"/>
      <c r="F2364" s="3" t="s">
        <v>123</v>
      </c>
      <c r="G2364" s="9"/>
      <c r="H2364" s="9">
        <v>945</v>
      </c>
      <c r="I2364" s="12"/>
      <c r="J2364" s="5" t="e">
        <f>SUM(SUMIFS(#REF!,#REF!,Planning[[#This Row],[Tipo de Tarea y especialidad]],#REF!,Planning[[#This Row],[Proyectos Reiwa]]),SUMIFS(#REF!,#REF!,Planning[[#This Row],[Tipo de Tarea y especialidad]],#REF!,Planning[[#This Row],[Proyectos]]))</f>
        <v>#REF!</v>
      </c>
      <c r="K2364" s="5" t="e">
        <f>Planning[[#This Row],[Horas Planificadas]]+Planning[[#This Row],[Horas ajustadas adicionales]]-Planning[[#This Row],[Horas utilizadas]]</f>
        <v>#REF!</v>
      </c>
      <c r="L2364" s="7">
        <v>0</v>
      </c>
      <c r="M2364" s="19" t="e">
        <f>Planning[[#This Row],[Saldo]]-Planning[[#This Row],[Saldo estimado]]</f>
        <v>#REF!</v>
      </c>
      <c r="N2364" s="60" t="e">
        <f>+SUMIFS(#REF!,#REF!,Planning[[#This Row],[Proyectos]],#REF!,Planning[[#This Row],[Tipo de Tarea y especialidad]])</f>
        <v>#REF!</v>
      </c>
      <c r="O2364" s="19">
        <f t="shared" si="72"/>
        <v>10</v>
      </c>
      <c r="P2364" s="19">
        <f t="shared" si="73"/>
        <v>2024</v>
      </c>
      <c r="Q23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64" s="19" t="str">
        <f>TEXT(Planning[[#This Row],[Mes]]*29,"mmmm")</f>
        <v>October</v>
      </c>
      <c r="S23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64" s="193"/>
      <c r="U2364" s="43" t="e">
        <f>IF(Planning[[#This Row],[Horas Planificadas]]&lt;&gt;0,+K2364/Planning[[#This Row],[Horas Planificadas]],0)</f>
        <v>#REF!</v>
      </c>
      <c r="V2364" s="43" t="e">
        <f>IF(Planning[[#This Row],[Horas Planificadas]]&lt;&gt;0,Planning[[#This Row],[Horas utilizadas]]/Planning[[#This Row],[Horas Planificadas]],0)</f>
        <v>#REF!</v>
      </c>
      <c r="W2364" s="44">
        <f>Planning[[#This Row],[Horas Planificadas]]+Planning[[#This Row],[Horas ajustadas adicionales]]</f>
        <v>945</v>
      </c>
      <c r="X2364" s="142"/>
    </row>
    <row r="2365" spans="1:24" x14ac:dyDescent="0.2">
      <c r="A2365" s="7" t="s">
        <v>294</v>
      </c>
      <c r="B2365" s="7" t="s">
        <v>118</v>
      </c>
      <c r="C2365" s="3"/>
      <c r="D2365" s="3" t="s">
        <v>500</v>
      </c>
      <c r="E2365" s="4"/>
      <c r="F2365" s="3" t="s">
        <v>124</v>
      </c>
      <c r="G2365" s="9"/>
      <c r="H2365" s="9"/>
      <c r="I2365" s="12"/>
      <c r="J2365" s="5" t="e">
        <f>SUM(SUMIFS(#REF!,#REF!,Planning[[#This Row],[Tipo de Tarea y especialidad]],#REF!,Planning[[#This Row],[Proyectos Reiwa]]),SUMIFS(#REF!,#REF!,Planning[[#This Row],[Tipo de Tarea y especialidad]],#REF!,Planning[[#This Row],[Proyectos]]))</f>
        <v>#REF!</v>
      </c>
      <c r="K2365" s="5" t="e">
        <f>Planning[[#This Row],[Horas Planificadas]]+Planning[[#This Row],[Horas ajustadas adicionales]]-Planning[[#This Row],[Horas utilizadas]]</f>
        <v>#REF!</v>
      </c>
      <c r="L2365" s="7"/>
      <c r="M2365" s="19" t="e">
        <f>Planning[[#This Row],[Saldo]]-Planning[[#This Row],[Saldo estimado]]</f>
        <v>#REF!</v>
      </c>
      <c r="N2365" s="60" t="e">
        <f>+SUMIFS(#REF!,#REF!,Planning[[#This Row],[Proyectos]],#REF!,Planning[[#This Row],[Tipo de Tarea y especialidad]])</f>
        <v>#REF!</v>
      </c>
      <c r="O2365" s="19">
        <f t="shared" si="72"/>
        <v>10</v>
      </c>
      <c r="P2365" s="19">
        <f t="shared" si="73"/>
        <v>2024</v>
      </c>
      <c r="Q23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65" s="19" t="str">
        <f>TEXT(Planning[[#This Row],[Mes]]*29,"mmmm")</f>
        <v>October</v>
      </c>
      <c r="S23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65" s="193"/>
      <c r="U2365" s="43">
        <f>IF(Planning[[#This Row],[Horas Planificadas]]&lt;&gt;0,+K2365/Planning[[#This Row],[Horas Planificadas]],0)</f>
        <v>0</v>
      </c>
      <c r="V2365" s="43">
        <f>IF(Planning[[#This Row],[Horas Planificadas]]&lt;&gt;0,Planning[[#This Row],[Horas utilizadas]]/Planning[[#This Row],[Horas Planificadas]],0)</f>
        <v>0</v>
      </c>
      <c r="W2365" s="44">
        <f>Planning[[#This Row],[Horas Planificadas]]+Planning[[#This Row],[Horas ajustadas adicionales]]</f>
        <v>0</v>
      </c>
      <c r="X2365" s="142"/>
    </row>
    <row r="2366" spans="1:24" x14ac:dyDescent="0.2">
      <c r="A2366" s="7" t="s">
        <v>294</v>
      </c>
      <c r="B2366" s="7" t="s">
        <v>118</v>
      </c>
      <c r="C2366" s="3"/>
      <c r="D2366" s="3" t="s">
        <v>500</v>
      </c>
      <c r="E2366" s="4"/>
      <c r="F2366" s="3" t="s">
        <v>125</v>
      </c>
      <c r="G2366" s="9"/>
      <c r="H2366" s="9">
        <v>395</v>
      </c>
      <c r="I2366" s="12"/>
      <c r="J2366" s="5" t="e">
        <f>SUM(SUMIFS(#REF!,#REF!,Planning[[#This Row],[Tipo de Tarea y especialidad]],#REF!,Planning[[#This Row],[Proyectos Reiwa]]),SUMIFS(#REF!,#REF!,Planning[[#This Row],[Tipo de Tarea y especialidad]],#REF!,Planning[[#This Row],[Proyectos]]))</f>
        <v>#REF!</v>
      </c>
      <c r="K2366" s="5" t="e">
        <f>Planning[[#This Row],[Horas Planificadas]]+Planning[[#This Row],[Horas ajustadas adicionales]]-Planning[[#This Row],[Horas utilizadas]]</f>
        <v>#REF!</v>
      </c>
      <c r="L2366" s="7">
        <v>0</v>
      </c>
      <c r="M2366" s="19" t="e">
        <f>Planning[[#This Row],[Saldo]]-Planning[[#This Row],[Saldo estimado]]</f>
        <v>#REF!</v>
      </c>
      <c r="N2366" s="60" t="e">
        <f>+SUMIFS(#REF!,#REF!,Planning[[#This Row],[Proyectos]],#REF!,Planning[[#This Row],[Tipo de Tarea y especialidad]])</f>
        <v>#REF!</v>
      </c>
      <c r="O2366" s="19">
        <f t="shared" si="72"/>
        <v>10</v>
      </c>
      <c r="P2366" s="19">
        <f t="shared" si="73"/>
        <v>2024</v>
      </c>
      <c r="Q23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66" s="19" t="str">
        <f>TEXT(Planning[[#This Row],[Mes]]*29,"mmmm")</f>
        <v>October</v>
      </c>
      <c r="S23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66" s="193"/>
      <c r="U2366" s="43" t="e">
        <f>IF(Planning[[#This Row],[Horas Planificadas]]&lt;&gt;0,+K2366/Planning[[#This Row],[Horas Planificadas]],0)</f>
        <v>#REF!</v>
      </c>
      <c r="V2366" s="43" t="e">
        <f>IF(Planning[[#This Row],[Horas Planificadas]]&lt;&gt;0,Planning[[#This Row],[Horas utilizadas]]/Planning[[#This Row],[Horas Planificadas]],0)</f>
        <v>#REF!</v>
      </c>
      <c r="W2366" s="44">
        <f>Planning[[#This Row],[Horas Planificadas]]+Planning[[#This Row],[Horas ajustadas adicionales]]</f>
        <v>395</v>
      </c>
      <c r="X2366" s="142"/>
    </row>
    <row r="2367" spans="1:24" x14ac:dyDescent="0.2">
      <c r="A2367" s="7" t="s">
        <v>294</v>
      </c>
      <c r="B2367" s="7" t="s">
        <v>118</v>
      </c>
      <c r="C2367" s="3"/>
      <c r="D2367" s="3" t="s">
        <v>500</v>
      </c>
      <c r="E2367" s="4"/>
      <c r="F2367" s="3" t="s">
        <v>126</v>
      </c>
      <c r="G2367" s="9"/>
      <c r="H2367" s="9"/>
      <c r="I2367" s="12"/>
      <c r="J2367" s="5" t="e">
        <f>SUM(SUMIFS(#REF!,#REF!,Planning[[#This Row],[Tipo de Tarea y especialidad]],#REF!,Planning[[#This Row],[Proyectos Reiwa]]),SUMIFS(#REF!,#REF!,Planning[[#This Row],[Tipo de Tarea y especialidad]],#REF!,Planning[[#This Row],[Proyectos]]))</f>
        <v>#REF!</v>
      </c>
      <c r="K2367" s="5" t="e">
        <f>Planning[[#This Row],[Horas Planificadas]]+Planning[[#This Row],[Horas ajustadas adicionales]]-Planning[[#This Row],[Horas utilizadas]]</f>
        <v>#REF!</v>
      </c>
      <c r="L2367" s="7">
        <v>0</v>
      </c>
      <c r="M2367" s="19" t="e">
        <f>Planning[[#This Row],[Saldo]]-Planning[[#This Row],[Saldo estimado]]</f>
        <v>#REF!</v>
      </c>
      <c r="N2367" s="60" t="e">
        <f>+SUMIFS(#REF!,#REF!,Planning[[#This Row],[Proyectos]],#REF!,Planning[[#This Row],[Tipo de Tarea y especialidad]])</f>
        <v>#REF!</v>
      </c>
      <c r="O2367" s="19">
        <f t="shared" si="72"/>
        <v>10</v>
      </c>
      <c r="P2367" s="19">
        <f t="shared" si="73"/>
        <v>2024</v>
      </c>
      <c r="Q23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67" s="19" t="str">
        <f>TEXT(Planning[[#This Row],[Mes]]*29,"mmmm")</f>
        <v>October</v>
      </c>
      <c r="S23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67" s="193"/>
      <c r="U2367" s="43">
        <f>IF(Planning[[#This Row],[Horas Planificadas]]&lt;&gt;0,+K2367/Planning[[#This Row],[Horas Planificadas]],0)</f>
        <v>0</v>
      </c>
      <c r="V2367" s="43">
        <f>IF(Planning[[#This Row],[Horas Planificadas]]&lt;&gt;0,Planning[[#This Row],[Horas utilizadas]]/Planning[[#This Row],[Horas Planificadas]],0)</f>
        <v>0</v>
      </c>
      <c r="W2367" s="44">
        <f>Planning[[#This Row],[Horas Planificadas]]+Planning[[#This Row],[Horas ajustadas adicionales]]</f>
        <v>0</v>
      </c>
      <c r="X2367" s="142"/>
    </row>
    <row r="2368" spans="1:24" x14ac:dyDescent="0.2">
      <c r="A2368" s="7" t="s">
        <v>294</v>
      </c>
      <c r="B2368" s="7" t="s">
        <v>118</v>
      </c>
      <c r="C2368" s="3"/>
      <c r="D2368" s="3" t="s">
        <v>500</v>
      </c>
      <c r="E2368" s="4"/>
      <c r="F2368" s="3" t="s">
        <v>127</v>
      </c>
      <c r="G2368" s="9"/>
      <c r="H2368" s="9"/>
      <c r="I2368" s="12"/>
      <c r="J2368" s="5" t="e">
        <f>SUM(SUMIFS(#REF!,#REF!,Planning[[#This Row],[Tipo de Tarea y especialidad]],#REF!,Planning[[#This Row],[Proyectos Reiwa]]),SUMIFS(#REF!,#REF!,Planning[[#This Row],[Tipo de Tarea y especialidad]],#REF!,Planning[[#This Row],[Proyectos]]))</f>
        <v>#REF!</v>
      </c>
      <c r="K2368" s="5" t="e">
        <f>Planning[[#This Row],[Horas Planificadas]]+Planning[[#This Row],[Horas ajustadas adicionales]]-Planning[[#This Row],[Horas utilizadas]]</f>
        <v>#REF!</v>
      </c>
      <c r="L2368" s="7">
        <v>0</v>
      </c>
      <c r="M2368" s="19" t="e">
        <f>Planning[[#This Row],[Saldo]]-Planning[[#This Row],[Saldo estimado]]</f>
        <v>#REF!</v>
      </c>
      <c r="N2368" s="60" t="e">
        <f>+SUMIFS(#REF!,#REF!,Planning[[#This Row],[Proyectos]],#REF!,Planning[[#This Row],[Tipo de Tarea y especialidad]])</f>
        <v>#REF!</v>
      </c>
      <c r="O2368" s="19">
        <f t="shared" si="72"/>
        <v>10</v>
      </c>
      <c r="P2368" s="19">
        <f t="shared" si="73"/>
        <v>2024</v>
      </c>
      <c r="Q23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68" s="19" t="str">
        <f>TEXT(Planning[[#This Row],[Mes]]*29,"mmmm")</f>
        <v>October</v>
      </c>
      <c r="S23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68" s="193"/>
      <c r="U2368" s="43">
        <f>IF(Planning[[#This Row],[Horas Planificadas]]&lt;&gt;0,+K2368/Planning[[#This Row],[Horas Planificadas]],0)</f>
        <v>0</v>
      </c>
      <c r="V2368" s="43">
        <f>IF(Planning[[#This Row],[Horas Planificadas]]&lt;&gt;0,Planning[[#This Row],[Horas utilizadas]]/Planning[[#This Row],[Horas Planificadas]],0)</f>
        <v>0</v>
      </c>
      <c r="W2368" s="44">
        <f>Planning[[#This Row],[Horas Planificadas]]+Planning[[#This Row],[Horas ajustadas adicionales]]</f>
        <v>0</v>
      </c>
      <c r="X2368" s="142"/>
    </row>
    <row r="2369" spans="1:24" x14ac:dyDescent="0.2">
      <c r="A2369" s="7" t="s">
        <v>294</v>
      </c>
      <c r="B2369" s="7" t="s">
        <v>118</v>
      </c>
      <c r="C2369" s="3"/>
      <c r="D2369" s="3" t="s">
        <v>500</v>
      </c>
      <c r="E2369" s="4"/>
      <c r="F2369" s="3" t="s">
        <v>128</v>
      </c>
      <c r="G2369" s="9"/>
      <c r="H2369" s="9"/>
      <c r="I2369" s="12"/>
      <c r="J2369" s="5" t="e">
        <f>SUM(SUMIFS(#REF!,#REF!,Planning[[#This Row],[Tipo de Tarea y especialidad]],#REF!,Planning[[#This Row],[Proyectos Reiwa]]),SUMIFS(#REF!,#REF!,Planning[[#This Row],[Tipo de Tarea y especialidad]],#REF!,Planning[[#This Row],[Proyectos]]))</f>
        <v>#REF!</v>
      </c>
      <c r="K2369" s="5" t="e">
        <f>Planning[[#This Row],[Horas Planificadas]]+Planning[[#This Row],[Horas ajustadas adicionales]]-Planning[[#This Row],[Horas utilizadas]]</f>
        <v>#REF!</v>
      </c>
      <c r="L2369" s="7"/>
      <c r="M2369" s="19" t="e">
        <f>Planning[[#This Row],[Saldo]]-Planning[[#This Row],[Saldo estimado]]</f>
        <v>#REF!</v>
      </c>
      <c r="N2369" s="60" t="e">
        <f>+SUMIFS(#REF!,#REF!,Planning[[#This Row],[Proyectos]],#REF!,Planning[[#This Row],[Tipo de Tarea y especialidad]])</f>
        <v>#REF!</v>
      </c>
      <c r="O2369" s="19">
        <f t="shared" si="72"/>
        <v>10</v>
      </c>
      <c r="P2369" s="19">
        <f t="shared" si="73"/>
        <v>2024</v>
      </c>
      <c r="Q23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69" s="19" t="str">
        <f>TEXT(Planning[[#This Row],[Mes]]*29,"mmmm")</f>
        <v>October</v>
      </c>
      <c r="S23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69" s="193"/>
      <c r="U2369" s="43">
        <f>IF(Planning[[#This Row],[Horas Planificadas]]&lt;&gt;0,+K2369/Planning[[#This Row],[Horas Planificadas]],0)</f>
        <v>0</v>
      </c>
      <c r="V2369" s="43">
        <f>IF(Planning[[#This Row],[Horas Planificadas]]&lt;&gt;0,Planning[[#This Row],[Horas utilizadas]]/Planning[[#This Row],[Horas Planificadas]],0)</f>
        <v>0</v>
      </c>
      <c r="W2369" s="44">
        <f>Planning[[#This Row],[Horas Planificadas]]+Planning[[#This Row],[Horas ajustadas adicionales]]</f>
        <v>0</v>
      </c>
      <c r="X2369" s="142"/>
    </row>
    <row r="2370" spans="1:24" x14ac:dyDescent="0.2">
      <c r="A2370" s="7" t="s">
        <v>294</v>
      </c>
      <c r="B2370" s="7" t="s">
        <v>118</v>
      </c>
      <c r="C2370" s="3"/>
      <c r="D2370" s="3" t="s">
        <v>500</v>
      </c>
      <c r="E2370" s="4" t="s">
        <v>31</v>
      </c>
      <c r="F2370" s="3" t="s">
        <v>31</v>
      </c>
      <c r="G2370" s="9">
        <v>324</v>
      </c>
      <c r="H2370" s="17">
        <v>288</v>
      </c>
      <c r="I2370" s="18"/>
      <c r="J2370" s="14" t="e">
        <f>+SUMIFS(#REF!,#REF!,Planning[[#This Row],[Tarifa]],#REF!,Planning[[#This Row],[Proyectos]])</f>
        <v>#REF!</v>
      </c>
      <c r="K2370" s="14" t="e">
        <f>Planning[[#This Row],[Horas Planificadas]]+Planning[[#This Row],[Horas ajustadas adicionales]]-Planning[[#This Row],[Horas utilizadas]]</f>
        <v>#REF!</v>
      </c>
      <c r="L2370" s="15"/>
      <c r="M2370" s="16" t="e">
        <f>Planning[[#This Row],[Saldo]]-Planning[[#This Row],[Saldo estimado]]</f>
        <v>#REF!</v>
      </c>
      <c r="N2370" s="60" t="e">
        <f>+SUMIFS(#REF!,#REF!,Planning[[#This Row],[Proyectos]],#REF!,Planning[[#This Row],[Tipo de Tarea y especialidad]])</f>
        <v>#REF!</v>
      </c>
      <c r="O2370" s="16">
        <f t="shared" si="72"/>
        <v>10</v>
      </c>
      <c r="P2370" s="16">
        <f t="shared" si="73"/>
        <v>2024</v>
      </c>
      <c r="Q2370" s="16" t="e">
        <f>+SUMIFS(#REF!,#REF!,Planning[[#This Row],[Tarifa]],#REF!,Planning[[#This Row],[Proyectos]],#REF!,Planning[[#This Row],[Mes]],#REF!,Planning[[#This Row],[Año]])</f>
        <v>#REF!</v>
      </c>
      <c r="R2370" s="16" t="str">
        <f>TEXT(Planning[[#This Row],[Mes]]*29,"mmmm")</f>
        <v>October</v>
      </c>
      <c r="S23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70" s="193"/>
      <c r="U2370" s="43" t="e">
        <f>IF(Planning[[#This Row],[Horas Planificadas]]&lt;&gt;0,+K2370/Planning[[#This Row],[Horas Planificadas]],0)</f>
        <v>#REF!</v>
      </c>
      <c r="V2370" s="43" t="e">
        <f>IF(Planning[[#This Row],[Horas Planificadas]]&lt;&gt;0,Planning[[#This Row],[Horas utilizadas]]/Planning[[#This Row],[Horas Planificadas]],0)</f>
        <v>#REF!</v>
      </c>
      <c r="W2370" s="44">
        <f>Planning[[#This Row],[Horas Planificadas]]+Planning[[#This Row],[Horas ajustadas adicionales]]</f>
        <v>288</v>
      </c>
      <c r="X2370" s="142"/>
    </row>
    <row r="2371" spans="1:24" ht="22.5" x14ac:dyDescent="0.2">
      <c r="A2371" s="7" t="s">
        <v>294</v>
      </c>
      <c r="B2371" s="7" t="s">
        <v>118</v>
      </c>
      <c r="C2371" s="3"/>
      <c r="D2371" s="3" t="s">
        <v>500</v>
      </c>
      <c r="E2371" s="4" t="s">
        <v>32</v>
      </c>
      <c r="F2371" s="3"/>
      <c r="G2371" s="9">
        <v>1060</v>
      </c>
      <c r="H2371" s="14">
        <f>SUM(H2372:H2374)</f>
        <v>1060</v>
      </c>
      <c r="I2371" s="14"/>
      <c r="J2371" s="14" t="e">
        <f>SUM(J2372:J2374)</f>
        <v>#REF!</v>
      </c>
      <c r="K2371" s="15" t="e">
        <f>SUM(K2372:K2374)</f>
        <v>#REF!</v>
      </c>
      <c r="L2371" s="15">
        <f>SUM(L2372:L2374)</f>
        <v>0</v>
      </c>
      <c r="M2371" s="16" t="e">
        <f>SUM(M2372:M2374)</f>
        <v>#REF!</v>
      </c>
      <c r="N2371" s="60" t="e">
        <f>+SUMIFS(#REF!,#REF!,Planning[[#This Row],[Proyectos]],#REF!,Planning[[#This Row],[Tipo de Tarea y especialidad]])</f>
        <v>#REF!</v>
      </c>
      <c r="O2371" s="16">
        <f t="shared" si="72"/>
        <v>10</v>
      </c>
      <c r="P2371" s="16">
        <f t="shared" si="73"/>
        <v>2024</v>
      </c>
      <c r="Q2371" s="16" t="e">
        <f>SUM(Q2372:Q2374)</f>
        <v>#REF!</v>
      </c>
      <c r="R2371" s="16" t="str">
        <f>TEXT(Planning[[#This Row],[Mes]]*29,"mmmm")</f>
        <v>October</v>
      </c>
      <c r="S23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71" s="193"/>
      <c r="U2371" s="43" t="e">
        <f>IF(Planning[[#This Row],[Horas Planificadas]]&lt;&gt;0,+K2371/Planning[[#This Row],[Horas Planificadas]],0)</f>
        <v>#REF!</v>
      </c>
      <c r="V2371" s="43" t="e">
        <f>IF(Planning[[#This Row],[Horas Planificadas]]&lt;&gt;0,Planning[[#This Row],[Horas utilizadas]]/Planning[[#This Row],[Horas Planificadas]],0)</f>
        <v>#REF!</v>
      </c>
      <c r="W2371" s="44">
        <f>Planning[[#This Row],[Horas Planificadas]]+Planning[[#This Row],[Horas ajustadas adicionales]]</f>
        <v>1060</v>
      </c>
      <c r="X2371" s="142"/>
    </row>
    <row r="2372" spans="1:24" x14ac:dyDescent="0.2">
      <c r="A2372" s="7" t="s">
        <v>294</v>
      </c>
      <c r="B2372" s="7" t="s">
        <v>118</v>
      </c>
      <c r="C2372" s="3"/>
      <c r="D2372" s="3" t="s">
        <v>500</v>
      </c>
      <c r="E2372" s="4"/>
      <c r="F2372" s="3" t="s">
        <v>129</v>
      </c>
      <c r="G2372" s="9"/>
      <c r="H2372" s="9">
        <v>660</v>
      </c>
      <c r="I2372" s="12"/>
      <c r="J2372" s="5" t="e">
        <f>SUM(SUMIFS(#REF!,#REF!,Planning[[#This Row],[Tipo de Tarea y especialidad]],#REF!,Planning[[#This Row],[Proyectos Reiwa]]),SUMIFS(#REF!,#REF!,Planning[[#This Row],[Tipo de Tarea y especialidad]],#REF!,Planning[[#This Row],[Proyectos]]))</f>
        <v>#REF!</v>
      </c>
      <c r="K2372" s="5" t="e">
        <f>Planning[[#This Row],[Horas Planificadas]]+Planning[[#This Row],[Horas ajustadas adicionales]]-Planning[[#This Row],[Horas utilizadas]]</f>
        <v>#REF!</v>
      </c>
      <c r="L2372" s="7">
        <v>0</v>
      </c>
      <c r="M2372" s="19" t="e">
        <f>Planning[[#This Row],[Saldo]]-Planning[[#This Row],[Saldo estimado]]</f>
        <v>#REF!</v>
      </c>
      <c r="N2372" s="60" t="e">
        <f>+SUMIFS(#REF!,#REF!,Planning[[#This Row],[Proyectos]],#REF!,Planning[[#This Row],[Tipo de Tarea y especialidad]])</f>
        <v>#REF!</v>
      </c>
      <c r="O2372" s="19">
        <f t="shared" si="72"/>
        <v>10</v>
      </c>
      <c r="P2372" s="19">
        <f t="shared" si="73"/>
        <v>2024</v>
      </c>
      <c r="Q23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72" s="19" t="str">
        <f>TEXT(Planning[[#This Row],[Mes]]*29,"mmmm")</f>
        <v>October</v>
      </c>
      <c r="S23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72" s="193"/>
      <c r="U2372" s="43" t="e">
        <f>IF(Planning[[#This Row],[Horas Planificadas]]&lt;&gt;0,+K2372/Planning[[#This Row],[Horas Planificadas]],0)</f>
        <v>#REF!</v>
      </c>
      <c r="V2372" s="43" t="e">
        <f>IF(Planning[[#This Row],[Horas Planificadas]]&lt;&gt;0,Planning[[#This Row],[Horas utilizadas]]/Planning[[#This Row],[Horas Planificadas]],0)</f>
        <v>#REF!</v>
      </c>
      <c r="W2372" s="44">
        <f>Planning[[#This Row],[Horas Planificadas]]+Planning[[#This Row],[Horas ajustadas adicionales]]</f>
        <v>660</v>
      </c>
      <c r="X2372" s="142"/>
    </row>
    <row r="2373" spans="1:24" x14ac:dyDescent="0.2">
      <c r="A2373" s="7" t="s">
        <v>294</v>
      </c>
      <c r="B2373" s="7" t="s">
        <v>118</v>
      </c>
      <c r="C2373" s="3"/>
      <c r="D2373" s="3" t="s">
        <v>500</v>
      </c>
      <c r="E2373" s="4"/>
      <c r="F2373" s="3" t="s">
        <v>130</v>
      </c>
      <c r="G2373" s="9"/>
      <c r="H2373" s="9">
        <v>400</v>
      </c>
      <c r="I2373" s="12"/>
      <c r="J2373" s="5" t="e">
        <f>SUM(SUMIFS(#REF!,#REF!,Planning[[#This Row],[Tipo de Tarea y especialidad]],#REF!,Planning[[#This Row],[Proyectos Reiwa]]),SUMIFS(#REF!,#REF!,Planning[[#This Row],[Tipo de Tarea y especialidad]],#REF!,Planning[[#This Row],[Proyectos]]))</f>
        <v>#REF!</v>
      </c>
      <c r="K2373" s="5" t="e">
        <f>Planning[[#This Row],[Horas Planificadas]]+Planning[[#This Row],[Horas ajustadas adicionales]]-Planning[[#This Row],[Horas utilizadas]]</f>
        <v>#REF!</v>
      </c>
      <c r="L2373" s="7">
        <v>0</v>
      </c>
      <c r="M2373" s="19" t="e">
        <f>Planning[[#This Row],[Saldo]]-Planning[[#This Row],[Saldo estimado]]</f>
        <v>#REF!</v>
      </c>
      <c r="N2373" s="60" t="e">
        <f>+SUMIFS(#REF!,#REF!,Planning[[#This Row],[Proyectos]],#REF!,Planning[[#This Row],[Tipo de Tarea y especialidad]])</f>
        <v>#REF!</v>
      </c>
      <c r="O2373" s="19">
        <f t="shared" si="72"/>
        <v>10</v>
      </c>
      <c r="P2373" s="19">
        <f t="shared" si="73"/>
        <v>2024</v>
      </c>
      <c r="Q23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73" s="19" t="str">
        <f>TEXT(Planning[[#This Row],[Mes]]*29,"mmmm")</f>
        <v>October</v>
      </c>
      <c r="S23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73" s="193"/>
      <c r="U2373" s="43" t="e">
        <f>IF(Planning[[#This Row],[Horas Planificadas]]&lt;&gt;0,+K2373/Planning[[#This Row],[Horas Planificadas]],0)</f>
        <v>#REF!</v>
      </c>
      <c r="V2373" s="43" t="e">
        <f>IF(Planning[[#This Row],[Horas Planificadas]]&lt;&gt;0,Planning[[#This Row],[Horas utilizadas]]/Planning[[#This Row],[Horas Planificadas]],0)</f>
        <v>#REF!</v>
      </c>
      <c r="W2373" s="44">
        <f>Planning[[#This Row],[Horas Planificadas]]+Planning[[#This Row],[Horas ajustadas adicionales]]</f>
        <v>400</v>
      </c>
      <c r="X2373" s="142"/>
    </row>
    <row r="2374" spans="1:24" x14ac:dyDescent="0.2">
      <c r="A2374" s="7" t="s">
        <v>294</v>
      </c>
      <c r="B2374" s="7" t="s">
        <v>118</v>
      </c>
      <c r="C2374" s="3"/>
      <c r="D2374" s="3" t="s">
        <v>500</v>
      </c>
      <c r="E2374" s="4"/>
      <c r="F2374" s="3" t="s">
        <v>131</v>
      </c>
      <c r="G2374" s="9"/>
      <c r="H2374" s="9"/>
      <c r="I2374" s="12"/>
      <c r="J2374" s="5" t="e">
        <f>SUM(SUMIFS(#REF!,#REF!,Planning[[#This Row],[Tipo de Tarea y especialidad]],#REF!,Planning[[#This Row],[Proyectos Reiwa]]),SUMIFS(#REF!,#REF!,Planning[[#This Row],[Tipo de Tarea y especialidad]],#REF!,Planning[[#This Row],[Proyectos]]))</f>
        <v>#REF!</v>
      </c>
      <c r="K2374" s="5" t="e">
        <f>Planning[[#This Row],[Horas Planificadas]]+Planning[[#This Row],[Horas ajustadas adicionales]]-Planning[[#This Row],[Horas utilizadas]]</f>
        <v>#REF!</v>
      </c>
      <c r="L2374" s="7"/>
      <c r="M2374" s="19" t="e">
        <f>Planning[[#This Row],[Saldo]]-Planning[[#This Row],[Saldo estimado]]</f>
        <v>#REF!</v>
      </c>
      <c r="N2374" s="60" t="e">
        <f>+SUMIFS(#REF!,#REF!,Planning[[#This Row],[Proyectos]],#REF!,Planning[[#This Row],[Tipo de Tarea y especialidad]])</f>
        <v>#REF!</v>
      </c>
      <c r="O2374" s="19">
        <f t="shared" si="72"/>
        <v>10</v>
      </c>
      <c r="P2374" s="19">
        <f t="shared" si="73"/>
        <v>2024</v>
      </c>
      <c r="Q23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74" s="19" t="str">
        <f>TEXT(Planning[[#This Row],[Mes]]*29,"mmmm")</f>
        <v>October</v>
      </c>
      <c r="S23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74" s="193"/>
      <c r="U2374" s="43">
        <f>IF(Planning[[#This Row],[Horas Planificadas]]&lt;&gt;0,+K2374/Planning[[#This Row],[Horas Planificadas]],0)</f>
        <v>0</v>
      </c>
      <c r="V2374" s="43">
        <f>IF(Planning[[#This Row],[Horas Planificadas]]&lt;&gt;0,Planning[[#This Row],[Horas utilizadas]]/Planning[[#This Row],[Horas Planificadas]],0)</f>
        <v>0</v>
      </c>
      <c r="W2374" s="44">
        <f>Planning[[#This Row],[Horas Planificadas]]+Planning[[#This Row],[Horas ajustadas adicionales]]</f>
        <v>0</v>
      </c>
      <c r="X2374" s="142"/>
    </row>
    <row r="2375" spans="1:24" ht="13.35" customHeight="1" x14ac:dyDescent="0.2">
      <c r="A2375" s="7" t="s">
        <v>177</v>
      </c>
      <c r="B2375" s="7" t="s">
        <v>288</v>
      </c>
      <c r="C2375" s="3"/>
      <c r="D2375" s="3" t="s">
        <v>502</v>
      </c>
      <c r="E2375" s="4" t="s">
        <v>28</v>
      </c>
      <c r="F2375" s="3"/>
      <c r="G2375" s="12">
        <v>40</v>
      </c>
      <c r="H2375" s="14">
        <f>SUM(H2376:H2377)</f>
        <v>40</v>
      </c>
      <c r="I2375" s="14"/>
      <c r="J2375" s="14" t="e">
        <f>SUM(J2376:J2377)</f>
        <v>#REF!</v>
      </c>
      <c r="K2375" s="18" t="e">
        <f>SUM(K2376:K2377)</f>
        <v>#REF!</v>
      </c>
      <c r="L2375" s="15">
        <f>SUM(L2376:L2377)</f>
        <v>0</v>
      </c>
      <c r="M2375" s="28" t="e">
        <f>SUM(M2376:M2377)</f>
        <v>#REF!</v>
      </c>
      <c r="N2375" s="61" t="e">
        <f>+SUMIFS(#REF!,#REF!,Planning[[#This Row],[Proyectos]],#REF!,Planning[[#This Row],[Tipo de Tarea y especialidad]])</f>
        <v>#REF!</v>
      </c>
      <c r="O2375" s="28">
        <f t="shared" ref="O2375:O2438" si="74">$L$4</f>
        <v>10</v>
      </c>
      <c r="P2375" s="28">
        <f t="shared" ref="P2375:P2438" si="75">$M$4</f>
        <v>2024</v>
      </c>
      <c r="Q2375" s="28" t="e">
        <f>SUM(Q2376:Q2377)</f>
        <v>#REF!</v>
      </c>
      <c r="R2375" s="28" t="str">
        <f>TEXT(Planning[[#This Row],[Mes]]*29,"mmmm")</f>
        <v>October</v>
      </c>
      <c r="S23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75" s="207" t="s">
        <v>503</v>
      </c>
      <c r="U2375" s="43" t="e">
        <f>IF(Planning[[#This Row],[Horas Planificadas]]&lt;&gt;0,+K2375/Planning[[#This Row],[Horas Planificadas]],0)</f>
        <v>#REF!</v>
      </c>
      <c r="V2375" s="43" t="e">
        <f>IF(Planning[[#This Row],[Horas Planificadas]]&lt;&gt;0,Planning[[#This Row],[Horas utilizadas]]/Planning[[#This Row],[Horas Planificadas]],0)</f>
        <v>#REF!</v>
      </c>
      <c r="W2375" s="44">
        <f>Planning[[#This Row],[Horas Planificadas]]+Planning[[#This Row],[Horas ajustadas adicionales]]</f>
        <v>40</v>
      </c>
      <c r="X2375" s="142"/>
    </row>
    <row r="2376" spans="1:24" x14ac:dyDescent="0.2">
      <c r="A2376" s="7" t="s">
        <v>177</v>
      </c>
      <c r="B2376" s="7" t="s">
        <v>288</v>
      </c>
      <c r="C2376" s="3"/>
      <c r="D2376" s="3" t="s">
        <v>502</v>
      </c>
      <c r="E2376" s="4"/>
      <c r="F2376" s="3" t="s">
        <v>120</v>
      </c>
      <c r="G2376" s="12"/>
      <c r="H2376" s="12">
        <v>40</v>
      </c>
      <c r="I2376" s="12"/>
      <c r="J2376" s="5" t="e">
        <f>SUM(SUMIFS(#REF!,#REF!,Planning[[#This Row],[Tipo de Tarea y especialidad]],#REF!,Planning[[#This Row],[Proyectos Reiwa]]),SUMIFS(#REF!,#REF!,Planning[[#This Row],[Tipo de Tarea y especialidad]],#REF!,Planning[[#This Row],[Proyectos]]))</f>
        <v>#REF!</v>
      </c>
      <c r="K2376" s="5" t="e">
        <f>Planning[[#This Row],[Horas Planificadas]]+Planning[[#This Row],[Horas ajustadas adicionales]]-Planning[[#This Row],[Horas utilizadas]]</f>
        <v>#REF!</v>
      </c>
      <c r="L2376" s="7">
        <v>0</v>
      </c>
      <c r="M2376" s="19" t="e">
        <f>Planning[[#This Row],[Saldo]]-Planning[[#This Row],[Saldo estimado]]</f>
        <v>#REF!</v>
      </c>
      <c r="N2376" s="60" t="e">
        <f>+SUMIFS(#REF!,#REF!,Planning[[#This Row],[Proyectos]],#REF!,Planning[[#This Row],[Tipo de Tarea y especialidad]])</f>
        <v>#REF!</v>
      </c>
      <c r="O2376" s="19">
        <f t="shared" si="74"/>
        <v>10</v>
      </c>
      <c r="P2376" s="19">
        <f t="shared" si="75"/>
        <v>2024</v>
      </c>
      <c r="Q23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76" s="19" t="str">
        <f>TEXT(Planning[[#This Row],[Mes]]*29,"mmmm")</f>
        <v>October</v>
      </c>
      <c r="S23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76" s="208"/>
      <c r="U2376" s="43" t="e">
        <f>IF(Planning[[#This Row],[Horas Planificadas]]&lt;&gt;0,+K2376/Planning[[#This Row],[Horas Planificadas]],0)</f>
        <v>#REF!</v>
      </c>
      <c r="V2376" s="43" t="e">
        <f>IF(Planning[[#This Row],[Horas Planificadas]]&lt;&gt;0,Planning[[#This Row],[Horas utilizadas]]/Planning[[#This Row],[Horas Planificadas]],0)</f>
        <v>#REF!</v>
      </c>
      <c r="W2376" s="44">
        <f>Planning[[#This Row],[Horas Planificadas]]+Planning[[#This Row],[Horas ajustadas adicionales]]</f>
        <v>40</v>
      </c>
      <c r="X2376" s="142"/>
    </row>
    <row r="2377" spans="1:24" x14ac:dyDescent="0.2">
      <c r="A2377" s="7" t="s">
        <v>177</v>
      </c>
      <c r="B2377" s="7" t="s">
        <v>288</v>
      </c>
      <c r="C2377" s="3"/>
      <c r="D2377" s="3" t="s">
        <v>502</v>
      </c>
      <c r="E2377" s="4"/>
      <c r="F2377" s="3" t="s">
        <v>121</v>
      </c>
      <c r="G2377" s="12"/>
      <c r="H2377" s="12"/>
      <c r="I2377" s="12"/>
      <c r="J2377" s="5" t="e">
        <f>SUM(SUMIFS(#REF!,#REF!,Planning[[#This Row],[Tipo de Tarea y especialidad]],#REF!,Planning[[#This Row],[Proyectos Reiwa]]),SUMIFS(#REF!,#REF!,Planning[[#This Row],[Tipo de Tarea y especialidad]],#REF!,Planning[[#This Row],[Proyectos]]))</f>
        <v>#REF!</v>
      </c>
      <c r="K2377" s="5" t="e">
        <f>Planning[[#This Row],[Horas Planificadas]]+Planning[[#This Row],[Horas ajustadas adicionales]]-Planning[[#This Row],[Horas utilizadas]]</f>
        <v>#REF!</v>
      </c>
      <c r="L2377" s="7">
        <v>0</v>
      </c>
      <c r="M2377" s="19" t="e">
        <f>Planning[[#This Row],[Saldo]]-Planning[[#This Row],[Saldo estimado]]</f>
        <v>#REF!</v>
      </c>
      <c r="N2377" s="60" t="e">
        <f>+SUMIFS(#REF!,#REF!,Planning[[#This Row],[Proyectos]],#REF!,Planning[[#This Row],[Tipo de Tarea y especialidad]])</f>
        <v>#REF!</v>
      </c>
      <c r="O2377" s="19">
        <f t="shared" si="74"/>
        <v>10</v>
      </c>
      <c r="P2377" s="19">
        <f t="shared" si="75"/>
        <v>2024</v>
      </c>
      <c r="Q23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77" s="19" t="str">
        <f>TEXT(Planning[[#This Row],[Mes]]*29,"mmmm")</f>
        <v>October</v>
      </c>
      <c r="S23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77" s="208"/>
      <c r="U2377" s="43">
        <f>IF(Planning[[#This Row],[Horas Planificadas]]&lt;&gt;0,+K2377/Planning[[#This Row],[Horas Planificadas]],0)</f>
        <v>0</v>
      </c>
      <c r="V2377" s="43">
        <f>IF(Planning[[#This Row],[Horas Planificadas]]&lt;&gt;0,Planning[[#This Row],[Horas utilizadas]]/Planning[[#This Row],[Horas Planificadas]],0)</f>
        <v>0</v>
      </c>
      <c r="W2377" s="44">
        <f>Planning[[#This Row],[Horas Planificadas]]+Planning[[#This Row],[Horas ajustadas adicionales]]</f>
        <v>0</v>
      </c>
      <c r="X2377" s="142"/>
    </row>
    <row r="2378" spans="1:24" x14ac:dyDescent="0.2">
      <c r="A2378" s="7" t="s">
        <v>177</v>
      </c>
      <c r="B2378" s="7" t="s">
        <v>288</v>
      </c>
      <c r="C2378" s="3"/>
      <c r="D2378" s="3" t="s">
        <v>502</v>
      </c>
      <c r="E2378" s="4" t="s">
        <v>30</v>
      </c>
      <c r="F2378" s="3"/>
      <c r="G2378" s="12">
        <v>155</v>
      </c>
      <c r="H2378" s="14">
        <f>SUM(H2379:H2385)</f>
        <v>155</v>
      </c>
      <c r="I2378" s="14"/>
      <c r="J2378" s="14" t="e">
        <f>SUM(J2379:J2385)</f>
        <v>#REF!</v>
      </c>
      <c r="K2378" s="18" t="e">
        <f>SUM(K2379:K2385)</f>
        <v>#REF!</v>
      </c>
      <c r="L2378" s="15">
        <f>SUM(L2379:L2385)</f>
        <v>0</v>
      </c>
      <c r="M2378" s="16" t="e">
        <f>SUM(M2379:M2385)</f>
        <v>#REF!</v>
      </c>
      <c r="N2378" s="60" t="e">
        <f>+SUMIFS(#REF!,#REF!,Planning[[#This Row],[Proyectos]],#REF!,Planning[[#This Row],[Tipo de Tarea y especialidad]])</f>
        <v>#REF!</v>
      </c>
      <c r="O2378" s="16">
        <f t="shared" si="74"/>
        <v>10</v>
      </c>
      <c r="P2378" s="16">
        <f t="shared" si="75"/>
        <v>2024</v>
      </c>
      <c r="Q2378" s="16" t="e">
        <f>SUM(Q2379:Q2385)</f>
        <v>#REF!</v>
      </c>
      <c r="R2378" s="16" t="str">
        <f>TEXT(Planning[[#This Row],[Mes]]*29,"mmmm")</f>
        <v>October</v>
      </c>
      <c r="S23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78" s="208"/>
      <c r="U2378" s="43" t="e">
        <f>IF(Planning[[#This Row],[Horas Planificadas]]&lt;&gt;0,+K2378/Planning[[#This Row],[Horas Planificadas]],0)</f>
        <v>#REF!</v>
      </c>
      <c r="V2378" s="43" t="e">
        <f>IF(Planning[[#This Row],[Horas Planificadas]]&lt;&gt;0,Planning[[#This Row],[Horas utilizadas]]/Planning[[#This Row],[Horas Planificadas]],0)</f>
        <v>#REF!</v>
      </c>
      <c r="W2378" s="44">
        <f>Planning[[#This Row],[Horas Planificadas]]+Planning[[#This Row],[Horas ajustadas adicionales]]</f>
        <v>155</v>
      </c>
      <c r="X2378" s="142"/>
    </row>
    <row r="2379" spans="1:24" x14ac:dyDescent="0.2">
      <c r="A2379" s="7" t="s">
        <v>177</v>
      </c>
      <c r="B2379" s="7" t="s">
        <v>288</v>
      </c>
      <c r="C2379" s="3"/>
      <c r="D2379" s="3" t="s">
        <v>502</v>
      </c>
      <c r="E2379" s="4"/>
      <c r="F2379" s="3" t="s">
        <v>122</v>
      </c>
      <c r="G2379" s="9"/>
      <c r="H2379" s="12"/>
      <c r="I2379" s="12"/>
      <c r="J2379" s="5" t="e">
        <f>SUM(SUMIFS(#REF!,#REF!,Planning[[#This Row],[Tipo de Tarea y especialidad]],#REF!,Planning[[#This Row],[Proyectos Reiwa]]),SUMIFS(#REF!,#REF!,Planning[[#This Row],[Tipo de Tarea y especialidad]],#REF!,Planning[[#This Row],[Proyectos]]))</f>
        <v>#REF!</v>
      </c>
      <c r="K2379" s="27" t="e">
        <f>Planning[[#This Row],[Horas Planificadas]]+Planning[[#This Row],[Horas ajustadas adicionales]]-Planning[[#This Row],[Horas utilizadas]]</f>
        <v>#REF!</v>
      </c>
      <c r="L2379" s="7"/>
      <c r="M2379" s="34" t="e">
        <f>Planning[[#This Row],[Saldo]]-Planning[[#This Row],[Saldo estimado]]</f>
        <v>#REF!</v>
      </c>
      <c r="N2379" s="62" t="e">
        <f>+SUMIFS(#REF!,#REF!,Planning[[#This Row],[Proyectos]],#REF!,Planning[[#This Row],[Tipo de Tarea y especialidad]])</f>
        <v>#REF!</v>
      </c>
      <c r="O2379" s="34">
        <f t="shared" si="74"/>
        <v>10</v>
      </c>
      <c r="P2379" s="34">
        <f t="shared" si="75"/>
        <v>2024</v>
      </c>
      <c r="Q23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79" s="19" t="str">
        <f>TEXT(Planning[[#This Row],[Mes]]*29,"mmmm")</f>
        <v>October</v>
      </c>
      <c r="S23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79" s="208"/>
      <c r="U2379" s="43">
        <f>IF(Planning[[#This Row],[Horas Planificadas]]&lt;&gt;0,+K2379/Planning[[#This Row],[Horas Planificadas]],0)</f>
        <v>0</v>
      </c>
      <c r="V2379" s="43">
        <f>IF(Planning[[#This Row],[Horas Planificadas]]&lt;&gt;0,Planning[[#This Row],[Horas utilizadas]]/Planning[[#This Row],[Horas Planificadas]],0)</f>
        <v>0</v>
      </c>
      <c r="W2379" s="44">
        <f>Planning[[#This Row],[Horas Planificadas]]+Planning[[#This Row],[Horas ajustadas adicionales]]</f>
        <v>0</v>
      </c>
      <c r="X2379" s="142"/>
    </row>
    <row r="2380" spans="1:24" x14ac:dyDescent="0.2">
      <c r="A2380" s="7" t="s">
        <v>177</v>
      </c>
      <c r="B2380" s="7" t="s">
        <v>288</v>
      </c>
      <c r="C2380" s="3"/>
      <c r="D2380" s="3" t="s">
        <v>502</v>
      </c>
      <c r="E2380" s="4"/>
      <c r="F2380" s="3" t="s">
        <v>123</v>
      </c>
      <c r="G2380" s="9"/>
      <c r="H2380" s="9"/>
      <c r="I2380" s="12"/>
      <c r="J2380" s="5" t="e">
        <f>SUM(SUMIFS(#REF!,#REF!,Planning[[#This Row],[Tipo de Tarea y especialidad]],#REF!,Planning[[#This Row],[Proyectos Reiwa]]),SUMIFS(#REF!,#REF!,Planning[[#This Row],[Tipo de Tarea y especialidad]],#REF!,Planning[[#This Row],[Proyectos]]))</f>
        <v>#REF!</v>
      </c>
      <c r="K2380" s="5" t="e">
        <f>Planning[[#This Row],[Horas Planificadas]]+Planning[[#This Row],[Horas ajustadas adicionales]]-Planning[[#This Row],[Horas utilizadas]]</f>
        <v>#REF!</v>
      </c>
      <c r="L2380" s="7"/>
      <c r="M2380" s="19" t="e">
        <f>Planning[[#This Row],[Saldo]]-Planning[[#This Row],[Saldo estimado]]</f>
        <v>#REF!</v>
      </c>
      <c r="N2380" s="60" t="e">
        <f>+SUMIFS(#REF!,#REF!,Planning[[#This Row],[Proyectos]],#REF!,Planning[[#This Row],[Tipo de Tarea y especialidad]])</f>
        <v>#REF!</v>
      </c>
      <c r="O2380" s="19">
        <f t="shared" si="74"/>
        <v>10</v>
      </c>
      <c r="P2380" s="19">
        <f t="shared" si="75"/>
        <v>2024</v>
      </c>
      <c r="Q23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80" s="19" t="str">
        <f>TEXT(Planning[[#This Row],[Mes]]*29,"mmmm")</f>
        <v>October</v>
      </c>
      <c r="S23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80" s="208"/>
      <c r="U2380" s="43">
        <f>IF(Planning[[#This Row],[Horas Planificadas]]&lt;&gt;0,+K2380/Planning[[#This Row],[Horas Planificadas]],0)</f>
        <v>0</v>
      </c>
      <c r="V2380" s="43">
        <f>IF(Planning[[#This Row],[Horas Planificadas]]&lt;&gt;0,Planning[[#This Row],[Horas utilizadas]]/Planning[[#This Row],[Horas Planificadas]],0)</f>
        <v>0</v>
      </c>
      <c r="W2380" s="44">
        <f>Planning[[#This Row],[Horas Planificadas]]+Planning[[#This Row],[Horas ajustadas adicionales]]</f>
        <v>0</v>
      </c>
      <c r="X2380" s="142"/>
    </row>
    <row r="2381" spans="1:24" x14ac:dyDescent="0.2">
      <c r="A2381" s="7" t="s">
        <v>177</v>
      </c>
      <c r="B2381" s="7" t="s">
        <v>288</v>
      </c>
      <c r="C2381" s="3"/>
      <c r="D2381" s="3" t="s">
        <v>502</v>
      </c>
      <c r="E2381" s="4"/>
      <c r="F2381" s="3" t="s">
        <v>124</v>
      </c>
      <c r="G2381" s="9"/>
      <c r="H2381" s="9">
        <v>155</v>
      </c>
      <c r="I2381" s="12"/>
      <c r="J2381" s="5" t="e">
        <f>SUM(SUMIFS(#REF!,#REF!,Planning[[#This Row],[Tipo de Tarea y especialidad]],#REF!,Planning[[#This Row],[Proyectos Reiwa]]),SUMIFS(#REF!,#REF!,Planning[[#This Row],[Tipo de Tarea y especialidad]],#REF!,Planning[[#This Row],[Proyectos]]))</f>
        <v>#REF!</v>
      </c>
      <c r="K2381" s="5" t="e">
        <f>Planning[[#This Row],[Horas Planificadas]]+Planning[[#This Row],[Horas ajustadas adicionales]]-Planning[[#This Row],[Horas utilizadas]]</f>
        <v>#REF!</v>
      </c>
      <c r="L2381" s="7">
        <v>0</v>
      </c>
      <c r="M2381" s="19" t="e">
        <f>Planning[[#This Row],[Saldo]]-Planning[[#This Row],[Saldo estimado]]</f>
        <v>#REF!</v>
      </c>
      <c r="N2381" s="60" t="e">
        <f>+SUMIFS(#REF!,#REF!,Planning[[#This Row],[Proyectos]],#REF!,Planning[[#This Row],[Tipo de Tarea y especialidad]])</f>
        <v>#REF!</v>
      </c>
      <c r="O2381" s="19">
        <f t="shared" si="74"/>
        <v>10</v>
      </c>
      <c r="P2381" s="19">
        <f t="shared" si="75"/>
        <v>2024</v>
      </c>
      <c r="Q23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81" s="19" t="str">
        <f>TEXT(Planning[[#This Row],[Mes]]*29,"mmmm")</f>
        <v>October</v>
      </c>
      <c r="S23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81" s="208"/>
      <c r="U2381" s="43" t="e">
        <f>IF(Planning[[#This Row],[Horas Planificadas]]&lt;&gt;0,+K2381/Planning[[#This Row],[Horas Planificadas]],0)</f>
        <v>#REF!</v>
      </c>
      <c r="V2381" s="43" t="e">
        <f>IF(Planning[[#This Row],[Horas Planificadas]]&lt;&gt;0,Planning[[#This Row],[Horas utilizadas]]/Planning[[#This Row],[Horas Planificadas]],0)</f>
        <v>#REF!</v>
      </c>
      <c r="W2381" s="44">
        <f>Planning[[#This Row],[Horas Planificadas]]+Planning[[#This Row],[Horas ajustadas adicionales]]</f>
        <v>155</v>
      </c>
      <c r="X2381" s="142"/>
    </row>
    <row r="2382" spans="1:24" x14ac:dyDescent="0.2">
      <c r="A2382" s="7" t="s">
        <v>177</v>
      </c>
      <c r="B2382" s="7" t="s">
        <v>288</v>
      </c>
      <c r="C2382" s="3"/>
      <c r="D2382" s="3" t="s">
        <v>502</v>
      </c>
      <c r="E2382" s="4"/>
      <c r="F2382" s="3" t="s">
        <v>125</v>
      </c>
      <c r="G2382" s="9"/>
      <c r="H2382" s="12"/>
      <c r="I2382" s="12"/>
      <c r="J2382" s="5" t="e">
        <f>SUM(SUMIFS(#REF!,#REF!,Planning[[#This Row],[Tipo de Tarea y especialidad]],#REF!,Planning[[#This Row],[Proyectos Reiwa]]),SUMIFS(#REF!,#REF!,Planning[[#This Row],[Tipo de Tarea y especialidad]],#REF!,Planning[[#This Row],[Proyectos]]))</f>
        <v>#REF!</v>
      </c>
      <c r="K2382" s="27" t="e">
        <f>Planning[[#This Row],[Horas Planificadas]]+Planning[[#This Row],[Horas ajustadas adicionales]]-Planning[[#This Row],[Horas utilizadas]]</f>
        <v>#REF!</v>
      </c>
      <c r="L2382" s="7">
        <v>0</v>
      </c>
      <c r="M2382" s="19" t="e">
        <f>Planning[[#This Row],[Saldo]]-Planning[[#This Row],[Saldo estimado]]</f>
        <v>#REF!</v>
      </c>
      <c r="N2382" s="60" t="e">
        <f>+SUMIFS(#REF!,#REF!,Planning[[#This Row],[Proyectos]],#REF!,Planning[[#This Row],[Tipo de Tarea y especialidad]])</f>
        <v>#REF!</v>
      </c>
      <c r="O2382" s="19">
        <f t="shared" si="74"/>
        <v>10</v>
      </c>
      <c r="P2382" s="19">
        <f t="shared" si="75"/>
        <v>2024</v>
      </c>
      <c r="Q23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82" s="19" t="str">
        <f>TEXT(Planning[[#This Row],[Mes]]*29,"mmmm")</f>
        <v>October</v>
      </c>
      <c r="S23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82" s="208"/>
      <c r="U2382" s="43">
        <f>IF(Planning[[#This Row],[Horas Planificadas]]&lt;&gt;0,+K2382/Planning[[#This Row],[Horas Planificadas]],0)</f>
        <v>0</v>
      </c>
      <c r="V2382" s="43">
        <f>IF(Planning[[#This Row],[Horas Planificadas]]&lt;&gt;0,Planning[[#This Row],[Horas utilizadas]]/Planning[[#This Row],[Horas Planificadas]],0)</f>
        <v>0</v>
      </c>
      <c r="W2382" s="44">
        <f>Planning[[#This Row],[Horas Planificadas]]+Planning[[#This Row],[Horas ajustadas adicionales]]</f>
        <v>0</v>
      </c>
      <c r="X2382" s="142"/>
    </row>
    <row r="2383" spans="1:24" x14ac:dyDescent="0.2">
      <c r="A2383" s="7" t="s">
        <v>177</v>
      </c>
      <c r="B2383" s="7" t="s">
        <v>288</v>
      </c>
      <c r="C2383" s="3"/>
      <c r="D2383" s="3" t="s">
        <v>502</v>
      </c>
      <c r="E2383" s="4"/>
      <c r="F2383" s="3" t="s">
        <v>126</v>
      </c>
      <c r="G2383" s="9"/>
      <c r="H2383" s="9"/>
      <c r="I2383" s="12"/>
      <c r="J2383" s="5" t="e">
        <f>SUM(SUMIFS(#REF!,#REF!,Planning[[#This Row],[Tipo de Tarea y especialidad]],#REF!,Planning[[#This Row],[Proyectos Reiwa]]),SUMIFS(#REF!,#REF!,Planning[[#This Row],[Tipo de Tarea y especialidad]],#REF!,Planning[[#This Row],[Proyectos]]))</f>
        <v>#REF!</v>
      </c>
      <c r="K2383" s="5" t="e">
        <f>Planning[[#This Row],[Horas Planificadas]]+Planning[[#This Row],[Horas ajustadas adicionales]]-Planning[[#This Row],[Horas utilizadas]]</f>
        <v>#REF!</v>
      </c>
      <c r="L2383" s="7">
        <v>0</v>
      </c>
      <c r="M2383" s="19" t="e">
        <f>Planning[[#This Row],[Saldo]]-Planning[[#This Row],[Saldo estimado]]</f>
        <v>#REF!</v>
      </c>
      <c r="N2383" s="60" t="e">
        <f>+SUMIFS(#REF!,#REF!,Planning[[#This Row],[Proyectos]],#REF!,Planning[[#This Row],[Tipo de Tarea y especialidad]])</f>
        <v>#REF!</v>
      </c>
      <c r="O2383" s="19">
        <f t="shared" si="74"/>
        <v>10</v>
      </c>
      <c r="P2383" s="19">
        <f t="shared" si="75"/>
        <v>2024</v>
      </c>
      <c r="Q23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83" s="19" t="str">
        <f>TEXT(Planning[[#This Row],[Mes]]*29,"mmmm")</f>
        <v>October</v>
      </c>
      <c r="S23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83" s="208"/>
      <c r="U2383" s="43">
        <f>IF(Planning[[#This Row],[Horas Planificadas]]&lt;&gt;0,+K2383/Planning[[#This Row],[Horas Planificadas]],0)</f>
        <v>0</v>
      </c>
      <c r="V2383" s="43">
        <f>IF(Planning[[#This Row],[Horas Planificadas]]&lt;&gt;0,Planning[[#This Row],[Horas utilizadas]]/Planning[[#This Row],[Horas Planificadas]],0)</f>
        <v>0</v>
      </c>
      <c r="W2383" s="44">
        <f>Planning[[#This Row],[Horas Planificadas]]+Planning[[#This Row],[Horas ajustadas adicionales]]</f>
        <v>0</v>
      </c>
      <c r="X2383" s="142"/>
    </row>
    <row r="2384" spans="1:24" x14ac:dyDescent="0.2">
      <c r="A2384" s="7" t="s">
        <v>177</v>
      </c>
      <c r="B2384" s="7" t="s">
        <v>288</v>
      </c>
      <c r="C2384" s="3"/>
      <c r="D2384" s="3" t="s">
        <v>502</v>
      </c>
      <c r="E2384" s="4"/>
      <c r="F2384" s="3" t="s">
        <v>127</v>
      </c>
      <c r="G2384" s="9"/>
      <c r="H2384" s="9"/>
      <c r="I2384" s="12"/>
      <c r="J2384" s="5" t="e">
        <f>SUM(SUMIFS(#REF!,#REF!,Planning[[#This Row],[Tipo de Tarea y especialidad]],#REF!,Planning[[#This Row],[Proyectos Reiwa]]),SUMIFS(#REF!,#REF!,Planning[[#This Row],[Tipo de Tarea y especialidad]],#REF!,Planning[[#This Row],[Proyectos]]))</f>
        <v>#REF!</v>
      </c>
      <c r="K2384" s="5" t="e">
        <f>Planning[[#This Row],[Horas Planificadas]]+Planning[[#This Row],[Horas ajustadas adicionales]]-Planning[[#This Row],[Horas utilizadas]]</f>
        <v>#REF!</v>
      </c>
      <c r="L2384" s="7"/>
      <c r="M2384" s="19" t="e">
        <f>Planning[[#This Row],[Saldo]]-Planning[[#This Row],[Saldo estimado]]</f>
        <v>#REF!</v>
      </c>
      <c r="N2384" s="60" t="e">
        <f>+SUMIFS(#REF!,#REF!,Planning[[#This Row],[Proyectos]],#REF!,Planning[[#This Row],[Tipo de Tarea y especialidad]])</f>
        <v>#REF!</v>
      </c>
      <c r="O2384" s="19">
        <f t="shared" si="74"/>
        <v>10</v>
      </c>
      <c r="P2384" s="19">
        <f t="shared" si="75"/>
        <v>2024</v>
      </c>
      <c r="Q23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84" s="19" t="str">
        <f>TEXT(Planning[[#This Row],[Mes]]*29,"mmmm")</f>
        <v>October</v>
      </c>
      <c r="S23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84" s="208"/>
      <c r="U2384" s="43">
        <f>IF(Planning[[#This Row],[Horas Planificadas]]&lt;&gt;0,+K2384/Planning[[#This Row],[Horas Planificadas]],0)</f>
        <v>0</v>
      </c>
      <c r="V2384" s="43">
        <f>IF(Planning[[#This Row],[Horas Planificadas]]&lt;&gt;0,Planning[[#This Row],[Horas utilizadas]]/Planning[[#This Row],[Horas Planificadas]],0)</f>
        <v>0</v>
      </c>
      <c r="W2384" s="44">
        <f>Planning[[#This Row],[Horas Planificadas]]+Planning[[#This Row],[Horas ajustadas adicionales]]</f>
        <v>0</v>
      </c>
      <c r="X2384" s="142"/>
    </row>
    <row r="2385" spans="1:24" x14ac:dyDescent="0.2">
      <c r="A2385" s="7" t="s">
        <v>177</v>
      </c>
      <c r="B2385" s="7" t="s">
        <v>288</v>
      </c>
      <c r="C2385" s="3"/>
      <c r="D2385" s="3" t="s">
        <v>502</v>
      </c>
      <c r="E2385" s="4"/>
      <c r="F2385" s="3" t="s">
        <v>128</v>
      </c>
      <c r="G2385" s="9"/>
      <c r="H2385" s="9"/>
      <c r="I2385" s="12"/>
      <c r="J2385" s="5" t="e">
        <f>SUM(SUMIFS(#REF!,#REF!,Planning[[#This Row],[Tipo de Tarea y especialidad]],#REF!,Planning[[#This Row],[Proyectos Reiwa]]),SUMIFS(#REF!,#REF!,Planning[[#This Row],[Tipo de Tarea y especialidad]],#REF!,Planning[[#This Row],[Proyectos]]))</f>
        <v>#REF!</v>
      </c>
      <c r="K2385" s="5" t="e">
        <f>Planning[[#This Row],[Horas Planificadas]]+Planning[[#This Row],[Horas ajustadas adicionales]]-Planning[[#This Row],[Horas utilizadas]]</f>
        <v>#REF!</v>
      </c>
      <c r="L2385" s="7">
        <v>0</v>
      </c>
      <c r="M2385" s="19" t="e">
        <f>Planning[[#This Row],[Saldo]]-Planning[[#This Row],[Saldo estimado]]</f>
        <v>#REF!</v>
      </c>
      <c r="N2385" s="60" t="e">
        <f>+SUMIFS(#REF!,#REF!,Planning[[#This Row],[Proyectos]],#REF!,Planning[[#This Row],[Tipo de Tarea y especialidad]])</f>
        <v>#REF!</v>
      </c>
      <c r="O2385" s="19">
        <f t="shared" si="74"/>
        <v>10</v>
      </c>
      <c r="P2385" s="19">
        <f t="shared" si="75"/>
        <v>2024</v>
      </c>
      <c r="Q23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85" s="19" t="str">
        <f>TEXT(Planning[[#This Row],[Mes]]*29,"mmmm")</f>
        <v>October</v>
      </c>
      <c r="S23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85" s="208"/>
      <c r="U2385" s="43">
        <f>IF(Planning[[#This Row],[Horas Planificadas]]&lt;&gt;0,+K2385/Planning[[#This Row],[Horas Planificadas]],0)</f>
        <v>0</v>
      </c>
      <c r="V2385" s="43">
        <f>IF(Planning[[#This Row],[Horas Planificadas]]&lt;&gt;0,Planning[[#This Row],[Horas utilizadas]]/Planning[[#This Row],[Horas Planificadas]],0)</f>
        <v>0</v>
      </c>
      <c r="W2385" s="44">
        <f>Planning[[#This Row],[Horas Planificadas]]+Planning[[#This Row],[Horas ajustadas adicionales]]</f>
        <v>0</v>
      </c>
      <c r="X2385" s="142"/>
    </row>
    <row r="2386" spans="1:24" x14ac:dyDescent="0.2">
      <c r="A2386" s="7" t="s">
        <v>177</v>
      </c>
      <c r="B2386" s="7" t="s">
        <v>288</v>
      </c>
      <c r="C2386" s="3"/>
      <c r="D2386" s="3" t="s">
        <v>502</v>
      </c>
      <c r="E2386" s="4" t="s">
        <v>31</v>
      </c>
      <c r="F2386" s="3" t="s">
        <v>31</v>
      </c>
      <c r="G2386" s="9">
        <v>27</v>
      </c>
      <c r="H2386" s="17">
        <v>27</v>
      </c>
      <c r="I2386" s="18"/>
      <c r="J2386" s="14" t="e">
        <f>+SUMIFS(#REF!,#REF!,Planning[[#This Row],[Tarifa]],#REF!,Planning[[#This Row],[Proyectos]])</f>
        <v>#REF!</v>
      </c>
      <c r="K2386" s="14" t="e">
        <f>Planning[[#This Row],[Horas Planificadas]]+Planning[[#This Row],[Horas ajustadas adicionales]]-Planning[[#This Row],[Horas utilizadas]]</f>
        <v>#REF!</v>
      </c>
      <c r="L2386" s="15"/>
      <c r="M2386" s="16" t="e">
        <f>Planning[[#This Row],[Saldo]]-Planning[[#This Row],[Saldo estimado]]</f>
        <v>#REF!</v>
      </c>
      <c r="N2386" s="60" t="e">
        <f>+SUMIFS(#REF!,#REF!,Planning[[#This Row],[Proyectos]],#REF!,Planning[[#This Row],[Tipo de Tarea y especialidad]])</f>
        <v>#REF!</v>
      </c>
      <c r="O2386" s="16">
        <f t="shared" si="74"/>
        <v>10</v>
      </c>
      <c r="P2386" s="16">
        <f t="shared" si="75"/>
        <v>2024</v>
      </c>
      <c r="Q2386" s="16" t="e">
        <f>+SUMIFS(#REF!,#REF!,Planning[[#This Row],[Tarifa]],#REF!,Planning[[#This Row],[Proyectos]],#REF!,Planning[[#This Row],[Mes]],#REF!,Planning[[#This Row],[Año]])</f>
        <v>#REF!</v>
      </c>
      <c r="R2386" s="16" t="str">
        <f>TEXT(Planning[[#This Row],[Mes]]*29,"mmmm")</f>
        <v>October</v>
      </c>
      <c r="S23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86" s="208"/>
      <c r="U2386" s="43" t="e">
        <f>IF(Planning[[#This Row],[Horas Planificadas]]&lt;&gt;0,+K2386/Planning[[#This Row],[Horas Planificadas]],0)</f>
        <v>#REF!</v>
      </c>
      <c r="V2386" s="43" t="e">
        <f>IF(Planning[[#This Row],[Horas Planificadas]]&lt;&gt;0,Planning[[#This Row],[Horas utilizadas]]/Planning[[#This Row],[Horas Planificadas]],0)</f>
        <v>#REF!</v>
      </c>
      <c r="W2386" s="44">
        <f>Planning[[#This Row],[Horas Planificadas]]+Planning[[#This Row],[Horas ajustadas adicionales]]</f>
        <v>27</v>
      </c>
      <c r="X2386" s="142"/>
    </row>
    <row r="2387" spans="1:24" ht="22.5" x14ac:dyDescent="0.2">
      <c r="A2387" s="7" t="s">
        <v>177</v>
      </c>
      <c r="B2387" s="7" t="s">
        <v>288</v>
      </c>
      <c r="C2387" s="3"/>
      <c r="D2387" s="3" t="s">
        <v>502</v>
      </c>
      <c r="E2387" s="4" t="s">
        <v>32</v>
      </c>
      <c r="F2387" s="3"/>
      <c r="G2387" s="9">
        <v>80</v>
      </c>
      <c r="H2387" s="25">
        <f>SUM(H2388:H2390)</f>
        <v>80</v>
      </c>
      <c r="I2387" s="14"/>
      <c r="J2387" s="14" t="e">
        <f>SUM(J2388:J2390)</f>
        <v>#REF!</v>
      </c>
      <c r="K2387" s="18" t="e">
        <f>SUM(K2388:K2390)</f>
        <v>#REF!</v>
      </c>
      <c r="L2387" s="15">
        <f>SUM(L2388:L2390)</f>
        <v>0</v>
      </c>
      <c r="M2387" s="16" t="e">
        <f>SUM(M2388:M2390)</f>
        <v>#REF!</v>
      </c>
      <c r="N2387" s="60" t="e">
        <f>+SUMIFS(#REF!,#REF!,Planning[[#This Row],[Proyectos]],#REF!,Planning[[#This Row],[Tipo de Tarea y especialidad]])</f>
        <v>#REF!</v>
      </c>
      <c r="O2387" s="16">
        <f t="shared" si="74"/>
        <v>10</v>
      </c>
      <c r="P2387" s="16">
        <f t="shared" si="75"/>
        <v>2024</v>
      </c>
      <c r="Q2387" s="16" t="e">
        <f>SUM(Q2388:Q2390)</f>
        <v>#REF!</v>
      </c>
      <c r="R2387" s="16" t="str">
        <f>TEXT(Planning[[#This Row],[Mes]]*29,"mmmm")</f>
        <v>October</v>
      </c>
      <c r="S23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87" s="208"/>
      <c r="U2387" s="43" t="e">
        <f>IF(Planning[[#This Row],[Horas Planificadas]]&lt;&gt;0,+K2387/Planning[[#This Row],[Horas Planificadas]],0)</f>
        <v>#REF!</v>
      </c>
      <c r="V2387" s="43" t="e">
        <f>IF(Planning[[#This Row],[Horas Planificadas]]&lt;&gt;0,Planning[[#This Row],[Horas utilizadas]]/Planning[[#This Row],[Horas Planificadas]],0)</f>
        <v>#REF!</v>
      </c>
      <c r="W2387" s="44">
        <f>Planning[[#This Row],[Horas Planificadas]]+Planning[[#This Row],[Horas ajustadas adicionales]]</f>
        <v>80</v>
      </c>
      <c r="X2387" s="142"/>
    </row>
    <row r="2388" spans="1:24" x14ac:dyDescent="0.2">
      <c r="A2388" s="7" t="s">
        <v>177</v>
      </c>
      <c r="B2388" s="7" t="s">
        <v>288</v>
      </c>
      <c r="C2388" s="3"/>
      <c r="D2388" s="3" t="s">
        <v>502</v>
      </c>
      <c r="E2388" s="4"/>
      <c r="F2388" s="3" t="s">
        <v>129</v>
      </c>
      <c r="G2388" s="9"/>
      <c r="H2388" s="9"/>
      <c r="I2388" s="12"/>
      <c r="J2388" s="5" t="e">
        <f>SUM(SUMIFS(#REF!,#REF!,Planning[[#This Row],[Tipo de Tarea y especialidad]],#REF!,Planning[[#This Row],[Proyectos Reiwa]]),SUMIFS(#REF!,#REF!,Planning[[#This Row],[Tipo de Tarea y especialidad]],#REF!,Planning[[#This Row],[Proyectos]]))</f>
        <v>#REF!</v>
      </c>
      <c r="K2388" s="5" t="e">
        <f>Planning[[#This Row],[Horas Planificadas]]+Planning[[#This Row],[Horas ajustadas adicionales]]-Planning[[#This Row],[Horas utilizadas]]</f>
        <v>#REF!</v>
      </c>
      <c r="L2388" s="7"/>
      <c r="M2388" s="19" t="e">
        <f>Planning[[#This Row],[Saldo]]-Planning[[#This Row],[Saldo estimado]]</f>
        <v>#REF!</v>
      </c>
      <c r="N2388" s="60" t="e">
        <f>+SUMIFS(#REF!,#REF!,Planning[[#This Row],[Proyectos]],#REF!,Planning[[#This Row],[Tipo de Tarea y especialidad]])</f>
        <v>#REF!</v>
      </c>
      <c r="O2388" s="19">
        <f t="shared" si="74"/>
        <v>10</v>
      </c>
      <c r="P2388" s="19">
        <f t="shared" si="75"/>
        <v>2024</v>
      </c>
      <c r="Q23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88" s="19" t="str">
        <f>TEXT(Planning[[#This Row],[Mes]]*29,"mmmm")</f>
        <v>October</v>
      </c>
      <c r="S23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88" s="208"/>
      <c r="U2388" s="43">
        <f>IF(Planning[[#This Row],[Horas Planificadas]]&lt;&gt;0,+K2388/Planning[[#This Row],[Horas Planificadas]],0)</f>
        <v>0</v>
      </c>
      <c r="V2388" s="43">
        <f>IF(Planning[[#This Row],[Horas Planificadas]]&lt;&gt;0,Planning[[#This Row],[Horas utilizadas]]/Planning[[#This Row],[Horas Planificadas]],0)</f>
        <v>0</v>
      </c>
      <c r="W2388" s="44">
        <f>Planning[[#This Row],[Horas Planificadas]]+Planning[[#This Row],[Horas ajustadas adicionales]]</f>
        <v>0</v>
      </c>
      <c r="X2388" s="142"/>
    </row>
    <row r="2389" spans="1:24" x14ac:dyDescent="0.2">
      <c r="A2389" s="7" t="s">
        <v>177</v>
      </c>
      <c r="B2389" s="7" t="s">
        <v>288</v>
      </c>
      <c r="C2389" s="3"/>
      <c r="D2389" s="3" t="s">
        <v>502</v>
      </c>
      <c r="E2389" s="4"/>
      <c r="F2389" s="3" t="s">
        <v>130</v>
      </c>
      <c r="G2389" s="9"/>
      <c r="H2389" s="9"/>
      <c r="I2389" s="12"/>
      <c r="J2389" s="5" t="e">
        <f>SUM(SUMIFS(#REF!,#REF!,Planning[[#This Row],[Tipo de Tarea y especialidad]],#REF!,Planning[[#This Row],[Proyectos Reiwa]]),SUMIFS(#REF!,#REF!,Planning[[#This Row],[Tipo de Tarea y especialidad]],#REF!,Planning[[#This Row],[Proyectos]]))</f>
        <v>#REF!</v>
      </c>
      <c r="K2389" s="5" t="e">
        <f>Planning[[#This Row],[Horas Planificadas]]+Planning[[#This Row],[Horas ajustadas adicionales]]-Planning[[#This Row],[Horas utilizadas]]</f>
        <v>#REF!</v>
      </c>
      <c r="L2389" s="7"/>
      <c r="M2389" s="19" t="e">
        <f>Planning[[#This Row],[Saldo]]-Planning[[#This Row],[Saldo estimado]]</f>
        <v>#REF!</v>
      </c>
      <c r="N2389" s="60" t="e">
        <f>+SUMIFS(#REF!,#REF!,Planning[[#This Row],[Proyectos]],#REF!,Planning[[#This Row],[Tipo de Tarea y especialidad]])</f>
        <v>#REF!</v>
      </c>
      <c r="O2389" s="19">
        <f t="shared" si="74"/>
        <v>10</v>
      </c>
      <c r="P2389" s="19">
        <f t="shared" si="75"/>
        <v>2024</v>
      </c>
      <c r="Q23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89" s="19" t="str">
        <f>TEXT(Planning[[#This Row],[Mes]]*29,"mmmm")</f>
        <v>October</v>
      </c>
      <c r="S23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89" s="208"/>
      <c r="U2389" s="43">
        <f>IF(Planning[[#This Row],[Horas Planificadas]]&lt;&gt;0,+K2389/Planning[[#This Row],[Horas Planificadas]],0)</f>
        <v>0</v>
      </c>
      <c r="V2389" s="43">
        <f>IF(Planning[[#This Row],[Horas Planificadas]]&lt;&gt;0,Planning[[#This Row],[Horas utilizadas]]/Planning[[#This Row],[Horas Planificadas]],0)</f>
        <v>0</v>
      </c>
      <c r="W2389" s="44">
        <f>Planning[[#This Row],[Horas Planificadas]]+Planning[[#This Row],[Horas ajustadas adicionales]]</f>
        <v>0</v>
      </c>
      <c r="X2389" s="142"/>
    </row>
    <row r="2390" spans="1:24" x14ac:dyDescent="0.2">
      <c r="A2390" s="7" t="s">
        <v>177</v>
      </c>
      <c r="B2390" s="7" t="s">
        <v>288</v>
      </c>
      <c r="C2390" s="3"/>
      <c r="D2390" s="3" t="s">
        <v>502</v>
      </c>
      <c r="E2390" s="4"/>
      <c r="F2390" s="3" t="s">
        <v>131</v>
      </c>
      <c r="G2390" s="9"/>
      <c r="H2390" s="9">
        <v>80</v>
      </c>
      <c r="I2390" s="12"/>
      <c r="J2390" s="5" t="e">
        <f>SUM(SUMIFS(#REF!,#REF!,Planning[[#This Row],[Tipo de Tarea y especialidad]],#REF!,Planning[[#This Row],[Proyectos Reiwa]]),SUMIFS(#REF!,#REF!,Planning[[#This Row],[Tipo de Tarea y especialidad]],#REF!,Planning[[#This Row],[Proyectos]]))</f>
        <v>#REF!</v>
      </c>
      <c r="K2390" s="5" t="e">
        <f>Planning[[#This Row],[Horas Planificadas]]+Planning[[#This Row],[Horas ajustadas adicionales]]-Planning[[#This Row],[Horas utilizadas]]</f>
        <v>#REF!</v>
      </c>
      <c r="L2390" s="7">
        <v>0</v>
      </c>
      <c r="M2390" s="19" t="e">
        <f>Planning[[#This Row],[Saldo]]-Planning[[#This Row],[Saldo estimado]]</f>
        <v>#REF!</v>
      </c>
      <c r="N2390" s="60" t="e">
        <f>+SUMIFS(#REF!,#REF!,Planning[[#This Row],[Proyectos]],#REF!,Planning[[#This Row],[Tipo de Tarea y especialidad]])</f>
        <v>#REF!</v>
      </c>
      <c r="O2390" s="19">
        <f t="shared" si="74"/>
        <v>10</v>
      </c>
      <c r="P2390" s="19">
        <f t="shared" si="75"/>
        <v>2024</v>
      </c>
      <c r="Q23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90" s="19" t="str">
        <f>TEXT(Planning[[#This Row],[Mes]]*29,"mmmm")</f>
        <v>October</v>
      </c>
      <c r="S23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90" s="208"/>
      <c r="U2390" s="43" t="e">
        <f>IF(Planning[[#This Row],[Horas Planificadas]]&lt;&gt;0,+K2390/Planning[[#This Row],[Horas Planificadas]],0)</f>
        <v>#REF!</v>
      </c>
      <c r="V2390" s="43" t="e">
        <f>IF(Planning[[#This Row],[Horas Planificadas]]&lt;&gt;0,Planning[[#This Row],[Horas utilizadas]]/Planning[[#This Row],[Horas Planificadas]],0)</f>
        <v>#REF!</v>
      </c>
      <c r="W2390" s="44">
        <f>Planning[[#This Row],[Horas Planificadas]]+Planning[[#This Row],[Horas ajustadas adicionales]]</f>
        <v>80</v>
      </c>
      <c r="X2390" s="142"/>
    </row>
    <row r="2391" spans="1:24" ht="22.5" x14ac:dyDescent="0.2">
      <c r="A2391" s="7"/>
      <c r="B2391" s="7" t="s">
        <v>178</v>
      </c>
      <c r="C2391" s="3"/>
      <c r="D2391" s="3" t="s">
        <v>504</v>
      </c>
      <c r="E2391" s="4" t="s">
        <v>28</v>
      </c>
      <c r="F2391" s="3"/>
      <c r="G2391" s="9">
        <v>18</v>
      </c>
      <c r="H2391" s="14">
        <f>SUM(H2392:H2393)</f>
        <v>18</v>
      </c>
      <c r="I2391" s="14"/>
      <c r="J2391" s="14" t="e">
        <f>SUM(J2392:J2393)</f>
        <v>#REF!</v>
      </c>
      <c r="K2391" s="15" t="e">
        <f>SUM(K2392:K2393)</f>
        <v>#REF!</v>
      </c>
      <c r="L2391" s="15">
        <f>SUM(L2392:L2393)</f>
        <v>0</v>
      </c>
      <c r="M2391" s="28" t="e">
        <f>SUM(M2392:M2393)</f>
        <v>#REF!</v>
      </c>
      <c r="N2391" s="61" t="e">
        <f>+SUMIFS(#REF!,#REF!,Planning[[#This Row],[Proyectos]],#REF!,Planning[[#This Row],[Tipo de Tarea y especialidad]])</f>
        <v>#REF!</v>
      </c>
      <c r="O2391" s="28">
        <f t="shared" si="74"/>
        <v>10</v>
      </c>
      <c r="P2391" s="28">
        <f t="shared" si="75"/>
        <v>2024</v>
      </c>
      <c r="Q2391" s="28" t="e">
        <f>SUM(Q2392:Q2393)</f>
        <v>#REF!</v>
      </c>
      <c r="R2391" s="28" t="str">
        <f>TEXT(Planning[[#This Row],[Mes]]*29,"mmmm")</f>
        <v>October</v>
      </c>
      <c r="S23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91" s="192" t="s">
        <v>505</v>
      </c>
      <c r="U2391" s="43" t="e">
        <f>IF(Planning[[#This Row],[Horas Planificadas]]&lt;&gt;0,+K2391/Planning[[#This Row],[Horas Planificadas]],0)</f>
        <v>#REF!</v>
      </c>
      <c r="V2391" s="43" t="e">
        <f>IF(Planning[[#This Row],[Horas Planificadas]]&lt;&gt;0,Planning[[#This Row],[Horas utilizadas]]/Planning[[#This Row],[Horas Planificadas]],0)</f>
        <v>#REF!</v>
      </c>
      <c r="W2391" s="44">
        <f>Planning[[#This Row],[Horas Planificadas]]+Planning[[#This Row],[Horas ajustadas adicionales]]</f>
        <v>18</v>
      </c>
      <c r="X2391" s="142"/>
    </row>
    <row r="2392" spans="1:24" x14ac:dyDescent="0.2">
      <c r="A2392" s="7"/>
      <c r="B2392" s="7" t="s">
        <v>178</v>
      </c>
      <c r="C2392" s="3"/>
      <c r="D2392" s="3" t="s">
        <v>504</v>
      </c>
      <c r="E2392" s="4"/>
      <c r="F2392" s="3" t="s">
        <v>120</v>
      </c>
      <c r="G2392" s="9"/>
      <c r="H2392" s="9"/>
      <c r="I2392" s="12"/>
      <c r="J2392" s="5" t="e">
        <f>SUM(SUMIFS(#REF!,#REF!,Planning[[#This Row],[Tipo de Tarea y especialidad]],#REF!,Planning[[#This Row],[Proyectos Reiwa]]),SUMIFS(#REF!,#REF!,Planning[[#This Row],[Tipo de Tarea y especialidad]],#REF!,Planning[[#This Row],[Proyectos]]))</f>
        <v>#REF!</v>
      </c>
      <c r="K2392" s="5" t="e">
        <f>Planning[[#This Row],[Horas Planificadas]]+Planning[[#This Row],[Horas ajustadas adicionales]]-Planning[[#This Row],[Horas utilizadas]]</f>
        <v>#REF!</v>
      </c>
      <c r="L2392" s="7"/>
      <c r="M2392" s="19" t="e">
        <f>Planning[[#This Row],[Saldo]]-Planning[[#This Row],[Saldo estimado]]</f>
        <v>#REF!</v>
      </c>
      <c r="N2392" s="60" t="e">
        <f>+SUMIFS(#REF!,#REF!,Planning[[#This Row],[Proyectos]],#REF!,Planning[[#This Row],[Tipo de Tarea y especialidad]])</f>
        <v>#REF!</v>
      </c>
      <c r="O2392" s="19">
        <f t="shared" si="74"/>
        <v>10</v>
      </c>
      <c r="P2392" s="19">
        <f t="shared" si="75"/>
        <v>2024</v>
      </c>
      <c r="Q23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92" s="19" t="str">
        <f>TEXT(Planning[[#This Row],[Mes]]*29,"mmmm")</f>
        <v>October</v>
      </c>
      <c r="S23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92" s="193"/>
      <c r="U2392" s="43">
        <f>IF(Planning[[#This Row],[Horas Planificadas]]&lt;&gt;0,+K2392/Planning[[#This Row],[Horas Planificadas]],0)</f>
        <v>0</v>
      </c>
      <c r="V2392" s="43">
        <f>IF(Planning[[#This Row],[Horas Planificadas]]&lt;&gt;0,Planning[[#This Row],[Horas utilizadas]]/Planning[[#This Row],[Horas Planificadas]],0)</f>
        <v>0</v>
      </c>
      <c r="W2392" s="44">
        <f>Planning[[#This Row],[Horas Planificadas]]+Planning[[#This Row],[Horas ajustadas adicionales]]</f>
        <v>0</v>
      </c>
      <c r="X2392" s="142"/>
    </row>
    <row r="2393" spans="1:24" x14ac:dyDescent="0.2">
      <c r="A2393" s="7"/>
      <c r="B2393" s="7" t="s">
        <v>178</v>
      </c>
      <c r="C2393" s="3"/>
      <c r="D2393" s="3" t="s">
        <v>504</v>
      </c>
      <c r="E2393" s="4"/>
      <c r="F2393" s="3" t="s">
        <v>121</v>
      </c>
      <c r="G2393" s="9"/>
      <c r="H2393" s="9">
        <v>18</v>
      </c>
      <c r="I2393" s="12"/>
      <c r="J2393" s="5" t="e">
        <f>SUM(SUMIFS(#REF!,#REF!,Planning[[#This Row],[Tipo de Tarea y especialidad]],#REF!,Planning[[#This Row],[Proyectos Reiwa]]),SUMIFS(#REF!,#REF!,Planning[[#This Row],[Tipo de Tarea y especialidad]],#REF!,Planning[[#This Row],[Proyectos]]))</f>
        <v>#REF!</v>
      </c>
      <c r="K2393" s="5" t="e">
        <f>Planning[[#This Row],[Horas Planificadas]]+Planning[[#This Row],[Horas ajustadas adicionales]]-Planning[[#This Row],[Horas utilizadas]]</f>
        <v>#REF!</v>
      </c>
      <c r="L2393" s="7">
        <v>0</v>
      </c>
      <c r="M2393" s="19" t="e">
        <f>Planning[[#This Row],[Saldo]]-Planning[[#This Row],[Saldo estimado]]</f>
        <v>#REF!</v>
      </c>
      <c r="N2393" s="60" t="e">
        <f>+SUMIFS(#REF!,#REF!,Planning[[#This Row],[Proyectos]],#REF!,Planning[[#This Row],[Tipo de Tarea y especialidad]])</f>
        <v>#REF!</v>
      </c>
      <c r="O2393" s="19">
        <f t="shared" si="74"/>
        <v>10</v>
      </c>
      <c r="P2393" s="19">
        <f t="shared" si="75"/>
        <v>2024</v>
      </c>
      <c r="Q23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93" s="19" t="str">
        <f>TEXT(Planning[[#This Row],[Mes]]*29,"mmmm")</f>
        <v>October</v>
      </c>
      <c r="S23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93" s="193"/>
      <c r="U2393" s="43" t="e">
        <f>IF(Planning[[#This Row],[Horas Planificadas]]&lt;&gt;0,+K2393/Planning[[#This Row],[Horas Planificadas]],0)</f>
        <v>#REF!</v>
      </c>
      <c r="V2393" s="43" t="e">
        <f>IF(Planning[[#This Row],[Horas Planificadas]]&lt;&gt;0,Planning[[#This Row],[Horas utilizadas]]/Planning[[#This Row],[Horas Planificadas]],0)</f>
        <v>#REF!</v>
      </c>
      <c r="W2393" s="44">
        <f>Planning[[#This Row],[Horas Planificadas]]+Planning[[#This Row],[Horas ajustadas adicionales]]</f>
        <v>18</v>
      </c>
      <c r="X2393" s="142"/>
    </row>
    <row r="2394" spans="1:24" x14ac:dyDescent="0.2">
      <c r="A2394" s="7"/>
      <c r="B2394" s="7" t="s">
        <v>178</v>
      </c>
      <c r="C2394" s="3"/>
      <c r="D2394" s="3" t="s">
        <v>504</v>
      </c>
      <c r="E2394" s="4" t="s">
        <v>30</v>
      </c>
      <c r="F2394" s="3"/>
      <c r="G2394" s="9">
        <v>100</v>
      </c>
      <c r="H2394" s="25">
        <f>SUM(H2395:H2401)</f>
        <v>100</v>
      </c>
      <c r="I2394" s="14"/>
      <c r="J2394" s="14" t="e">
        <f>SUM(J2395:J2401)</f>
        <v>#REF!</v>
      </c>
      <c r="K2394" s="18" t="e">
        <f>SUM(K2395:K2401)</f>
        <v>#REF!</v>
      </c>
      <c r="L2394" s="15">
        <f>SUM(L2395:L2401)</f>
        <v>0</v>
      </c>
      <c r="M2394" s="16" t="e">
        <f>SUM(M2395:M2401)</f>
        <v>#REF!</v>
      </c>
      <c r="N2394" s="60" t="e">
        <f>+SUMIFS(#REF!,#REF!,Planning[[#This Row],[Proyectos]],#REF!,Planning[[#This Row],[Tipo de Tarea y especialidad]])</f>
        <v>#REF!</v>
      </c>
      <c r="O2394" s="16">
        <f t="shared" si="74"/>
        <v>10</v>
      </c>
      <c r="P2394" s="16">
        <f t="shared" si="75"/>
        <v>2024</v>
      </c>
      <c r="Q2394" s="16" t="e">
        <f>SUM(Q2395:Q2401)</f>
        <v>#REF!</v>
      </c>
      <c r="R2394" s="16" t="str">
        <f>TEXT(Planning[[#This Row],[Mes]]*29,"mmmm")</f>
        <v>October</v>
      </c>
      <c r="S23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94" s="193"/>
      <c r="U2394" s="43" t="e">
        <f>IF(Planning[[#This Row],[Horas Planificadas]]&lt;&gt;0,+K2394/Planning[[#This Row],[Horas Planificadas]],0)</f>
        <v>#REF!</v>
      </c>
      <c r="V2394" s="43" t="e">
        <f>IF(Planning[[#This Row],[Horas Planificadas]]&lt;&gt;0,Planning[[#This Row],[Horas utilizadas]]/Planning[[#This Row],[Horas Planificadas]],0)</f>
        <v>#REF!</v>
      </c>
      <c r="W2394" s="44">
        <f>Planning[[#This Row],[Horas Planificadas]]+Planning[[#This Row],[Horas ajustadas adicionales]]</f>
        <v>100</v>
      </c>
      <c r="X2394" s="142"/>
    </row>
    <row r="2395" spans="1:24" x14ac:dyDescent="0.2">
      <c r="A2395" s="7"/>
      <c r="B2395" s="7" t="s">
        <v>178</v>
      </c>
      <c r="C2395" s="3"/>
      <c r="D2395" s="3" t="s">
        <v>504</v>
      </c>
      <c r="E2395" s="4"/>
      <c r="F2395" s="3" t="s">
        <v>122</v>
      </c>
      <c r="G2395" s="9"/>
      <c r="H2395" s="12"/>
      <c r="I2395" s="12"/>
      <c r="J2395" s="5" t="e">
        <f>SUM(SUMIFS(#REF!,#REF!,Planning[[#This Row],[Tipo de Tarea y especialidad]],#REF!,Planning[[#This Row],[Proyectos Reiwa]]),SUMIFS(#REF!,#REF!,Planning[[#This Row],[Tipo de Tarea y especialidad]],#REF!,Planning[[#This Row],[Proyectos]]))</f>
        <v>#REF!</v>
      </c>
      <c r="K2395" s="27" t="e">
        <f>Planning[[#This Row],[Horas Planificadas]]+Planning[[#This Row],[Horas ajustadas adicionales]]-Planning[[#This Row],[Horas utilizadas]]</f>
        <v>#REF!</v>
      </c>
      <c r="L2395" s="7"/>
      <c r="M2395" s="34" t="e">
        <f>Planning[[#This Row],[Saldo]]-Planning[[#This Row],[Saldo estimado]]</f>
        <v>#REF!</v>
      </c>
      <c r="N2395" s="62" t="e">
        <f>+SUMIFS(#REF!,#REF!,Planning[[#This Row],[Proyectos]],#REF!,Planning[[#This Row],[Tipo de Tarea y especialidad]])</f>
        <v>#REF!</v>
      </c>
      <c r="O2395" s="34">
        <f t="shared" si="74"/>
        <v>10</v>
      </c>
      <c r="P2395" s="34">
        <f t="shared" si="75"/>
        <v>2024</v>
      </c>
      <c r="Q23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95" s="19" t="str">
        <f>TEXT(Planning[[#This Row],[Mes]]*29,"mmmm")</f>
        <v>October</v>
      </c>
      <c r="S23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95" s="193"/>
      <c r="U2395" s="43">
        <f>IF(Planning[[#This Row],[Horas Planificadas]]&lt;&gt;0,+K2395/Planning[[#This Row],[Horas Planificadas]],0)</f>
        <v>0</v>
      </c>
      <c r="V2395" s="43">
        <f>IF(Planning[[#This Row],[Horas Planificadas]]&lt;&gt;0,Planning[[#This Row],[Horas utilizadas]]/Planning[[#This Row],[Horas Planificadas]],0)</f>
        <v>0</v>
      </c>
      <c r="W2395" s="44">
        <f>Planning[[#This Row],[Horas Planificadas]]+Planning[[#This Row],[Horas ajustadas adicionales]]</f>
        <v>0</v>
      </c>
      <c r="X2395" s="142"/>
    </row>
    <row r="2396" spans="1:24" x14ac:dyDescent="0.2">
      <c r="A2396" s="7"/>
      <c r="B2396" s="7" t="s">
        <v>178</v>
      </c>
      <c r="C2396" s="3"/>
      <c r="D2396" s="3" t="s">
        <v>504</v>
      </c>
      <c r="E2396" s="4"/>
      <c r="F2396" s="3" t="s">
        <v>123</v>
      </c>
      <c r="G2396" s="9"/>
      <c r="H2396" s="9">
        <v>100</v>
      </c>
      <c r="I2396" s="12"/>
      <c r="J2396" s="5" t="e">
        <f>SUM(SUMIFS(#REF!,#REF!,Planning[[#This Row],[Tipo de Tarea y especialidad]],#REF!,Planning[[#This Row],[Proyectos Reiwa]]),SUMIFS(#REF!,#REF!,Planning[[#This Row],[Tipo de Tarea y especialidad]],#REF!,Planning[[#This Row],[Proyectos]]))</f>
        <v>#REF!</v>
      </c>
      <c r="K2396" s="5" t="e">
        <f>Planning[[#This Row],[Horas Planificadas]]+Planning[[#This Row],[Horas ajustadas adicionales]]-Planning[[#This Row],[Horas utilizadas]]</f>
        <v>#REF!</v>
      </c>
      <c r="L2396" s="7">
        <v>0</v>
      </c>
      <c r="M2396" s="19" t="e">
        <f>Planning[[#This Row],[Saldo]]-Planning[[#This Row],[Saldo estimado]]</f>
        <v>#REF!</v>
      </c>
      <c r="N2396" s="60" t="e">
        <f>+SUMIFS(#REF!,#REF!,Planning[[#This Row],[Proyectos]],#REF!,Planning[[#This Row],[Tipo de Tarea y especialidad]])</f>
        <v>#REF!</v>
      </c>
      <c r="O2396" s="19">
        <f t="shared" si="74"/>
        <v>10</v>
      </c>
      <c r="P2396" s="19">
        <f t="shared" si="75"/>
        <v>2024</v>
      </c>
      <c r="Q23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96" s="19" t="str">
        <f>TEXT(Planning[[#This Row],[Mes]]*29,"mmmm")</f>
        <v>October</v>
      </c>
      <c r="S23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96" s="193"/>
      <c r="U2396" s="43" t="e">
        <f>IF(Planning[[#This Row],[Horas Planificadas]]&lt;&gt;0,+K2396/Planning[[#This Row],[Horas Planificadas]],0)</f>
        <v>#REF!</v>
      </c>
      <c r="V2396" s="43" t="e">
        <f>IF(Planning[[#This Row],[Horas Planificadas]]&lt;&gt;0,Planning[[#This Row],[Horas utilizadas]]/Planning[[#This Row],[Horas Planificadas]],0)</f>
        <v>#REF!</v>
      </c>
      <c r="W2396" s="44">
        <f>Planning[[#This Row],[Horas Planificadas]]+Planning[[#This Row],[Horas ajustadas adicionales]]</f>
        <v>100</v>
      </c>
      <c r="X2396" s="142"/>
    </row>
    <row r="2397" spans="1:24" x14ac:dyDescent="0.2">
      <c r="A2397" s="7"/>
      <c r="B2397" s="7" t="s">
        <v>178</v>
      </c>
      <c r="C2397" s="3"/>
      <c r="D2397" s="3" t="s">
        <v>504</v>
      </c>
      <c r="E2397" s="4"/>
      <c r="F2397" s="3" t="s">
        <v>124</v>
      </c>
      <c r="G2397" s="9"/>
      <c r="H2397" s="9"/>
      <c r="I2397" s="12"/>
      <c r="J2397" s="5" t="e">
        <f>SUM(SUMIFS(#REF!,#REF!,Planning[[#This Row],[Tipo de Tarea y especialidad]],#REF!,Planning[[#This Row],[Proyectos Reiwa]]),SUMIFS(#REF!,#REF!,Planning[[#This Row],[Tipo de Tarea y especialidad]],#REF!,Planning[[#This Row],[Proyectos]]))</f>
        <v>#REF!</v>
      </c>
      <c r="K2397" s="5" t="e">
        <f>Planning[[#This Row],[Horas Planificadas]]+Planning[[#This Row],[Horas ajustadas adicionales]]-Planning[[#This Row],[Horas utilizadas]]</f>
        <v>#REF!</v>
      </c>
      <c r="L2397" s="7"/>
      <c r="M2397" s="19" t="e">
        <f>Planning[[#This Row],[Saldo]]-Planning[[#This Row],[Saldo estimado]]</f>
        <v>#REF!</v>
      </c>
      <c r="N2397" s="60" t="e">
        <f>+SUMIFS(#REF!,#REF!,Planning[[#This Row],[Proyectos]],#REF!,Planning[[#This Row],[Tipo de Tarea y especialidad]])</f>
        <v>#REF!</v>
      </c>
      <c r="O2397" s="19">
        <f t="shared" si="74"/>
        <v>10</v>
      </c>
      <c r="P2397" s="19">
        <f t="shared" si="75"/>
        <v>2024</v>
      </c>
      <c r="Q23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97" s="19" t="str">
        <f>TEXT(Planning[[#This Row],[Mes]]*29,"mmmm")</f>
        <v>October</v>
      </c>
      <c r="S23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97" s="193"/>
      <c r="U2397" s="43">
        <f>IF(Planning[[#This Row],[Horas Planificadas]]&lt;&gt;0,+K2397/Planning[[#This Row],[Horas Planificadas]],0)</f>
        <v>0</v>
      </c>
      <c r="V2397" s="43">
        <f>IF(Planning[[#This Row],[Horas Planificadas]]&lt;&gt;0,Planning[[#This Row],[Horas utilizadas]]/Planning[[#This Row],[Horas Planificadas]],0)</f>
        <v>0</v>
      </c>
      <c r="W2397" s="44">
        <f>Planning[[#This Row],[Horas Planificadas]]+Planning[[#This Row],[Horas ajustadas adicionales]]</f>
        <v>0</v>
      </c>
      <c r="X2397" s="142"/>
    </row>
    <row r="2398" spans="1:24" x14ac:dyDescent="0.2">
      <c r="A2398" s="7"/>
      <c r="B2398" s="7" t="s">
        <v>178</v>
      </c>
      <c r="C2398" s="3"/>
      <c r="D2398" s="3" t="s">
        <v>504</v>
      </c>
      <c r="E2398" s="4"/>
      <c r="F2398" s="3" t="s">
        <v>125</v>
      </c>
      <c r="G2398" s="9"/>
      <c r="H2398" s="12"/>
      <c r="I2398" s="12"/>
      <c r="J2398" s="5" t="e">
        <f>SUM(SUMIFS(#REF!,#REF!,Planning[[#This Row],[Tipo de Tarea y especialidad]],#REF!,Planning[[#This Row],[Proyectos Reiwa]]),SUMIFS(#REF!,#REF!,Planning[[#This Row],[Tipo de Tarea y especialidad]],#REF!,Planning[[#This Row],[Proyectos]]))</f>
        <v>#REF!</v>
      </c>
      <c r="K2398" s="27" t="e">
        <f>Planning[[#This Row],[Horas Planificadas]]+Planning[[#This Row],[Horas ajustadas adicionales]]-Planning[[#This Row],[Horas utilizadas]]</f>
        <v>#REF!</v>
      </c>
      <c r="L2398" s="7">
        <v>0</v>
      </c>
      <c r="M2398" s="19" t="e">
        <f>Planning[[#This Row],[Saldo]]-Planning[[#This Row],[Saldo estimado]]</f>
        <v>#REF!</v>
      </c>
      <c r="N2398" s="60" t="e">
        <f>+SUMIFS(#REF!,#REF!,Planning[[#This Row],[Proyectos]],#REF!,Planning[[#This Row],[Tipo de Tarea y especialidad]])</f>
        <v>#REF!</v>
      </c>
      <c r="O2398" s="19">
        <f t="shared" si="74"/>
        <v>10</v>
      </c>
      <c r="P2398" s="19">
        <f t="shared" si="75"/>
        <v>2024</v>
      </c>
      <c r="Q23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98" s="19" t="str">
        <f>TEXT(Planning[[#This Row],[Mes]]*29,"mmmm")</f>
        <v>October</v>
      </c>
      <c r="S23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98" s="193"/>
      <c r="U2398" s="43">
        <f>IF(Planning[[#This Row],[Horas Planificadas]]&lt;&gt;0,+K2398/Planning[[#This Row],[Horas Planificadas]],0)</f>
        <v>0</v>
      </c>
      <c r="V2398" s="43">
        <f>IF(Planning[[#This Row],[Horas Planificadas]]&lt;&gt;0,Planning[[#This Row],[Horas utilizadas]]/Planning[[#This Row],[Horas Planificadas]],0)</f>
        <v>0</v>
      </c>
      <c r="W2398" s="44">
        <f>Planning[[#This Row],[Horas Planificadas]]+Planning[[#This Row],[Horas ajustadas adicionales]]</f>
        <v>0</v>
      </c>
      <c r="X2398" s="142"/>
    </row>
    <row r="2399" spans="1:24" x14ac:dyDescent="0.2">
      <c r="A2399" s="7"/>
      <c r="B2399" s="7" t="s">
        <v>178</v>
      </c>
      <c r="C2399" s="3"/>
      <c r="D2399" s="3" t="s">
        <v>504</v>
      </c>
      <c r="E2399" s="4"/>
      <c r="F2399" s="3" t="s">
        <v>126</v>
      </c>
      <c r="G2399" s="9"/>
      <c r="H2399" s="9"/>
      <c r="I2399" s="12"/>
      <c r="J2399" s="5" t="e">
        <f>SUM(SUMIFS(#REF!,#REF!,Planning[[#This Row],[Tipo de Tarea y especialidad]],#REF!,Planning[[#This Row],[Proyectos Reiwa]]),SUMIFS(#REF!,#REF!,Planning[[#This Row],[Tipo de Tarea y especialidad]],#REF!,Planning[[#This Row],[Proyectos]]))</f>
        <v>#REF!</v>
      </c>
      <c r="K2399" s="5" t="e">
        <f>Planning[[#This Row],[Horas Planificadas]]+Planning[[#This Row],[Horas ajustadas adicionales]]-Planning[[#This Row],[Horas utilizadas]]</f>
        <v>#REF!</v>
      </c>
      <c r="L2399" s="7"/>
      <c r="M2399" s="19" t="e">
        <f>Planning[[#This Row],[Saldo]]-Planning[[#This Row],[Saldo estimado]]</f>
        <v>#REF!</v>
      </c>
      <c r="N2399" s="60" t="e">
        <f>+SUMIFS(#REF!,#REF!,Planning[[#This Row],[Proyectos]],#REF!,Planning[[#This Row],[Tipo de Tarea y especialidad]])</f>
        <v>#REF!</v>
      </c>
      <c r="O2399" s="19">
        <f t="shared" si="74"/>
        <v>10</v>
      </c>
      <c r="P2399" s="19">
        <f t="shared" si="75"/>
        <v>2024</v>
      </c>
      <c r="Q23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399" s="19" t="str">
        <f>TEXT(Planning[[#This Row],[Mes]]*29,"mmmm")</f>
        <v>October</v>
      </c>
      <c r="S23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399" s="193"/>
      <c r="U2399" s="43">
        <f>IF(Planning[[#This Row],[Horas Planificadas]]&lt;&gt;0,+K2399/Planning[[#This Row],[Horas Planificadas]],0)</f>
        <v>0</v>
      </c>
      <c r="V2399" s="43">
        <f>IF(Planning[[#This Row],[Horas Planificadas]]&lt;&gt;0,Planning[[#This Row],[Horas utilizadas]]/Planning[[#This Row],[Horas Planificadas]],0)</f>
        <v>0</v>
      </c>
      <c r="W2399" s="44">
        <f>Planning[[#This Row],[Horas Planificadas]]+Planning[[#This Row],[Horas ajustadas adicionales]]</f>
        <v>0</v>
      </c>
      <c r="X2399" s="142"/>
    </row>
    <row r="2400" spans="1:24" x14ac:dyDescent="0.2">
      <c r="A2400" s="7"/>
      <c r="B2400" s="7" t="s">
        <v>178</v>
      </c>
      <c r="C2400" s="3"/>
      <c r="D2400" s="3" t="s">
        <v>504</v>
      </c>
      <c r="E2400" s="4"/>
      <c r="F2400" s="3" t="s">
        <v>127</v>
      </c>
      <c r="G2400" s="9"/>
      <c r="H2400" s="9"/>
      <c r="I2400" s="12"/>
      <c r="J2400" s="5" t="e">
        <f>SUM(SUMIFS(#REF!,#REF!,Planning[[#This Row],[Tipo de Tarea y especialidad]],#REF!,Planning[[#This Row],[Proyectos Reiwa]]),SUMIFS(#REF!,#REF!,Planning[[#This Row],[Tipo de Tarea y especialidad]],#REF!,Planning[[#This Row],[Proyectos]]))</f>
        <v>#REF!</v>
      </c>
      <c r="K2400" s="5" t="e">
        <f>Planning[[#This Row],[Horas Planificadas]]+Planning[[#This Row],[Horas ajustadas adicionales]]-Planning[[#This Row],[Horas utilizadas]]</f>
        <v>#REF!</v>
      </c>
      <c r="L2400" s="7"/>
      <c r="M2400" s="19" t="e">
        <f>Planning[[#This Row],[Saldo]]-Planning[[#This Row],[Saldo estimado]]</f>
        <v>#REF!</v>
      </c>
      <c r="N2400" s="60" t="e">
        <f>+SUMIFS(#REF!,#REF!,Planning[[#This Row],[Proyectos]],#REF!,Planning[[#This Row],[Tipo de Tarea y especialidad]])</f>
        <v>#REF!</v>
      </c>
      <c r="O2400" s="19">
        <f t="shared" si="74"/>
        <v>10</v>
      </c>
      <c r="P2400" s="19">
        <f t="shared" si="75"/>
        <v>2024</v>
      </c>
      <c r="Q24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00" s="19" t="str">
        <f>TEXT(Planning[[#This Row],[Mes]]*29,"mmmm")</f>
        <v>October</v>
      </c>
      <c r="S24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00" s="193"/>
      <c r="U2400" s="43">
        <f>IF(Planning[[#This Row],[Horas Planificadas]]&lt;&gt;0,+K2400/Planning[[#This Row],[Horas Planificadas]],0)</f>
        <v>0</v>
      </c>
      <c r="V2400" s="43">
        <f>IF(Planning[[#This Row],[Horas Planificadas]]&lt;&gt;0,Planning[[#This Row],[Horas utilizadas]]/Planning[[#This Row],[Horas Planificadas]],0)</f>
        <v>0</v>
      </c>
      <c r="W2400" s="44">
        <f>Planning[[#This Row],[Horas Planificadas]]+Planning[[#This Row],[Horas ajustadas adicionales]]</f>
        <v>0</v>
      </c>
      <c r="X2400" s="142"/>
    </row>
    <row r="2401" spans="1:24" x14ac:dyDescent="0.2">
      <c r="A2401" s="7"/>
      <c r="B2401" s="7" t="s">
        <v>178</v>
      </c>
      <c r="C2401" s="3"/>
      <c r="D2401" s="3" t="s">
        <v>504</v>
      </c>
      <c r="E2401" s="4"/>
      <c r="F2401" s="3" t="s">
        <v>128</v>
      </c>
      <c r="G2401" s="9"/>
      <c r="H2401" s="9"/>
      <c r="I2401" s="12"/>
      <c r="J2401" s="5" t="e">
        <f>SUM(SUMIFS(#REF!,#REF!,Planning[[#This Row],[Tipo de Tarea y especialidad]],#REF!,Planning[[#This Row],[Proyectos Reiwa]]),SUMIFS(#REF!,#REF!,Planning[[#This Row],[Tipo de Tarea y especialidad]],#REF!,Planning[[#This Row],[Proyectos]]))</f>
        <v>#REF!</v>
      </c>
      <c r="K2401" s="5" t="e">
        <f>Planning[[#This Row],[Horas Planificadas]]+Planning[[#This Row],[Horas ajustadas adicionales]]-Planning[[#This Row],[Horas utilizadas]]</f>
        <v>#REF!</v>
      </c>
      <c r="L2401" s="7"/>
      <c r="M2401" s="19" t="e">
        <f>Planning[[#This Row],[Saldo]]-Planning[[#This Row],[Saldo estimado]]</f>
        <v>#REF!</v>
      </c>
      <c r="N2401" s="60" t="e">
        <f>+SUMIFS(#REF!,#REF!,Planning[[#This Row],[Proyectos]],#REF!,Planning[[#This Row],[Tipo de Tarea y especialidad]])</f>
        <v>#REF!</v>
      </c>
      <c r="O2401" s="19">
        <f t="shared" si="74"/>
        <v>10</v>
      </c>
      <c r="P2401" s="19">
        <f t="shared" si="75"/>
        <v>2024</v>
      </c>
      <c r="Q24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01" s="19" t="str">
        <f>TEXT(Planning[[#This Row],[Mes]]*29,"mmmm")</f>
        <v>October</v>
      </c>
      <c r="S24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01" s="193"/>
      <c r="U2401" s="43">
        <f>IF(Planning[[#This Row],[Horas Planificadas]]&lt;&gt;0,+K2401/Planning[[#This Row],[Horas Planificadas]],0)</f>
        <v>0</v>
      </c>
      <c r="V2401" s="43">
        <f>IF(Planning[[#This Row],[Horas Planificadas]]&lt;&gt;0,Planning[[#This Row],[Horas utilizadas]]/Planning[[#This Row],[Horas Planificadas]],0)</f>
        <v>0</v>
      </c>
      <c r="W2401" s="44">
        <f>Planning[[#This Row],[Horas Planificadas]]+Planning[[#This Row],[Horas ajustadas adicionales]]</f>
        <v>0</v>
      </c>
      <c r="X2401" s="142"/>
    </row>
    <row r="2402" spans="1:24" x14ac:dyDescent="0.2">
      <c r="A2402" s="7"/>
      <c r="B2402" s="7" t="s">
        <v>178</v>
      </c>
      <c r="C2402" s="3"/>
      <c r="D2402" s="3" t="s">
        <v>504</v>
      </c>
      <c r="E2402" s="4" t="s">
        <v>31</v>
      </c>
      <c r="F2402" s="3" t="s">
        <v>31</v>
      </c>
      <c r="G2402" s="9">
        <v>27</v>
      </c>
      <c r="H2402" s="17">
        <v>27</v>
      </c>
      <c r="I2402" s="18"/>
      <c r="J2402" s="14" t="e">
        <f>+SUMIFS(#REF!,#REF!,Planning[[#This Row],[Tarifa]],#REF!,Planning[[#This Row],[Proyectos]])</f>
        <v>#REF!</v>
      </c>
      <c r="K2402" s="14" t="e">
        <f>Planning[[#This Row],[Horas Planificadas]]+Planning[[#This Row],[Horas ajustadas adicionales]]-Planning[[#This Row],[Horas utilizadas]]</f>
        <v>#REF!</v>
      </c>
      <c r="L2402" s="15">
        <v>0</v>
      </c>
      <c r="M2402" s="16" t="e">
        <f>Planning[[#This Row],[Saldo]]-Planning[[#This Row],[Saldo estimado]]</f>
        <v>#REF!</v>
      </c>
      <c r="N2402" s="60" t="e">
        <f>+SUMIFS(#REF!,#REF!,Planning[[#This Row],[Proyectos]],#REF!,Planning[[#This Row],[Tipo de Tarea y especialidad]])</f>
        <v>#REF!</v>
      </c>
      <c r="O2402" s="16">
        <f t="shared" si="74"/>
        <v>10</v>
      </c>
      <c r="P2402" s="16">
        <f t="shared" si="75"/>
        <v>2024</v>
      </c>
      <c r="Q2402" s="16" t="e">
        <f>+SUMIFS(#REF!,#REF!,Planning[[#This Row],[Tarifa]],#REF!,Planning[[#This Row],[Proyectos]],#REF!,Planning[[#This Row],[Mes]],#REF!,Planning[[#This Row],[Año]])</f>
        <v>#REF!</v>
      </c>
      <c r="R2402" s="16" t="str">
        <f>TEXT(Planning[[#This Row],[Mes]]*29,"mmmm")</f>
        <v>October</v>
      </c>
      <c r="S24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02" s="193"/>
      <c r="U2402" s="43" t="e">
        <f>IF(Planning[[#This Row],[Horas Planificadas]]&lt;&gt;0,+K2402/Planning[[#This Row],[Horas Planificadas]],0)</f>
        <v>#REF!</v>
      </c>
      <c r="V2402" s="43" t="e">
        <f>IF(Planning[[#This Row],[Horas Planificadas]]&lt;&gt;0,Planning[[#This Row],[Horas utilizadas]]/Planning[[#This Row],[Horas Planificadas]],0)</f>
        <v>#REF!</v>
      </c>
      <c r="W2402" s="44">
        <f>Planning[[#This Row],[Horas Planificadas]]+Planning[[#This Row],[Horas ajustadas adicionales]]</f>
        <v>27</v>
      </c>
      <c r="X2402" s="142"/>
    </row>
    <row r="2403" spans="1:24" ht="22.5" x14ac:dyDescent="0.2">
      <c r="A2403" s="7"/>
      <c r="B2403" s="7" t="s">
        <v>178</v>
      </c>
      <c r="C2403" s="3"/>
      <c r="D2403" s="3" t="s">
        <v>504</v>
      </c>
      <c r="E2403" s="4" t="s">
        <v>32</v>
      </c>
      <c r="F2403" s="3"/>
      <c r="G2403" s="9">
        <v>30</v>
      </c>
      <c r="H2403" s="25">
        <f>SUM(H2404:H2406)</f>
        <v>30</v>
      </c>
      <c r="I2403" s="14"/>
      <c r="J2403" s="14" t="e">
        <f>SUM(J2404:J2406)</f>
        <v>#REF!</v>
      </c>
      <c r="K2403" s="18" t="e">
        <f>SUM(K2404:K2406)</f>
        <v>#REF!</v>
      </c>
      <c r="L2403" s="15">
        <f>SUM(L2404:L2406)</f>
        <v>0</v>
      </c>
      <c r="M2403" s="16" t="e">
        <f>SUM(M2404:M2406)</f>
        <v>#REF!</v>
      </c>
      <c r="N2403" s="60" t="e">
        <f>+SUMIFS(#REF!,#REF!,Planning[[#This Row],[Proyectos]],#REF!,Planning[[#This Row],[Tipo de Tarea y especialidad]])</f>
        <v>#REF!</v>
      </c>
      <c r="O2403" s="16">
        <f t="shared" si="74"/>
        <v>10</v>
      </c>
      <c r="P2403" s="16">
        <f t="shared" si="75"/>
        <v>2024</v>
      </c>
      <c r="Q2403" s="16" t="e">
        <f>SUM(Q2404:Q2406)</f>
        <v>#REF!</v>
      </c>
      <c r="R2403" s="16" t="str">
        <f>TEXT(Planning[[#This Row],[Mes]]*29,"mmmm")</f>
        <v>October</v>
      </c>
      <c r="S24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03" s="193"/>
      <c r="U2403" s="43" t="e">
        <f>IF(Planning[[#This Row],[Horas Planificadas]]&lt;&gt;0,+K2403/Planning[[#This Row],[Horas Planificadas]],0)</f>
        <v>#REF!</v>
      </c>
      <c r="V2403" s="43" t="e">
        <f>IF(Planning[[#This Row],[Horas Planificadas]]&lt;&gt;0,Planning[[#This Row],[Horas utilizadas]]/Planning[[#This Row],[Horas Planificadas]],0)</f>
        <v>#REF!</v>
      </c>
      <c r="W2403" s="44">
        <f>Planning[[#This Row],[Horas Planificadas]]+Planning[[#This Row],[Horas ajustadas adicionales]]</f>
        <v>30</v>
      </c>
      <c r="X2403" s="142"/>
    </row>
    <row r="2404" spans="1:24" x14ac:dyDescent="0.2">
      <c r="A2404" s="7"/>
      <c r="B2404" s="7" t="s">
        <v>178</v>
      </c>
      <c r="C2404" s="3"/>
      <c r="D2404" s="3" t="s">
        <v>504</v>
      </c>
      <c r="E2404" s="4"/>
      <c r="F2404" s="3" t="s">
        <v>129</v>
      </c>
      <c r="G2404" s="9"/>
      <c r="H2404" s="9"/>
      <c r="I2404" s="12"/>
      <c r="J2404" s="5" t="e">
        <f>SUM(SUMIFS(#REF!,#REF!,Planning[[#This Row],[Tipo de Tarea y especialidad]],#REF!,Planning[[#This Row],[Proyectos Reiwa]]),SUMIFS(#REF!,#REF!,Planning[[#This Row],[Tipo de Tarea y especialidad]],#REF!,Planning[[#This Row],[Proyectos]]))</f>
        <v>#REF!</v>
      </c>
      <c r="K2404" s="5" t="e">
        <f>Planning[[#This Row],[Horas Planificadas]]+Planning[[#This Row],[Horas ajustadas adicionales]]-Planning[[#This Row],[Horas utilizadas]]</f>
        <v>#REF!</v>
      </c>
      <c r="L2404" s="7"/>
      <c r="M2404" s="19" t="e">
        <f>Planning[[#This Row],[Saldo]]-Planning[[#This Row],[Saldo estimado]]</f>
        <v>#REF!</v>
      </c>
      <c r="N2404" s="60" t="e">
        <f>+SUMIFS(#REF!,#REF!,Planning[[#This Row],[Proyectos]],#REF!,Planning[[#This Row],[Tipo de Tarea y especialidad]])</f>
        <v>#REF!</v>
      </c>
      <c r="O2404" s="19">
        <f t="shared" si="74"/>
        <v>10</v>
      </c>
      <c r="P2404" s="19">
        <f t="shared" si="75"/>
        <v>2024</v>
      </c>
      <c r="Q24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04" s="19" t="str">
        <f>TEXT(Planning[[#This Row],[Mes]]*29,"mmmm")</f>
        <v>October</v>
      </c>
      <c r="S24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04" s="193"/>
      <c r="U2404" s="43">
        <f>IF(Planning[[#This Row],[Horas Planificadas]]&lt;&gt;0,+K2404/Planning[[#This Row],[Horas Planificadas]],0)</f>
        <v>0</v>
      </c>
      <c r="V2404" s="43">
        <f>IF(Planning[[#This Row],[Horas Planificadas]]&lt;&gt;0,Planning[[#This Row],[Horas utilizadas]]/Planning[[#This Row],[Horas Planificadas]],0)</f>
        <v>0</v>
      </c>
      <c r="W2404" s="44">
        <f>Planning[[#This Row],[Horas Planificadas]]+Planning[[#This Row],[Horas ajustadas adicionales]]</f>
        <v>0</v>
      </c>
      <c r="X2404" s="142"/>
    </row>
    <row r="2405" spans="1:24" x14ac:dyDescent="0.2">
      <c r="A2405" s="7"/>
      <c r="B2405" s="7" t="s">
        <v>178</v>
      </c>
      <c r="C2405" s="3"/>
      <c r="D2405" s="3" t="s">
        <v>504</v>
      </c>
      <c r="E2405" s="4"/>
      <c r="F2405" s="3" t="s">
        <v>130</v>
      </c>
      <c r="G2405" s="9"/>
      <c r="H2405" s="9">
        <v>30</v>
      </c>
      <c r="I2405" s="12"/>
      <c r="J2405" s="5" t="e">
        <f>SUM(SUMIFS(#REF!,#REF!,Planning[[#This Row],[Tipo de Tarea y especialidad]],#REF!,Planning[[#This Row],[Proyectos Reiwa]]),SUMIFS(#REF!,#REF!,Planning[[#This Row],[Tipo de Tarea y especialidad]],#REF!,Planning[[#This Row],[Proyectos]]))</f>
        <v>#REF!</v>
      </c>
      <c r="K2405" s="5" t="e">
        <f>Planning[[#This Row],[Horas Planificadas]]+Planning[[#This Row],[Horas ajustadas adicionales]]-Planning[[#This Row],[Horas utilizadas]]</f>
        <v>#REF!</v>
      </c>
      <c r="L2405" s="7">
        <v>0</v>
      </c>
      <c r="M2405" s="19" t="e">
        <f>Planning[[#This Row],[Saldo]]-Planning[[#This Row],[Saldo estimado]]</f>
        <v>#REF!</v>
      </c>
      <c r="N2405" s="60" t="e">
        <f>+SUMIFS(#REF!,#REF!,Planning[[#This Row],[Proyectos]],#REF!,Planning[[#This Row],[Tipo de Tarea y especialidad]])</f>
        <v>#REF!</v>
      </c>
      <c r="O2405" s="19">
        <f t="shared" si="74"/>
        <v>10</v>
      </c>
      <c r="P2405" s="19">
        <f t="shared" si="75"/>
        <v>2024</v>
      </c>
      <c r="Q24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05" s="19" t="str">
        <f>TEXT(Planning[[#This Row],[Mes]]*29,"mmmm")</f>
        <v>October</v>
      </c>
      <c r="S24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05" s="193"/>
      <c r="U2405" s="43" t="e">
        <f>IF(Planning[[#This Row],[Horas Planificadas]]&lt;&gt;0,+K2405/Planning[[#This Row],[Horas Planificadas]],0)</f>
        <v>#REF!</v>
      </c>
      <c r="V2405" s="43" t="e">
        <f>IF(Planning[[#This Row],[Horas Planificadas]]&lt;&gt;0,Planning[[#This Row],[Horas utilizadas]]/Planning[[#This Row],[Horas Planificadas]],0)</f>
        <v>#REF!</v>
      </c>
      <c r="W2405" s="44">
        <f>Planning[[#This Row],[Horas Planificadas]]+Planning[[#This Row],[Horas ajustadas adicionales]]</f>
        <v>30</v>
      </c>
      <c r="X2405" s="142"/>
    </row>
    <row r="2406" spans="1:24" x14ac:dyDescent="0.2">
      <c r="A2406" s="7"/>
      <c r="B2406" s="7" t="s">
        <v>178</v>
      </c>
      <c r="C2406" s="3"/>
      <c r="D2406" s="3" t="s">
        <v>504</v>
      </c>
      <c r="E2406" s="4"/>
      <c r="F2406" s="3" t="s">
        <v>131</v>
      </c>
      <c r="G2406" s="9"/>
      <c r="H2406" s="9"/>
      <c r="I2406" s="12"/>
      <c r="J2406" s="5" t="e">
        <f>SUM(SUMIFS(#REF!,#REF!,Planning[[#This Row],[Tipo de Tarea y especialidad]],#REF!,Planning[[#This Row],[Proyectos Reiwa]]),SUMIFS(#REF!,#REF!,Planning[[#This Row],[Tipo de Tarea y especialidad]],#REF!,Planning[[#This Row],[Proyectos]]))</f>
        <v>#REF!</v>
      </c>
      <c r="K2406" s="5" t="e">
        <f>Planning[[#This Row],[Horas Planificadas]]+Planning[[#This Row],[Horas ajustadas adicionales]]-Planning[[#This Row],[Horas utilizadas]]</f>
        <v>#REF!</v>
      </c>
      <c r="L2406" s="7"/>
      <c r="M2406" s="19" t="e">
        <f>Planning[[#This Row],[Saldo]]-Planning[[#This Row],[Saldo estimado]]</f>
        <v>#REF!</v>
      </c>
      <c r="N2406" s="60" t="e">
        <f>+SUMIFS(#REF!,#REF!,Planning[[#This Row],[Proyectos]],#REF!,Planning[[#This Row],[Tipo de Tarea y especialidad]])</f>
        <v>#REF!</v>
      </c>
      <c r="O2406" s="19">
        <f t="shared" si="74"/>
        <v>10</v>
      </c>
      <c r="P2406" s="19">
        <f t="shared" si="75"/>
        <v>2024</v>
      </c>
      <c r="Q24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06" s="19" t="str">
        <f>TEXT(Planning[[#This Row],[Mes]]*29,"mmmm")</f>
        <v>October</v>
      </c>
      <c r="S24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06" s="193"/>
      <c r="U2406" s="43">
        <f>IF(Planning[[#This Row],[Horas Planificadas]]&lt;&gt;0,+K2406/Planning[[#This Row],[Horas Planificadas]],0)</f>
        <v>0</v>
      </c>
      <c r="V2406" s="43">
        <f>IF(Planning[[#This Row],[Horas Planificadas]]&lt;&gt;0,Planning[[#This Row],[Horas utilizadas]]/Planning[[#This Row],[Horas Planificadas]],0)</f>
        <v>0</v>
      </c>
      <c r="W2406" s="44">
        <f>Planning[[#This Row],[Horas Planificadas]]+Planning[[#This Row],[Horas ajustadas adicionales]]</f>
        <v>0</v>
      </c>
      <c r="X2406" s="142"/>
    </row>
    <row r="2407" spans="1:24" ht="22.5" x14ac:dyDescent="0.2">
      <c r="A2407" s="7" t="s">
        <v>294</v>
      </c>
      <c r="B2407" s="7" t="s">
        <v>178</v>
      </c>
      <c r="C2407" s="3"/>
      <c r="D2407" s="3" t="s">
        <v>506</v>
      </c>
      <c r="E2407" s="4" t="s">
        <v>28</v>
      </c>
      <c r="F2407" s="3"/>
      <c r="G2407" s="9">
        <v>0</v>
      </c>
      <c r="H2407" s="14">
        <f>SUM(H2408:H2409)</f>
        <v>0</v>
      </c>
      <c r="I2407" s="14"/>
      <c r="J2407" s="14" t="e">
        <f>SUM(J2408:J2409)</f>
        <v>#REF!</v>
      </c>
      <c r="K2407" s="15" t="e">
        <f>SUM(K2408:K2409)</f>
        <v>#REF!</v>
      </c>
      <c r="L2407" s="15">
        <f>SUM(L2408:L2409)</f>
        <v>0</v>
      </c>
      <c r="M2407" s="28" t="e">
        <f>SUM(M2408:M2409)</f>
        <v>#REF!</v>
      </c>
      <c r="N2407" s="61" t="e">
        <f>+SUMIFS(#REF!,#REF!,Planning[[#This Row],[Proyectos]],#REF!,Planning[[#This Row],[Tipo de Tarea y especialidad]])</f>
        <v>#REF!</v>
      </c>
      <c r="O2407" s="28">
        <f t="shared" si="74"/>
        <v>10</v>
      </c>
      <c r="P2407" s="28">
        <f t="shared" si="75"/>
        <v>2024</v>
      </c>
      <c r="Q2407" s="28" t="e">
        <f>SUM(Q2408:Q2409)</f>
        <v>#REF!</v>
      </c>
      <c r="R2407" s="28" t="str">
        <f>TEXT(Planning[[#This Row],[Mes]]*29,"mmmm")</f>
        <v>October</v>
      </c>
      <c r="S24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07" s="192" t="s">
        <v>507</v>
      </c>
      <c r="U2407" s="43">
        <f>IF(Planning[[#This Row],[Horas Planificadas]]&lt;&gt;0,+K2407/Planning[[#This Row],[Horas Planificadas]],0)</f>
        <v>0</v>
      </c>
      <c r="V2407" s="43">
        <f>IF(Planning[[#This Row],[Horas Planificadas]]&lt;&gt;0,Planning[[#This Row],[Horas utilizadas]]/Planning[[#This Row],[Horas Planificadas]],0)</f>
        <v>0</v>
      </c>
      <c r="W2407" s="44">
        <f>Planning[[#This Row],[Horas Planificadas]]+Planning[[#This Row],[Horas ajustadas adicionales]]</f>
        <v>0</v>
      </c>
      <c r="X2407" s="142"/>
    </row>
    <row r="2408" spans="1:24" x14ac:dyDescent="0.2">
      <c r="A2408" s="7" t="s">
        <v>294</v>
      </c>
      <c r="B2408" s="7" t="s">
        <v>178</v>
      </c>
      <c r="C2408" s="3"/>
      <c r="D2408" s="3" t="s">
        <v>506</v>
      </c>
      <c r="E2408" s="4"/>
      <c r="F2408" s="3" t="s">
        <v>120</v>
      </c>
      <c r="G2408" s="9"/>
      <c r="H2408" s="9"/>
      <c r="I2408" s="12"/>
      <c r="J2408" s="5" t="e">
        <f>SUM(SUMIFS(#REF!,#REF!,Planning[[#This Row],[Tipo de Tarea y especialidad]],#REF!,Planning[[#This Row],[Proyectos Reiwa]]),SUMIFS(#REF!,#REF!,Planning[[#This Row],[Tipo de Tarea y especialidad]],#REF!,Planning[[#This Row],[Proyectos]]))</f>
        <v>#REF!</v>
      </c>
      <c r="K2408" s="5" t="e">
        <f>Planning[[#This Row],[Horas Planificadas]]+Planning[[#This Row],[Horas ajustadas adicionales]]-Planning[[#This Row],[Horas utilizadas]]</f>
        <v>#REF!</v>
      </c>
      <c r="L2408" s="7"/>
      <c r="M2408" s="19" t="e">
        <f>Planning[[#This Row],[Saldo]]-Planning[[#This Row],[Saldo estimado]]</f>
        <v>#REF!</v>
      </c>
      <c r="N2408" s="60" t="e">
        <f>+SUMIFS(#REF!,#REF!,Planning[[#This Row],[Proyectos]],#REF!,Planning[[#This Row],[Tipo de Tarea y especialidad]])</f>
        <v>#REF!</v>
      </c>
      <c r="O2408" s="19">
        <f t="shared" si="74"/>
        <v>10</v>
      </c>
      <c r="P2408" s="19">
        <f t="shared" si="75"/>
        <v>2024</v>
      </c>
      <c r="Q24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08" s="19" t="str">
        <f>TEXT(Planning[[#This Row],[Mes]]*29,"mmmm")</f>
        <v>October</v>
      </c>
      <c r="S24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08" s="193"/>
      <c r="U2408" s="43">
        <f>IF(Planning[[#This Row],[Horas Planificadas]]&lt;&gt;0,+K2408/Planning[[#This Row],[Horas Planificadas]],0)</f>
        <v>0</v>
      </c>
      <c r="V2408" s="43">
        <f>IF(Planning[[#This Row],[Horas Planificadas]]&lt;&gt;0,Planning[[#This Row],[Horas utilizadas]]/Planning[[#This Row],[Horas Planificadas]],0)</f>
        <v>0</v>
      </c>
      <c r="W2408" s="44">
        <f>Planning[[#This Row],[Horas Planificadas]]+Planning[[#This Row],[Horas ajustadas adicionales]]</f>
        <v>0</v>
      </c>
      <c r="X2408" s="142"/>
    </row>
    <row r="2409" spans="1:24" x14ac:dyDescent="0.2">
      <c r="A2409" s="7" t="s">
        <v>294</v>
      </c>
      <c r="B2409" s="7" t="s">
        <v>178</v>
      </c>
      <c r="C2409" s="3"/>
      <c r="D2409" s="3" t="s">
        <v>506</v>
      </c>
      <c r="E2409" s="4"/>
      <c r="F2409" s="3" t="s">
        <v>121</v>
      </c>
      <c r="G2409" s="9"/>
      <c r="H2409" s="9"/>
      <c r="I2409" s="12"/>
      <c r="J2409" s="5" t="e">
        <f>SUM(SUMIFS(#REF!,#REF!,Planning[[#This Row],[Tipo de Tarea y especialidad]],#REF!,Planning[[#This Row],[Proyectos Reiwa]]),SUMIFS(#REF!,#REF!,Planning[[#This Row],[Tipo de Tarea y especialidad]],#REF!,Planning[[#This Row],[Proyectos]]))</f>
        <v>#REF!</v>
      </c>
      <c r="K2409" s="5" t="e">
        <f>Planning[[#This Row],[Horas Planificadas]]+Planning[[#This Row],[Horas ajustadas adicionales]]-Planning[[#This Row],[Horas utilizadas]]</f>
        <v>#REF!</v>
      </c>
      <c r="L2409" s="7"/>
      <c r="M2409" s="19" t="e">
        <f>Planning[[#This Row],[Saldo]]-Planning[[#This Row],[Saldo estimado]]</f>
        <v>#REF!</v>
      </c>
      <c r="N2409" s="60" t="e">
        <f>+SUMIFS(#REF!,#REF!,Planning[[#This Row],[Proyectos]],#REF!,Planning[[#This Row],[Tipo de Tarea y especialidad]])</f>
        <v>#REF!</v>
      </c>
      <c r="O2409" s="19">
        <f t="shared" si="74"/>
        <v>10</v>
      </c>
      <c r="P2409" s="19">
        <f t="shared" si="75"/>
        <v>2024</v>
      </c>
      <c r="Q24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09" s="19" t="str">
        <f>TEXT(Planning[[#This Row],[Mes]]*29,"mmmm")</f>
        <v>October</v>
      </c>
      <c r="S24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09" s="193"/>
      <c r="U2409" s="43">
        <f>IF(Planning[[#This Row],[Horas Planificadas]]&lt;&gt;0,+K2409/Planning[[#This Row],[Horas Planificadas]],0)</f>
        <v>0</v>
      </c>
      <c r="V2409" s="43">
        <f>IF(Planning[[#This Row],[Horas Planificadas]]&lt;&gt;0,Planning[[#This Row],[Horas utilizadas]]/Planning[[#This Row],[Horas Planificadas]],0)</f>
        <v>0</v>
      </c>
      <c r="W2409" s="44">
        <f>Planning[[#This Row],[Horas Planificadas]]+Planning[[#This Row],[Horas ajustadas adicionales]]</f>
        <v>0</v>
      </c>
      <c r="X2409" s="142"/>
    </row>
    <row r="2410" spans="1:24" x14ac:dyDescent="0.2">
      <c r="A2410" s="7" t="s">
        <v>294</v>
      </c>
      <c r="B2410" s="7" t="s">
        <v>178</v>
      </c>
      <c r="C2410" s="3"/>
      <c r="D2410" s="3" t="s">
        <v>506</v>
      </c>
      <c r="E2410" s="4" t="s">
        <v>30</v>
      </c>
      <c r="F2410" s="3"/>
      <c r="G2410" s="9">
        <v>287</v>
      </c>
      <c r="H2410" s="25">
        <f>SUM(H2411:H2417)</f>
        <v>288</v>
      </c>
      <c r="I2410" s="14"/>
      <c r="J2410" s="14" t="e">
        <f>SUM(J2411:J2417)</f>
        <v>#REF!</v>
      </c>
      <c r="K2410" s="18" t="e">
        <f>SUM(K2411:K2417)</f>
        <v>#REF!</v>
      </c>
      <c r="L2410" s="15">
        <f>SUM(L2411:L2417)</f>
        <v>0</v>
      </c>
      <c r="M2410" s="16" t="e">
        <f>SUM(M2411:M2417)</f>
        <v>#REF!</v>
      </c>
      <c r="N2410" s="60" t="e">
        <f>+SUMIFS(#REF!,#REF!,Planning[[#This Row],[Proyectos]],#REF!,Planning[[#This Row],[Tipo de Tarea y especialidad]])</f>
        <v>#REF!</v>
      </c>
      <c r="O2410" s="16">
        <f t="shared" si="74"/>
        <v>10</v>
      </c>
      <c r="P2410" s="16">
        <f t="shared" si="75"/>
        <v>2024</v>
      </c>
      <c r="Q2410" s="16" t="e">
        <f>SUM(Q2411:Q2417)</f>
        <v>#REF!</v>
      </c>
      <c r="R2410" s="16" t="str">
        <f>TEXT(Planning[[#This Row],[Mes]]*29,"mmmm")</f>
        <v>October</v>
      </c>
      <c r="S24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10" s="193"/>
      <c r="U2410" s="43" t="e">
        <f>IF(Planning[[#This Row],[Horas Planificadas]]&lt;&gt;0,+K2410/Planning[[#This Row],[Horas Planificadas]],0)</f>
        <v>#REF!</v>
      </c>
      <c r="V2410" s="43" t="e">
        <f>IF(Planning[[#This Row],[Horas Planificadas]]&lt;&gt;0,Planning[[#This Row],[Horas utilizadas]]/Planning[[#This Row],[Horas Planificadas]],0)</f>
        <v>#REF!</v>
      </c>
      <c r="W2410" s="44">
        <f>Planning[[#This Row],[Horas Planificadas]]+Planning[[#This Row],[Horas ajustadas adicionales]]</f>
        <v>288</v>
      </c>
      <c r="X2410" s="142"/>
    </row>
    <row r="2411" spans="1:24" x14ac:dyDescent="0.2">
      <c r="A2411" s="7" t="s">
        <v>294</v>
      </c>
      <c r="B2411" s="7" t="s">
        <v>178</v>
      </c>
      <c r="C2411" s="3"/>
      <c r="D2411" s="3" t="s">
        <v>506</v>
      </c>
      <c r="E2411" s="4"/>
      <c r="F2411" s="3" t="s">
        <v>122</v>
      </c>
      <c r="G2411" s="9"/>
      <c r="H2411" s="12">
        <v>171</v>
      </c>
      <c r="I2411" s="12"/>
      <c r="J2411" s="5" t="e">
        <f>SUM(SUMIFS(#REF!,#REF!,Planning[[#This Row],[Tipo de Tarea y especialidad]],#REF!,Planning[[#This Row],[Proyectos Reiwa]]),SUMIFS(#REF!,#REF!,Planning[[#This Row],[Tipo de Tarea y especialidad]],#REF!,Planning[[#This Row],[Proyectos]]))</f>
        <v>#REF!</v>
      </c>
      <c r="K2411" s="27" t="e">
        <f>Planning[[#This Row],[Horas Planificadas]]+Planning[[#This Row],[Horas ajustadas adicionales]]-Planning[[#This Row],[Horas utilizadas]]</f>
        <v>#REF!</v>
      </c>
      <c r="L2411" s="7">
        <v>0</v>
      </c>
      <c r="M2411" s="34" t="e">
        <f>Planning[[#This Row],[Saldo]]-Planning[[#This Row],[Saldo estimado]]</f>
        <v>#REF!</v>
      </c>
      <c r="N2411" s="62" t="e">
        <f>+SUMIFS(#REF!,#REF!,Planning[[#This Row],[Proyectos]],#REF!,Planning[[#This Row],[Tipo de Tarea y especialidad]])</f>
        <v>#REF!</v>
      </c>
      <c r="O2411" s="34">
        <f t="shared" si="74"/>
        <v>10</v>
      </c>
      <c r="P2411" s="34">
        <f t="shared" si="75"/>
        <v>2024</v>
      </c>
      <c r="Q24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11" s="19" t="str">
        <f>TEXT(Planning[[#This Row],[Mes]]*29,"mmmm")</f>
        <v>October</v>
      </c>
      <c r="S24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11" s="193"/>
      <c r="U2411" s="43" t="e">
        <f>IF(Planning[[#This Row],[Horas Planificadas]]&lt;&gt;0,+K2411/Planning[[#This Row],[Horas Planificadas]],0)</f>
        <v>#REF!</v>
      </c>
      <c r="V2411" s="43" t="e">
        <f>IF(Planning[[#This Row],[Horas Planificadas]]&lt;&gt;0,Planning[[#This Row],[Horas utilizadas]]/Planning[[#This Row],[Horas Planificadas]],0)</f>
        <v>#REF!</v>
      </c>
      <c r="W2411" s="44">
        <f>Planning[[#This Row],[Horas Planificadas]]+Planning[[#This Row],[Horas ajustadas adicionales]]</f>
        <v>171</v>
      </c>
      <c r="X2411" s="142"/>
    </row>
    <row r="2412" spans="1:24" x14ac:dyDescent="0.2">
      <c r="A2412" s="7" t="s">
        <v>294</v>
      </c>
      <c r="B2412" s="7" t="s">
        <v>178</v>
      </c>
      <c r="C2412" s="3"/>
      <c r="D2412" s="3" t="s">
        <v>506</v>
      </c>
      <c r="E2412" s="4"/>
      <c r="F2412" s="3" t="s">
        <v>123</v>
      </c>
      <c r="G2412" s="9"/>
      <c r="H2412" s="9">
        <v>117</v>
      </c>
      <c r="I2412" s="12"/>
      <c r="J2412" s="5" t="e">
        <f>SUM(SUMIFS(#REF!,#REF!,Planning[[#This Row],[Tipo de Tarea y especialidad]],#REF!,Planning[[#This Row],[Proyectos Reiwa]]),SUMIFS(#REF!,#REF!,Planning[[#This Row],[Tipo de Tarea y especialidad]],#REF!,Planning[[#This Row],[Proyectos]]))</f>
        <v>#REF!</v>
      </c>
      <c r="K2412" s="5" t="e">
        <f>Planning[[#This Row],[Horas Planificadas]]+Planning[[#This Row],[Horas ajustadas adicionales]]-Planning[[#This Row],[Horas utilizadas]]</f>
        <v>#REF!</v>
      </c>
      <c r="L2412" s="7">
        <v>0</v>
      </c>
      <c r="M2412" s="19" t="e">
        <f>Planning[[#This Row],[Saldo]]-Planning[[#This Row],[Saldo estimado]]</f>
        <v>#REF!</v>
      </c>
      <c r="N2412" s="60" t="e">
        <f>+SUMIFS(#REF!,#REF!,Planning[[#This Row],[Proyectos]],#REF!,Planning[[#This Row],[Tipo de Tarea y especialidad]])</f>
        <v>#REF!</v>
      </c>
      <c r="O2412" s="19">
        <f t="shared" si="74"/>
        <v>10</v>
      </c>
      <c r="P2412" s="19">
        <f t="shared" si="75"/>
        <v>2024</v>
      </c>
      <c r="Q24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12" s="19" t="str">
        <f>TEXT(Planning[[#This Row],[Mes]]*29,"mmmm")</f>
        <v>October</v>
      </c>
      <c r="S24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12" s="193"/>
      <c r="U2412" s="43" t="e">
        <f>IF(Planning[[#This Row],[Horas Planificadas]]&lt;&gt;0,+K2412/Planning[[#This Row],[Horas Planificadas]],0)</f>
        <v>#REF!</v>
      </c>
      <c r="V2412" s="43" t="e">
        <f>IF(Planning[[#This Row],[Horas Planificadas]]&lt;&gt;0,Planning[[#This Row],[Horas utilizadas]]/Planning[[#This Row],[Horas Planificadas]],0)</f>
        <v>#REF!</v>
      </c>
      <c r="W2412" s="44">
        <f>Planning[[#This Row],[Horas Planificadas]]+Planning[[#This Row],[Horas ajustadas adicionales]]</f>
        <v>117</v>
      </c>
      <c r="X2412" s="142"/>
    </row>
    <row r="2413" spans="1:24" x14ac:dyDescent="0.2">
      <c r="A2413" s="7" t="s">
        <v>294</v>
      </c>
      <c r="B2413" s="7" t="s">
        <v>178</v>
      </c>
      <c r="C2413" s="3"/>
      <c r="D2413" s="3" t="s">
        <v>506</v>
      </c>
      <c r="E2413" s="4"/>
      <c r="F2413" s="3" t="s">
        <v>124</v>
      </c>
      <c r="G2413" s="9"/>
      <c r="H2413" s="9"/>
      <c r="I2413" s="12"/>
      <c r="J2413" s="5" t="e">
        <f>SUM(SUMIFS(#REF!,#REF!,Planning[[#This Row],[Tipo de Tarea y especialidad]],#REF!,Planning[[#This Row],[Proyectos Reiwa]]),SUMIFS(#REF!,#REF!,Planning[[#This Row],[Tipo de Tarea y especialidad]],#REF!,Planning[[#This Row],[Proyectos]]))</f>
        <v>#REF!</v>
      </c>
      <c r="K2413" s="5" t="e">
        <f>Planning[[#This Row],[Horas Planificadas]]+Planning[[#This Row],[Horas ajustadas adicionales]]-Planning[[#This Row],[Horas utilizadas]]</f>
        <v>#REF!</v>
      </c>
      <c r="L2413" s="7"/>
      <c r="M2413" s="19" t="e">
        <f>Planning[[#This Row],[Saldo]]-Planning[[#This Row],[Saldo estimado]]</f>
        <v>#REF!</v>
      </c>
      <c r="N2413" s="60" t="e">
        <f>+SUMIFS(#REF!,#REF!,Planning[[#This Row],[Proyectos]],#REF!,Planning[[#This Row],[Tipo de Tarea y especialidad]])</f>
        <v>#REF!</v>
      </c>
      <c r="O2413" s="19">
        <f t="shared" si="74"/>
        <v>10</v>
      </c>
      <c r="P2413" s="19">
        <f t="shared" si="75"/>
        <v>2024</v>
      </c>
      <c r="Q24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13" s="19" t="str">
        <f>TEXT(Planning[[#This Row],[Mes]]*29,"mmmm")</f>
        <v>October</v>
      </c>
      <c r="S24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13" s="193"/>
      <c r="U2413" s="43">
        <f>IF(Planning[[#This Row],[Horas Planificadas]]&lt;&gt;0,+K2413/Planning[[#This Row],[Horas Planificadas]],0)</f>
        <v>0</v>
      </c>
      <c r="V2413" s="43">
        <f>IF(Planning[[#This Row],[Horas Planificadas]]&lt;&gt;0,Planning[[#This Row],[Horas utilizadas]]/Planning[[#This Row],[Horas Planificadas]],0)</f>
        <v>0</v>
      </c>
      <c r="W2413" s="44">
        <f>Planning[[#This Row],[Horas Planificadas]]+Planning[[#This Row],[Horas ajustadas adicionales]]</f>
        <v>0</v>
      </c>
      <c r="X2413" s="142"/>
    </row>
    <row r="2414" spans="1:24" x14ac:dyDescent="0.2">
      <c r="A2414" s="7" t="s">
        <v>294</v>
      </c>
      <c r="B2414" s="7" t="s">
        <v>178</v>
      </c>
      <c r="C2414" s="3"/>
      <c r="D2414" s="3" t="s">
        <v>506</v>
      </c>
      <c r="E2414" s="4"/>
      <c r="F2414" s="3" t="s">
        <v>125</v>
      </c>
      <c r="G2414" s="9"/>
      <c r="H2414" s="12"/>
      <c r="I2414" s="12"/>
      <c r="J2414" s="5" t="e">
        <f>SUM(SUMIFS(#REF!,#REF!,Planning[[#This Row],[Tipo de Tarea y especialidad]],#REF!,Planning[[#This Row],[Proyectos Reiwa]]),SUMIFS(#REF!,#REF!,Planning[[#This Row],[Tipo de Tarea y especialidad]],#REF!,Planning[[#This Row],[Proyectos]]))</f>
        <v>#REF!</v>
      </c>
      <c r="K2414" s="27" t="e">
        <f>Planning[[#This Row],[Horas Planificadas]]+Planning[[#This Row],[Horas ajustadas adicionales]]-Planning[[#This Row],[Horas utilizadas]]</f>
        <v>#REF!</v>
      </c>
      <c r="L2414" s="7">
        <v>0</v>
      </c>
      <c r="M2414" s="19" t="e">
        <f>Planning[[#This Row],[Saldo]]-Planning[[#This Row],[Saldo estimado]]</f>
        <v>#REF!</v>
      </c>
      <c r="N2414" s="60" t="e">
        <f>+SUMIFS(#REF!,#REF!,Planning[[#This Row],[Proyectos]],#REF!,Planning[[#This Row],[Tipo de Tarea y especialidad]])</f>
        <v>#REF!</v>
      </c>
      <c r="O2414" s="19">
        <f t="shared" si="74"/>
        <v>10</v>
      </c>
      <c r="P2414" s="19">
        <f t="shared" si="75"/>
        <v>2024</v>
      </c>
      <c r="Q24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14" s="19" t="str">
        <f>TEXT(Planning[[#This Row],[Mes]]*29,"mmmm")</f>
        <v>October</v>
      </c>
      <c r="S24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14" s="193"/>
      <c r="U2414" s="43">
        <f>IF(Planning[[#This Row],[Horas Planificadas]]&lt;&gt;0,+K2414/Planning[[#This Row],[Horas Planificadas]],0)</f>
        <v>0</v>
      </c>
      <c r="V2414" s="43">
        <f>IF(Planning[[#This Row],[Horas Planificadas]]&lt;&gt;0,Planning[[#This Row],[Horas utilizadas]]/Planning[[#This Row],[Horas Planificadas]],0)</f>
        <v>0</v>
      </c>
      <c r="W2414" s="44">
        <f>Planning[[#This Row],[Horas Planificadas]]+Planning[[#This Row],[Horas ajustadas adicionales]]</f>
        <v>0</v>
      </c>
      <c r="X2414" s="142"/>
    </row>
    <row r="2415" spans="1:24" x14ac:dyDescent="0.2">
      <c r="A2415" s="7" t="s">
        <v>294</v>
      </c>
      <c r="B2415" s="7" t="s">
        <v>178</v>
      </c>
      <c r="C2415" s="3"/>
      <c r="D2415" s="3" t="s">
        <v>506</v>
      </c>
      <c r="E2415" s="4"/>
      <c r="F2415" s="3" t="s">
        <v>126</v>
      </c>
      <c r="G2415" s="9"/>
      <c r="H2415" s="9"/>
      <c r="I2415" s="12"/>
      <c r="J2415" s="5" t="e">
        <f>SUM(SUMIFS(#REF!,#REF!,Planning[[#This Row],[Tipo de Tarea y especialidad]],#REF!,Planning[[#This Row],[Proyectos Reiwa]]),SUMIFS(#REF!,#REF!,Planning[[#This Row],[Tipo de Tarea y especialidad]],#REF!,Planning[[#This Row],[Proyectos]]))</f>
        <v>#REF!</v>
      </c>
      <c r="K2415" s="5" t="e">
        <f>Planning[[#This Row],[Horas Planificadas]]+Planning[[#This Row],[Horas ajustadas adicionales]]-Planning[[#This Row],[Horas utilizadas]]</f>
        <v>#REF!</v>
      </c>
      <c r="L2415" s="7">
        <v>0</v>
      </c>
      <c r="M2415" s="19" t="e">
        <f>Planning[[#This Row],[Saldo]]-Planning[[#This Row],[Saldo estimado]]</f>
        <v>#REF!</v>
      </c>
      <c r="N2415" s="60" t="e">
        <f>+SUMIFS(#REF!,#REF!,Planning[[#This Row],[Proyectos]],#REF!,Planning[[#This Row],[Tipo de Tarea y especialidad]])</f>
        <v>#REF!</v>
      </c>
      <c r="O2415" s="19">
        <f t="shared" si="74"/>
        <v>10</v>
      </c>
      <c r="P2415" s="19">
        <f t="shared" si="75"/>
        <v>2024</v>
      </c>
      <c r="Q24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15" s="19" t="str">
        <f>TEXT(Planning[[#This Row],[Mes]]*29,"mmmm")</f>
        <v>October</v>
      </c>
      <c r="S24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15" s="193"/>
      <c r="U2415" s="43">
        <f>IF(Planning[[#This Row],[Horas Planificadas]]&lt;&gt;0,+K2415/Planning[[#This Row],[Horas Planificadas]],0)</f>
        <v>0</v>
      </c>
      <c r="V2415" s="43">
        <f>IF(Planning[[#This Row],[Horas Planificadas]]&lt;&gt;0,Planning[[#This Row],[Horas utilizadas]]/Planning[[#This Row],[Horas Planificadas]],0)</f>
        <v>0</v>
      </c>
      <c r="W2415" s="44">
        <f>Planning[[#This Row],[Horas Planificadas]]+Planning[[#This Row],[Horas ajustadas adicionales]]</f>
        <v>0</v>
      </c>
      <c r="X2415" s="142"/>
    </row>
    <row r="2416" spans="1:24" x14ac:dyDescent="0.2">
      <c r="A2416" s="7" t="s">
        <v>294</v>
      </c>
      <c r="B2416" s="7" t="s">
        <v>178</v>
      </c>
      <c r="C2416" s="3"/>
      <c r="D2416" s="3" t="s">
        <v>506</v>
      </c>
      <c r="E2416" s="4"/>
      <c r="F2416" s="3" t="s">
        <v>127</v>
      </c>
      <c r="G2416" s="9"/>
      <c r="H2416" s="9"/>
      <c r="I2416" s="12"/>
      <c r="J2416" s="5" t="e">
        <f>SUM(SUMIFS(#REF!,#REF!,Planning[[#This Row],[Tipo de Tarea y especialidad]],#REF!,Planning[[#This Row],[Proyectos Reiwa]]),SUMIFS(#REF!,#REF!,Planning[[#This Row],[Tipo de Tarea y especialidad]],#REF!,Planning[[#This Row],[Proyectos]]))</f>
        <v>#REF!</v>
      </c>
      <c r="K2416" s="5" t="e">
        <f>Planning[[#This Row],[Horas Planificadas]]+Planning[[#This Row],[Horas ajustadas adicionales]]-Planning[[#This Row],[Horas utilizadas]]</f>
        <v>#REF!</v>
      </c>
      <c r="L2416" s="7"/>
      <c r="M2416" s="19" t="e">
        <f>Planning[[#This Row],[Saldo]]-Planning[[#This Row],[Saldo estimado]]</f>
        <v>#REF!</v>
      </c>
      <c r="N2416" s="60" t="e">
        <f>+SUMIFS(#REF!,#REF!,Planning[[#This Row],[Proyectos]],#REF!,Planning[[#This Row],[Tipo de Tarea y especialidad]])</f>
        <v>#REF!</v>
      </c>
      <c r="O2416" s="19">
        <f t="shared" si="74"/>
        <v>10</v>
      </c>
      <c r="P2416" s="19">
        <f t="shared" si="75"/>
        <v>2024</v>
      </c>
      <c r="Q24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16" s="19" t="str">
        <f>TEXT(Planning[[#This Row],[Mes]]*29,"mmmm")</f>
        <v>October</v>
      </c>
      <c r="S24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16" s="193"/>
      <c r="U2416" s="43">
        <f>IF(Planning[[#This Row],[Horas Planificadas]]&lt;&gt;0,+K2416/Planning[[#This Row],[Horas Planificadas]],0)</f>
        <v>0</v>
      </c>
      <c r="V2416" s="43">
        <f>IF(Planning[[#This Row],[Horas Planificadas]]&lt;&gt;0,Planning[[#This Row],[Horas utilizadas]]/Planning[[#This Row],[Horas Planificadas]],0)</f>
        <v>0</v>
      </c>
      <c r="W2416" s="44">
        <f>Planning[[#This Row],[Horas Planificadas]]+Planning[[#This Row],[Horas ajustadas adicionales]]</f>
        <v>0</v>
      </c>
      <c r="X2416" s="142"/>
    </row>
    <row r="2417" spans="1:24" x14ac:dyDescent="0.2">
      <c r="A2417" s="7" t="s">
        <v>294</v>
      </c>
      <c r="B2417" s="7" t="s">
        <v>178</v>
      </c>
      <c r="C2417" s="3"/>
      <c r="D2417" s="3" t="s">
        <v>506</v>
      </c>
      <c r="E2417" s="4"/>
      <c r="F2417" s="3" t="s">
        <v>128</v>
      </c>
      <c r="G2417" s="9"/>
      <c r="H2417" s="9"/>
      <c r="I2417" s="12"/>
      <c r="J2417" s="5" t="e">
        <f>SUM(SUMIFS(#REF!,#REF!,Planning[[#This Row],[Tipo de Tarea y especialidad]],#REF!,Planning[[#This Row],[Proyectos Reiwa]]),SUMIFS(#REF!,#REF!,Planning[[#This Row],[Tipo de Tarea y especialidad]],#REF!,Planning[[#This Row],[Proyectos]]))</f>
        <v>#REF!</v>
      </c>
      <c r="K2417" s="5" t="e">
        <f>Planning[[#This Row],[Horas Planificadas]]+Planning[[#This Row],[Horas ajustadas adicionales]]-Planning[[#This Row],[Horas utilizadas]]</f>
        <v>#REF!</v>
      </c>
      <c r="L2417" s="7"/>
      <c r="M2417" s="19" t="e">
        <f>Planning[[#This Row],[Saldo]]-Planning[[#This Row],[Saldo estimado]]</f>
        <v>#REF!</v>
      </c>
      <c r="N2417" s="60" t="e">
        <f>+SUMIFS(#REF!,#REF!,Planning[[#This Row],[Proyectos]],#REF!,Planning[[#This Row],[Tipo de Tarea y especialidad]])</f>
        <v>#REF!</v>
      </c>
      <c r="O2417" s="19">
        <f t="shared" si="74"/>
        <v>10</v>
      </c>
      <c r="P2417" s="19">
        <f t="shared" si="75"/>
        <v>2024</v>
      </c>
      <c r="Q24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17" s="19" t="str">
        <f>TEXT(Planning[[#This Row],[Mes]]*29,"mmmm")</f>
        <v>October</v>
      </c>
      <c r="S24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17" s="193"/>
      <c r="U2417" s="43">
        <f>IF(Planning[[#This Row],[Horas Planificadas]]&lt;&gt;0,+K2417/Planning[[#This Row],[Horas Planificadas]],0)</f>
        <v>0</v>
      </c>
      <c r="V2417" s="43">
        <f>IF(Planning[[#This Row],[Horas Planificadas]]&lt;&gt;0,Planning[[#This Row],[Horas utilizadas]]/Planning[[#This Row],[Horas Planificadas]],0)</f>
        <v>0</v>
      </c>
      <c r="W2417" s="44">
        <f>Planning[[#This Row],[Horas Planificadas]]+Planning[[#This Row],[Horas ajustadas adicionales]]</f>
        <v>0</v>
      </c>
      <c r="X2417" s="142"/>
    </row>
    <row r="2418" spans="1:24" x14ac:dyDescent="0.2">
      <c r="A2418" s="7" t="s">
        <v>294</v>
      </c>
      <c r="B2418" s="7" t="s">
        <v>178</v>
      </c>
      <c r="C2418" s="3"/>
      <c r="D2418" s="3" t="s">
        <v>506</v>
      </c>
      <c r="E2418" s="4" t="s">
        <v>31</v>
      </c>
      <c r="F2418" s="3" t="s">
        <v>31</v>
      </c>
      <c r="G2418" s="9">
        <v>80</v>
      </c>
      <c r="H2418" s="17">
        <v>80</v>
      </c>
      <c r="I2418" s="18"/>
      <c r="J2418" s="14" t="e">
        <f>+SUMIFS(#REF!,#REF!,Planning[[#This Row],[Tarifa]],#REF!,Planning[[#This Row],[Proyectos]])</f>
        <v>#REF!</v>
      </c>
      <c r="K2418" s="14" t="e">
        <f>Planning[[#This Row],[Horas Planificadas]]+Planning[[#This Row],[Horas ajustadas adicionales]]-Planning[[#This Row],[Horas utilizadas]]</f>
        <v>#REF!</v>
      </c>
      <c r="L2418" s="15">
        <v>0</v>
      </c>
      <c r="M2418" s="16" t="e">
        <f>Planning[[#This Row],[Saldo]]-Planning[[#This Row],[Saldo estimado]]</f>
        <v>#REF!</v>
      </c>
      <c r="N2418" s="60" t="e">
        <f>+SUMIFS(#REF!,#REF!,Planning[[#This Row],[Proyectos]],#REF!,Planning[[#This Row],[Tipo de Tarea y especialidad]])</f>
        <v>#REF!</v>
      </c>
      <c r="O2418" s="16">
        <f t="shared" si="74"/>
        <v>10</v>
      </c>
      <c r="P2418" s="16">
        <f t="shared" si="75"/>
        <v>2024</v>
      </c>
      <c r="Q2418" s="16" t="e">
        <f>+SUMIFS(#REF!,#REF!,Planning[[#This Row],[Tarifa]],#REF!,Planning[[#This Row],[Proyectos]],#REF!,Planning[[#This Row],[Mes]],#REF!,Planning[[#This Row],[Año]])</f>
        <v>#REF!</v>
      </c>
      <c r="R2418" s="16" t="str">
        <f>TEXT(Planning[[#This Row],[Mes]]*29,"mmmm")</f>
        <v>October</v>
      </c>
      <c r="S24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18" s="193"/>
      <c r="U2418" s="43" t="e">
        <f>IF(Planning[[#This Row],[Horas Planificadas]]&lt;&gt;0,+K2418/Planning[[#This Row],[Horas Planificadas]],0)</f>
        <v>#REF!</v>
      </c>
      <c r="V2418" s="43" t="e">
        <f>IF(Planning[[#This Row],[Horas Planificadas]]&lt;&gt;0,Planning[[#This Row],[Horas utilizadas]]/Planning[[#This Row],[Horas Planificadas]],0)</f>
        <v>#REF!</v>
      </c>
      <c r="W2418" s="44">
        <f>Planning[[#This Row],[Horas Planificadas]]+Planning[[#This Row],[Horas ajustadas adicionales]]</f>
        <v>80</v>
      </c>
      <c r="X2418" s="142"/>
    </row>
    <row r="2419" spans="1:24" ht="22.5" x14ac:dyDescent="0.2">
      <c r="A2419" s="7" t="s">
        <v>294</v>
      </c>
      <c r="B2419" s="7" t="s">
        <v>178</v>
      </c>
      <c r="C2419" s="3"/>
      <c r="D2419" s="3" t="s">
        <v>506</v>
      </c>
      <c r="E2419" s="4" t="s">
        <v>32</v>
      </c>
      <c r="F2419" s="3"/>
      <c r="G2419" s="9">
        <v>292</v>
      </c>
      <c r="H2419" s="25">
        <f>SUM(H2420:H2422)</f>
        <v>292</v>
      </c>
      <c r="I2419" s="14"/>
      <c r="J2419" s="14" t="e">
        <f>SUM(J2420:J2422)</f>
        <v>#REF!</v>
      </c>
      <c r="K2419" s="18" t="e">
        <f>SUM(K2420:K2422)</f>
        <v>#REF!</v>
      </c>
      <c r="L2419" s="15">
        <f>SUM(L2420:L2422)</f>
        <v>0</v>
      </c>
      <c r="M2419" s="16" t="e">
        <f>SUM(M2420:M2422)</f>
        <v>#REF!</v>
      </c>
      <c r="N2419" s="60" t="e">
        <f>+SUMIFS(#REF!,#REF!,Planning[[#This Row],[Proyectos]],#REF!,Planning[[#This Row],[Tipo de Tarea y especialidad]])</f>
        <v>#REF!</v>
      </c>
      <c r="O2419" s="16">
        <f t="shared" si="74"/>
        <v>10</v>
      </c>
      <c r="P2419" s="16">
        <f t="shared" si="75"/>
        <v>2024</v>
      </c>
      <c r="Q2419" s="16" t="e">
        <f>SUM(Q2420:Q2422)</f>
        <v>#REF!</v>
      </c>
      <c r="R2419" s="16" t="str">
        <f>TEXT(Planning[[#This Row],[Mes]]*29,"mmmm")</f>
        <v>October</v>
      </c>
      <c r="S24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19" s="193"/>
      <c r="U2419" s="43" t="e">
        <f>IF(Planning[[#This Row],[Horas Planificadas]]&lt;&gt;0,+K2419/Planning[[#This Row],[Horas Planificadas]],0)</f>
        <v>#REF!</v>
      </c>
      <c r="V2419" s="43" t="e">
        <f>IF(Planning[[#This Row],[Horas Planificadas]]&lt;&gt;0,Planning[[#This Row],[Horas utilizadas]]/Planning[[#This Row],[Horas Planificadas]],0)</f>
        <v>#REF!</v>
      </c>
      <c r="W2419" s="44">
        <f>Planning[[#This Row],[Horas Planificadas]]+Planning[[#This Row],[Horas ajustadas adicionales]]</f>
        <v>292</v>
      </c>
      <c r="X2419" s="142"/>
    </row>
    <row r="2420" spans="1:24" x14ac:dyDescent="0.2">
      <c r="A2420" s="7" t="s">
        <v>294</v>
      </c>
      <c r="B2420" s="7" t="s">
        <v>178</v>
      </c>
      <c r="C2420" s="3"/>
      <c r="D2420" s="3" t="s">
        <v>506</v>
      </c>
      <c r="E2420" s="4"/>
      <c r="F2420" s="3" t="s">
        <v>129</v>
      </c>
      <c r="G2420" s="9"/>
      <c r="H2420" s="9">
        <v>292</v>
      </c>
      <c r="I2420" s="12"/>
      <c r="J2420" s="5" t="e">
        <f>SUM(SUMIFS(#REF!,#REF!,Planning[[#This Row],[Tipo de Tarea y especialidad]],#REF!,Planning[[#This Row],[Proyectos Reiwa]]),SUMIFS(#REF!,#REF!,Planning[[#This Row],[Tipo de Tarea y especialidad]],#REF!,Planning[[#This Row],[Proyectos]]))</f>
        <v>#REF!</v>
      </c>
      <c r="K2420" s="5" t="e">
        <f>Planning[[#This Row],[Horas Planificadas]]+Planning[[#This Row],[Horas ajustadas adicionales]]-Planning[[#This Row],[Horas utilizadas]]</f>
        <v>#REF!</v>
      </c>
      <c r="L2420" s="7">
        <v>0</v>
      </c>
      <c r="M2420" s="19" t="e">
        <f>Planning[[#This Row],[Saldo]]-Planning[[#This Row],[Saldo estimado]]</f>
        <v>#REF!</v>
      </c>
      <c r="N2420" s="60" t="e">
        <f>+SUMIFS(#REF!,#REF!,Planning[[#This Row],[Proyectos]],#REF!,Planning[[#This Row],[Tipo de Tarea y especialidad]])</f>
        <v>#REF!</v>
      </c>
      <c r="O2420" s="19">
        <f t="shared" si="74"/>
        <v>10</v>
      </c>
      <c r="P2420" s="19">
        <f t="shared" si="75"/>
        <v>2024</v>
      </c>
      <c r="Q24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20" s="19" t="str">
        <f>TEXT(Planning[[#This Row],[Mes]]*29,"mmmm")</f>
        <v>October</v>
      </c>
      <c r="S24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20" s="193"/>
      <c r="U2420" s="43" t="e">
        <f>IF(Planning[[#This Row],[Horas Planificadas]]&lt;&gt;0,+K2420/Planning[[#This Row],[Horas Planificadas]],0)</f>
        <v>#REF!</v>
      </c>
      <c r="V2420" s="43" t="e">
        <f>IF(Planning[[#This Row],[Horas Planificadas]]&lt;&gt;0,Planning[[#This Row],[Horas utilizadas]]/Planning[[#This Row],[Horas Planificadas]],0)</f>
        <v>#REF!</v>
      </c>
      <c r="W2420" s="44">
        <f>Planning[[#This Row],[Horas Planificadas]]+Planning[[#This Row],[Horas ajustadas adicionales]]</f>
        <v>292</v>
      </c>
      <c r="X2420" s="142"/>
    </row>
    <row r="2421" spans="1:24" x14ac:dyDescent="0.2">
      <c r="A2421" s="7" t="s">
        <v>294</v>
      </c>
      <c r="B2421" s="7" t="s">
        <v>178</v>
      </c>
      <c r="C2421" s="3"/>
      <c r="D2421" s="3" t="s">
        <v>506</v>
      </c>
      <c r="E2421" s="4"/>
      <c r="F2421" s="3" t="s">
        <v>130</v>
      </c>
      <c r="G2421" s="9"/>
      <c r="H2421" s="9"/>
      <c r="I2421" s="12"/>
      <c r="J2421" s="5" t="e">
        <f>SUM(SUMIFS(#REF!,#REF!,Planning[[#This Row],[Tipo de Tarea y especialidad]],#REF!,Planning[[#This Row],[Proyectos Reiwa]]),SUMIFS(#REF!,#REF!,Planning[[#This Row],[Tipo de Tarea y especialidad]],#REF!,Planning[[#This Row],[Proyectos]]))</f>
        <v>#REF!</v>
      </c>
      <c r="K2421" s="5" t="e">
        <f>Planning[[#This Row],[Horas Planificadas]]+Planning[[#This Row],[Horas ajustadas adicionales]]-Planning[[#This Row],[Horas utilizadas]]</f>
        <v>#REF!</v>
      </c>
      <c r="L2421" s="7">
        <v>0</v>
      </c>
      <c r="M2421" s="19" t="e">
        <f>Planning[[#This Row],[Saldo]]-Planning[[#This Row],[Saldo estimado]]</f>
        <v>#REF!</v>
      </c>
      <c r="N2421" s="60" t="e">
        <f>+SUMIFS(#REF!,#REF!,Planning[[#This Row],[Proyectos]],#REF!,Planning[[#This Row],[Tipo de Tarea y especialidad]])</f>
        <v>#REF!</v>
      </c>
      <c r="O2421" s="19">
        <f t="shared" si="74"/>
        <v>10</v>
      </c>
      <c r="P2421" s="19">
        <f t="shared" si="75"/>
        <v>2024</v>
      </c>
      <c r="Q24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21" s="19" t="str">
        <f>TEXT(Planning[[#This Row],[Mes]]*29,"mmmm")</f>
        <v>October</v>
      </c>
      <c r="S24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21" s="193"/>
      <c r="U2421" s="43">
        <f>IF(Planning[[#This Row],[Horas Planificadas]]&lt;&gt;0,+K2421/Planning[[#This Row],[Horas Planificadas]],0)</f>
        <v>0</v>
      </c>
      <c r="V2421" s="43">
        <f>IF(Planning[[#This Row],[Horas Planificadas]]&lt;&gt;0,Planning[[#This Row],[Horas utilizadas]]/Planning[[#This Row],[Horas Planificadas]],0)</f>
        <v>0</v>
      </c>
      <c r="W2421" s="44">
        <f>Planning[[#This Row],[Horas Planificadas]]+Planning[[#This Row],[Horas ajustadas adicionales]]</f>
        <v>0</v>
      </c>
      <c r="X2421" s="142"/>
    </row>
    <row r="2422" spans="1:24" x14ac:dyDescent="0.2">
      <c r="A2422" s="7" t="s">
        <v>294</v>
      </c>
      <c r="B2422" s="7" t="s">
        <v>178</v>
      </c>
      <c r="C2422" s="3"/>
      <c r="D2422" s="3" t="s">
        <v>506</v>
      </c>
      <c r="E2422" s="4"/>
      <c r="F2422" s="3" t="s">
        <v>131</v>
      </c>
      <c r="G2422" s="9"/>
      <c r="H2422" s="9"/>
      <c r="I2422" s="12"/>
      <c r="J2422" s="5" t="e">
        <f>SUM(SUMIFS(#REF!,#REF!,Planning[[#This Row],[Tipo de Tarea y especialidad]],#REF!,Planning[[#This Row],[Proyectos Reiwa]]),SUMIFS(#REF!,#REF!,Planning[[#This Row],[Tipo de Tarea y especialidad]],#REF!,Planning[[#This Row],[Proyectos]]))</f>
        <v>#REF!</v>
      </c>
      <c r="K2422" s="5" t="e">
        <f>Planning[[#This Row],[Horas Planificadas]]+Planning[[#This Row],[Horas ajustadas adicionales]]-Planning[[#This Row],[Horas utilizadas]]</f>
        <v>#REF!</v>
      </c>
      <c r="L2422" s="7"/>
      <c r="M2422" s="19" t="e">
        <f>Planning[[#This Row],[Saldo]]-Planning[[#This Row],[Saldo estimado]]</f>
        <v>#REF!</v>
      </c>
      <c r="N2422" s="60" t="e">
        <f>+SUMIFS(#REF!,#REF!,Planning[[#This Row],[Proyectos]],#REF!,Planning[[#This Row],[Tipo de Tarea y especialidad]])</f>
        <v>#REF!</v>
      </c>
      <c r="O2422" s="19">
        <f t="shared" si="74"/>
        <v>10</v>
      </c>
      <c r="P2422" s="19">
        <f t="shared" si="75"/>
        <v>2024</v>
      </c>
      <c r="Q24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22" s="19" t="str">
        <f>TEXT(Planning[[#This Row],[Mes]]*29,"mmmm")</f>
        <v>October</v>
      </c>
      <c r="S24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22" s="193"/>
      <c r="U2422" s="43">
        <f>IF(Planning[[#This Row],[Horas Planificadas]]&lt;&gt;0,+K2422/Planning[[#This Row],[Horas Planificadas]],0)</f>
        <v>0</v>
      </c>
      <c r="V2422" s="43">
        <f>IF(Planning[[#This Row],[Horas Planificadas]]&lt;&gt;0,Planning[[#This Row],[Horas utilizadas]]/Planning[[#This Row],[Horas Planificadas]],0)</f>
        <v>0</v>
      </c>
      <c r="W2422" s="44">
        <f>Planning[[#This Row],[Horas Planificadas]]+Planning[[#This Row],[Horas ajustadas adicionales]]</f>
        <v>0</v>
      </c>
      <c r="X2422" s="142"/>
    </row>
    <row r="2423" spans="1:24" ht="22.5" x14ac:dyDescent="0.2">
      <c r="A2423" s="7"/>
      <c r="B2423" s="7"/>
      <c r="C2423" s="3"/>
      <c r="D2423" s="3" t="s">
        <v>508</v>
      </c>
      <c r="E2423" s="4" t="s">
        <v>28</v>
      </c>
      <c r="F2423" s="3"/>
      <c r="G2423" s="22"/>
      <c r="H2423" s="8">
        <v>0</v>
      </c>
      <c r="I2423" s="8"/>
      <c r="J2423" s="5" t="e">
        <f>+SUMIFS(#REF!,#REF!,Planning[[#This Row],[Tarifa]],#REF!,Planning[[#This Row],[Proyectos]])</f>
        <v>#REF!</v>
      </c>
      <c r="K2423" s="27" t="e">
        <f>Planning[[#This Row],[Horas Planificadas]]+Planning[[#This Row],[Horas ajustadas adicionales]]-Planning[[#This Row],[Horas utilizadas]]</f>
        <v>#REF!</v>
      </c>
      <c r="L2423" s="7"/>
      <c r="M2423" s="19" t="e">
        <f>Planning[[#This Row],[Saldo]]-Planning[[#This Row],[Saldo estimado]]</f>
        <v>#REF!</v>
      </c>
      <c r="N2423" s="60" t="e">
        <f>+SUMIFS(#REF!,#REF!,Planning[[#This Row],[Proyectos]],#REF!,Planning[[#This Row],[Tipo de Tarea y especialidad]])</f>
        <v>#REF!</v>
      </c>
      <c r="O2423" s="19">
        <f t="shared" si="74"/>
        <v>10</v>
      </c>
      <c r="P2423" s="19">
        <f t="shared" si="75"/>
        <v>2024</v>
      </c>
      <c r="Q2423" s="19" t="e">
        <f>+SUMIFS(#REF!,#REF!,Planning[[#This Row],[Tarifa]],#REF!,Planning[[#This Row],[Proyectos]],#REF!,Planning[[#This Row],[Mes]],#REF!,Planning[[#This Row],[Año]])</f>
        <v>#REF!</v>
      </c>
      <c r="R2423" s="19" t="str">
        <f>TEXT(Planning[[#This Row],[Mes]]*29,"mmmm")</f>
        <v>October</v>
      </c>
      <c r="S24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23" s="228"/>
      <c r="U2423" s="43">
        <f>IF(Planning[[#This Row],[Horas Planificadas]]&lt;&gt;0,+K2423/Planning[[#This Row],[Horas Planificadas]],0)</f>
        <v>0</v>
      </c>
      <c r="V2423" s="43">
        <f>IF(Planning[[#This Row],[Horas Planificadas]]&lt;&gt;0,Planning[[#This Row],[Horas utilizadas]]/Planning[[#This Row],[Horas Planificadas]],0)</f>
        <v>0</v>
      </c>
      <c r="W2423" s="44">
        <f>Planning[[#This Row],[Horas Planificadas]]+Planning[[#This Row],[Horas ajustadas adicionales]]</f>
        <v>0</v>
      </c>
      <c r="X2423" s="142"/>
    </row>
    <row r="2424" spans="1:24" x14ac:dyDescent="0.2">
      <c r="A2424" s="7"/>
      <c r="B2424" s="7"/>
      <c r="C2424" s="3"/>
      <c r="D2424" s="3" t="s">
        <v>508</v>
      </c>
      <c r="E2424" s="4" t="s">
        <v>30</v>
      </c>
      <c r="F2424" s="3"/>
      <c r="G2424" s="22"/>
      <c r="H2424" s="22">
        <v>175</v>
      </c>
      <c r="I2424" s="8"/>
      <c r="J2424" s="5" t="e">
        <f>+SUMIFS(#REF!,#REF!,Planning[[#This Row],[Tarifa]],#REF!,Planning[[#This Row],[Proyectos]])</f>
        <v>#REF!</v>
      </c>
      <c r="K2424" s="5" t="e">
        <f>Planning[[#This Row],[Horas Planificadas]]+Planning[[#This Row],[Horas ajustadas adicionales]]-Planning[[#This Row],[Horas utilizadas]]</f>
        <v>#REF!</v>
      </c>
      <c r="L2424" s="7"/>
      <c r="M2424" s="19" t="e">
        <f>Planning[[#This Row],[Saldo]]-Planning[[#This Row],[Saldo estimado]]</f>
        <v>#REF!</v>
      </c>
      <c r="N2424" s="60" t="e">
        <f>+SUMIFS(#REF!,#REF!,Planning[[#This Row],[Proyectos]],#REF!,Planning[[#This Row],[Tipo de Tarea y especialidad]])</f>
        <v>#REF!</v>
      </c>
      <c r="O2424" s="19">
        <f t="shared" si="74"/>
        <v>10</v>
      </c>
      <c r="P2424" s="19">
        <f t="shared" si="75"/>
        <v>2024</v>
      </c>
      <c r="Q2424" s="19" t="e">
        <f>+SUMIFS(#REF!,#REF!,Planning[[#This Row],[Tarifa]],#REF!,Planning[[#This Row],[Proyectos]],#REF!,Planning[[#This Row],[Mes]],#REF!,Planning[[#This Row],[Año]])</f>
        <v>#REF!</v>
      </c>
      <c r="R2424" s="19" t="str">
        <f>TEXT(Planning[[#This Row],[Mes]]*29,"mmmm")</f>
        <v>October</v>
      </c>
      <c r="S24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24" s="228"/>
      <c r="U2424" s="43" t="e">
        <f>IF(Planning[[#This Row],[Horas Planificadas]]&lt;&gt;0,+K2424/Planning[[#This Row],[Horas Planificadas]],0)</f>
        <v>#REF!</v>
      </c>
      <c r="V2424" s="43" t="e">
        <f>IF(Planning[[#This Row],[Horas Planificadas]]&lt;&gt;0,Planning[[#This Row],[Horas utilizadas]]/Planning[[#This Row],[Horas Planificadas]],0)</f>
        <v>#REF!</v>
      </c>
      <c r="W2424" s="44">
        <f>Planning[[#This Row],[Horas Planificadas]]+Planning[[#This Row],[Horas ajustadas adicionales]]</f>
        <v>175</v>
      </c>
      <c r="X2424" s="142"/>
    </row>
    <row r="2425" spans="1:24" x14ac:dyDescent="0.2">
      <c r="A2425" s="7"/>
      <c r="B2425" s="7"/>
      <c r="C2425" s="3"/>
      <c r="D2425" s="3" t="s">
        <v>508</v>
      </c>
      <c r="E2425" s="4" t="s">
        <v>31</v>
      </c>
      <c r="F2425" s="3"/>
      <c r="G2425" s="22"/>
      <c r="H2425" s="22">
        <v>83</v>
      </c>
      <c r="I2425" s="8"/>
      <c r="J2425" s="5" t="e">
        <f>+SUMIFS(#REF!,#REF!,Planning[[#This Row],[Tarifa]],#REF!,Planning[[#This Row],[Proyectos]])</f>
        <v>#REF!</v>
      </c>
      <c r="K2425" s="5" t="e">
        <f>Planning[[#This Row],[Horas Planificadas]]+Planning[[#This Row],[Horas ajustadas adicionales]]-Planning[[#This Row],[Horas utilizadas]]</f>
        <v>#REF!</v>
      </c>
      <c r="L2425" s="7"/>
      <c r="M2425" s="19" t="e">
        <f>Planning[[#This Row],[Saldo]]-Planning[[#This Row],[Saldo estimado]]</f>
        <v>#REF!</v>
      </c>
      <c r="N2425" s="60" t="e">
        <f>+SUMIFS(#REF!,#REF!,Planning[[#This Row],[Proyectos]],#REF!,Planning[[#This Row],[Tipo de Tarea y especialidad]])</f>
        <v>#REF!</v>
      </c>
      <c r="O2425" s="19">
        <f t="shared" si="74"/>
        <v>10</v>
      </c>
      <c r="P2425" s="19">
        <f t="shared" si="75"/>
        <v>2024</v>
      </c>
      <c r="Q2425" s="19" t="e">
        <f>+SUMIFS(#REF!,#REF!,Planning[[#This Row],[Tarifa]],#REF!,Planning[[#This Row],[Proyectos]],#REF!,Planning[[#This Row],[Mes]],#REF!,Planning[[#This Row],[Año]])</f>
        <v>#REF!</v>
      </c>
      <c r="R2425" s="19" t="str">
        <f>TEXT(Planning[[#This Row],[Mes]]*29,"mmmm")</f>
        <v>October</v>
      </c>
      <c r="S24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25" s="228"/>
      <c r="U2425" s="43" t="e">
        <f>IF(Planning[[#This Row],[Horas Planificadas]]&lt;&gt;0,+K2425/Planning[[#This Row],[Horas Planificadas]],0)</f>
        <v>#REF!</v>
      </c>
      <c r="V2425" s="43" t="e">
        <f>IF(Planning[[#This Row],[Horas Planificadas]]&lt;&gt;0,Planning[[#This Row],[Horas utilizadas]]/Planning[[#This Row],[Horas Planificadas]],0)</f>
        <v>#REF!</v>
      </c>
      <c r="W2425" s="44">
        <f>Planning[[#This Row],[Horas Planificadas]]+Planning[[#This Row],[Horas ajustadas adicionales]]</f>
        <v>83</v>
      </c>
      <c r="X2425" s="142"/>
    </row>
    <row r="2426" spans="1:24" ht="22.5" x14ac:dyDescent="0.2">
      <c r="A2426" s="7"/>
      <c r="B2426" s="7"/>
      <c r="C2426" s="3"/>
      <c r="D2426" s="3" t="s">
        <v>508</v>
      </c>
      <c r="E2426" s="4" t="s">
        <v>32</v>
      </c>
      <c r="F2426" s="3"/>
      <c r="G2426" s="22"/>
      <c r="H2426" s="22">
        <v>110</v>
      </c>
      <c r="I2426" s="8"/>
      <c r="J2426" s="5" t="e">
        <f>+SUMIFS(#REF!,#REF!,Planning[[#This Row],[Tarifa]],#REF!,Planning[[#This Row],[Proyectos]])</f>
        <v>#REF!</v>
      </c>
      <c r="K2426" s="5" t="e">
        <f>Planning[[#This Row],[Horas Planificadas]]+Planning[[#This Row],[Horas ajustadas adicionales]]-Planning[[#This Row],[Horas utilizadas]]</f>
        <v>#REF!</v>
      </c>
      <c r="L2426" s="7"/>
      <c r="M2426" s="19" t="e">
        <f>Planning[[#This Row],[Saldo]]-Planning[[#This Row],[Saldo estimado]]</f>
        <v>#REF!</v>
      </c>
      <c r="N2426" s="60" t="e">
        <f>+SUMIFS(#REF!,#REF!,Planning[[#This Row],[Proyectos]],#REF!,Planning[[#This Row],[Tipo de Tarea y especialidad]])</f>
        <v>#REF!</v>
      </c>
      <c r="O2426" s="19">
        <f t="shared" si="74"/>
        <v>10</v>
      </c>
      <c r="P2426" s="19">
        <f t="shared" si="75"/>
        <v>2024</v>
      </c>
      <c r="Q2426" s="19" t="e">
        <f>+SUMIFS(#REF!,#REF!,Planning[[#This Row],[Tarifa]],#REF!,Planning[[#This Row],[Proyectos]],#REF!,Planning[[#This Row],[Mes]],#REF!,Planning[[#This Row],[Año]])</f>
        <v>#REF!</v>
      </c>
      <c r="R2426" s="19" t="str">
        <f>TEXT(Planning[[#This Row],[Mes]]*29,"mmmm")</f>
        <v>October</v>
      </c>
      <c r="S24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26" s="228"/>
      <c r="U2426" s="43" t="e">
        <f>IF(Planning[[#This Row],[Horas Planificadas]]&lt;&gt;0,+K2426/Planning[[#This Row],[Horas Planificadas]],0)</f>
        <v>#REF!</v>
      </c>
      <c r="V2426" s="43" t="e">
        <f>IF(Planning[[#This Row],[Horas Planificadas]]&lt;&gt;0,Planning[[#This Row],[Horas utilizadas]]/Planning[[#This Row],[Horas Planificadas]],0)</f>
        <v>#REF!</v>
      </c>
      <c r="W2426" s="44">
        <f>Planning[[#This Row],[Horas Planificadas]]+Planning[[#This Row],[Horas ajustadas adicionales]]</f>
        <v>110</v>
      </c>
      <c r="X2426" s="142"/>
    </row>
    <row r="2427" spans="1:24" ht="12.75" customHeight="1" x14ac:dyDescent="0.2">
      <c r="A2427" s="7" t="s">
        <v>204</v>
      </c>
      <c r="B2427" s="7" t="s">
        <v>463</v>
      </c>
      <c r="C2427" s="3">
        <v>116872</v>
      </c>
      <c r="D2427" s="3" t="s">
        <v>509</v>
      </c>
      <c r="E2427" s="4" t="s">
        <v>28</v>
      </c>
      <c r="F2427" s="3"/>
      <c r="G2427" s="9">
        <v>273</v>
      </c>
      <c r="H2427" s="14">
        <f>SUM(H2428:H2429)</f>
        <v>299</v>
      </c>
      <c r="I2427" s="14"/>
      <c r="J2427" s="14" t="e">
        <f>SUM(J2428:J2429)</f>
        <v>#REF!</v>
      </c>
      <c r="K2427" s="15" t="e">
        <f>SUM(K2428:K2429)</f>
        <v>#REF!</v>
      </c>
      <c r="L2427" s="15">
        <f>SUM(L2428:L2429)</f>
        <v>9</v>
      </c>
      <c r="M2427" s="14" t="e">
        <f>SUM(M2428:M2429)</f>
        <v>#REF!</v>
      </c>
      <c r="N2427" s="66" t="e">
        <f>+SUMIFS(#REF!,#REF!,Planning[[#This Row],[Proyectos]],#REF!,Planning[[#This Row],[Tipo de Tarea y especialidad]])</f>
        <v>#REF!</v>
      </c>
      <c r="O2427" s="14">
        <f t="shared" si="74"/>
        <v>10</v>
      </c>
      <c r="P2427" s="14">
        <f t="shared" si="75"/>
        <v>2024</v>
      </c>
      <c r="Q2427" s="28" t="e">
        <f>SUM(Q2428:Q2429)</f>
        <v>#REF!</v>
      </c>
      <c r="R2427" s="28" t="str">
        <f>TEXT(Planning[[#This Row],[Mes]]*29,"mmmm")</f>
        <v>October</v>
      </c>
      <c r="S24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27" s="234" t="s">
        <v>510</v>
      </c>
      <c r="U2427" s="43" t="e">
        <f>IF(Planning[[#This Row],[Horas Planificadas]]&lt;&gt;0,+K2427/Planning[[#This Row],[Horas Planificadas]],0)</f>
        <v>#REF!</v>
      </c>
      <c r="V2427" s="43" t="e">
        <f>IF(Planning[[#This Row],[Horas Planificadas]]&lt;&gt;0,Planning[[#This Row],[Horas utilizadas]]/Planning[[#This Row],[Horas Planificadas]],0)</f>
        <v>#REF!</v>
      </c>
      <c r="W2427" s="44">
        <f>Planning[[#This Row],[Horas Planificadas]]+Planning[[#This Row],[Horas ajustadas adicionales]]</f>
        <v>299</v>
      </c>
      <c r="X2427" s="142"/>
    </row>
    <row r="2428" spans="1:24" x14ac:dyDescent="0.2">
      <c r="A2428" s="7" t="s">
        <v>204</v>
      </c>
      <c r="B2428" s="7" t="s">
        <v>463</v>
      </c>
      <c r="C2428" s="3">
        <v>116872</v>
      </c>
      <c r="D2428" s="3" t="s">
        <v>509</v>
      </c>
      <c r="E2428" s="4"/>
      <c r="F2428" s="3" t="s">
        <v>120</v>
      </c>
      <c r="G2428" s="9"/>
      <c r="H2428" s="9">
        <v>200</v>
      </c>
      <c r="I2428" s="12"/>
      <c r="J2428" s="5" t="e">
        <f>SUM(SUMIFS(#REF!,#REF!,Planning[[#This Row],[Tipo de Tarea y especialidad]],#REF!,Planning[[#This Row],[Proyectos Reiwa]]),SUMIFS(#REF!,#REF!,Planning[[#This Row],[Tipo de Tarea y especialidad]],#REF!,Planning[[#This Row],[Proyectos]]))</f>
        <v>#REF!</v>
      </c>
      <c r="K2428" s="5" t="e">
        <f>Planning[[#This Row],[Horas Planificadas]]+Planning[[#This Row],[Horas ajustadas adicionales]]-Planning[[#This Row],[Horas utilizadas]]</f>
        <v>#REF!</v>
      </c>
      <c r="L2428" s="7">
        <v>0</v>
      </c>
      <c r="M2428" s="19" t="e">
        <f>Planning[[#This Row],[Saldo]]-Planning[[#This Row],[Saldo estimado]]</f>
        <v>#REF!</v>
      </c>
      <c r="N2428" s="60" t="e">
        <f>+SUMIFS(#REF!,#REF!,Planning[[#This Row],[Proyectos]],#REF!,Planning[[#This Row],[Tipo de Tarea y especialidad]])</f>
        <v>#REF!</v>
      </c>
      <c r="O2428" s="19">
        <f t="shared" si="74"/>
        <v>10</v>
      </c>
      <c r="P2428" s="19">
        <f t="shared" si="75"/>
        <v>2024</v>
      </c>
      <c r="Q24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28" s="19" t="str">
        <f>TEXT(Planning[[#This Row],[Mes]]*29,"mmmm")</f>
        <v>October</v>
      </c>
      <c r="S24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28" s="193"/>
      <c r="U2428" s="43" t="e">
        <f>IF(Planning[[#This Row],[Horas Planificadas]]&lt;&gt;0,+K2428/Planning[[#This Row],[Horas Planificadas]],0)</f>
        <v>#REF!</v>
      </c>
      <c r="V2428" s="43" t="e">
        <f>IF(Planning[[#This Row],[Horas Planificadas]]&lt;&gt;0,Planning[[#This Row],[Horas utilizadas]]/Planning[[#This Row],[Horas Planificadas]],0)</f>
        <v>#REF!</v>
      </c>
      <c r="W2428" s="44">
        <f>Planning[[#This Row],[Horas Planificadas]]+Planning[[#This Row],[Horas ajustadas adicionales]]</f>
        <v>200</v>
      </c>
      <c r="X2428" s="142"/>
    </row>
    <row r="2429" spans="1:24" x14ac:dyDescent="0.2">
      <c r="A2429" s="7" t="s">
        <v>204</v>
      </c>
      <c r="B2429" s="7" t="s">
        <v>463</v>
      </c>
      <c r="C2429" s="3">
        <v>116872</v>
      </c>
      <c r="D2429" s="3" t="s">
        <v>509</v>
      </c>
      <c r="E2429" s="4"/>
      <c r="F2429" s="3" t="s">
        <v>121</v>
      </c>
      <c r="G2429" s="9"/>
      <c r="H2429" s="9">
        <v>99</v>
      </c>
      <c r="I2429" s="12"/>
      <c r="J2429" s="5" t="e">
        <f>SUM(SUMIFS(#REF!,#REF!,Planning[[#This Row],[Tipo de Tarea y especialidad]],#REF!,Planning[[#This Row],[Proyectos Reiwa]]),SUMIFS(#REF!,#REF!,Planning[[#This Row],[Tipo de Tarea y especialidad]],#REF!,Planning[[#This Row],[Proyectos]]))</f>
        <v>#REF!</v>
      </c>
      <c r="K2429" s="5" t="e">
        <f>Planning[[#This Row],[Horas Planificadas]]+Planning[[#This Row],[Horas ajustadas adicionales]]-Planning[[#This Row],[Horas utilizadas]]</f>
        <v>#REF!</v>
      </c>
      <c r="L2429" s="7">
        <v>9</v>
      </c>
      <c r="M2429" s="19" t="e">
        <f>Planning[[#This Row],[Saldo]]-Planning[[#This Row],[Saldo estimado]]</f>
        <v>#REF!</v>
      </c>
      <c r="N2429" s="60" t="e">
        <f>+SUMIFS(#REF!,#REF!,Planning[[#This Row],[Proyectos]],#REF!,Planning[[#This Row],[Tipo de Tarea y especialidad]])</f>
        <v>#REF!</v>
      </c>
      <c r="O2429" s="19">
        <f t="shared" si="74"/>
        <v>10</v>
      </c>
      <c r="P2429" s="19">
        <f t="shared" si="75"/>
        <v>2024</v>
      </c>
      <c r="Q24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29" s="19" t="str">
        <f>TEXT(Planning[[#This Row],[Mes]]*29,"mmmm")</f>
        <v>October</v>
      </c>
      <c r="S24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29" s="193"/>
      <c r="U2429" s="43" t="e">
        <f>IF(Planning[[#This Row],[Horas Planificadas]]&lt;&gt;0,+K2429/Planning[[#This Row],[Horas Planificadas]],0)</f>
        <v>#REF!</v>
      </c>
      <c r="V2429" s="43" t="e">
        <f>IF(Planning[[#This Row],[Horas Planificadas]]&lt;&gt;0,Planning[[#This Row],[Horas utilizadas]]/Planning[[#This Row],[Horas Planificadas]],0)</f>
        <v>#REF!</v>
      </c>
      <c r="W2429" s="44">
        <f>Planning[[#This Row],[Horas Planificadas]]+Planning[[#This Row],[Horas ajustadas adicionales]]</f>
        <v>99</v>
      </c>
      <c r="X2429" s="142"/>
    </row>
    <row r="2430" spans="1:24" x14ac:dyDescent="0.2">
      <c r="A2430" s="7" t="s">
        <v>204</v>
      </c>
      <c r="B2430" s="7" t="s">
        <v>463</v>
      </c>
      <c r="C2430" s="3">
        <v>116872</v>
      </c>
      <c r="D2430" s="3" t="s">
        <v>509</v>
      </c>
      <c r="E2430" s="4" t="s">
        <v>30</v>
      </c>
      <c r="F2430" s="3"/>
      <c r="G2430" s="9">
        <v>393</v>
      </c>
      <c r="H2430" s="14">
        <f>SUM(H2431:H2437)</f>
        <v>393</v>
      </c>
      <c r="I2430" s="14"/>
      <c r="J2430" s="14" t="e">
        <f>SUM(J2431:J2437)</f>
        <v>#REF!</v>
      </c>
      <c r="K2430" s="15" t="e">
        <f>SUM(K2431:K2437)</f>
        <v>#REF!</v>
      </c>
      <c r="L2430" s="15">
        <f>SUM(L2431:L2437)</f>
        <v>15</v>
      </c>
      <c r="M2430" s="16" t="e">
        <f>SUM(M2431:M2437)</f>
        <v>#REF!</v>
      </c>
      <c r="N2430" s="60" t="e">
        <f>+SUMIFS(#REF!,#REF!,Planning[[#This Row],[Proyectos]],#REF!,Planning[[#This Row],[Tipo de Tarea y especialidad]])</f>
        <v>#REF!</v>
      </c>
      <c r="O2430" s="16">
        <f t="shared" si="74"/>
        <v>10</v>
      </c>
      <c r="P2430" s="16">
        <f t="shared" si="75"/>
        <v>2024</v>
      </c>
      <c r="Q2430" s="16" t="e">
        <f>SUM(Q2431:Q2437)</f>
        <v>#REF!</v>
      </c>
      <c r="R2430" s="16" t="str">
        <f>TEXT(Planning[[#This Row],[Mes]]*29,"mmmm")</f>
        <v>October</v>
      </c>
      <c r="S24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30" s="193"/>
      <c r="U2430" s="43" t="e">
        <f>IF(Planning[[#This Row],[Horas Planificadas]]&lt;&gt;0,+K2430/Planning[[#This Row],[Horas Planificadas]],0)</f>
        <v>#REF!</v>
      </c>
      <c r="V2430" s="43" t="e">
        <f>IF(Planning[[#This Row],[Horas Planificadas]]&lt;&gt;0,Planning[[#This Row],[Horas utilizadas]]/Planning[[#This Row],[Horas Planificadas]],0)</f>
        <v>#REF!</v>
      </c>
      <c r="W2430" s="44">
        <f>Planning[[#This Row],[Horas Planificadas]]+Planning[[#This Row],[Horas ajustadas adicionales]]</f>
        <v>393</v>
      </c>
      <c r="X2430" s="142"/>
    </row>
    <row r="2431" spans="1:24" x14ac:dyDescent="0.2">
      <c r="A2431" s="7" t="s">
        <v>204</v>
      </c>
      <c r="B2431" s="7" t="s">
        <v>463</v>
      </c>
      <c r="C2431" s="3">
        <v>116872</v>
      </c>
      <c r="D2431" s="3" t="s">
        <v>509</v>
      </c>
      <c r="E2431" s="4"/>
      <c r="F2431" s="3" t="s">
        <v>122</v>
      </c>
      <c r="G2431" s="9"/>
      <c r="H2431" s="9"/>
      <c r="I2431" s="12"/>
      <c r="J2431" s="5" t="e">
        <f>SUM(SUMIFS(#REF!,#REF!,Planning[[#This Row],[Tipo de Tarea y especialidad]],#REF!,Planning[[#This Row],[Proyectos Reiwa]]),SUMIFS(#REF!,#REF!,Planning[[#This Row],[Tipo de Tarea y especialidad]],#REF!,Planning[[#This Row],[Proyectos]]))</f>
        <v>#REF!</v>
      </c>
      <c r="K2431" s="5" t="e">
        <f>Planning[[#This Row],[Horas Planificadas]]+Planning[[#This Row],[Horas ajustadas adicionales]]-Planning[[#This Row],[Horas utilizadas]]</f>
        <v>#REF!</v>
      </c>
      <c r="L2431" s="7"/>
      <c r="M2431" s="19" t="e">
        <f>Planning[[#This Row],[Saldo]]-Planning[[#This Row],[Saldo estimado]]</f>
        <v>#REF!</v>
      </c>
      <c r="N2431" s="60" t="e">
        <f>+SUMIFS(#REF!,#REF!,Planning[[#This Row],[Proyectos]],#REF!,Planning[[#This Row],[Tipo de Tarea y especialidad]])</f>
        <v>#REF!</v>
      </c>
      <c r="O2431" s="19">
        <f t="shared" si="74"/>
        <v>10</v>
      </c>
      <c r="P2431" s="19">
        <f t="shared" si="75"/>
        <v>2024</v>
      </c>
      <c r="Q24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31" s="19" t="str">
        <f>TEXT(Planning[[#This Row],[Mes]]*29,"mmmm")</f>
        <v>October</v>
      </c>
      <c r="S24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31" s="193"/>
      <c r="U2431" s="43">
        <f>IF(Planning[[#This Row],[Horas Planificadas]]&lt;&gt;0,+K2431/Planning[[#This Row],[Horas Planificadas]],0)</f>
        <v>0</v>
      </c>
      <c r="V2431" s="43">
        <f>IF(Planning[[#This Row],[Horas Planificadas]]&lt;&gt;0,Planning[[#This Row],[Horas utilizadas]]/Planning[[#This Row],[Horas Planificadas]],0)</f>
        <v>0</v>
      </c>
      <c r="W2431" s="44">
        <f>Planning[[#This Row],[Horas Planificadas]]+Planning[[#This Row],[Horas ajustadas adicionales]]</f>
        <v>0</v>
      </c>
      <c r="X2431" s="142"/>
    </row>
    <row r="2432" spans="1:24" x14ac:dyDescent="0.2">
      <c r="A2432" s="7" t="s">
        <v>204</v>
      </c>
      <c r="B2432" s="7" t="s">
        <v>463</v>
      </c>
      <c r="C2432" s="3">
        <v>116872</v>
      </c>
      <c r="D2432" s="3" t="s">
        <v>509</v>
      </c>
      <c r="E2432" s="4"/>
      <c r="F2432" s="3" t="s">
        <v>123</v>
      </c>
      <c r="G2432" s="9"/>
      <c r="H2432" s="9">
        <v>72</v>
      </c>
      <c r="I2432" s="12"/>
      <c r="J2432" s="5" t="e">
        <f>SUM(SUMIFS(#REF!,#REF!,Planning[[#This Row],[Tipo de Tarea y especialidad]],#REF!,Planning[[#This Row],[Proyectos Reiwa]]),SUMIFS(#REF!,#REF!,Planning[[#This Row],[Tipo de Tarea y especialidad]],#REF!,Planning[[#This Row],[Proyectos]]))</f>
        <v>#REF!</v>
      </c>
      <c r="K2432" s="5" t="e">
        <f>Planning[[#This Row],[Horas Planificadas]]+Planning[[#This Row],[Horas ajustadas adicionales]]-Planning[[#This Row],[Horas utilizadas]]</f>
        <v>#REF!</v>
      </c>
      <c r="L2432" s="7">
        <v>0</v>
      </c>
      <c r="M2432" s="19" t="e">
        <f>Planning[[#This Row],[Saldo]]-Planning[[#This Row],[Saldo estimado]]</f>
        <v>#REF!</v>
      </c>
      <c r="N2432" s="60" t="e">
        <f>+SUMIFS(#REF!,#REF!,Planning[[#This Row],[Proyectos]],#REF!,Planning[[#This Row],[Tipo de Tarea y especialidad]])</f>
        <v>#REF!</v>
      </c>
      <c r="O2432" s="19">
        <f t="shared" si="74"/>
        <v>10</v>
      </c>
      <c r="P2432" s="19">
        <f t="shared" si="75"/>
        <v>2024</v>
      </c>
      <c r="Q24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32" s="19" t="str">
        <f>TEXT(Planning[[#This Row],[Mes]]*29,"mmmm")</f>
        <v>October</v>
      </c>
      <c r="S24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32" s="193"/>
      <c r="U2432" s="43" t="e">
        <f>IF(Planning[[#This Row],[Horas Planificadas]]&lt;&gt;0,+K2432/Planning[[#This Row],[Horas Planificadas]],0)</f>
        <v>#REF!</v>
      </c>
      <c r="V2432" s="43" t="e">
        <f>IF(Planning[[#This Row],[Horas Planificadas]]&lt;&gt;0,Planning[[#This Row],[Horas utilizadas]]/Planning[[#This Row],[Horas Planificadas]],0)</f>
        <v>#REF!</v>
      </c>
      <c r="W2432" s="44">
        <f>Planning[[#This Row],[Horas Planificadas]]+Planning[[#This Row],[Horas ajustadas adicionales]]</f>
        <v>72</v>
      </c>
      <c r="X2432" s="142"/>
    </row>
    <row r="2433" spans="1:24" x14ac:dyDescent="0.2">
      <c r="A2433" s="7" t="s">
        <v>204</v>
      </c>
      <c r="B2433" s="7" t="s">
        <v>463</v>
      </c>
      <c r="C2433" s="3">
        <v>116872</v>
      </c>
      <c r="D2433" s="3" t="s">
        <v>509</v>
      </c>
      <c r="E2433" s="4"/>
      <c r="F2433" s="3" t="s">
        <v>124</v>
      </c>
      <c r="G2433" s="9"/>
      <c r="H2433" s="9">
        <v>75</v>
      </c>
      <c r="I2433" s="12"/>
      <c r="J2433" s="5" t="e">
        <f>SUM(SUMIFS(#REF!,#REF!,Planning[[#This Row],[Tipo de Tarea y especialidad]],#REF!,Planning[[#This Row],[Proyectos Reiwa]]),SUMIFS(#REF!,#REF!,Planning[[#This Row],[Tipo de Tarea y especialidad]],#REF!,Planning[[#This Row],[Proyectos]]))</f>
        <v>#REF!</v>
      </c>
      <c r="K2433" s="5" t="e">
        <f>Planning[[#This Row],[Horas Planificadas]]+Planning[[#This Row],[Horas ajustadas adicionales]]-Planning[[#This Row],[Horas utilizadas]]</f>
        <v>#REF!</v>
      </c>
      <c r="L2433" s="7">
        <v>0</v>
      </c>
      <c r="M2433" s="19" t="e">
        <f>Planning[[#This Row],[Saldo]]-Planning[[#This Row],[Saldo estimado]]</f>
        <v>#REF!</v>
      </c>
      <c r="N2433" s="60" t="e">
        <f>+SUMIFS(#REF!,#REF!,Planning[[#This Row],[Proyectos]],#REF!,Planning[[#This Row],[Tipo de Tarea y especialidad]])</f>
        <v>#REF!</v>
      </c>
      <c r="O2433" s="19">
        <f t="shared" si="74"/>
        <v>10</v>
      </c>
      <c r="P2433" s="19">
        <f t="shared" si="75"/>
        <v>2024</v>
      </c>
      <c r="Q24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33" s="19" t="str">
        <f>TEXT(Planning[[#This Row],[Mes]]*29,"mmmm")</f>
        <v>October</v>
      </c>
      <c r="S24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33" s="193"/>
      <c r="U2433" s="43" t="e">
        <f>IF(Planning[[#This Row],[Horas Planificadas]]&lt;&gt;0,+K2433/Planning[[#This Row],[Horas Planificadas]],0)</f>
        <v>#REF!</v>
      </c>
      <c r="V2433" s="43" t="e">
        <f>IF(Planning[[#This Row],[Horas Planificadas]]&lt;&gt;0,Planning[[#This Row],[Horas utilizadas]]/Planning[[#This Row],[Horas Planificadas]],0)</f>
        <v>#REF!</v>
      </c>
      <c r="W2433" s="44">
        <f>Planning[[#This Row],[Horas Planificadas]]+Planning[[#This Row],[Horas ajustadas adicionales]]</f>
        <v>75</v>
      </c>
      <c r="X2433" s="142"/>
    </row>
    <row r="2434" spans="1:24" x14ac:dyDescent="0.2">
      <c r="A2434" s="7" t="s">
        <v>204</v>
      </c>
      <c r="B2434" s="7" t="s">
        <v>463</v>
      </c>
      <c r="C2434" s="3">
        <v>116872</v>
      </c>
      <c r="D2434" s="3" t="s">
        <v>509</v>
      </c>
      <c r="E2434" s="4"/>
      <c r="F2434" s="3" t="s">
        <v>125</v>
      </c>
      <c r="G2434" s="9"/>
      <c r="H2434" s="9">
        <v>88</v>
      </c>
      <c r="I2434" s="12"/>
      <c r="J2434" s="5" t="e">
        <f>SUM(SUMIFS(#REF!,#REF!,Planning[[#This Row],[Tipo de Tarea y especialidad]],#REF!,Planning[[#This Row],[Proyectos Reiwa]]),SUMIFS(#REF!,#REF!,Planning[[#This Row],[Tipo de Tarea y especialidad]],#REF!,Planning[[#This Row],[Proyectos]]))</f>
        <v>#REF!</v>
      </c>
      <c r="K2434" s="5" t="e">
        <f>Planning[[#This Row],[Horas Planificadas]]+Planning[[#This Row],[Horas ajustadas adicionales]]-Planning[[#This Row],[Horas utilizadas]]</f>
        <v>#REF!</v>
      </c>
      <c r="L2434" s="7">
        <v>15</v>
      </c>
      <c r="M2434" s="19" t="e">
        <f>Planning[[#This Row],[Saldo]]-Planning[[#This Row],[Saldo estimado]]</f>
        <v>#REF!</v>
      </c>
      <c r="N2434" s="60" t="e">
        <f>+SUMIFS(#REF!,#REF!,Planning[[#This Row],[Proyectos]],#REF!,Planning[[#This Row],[Tipo de Tarea y especialidad]])</f>
        <v>#REF!</v>
      </c>
      <c r="O2434" s="19">
        <f t="shared" si="74"/>
        <v>10</v>
      </c>
      <c r="P2434" s="19">
        <f t="shared" si="75"/>
        <v>2024</v>
      </c>
      <c r="Q24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34" s="19" t="str">
        <f>TEXT(Planning[[#This Row],[Mes]]*29,"mmmm")</f>
        <v>October</v>
      </c>
      <c r="S24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34" s="193"/>
      <c r="U2434" s="43" t="e">
        <f>IF(Planning[[#This Row],[Horas Planificadas]]&lt;&gt;0,+K2434/Planning[[#This Row],[Horas Planificadas]],0)</f>
        <v>#REF!</v>
      </c>
      <c r="V2434" s="43" t="e">
        <f>IF(Planning[[#This Row],[Horas Planificadas]]&lt;&gt;0,Planning[[#This Row],[Horas utilizadas]]/Planning[[#This Row],[Horas Planificadas]],0)</f>
        <v>#REF!</v>
      </c>
      <c r="W2434" s="44">
        <f>Planning[[#This Row],[Horas Planificadas]]+Planning[[#This Row],[Horas ajustadas adicionales]]</f>
        <v>88</v>
      </c>
      <c r="X2434" s="142"/>
    </row>
    <row r="2435" spans="1:24" x14ac:dyDescent="0.2">
      <c r="A2435" s="7" t="s">
        <v>204</v>
      </c>
      <c r="B2435" s="7" t="s">
        <v>463</v>
      </c>
      <c r="C2435" s="3">
        <v>116872</v>
      </c>
      <c r="D2435" s="3" t="s">
        <v>509</v>
      </c>
      <c r="E2435" s="4"/>
      <c r="F2435" s="3" t="s">
        <v>126</v>
      </c>
      <c r="G2435" s="9"/>
      <c r="H2435" s="9"/>
      <c r="I2435" s="12"/>
      <c r="J2435" s="5" t="e">
        <f>SUM(SUMIFS(#REF!,#REF!,Planning[[#This Row],[Tipo de Tarea y especialidad]],#REF!,Planning[[#This Row],[Proyectos Reiwa]]),SUMIFS(#REF!,#REF!,Planning[[#This Row],[Tipo de Tarea y especialidad]],#REF!,Planning[[#This Row],[Proyectos]]))</f>
        <v>#REF!</v>
      </c>
      <c r="K2435" s="5" t="e">
        <f>Planning[[#This Row],[Horas Planificadas]]+Planning[[#This Row],[Horas ajustadas adicionales]]-Planning[[#This Row],[Horas utilizadas]]</f>
        <v>#REF!</v>
      </c>
      <c r="L2435" s="7"/>
      <c r="M2435" s="19" t="e">
        <f>Planning[[#This Row],[Saldo]]-Planning[[#This Row],[Saldo estimado]]</f>
        <v>#REF!</v>
      </c>
      <c r="N2435" s="60" t="e">
        <f>+SUMIFS(#REF!,#REF!,Planning[[#This Row],[Proyectos]],#REF!,Planning[[#This Row],[Tipo de Tarea y especialidad]])</f>
        <v>#REF!</v>
      </c>
      <c r="O2435" s="19">
        <f t="shared" si="74"/>
        <v>10</v>
      </c>
      <c r="P2435" s="19">
        <f t="shared" si="75"/>
        <v>2024</v>
      </c>
      <c r="Q24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35" s="19" t="str">
        <f>TEXT(Planning[[#This Row],[Mes]]*29,"mmmm")</f>
        <v>October</v>
      </c>
      <c r="S24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35" s="193"/>
      <c r="U2435" s="43">
        <f>IF(Planning[[#This Row],[Horas Planificadas]]&lt;&gt;0,+K2435/Planning[[#This Row],[Horas Planificadas]],0)</f>
        <v>0</v>
      </c>
      <c r="V2435" s="43">
        <f>IF(Planning[[#This Row],[Horas Planificadas]]&lt;&gt;0,Planning[[#This Row],[Horas utilizadas]]/Planning[[#This Row],[Horas Planificadas]],0)</f>
        <v>0</v>
      </c>
      <c r="W2435" s="44">
        <f>Planning[[#This Row],[Horas Planificadas]]+Planning[[#This Row],[Horas ajustadas adicionales]]</f>
        <v>0</v>
      </c>
      <c r="X2435" s="142"/>
    </row>
    <row r="2436" spans="1:24" x14ac:dyDescent="0.2">
      <c r="A2436" s="7" t="s">
        <v>204</v>
      </c>
      <c r="B2436" s="7" t="s">
        <v>463</v>
      </c>
      <c r="C2436" s="3">
        <v>116872</v>
      </c>
      <c r="D2436" s="3" t="s">
        <v>509</v>
      </c>
      <c r="E2436" s="4"/>
      <c r="F2436" s="3" t="s">
        <v>127</v>
      </c>
      <c r="G2436" s="9"/>
      <c r="H2436" s="9">
        <v>63</v>
      </c>
      <c r="I2436" s="12"/>
      <c r="J2436" s="5" t="e">
        <f>SUM(SUMIFS(#REF!,#REF!,Planning[[#This Row],[Tipo de Tarea y especialidad]],#REF!,Planning[[#This Row],[Proyectos Reiwa]]),SUMIFS(#REF!,#REF!,Planning[[#This Row],[Tipo de Tarea y especialidad]],#REF!,Planning[[#This Row],[Proyectos]]))</f>
        <v>#REF!</v>
      </c>
      <c r="K2436" s="5" t="e">
        <f>Planning[[#This Row],[Horas Planificadas]]+Planning[[#This Row],[Horas ajustadas adicionales]]-Planning[[#This Row],[Horas utilizadas]]</f>
        <v>#REF!</v>
      </c>
      <c r="L2436" s="7">
        <v>0</v>
      </c>
      <c r="M2436" s="19" t="e">
        <f>Planning[[#This Row],[Saldo]]-Planning[[#This Row],[Saldo estimado]]</f>
        <v>#REF!</v>
      </c>
      <c r="N2436" s="60" t="e">
        <f>+SUMIFS(#REF!,#REF!,Planning[[#This Row],[Proyectos]],#REF!,Planning[[#This Row],[Tipo de Tarea y especialidad]])</f>
        <v>#REF!</v>
      </c>
      <c r="O2436" s="19">
        <f t="shared" si="74"/>
        <v>10</v>
      </c>
      <c r="P2436" s="19">
        <f t="shared" si="75"/>
        <v>2024</v>
      </c>
      <c r="Q24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36" s="19" t="str">
        <f>TEXT(Planning[[#This Row],[Mes]]*29,"mmmm")</f>
        <v>October</v>
      </c>
      <c r="S24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36" s="193"/>
      <c r="U2436" s="43" t="e">
        <f>IF(Planning[[#This Row],[Horas Planificadas]]&lt;&gt;0,+K2436/Planning[[#This Row],[Horas Planificadas]],0)</f>
        <v>#REF!</v>
      </c>
      <c r="V2436" s="43" t="e">
        <f>IF(Planning[[#This Row],[Horas Planificadas]]&lt;&gt;0,Planning[[#This Row],[Horas utilizadas]]/Planning[[#This Row],[Horas Planificadas]],0)</f>
        <v>#REF!</v>
      </c>
      <c r="W2436" s="44">
        <f>Planning[[#This Row],[Horas Planificadas]]+Planning[[#This Row],[Horas ajustadas adicionales]]</f>
        <v>63</v>
      </c>
      <c r="X2436" s="142"/>
    </row>
    <row r="2437" spans="1:24" x14ac:dyDescent="0.2">
      <c r="A2437" s="7" t="s">
        <v>204</v>
      </c>
      <c r="B2437" s="7" t="s">
        <v>463</v>
      </c>
      <c r="C2437" s="3">
        <v>116872</v>
      </c>
      <c r="D2437" s="3" t="s">
        <v>509</v>
      </c>
      <c r="E2437" s="4"/>
      <c r="F2437" s="3" t="s">
        <v>128</v>
      </c>
      <c r="G2437" s="9"/>
      <c r="H2437" s="9">
        <v>95</v>
      </c>
      <c r="I2437" s="12"/>
      <c r="J2437" s="5" t="e">
        <f>SUM(SUMIFS(#REF!,#REF!,Planning[[#This Row],[Tipo de Tarea y especialidad]],#REF!,Planning[[#This Row],[Proyectos Reiwa]]),SUMIFS(#REF!,#REF!,Planning[[#This Row],[Tipo de Tarea y especialidad]],#REF!,Planning[[#This Row],[Proyectos]]))</f>
        <v>#REF!</v>
      </c>
      <c r="K2437" s="5" t="e">
        <f>Planning[[#This Row],[Horas Planificadas]]+Planning[[#This Row],[Horas ajustadas adicionales]]-Planning[[#This Row],[Horas utilizadas]]</f>
        <v>#REF!</v>
      </c>
      <c r="L2437" s="7">
        <v>0</v>
      </c>
      <c r="M2437" s="19" t="e">
        <f>Planning[[#This Row],[Saldo]]-Planning[[#This Row],[Saldo estimado]]</f>
        <v>#REF!</v>
      </c>
      <c r="N2437" s="60" t="e">
        <f>+SUMIFS(#REF!,#REF!,Planning[[#This Row],[Proyectos]],#REF!,Planning[[#This Row],[Tipo de Tarea y especialidad]])</f>
        <v>#REF!</v>
      </c>
      <c r="O2437" s="19">
        <f t="shared" si="74"/>
        <v>10</v>
      </c>
      <c r="P2437" s="19">
        <f t="shared" si="75"/>
        <v>2024</v>
      </c>
      <c r="Q24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37" s="19" t="str">
        <f>TEXT(Planning[[#This Row],[Mes]]*29,"mmmm")</f>
        <v>October</v>
      </c>
      <c r="S24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37" s="193"/>
      <c r="U2437" s="43" t="e">
        <f>IF(Planning[[#This Row],[Horas Planificadas]]&lt;&gt;0,+K2437/Planning[[#This Row],[Horas Planificadas]],0)</f>
        <v>#REF!</v>
      </c>
      <c r="V2437" s="43" t="e">
        <f>IF(Planning[[#This Row],[Horas Planificadas]]&lt;&gt;0,Planning[[#This Row],[Horas utilizadas]]/Planning[[#This Row],[Horas Planificadas]],0)</f>
        <v>#REF!</v>
      </c>
      <c r="W2437" s="44">
        <f>Planning[[#This Row],[Horas Planificadas]]+Planning[[#This Row],[Horas ajustadas adicionales]]</f>
        <v>95</v>
      </c>
      <c r="X2437" s="142"/>
    </row>
    <row r="2438" spans="1:24" x14ac:dyDescent="0.2">
      <c r="A2438" s="7" t="s">
        <v>204</v>
      </c>
      <c r="B2438" s="7" t="s">
        <v>463</v>
      </c>
      <c r="C2438" s="3">
        <v>116872</v>
      </c>
      <c r="D2438" s="3" t="s">
        <v>509</v>
      </c>
      <c r="E2438" s="4" t="s">
        <v>31</v>
      </c>
      <c r="F2438" s="3" t="s">
        <v>31</v>
      </c>
      <c r="G2438" s="9">
        <v>135</v>
      </c>
      <c r="H2438" s="17">
        <v>135</v>
      </c>
      <c r="I2438" s="18"/>
      <c r="J2438" s="14" t="e">
        <f>+SUMIFS(#REF!,#REF!,Planning[[#This Row],[Tarifa]],#REF!,Planning[[#This Row],[Proyectos]])</f>
        <v>#REF!</v>
      </c>
      <c r="K2438" s="14" t="e">
        <f>Planning[[#This Row],[Horas Planificadas]]+Planning[[#This Row],[Horas ajustadas adicionales]]-Planning[[#This Row],[Horas utilizadas]]</f>
        <v>#REF!</v>
      </c>
      <c r="L2438" s="15">
        <v>0</v>
      </c>
      <c r="M2438" s="16" t="e">
        <f>Planning[[#This Row],[Saldo]]-Planning[[#This Row],[Saldo estimado]]</f>
        <v>#REF!</v>
      </c>
      <c r="N2438" s="60" t="e">
        <f>+SUMIFS(#REF!,#REF!,Planning[[#This Row],[Proyectos]],#REF!,Planning[[#This Row],[Tipo de Tarea y especialidad]])</f>
        <v>#REF!</v>
      </c>
      <c r="O2438" s="16">
        <f t="shared" si="74"/>
        <v>10</v>
      </c>
      <c r="P2438" s="16">
        <f t="shared" si="75"/>
        <v>2024</v>
      </c>
      <c r="Q2438" s="16" t="e">
        <f>+SUMIFS(#REF!,#REF!,Planning[[#This Row],[Tarifa]],#REF!,Planning[[#This Row],[Proyectos]],#REF!,Planning[[#This Row],[Mes]],#REF!,Planning[[#This Row],[Año]])</f>
        <v>#REF!</v>
      </c>
      <c r="R2438" s="16" t="str">
        <f>TEXT(Planning[[#This Row],[Mes]]*29,"mmmm")</f>
        <v>October</v>
      </c>
      <c r="S24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38" s="193"/>
      <c r="U2438" s="43" t="e">
        <f>IF(Planning[[#This Row],[Horas Planificadas]]&lt;&gt;0,+K2438/Planning[[#This Row],[Horas Planificadas]],0)</f>
        <v>#REF!</v>
      </c>
      <c r="V2438" s="43" t="e">
        <f>IF(Planning[[#This Row],[Horas Planificadas]]&lt;&gt;0,Planning[[#This Row],[Horas utilizadas]]/Planning[[#This Row],[Horas Planificadas]],0)</f>
        <v>#REF!</v>
      </c>
      <c r="W2438" s="44">
        <f>Planning[[#This Row],[Horas Planificadas]]+Planning[[#This Row],[Horas ajustadas adicionales]]</f>
        <v>135</v>
      </c>
      <c r="X2438" s="142"/>
    </row>
    <row r="2439" spans="1:24" ht="22.5" x14ac:dyDescent="0.2">
      <c r="A2439" s="7" t="s">
        <v>204</v>
      </c>
      <c r="B2439" s="7" t="s">
        <v>463</v>
      </c>
      <c r="C2439" s="3">
        <v>116872</v>
      </c>
      <c r="D2439" s="3" t="s">
        <v>509</v>
      </c>
      <c r="E2439" s="4" t="s">
        <v>32</v>
      </c>
      <c r="F2439" s="3"/>
      <c r="G2439" s="9">
        <v>260</v>
      </c>
      <c r="H2439" s="14">
        <f>SUM(H2440:H2442)</f>
        <v>80</v>
      </c>
      <c r="I2439" s="14"/>
      <c r="J2439" s="14" t="e">
        <f>SUM(J2440:J2442)</f>
        <v>#REF!</v>
      </c>
      <c r="K2439" s="15" t="e">
        <f>SUM(K2440:K2442)</f>
        <v>#REF!</v>
      </c>
      <c r="L2439" s="15">
        <f>SUM(L2440:L2442)</f>
        <v>80</v>
      </c>
      <c r="M2439" s="16" t="e">
        <f>SUM(M2440:M2442)</f>
        <v>#REF!</v>
      </c>
      <c r="N2439" s="60" t="e">
        <f>+SUMIFS(#REF!,#REF!,Planning[[#This Row],[Proyectos]],#REF!,Planning[[#This Row],[Tipo de Tarea y especialidad]])</f>
        <v>#REF!</v>
      </c>
      <c r="O2439" s="16">
        <f t="shared" ref="O2439:O2502" si="76">$L$4</f>
        <v>10</v>
      </c>
      <c r="P2439" s="16">
        <f t="shared" ref="P2439:P2502" si="77">$M$4</f>
        <v>2024</v>
      </c>
      <c r="Q2439" s="16" t="e">
        <f>SUM(Q2440:Q2442)</f>
        <v>#REF!</v>
      </c>
      <c r="R2439" s="16" t="str">
        <f>TEXT(Planning[[#This Row],[Mes]]*29,"mmmm")</f>
        <v>October</v>
      </c>
      <c r="S24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39" s="193"/>
      <c r="U2439" s="43" t="e">
        <f>IF(Planning[[#This Row],[Horas Planificadas]]&lt;&gt;0,+K2439/Planning[[#This Row],[Horas Planificadas]],0)</f>
        <v>#REF!</v>
      </c>
      <c r="V2439" s="43" t="e">
        <f>IF(Planning[[#This Row],[Horas Planificadas]]&lt;&gt;0,Planning[[#This Row],[Horas utilizadas]]/Planning[[#This Row],[Horas Planificadas]],0)</f>
        <v>#REF!</v>
      </c>
      <c r="W2439" s="44">
        <f>Planning[[#This Row],[Horas Planificadas]]+Planning[[#This Row],[Horas ajustadas adicionales]]</f>
        <v>80</v>
      </c>
      <c r="X2439" s="142"/>
    </row>
    <row r="2440" spans="1:24" x14ac:dyDescent="0.2">
      <c r="A2440" s="7" t="s">
        <v>204</v>
      </c>
      <c r="B2440" s="7" t="s">
        <v>463</v>
      </c>
      <c r="C2440" s="3">
        <v>116872</v>
      </c>
      <c r="D2440" s="3" t="s">
        <v>509</v>
      </c>
      <c r="E2440" s="4"/>
      <c r="F2440" s="3" t="s">
        <v>129</v>
      </c>
      <c r="G2440" s="9"/>
      <c r="H2440" s="9"/>
      <c r="I2440" s="12"/>
      <c r="J2440" s="5" t="e">
        <f>SUM(SUMIFS(#REF!,#REF!,Planning[[#This Row],[Tipo de Tarea y especialidad]],#REF!,Planning[[#This Row],[Proyectos Reiwa]]),SUMIFS(#REF!,#REF!,Planning[[#This Row],[Tipo de Tarea y especialidad]],#REF!,Planning[[#This Row],[Proyectos]]))</f>
        <v>#REF!</v>
      </c>
      <c r="K2440" s="5" t="e">
        <f>Planning[[#This Row],[Horas Planificadas]]+Planning[[#This Row],[Horas ajustadas adicionales]]-Planning[[#This Row],[Horas utilizadas]]</f>
        <v>#REF!</v>
      </c>
      <c r="L2440" s="7"/>
      <c r="M2440" s="19" t="e">
        <f>Planning[[#This Row],[Saldo]]-Planning[[#This Row],[Saldo estimado]]</f>
        <v>#REF!</v>
      </c>
      <c r="N2440" s="60" t="e">
        <f>+SUMIFS(#REF!,#REF!,Planning[[#This Row],[Proyectos]],#REF!,Planning[[#This Row],[Tipo de Tarea y especialidad]])</f>
        <v>#REF!</v>
      </c>
      <c r="O2440" s="19">
        <f t="shared" si="76"/>
        <v>10</v>
      </c>
      <c r="P2440" s="19">
        <f t="shared" si="77"/>
        <v>2024</v>
      </c>
      <c r="Q24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40" s="19" t="str">
        <f>TEXT(Planning[[#This Row],[Mes]]*29,"mmmm")</f>
        <v>October</v>
      </c>
      <c r="S24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40" s="193"/>
      <c r="U2440" s="43">
        <f>IF(Planning[[#This Row],[Horas Planificadas]]&lt;&gt;0,+K2440/Planning[[#This Row],[Horas Planificadas]],0)</f>
        <v>0</v>
      </c>
      <c r="V2440" s="43">
        <f>IF(Planning[[#This Row],[Horas Planificadas]]&lt;&gt;0,Planning[[#This Row],[Horas utilizadas]]/Planning[[#This Row],[Horas Planificadas]],0)</f>
        <v>0</v>
      </c>
      <c r="W2440" s="44">
        <f>Planning[[#This Row],[Horas Planificadas]]+Planning[[#This Row],[Horas ajustadas adicionales]]</f>
        <v>0</v>
      </c>
      <c r="X2440" s="142"/>
    </row>
    <row r="2441" spans="1:24" x14ac:dyDescent="0.2">
      <c r="A2441" s="7" t="s">
        <v>204</v>
      </c>
      <c r="B2441" s="7" t="s">
        <v>463</v>
      </c>
      <c r="C2441" s="3">
        <v>116872</v>
      </c>
      <c r="D2441" s="3" t="s">
        <v>509</v>
      </c>
      <c r="E2441" s="4"/>
      <c r="F2441" s="3" t="s">
        <v>130</v>
      </c>
      <c r="G2441" s="9"/>
      <c r="H2441" s="9">
        <v>80</v>
      </c>
      <c r="I2441" s="12"/>
      <c r="J2441" s="5" t="e">
        <f>SUM(SUMIFS(#REF!,#REF!,Planning[[#This Row],[Tipo de Tarea y especialidad]],#REF!,Planning[[#This Row],[Proyectos Reiwa]]),SUMIFS(#REF!,#REF!,Planning[[#This Row],[Tipo de Tarea y especialidad]],#REF!,Planning[[#This Row],[Proyectos]]))</f>
        <v>#REF!</v>
      </c>
      <c r="K2441" s="5" t="e">
        <f>Planning[[#This Row],[Horas Planificadas]]+Planning[[#This Row],[Horas ajustadas adicionales]]-Planning[[#This Row],[Horas utilizadas]]</f>
        <v>#REF!</v>
      </c>
      <c r="L2441" s="7">
        <v>80</v>
      </c>
      <c r="M2441" s="19" t="e">
        <f>Planning[[#This Row],[Saldo]]-Planning[[#This Row],[Saldo estimado]]</f>
        <v>#REF!</v>
      </c>
      <c r="N2441" s="60" t="e">
        <f>+SUMIFS(#REF!,#REF!,Planning[[#This Row],[Proyectos]],#REF!,Planning[[#This Row],[Tipo de Tarea y especialidad]])</f>
        <v>#REF!</v>
      </c>
      <c r="O2441" s="19">
        <f t="shared" si="76"/>
        <v>10</v>
      </c>
      <c r="P2441" s="19">
        <f t="shared" si="77"/>
        <v>2024</v>
      </c>
      <c r="Q24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41" s="19" t="str">
        <f>TEXT(Planning[[#This Row],[Mes]]*29,"mmmm")</f>
        <v>October</v>
      </c>
      <c r="S24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41" s="193"/>
      <c r="U2441" s="43" t="e">
        <f>IF(Planning[[#This Row],[Horas Planificadas]]&lt;&gt;0,+K2441/Planning[[#This Row],[Horas Planificadas]],0)</f>
        <v>#REF!</v>
      </c>
      <c r="V2441" s="43" t="e">
        <f>IF(Planning[[#This Row],[Horas Planificadas]]&lt;&gt;0,Planning[[#This Row],[Horas utilizadas]]/Planning[[#This Row],[Horas Planificadas]],0)</f>
        <v>#REF!</v>
      </c>
      <c r="W2441" s="44">
        <f>Planning[[#This Row],[Horas Planificadas]]+Planning[[#This Row],[Horas ajustadas adicionales]]</f>
        <v>80</v>
      </c>
      <c r="X2441" s="142"/>
    </row>
    <row r="2442" spans="1:24" x14ac:dyDescent="0.2">
      <c r="A2442" s="7" t="s">
        <v>204</v>
      </c>
      <c r="B2442" s="7" t="s">
        <v>463</v>
      </c>
      <c r="C2442" s="3">
        <v>116872</v>
      </c>
      <c r="D2442" s="3" t="s">
        <v>509</v>
      </c>
      <c r="E2442" s="4"/>
      <c r="F2442" s="3" t="s">
        <v>131</v>
      </c>
      <c r="G2442" s="9"/>
      <c r="H2442" s="9"/>
      <c r="I2442" s="12"/>
      <c r="J2442" s="5" t="e">
        <f>SUM(SUMIFS(#REF!,#REF!,Planning[[#This Row],[Tipo de Tarea y especialidad]],#REF!,Planning[[#This Row],[Proyectos Reiwa]]),SUMIFS(#REF!,#REF!,Planning[[#This Row],[Tipo de Tarea y especialidad]],#REF!,Planning[[#This Row],[Proyectos]]))</f>
        <v>#REF!</v>
      </c>
      <c r="K2442" s="5" t="e">
        <f>Planning[[#This Row],[Horas Planificadas]]+Planning[[#This Row],[Horas ajustadas adicionales]]-Planning[[#This Row],[Horas utilizadas]]</f>
        <v>#REF!</v>
      </c>
      <c r="L2442" s="7"/>
      <c r="M2442" s="19" t="e">
        <f>Planning[[#This Row],[Saldo]]-Planning[[#This Row],[Saldo estimado]]</f>
        <v>#REF!</v>
      </c>
      <c r="N2442" s="60" t="e">
        <f>+SUMIFS(#REF!,#REF!,Planning[[#This Row],[Proyectos]],#REF!,Planning[[#This Row],[Tipo de Tarea y especialidad]])</f>
        <v>#REF!</v>
      </c>
      <c r="O2442" s="19">
        <f t="shared" si="76"/>
        <v>10</v>
      </c>
      <c r="P2442" s="19">
        <f t="shared" si="77"/>
        <v>2024</v>
      </c>
      <c r="Q24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42" s="19" t="str">
        <f>TEXT(Planning[[#This Row],[Mes]]*29,"mmmm")</f>
        <v>October</v>
      </c>
      <c r="S24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42" s="193"/>
      <c r="U2442" s="43">
        <f>IF(Planning[[#This Row],[Horas Planificadas]]&lt;&gt;0,+K2442/Planning[[#This Row],[Horas Planificadas]],0)</f>
        <v>0</v>
      </c>
      <c r="V2442" s="43">
        <f>IF(Planning[[#This Row],[Horas Planificadas]]&lt;&gt;0,Planning[[#This Row],[Horas utilizadas]]/Planning[[#This Row],[Horas Planificadas]],0)</f>
        <v>0</v>
      </c>
      <c r="W2442" s="44">
        <f>Planning[[#This Row],[Horas Planificadas]]+Planning[[#This Row],[Horas ajustadas adicionales]]</f>
        <v>0</v>
      </c>
      <c r="X2442" s="142"/>
    </row>
    <row r="2443" spans="1:24" ht="22.5" x14ac:dyDescent="0.2">
      <c r="A2443" s="7" t="s">
        <v>204</v>
      </c>
      <c r="B2443" s="7" t="s">
        <v>118</v>
      </c>
      <c r="C2443" s="3"/>
      <c r="D2443" s="3" t="s">
        <v>511</v>
      </c>
      <c r="E2443" s="4" t="s">
        <v>28</v>
      </c>
      <c r="F2443" s="3"/>
      <c r="G2443" s="9">
        <v>837</v>
      </c>
      <c r="H2443" s="14">
        <f>SUM(H2444:H2445)</f>
        <v>945</v>
      </c>
      <c r="I2443" s="14"/>
      <c r="J2443" s="14" t="e">
        <f>SUM(J2444:J2445)</f>
        <v>#REF!</v>
      </c>
      <c r="K2443" s="15" t="e">
        <f>SUM(K2444:K2445)</f>
        <v>#REF!</v>
      </c>
      <c r="L2443" s="15">
        <f>SUM(L2444:L2445)</f>
        <v>18</v>
      </c>
      <c r="M2443" s="14" t="e">
        <f>SUM(M2444:M2445)</f>
        <v>#REF!</v>
      </c>
      <c r="N2443" s="66" t="e">
        <f>+SUMIFS(#REF!,#REF!,Planning[[#This Row],[Proyectos]],#REF!,Planning[[#This Row],[Tipo de Tarea y especialidad]])</f>
        <v>#REF!</v>
      </c>
      <c r="O2443" s="14">
        <f t="shared" si="76"/>
        <v>10</v>
      </c>
      <c r="P2443" s="14">
        <f t="shared" si="77"/>
        <v>2024</v>
      </c>
      <c r="Q2443" s="28" t="e">
        <f>SUM(Q2444:Q2445)</f>
        <v>#REF!</v>
      </c>
      <c r="R2443" s="28" t="str">
        <f>TEXT(Planning[[#This Row],[Mes]]*29,"mmmm")</f>
        <v>October</v>
      </c>
      <c r="S24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43" s="192" t="s">
        <v>512</v>
      </c>
      <c r="U2443" s="43" t="e">
        <f>IF(Planning[[#This Row],[Horas Planificadas]]&lt;&gt;0,+K2443/Planning[[#This Row],[Horas Planificadas]],0)</f>
        <v>#REF!</v>
      </c>
      <c r="V2443" s="43" t="e">
        <f>IF(Planning[[#This Row],[Horas Planificadas]]&lt;&gt;0,Planning[[#This Row],[Horas utilizadas]]/Planning[[#This Row],[Horas Planificadas]],0)</f>
        <v>#REF!</v>
      </c>
      <c r="W2443" s="44">
        <f>Planning[[#This Row],[Horas Planificadas]]+Planning[[#This Row],[Horas ajustadas adicionales]]</f>
        <v>945</v>
      </c>
      <c r="X2443" s="142"/>
    </row>
    <row r="2444" spans="1:24" x14ac:dyDescent="0.2">
      <c r="A2444" s="7" t="s">
        <v>204</v>
      </c>
      <c r="B2444" s="7" t="s">
        <v>118</v>
      </c>
      <c r="C2444" s="3"/>
      <c r="D2444" s="3" t="s">
        <v>511</v>
      </c>
      <c r="E2444" s="4"/>
      <c r="F2444" s="3" t="s">
        <v>120</v>
      </c>
      <c r="G2444" s="9"/>
      <c r="H2444" s="9">
        <v>600</v>
      </c>
      <c r="I2444" s="12"/>
      <c r="J2444" s="5" t="e">
        <f>SUM(SUMIFS(#REF!,#REF!,Planning[[#This Row],[Tipo de Tarea y especialidad]],#REF!,Planning[[#This Row],[Proyectos Reiwa]]),SUMIFS(#REF!,#REF!,Planning[[#This Row],[Tipo de Tarea y especialidad]],#REF!,Planning[[#This Row],[Proyectos]]))</f>
        <v>#REF!</v>
      </c>
      <c r="K2444" s="5" t="e">
        <f>Planning[[#This Row],[Horas Planificadas]]+Planning[[#This Row],[Horas ajustadas adicionales]]-Planning[[#This Row],[Horas utilizadas]]</f>
        <v>#REF!</v>
      </c>
      <c r="L2444" s="7">
        <v>0</v>
      </c>
      <c r="M2444" s="19" t="e">
        <f>Planning[[#This Row],[Saldo]]-Planning[[#This Row],[Saldo estimado]]</f>
        <v>#REF!</v>
      </c>
      <c r="N2444" s="60" t="e">
        <f>+SUMIFS(#REF!,#REF!,Planning[[#This Row],[Proyectos]],#REF!,Planning[[#This Row],[Tipo de Tarea y especialidad]])</f>
        <v>#REF!</v>
      </c>
      <c r="O2444" s="19">
        <f t="shared" si="76"/>
        <v>10</v>
      </c>
      <c r="P2444" s="19">
        <f t="shared" si="77"/>
        <v>2024</v>
      </c>
      <c r="Q24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44" s="19" t="str">
        <f>TEXT(Planning[[#This Row],[Mes]]*29,"mmmm")</f>
        <v>October</v>
      </c>
      <c r="S24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44" s="193"/>
      <c r="U2444" s="43" t="e">
        <f>IF(Planning[[#This Row],[Horas Planificadas]]&lt;&gt;0,+K2444/Planning[[#This Row],[Horas Planificadas]],0)</f>
        <v>#REF!</v>
      </c>
      <c r="V2444" s="43" t="e">
        <f>IF(Planning[[#This Row],[Horas Planificadas]]&lt;&gt;0,Planning[[#This Row],[Horas utilizadas]]/Planning[[#This Row],[Horas Planificadas]],0)</f>
        <v>#REF!</v>
      </c>
      <c r="W2444" s="44">
        <f>Planning[[#This Row],[Horas Planificadas]]+Planning[[#This Row],[Horas ajustadas adicionales]]</f>
        <v>600</v>
      </c>
      <c r="X2444" s="142"/>
    </row>
    <row r="2445" spans="1:24" x14ac:dyDescent="0.2">
      <c r="A2445" s="7" t="s">
        <v>204</v>
      </c>
      <c r="B2445" s="7" t="s">
        <v>118</v>
      </c>
      <c r="C2445" s="3"/>
      <c r="D2445" s="3" t="s">
        <v>511</v>
      </c>
      <c r="E2445" s="4"/>
      <c r="F2445" s="3" t="s">
        <v>121</v>
      </c>
      <c r="G2445" s="9"/>
      <c r="H2445" s="9">
        <v>345</v>
      </c>
      <c r="I2445" s="12"/>
      <c r="J2445" s="5" t="e">
        <f>SUM(SUMIFS(#REF!,#REF!,Planning[[#This Row],[Tipo de Tarea y especialidad]],#REF!,Planning[[#This Row],[Proyectos Reiwa]]),SUMIFS(#REF!,#REF!,Planning[[#This Row],[Tipo de Tarea y especialidad]],#REF!,Planning[[#This Row],[Proyectos]]))</f>
        <v>#REF!</v>
      </c>
      <c r="K2445" s="5" t="e">
        <f>Planning[[#This Row],[Horas Planificadas]]+Planning[[#This Row],[Horas ajustadas adicionales]]-Planning[[#This Row],[Horas utilizadas]]</f>
        <v>#REF!</v>
      </c>
      <c r="L2445" s="7">
        <v>18</v>
      </c>
      <c r="M2445" s="19" t="e">
        <f>Planning[[#This Row],[Saldo]]-Planning[[#This Row],[Saldo estimado]]</f>
        <v>#REF!</v>
      </c>
      <c r="N2445" s="60" t="e">
        <f>+SUMIFS(#REF!,#REF!,Planning[[#This Row],[Proyectos]],#REF!,Planning[[#This Row],[Tipo de Tarea y especialidad]])</f>
        <v>#REF!</v>
      </c>
      <c r="O2445" s="19">
        <f t="shared" si="76"/>
        <v>10</v>
      </c>
      <c r="P2445" s="19">
        <f t="shared" si="77"/>
        <v>2024</v>
      </c>
      <c r="Q24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45" s="19" t="str">
        <f>TEXT(Planning[[#This Row],[Mes]]*29,"mmmm")</f>
        <v>October</v>
      </c>
      <c r="S24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45" s="193"/>
      <c r="U2445" s="43" t="e">
        <f>IF(Planning[[#This Row],[Horas Planificadas]]&lt;&gt;0,+K2445/Planning[[#This Row],[Horas Planificadas]],0)</f>
        <v>#REF!</v>
      </c>
      <c r="V2445" s="43" t="e">
        <f>IF(Planning[[#This Row],[Horas Planificadas]]&lt;&gt;0,Planning[[#This Row],[Horas utilizadas]]/Planning[[#This Row],[Horas Planificadas]],0)</f>
        <v>#REF!</v>
      </c>
      <c r="W2445" s="44">
        <f>Planning[[#This Row],[Horas Planificadas]]+Planning[[#This Row],[Horas ajustadas adicionales]]</f>
        <v>345</v>
      </c>
      <c r="X2445" s="142"/>
    </row>
    <row r="2446" spans="1:24" x14ac:dyDescent="0.2">
      <c r="A2446" s="7" t="s">
        <v>204</v>
      </c>
      <c r="B2446" s="7" t="s">
        <v>118</v>
      </c>
      <c r="C2446" s="3"/>
      <c r="D2446" s="3" t="s">
        <v>511</v>
      </c>
      <c r="E2446" s="4" t="s">
        <v>30</v>
      </c>
      <c r="F2446" s="3"/>
      <c r="G2446" s="9">
        <v>432</v>
      </c>
      <c r="H2446" s="14">
        <f>SUM(H2447:H2453)</f>
        <v>521</v>
      </c>
      <c r="I2446" s="14"/>
      <c r="J2446" s="14" t="e">
        <f>SUM(J2447:J2453)</f>
        <v>#REF!</v>
      </c>
      <c r="K2446" s="15" t="e">
        <f>SUM(K2447:K2453)</f>
        <v>#REF!</v>
      </c>
      <c r="L2446" s="15">
        <f>SUM(L2447:L2453)</f>
        <v>90</v>
      </c>
      <c r="M2446" s="16" t="e">
        <f>SUM(M2447:M2453)</f>
        <v>#REF!</v>
      </c>
      <c r="N2446" s="60" t="e">
        <f>+SUMIFS(#REF!,#REF!,Planning[[#This Row],[Proyectos]],#REF!,Planning[[#This Row],[Tipo de Tarea y especialidad]])</f>
        <v>#REF!</v>
      </c>
      <c r="O2446" s="16">
        <f t="shared" si="76"/>
        <v>10</v>
      </c>
      <c r="P2446" s="16">
        <f t="shared" si="77"/>
        <v>2024</v>
      </c>
      <c r="Q2446" s="16" t="e">
        <f>SUM(Q2447:Q2453)</f>
        <v>#REF!</v>
      </c>
      <c r="R2446" s="16" t="str">
        <f>TEXT(Planning[[#This Row],[Mes]]*29,"mmmm")</f>
        <v>October</v>
      </c>
      <c r="S24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46" s="193"/>
      <c r="U2446" s="43" t="e">
        <f>IF(Planning[[#This Row],[Horas Planificadas]]&lt;&gt;0,+K2446/Planning[[#This Row],[Horas Planificadas]],0)</f>
        <v>#REF!</v>
      </c>
      <c r="V2446" s="43" t="e">
        <f>IF(Planning[[#This Row],[Horas Planificadas]]&lt;&gt;0,Planning[[#This Row],[Horas utilizadas]]/Planning[[#This Row],[Horas Planificadas]],0)</f>
        <v>#REF!</v>
      </c>
      <c r="W2446" s="44">
        <f>Planning[[#This Row],[Horas Planificadas]]+Planning[[#This Row],[Horas ajustadas adicionales]]</f>
        <v>521</v>
      </c>
      <c r="X2446" s="142"/>
    </row>
    <row r="2447" spans="1:24" x14ac:dyDescent="0.2">
      <c r="A2447" s="7" t="s">
        <v>204</v>
      </c>
      <c r="B2447" s="7" t="s">
        <v>118</v>
      </c>
      <c r="C2447" s="3"/>
      <c r="D2447" s="3" t="s">
        <v>511</v>
      </c>
      <c r="E2447" s="4"/>
      <c r="F2447" s="3" t="s">
        <v>122</v>
      </c>
      <c r="G2447" s="9"/>
      <c r="H2447" s="9">
        <v>166</v>
      </c>
      <c r="I2447" s="12"/>
      <c r="J2447" s="5" t="e">
        <f>SUM(SUMIFS(#REF!,#REF!,Planning[[#This Row],[Tipo de Tarea y especialidad]],#REF!,Planning[[#This Row],[Proyectos Reiwa]]),SUMIFS(#REF!,#REF!,Planning[[#This Row],[Tipo de Tarea y especialidad]],#REF!,Planning[[#This Row],[Proyectos]]))</f>
        <v>#REF!</v>
      </c>
      <c r="K2447" s="5" t="e">
        <f>Planning[[#This Row],[Horas Planificadas]]+Planning[[#This Row],[Horas ajustadas adicionales]]-Planning[[#This Row],[Horas utilizadas]]</f>
        <v>#REF!</v>
      </c>
      <c r="L2447" s="7">
        <v>27</v>
      </c>
      <c r="M2447" s="19" t="e">
        <f>Planning[[#This Row],[Saldo]]-Planning[[#This Row],[Saldo estimado]]</f>
        <v>#REF!</v>
      </c>
      <c r="N2447" s="60" t="e">
        <f>+SUMIFS(#REF!,#REF!,Planning[[#This Row],[Proyectos]],#REF!,Planning[[#This Row],[Tipo de Tarea y especialidad]])</f>
        <v>#REF!</v>
      </c>
      <c r="O2447" s="19">
        <f t="shared" si="76"/>
        <v>10</v>
      </c>
      <c r="P2447" s="19">
        <f t="shared" si="77"/>
        <v>2024</v>
      </c>
      <c r="Q24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47" s="19" t="str">
        <f>TEXT(Planning[[#This Row],[Mes]]*29,"mmmm")</f>
        <v>October</v>
      </c>
      <c r="S24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47" s="193"/>
      <c r="U2447" s="43" t="e">
        <f>IF(Planning[[#This Row],[Horas Planificadas]]&lt;&gt;0,+K2447/Planning[[#This Row],[Horas Planificadas]],0)</f>
        <v>#REF!</v>
      </c>
      <c r="V2447" s="43" t="e">
        <f>IF(Planning[[#This Row],[Horas Planificadas]]&lt;&gt;0,Planning[[#This Row],[Horas utilizadas]]/Planning[[#This Row],[Horas Planificadas]],0)</f>
        <v>#REF!</v>
      </c>
      <c r="W2447" s="44">
        <f>Planning[[#This Row],[Horas Planificadas]]+Planning[[#This Row],[Horas ajustadas adicionales]]</f>
        <v>166</v>
      </c>
      <c r="X2447" s="142"/>
    </row>
    <row r="2448" spans="1:24" x14ac:dyDescent="0.2">
      <c r="A2448" s="7" t="s">
        <v>204</v>
      </c>
      <c r="B2448" s="7" t="s">
        <v>118</v>
      </c>
      <c r="C2448" s="3"/>
      <c r="D2448" s="3" t="s">
        <v>511</v>
      </c>
      <c r="E2448" s="4"/>
      <c r="F2448" s="3" t="s">
        <v>123</v>
      </c>
      <c r="G2448" s="9"/>
      <c r="H2448" s="9"/>
      <c r="I2448" s="12"/>
      <c r="J2448" s="5" t="e">
        <f>SUM(SUMIFS(#REF!,#REF!,Planning[[#This Row],[Tipo de Tarea y especialidad]],#REF!,Planning[[#This Row],[Proyectos Reiwa]]),SUMIFS(#REF!,#REF!,Planning[[#This Row],[Tipo de Tarea y especialidad]],#REF!,Planning[[#This Row],[Proyectos]]))</f>
        <v>#REF!</v>
      </c>
      <c r="K2448" s="5" t="e">
        <f>Planning[[#This Row],[Horas Planificadas]]+Planning[[#This Row],[Horas ajustadas adicionales]]-Planning[[#This Row],[Horas utilizadas]]</f>
        <v>#REF!</v>
      </c>
      <c r="L2448" s="7"/>
      <c r="M2448" s="19" t="e">
        <f>Planning[[#This Row],[Saldo]]-Planning[[#This Row],[Saldo estimado]]</f>
        <v>#REF!</v>
      </c>
      <c r="N2448" s="60" t="e">
        <f>+SUMIFS(#REF!,#REF!,Planning[[#This Row],[Proyectos]],#REF!,Planning[[#This Row],[Tipo de Tarea y especialidad]])</f>
        <v>#REF!</v>
      </c>
      <c r="O2448" s="19">
        <f t="shared" si="76"/>
        <v>10</v>
      </c>
      <c r="P2448" s="19">
        <f t="shared" si="77"/>
        <v>2024</v>
      </c>
      <c r="Q24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48" s="19" t="str">
        <f>TEXT(Planning[[#This Row],[Mes]]*29,"mmmm")</f>
        <v>October</v>
      </c>
      <c r="S24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48" s="193"/>
      <c r="U2448" s="43">
        <f>IF(Planning[[#This Row],[Horas Planificadas]]&lt;&gt;0,+K2448/Planning[[#This Row],[Horas Planificadas]],0)</f>
        <v>0</v>
      </c>
      <c r="V2448" s="43">
        <f>IF(Planning[[#This Row],[Horas Planificadas]]&lt;&gt;0,Planning[[#This Row],[Horas utilizadas]]/Planning[[#This Row],[Horas Planificadas]],0)</f>
        <v>0</v>
      </c>
      <c r="W2448" s="44">
        <f>Planning[[#This Row],[Horas Planificadas]]+Planning[[#This Row],[Horas ajustadas adicionales]]</f>
        <v>0</v>
      </c>
      <c r="X2448" s="142"/>
    </row>
    <row r="2449" spans="1:24" x14ac:dyDescent="0.2">
      <c r="A2449" s="7" t="s">
        <v>204</v>
      </c>
      <c r="B2449" s="7" t="s">
        <v>118</v>
      </c>
      <c r="C2449" s="3"/>
      <c r="D2449" s="3" t="s">
        <v>511</v>
      </c>
      <c r="E2449" s="4"/>
      <c r="F2449" s="3" t="s">
        <v>124</v>
      </c>
      <c r="G2449" s="9"/>
      <c r="H2449" s="9"/>
      <c r="I2449" s="12"/>
      <c r="J2449" s="5" t="e">
        <f>SUM(SUMIFS(#REF!,#REF!,Planning[[#This Row],[Tipo de Tarea y especialidad]],#REF!,Planning[[#This Row],[Proyectos Reiwa]]),SUMIFS(#REF!,#REF!,Planning[[#This Row],[Tipo de Tarea y especialidad]],#REF!,Planning[[#This Row],[Proyectos]]))</f>
        <v>#REF!</v>
      </c>
      <c r="K2449" s="5" t="e">
        <f>Planning[[#This Row],[Horas Planificadas]]+Planning[[#This Row],[Horas ajustadas adicionales]]-Planning[[#This Row],[Horas utilizadas]]</f>
        <v>#REF!</v>
      </c>
      <c r="L2449" s="7"/>
      <c r="M2449" s="19" t="e">
        <f>Planning[[#This Row],[Saldo]]-Planning[[#This Row],[Saldo estimado]]</f>
        <v>#REF!</v>
      </c>
      <c r="N2449" s="60" t="e">
        <f>+SUMIFS(#REF!,#REF!,Planning[[#This Row],[Proyectos]],#REF!,Planning[[#This Row],[Tipo de Tarea y especialidad]])</f>
        <v>#REF!</v>
      </c>
      <c r="O2449" s="19">
        <f t="shared" si="76"/>
        <v>10</v>
      </c>
      <c r="P2449" s="19">
        <f t="shared" si="77"/>
        <v>2024</v>
      </c>
      <c r="Q24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49" s="19" t="str">
        <f>TEXT(Planning[[#This Row],[Mes]]*29,"mmmm")</f>
        <v>October</v>
      </c>
      <c r="S24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49" s="193"/>
      <c r="U2449" s="43">
        <f>IF(Planning[[#This Row],[Horas Planificadas]]&lt;&gt;0,+K2449/Planning[[#This Row],[Horas Planificadas]],0)</f>
        <v>0</v>
      </c>
      <c r="V2449" s="43">
        <f>IF(Planning[[#This Row],[Horas Planificadas]]&lt;&gt;0,Planning[[#This Row],[Horas utilizadas]]/Planning[[#This Row],[Horas Planificadas]],0)</f>
        <v>0</v>
      </c>
      <c r="W2449" s="44">
        <f>Planning[[#This Row],[Horas Planificadas]]+Planning[[#This Row],[Horas ajustadas adicionales]]</f>
        <v>0</v>
      </c>
      <c r="X2449" s="142"/>
    </row>
    <row r="2450" spans="1:24" x14ac:dyDescent="0.2">
      <c r="A2450" s="7" t="s">
        <v>204</v>
      </c>
      <c r="B2450" s="7" t="s">
        <v>118</v>
      </c>
      <c r="C2450" s="3"/>
      <c r="D2450" s="3" t="s">
        <v>511</v>
      </c>
      <c r="E2450" s="4"/>
      <c r="F2450" s="3" t="s">
        <v>125</v>
      </c>
      <c r="G2450" s="9"/>
      <c r="H2450" s="9">
        <v>205</v>
      </c>
      <c r="I2450" s="12"/>
      <c r="J2450" s="5" t="e">
        <f>SUM(SUMIFS(#REF!,#REF!,Planning[[#This Row],[Tipo de Tarea y especialidad]],#REF!,Planning[[#This Row],[Proyectos Reiwa]]),SUMIFS(#REF!,#REF!,Planning[[#This Row],[Tipo de Tarea y especialidad]],#REF!,Planning[[#This Row],[Proyectos]]))</f>
        <v>#REF!</v>
      </c>
      <c r="K2450" s="5" t="e">
        <f>Planning[[#This Row],[Horas Planificadas]]+Planning[[#This Row],[Horas ajustadas adicionales]]-Planning[[#This Row],[Horas utilizadas]]</f>
        <v>#REF!</v>
      </c>
      <c r="L2450" s="7">
        <v>63</v>
      </c>
      <c r="M2450" s="19" t="e">
        <f>Planning[[#This Row],[Saldo]]-Planning[[#This Row],[Saldo estimado]]</f>
        <v>#REF!</v>
      </c>
      <c r="N2450" s="60" t="e">
        <f>+SUMIFS(#REF!,#REF!,Planning[[#This Row],[Proyectos]],#REF!,Planning[[#This Row],[Tipo de Tarea y especialidad]])</f>
        <v>#REF!</v>
      </c>
      <c r="O2450" s="19">
        <f t="shared" si="76"/>
        <v>10</v>
      </c>
      <c r="P2450" s="19">
        <f t="shared" si="77"/>
        <v>2024</v>
      </c>
      <c r="Q24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50" s="19" t="str">
        <f>TEXT(Planning[[#This Row],[Mes]]*29,"mmmm")</f>
        <v>October</v>
      </c>
      <c r="S24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50" s="193"/>
      <c r="U2450" s="43" t="e">
        <f>IF(Planning[[#This Row],[Horas Planificadas]]&lt;&gt;0,+K2450/Planning[[#This Row],[Horas Planificadas]],0)</f>
        <v>#REF!</v>
      </c>
      <c r="V2450" s="43" t="e">
        <f>IF(Planning[[#This Row],[Horas Planificadas]]&lt;&gt;0,Planning[[#This Row],[Horas utilizadas]]/Planning[[#This Row],[Horas Planificadas]],0)</f>
        <v>#REF!</v>
      </c>
      <c r="W2450" s="44">
        <f>Planning[[#This Row],[Horas Planificadas]]+Planning[[#This Row],[Horas ajustadas adicionales]]</f>
        <v>205</v>
      </c>
      <c r="X2450" s="142"/>
    </row>
    <row r="2451" spans="1:24" x14ac:dyDescent="0.2">
      <c r="A2451" s="7" t="s">
        <v>204</v>
      </c>
      <c r="B2451" s="7" t="s">
        <v>118</v>
      </c>
      <c r="C2451" s="3"/>
      <c r="D2451" s="3" t="s">
        <v>511</v>
      </c>
      <c r="E2451" s="4"/>
      <c r="F2451" s="3" t="s">
        <v>126</v>
      </c>
      <c r="G2451" s="9"/>
      <c r="H2451" s="9">
        <v>150</v>
      </c>
      <c r="I2451" s="12"/>
      <c r="J2451" s="5" t="e">
        <f>SUM(SUMIFS(#REF!,#REF!,Planning[[#This Row],[Tipo de Tarea y especialidad]],#REF!,Planning[[#This Row],[Proyectos Reiwa]]),SUMIFS(#REF!,#REF!,Planning[[#This Row],[Tipo de Tarea y especialidad]],#REF!,Planning[[#This Row],[Proyectos]]))</f>
        <v>#REF!</v>
      </c>
      <c r="K2451" s="5" t="e">
        <f>Planning[[#This Row],[Horas Planificadas]]+Planning[[#This Row],[Horas ajustadas adicionales]]-Planning[[#This Row],[Horas utilizadas]]</f>
        <v>#REF!</v>
      </c>
      <c r="L2451" s="7">
        <v>0</v>
      </c>
      <c r="M2451" s="19" t="e">
        <f>Planning[[#This Row],[Saldo]]-Planning[[#This Row],[Saldo estimado]]</f>
        <v>#REF!</v>
      </c>
      <c r="N2451" s="60" t="e">
        <f>+SUMIFS(#REF!,#REF!,Planning[[#This Row],[Proyectos]],#REF!,Planning[[#This Row],[Tipo de Tarea y especialidad]])</f>
        <v>#REF!</v>
      </c>
      <c r="O2451" s="19">
        <f t="shared" si="76"/>
        <v>10</v>
      </c>
      <c r="P2451" s="19">
        <f t="shared" si="77"/>
        <v>2024</v>
      </c>
      <c r="Q24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51" s="19" t="str">
        <f>TEXT(Planning[[#This Row],[Mes]]*29,"mmmm")</f>
        <v>October</v>
      </c>
      <c r="S24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51" s="193"/>
      <c r="U2451" s="43" t="e">
        <f>IF(Planning[[#This Row],[Horas Planificadas]]&lt;&gt;0,+K2451/Planning[[#This Row],[Horas Planificadas]],0)</f>
        <v>#REF!</v>
      </c>
      <c r="V2451" s="43" t="e">
        <f>IF(Planning[[#This Row],[Horas Planificadas]]&lt;&gt;0,Planning[[#This Row],[Horas utilizadas]]/Planning[[#This Row],[Horas Planificadas]],0)</f>
        <v>#REF!</v>
      </c>
      <c r="W2451" s="44">
        <f>Planning[[#This Row],[Horas Planificadas]]+Planning[[#This Row],[Horas ajustadas adicionales]]</f>
        <v>150</v>
      </c>
      <c r="X2451" s="142"/>
    </row>
    <row r="2452" spans="1:24" x14ac:dyDescent="0.2">
      <c r="A2452" s="7" t="s">
        <v>204</v>
      </c>
      <c r="B2452" s="7" t="s">
        <v>118</v>
      </c>
      <c r="C2452" s="3"/>
      <c r="D2452" s="3" t="s">
        <v>511</v>
      </c>
      <c r="E2452" s="4"/>
      <c r="F2452" s="3" t="s">
        <v>127</v>
      </c>
      <c r="G2452" s="9"/>
      <c r="H2452" s="9"/>
      <c r="I2452" s="12"/>
      <c r="J2452" s="5" t="e">
        <f>SUM(SUMIFS(#REF!,#REF!,Planning[[#This Row],[Tipo de Tarea y especialidad]],#REF!,Planning[[#This Row],[Proyectos Reiwa]]),SUMIFS(#REF!,#REF!,Planning[[#This Row],[Tipo de Tarea y especialidad]],#REF!,Planning[[#This Row],[Proyectos]]))</f>
        <v>#REF!</v>
      </c>
      <c r="K2452" s="5" t="e">
        <f>Planning[[#This Row],[Horas Planificadas]]+Planning[[#This Row],[Horas ajustadas adicionales]]-Planning[[#This Row],[Horas utilizadas]]</f>
        <v>#REF!</v>
      </c>
      <c r="L2452" s="7"/>
      <c r="M2452" s="19" t="e">
        <f>Planning[[#This Row],[Saldo]]-Planning[[#This Row],[Saldo estimado]]</f>
        <v>#REF!</v>
      </c>
      <c r="N2452" s="60" t="e">
        <f>+SUMIFS(#REF!,#REF!,Planning[[#This Row],[Proyectos]],#REF!,Planning[[#This Row],[Tipo de Tarea y especialidad]])</f>
        <v>#REF!</v>
      </c>
      <c r="O2452" s="19">
        <f t="shared" si="76"/>
        <v>10</v>
      </c>
      <c r="P2452" s="19">
        <f t="shared" si="77"/>
        <v>2024</v>
      </c>
      <c r="Q24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52" s="19" t="str">
        <f>TEXT(Planning[[#This Row],[Mes]]*29,"mmmm")</f>
        <v>October</v>
      </c>
      <c r="S24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52" s="193"/>
      <c r="U2452" s="43">
        <f>IF(Planning[[#This Row],[Horas Planificadas]]&lt;&gt;0,+K2452/Planning[[#This Row],[Horas Planificadas]],0)</f>
        <v>0</v>
      </c>
      <c r="V2452" s="43">
        <f>IF(Planning[[#This Row],[Horas Planificadas]]&lt;&gt;0,Planning[[#This Row],[Horas utilizadas]]/Planning[[#This Row],[Horas Planificadas]],0)</f>
        <v>0</v>
      </c>
      <c r="W2452" s="44">
        <f>Planning[[#This Row],[Horas Planificadas]]+Planning[[#This Row],[Horas ajustadas adicionales]]</f>
        <v>0</v>
      </c>
      <c r="X2452" s="142"/>
    </row>
    <row r="2453" spans="1:24" x14ac:dyDescent="0.2">
      <c r="A2453" s="7" t="s">
        <v>204</v>
      </c>
      <c r="B2453" s="7" t="s">
        <v>118</v>
      </c>
      <c r="C2453" s="3"/>
      <c r="D2453" s="3" t="s">
        <v>511</v>
      </c>
      <c r="E2453" s="4"/>
      <c r="F2453" s="3" t="s">
        <v>128</v>
      </c>
      <c r="G2453" s="9"/>
      <c r="H2453" s="9"/>
      <c r="I2453" s="12"/>
      <c r="J2453" s="5" t="e">
        <f>SUM(SUMIFS(#REF!,#REF!,Planning[[#This Row],[Tipo de Tarea y especialidad]],#REF!,Planning[[#This Row],[Proyectos Reiwa]]),SUMIFS(#REF!,#REF!,Planning[[#This Row],[Tipo de Tarea y especialidad]],#REF!,Planning[[#This Row],[Proyectos]]))</f>
        <v>#REF!</v>
      </c>
      <c r="K2453" s="5" t="e">
        <f>Planning[[#This Row],[Horas Planificadas]]+Planning[[#This Row],[Horas ajustadas adicionales]]-Planning[[#This Row],[Horas utilizadas]]</f>
        <v>#REF!</v>
      </c>
      <c r="L2453" s="7"/>
      <c r="M2453" s="19" t="e">
        <f>Planning[[#This Row],[Saldo]]-Planning[[#This Row],[Saldo estimado]]</f>
        <v>#REF!</v>
      </c>
      <c r="N2453" s="60" t="e">
        <f>+SUMIFS(#REF!,#REF!,Planning[[#This Row],[Proyectos]],#REF!,Planning[[#This Row],[Tipo de Tarea y especialidad]])</f>
        <v>#REF!</v>
      </c>
      <c r="O2453" s="19">
        <f t="shared" si="76"/>
        <v>10</v>
      </c>
      <c r="P2453" s="19">
        <f t="shared" si="77"/>
        <v>2024</v>
      </c>
      <c r="Q24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53" s="19" t="str">
        <f>TEXT(Planning[[#This Row],[Mes]]*29,"mmmm")</f>
        <v>October</v>
      </c>
      <c r="S24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53" s="193"/>
      <c r="U2453" s="43">
        <f>IF(Planning[[#This Row],[Horas Planificadas]]&lt;&gt;0,+K2453/Planning[[#This Row],[Horas Planificadas]],0)</f>
        <v>0</v>
      </c>
      <c r="V2453" s="43">
        <f>IF(Planning[[#This Row],[Horas Planificadas]]&lt;&gt;0,Planning[[#This Row],[Horas utilizadas]]/Planning[[#This Row],[Horas Planificadas]],0)</f>
        <v>0</v>
      </c>
      <c r="W2453" s="44">
        <f>Planning[[#This Row],[Horas Planificadas]]+Planning[[#This Row],[Horas ajustadas adicionales]]</f>
        <v>0</v>
      </c>
      <c r="X2453" s="142"/>
    </row>
    <row r="2454" spans="1:24" x14ac:dyDescent="0.2">
      <c r="A2454" s="7" t="s">
        <v>204</v>
      </c>
      <c r="B2454" s="7" t="s">
        <v>118</v>
      </c>
      <c r="C2454" s="3"/>
      <c r="D2454" s="3" t="s">
        <v>511</v>
      </c>
      <c r="E2454" s="4" t="s">
        <v>31</v>
      </c>
      <c r="F2454" s="3" t="s">
        <v>31</v>
      </c>
      <c r="G2454" s="9">
        <v>65</v>
      </c>
      <c r="H2454" s="17">
        <v>65</v>
      </c>
      <c r="I2454" s="18"/>
      <c r="J2454" s="14" t="e">
        <f>+SUMIFS(#REF!,#REF!,Planning[[#This Row],[Tarifa]],#REF!,Planning[[#This Row],[Proyectos]])</f>
        <v>#REF!</v>
      </c>
      <c r="K2454" s="14" t="e">
        <f>Planning[[#This Row],[Horas Planificadas]]+Planning[[#This Row],[Horas ajustadas adicionales]]-Planning[[#This Row],[Horas utilizadas]]</f>
        <v>#REF!</v>
      </c>
      <c r="L2454" s="15">
        <v>0</v>
      </c>
      <c r="M2454" s="16" t="e">
        <f>Planning[[#This Row],[Saldo]]-Planning[[#This Row],[Saldo estimado]]</f>
        <v>#REF!</v>
      </c>
      <c r="N2454" s="60" t="e">
        <f>+SUMIFS(#REF!,#REF!,Planning[[#This Row],[Proyectos]],#REF!,Planning[[#This Row],[Tipo de Tarea y especialidad]])</f>
        <v>#REF!</v>
      </c>
      <c r="O2454" s="16">
        <f t="shared" si="76"/>
        <v>10</v>
      </c>
      <c r="P2454" s="16">
        <f t="shared" si="77"/>
        <v>2024</v>
      </c>
      <c r="Q2454" s="16" t="e">
        <f>+SUMIFS(#REF!,#REF!,Planning[[#This Row],[Tarifa]],#REF!,Planning[[#This Row],[Proyectos]],#REF!,Planning[[#This Row],[Mes]],#REF!,Planning[[#This Row],[Año]])</f>
        <v>#REF!</v>
      </c>
      <c r="R2454" s="16" t="str">
        <f>TEXT(Planning[[#This Row],[Mes]]*29,"mmmm")</f>
        <v>October</v>
      </c>
      <c r="S24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54" s="193"/>
      <c r="U2454" s="43" t="e">
        <f>IF(Planning[[#This Row],[Horas Planificadas]]&lt;&gt;0,+K2454/Planning[[#This Row],[Horas Planificadas]],0)</f>
        <v>#REF!</v>
      </c>
      <c r="V2454" s="43" t="e">
        <f>IF(Planning[[#This Row],[Horas Planificadas]]&lt;&gt;0,Planning[[#This Row],[Horas utilizadas]]/Planning[[#This Row],[Horas Planificadas]],0)</f>
        <v>#REF!</v>
      </c>
      <c r="W2454" s="44">
        <f>Planning[[#This Row],[Horas Planificadas]]+Planning[[#This Row],[Horas ajustadas adicionales]]</f>
        <v>65</v>
      </c>
      <c r="X2454" s="142"/>
    </row>
    <row r="2455" spans="1:24" ht="22.5" x14ac:dyDescent="0.2">
      <c r="A2455" s="7" t="s">
        <v>204</v>
      </c>
      <c r="B2455" s="7" t="s">
        <v>118</v>
      </c>
      <c r="C2455" s="3"/>
      <c r="D2455" s="3" t="s">
        <v>511</v>
      </c>
      <c r="E2455" s="4" t="s">
        <v>32</v>
      </c>
      <c r="F2455" s="3"/>
      <c r="G2455" s="9">
        <v>220</v>
      </c>
      <c r="H2455" s="14">
        <f>SUM(H2456:H2458)</f>
        <v>220</v>
      </c>
      <c r="I2455" s="14"/>
      <c r="J2455" s="14" t="e">
        <f>SUM(J2456:J2458)</f>
        <v>#REF!</v>
      </c>
      <c r="K2455" s="15" t="e">
        <f>SUM(K2456:K2458)</f>
        <v>#REF!</v>
      </c>
      <c r="L2455" s="15">
        <f>SUM(L2456:L2458)</f>
        <v>220</v>
      </c>
      <c r="M2455" s="16" t="e">
        <f>SUM(M2456:M2458)</f>
        <v>#REF!</v>
      </c>
      <c r="N2455" s="60" t="e">
        <f>+SUMIFS(#REF!,#REF!,Planning[[#This Row],[Proyectos]],#REF!,Planning[[#This Row],[Tipo de Tarea y especialidad]])</f>
        <v>#REF!</v>
      </c>
      <c r="O2455" s="16">
        <f t="shared" si="76"/>
        <v>10</v>
      </c>
      <c r="P2455" s="16">
        <f t="shared" si="77"/>
        <v>2024</v>
      </c>
      <c r="Q2455" s="16" t="e">
        <f>SUM(Q2456:Q2458)</f>
        <v>#REF!</v>
      </c>
      <c r="R2455" s="16" t="str">
        <f>TEXT(Planning[[#This Row],[Mes]]*29,"mmmm")</f>
        <v>October</v>
      </c>
      <c r="S24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55" s="193"/>
      <c r="U2455" s="43" t="e">
        <f>IF(Planning[[#This Row],[Horas Planificadas]]&lt;&gt;0,+K2455/Planning[[#This Row],[Horas Planificadas]],0)</f>
        <v>#REF!</v>
      </c>
      <c r="V2455" s="43" t="e">
        <f>IF(Planning[[#This Row],[Horas Planificadas]]&lt;&gt;0,Planning[[#This Row],[Horas utilizadas]]/Planning[[#This Row],[Horas Planificadas]],0)</f>
        <v>#REF!</v>
      </c>
      <c r="W2455" s="44">
        <f>Planning[[#This Row],[Horas Planificadas]]+Planning[[#This Row],[Horas ajustadas adicionales]]</f>
        <v>220</v>
      </c>
      <c r="X2455" s="142"/>
    </row>
    <row r="2456" spans="1:24" x14ac:dyDescent="0.2">
      <c r="A2456" s="7" t="s">
        <v>204</v>
      </c>
      <c r="B2456" s="7" t="s">
        <v>118</v>
      </c>
      <c r="C2456" s="3"/>
      <c r="D2456" s="3" t="s">
        <v>511</v>
      </c>
      <c r="E2456" s="4"/>
      <c r="F2456" s="3" t="s">
        <v>129</v>
      </c>
      <c r="G2456" s="9"/>
      <c r="H2456" s="9">
        <v>220</v>
      </c>
      <c r="I2456" s="12"/>
      <c r="J2456" s="5" t="e">
        <f>SUM(SUMIFS(#REF!,#REF!,Planning[[#This Row],[Tipo de Tarea y especialidad]],#REF!,Planning[[#This Row],[Proyectos Reiwa]]),SUMIFS(#REF!,#REF!,Planning[[#This Row],[Tipo de Tarea y especialidad]],#REF!,Planning[[#This Row],[Proyectos]]))</f>
        <v>#REF!</v>
      </c>
      <c r="K2456" s="5" t="e">
        <f>Planning[[#This Row],[Horas Planificadas]]+Planning[[#This Row],[Horas ajustadas adicionales]]-Planning[[#This Row],[Horas utilizadas]]</f>
        <v>#REF!</v>
      </c>
      <c r="L2456" s="7">
        <v>220</v>
      </c>
      <c r="M2456" s="19" t="e">
        <f>Planning[[#This Row],[Saldo]]-Planning[[#This Row],[Saldo estimado]]</f>
        <v>#REF!</v>
      </c>
      <c r="N2456" s="60" t="e">
        <f>+SUMIFS(#REF!,#REF!,Planning[[#This Row],[Proyectos]],#REF!,Planning[[#This Row],[Tipo de Tarea y especialidad]])</f>
        <v>#REF!</v>
      </c>
      <c r="O2456" s="19">
        <f t="shared" si="76"/>
        <v>10</v>
      </c>
      <c r="P2456" s="19">
        <f t="shared" si="77"/>
        <v>2024</v>
      </c>
      <c r="Q24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56" s="19" t="str">
        <f>TEXT(Planning[[#This Row],[Mes]]*29,"mmmm")</f>
        <v>October</v>
      </c>
      <c r="S24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56" s="193"/>
      <c r="U2456" s="43" t="e">
        <f>IF(Planning[[#This Row],[Horas Planificadas]]&lt;&gt;0,+K2456/Planning[[#This Row],[Horas Planificadas]],0)</f>
        <v>#REF!</v>
      </c>
      <c r="V2456" s="43" t="e">
        <f>IF(Planning[[#This Row],[Horas Planificadas]]&lt;&gt;0,Planning[[#This Row],[Horas utilizadas]]/Planning[[#This Row],[Horas Planificadas]],0)</f>
        <v>#REF!</v>
      </c>
      <c r="W2456" s="44">
        <f>Planning[[#This Row],[Horas Planificadas]]+Planning[[#This Row],[Horas ajustadas adicionales]]</f>
        <v>220</v>
      </c>
      <c r="X2456" s="142"/>
    </row>
    <row r="2457" spans="1:24" x14ac:dyDescent="0.2">
      <c r="A2457" s="7" t="s">
        <v>204</v>
      </c>
      <c r="B2457" s="7" t="s">
        <v>118</v>
      </c>
      <c r="C2457" s="3"/>
      <c r="D2457" s="3" t="s">
        <v>511</v>
      </c>
      <c r="E2457" s="4"/>
      <c r="F2457" s="3" t="s">
        <v>130</v>
      </c>
      <c r="G2457" s="9"/>
      <c r="H2457" s="9"/>
      <c r="I2457" s="12"/>
      <c r="J2457" s="5" t="e">
        <f>SUM(SUMIFS(#REF!,#REF!,Planning[[#This Row],[Tipo de Tarea y especialidad]],#REF!,Planning[[#This Row],[Proyectos Reiwa]]),SUMIFS(#REF!,#REF!,Planning[[#This Row],[Tipo de Tarea y especialidad]],#REF!,Planning[[#This Row],[Proyectos]]))</f>
        <v>#REF!</v>
      </c>
      <c r="K2457" s="5" t="e">
        <f>Planning[[#This Row],[Horas Planificadas]]+Planning[[#This Row],[Horas ajustadas adicionales]]-Planning[[#This Row],[Horas utilizadas]]</f>
        <v>#REF!</v>
      </c>
      <c r="L2457" s="7"/>
      <c r="M2457" s="19" t="e">
        <f>Planning[[#This Row],[Saldo]]-Planning[[#This Row],[Saldo estimado]]</f>
        <v>#REF!</v>
      </c>
      <c r="N2457" s="60" t="e">
        <f>+SUMIFS(#REF!,#REF!,Planning[[#This Row],[Proyectos]],#REF!,Planning[[#This Row],[Tipo de Tarea y especialidad]])</f>
        <v>#REF!</v>
      </c>
      <c r="O2457" s="19">
        <f t="shared" si="76"/>
        <v>10</v>
      </c>
      <c r="P2457" s="19">
        <f t="shared" si="77"/>
        <v>2024</v>
      </c>
      <c r="Q24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57" s="19" t="str">
        <f>TEXT(Planning[[#This Row],[Mes]]*29,"mmmm")</f>
        <v>October</v>
      </c>
      <c r="S24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57" s="193"/>
      <c r="U2457" s="43">
        <f>IF(Planning[[#This Row],[Horas Planificadas]]&lt;&gt;0,+K2457/Planning[[#This Row],[Horas Planificadas]],0)</f>
        <v>0</v>
      </c>
      <c r="V2457" s="43">
        <f>IF(Planning[[#This Row],[Horas Planificadas]]&lt;&gt;0,Planning[[#This Row],[Horas utilizadas]]/Planning[[#This Row],[Horas Planificadas]],0)</f>
        <v>0</v>
      </c>
      <c r="W2457" s="44">
        <f>Planning[[#This Row],[Horas Planificadas]]+Planning[[#This Row],[Horas ajustadas adicionales]]</f>
        <v>0</v>
      </c>
      <c r="X2457" s="142"/>
    </row>
    <row r="2458" spans="1:24" x14ac:dyDescent="0.2">
      <c r="A2458" s="7" t="s">
        <v>204</v>
      </c>
      <c r="B2458" s="7" t="s">
        <v>118</v>
      </c>
      <c r="C2458" s="3"/>
      <c r="D2458" s="3" t="s">
        <v>511</v>
      </c>
      <c r="E2458" s="4"/>
      <c r="F2458" s="3" t="s">
        <v>131</v>
      </c>
      <c r="G2458" s="9"/>
      <c r="H2458" s="9"/>
      <c r="I2458" s="12"/>
      <c r="J2458" s="5" t="e">
        <f>SUM(SUMIFS(#REF!,#REF!,Planning[[#This Row],[Tipo de Tarea y especialidad]],#REF!,Planning[[#This Row],[Proyectos Reiwa]]),SUMIFS(#REF!,#REF!,Planning[[#This Row],[Tipo de Tarea y especialidad]],#REF!,Planning[[#This Row],[Proyectos]]))</f>
        <v>#REF!</v>
      </c>
      <c r="K2458" s="5" t="e">
        <f>Planning[[#This Row],[Horas Planificadas]]+Planning[[#This Row],[Horas ajustadas adicionales]]-Planning[[#This Row],[Horas utilizadas]]</f>
        <v>#REF!</v>
      </c>
      <c r="L2458" s="7"/>
      <c r="M2458" s="19" t="e">
        <f>Planning[[#This Row],[Saldo]]-Planning[[#This Row],[Saldo estimado]]</f>
        <v>#REF!</v>
      </c>
      <c r="N2458" s="60" t="e">
        <f>+SUMIFS(#REF!,#REF!,Planning[[#This Row],[Proyectos]],#REF!,Planning[[#This Row],[Tipo de Tarea y especialidad]])</f>
        <v>#REF!</v>
      </c>
      <c r="O2458" s="19">
        <f t="shared" si="76"/>
        <v>10</v>
      </c>
      <c r="P2458" s="19">
        <f t="shared" si="77"/>
        <v>2024</v>
      </c>
      <c r="Q24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58" s="19" t="str">
        <f>TEXT(Planning[[#This Row],[Mes]]*29,"mmmm")</f>
        <v>October</v>
      </c>
      <c r="S24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58" s="193"/>
      <c r="U2458" s="43">
        <f>IF(Planning[[#This Row],[Horas Planificadas]]&lt;&gt;0,+K2458/Planning[[#This Row],[Horas Planificadas]],0)</f>
        <v>0</v>
      </c>
      <c r="V2458" s="43">
        <f>IF(Planning[[#This Row],[Horas Planificadas]]&lt;&gt;0,Planning[[#This Row],[Horas utilizadas]]/Planning[[#This Row],[Horas Planificadas]],0)</f>
        <v>0</v>
      </c>
      <c r="W2458" s="44">
        <f>Planning[[#This Row],[Horas Planificadas]]+Planning[[#This Row],[Horas ajustadas adicionales]]</f>
        <v>0</v>
      </c>
      <c r="X2458" s="142"/>
    </row>
    <row r="2459" spans="1:24" ht="22.5" x14ac:dyDescent="0.2">
      <c r="A2459" s="7" t="s">
        <v>294</v>
      </c>
      <c r="B2459" s="7" t="s">
        <v>178</v>
      </c>
      <c r="C2459" s="3"/>
      <c r="D2459" s="3" t="s">
        <v>513</v>
      </c>
      <c r="E2459" s="4" t="s">
        <v>28</v>
      </c>
      <c r="F2459" s="3"/>
      <c r="G2459" s="9">
        <v>0</v>
      </c>
      <c r="H2459" s="14">
        <f>SUM(H2460:H2461)</f>
        <v>0</v>
      </c>
      <c r="I2459" s="14"/>
      <c r="J2459" s="14" t="e">
        <f>SUM(J2460:J2461)</f>
        <v>#REF!</v>
      </c>
      <c r="K2459" s="15" t="e">
        <f>SUM(K2460:K2461)</f>
        <v>#REF!</v>
      </c>
      <c r="L2459" s="15">
        <f>SUM(L2460:L2461)</f>
        <v>0</v>
      </c>
      <c r="M2459" s="14" t="e">
        <f>SUM(M2460:M2461)</f>
        <v>#REF!</v>
      </c>
      <c r="N2459" s="66" t="e">
        <f>+SUMIFS(#REF!,#REF!,Planning[[#This Row],[Proyectos]],#REF!,Planning[[#This Row],[Tipo de Tarea y especialidad]])</f>
        <v>#REF!</v>
      </c>
      <c r="O2459" s="14">
        <f t="shared" si="76"/>
        <v>10</v>
      </c>
      <c r="P2459" s="14">
        <f t="shared" si="77"/>
        <v>2024</v>
      </c>
      <c r="Q2459" s="28" t="e">
        <f>SUM(Q2460:Q2461)</f>
        <v>#REF!</v>
      </c>
      <c r="R2459" s="28" t="str">
        <f>TEXT(Planning[[#This Row],[Mes]]*29,"mmmm")</f>
        <v>October</v>
      </c>
      <c r="S24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59" s="192" t="s">
        <v>514</v>
      </c>
      <c r="U2459" s="43">
        <f>IF(Planning[[#This Row],[Horas Planificadas]]&lt;&gt;0,+K2459/Planning[[#This Row],[Horas Planificadas]],0)</f>
        <v>0</v>
      </c>
      <c r="V2459" s="43">
        <f>IF(Planning[[#This Row],[Horas Planificadas]]&lt;&gt;0,Planning[[#This Row],[Horas utilizadas]]/Planning[[#This Row],[Horas Planificadas]],0)</f>
        <v>0</v>
      </c>
      <c r="W2459" s="44">
        <f>Planning[[#This Row],[Horas Planificadas]]+Planning[[#This Row],[Horas ajustadas adicionales]]</f>
        <v>0</v>
      </c>
      <c r="X2459" s="142"/>
    </row>
    <row r="2460" spans="1:24" x14ac:dyDescent="0.2">
      <c r="A2460" s="7" t="s">
        <v>294</v>
      </c>
      <c r="B2460" s="7" t="s">
        <v>178</v>
      </c>
      <c r="C2460" s="3"/>
      <c r="D2460" s="3" t="s">
        <v>513</v>
      </c>
      <c r="E2460" s="4"/>
      <c r="F2460" s="3" t="s">
        <v>120</v>
      </c>
      <c r="G2460" s="9"/>
      <c r="H2460" s="9"/>
      <c r="I2460" s="12"/>
      <c r="J2460" s="5" t="e">
        <f>SUM(SUMIFS(#REF!,#REF!,Planning[[#This Row],[Tipo de Tarea y especialidad]],#REF!,Planning[[#This Row],[Proyectos Reiwa]]),SUMIFS(#REF!,#REF!,Planning[[#This Row],[Tipo de Tarea y especialidad]],#REF!,Planning[[#This Row],[Proyectos]]))</f>
        <v>#REF!</v>
      </c>
      <c r="K2460" s="5" t="e">
        <f>Planning[[#This Row],[Horas Planificadas]]+Planning[[#This Row],[Horas ajustadas adicionales]]-Planning[[#This Row],[Horas utilizadas]]</f>
        <v>#REF!</v>
      </c>
      <c r="L2460" s="7"/>
      <c r="M2460" s="19" t="e">
        <f>Planning[[#This Row],[Saldo]]-Planning[[#This Row],[Saldo estimado]]</f>
        <v>#REF!</v>
      </c>
      <c r="N2460" s="60" t="e">
        <f>+SUMIFS(#REF!,#REF!,Planning[[#This Row],[Proyectos]],#REF!,Planning[[#This Row],[Tipo de Tarea y especialidad]])</f>
        <v>#REF!</v>
      </c>
      <c r="O2460" s="19">
        <f t="shared" si="76"/>
        <v>10</v>
      </c>
      <c r="P2460" s="19">
        <f t="shared" si="77"/>
        <v>2024</v>
      </c>
      <c r="Q24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60" s="19" t="str">
        <f>TEXT(Planning[[#This Row],[Mes]]*29,"mmmm")</f>
        <v>October</v>
      </c>
      <c r="S24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60" s="193"/>
      <c r="U2460" s="43">
        <f>IF(Planning[[#This Row],[Horas Planificadas]]&lt;&gt;0,+K2460/Planning[[#This Row],[Horas Planificadas]],0)</f>
        <v>0</v>
      </c>
      <c r="V2460" s="43">
        <f>IF(Planning[[#This Row],[Horas Planificadas]]&lt;&gt;0,Planning[[#This Row],[Horas utilizadas]]/Planning[[#This Row],[Horas Planificadas]],0)</f>
        <v>0</v>
      </c>
      <c r="W2460" s="44">
        <f>Planning[[#This Row],[Horas Planificadas]]+Planning[[#This Row],[Horas ajustadas adicionales]]</f>
        <v>0</v>
      </c>
      <c r="X2460" s="142"/>
    </row>
    <row r="2461" spans="1:24" x14ac:dyDescent="0.2">
      <c r="A2461" s="7" t="s">
        <v>294</v>
      </c>
      <c r="B2461" s="7" t="s">
        <v>178</v>
      </c>
      <c r="C2461" s="3"/>
      <c r="D2461" s="3" t="s">
        <v>513</v>
      </c>
      <c r="E2461" s="4"/>
      <c r="F2461" s="3" t="s">
        <v>121</v>
      </c>
      <c r="G2461" s="9"/>
      <c r="H2461" s="9"/>
      <c r="I2461" s="12"/>
      <c r="J2461" s="5" t="e">
        <f>SUM(SUMIFS(#REF!,#REF!,Planning[[#This Row],[Tipo de Tarea y especialidad]],#REF!,Planning[[#This Row],[Proyectos Reiwa]]),SUMIFS(#REF!,#REF!,Planning[[#This Row],[Tipo de Tarea y especialidad]],#REF!,Planning[[#This Row],[Proyectos]]))</f>
        <v>#REF!</v>
      </c>
      <c r="K2461" s="5" t="e">
        <f>Planning[[#This Row],[Horas Planificadas]]+Planning[[#This Row],[Horas ajustadas adicionales]]-Planning[[#This Row],[Horas utilizadas]]</f>
        <v>#REF!</v>
      </c>
      <c r="L2461" s="7"/>
      <c r="M2461" s="19" t="e">
        <f>Planning[[#This Row],[Saldo]]-Planning[[#This Row],[Saldo estimado]]</f>
        <v>#REF!</v>
      </c>
      <c r="N2461" s="60" t="e">
        <f>+SUMIFS(#REF!,#REF!,Planning[[#This Row],[Proyectos]],#REF!,Planning[[#This Row],[Tipo de Tarea y especialidad]])</f>
        <v>#REF!</v>
      </c>
      <c r="O2461" s="19">
        <f t="shared" si="76"/>
        <v>10</v>
      </c>
      <c r="P2461" s="19">
        <f t="shared" si="77"/>
        <v>2024</v>
      </c>
      <c r="Q24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61" s="19" t="str">
        <f>TEXT(Planning[[#This Row],[Mes]]*29,"mmmm")</f>
        <v>October</v>
      </c>
      <c r="S24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61" s="193"/>
      <c r="U2461" s="43">
        <f>IF(Planning[[#This Row],[Horas Planificadas]]&lt;&gt;0,+K2461/Planning[[#This Row],[Horas Planificadas]],0)</f>
        <v>0</v>
      </c>
      <c r="V2461" s="43">
        <f>IF(Planning[[#This Row],[Horas Planificadas]]&lt;&gt;0,Planning[[#This Row],[Horas utilizadas]]/Planning[[#This Row],[Horas Planificadas]],0)</f>
        <v>0</v>
      </c>
      <c r="W2461" s="44">
        <f>Planning[[#This Row],[Horas Planificadas]]+Planning[[#This Row],[Horas ajustadas adicionales]]</f>
        <v>0</v>
      </c>
      <c r="X2461" s="142"/>
    </row>
    <row r="2462" spans="1:24" x14ac:dyDescent="0.2">
      <c r="A2462" s="7" t="s">
        <v>294</v>
      </c>
      <c r="B2462" s="7" t="s">
        <v>178</v>
      </c>
      <c r="C2462" s="3"/>
      <c r="D2462" s="3" t="s">
        <v>513</v>
      </c>
      <c r="E2462" s="4" t="s">
        <v>30</v>
      </c>
      <c r="F2462" s="3"/>
      <c r="G2462" s="9">
        <v>287</v>
      </c>
      <c r="H2462" s="14">
        <f>SUM(H2463:H2469)</f>
        <v>288</v>
      </c>
      <c r="I2462" s="14"/>
      <c r="J2462" s="14" t="e">
        <f>SUM(J2463:J2469)</f>
        <v>#REF!</v>
      </c>
      <c r="K2462" s="15" t="e">
        <f>SUM(K2463:K2469)</f>
        <v>#REF!</v>
      </c>
      <c r="L2462" s="15">
        <f>SUM(L2463:L2469)</f>
        <v>0</v>
      </c>
      <c r="M2462" s="16" t="e">
        <f>SUM(M2463:M2469)</f>
        <v>#REF!</v>
      </c>
      <c r="N2462" s="60" t="e">
        <f>+SUMIFS(#REF!,#REF!,Planning[[#This Row],[Proyectos]],#REF!,Planning[[#This Row],[Tipo de Tarea y especialidad]])</f>
        <v>#REF!</v>
      </c>
      <c r="O2462" s="16">
        <f t="shared" si="76"/>
        <v>10</v>
      </c>
      <c r="P2462" s="16">
        <f t="shared" si="77"/>
        <v>2024</v>
      </c>
      <c r="Q2462" s="16" t="e">
        <f>SUM(Q2463:Q2469)</f>
        <v>#REF!</v>
      </c>
      <c r="R2462" s="16" t="str">
        <f>TEXT(Planning[[#This Row],[Mes]]*29,"mmmm")</f>
        <v>October</v>
      </c>
      <c r="S24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62" s="193"/>
      <c r="U2462" s="43" t="e">
        <f>IF(Planning[[#This Row],[Horas Planificadas]]&lt;&gt;0,+K2462/Planning[[#This Row],[Horas Planificadas]],0)</f>
        <v>#REF!</v>
      </c>
      <c r="V2462" s="43" t="e">
        <f>IF(Planning[[#This Row],[Horas Planificadas]]&lt;&gt;0,Planning[[#This Row],[Horas utilizadas]]/Planning[[#This Row],[Horas Planificadas]],0)</f>
        <v>#REF!</v>
      </c>
      <c r="W2462" s="44">
        <f>Planning[[#This Row],[Horas Planificadas]]+Planning[[#This Row],[Horas ajustadas adicionales]]</f>
        <v>288</v>
      </c>
      <c r="X2462" s="142"/>
    </row>
    <row r="2463" spans="1:24" x14ac:dyDescent="0.2">
      <c r="A2463" s="7" t="s">
        <v>294</v>
      </c>
      <c r="B2463" s="7" t="s">
        <v>178</v>
      </c>
      <c r="C2463" s="3"/>
      <c r="D2463" s="3" t="s">
        <v>513</v>
      </c>
      <c r="E2463" s="4"/>
      <c r="F2463" s="3" t="s">
        <v>122</v>
      </c>
      <c r="G2463" s="9"/>
      <c r="H2463" s="9">
        <v>171</v>
      </c>
      <c r="I2463" s="12"/>
      <c r="J2463" s="5" t="e">
        <f>SUM(SUMIFS(#REF!,#REF!,Planning[[#This Row],[Tipo de Tarea y especialidad]],#REF!,Planning[[#This Row],[Proyectos Reiwa]]),SUMIFS(#REF!,#REF!,Planning[[#This Row],[Tipo de Tarea y especialidad]],#REF!,Planning[[#This Row],[Proyectos]]))</f>
        <v>#REF!</v>
      </c>
      <c r="K2463" s="5" t="e">
        <f>Planning[[#This Row],[Horas Planificadas]]+Planning[[#This Row],[Horas ajustadas adicionales]]-Planning[[#This Row],[Horas utilizadas]]</f>
        <v>#REF!</v>
      </c>
      <c r="L2463" s="7">
        <v>0</v>
      </c>
      <c r="M2463" s="19" t="e">
        <f>Planning[[#This Row],[Saldo]]-Planning[[#This Row],[Saldo estimado]]</f>
        <v>#REF!</v>
      </c>
      <c r="N2463" s="60" t="e">
        <f>+SUMIFS(#REF!,#REF!,Planning[[#This Row],[Proyectos]],#REF!,Planning[[#This Row],[Tipo de Tarea y especialidad]])</f>
        <v>#REF!</v>
      </c>
      <c r="O2463" s="19">
        <f t="shared" si="76"/>
        <v>10</v>
      </c>
      <c r="P2463" s="19">
        <f t="shared" si="77"/>
        <v>2024</v>
      </c>
      <c r="Q24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63" s="19" t="str">
        <f>TEXT(Planning[[#This Row],[Mes]]*29,"mmmm")</f>
        <v>October</v>
      </c>
      <c r="S24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63" s="193"/>
      <c r="U2463" s="43" t="e">
        <f>IF(Planning[[#This Row],[Horas Planificadas]]&lt;&gt;0,+K2463/Planning[[#This Row],[Horas Planificadas]],0)</f>
        <v>#REF!</v>
      </c>
      <c r="V2463" s="43" t="e">
        <f>IF(Planning[[#This Row],[Horas Planificadas]]&lt;&gt;0,Planning[[#This Row],[Horas utilizadas]]/Planning[[#This Row],[Horas Planificadas]],0)</f>
        <v>#REF!</v>
      </c>
      <c r="W2463" s="44">
        <f>Planning[[#This Row],[Horas Planificadas]]+Planning[[#This Row],[Horas ajustadas adicionales]]</f>
        <v>171</v>
      </c>
      <c r="X2463" s="142"/>
    </row>
    <row r="2464" spans="1:24" x14ac:dyDescent="0.2">
      <c r="A2464" s="7" t="s">
        <v>294</v>
      </c>
      <c r="B2464" s="7" t="s">
        <v>178</v>
      </c>
      <c r="C2464" s="3"/>
      <c r="D2464" s="3" t="s">
        <v>513</v>
      </c>
      <c r="E2464" s="4"/>
      <c r="F2464" s="3" t="s">
        <v>123</v>
      </c>
      <c r="G2464" s="9"/>
      <c r="H2464" s="9">
        <v>117</v>
      </c>
      <c r="I2464" s="12"/>
      <c r="J2464" s="5" t="e">
        <f>SUM(SUMIFS(#REF!,#REF!,Planning[[#This Row],[Tipo de Tarea y especialidad]],#REF!,Planning[[#This Row],[Proyectos Reiwa]]),SUMIFS(#REF!,#REF!,Planning[[#This Row],[Tipo de Tarea y especialidad]],#REF!,Planning[[#This Row],[Proyectos]]))</f>
        <v>#REF!</v>
      </c>
      <c r="K2464" s="5" t="e">
        <f>Planning[[#This Row],[Horas Planificadas]]+Planning[[#This Row],[Horas ajustadas adicionales]]-Planning[[#This Row],[Horas utilizadas]]</f>
        <v>#REF!</v>
      </c>
      <c r="L2464" s="7">
        <v>0</v>
      </c>
      <c r="M2464" s="19" t="e">
        <f>Planning[[#This Row],[Saldo]]-Planning[[#This Row],[Saldo estimado]]</f>
        <v>#REF!</v>
      </c>
      <c r="N2464" s="60" t="e">
        <f>+SUMIFS(#REF!,#REF!,Planning[[#This Row],[Proyectos]],#REF!,Planning[[#This Row],[Tipo de Tarea y especialidad]])</f>
        <v>#REF!</v>
      </c>
      <c r="O2464" s="19">
        <f t="shared" si="76"/>
        <v>10</v>
      </c>
      <c r="P2464" s="19">
        <f t="shared" si="77"/>
        <v>2024</v>
      </c>
      <c r="Q24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64" s="19" t="str">
        <f>TEXT(Planning[[#This Row],[Mes]]*29,"mmmm")</f>
        <v>October</v>
      </c>
      <c r="S24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64" s="193"/>
      <c r="U2464" s="43" t="e">
        <f>IF(Planning[[#This Row],[Horas Planificadas]]&lt;&gt;0,+K2464/Planning[[#This Row],[Horas Planificadas]],0)</f>
        <v>#REF!</v>
      </c>
      <c r="V2464" s="43" t="e">
        <f>IF(Planning[[#This Row],[Horas Planificadas]]&lt;&gt;0,Planning[[#This Row],[Horas utilizadas]]/Planning[[#This Row],[Horas Planificadas]],0)</f>
        <v>#REF!</v>
      </c>
      <c r="W2464" s="44">
        <f>Planning[[#This Row],[Horas Planificadas]]+Planning[[#This Row],[Horas ajustadas adicionales]]</f>
        <v>117</v>
      </c>
      <c r="X2464" s="142"/>
    </row>
    <row r="2465" spans="1:24" x14ac:dyDescent="0.2">
      <c r="A2465" s="7" t="s">
        <v>294</v>
      </c>
      <c r="B2465" s="7" t="s">
        <v>178</v>
      </c>
      <c r="C2465" s="3"/>
      <c r="D2465" s="3" t="s">
        <v>513</v>
      </c>
      <c r="E2465" s="4"/>
      <c r="F2465" s="3" t="s">
        <v>124</v>
      </c>
      <c r="G2465" s="9"/>
      <c r="H2465" s="9"/>
      <c r="I2465" s="12"/>
      <c r="J2465" s="5" t="e">
        <f>SUM(SUMIFS(#REF!,#REF!,Planning[[#This Row],[Tipo de Tarea y especialidad]],#REF!,Planning[[#This Row],[Proyectos Reiwa]]),SUMIFS(#REF!,#REF!,Planning[[#This Row],[Tipo de Tarea y especialidad]],#REF!,Planning[[#This Row],[Proyectos]]))</f>
        <v>#REF!</v>
      </c>
      <c r="K2465" s="5" t="e">
        <f>Planning[[#This Row],[Horas Planificadas]]+Planning[[#This Row],[Horas ajustadas adicionales]]-Planning[[#This Row],[Horas utilizadas]]</f>
        <v>#REF!</v>
      </c>
      <c r="L2465" s="7"/>
      <c r="M2465" s="19" t="e">
        <f>Planning[[#This Row],[Saldo]]-Planning[[#This Row],[Saldo estimado]]</f>
        <v>#REF!</v>
      </c>
      <c r="N2465" s="60" t="e">
        <f>+SUMIFS(#REF!,#REF!,Planning[[#This Row],[Proyectos]],#REF!,Planning[[#This Row],[Tipo de Tarea y especialidad]])</f>
        <v>#REF!</v>
      </c>
      <c r="O2465" s="19">
        <f t="shared" si="76"/>
        <v>10</v>
      </c>
      <c r="P2465" s="19">
        <f t="shared" si="77"/>
        <v>2024</v>
      </c>
      <c r="Q24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65" s="19" t="str">
        <f>TEXT(Planning[[#This Row],[Mes]]*29,"mmmm")</f>
        <v>October</v>
      </c>
      <c r="S24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65" s="193"/>
      <c r="U2465" s="43">
        <f>IF(Planning[[#This Row],[Horas Planificadas]]&lt;&gt;0,+K2465/Planning[[#This Row],[Horas Planificadas]],0)</f>
        <v>0</v>
      </c>
      <c r="V2465" s="43">
        <f>IF(Planning[[#This Row],[Horas Planificadas]]&lt;&gt;0,Planning[[#This Row],[Horas utilizadas]]/Planning[[#This Row],[Horas Planificadas]],0)</f>
        <v>0</v>
      </c>
      <c r="W2465" s="44">
        <f>Planning[[#This Row],[Horas Planificadas]]+Planning[[#This Row],[Horas ajustadas adicionales]]</f>
        <v>0</v>
      </c>
      <c r="X2465" s="142"/>
    </row>
    <row r="2466" spans="1:24" x14ac:dyDescent="0.2">
      <c r="A2466" s="7" t="s">
        <v>294</v>
      </c>
      <c r="B2466" s="7" t="s">
        <v>178</v>
      </c>
      <c r="C2466" s="3"/>
      <c r="D2466" s="3" t="s">
        <v>513</v>
      </c>
      <c r="E2466" s="4"/>
      <c r="F2466" s="3" t="s">
        <v>125</v>
      </c>
      <c r="G2466" s="9"/>
      <c r="H2466" s="9"/>
      <c r="I2466" s="12"/>
      <c r="J2466" s="5" t="e">
        <f>SUM(SUMIFS(#REF!,#REF!,Planning[[#This Row],[Tipo de Tarea y especialidad]],#REF!,Planning[[#This Row],[Proyectos Reiwa]]),SUMIFS(#REF!,#REF!,Planning[[#This Row],[Tipo de Tarea y especialidad]],#REF!,Planning[[#This Row],[Proyectos]]))</f>
        <v>#REF!</v>
      </c>
      <c r="K2466" s="5" t="e">
        <f>Planning[[#This Row],[Horas Planificadas]]+Planning[[#This Row],[Horas ajustadas adicionales]]-Planning[[#This Row],[Horas utilizadas]]</f>
        <v>#REF!</v>
      </c>
      <c r="L2466" s="7">
        <v>0</v>
      </c>
      <c r="M2466" s="19" t="e">
        <f>Planning[[#This Row],[Saldo]]-Planning[[#This Row],[Saldo estimado]]</f>
        <v>#REF!</v>
      </c>
      <c r="N2466" s="60" t="e">
        <f>+SUMIFS(#REF!,#REF!,Planning[[#This Row],[Proyectos]],#REF!,Planning[[#This Row],[Tipo de Tarea y especialidad]])</f>
        <v>#REF!</v>
      </c>
      <c r="O2466" s="19">
        <f t="shared" si="76"/>
        <v>10</v>
      </c>
      <c r="P2466" s="19">
        <f t="shared" si="77"/>
        <v>2024</v>
      </c>
      <c r="Q24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66" s="19" t="str">
        <f>TEXT(Planning[[#This Row],[Mes]]*29,"mmmm")</f>
        <v>October</v>
      </c>
      <c r="S24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66" s="193"/>
      <c r="U2466" s="43">
        <f>IF(Planning[[#This Row],[Horas Planificadas]]&lt;&gt;0,+K2466/Planning[[#This Row],[Horas Planificadas]],0)</f>
        <v>0</v>
      </c>
      <c r="V2466" s="43">
        <f>IF(Planning[[#This Row],[Horas Planificadas]]&lt;&gt;0,Planning[[#This Row],[Horas utilizadas]]/Planning[[#This Row],[Horas Planificadas]],0)</f>
        <v>0</v>
      </c>
      <c r="W2466" s="44">
        <f>Planning[[#This Row],[Horas Planificadas]]+Planning[[#This Row],[Horas ajustadas adicionales]]</f>
        <v>0</v>
      </c>
      <c r="X2466" s="142"/>
    </row>
    <row r="2467" spans="1:24" x14ac:dyDescent="0.2">
      <c r="A2467" s="7" t="s">
        <v>294</v>
      </c>
      <c r="B2467" s="7" t="s">
        <v>178</v>
      </c>
      <c r="C2467" s="3"/>
      <c r="D2467" s="3" t="s">
        <v>513</v>
      </c>
      <c r="E2467" s="4"/>
      <c r="F2467" s="3" t="s">
        <v>126</v>
      </c>
      <c r="G2467" s="9"/>
      <c r="H2467" s="9"/>
      <c r="I2467" s="12"/>
      <c r="J2467" s="5" t="e">
        <f>SUM(SUMIFS(#REF!,#REF!,Planning[[#This Row],[Tipo de Tarea y especialidad]],#REF!,Planning[[#This Row],[Proyectos Reiwa]]),SUMIFS(#REF!,#REF!,Planning[[#This Row],[Tipo de Tarea y especialidad]],#REF!,Planning[[#This Row],[Proyectos]]))</f>
        <v>#REF!</v>
      </c>
      <c r="K2467" s="5" t="e">
        <f>Planning[[#This Row],[Horas Planificadas]]+Planning[[#This Row],[Horas ajustadas adicionales]]-Planning[[#This Row],[Horas utilizadas]]</f>
        <v>#REF!</v>
      </c>
      <c r="L2467" s="7"/>
      <c r="M2467" s="19" t="e">
        <f>Planning[[#This Row],[Saldo]]-Planning[[#This Row],[Saldo estimado]]</f>
        <v>#REF!</v>
      </c>
      <c r="N2467" s="60" t="e">
        <f>+SUMIFS(#REF!,#REF!,Planning[[#This Row],[Proyectos]],#REF!,Planning[[#This Row],[Tipo de Tarea y especialidad]])</f>
        <v>#REF!</v>
      </c>
      <c r="O2467" s="19">
        <f t="shared" si="76"/>
        <v>10</v>
      </c>
      <c r="P2467" s="19">
        <f t="shared" si="77"/>
        <v>2024</v>
      </c>
      <c r="Q24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67" s="19" t="str">
        <f>TEXT(Planning[[#This Row],[Mes]]*29,"mmmm")</f>
        <v>October</v>
      </c>
      <c r="S24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67" s="193"/>
      <c r="U2467" s="43">
        <f>IF(Planning[[#This Row],[Horas Planificadas]]&lt;&gt;0,+K2467/Planning[[#This Row],[Horas Planificadas]],0)</f>
        <v>0</v>
      </c>
      <c r="V2467" s="43">
        <f>IF(Planning[[#This Row],[Horas Planificadas]]&lt;&gt;0,Planning[[#This Row],[Horas utilizadas]]/Planning[[#This Row],[Horas Planificadas]],0)</f>
        <v>0</v>
      </c>
      <c r="W2467" s="44">
        <f>Planning[[#This Row],[Horas Planificadas]]+Planning[[#This Row],[Horas ajustadas adicionales]]</f>
        <v>0</v>
      </c>
      <c r="X2467" s="142"/>
    </row>
    <row r="2468" spans="1:24" x14ac:dyDescent="0.2">
      <c r="A2468" s="7" t="s">
        <v>294</v>
      </c>
      <c r="B2468" s="7" t="s">
        <v>178</v>
      </c>
      <c r="C2468" s="3"/>
      <c r="D2468" s="3" t="s">
        <v>513</v>
      </c>
      <c r="E2468" s="4"/>
      <c r="F2468" s="3" t="s">
        <v>127</v>
      </c>
      <c r="G2468" s="9"/>
      <c r="H2468" s="9"/>
      <c r="I2468" s="12"/>
      <c r="J2468" s="5" t="e">
        <f>SUM(SUMIFS(#REF!,#REF!,Planning[[#This Row],[Tipo de Tarea y especialidad]],#REF!,Planning[[#This Row],[Proyectos Reiwa]]),SUMIFS(#REF!,#REF!,Planning[[#This Row],[Tipo de Tarea y especialidad]],#REF!,Planning[[#This Row],[Proyectos]]))</f>
        <v>#REF!</v>
      </c>
      <c r="K2468" s="5" t="e">
        <f>Planning[[#This Row],[Horas Planificadas]]+Planning[[#This Row],[Horas ajustadas adicionales]]-Planning[[#This Row],[Horas utilizadas]]</f>
        <v>#REF!</v>
      </c>
      <c r="L2468" s="7"/>
      <c r="M2468" s="19" t="e">
        <f>Planning[[#This Row],[Saldo]]-Planning[[#This Row],[Saldo estimado]]</f>
        <v>#REF!</v>
      </c>
      <c r="N2468" s="60" t="e">
        <f>+SUMIFS(#REF!,#REF!,Planning[[#This Row],[Proyectos]],#REF!,Planning[[#This Row],[Tipo de Tarea y especialidad]])</f>
        <v>#REF!</v>
      </c>
      <c r="O2468" s="19">
        <f t="shared" si="76"/>
        <v>10</v>
      </c>
      <c r="P2468" s="19">
        <f t="shared" si="77"/>
        <v>2024</v>
      </c>
      <c r="Q24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68" s="19" t="str">
        <f>TEXT(Planning[[#This Row],[Mes]]*29,"mmmm")</f>
        <v>October</v>
      </c>
      <c r="S24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68" s="193"/>
      <c r="U2468" s="43">
        <f>IF(Planning[[#This Row],[Horas Planificadas]]&lt;&gt;0,+K2468/Planning[[#This Row],[Horas Planificadas]],0)</f>
        <v>0</v>
      </c>
      <c r="V2468" s="43">
        <f>IF(Planning[[#This Row],[Horas Planificadas]]&lt;&gt;0,Planning[[#This Row],[Horas utilizadas]]/Planning[[#This Row],[Horas Planificadas]],0)</f>
        <v>0</v>
      </c>
      <c r="W2468" s="44">
        <f>Planning[[#This Row],[Horas Planificadas]]+Planning[[#This Row],[Horas ajustadas adicionales]]</f>
        <v>0</v>
      </c>
      <c r="X2468" s="142"/>
    </row>
    <row r="2469" spans="1:24" x14ac:dyDescent="0.2">
      <c r="A2469" s="7" t="s">
        <v>294</v>
      </c>
      <c r="B2469" s="7" t="s">
        <v>178</v>
      </c>
      <c r="C2469" s="3"/>
      <c r="D2469" s="3" t="s">
        <v>513</v>
      </c>
      <c r="E2469" s="4"/>
      <c r="F2469" s="3" t="s">
        <v>128</v>
      </c>
      <c r="G2469" s="9"/>
      <c r="H2469" s="9"/>
      <c r="I2469" s="12"/>
      <c r="J2469" s="5" t="e">
        <f>SUM(SUMIFS(#REF!,#REF!,Planning[[#This Row],[Tipo de Tarea y especialidad]],#REF!,Planning[[#This Row],[Proyectos Reiwa]]),SUMIFS(#REF!,#REF!,Planning[[#This Row],[Tipo de Tarea y especialidad]],#REF!,Planning[[#This Row],[Proyectos]]))</f>
        <v>#REF!</v>
      </c>
      <c r="K2469" s="5" t="e">
        <f>Planning[[#This Row],[Horas Planificadas]]+Planning[[#This Row],[Horas ajustadas adicionales]]-Planning[[#This Row],[Horas utilizadas]]</f>
        <v>#REF!</v>
      </c>
      <c r="L2469" s="7"/>
      <c r="M2469" s="19" t="e">
        <f>Planning[[#This Row],[Saldo]]-Planning[[#This Row],[Saldo estimado]]</f>
        <v>#REF!</v>
      </c>
      <c r="N2469" s="60" t="e">
        <f>+SUMIFS(#REF!,#REF!,Planning[[#This Row],[Proyectos]],#REF!,Planning[[#This Row],[Tipo de Tarea y especialidad]])</f>
        <v>#REF!</v>
      </c>
      <c r="O2469" s="19">
        <f t="shared" si="76"/>
        <v>10</v>
      </c>
      <c r="P2469" s="19">
        <f t="shared" si="77"/>
        <v>2024</v>
      </c>
      <c r="Q24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69" s="19" t="str">
        <f>TEXT(Planning[[#This Row],[Mes]]*29,"mmmm")</f>
        <v>October</v>
      </c>
      <c r="S24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69" s="193"/>
      <c r="U2469" s="43">
        <f>IF(Planning[[#This Row],[Horas Planificadas]]&lt;&gt;0,+K2469/Planning[[#This Row],[Horas Planificadas]],0)</f>
        <v>0</v>
      </c>
      <c r="V2469" s="43">
        <f>IF(Planning[[#This Row],[Horas Planificadas]]&lt;&gt;0,Planning[[#This Row],[Horas utilizadas]]/Planning[[#This Row],[Horas Planificadas]],0)</f>
        <v>0</v>
      </c>
      <c r="W2469" s="44">
        <f>Planning[[#This Row],[Horas Planificadas]]+Planning[[#This Row],[Horas ajustadas adicionales]]</f>
        <v>0</v>
      </c>
      <c r="X2469" s="142"/>
    </row>
    <row r="2470" spans="1:24" x14ac:dyDescent="0.2">
      <c r="A2470" s="7" t="s">
        <v>294</v>
      </c>
      <c r="B2470" s="7" t="s">
        <v>178</v>
      </c>
      <c r="C2470" s="3"/>
      <c r="D2470" s="3" t="s">
        <v>513</v>
      </c>
      <c r="E2470" s="4" t="s">
        <v>31</v>
      </c>
      <c r="F2470" s="3" t="s">
        <v>31</v>
      </c>
      <c r="G2470" s="9">
        <v>80</v>
      </c>
      <c r="H2470" s="17">
        <v>80</v>
      </c>
      <c r="I2470" s="18"/>
      <c r="J2470" s="14" t="e">
        <f>+SUMIFS(#REF!,#REF!,Planning[[#This Row],[Tarifa]],#REF!,Planning[[#This Row],[Proyectos]])</f>
        <v>#REF!</v>
      </c>
      <c r="K2470" s="14" t="e">
        <f>Planning[[#This Row],[Horas Planificadas]]+Planning[[#This Row],[Horas ajustadas adicionales]]-Planning[[#This Row],[Horas utilizadas]]</f>
        <v>#REF!</v>
      </c>
      <c r="L2470" s="15">
        <v>0</v>
      </c>
      <c r="M2470" s="16" t="e">
        <f>Planning[[#This Row],[Saldo]]-Planning[[#This Row],[Saldo estimado]]</f>
        <v>#REF!</v>
      </c>
      <c r="N2470" s="60" t="e">
        <f>+SUMIFS(#REF!,#REF!,Planning[[#This Row],[Proyectos]],#REF!,Planning[[#This Row],[Tipo de Tarea y especialidad]])</f>
        <v>#REF!</v>
      </c>
      <c r="O2470" s="16">
        <f t="shared" si="76"/>
        <v>10</v>
      </c>
      <c r="P2470" s="16">
        <f t="shared" si="77"/>
        <v>2024</v>
      </c>
      <c r="Q2470" s="16" t="e">
        <f>+SUMIFS(#REF!,#REF!,Planning[[#This Row],[Tarifa]],#REF!,Planning[[#This Row],[Proyectos]],#REF!,Planning[[#This Row],[Mes]],#REF!,Planning[[#This Row],[Año]])</f>
        <v>#REF!</v>
      </c>
      <c r="R2470" s="16" t="str">
        <f>TEXT(Planning[[#This Row],[Mes]]*29,"mmmm")</f>
        <v>October</v>
      </c>
      <c r="S24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70" s="193"/>
      <c r="U2470" s="43" t="e">
        <f>IF(Planning[[#This Row],[Horas Planificadas]]&lt;&gt;0,+K2470/Planning[[#This Row],[Horas Planificadas]],0)</f>
        <v>#REF!</v>
      </c>
      <c r="V2470" s="43" t="e">
        <f>IF(Planning[[#This Row],[Horas Planificadas]]&lt;&gt;0,Planning[[#This Row],[Horas utilizadas]]/Planning[[#This Row],[Horas Planificadas]],0)</f>
        <v>#REF!</v>
      </c>
      <c r="W2470" s="44">
        <f>Planning[[#This Row],[Horas Planificadas]]+Planning[[#This Row],[Horas ajustadas adicionales]]</f>
        <v>80</v>
      </c>
      <c r="X2470" s="142"/>
    </row>
    <row r="2471" spans="1:24" ht="22.5" x14ac:dyDescent="0.2">
      <c r="A2471" s="7" t="s">
        <v>294</v>
      </c>
      <c r="B2471" s="7" t="s">
        <v>178</v>
      </c>
      <c r="C2471" s="3"/>
      <c r="D2471" s="3" t="s">
        <v>513</v>
      </c>
      <c r="E2471" s="4" t="s">
        <v>32</v>
      </c>
      <c r="F2471" s="3"/>
      <c r="G2471" s="9">
        <v>292</v>
      </c>
      <c r="H2471" s="14">
        <f>SUM(H2472:H2474)</f>
        <v>292</v>
      </c>
      <c r="I2471" s="14"/>
      <c r="J2471" s="14" t="e">
        <f>SUM(J2472:J2474)</f>
        <v>#REF!</v>
      </c>
      <c r="K2471" s="15" t="e">
        <f>SUM(K2472:K2474)</f>
        <v>#REF!</v>
      </c>
      <c r="L2471" s="15">
        <f>SUM(L2472:L2474)</f>
        <v>0</v>
      </c>
      <c r="M2471" s="16" t="e">
        <f>SUM(M2472:M2474)</f>
        <v>#REF!</v>
      </c>
      <c r="N2471" s="60" t="e">
        <f>+SUMIFS(#REF!,#REF!,Planning[[#This Row],[Proyectos]],#REF!,Planning[[#This Row],[Tipo de Tarea y especialidad]])</f>
        <v>#REF!</v>
      </c>
      <c r="O2471" s="16">
        <f t="shared" si="76"/>
        <v>10</v>
      </c>
      <c r="P2471" s="16">
        <f t="shared" si="77"/>
        <v>2024</v>
      </c>
      <c r="Q2471" s="16" t="e">
        <f>SUM(Q2472:Q2474)</f>
        <v>#REF!</v>
      </c>
      <c r="R2471" s="16" t="str">
        <f>TEXT(Planning[[#This Row],[Mes]]*29,"mmmm")</f>
        <v>October</v>
      </c>
      <c r="S24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71" s="193"/>
      <c r="U2471" s="43" t="e">
        <f>IF(Planning[[#This Row],[Horas Planificadas]]&lt;&gt;0,+K2471/Planning[[#This Row],[Horas Planificadas]],0)</f>
        <v>#REF!</v>
      </c>
      <c r="V2471" s="43" t="e">
        <f>IF(Planning[[#This Row],[Horas Planificadas]]&lt;&gt;0,Planning[[#This Row],[Horas utilizadas]]/Planning[[#This Row],[Horas Planificadas]],0)</f>
        <v>#REF!</v>
      </c>
      <c r="W2471" s="44">
        <f>Planning[[#This Row],[Horas Planificadas]]+Planning[[#This Row],[Horas ajustadas adicionales]]</f>
        <v>292</v>
      </c>
      <c r="X2471" s="142"/>
    </row>
    <row r="2472" spans="1:24" x14ac:dyDescent="0.2">
      <c r="A2472" s="7" t="s">
        <v>294</v>
      </c>
      <c r="B2472" s="7" t="s">
        <v>178</v>
      </c>
      <c r="C2472" s="3"/>
      <c r="D2472" s="3" t="s">
        <v>513</v>
      </c>
      <c r="E2472" s="4"/>
      <c r="F2472" s="3" t="s">
        <v>129</v>
      </c>
      <c r="G2472" s="9"/>
      <c r="H2472" s="9">
        <v>292</v>
      </c>
      <c r="I2472" s="12"/>
      <c r="J2472" s="5" t="e">
        <f>SUM(SUMIFS(#REF!,#REF!,Planning[[#This Row],[Tipo de Tarea y especialidad]],#REF!,Planning[[#This Row],[Proyectos Reiwa]]),SUMIFS(#REF!,#REF!,Planning[[#This Row],[Tipo de Tarea y especialidad]],#REF!,Planning[[#This Row],[Proyectos]]))</f>
        <v>#REF!</v>
      </c>
      <c r="K2472" s="5" t="e">
        <f>Planning[[#This Row],[Horas Planificadas]]+Planning[[#This Row],[Horas ajustadas adicionales]]-Planning[[#This Row],[Horas utilizadas]]</f>
        <v>#REF!</v>
      </c>
      <c r="L2472" s="7">
        <v>0</v>
      </c>
      <c r="M2472" s="19" t="e">
        <f>Planning[[#This Row],[Saldo]]-Planning[[#This Row],[Saldo estimado]]</f>
        <v>#REF!</v>
      </c>
      <c r="N2472" s="60" t="e">
        <f>+SUMIFS(#REF!,#REF!,Planning[[#This Row],[Proyectos]],#REF!,Planning[[#This Row],[Tipo de Tarea y especialidad]])</f>
        <v>#REF!</v>
      </c>
      <c r="O2472" s="19">
        <f t="shared" si="76"/>
        <v>10</v>
      </c>
      <c r="P2472" s="19">
        <f t="shared" si="77"/>
        <v>2024</v>
      </c>
      <c r="Q24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72" s="19" t="str">
        <f>TEXT(Planning[[#This Row],[Mes]]*29,"mmmm")</f>
        <v>October</v>
      </c>
      <c r="S24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72" s="193"/>
      <c r="U2472" s="43" t="e">
        <f>IF(Planning[[#This Row],[Horas Planificadas]]&lt;&gt;0,+K2472/Planning[[#This Row],[Horas Planificadas]],0)</f>
        <v>#REF!</v>
      </c>
      <c r="V2472" s="43" t="e">
        <f>IF(Planning[[#This Row],[Horas Planificadas]]&lt;&gt;0,Planning[[#This Row],[Horas utilizadas]]/Planning[[#This Row],[Horas Planificadas]],0)</f>
        <v>#REF!</v>
      </c>
      <c r="W2472" s="44">
        <f>Planning[[#This Row],[Horas Planificadas]]+Planning[[#This Row],[Horas ajustadas adicionales]]</f>
        <v>292</v>
      </c>
      <c r="X2472" s="142"/>
    </row>
    <row r="2473" spans="1:24" x14ac:dyDescent="0.2">
      <c r="A2473" s="7" t="s">
        <v>294</v>
      </c>
      <c r="B2473" s="7" t="s">
        <v>178</v>
      </c>
      <c r="C2473" s="3"/>
      <c r="D2473" s="3" t="s">
        <v>513</v>
      </c>
      <c r="E2473" s="4"/>
      <c r="F2473" s="3" t="s">
        <v>130</v>
      </c>
      <c r="G2473" s="9"/>
      <c r="H2473" s="9"/>
      <c r="I2473" s="12"/>
      <c r="J2473" s="5" t="e">
        <f>SUM(SUMIFS(#REF!,#REF!,Planning[[#This Row],[Tipo de Tarea y especialidad]],#REF!,Planning[[#This Row],[Proyectos Reiwa]]),SUMIFS(#REF!,#REF!,Planning[[#This Row],[Tipo de Tarea y especialidad]],#REF!,Planning[[#This Row],[Proyectos]]))</f>
        <v>#REF!</v>
      </c>
      <c r="K2473" s="5" t="e">
        <f>Planning[[#This Row],[Horas Planificadas]]+Planning[[#This Row],[Horas ajustadas adicionales]]-Planning[[#This Row],[Horas utilizadas]]</f>
        <v>#REF!</v>
      </c>
      <c r="L2473" s="7"/>
      <c r="M2473" s="19" t="e">
        <f>Planning[[#This Row],[Saldo]]-Planning[[#This Row],[Saldo estimado]]</f>
        <v>#REF!</v>
      </c>
      <c r="N2473" s="60" t="e">
        <f>+SUMIFS(#REF!,#REF!,Planning[[#This Row],[Proyectos]],#REF!,Planning[[#This Row],[Tipo de Tarea y especialidad]])</f>
        <v>#REF!</v>
      </c>
      <c r="O2473" s="19">
        <f t="shared" si="76"/>
        <v>10</v>
      </c>
      <c r="P2473" s="19">
        <f t="shared" si="77"/>
        <v>2024</v>
      </c>
      <c r="Q24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73" s="19" t="str">
        <f>TEXT(Planning[[#This Row],[Mes]]*29,"mmmm")</f>
        <v>October</v>
      </c>
      <c r="S24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73" s="193"/>
      <c r="U2473" s="43">
        <f>IF(Planning[[#This Row],[Horas Planificadas]]&lt;&gt;0,+K2473/Planning[[#This Row],[Horas Planificadas]],0)</f>
        <v>0</v>
      </c>
      <c r="V2473" s="43">
        <f>IF(Planning[[#This Row],[Horas Planificadas]]&lt;&gt;0,Planning[[#This Row],[Horas utilizadas]]/Planning[[#This Row],[Horas Planificadas]],0)</f>
        <v>0</v>
      </c>
      <c r="W2473" s="44">
        <f>Planning[[#This Row],[Horas Planificadas]]+Planning[[#This Row],[Horas ajustadas adicionales]]</f>
        <v>0</v>
      </c>
      <c r="X2473" s="142"/>
    </row>
    <row r="2474" spans="1:24" x14ac:dyDescent="0.2">
      <c r="A2474" s="7" t="s">
        <v>294</v>
      </c>
      <c r="B2474" s="7" t="s">
        <v>178</v>
      </c>
      <c r="C2474" s="3"/>
      <c r="D2474" s="3" t="s">
        <v>513</v>
      </c>
      <c r="E2474" s="4"/>
      <c r="F2474" s="3" t="s">
        <v>131</v>
      </c>
      <c r="G2474" s="9"/>
      <c r="H2474" s="9"/>
      <c r="I2474" s="12"/>
      <c r="J2474" s="5" t="e">
        <f>SUM(SUMIFS(#REF!,#REF!,Planning[[#This Row],[Tipo de Tarea y especialidad]],#REF!,Planning[[#This Row],[Proyectos Reiwa]]),SUMIFS(#REF!,#REF!,Planning[[#This Row],[Tipo de Tarea y especialidad]],#REF!,Planning[[#This Row],[Proyectos]]))</f>
        <v>#REF!</v>
      </c>
      <c r="K2474" s="5" t="e">
        <f>Planning[[#This Row],[Horas Planificadas]]+Planning[[#This Row],[Horas ajustadas adicionales]]-Planning[[#This Row],[Horas utilizadas]]</f>
        <v>#REF!</v>
      </c>
      <c r="L2474" s="7"/>
      <c r="M2474" s="19" t="e">
        <f>Planning[[#This Row],[Saldo]]-Planning[[#This Row],[Saldo estimado]]</f>
        <v>#REF!</v>
      </c>
      <c r="N2474" s="60" t="e">
        <f>+SUMIFS(#REF!,#REF!,Planning[[#This Row],[Proyectos]],#REF!,Planning[[#This Row],[Tipo de Tarea y especialidad]])</f>
        <v>#REF!</v>
      </c>
      <c r="O2474" s="19">
        <f t="shared" si="76"/>
        <v>10</v>
      </c>
      <c r="P2474" s="19">
        <f t="shared" si="77"/>
        <v>2024</v>
      </c>
      <c r="Q24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74" s="19" t="str">
        <f>TEXT(Planning[[#This Row],[Mes]]*29,"mmmm")</f>
        <v>October</v>
      </c>
      <c r="S24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74" s="193"/>
      <c r="U2474" s="43">
        <f>IF(Planning[[#This Row],[Horas Planificadas]]&lt;&gt;0,+K2474/Planning[[#This Row],[Horas Planificadas]],0)</f>
        <v>0</v>
      </c>
      <c r="V2474" s="43">
        <f>IF(Planning[[#This Row],[Horas Planificadas]]&lt;&gt;0,Planning[[#This Row],[Horas utilizadas]]/Planning[[#This Row],[Horas Planificadas]],0)</f>
        <v>0</v>
      </c>
      <c r="W2474" s="44">
        <f>Planning[[#This Row],[Horas Planificadas]]+Planning[[#This Row],[Horas ajustadas adicionales]]</f>
        <v>0</v>
      </c>
      <c r="X2474" s="142"/>
    </row>
    <row r="2475" spans="1:24" ht="12.75" customHeight="1" x14ac:dyDescent="0.2">
      <c r="A2475" s="7" t="s">
        <v>435</v>
      </c>
      <c r="B2475" s="7" t="s">
        <v>169</v>
      </c>
      <c r="C2475" s="3"/>
      <c r="D2475" s="3" t="s">
        <v>515</v>
      </c>
      <c r="E2475" s="4" t="s">
        <v>28</v>
      </c>
      <c r="F2475" s="3"/>
      <c r="G2475" s="12">
        <v>1100</v>
      </c>
      <c r="H2475" s="14">
        <f>SUM(H2476:H2477)</f>
        <v>1370</v>
      </c>
      <c r="I2475" s="14"/>
      <c r="J2475" s="14" t="e">
        <f>SUM(J2476:J2477)</f>
        <v>#REF!</v>
      </c>
      <c r="K2475" s="18" t="e">
        <f>SUM(K2476:K2477)</f>
        <v>#REF!</v>
      </c>
      <c r="L2475" s="15">
        <f>SUM(L2476:L2477)</f>
        <v>0</v>
      </c>
      <c r="M2475" s="28" t="e">
        <f>SUM(M2476:M2477)</f>
        <v>#REF!</v>
      </c>
      <c r="N2475" s="61" t="e">
        <f>+SUMIFS(#REF!,#REF!,Planning[[#This Row],[Proyectos]],#REF!,Planning[[#This Row],[Tipo de Tarea y especialidad]])</f>
        <v>#REF!</v>
      </c>
      <c r="O2475" s="28">
        <f t="shared" si="76"/>
        <v>10</v>
      </c>
      <c r="P2475" s="28">
        <f t="shared" si="77"/>
        <v>2024</v>
      </c>
      <c r="Q2475" s="28" t="e">
        <f>SUM(Q2476:Q2477)</f>
        <v>#REF!</v>
      </c>
      <c r="R2475" s="28" t="str">
        <f>TEXT(Planning[[#This Row],[Mes]]*29,"mmmm")</f>
        <v>October</v>
      </c>
      <c r="S24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75" s="192" t="s">
        <v>516</v>
      </c>
      <c r="U2475" s="43" t="e">
        <f>IF(Planning[[#This Row],[Horas Planificadas]]&lt;&gt;0,+K2475/Planning[[#This Row],[Horas Planificadas]],0)</f>
        <v>#REF!</v>
      </c>
      <c r="V2475" s="43" t="e">
        <f>IF(Planning[[#This Row],[Horas Planificadas]]&lt;&gt;0,Planning[[#This Row],[Horas utilizadas]]/Planning[[#This Row],[Horas Planificadas]],0)</f>
        <v>#REF!</v>
      </c>
      <c r="W2475" s="44">
        <f>Planning[[#This Row],[Horas Planificadas]]+Planning[[#This Row],[Horas ajustadas adicionales]]</f>
        <v>1370</v>
      </c>
      <c r="X2475" s="142"/>
    </row>
    <row r="2476" spans="1:24" x14ac:dyDescent="0.2">
      <c r="A2476" s="7" t="s">
        <v>435</v>
      </c>
      <c r="B2476" s="7" t="s">
        <v>169</v>
      </c>
      <c r="C2476" s="3"/>
      <c r="D2476" s="3" t="s">
        <v>515</v>
      </c>
      <c r="E2476" s="4"/>
      <c r="F2476" s="3" t="s">
        <v>120</v>
      </c>
      <c r="G2476" s="12">
        <f>600+150</f>
        <v>750</v>
      </c>
      <c r="H2476" s="12">
        <f>750+90</f>
        <v>840</v>
      </c>
      <c r="I2476" s="12"/>
      <c r="J2476" s="5" t="e">
        <f>SUM(SUMIFS(#REF!,#REF!,Planning[[#This Row],[Tipo de Tarea y especialidad]],#REF!,Planning[[#This Row],[Proyectos Reiwa]]),SUMIFS(#REF!,#REF!,Planning[[#This Row],[Tipo de Tarea y especialidad]],#REF!,Planning[[#This Row],[Proyectos]]))</f>
        <v>#REF!</v>
      </c>
      <c r="K2476" s="5" t="e">
        <f>Planning[[#This Row],[Horas Planificadas]]+Planning[[#This Row],[Horas ajustadas adicionales]]-Planning[[#This Row],[Horas utilizadas]]</f>
        <v>#REF!</v>
      </c>
      <c r="L2476" s="7">
        <v>0</v>
      </c>
      <c r="M2476" s="19" t="e">
        <f>Planning[[#This Row],[Saldo]]-Planning[[#This Row],[Saldo estimado]]</f>
        <v>#REF!</v>
      </c>
      <c r="N2476" s="60" t="e">
        <f>+SUMIFS(#REF!,#REF!,Planning[[#This Row],[Proyectos]],#REF!,Planning[[#This Row],[Tipo de Tarea y especialidad]])</f>
        <v>#REF!</v>
      </c>
      <c r="O2476" s="19">
        <f t="shared" si="76"/>
        <v>10</v>
      </c>
      <c r="P2476" s="19">
        <f t="shared" si="77"/>
        <v>2024</v>
      </c>
      <c r="Q24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76" s="19" t="str">
        <f>TEXT(Planning[[#This Row],[Mes]]*29,"mmmm")</f>
        <v>October</v>
      </c>
      <c r="S24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76" s="193"/>
      <c r="U2476" s="43" t="e">
        <f>IF(Planning[[#This Row],[Horas Planificadas]]&lt;&gt;0,+K2476/Planning[[#This Row],[Horas Planificadas]],0)</f>
        <v>#REF!</v>
      </c>
      <c r="V2476" s="43" t="e">
        <f>IF(Planning[[#This Row],[Horas Planificadas]]&lt;&gt;0,Planning[[#This Row],[Horas utilizadas]]/Planning[[#This Row],[Horas Planificadas]],0)</f>
        <v>#REF!</v>
      </c>
      <c r="W2476" s="44">
        <f>Planning[[#This Row],[Horas Planificadas]]+Planning[[#This Row],[Horas ajustadas adicionales]]</f>
        <v>840</v>
      </c>
      <c r="X2476" s="142"/>
    </row>
    <row r="2477" spans="1:24" x14ac:dyDescent="0.2">
      <c r="A2477" s="7" t="s">
        <v>435</v>
      </c>
      <c r="B2477" s="7" t="s">
        <v>169</v>
      </c>
      <c r="C2477" s="3"/>
      <c r="D2477" s="3" t="s">
        <v>515</v>
      </c>
      <c r="E2477" s="4"/>
      <c r="F2477" s="3" t="s">
        <v>121</v>
      </c>
      <c r="G2477" s="12">
        <f>248+62</f>
        <v>310</v>
      </c>
      <c r="H2477" s="12">
        <f>460+70</f>
        <v>530</v>
      </c>
      <c r="I2477" s="12"/>
      <c r="J2477" s="5" t="e">
        <f>SUM(SUMIFS(#REF!,#REF!,Planning[[#This Row],[Tipo de Tarea y especialidad]],#REF!,Planning[[#This Row],[Proyectos Reiwa]]),SUMIFS(#REF!,#REF!,Planning[[#This Row],[Tipo de Tarea y especialidad]],#REF!,Planning[[#This Row],[Proyectos]]))</f>
        <v>#REF!</v>
      </c>
      <c r="K2477" s="5" t="e">
        <f>Planning[[#This Row],[Horas Planificadas]]+Planning[[#This Row],[Horas ajustadas adicionales]]-Planning[[#This Row],[Horas utilizadas]]</f>
        <v>#REF!</v>
      </c>
      <c r="L2477" s="7">
        <v>0</v>
      </c>
      <c r="M2477" s="19" t="e">
        <f>Planning[[#This Row],[Saldo]]-Planning[[#This Row],[Saldo estimado]]</f>
        <v>#REF!</v>
      </c>
      <c r="N2477" s="60" t="e">
        <f>+SUMIFS(#REF!,#REF!,Planning[[#This Row],[Proyectos]],#REF!,Planning[[#This Row],[Tipo de Tarea y especialidad]])</f>
        <v>#REF!</v>
      </c>
      <c r="O2477" s="19">
        <f t="shared" si="76"/>
        <v>10</v>
      </c>
      <c r="P2477" s="19">
        <f t="shared" si="77"/>
        <v>2024</v>
      </c>
      <c r="Q24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77" s="19" t="str">
        <f>TEXT(Planning[[#This Row],[Mes]]*29,"mmmm")</f>
        <v>October</v>
      </c>
      <c r="S24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77" s="193"/>
      <c r="U2477" s="43" t="e">
        <f>IF(Planning[[#This Row],[Horas Planificadas]]&lt;&gt;0,+K2477/Planning[[#This Row],[Horas Planificadas]],0)</f>
        <v>#REF!</v>
      </c>
      <c r="V2477" s="43" t="e">
        <f>IF(Planning[[#This Row],[Horas Planificadas]]&lt;&gt;0,Planning[[#This Row],[Horas utilizadas]]/Planning[[#This Row],[Horas Planificadas]],0)</f>
        <v>#REF!</v>
      </c>
      <c r="W2477" s="44">
        <f>Planning[[#This Row],[Horas Planificadas]]+Planning[[#This Row],[Horas ajustadas adicionales]]</f>
        <v>530</v>
      </c>
      <c r="X2477" s="142"/>
    </row>
    <row r="2478" spans="1:24" x14ac:dyDescent="0.2">
      <c r="A2478" s="7" t="s">
        <v>435</v>
      </c>
      <c r="B2478" s="7" t="s">
        <v>169</v>
      </c>
      <c r="C2478" s="3"/>
      <c r="D2478" s="3" t="s">
        <v>515</v>
      </c>
      <c r="E2478" s="4" t="s">
        <v>30</v>
      </c>
      <c r="F2478" s="3"/>
      <c r="G2478" s="12">
        <v>797</v>
      </c>
      <c r="H2478" s="14">
        <f>SUM(H2479:H2485)</f>
        <v>797</v>
      </c>
      <c r="I2478" s="14"/>
      <c r="J2478" s="14" t="e">
        <f>SUM(J2479:J2485)</f>
        <v>#REF!</v>
      </c>
      <c r="K2478" s="18" t="e">
        <f>SUM(K2479:K2485)</f>
        <v>#REF!</v>
      </c>
      <c r="L2478" s="15">
        <f>SUM(L2479:L2485)</f>
        <v>0</v>
      </c>
      <c r="M2478" s="16" t="e">
        <f>SUM(M2479:M2485)</f>
        <v>#REF!</v>
      </c>
      <c r="N2478" s="60" t="e">
        <f>+SUMIFS(#REF!,#REF!,Planning[[#This Row],[Proyectos]],#REF!,Planning[[#This Row],[Tipo de Tarea y especialidad]])</f>
        <v>#REF!</v>
      </c>
      <c r="O2478" s="16">
        <f t="shared" si="76"/>
        <v>10</v>
      </c>
      <c r="P2478" s="16">
        <f t="shared" si="77"/>
        <v>2024</v>
      </c>
      <c r="Q2478" s="16" t="e">
        <f>SUM(Q2479:Q2485)</f>
        <v>#REF!</v>
      </c>
      <c r="R2478" s="16" t="str">
        <f>TEXT(Planning[[#This Row],[Mes]]*29,"mmmm")</f>
        <v>October</v>
      </c>
      <c r="S24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78" s="193"/>
      <c r="U2478" s="43" t="e">
        <f>IF(Planning[[#This Row],[Horas Planificadas]]&lt;&gt;0,+K2478/Planning[[#This Row],[Horas Planificadas]],0)</f>
        <v>#REF!</v>
      </c>
      <c r="V2478" s="43" t="e">
        <f>IF(Planning[[#This Row],[Horas Planificadas]]&lt;&gt;0,Planning[[#This Row],[Horas utilizadas]]/Planning[[#This Row],[Horas Planificadas]],0)</f>
        <v>#REF!</v>
      </c>
      <c r="W2478" s="44">
        <f>Planning[[#This Row],[Horas Planificadas]]+Planning[[#This Row],[Horas ajustadas adicionales]]</f>
        <v>797</v>
      </c>
      <c r="X2478" s="142"/>
    </row>
    <row r="2479" spans="1:24" x14ac:dyDescent="0.2">
      <c r="A2479" s="7" t="s">
        <v>435</v>
      </c>
      <c r="B2479" s="7" t="s">
        <v>169</v>
      </c>
      <c r="C2479" s="3"/>
      <c r="D2479" s="3" t="s">
        <v>515</v>
      </c>
      <c r="E2479" s="4"/>
      <c r="F2479" s="3" t="s">
        <v>122</v>
      </c>
      <c r="G2479" s="9">
        <f>256+64</f>
        <v>320</v>
      </c>
      <c r="H2479" s="12">
        <f>677-357</f>
        <v>320</v>
      </c>
      <c r="I2479" s="12"/>
      <c r="J2479" s="5" t="e">
        <f>SUM(SUMIFS(#REF!,#REF!,Planning[[#This Row],[Tipo de Tarea y especialidad]],#REF!,Planning[[#This Row],[Proyectos Reiwa]]),SUMIFS(#REF!,#REF!,Planning[[#This Row],[Tipo de Tarea y especialidad]],#REF!,Planning[[#This Row],[Proyectos]]))</f>
        <v>#REF!</v>
      </c>
      <c r="K2479" s="27" t="e">
        <f>Planning[[#This Row],[Horas Planificadas]]+Planning[[#This Row],[Horas ajustadas adicionales]]-Planning[[#This Row],[Horas utilizadas]]</f>
        <v>#REF!</v>
      </c>
      <c r="L2479" s="7">
        <v>0</v>
      </c>
      <c r="M2479" s="34" t="e">
        <f>Planning[[#This Row],[Saldo]]-Planning[[#This Row],[Saldo estimado]]</f>
        <v>#REF!</v>
      </c>
      <c r="N2479" s="62" t="e">
        <f>+SUMIFS(#REF!,#REF!,Planning[[#This Row],[Proyectos]],#REF!,Planning[[#This Row],[Tipo de Tarea y especialidad]])</f>
        <v>#REF!</v>
      </c>
      <c r="O2479" s="34">
        <f t="shared" si="76"/>
        <v>10</v>
      </c>
      <c r="P2479" s="34">
        <f t="shared" si="77"/>
        <v>2024</v>
      </c>
      <c r="Q24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79" s="19" t="str">
        <f>TEXT(Planning[[#This Row],[Mes]]*29,"mmmm")</f>
        <v>October</v>
      </c>
      <c r="S24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79" s="193"/>
      <c r="U2479" s="43" t="e">
        <f>IF(Planning[[#This Row],[Horas Planificadas]]&lt;&gt;0,+K2479/Planning[[#This Row],[Horas Planificadas]],0)</f>
        <v>#REF!</v>
      </c>
      <c r="V2479" s="43" t="e">
        <f>IF(Planning[[#This Row],[Horas Planificadas]]&lt;&gt;0,Planning[[#This Row],[Horas utilizadas]]/Planning[[#This Row],[Horas Planificadas]],0)</f>
        <v>#REF!</v>
      </c>
      <c r="W2479" s="44">
        <f>Planning[[#This Row],[Horas Planificadas]]+Planning[[#This Row],[Horas ajustadas adicionales]]</f>
        <v>320</v>
      </c>
      <c r="X2479" s="142"/>
    </row>
    <row r="2480" spans="1:24" x14ac:dyDescent="0.2">
      <c r="A2480" s="7" t="s">
        <v>435</v>
      </c>
      <c r="B2480" s="7" t="s">
        <v>169</v>
      </c>
      <c r="C2480" s="3"/>
      <c r="D2480" s="3" t="s">
        <v>515</v>
      </c>
      <c r="E2480" s="4"/>
      <c r="F2480" s="3" t="s">
        <v>123</v>
      </c>
      <c r="G2480" s="9"/>
      <c r="H2480" s="9"/>
      <c r="I2480" s="12"/>
      <c r="J2480" s="5" t="e">
        <f>SUM(SUMIFS(#REF!,#REF!,Planning[[#This Row],[Tipo de Tarea y especialidad]],#REF!,Planning[[#This Row],[Proyectos Reiwa]]),SUMIFS(#REF!,#REF!,Planning[[#This Row],[Tipo de Tarea y especialidad]],#REF!,Planning[[#This Row],[Proyectos]]))</f>
        <v>#REF!</v>
      </c>
      <c r="K2480" s="5" t="e">
        <f>Planning[[#This Row],[Horas Planificadas]]+Planning[[#This Row],[Horas ajustadas adicionales]]-Planning[[#This Row],[Horas utilizadas]]</f>
        <v>#REF!</v>
      </c>
      <c r="L2480" s="7">
        <v>0</v>
      </c>
      <c r="M2480" s="19" t="e">
        <f>Planning[[#This Row],[Saldo]]-Planning[[#This Row],[Saldo estimado]]</f>
        <v>#REF!</v>
      </c>
      <c r="N2480" s="60" t="e">
        <f>+SUMIFS(#REF!,#REF!,Planning[[#This Row],[Proyectos]],#REF!,Planning[[#This Row],[Tipo de Tarea y especialidad]])</f>
        <v>#REF!</v>
      </c>
      <c r="O2480" s="19">
        <f t="shared" si="76"/>
        <v>10</v>
      </c>
      <c r="P2480" s="19">
        <f t="shared" si="77"/>
        <v>2024</v>
      </c>
      <c r="Q24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80" s="19" t="str">
        <f>TEXT(Planning[[#This Row],[Mes]]*29,"mmmm")</f>
        <v>October</v>
      </c>
      <c r="S24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80" s="193"/>
      <c r="U2480" s="43">
        <f>IF(Planning[[#This Row],[Horas Planificadas]]&lt;&gt;0,+K2480/Planning[[#This Row],[Horas Planificadas]],0)</f>
        <v>0</v>
      </c>
      <c r="V2480" s="43">
        <f>IF(Planning[[#This Row],[Horas Planificadas]]&lt;&gt;0,Planning[[#This Row],[Horas utilizadas]]/Planning[[#This Row],[Horas Planificadas]],0)</f>
        <v>0</v>
      </c>
      <c r="W2480" s="44">
        <f>Planning[[#This Row],[Horas Planificadas]]+Planning[[#This Row],[Horas ajustadas adicionales]]</f>
        <v>0</v>
      </c>
      <c r="X2480" s="142"/>
    </row>
    <row r="2481" spans="1:24" x14ac:dyDescent="0.2">
      <c r="A2481" s="7" t="s">
        <v>435</v>
      </c>
      <c r="B2481" s="7" t="s">
        <v>169</v>
      </c>
      <c r="C2481" s="3"/>
      <c r="D2481" s="3" t="s">
        <v>515</v>
      </c>
      <c r="E2481" s="4"/>
      <c r="F2481" s="3" t="s">
        <v>124</v>
      </c>
      <c r="G2481" s="9"/>
      <c r="H2481" s="9">
        <v>120</v>
      </c>
      <c r="I2481" s="12"/>
      <c r="J2481" s="5" t="e">
        <f>SUM(SUMIFS(#REF!,#REF!,Planning[[#This Row],[Tipo de Tarea y especialidad]],#REF!,Planning[[#This Row],[Proyectos Reiwa]]),SUMIFS(#REF!,#REF!,Planning[[#This Row],[Tipo de Tarea y especialidad]],#REF!,Planning[[#This Row],[Proyectos]]))</f>
        <v>#REF!</v>
      </c>
      <c r="K2481" s="5" t="e">
        <f>Planning[[#This Row],[Horas Planificadas]]+Planning[[#This Row],[Horas ajustadas adicionales]]-Planning[[#This Row],[Horas utilizadas]]</f>
        <v>#REF!</v>
      </c>
      <c r="L2481" s="7">
        <v>0</v>
      </c>
      <c r="M2481" s="19" t="e">
        <f>Planning[[#This Row],[Saldo]]-Planning[[#This Row],[Saldo estimado]]</f>
        <v>#REF!</v>
      </c>
      <c r="N2481" s="60" t="e">
        <f>+SUMIFS(#REF!,#REF!,Planning[[#This Row],[Proyectos]],#REF!,Planning[[#This Row],[Tipo de Tarea y especialidad]])</f>
        <v>#REF!</v>
      </c>
      <c r="O2481" s="19">
        <f t="shared" si="76"/>
        <v>10</v>
      </c>
      <c r="P2481" s="19">
        <f t="shared" si="77"/>
        <v>2024</v>
      </c>
      <c r="Q24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81" s="19" t="str">
        <f>TEXT(Planning[[#This Row],[Mes]]*29,"mmmm")</f>
        <v>October</v>
      </c>
      <c r="S24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81" s="193"/>
      <c r="U2481" s="43" t="e">
        <f>IF(Planning[[#This Row],[Horas Planificadas]]&lt;&gt;0,+K2481/Planning[[#This Row],[Horas Planificadas]],0)</f>
        <v>#REF!</v>
      </c>
      <c r="V2481" s="43" t="e">
        <f>IF(Planning[[#This Row],[Horas Planificadas]]&lt;&gt;0,Planning[[#This Row],[Horas utilizadas]]/Planning[[#This Row],[Horas Planificadas]],0)</f>
        <v>#REF!</v>
      </c>
      <c r="W2481" s="44">
        <f>Planning[[#This Row],[Horas Planificadas]]+Planning[[#This Row],[Horas ajustadas adicionales]]</f>
        <v>120</v>
      </c>
      <c r="X2481" s="142"/>
    </row>
    <row r="2482" spans="1:24" x14ac:dyDescent="0.2">
      <c r="A2482" s="7" t="s">
        <v>435</v>
      </c>
      <c r="B2482" s="7" t="s">
        <v>169</v>
      </c>
      <c r="C2482" s="3"/>
      <c r="D2482" s="3" t="s">
        <v>515</v>
      </c>
      <c r="E2482" s="4"/>
      <c r="F2482" s="3" t="s">
        <v>125</v>
      </c>
      <c r="G2482" s="9"/>
      <c r="H2482" s="12">
        <v>55</v>
      </c>
      <c r="I2482" s="12"/>
      <c r="J2482" s="5" t="e">
        <f>SUM(SUMIFS(#REF!,#REF!,Planning[[#This Row],[Tipo de Tarea y especialidad]],#REF!,Planning[[#This Row],[Proyectos Reiwa]]),SUMIFS(#REF!,#REF!,Planning[[#This Row],[Tipo de Tarea y especialidad]],#REF!,Planning[[#This Row],[Proyectos]]))</f>
        <v>#REF!</v>
      </c>
      <c r="K2482" s="27" t="e">
        <f>Planning[[#This Row],[Horas Planificadas]]+Planning[[#This Row],[Horas ajustadas adicionales]]-Planning[[#This Row],[Horas utilizadas]]</f>
        <v>#REF!</v>
      </c>
      <c r="L2482" s="7">
        <v>0</v>
      </c>
      <c r="M2482" s="19" t="e">
        <f>Planning[[#This Row],[Saldo]]-Planning[[#This Row],[Saldo estimado]]</f>
        <v>#REF!</v>
      </c>
      <c r="N2482" s="60" t="e">
        <f>+SUMIFS(#REF!,#REF!,Planning[[#This Row],[Proyectos]],#REF!,Planning[[#This Row],[Tipo de Tarea y especialidad]])</f>
        <v>#REF!</v>
      </c>
      <c r="O2482" s="19">
        <f t="shared" si="76"/>
        <v>10</v>
      </c>
      <c r="P2482" s="19">
        <f t="shared" si="77"/>
        <v>2024</v>
      </c>
      <c r="Q24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82" s="19" t="str">
        <f>TEXT(Planning[[#This Row],[Mes]]*29,"mmmm")</f>
        <v>October</v>
      </c>
      <c r="S24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82" s="193"/>
      <c r="U2482" s="43" t="e">
        <f>IF(Planning[[#This Row],[Horas Planificadas]]&lt;&gt;0,+K2482/Planning[[#This Row],[Horas Planificadas]],0)</f>
        <v>#REF!</v>
      </c>
      <c r="V2482" s="43" t="e">
        <f>IF(Planning[[#This Row],[Horas Planificadas]]&lt;&gt;0,Planning[[#This Row],[Horas utilizadas]]/Planning[[#This Row],[Horas Planificadas]],0)</f>
        <v>#REF!</v>
      </c>
      <c r="W2482" s="44">
        <f>Planning[[#This Row],[Horas Planificadas]]+Planning[[#This Row],[Horas ajustadas adicionales]]</f>
        <v>55</v>
      </c>
      <c r="X2482" s="142"/>
    </row>
    <row r="2483" spans="1:24" x14ac:dyDescent="0.2">
      <c r="A2483" s="7" t="s">
        <v>435</v>
      </c>
      <c r="B2483" s="7" t="s">
        <v>169</v>
      </c>
      <c r="C2483" s="3"/>
      <c r="D2483" s="3" t="s">
        <v>515</v>
      </c>
      <c r="E2483" s="4"/>
      <c r="F2483" s="3" t="s">
        <v>126</v>
      </c>
      <c r="G2483" s="9">
        <f>185+45+72</f>
        <v>302</v>
      </c>
      <c r="H2483" s="9">
        <v>302</v>
      </c>
      <c r="I2483" s="12"/>
      <c r="J2483" s="5" t="e">
        <f>SUM(SUMIFS(#REF!,#REF!,Planning[[#This Row],[Tipo de Tarea y especialidad]],#REF!,Planning[[#This Row],[Proyectos Reiwa]]),SUMIFS(#REF!,#REF!,Planning[[#This Row],[Tipo de Tarea y especialidad]],#REF!,Planning[[#This Row],[Proyectos]]))</f>
        <v>#REF!</v>
      </c>
      <c r="K2483" s="5" t="e">
        <f>Planning[[#This Row],[Horas Planificadas]]+Planning[[#This Row],[Horas ajustadas adicionales]]-Planning[[#This Row],[Horas utilizadas]]</f>
        <v>#REF!</v>
      </c>
      <c r="L2483" s="7">
        <v>0</v>
      </c>
      <c r="M2483" s="19" t="e">
        <f>Planning[[#This Row],[Saldo]]-Planning[[#This Row],[Saldo estimado]]</f>
        <v>#REF!</v>
      </c>
      <c r="N2483" s="60" t="e">
        <f>+SUMIFS(#REF!,#REF!,Planning[[#This Row],[Proyectos]],#REF!,Planning[[#This Row],[Tipo de Tarea y especialidad]])</f>
        <v>#REF!</v>
      </c>
      <c r="O2483" s="19">
        <f t="shared" si="76"/>
        <v>10</v>
      </c>
      <c r="P2483" s="19">
        <f t="shared" si="77"/>
        <v>2024</v>
      </c>
      <c r="Q24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83" s="19" t="str">
        <f>TEXT(Planning[[#This Row],[Mes]]*29,"mmmm")</f>
        <v>October</v>
      </c>
      <c r="S24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83" s="193"/>
      <c r="U2483" s="43" t="e">
        <f>IF(Planning[[#This Row],[Horas Planificadas]]&lt;&gt;0,+K2483/Planning[[#This Row],[Horas Planificadas]],0)</f>
        <v>#REF!</v>
      </c>
      <c r="V2483" s="43" t="e">
        <f>IF(Planning[[#This Row],[Horas Planificadas]]&lt;&gt;0,Planning[[#This Row],[Horas utilizadas]]/Planning[[#This Row],[Horas Planificadas]],0)</f>
        <v>#REF!</v>
      </c>
      <c r="W2483" s="44">
        <f>Planning[[#This Row],[Horas Planificadas]]+Planning[[#This Row],[Horas ajustadas adicionales]]</f>
        <v>302</v>
      </c>
      <c r="X2483" s="142"/>
    </row>
    <row r="2484" spans="1:24" x14ac:dyDescent="0.2">
      <c r="A2484" s="7" t="s">
        <v>435</v>
      </c>
      <c r="B2484" s="7" t="s">
        <v>169</v>
      </c>
      <c r="C2484" s="3"/>
      <c r="D2484" s="3" t="s">
        <v>515</v>
      </c>
      <c r="E2484" s="4"/>
      <c r="F2484" s="3" t="s">
        <v>127</v>
      </c>
      <c r="G2484" s="9"/>
      <c r="H2484" s="9"/>
      <c r="I2484" s="12"/>
      <c r="J2484" s="5" t="e">
        <f>SUM(SUMIFS(#REF!,#REF!,Planning[[#This Row],[Tipo de Tarea y especialidad]],#REF!,Planning[[#This Row],[Proyectos Reiwa]]),SUMIFS(#REF!,#REF!,Planning[[#This Row],[Tipo de Tarea y especialidad]],#REF!,Planning[[#This Row],[Proyectos]]))</f>
        <v>#REF!</v>
      </c>
      <c r="K2484" s="5" t="e">
        <f>Planning[[#This Row],[Horas Planificadas]]+Planning[[#This Row],[Horas ajustadas adicionales]]-Planning[[#This Row],[Horas utilizadas]]</f>
        <v>#REF!</v>
      </c>
      <c r="L2484" s="7">
        <v>0</v>
      </c>
      <c r="M2484" s="19" t="e">
        <f>Planning[[#This Row],[Saldo]]-Planning[[#This Row],[Saldo estimado]]</f>
        <v>#REF!</v>
      </c>
      <c r="N2484" s="60" t="e">
        <f>+SUMIFS(#REF!,#REF!,Planning[[#This Row],[Proyectos]],#REF!,Planning[[#This Row],[Tipo de Tarea y especialidad]])</f>
        <v>#REF!</v>
      </c>
      <c r="O2484" s="19">
        <f t="shared" si="76"/>
        <v>10</v>
      </c>
      <c r="P2484" s="19">
        <f t="shared" si="77"/>
        <v>2024</v>
      </c>
      <c r="Q24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84" s="19" t="str">
        <f>TEXT(Planning[[#This Row],[Mes]]*29,"mmmm")</f>
        <v>October</v>
      </c>
      <c r="S24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84" s="193"/>
      <c r="U2484" s="43">
        <f>IF(Planning[[#This Row],[Horas Planificadas]]&lt;&gt;0,+K2484/Planning[[#This Row],[Horas Planificadas]],0)</f>
        <v>0</v>
      </c>
      <c r="V2484" s="43">
        <f>IF(Planning[[#This Row],[Horas Planificadas]]&lt;&gt;0,Planning[[#This Row],[Horas utilizadas]]/Planning[[#This Row],[Horas Planificadas]],0)</f>
        <v>0</v>
      </c>
      <c r="W2484" s="44">
        <f>Planning[[#This Row],[Horas Planificadas]]+Planning[[#This Row],[Horas ajustadas adicionales]]</f>
        <v>0</v>
      </c>
      <c r="X2484" s="142"/>
    </row>
    <row r="2485" spans="1:24" x14ac:dyDescent="0.2">
      <c r="A2485" s="7" t="s">
        <v>435</v>
      </c>
      <c r="B2485" s="7" t="s">
        <v>169</v>
      </c>
      <c r="C2485" s="3"/>
      <c r="D2485" s="3" t="s">
        <v>515</v>
      </c>
      <c r="E2485" s="4"/>
      <c r="F2485" s="3" t="s">
        <v>128</v>
      </c>
      <c r="G2485" s="9"/>
      <c r="H2485" s="9"/>
      <c r="I2485" s="12"/>
      <c r="J2485" s="5" t="e">
        <f>SUM(SUMIFS(#REF!,#REF!,Planning[[#This Row],[Tipo de Tarea y especialidad]],#REF!,Planning[[#This Row],[Proyectos Reiwa]]),SUMIFS(#REF!,#REF!,Planning[[#This Row],[Tipo de Tarea y especialidad]],#REF!,Planning[[#This Row],[Proyectos]]))</f>
        <v>#REF!</v>
      </c>
      <c r="K2485" s="5" t="e">
        <f>Planning[[#This Row],[Horas Planificadas]]+Planning[[#This Row],[Horas ajustadas adicionales]]-Planning[[#This Row],[Horas utilizadas]]</f>
        <v>#REF!</v>
      </c>
      <c r="L2485" s="7">
        <v>0</v>
      </c>
      <c r="M2485" s="19" t="e">
        <f>Planning[[#This Row],[Saldo]]-Planning[[#This Row],[Saldo estimado]]</f>
        <v>#REF!</v>
      </c>
      <c r="N2485" s="60" t="e">
        <f>+SUMIFS(#REF!,#REF!,Planning[[#This Row],[Proyectos]],#REF!,Planning[[#This Row],[Tipo de Tarea y especialidad]])</f>
        <v>#REF!</v>
      </c>
      <c r="O2485" s="19">
        <f t="shared" si="76"/>
        <v>10</v>
      </c>
      <c r="P2485" s="19">
        <f t="shared" si="77"/>
        <v>2024</v>
      </c>
      <c r="Q24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85" s="19" t="str">
        <f>TEXT(Planning[[#This Row],[Mes]]*29,"mmmm")</f>
        <v>October</v>
      </c>
      <c r="S24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85" s="193"/>
      <c r="U2485" s="43">
        <f>IF(Planning[[#This Row],[Horas Planificadas]]&lt;&gt;0,+K2485/Planning[[#This Row],[Horas Planificadas]],0)</f>
        <v>0</v>
      </c>
      <c r="V2485" s="43">
        <f>IF(Planning[[#This Row],[Horas Planificadas]]&lt;&gt;0,Planning[[#This Row],[Horas utilizadas]]/Planning[[#This Row],[Horas Planificadas]],0)</f>
        <v>0</v>
      </c>
      <c r="W2485" s="44">
        <f>Planning[[#This Row],[Horas Planificadas]]+Planning[[#This Row],[Horas ajustadas adicionales]]</f>
        <v>0</v>
      </c>
      <c r="X2485" s="142"/>
    </row>
    <row r="2486" spans="1:24" x14ac:dyDescent="0.2">
      <c r="A2486" s="7" t="s">
        <v>435</v>
      </c>
      <c r="B2486" s="7" t="s">
        <v>169</v>
      </c>
      <c r="C2486" s="3"/>
      <c r="D2486" s="3" t="s">
        <v>515</v>
      </c>
      <c r="E2486" s="4" t="s">
        <v>31</v>
      </c>
      <c r="F2486" s="3" t="s">
        <v>31</v>
      </c>
      <c r="G2486" s="9">
        <v>161</v>
      </c>
      <c r="H2486" s="17">
        <v>161</v>
      </c>
      <c r="I2486" s="18"/>
      <c r="J2486" s="14" t="e">
        <f>+SUMIFS(#REF!,#REF!,Planning[[#This Row],[Tarifa]],#REF!,Planning[[#This Row],[Proyectos]])</f>
        <v>#REF!</v>
      </c>
      <c r="K2486" s="14" t="e">
        <f>Planning[[#This Row],[Horas Planificadas]]+Planning[[#This Row],[Horas ajustadas adicionales]]-Planning[[#This Row],[Horas utilizadas]]</f>
        <v>#REF!</v>
      </c>
      <c r="L2486" s="15">
        <v>0</v>
      </c>
      <c r="M2486" s="16" t="e">
        <f>Planning[[#This Row],[Saldo]]-Planning[[#This Row],[Saldo estimado]]</f>
        <v>#REF!</v>
      </c>
      <c r="N2486" s="60" t="e">
        <f>+SUMIFS(#REF!,#REF!,Planning[[#This Row],[Proyectos]],#REF!,Planning[[#This Row],[Tipo de Tarea y especialidad]])</f>
        <v>#REF!</v>
      </c>
      <c r="O2486" s="16">
        <f t="shared" si="76"/>
        <v>10</v>
      </c>
      <c r="P2486" s="16">
        <f t="shared" si="77"/>
        <v>2024</v>
      </c>
      <c r="Q2486" s="16" t="e">
        <f>+SUMIFS(#REF!,#REF!,Planning[[#This Row],[Tarifa]],#REF!,Planning[[#This Row],[Proyectos]],#REF!,Planning[[#This Row],[Mes]],#REF!,Planning[[#This Row],[Año]])</f>
        <v>#REF!</v>
      </c>
      <c r="R2486" s="16" t="str">
        <f>TEXT(Planning[[#This Row],[Mes]]*29,"mmmm")</f>
        <v>October</v>
      </c>
      <c r="S24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86" s="193"/>
      <c r="U2486" s="43" t="e">
        <f>IF(Planning[[#This Row],[Horas Planificadas]]&lt;&gt;0,+K2486/Planning[[#This Row],[Horas Planificadas]],0)</f>
        <v>#REF!</v>
      </c>
      <c r="V2486" s="43" t="e">
        <f>IF(Planning[[#This Row],[Horas Planificadas]]&lt;&gt;0,Planning[[#This Row],[Horas utilizadas]]/Planning[[#This Row],[Horas Planificadas]],0)</f>
        <v>#REF!</v>
      </c>
      <c r="W2486" s="44">
        <f>Planning[[#This Row],[Horas Planificadas]]+Planning[[#This Row],[Horas ajustadas adicionales]]</f>
        <v>161</v>
      </c>
      <c r="X2486" s="142"/>
    </row>
    <row r="2487" spans="1:24" ht="22.5" x14ac:dyDescent="0.2">
      <c r="A2487" s="7" t="s">
        <v>435</v>
      </c>
      <c r="B2487" s="7" t="s">
        <v>169</v>
      </c>
      <c r="C2487" s="3"/>
      <c r="D2487" s="3" t="s">
        <v>515</v>
      </c>
      <c r="E2487" s="4" t="s">
        <v>32</v>
      </c>
      <c r="F2487" s="3"/>
      <c r="G2487" s="9">
        <v>350</v>
      </c>
      <c r="H2487" s="25">
        <f>SUM(H2488:H2490)</f>
        <v>350</v>
      </c>
      <c r="I2487" s="14"/>
      <c r="J2487" s="14" t="e">
        <f>SUM(J2488:J2490)</f>
        <v>#REF!</v>
      </c>
      <c r="K2487" s="18" t="e">
        <f>SUM(K2488:K2490)</f>
        <v>#REF!</v>
      </c>
      <c r="L2487" s="15">
        <f>SUM(L2488:L2490)</f>
        <v>0</v>
      </c>
      <c r="M2487" s="16" t="e">
        <f>SUM(M2488:M2490)</f>
        <v>#REF!</v>
      </c>
      <c r="N2487" s="60" t="e">
        <f>+SUMIFS(#REF!,#REF!,Planning[[#This Row],[Proyectos]],#REF!,Planning[[#This Row],[Tipo de Tarea y especialidad]])</f>
        <v>#REF!</v>
      </c>
      <c r="O2487" s="16">
        <f t="shared" si="76"/>
        <v>10</v>
      </c>
      <c r="P2487" s="16">
        <f t="shared" si="77"/>
        <v>2024</v>
      </c>
      <c r="Q2487" s="16" t="e">
        <f>SUM(Q2488:Q2490)</f>
        <v>#REF!</v>
      </c>
      <c r="R2487" s="16" t="str">
        <f>TEXT(Planning[[#This Row],[Mes]]*29,"mmmm")</f>
        <v>October</v>
      </c>
      <c r="S24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87" s="193"/>
      <c r="U2487" s="43" t="e">
        <f>IF(Planning[[#This Row],[Horas Planificadas]]&lt;&gt;0,+K2487/Planning[[#This Row],[Horas Planificadas]],0)</f>
        <v>#REF!</v>
      </c>
      <c r="V2487" s="43" t="e">
        <f>IF(Planning[[#This Row],[Horas Planificadas]]&lt;&gt;0,Planning[[#This Row],[Horas utilizadas]]/Planning[[#This Row],[Horas Planificadas]],0)</f>
        <v>#REF!</v>
      </c>
      <c r="W2487" s="44">
        <f>Planning[[#This Row],[Horas Planificadas]]+Planning[[#This Row],[Horas ajustadas adicionales]]</f>
        <v>350</v>
      </c>
      <c r="X2487" s="142"/>
    </row>
    <row r="2488" spans="1:24" x14ac:dyDescent="0.2">
      <c r="A2488" s="7" t="s">
        <v>435</v>
      </c>
      <c r="B2488" s="7" t="s">
        <v>169</v>
      </c>
      <c r="C2488" s="3"/>
      <c r="D2488" s="3" t="s">
        <v>515</v>
      </c>
      <c r="E2488" s="4"/>
      <c r="F2488" s="3" t="s">
        <v>129</v>
      </c>
      <c r="G2488" s="9">
        <v>250</v>
      </c>
      <c r="H2488" s="9">
        <v>250</v>
      </c>
      <c r="I2488" s="12"/>
      <c r="J2488" s="5" t="e">
        <f>SUM(SUMIFS(#REF!,#REF!,Planning[[#This Row],[Tipo de Tarea y especialidad]],#REF!,Planning[[#This Row],[Proyectos Reiwa]]),SUMIFS(#REF!,#REF!,Planning[[#This Row],[Tipo de Tarea y especialidad]],#REF!,Planning[[#This Row],[Proyectos]]))</f>
        <v>#REF!</v>
      </c>
      <c r="K2488" s="5" t="e">
        <f>Planning[[#This Row],[Horas Planificadas]]+Planning[[#This Row],[Horas ajustadas adicionales]]-Planning[[#This Row],[Horas utilizadas]]</f>
        <v>#REF!</v>
      </c>
      <c r="L2488" s="7">
        <v>0</v>
      </c>
      <c r="M2488" s="19" t="e">
        <f>Planning[[#This Row],[Saldo]]-Planning[[#This Row],[Saldo estimado]]</f>
        <v>#REF!</v>
      </c>
      <c r="N2488" s="60" t="e">
        <f>+SUMIFS(#REF!,#REF!,Planning[[#This Row],[Proyectos]],#REF!,Planning[[#This Row],[Tipo de Tarea y especialidad]])</f>
        <v>#REF!</v>
      </c>
      <c r="O2488" s="19">
        <f t="shared" si="76"/>
        <v>10</v>
      </c>
      <c r="P2488" s="19">
        <f t="shared" si="77"/>
        <v>2024</v>
      </c>
      <c r="Q24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88" s="19" t="str">
        <f>TEXT(Planning[[#This Row],[Mes]]*29,"mmmm")</f>
        <v>October</v>
      </c>
      <c r="S24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88" s="193"/>
      <c r="U2488" s="43" t="e">
        <f>IF(Planning[[#This Row],[Horas Planificadas]]&lt;&gt;0,+K2488/Planning[[#This Row],[Horas Planificadas]],0)</f>
        <v>#REF!</v>
      </c>
      <c r="V2488" s="43" t="e">
        <f>IF(Planning[[#This Row],[Horas Planificadas]]&lt;&gt;0,Planning[[#This Row],[Horas utilizadas]]/Planning[[#This Row],[Horas Planificadas]],0)</f>
        <v>#REF!</v>
      </c>
      <c r="W2488" s="44">
        <f>Planning[[#This Row],[Horas Planificadas]]+Planning[[#This Row],[Horas ajustadas adicionales]]</f>
        <v>250</v>
      </c>
      <c r="X2488" s="142"/>
    </row>
    <row r="2489" spans="1:24" x14ac:dyDescent="0.2">
      <c r="A2489" s="7" t="s">
        <v>435</v>
      </c>
      <c r="B2489" s="7" t="s">
        <v>169</v>
      </c>
      <c r="C2489" s="3"/>
      <c r="D2489" s="3" t="s">
        <v>515</v>
      </c>
      <c r="E2489" s="4"/>
      <c r="F2489" s="3" t="s">
        <v>130</v>
      </c>
      <c r="G2489" s="9"/>
      <c r="H2489" s="9"/>
      <c r="I2489" s="12"/>
      <c r="J2489" s="5" t="e">
        <f>SUM(SUMIFS(#REF!,#REF!,Planning[[#This Row],[Tipo de Tarea y especialidad]],#REF!,Planning[[#This Row],[Proyectos Reiwa]]),SUMIFS(#REF!,#REF!,Planning[[#This Row],[Tipo de Tarea y especialidad]],#REF!,Planning[[#This Row],[Proyectos]]))</f>
        <v>#REF!</v>
      </c>
      <c r="K2489" s="5" t="e">
        <f>Planning[[#This Row],[Horas Planificadas]]+Planning[[#This Row],[Horas ajustadas adicionales]]-Planning[[#This Row],[Horas utilizadas]]</f>
        <v>#REF!</v>
      </c>
      <c r="L2489" s="7">
        <v>0</v>
      </c>
      <c r="M2489" s="19" t="e">
        <f>Planning[[#This Row],[Saldo]]-Planning[[#This Row],[Saldo estimado]]</f>
        <v>#REF!</v>
      </c>
      <c r="N2489" s="60" t="e">
        <f>+SUMIFS(#REF!,#REF!,Planning[[#This Row],[Proyectos]],#REF!,Planning[[#This Row],[Tipo de Tarea y especialidad]])</f>
        <v>#REF!</v>
      </c>
      <c r="O2489" s="19">
        <f t="shared" si="76"/>
        <v>10</v>
      </c>
      <c r="P2489" s="19">
        <f t="shared" si="77"/>
        <v>2024</v>
      </c>
      <c r="Q24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89" s="19" t="str">
        <f>TEXT(Planning[[#This Row],[Mes]]*29,"mmmm")</f>
        <v>October</v>
      </c>
      <c r="S24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89" s="193"/>
      <c r="U2489" s="43">
        <f>IF(Planning[[#This Row],[Horas Planificadas]]&lt;&gt;0,+K2489/Planning[[#This Row],[Horas Planificadas]],0)</f>
        <v>0</v>
      </c>
      <c r="V2489" s="43">
        <f>IF(Planning[[#This Row],[Horas Planificadas]]&lt;&gt;0,Planning[[#This Row],[Horas utilizadas]]/Planning[[#This Row],[Horas Planificadas]],0)</f>
        <v>0</v>
      </c>
      <c r="W2489" s="44">
        <f>Planning[[#This Row],[Horas Planificadas]]+Planning[[#This Row],[Horas ajustadas adicionales]]</f>
        <v>0</v>
      </c>
      <c r="X2489" s="142"/>
    </row>
    <row r="2490" spans="1:24" x14ac:dyDescent="0.2">
      <c r="A2490" s="7" t="s">
        <v>435</v>
      </c>
      <c r="B2490" s="7" t="s">
        <v>169</v>
      </c>
      <c r="C2490" s="3"/>
      <c r="D2490" s="3" t="s">
        <v>515</v>
      </c>
      <c r="E2490" s="4"/>
      <c r="F2490" s="3" t="s">
        <v>131</v>
      </c>
      <c r="G2490" s="9"/>
      <c r="H2490" s="9">
        <v>100</v>
      </c>
      <c r="I2490" s="12"/>
      <c r="J2490" s="5" t="e">
        <f>SUM(SUMIFS(#REF!,#REF!,Planning[[#This Row],[Tipo de Tarea y especialidad]],#REF!,Planning[[#This Row],[Proyectos Reiwa]]),SUMIFS(#REF!,#REF!,Planning[[#This Row],[Tipo de Tarea y especialidad]],#REF!,Planning[[#This Row],[Proyectos]]))</f>
        <v>#REF!</v>
      </c>
      <c r="K2490" s="5" t="e">
        <f>Planning[[#This Row],[Horas Planificadas]]+Planning[[#This Row],[Horas ajustadas adicionales]]-Planning[[#This Row],[Horas utilizadas]]</f>
        <v>#REF!</v>
      </c>
      <c r="L2490" s="7">
        <v>0</v>
      </c>
      <c r="M2490" s="19" t="e">
        <f>Planning[[#This Row],[Saldo]]-Planning[[#This Row],[Saldo estimado]]</f>
        <v>#REF!</v>
      </c>
      <c r="N2490" s="60" t="e">
        <f>+SUMIFS(#REF!,#REF!,Planning[[#This Row],[Proyectos]],#REF!,Planning[[#This Row],[Tipo de Tarea y especialidad]])</f>
        <v>#REF!</v>
      </c>
      <c r="O2490" s="19">
        <f t="shared" si="76"/>
        <v>10</v>
      </c>
      <c r="P2490" s="19">
        <f t="shared" si="77"/>
        <v>2024</v>
      </c>
      <c r="Q24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90" s="19" t="str">
        <f>TEXT(Planning[[#This Row],[Mes]]*29,"mmmm")</f>
        <v>October</v>
      </c>
      <c r="S24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90" s="193"/>
      <c r="U2490" s="43" t="e">
        <f>IF(Planning[[#This Row],[Horas Planificadas]]&lt;&gt;0,+K2490/Planning[[#This Row],[Horas Planificadas]],0)</f>
        <v>#REF!</v>
      </c>
      <c r="V2490" s="43" t="e">
        <f>IF(Planning[[#This Row],[Horas Planificadas]]&lt;&gt;0,Planning[[#This Row],[Horas utilizadas]]/Planning[[#This Row],[Horas Planificadas]],0)</f>
        <v>#REF!</v>
      </c>
      <c r="W2490" s="44">
        <f>Planning[[#This Row],[Horas Planificadas]]+Planning[[#This Row],[Horas ajustadas adicionales]]</f>
        <v>100</v>
      </c>
      <c r="X2490" s="142"/>
    </row>
    <row r="2491" spans="1:24" ht="22.5" x14ac:dyDescent="0.2">
      <c r="A2491" s="7" t="s">
        <v>294</v>
      </c>
      <c r="B2491" s="7" t="s">
        <v>169</v>
      </c>
      <c r="C2491" s="3"/>
      <c r="D2491" s="3" t="s">
        <v>517</v>
      </c>
      <c r="E2491" s="4" t="s">
        <v>28</v>
      </c>
      <c r="F2491" s="3"/>
      <c r="G2491" s="9">
        <v>213</v>
      </c>
      <c r="H2491" s="14">
        <f>SUM(H2492:H2493)</f>
        <v>213</v>
      </c>
      <c r="I2491" s="14"/>
      <c r="J2491" s="14" t="e">
        <f>SUM(J2492:J2493)</f>
        <v>#REF!</v>
      </c>
      <c r="K2491" s="15" t="e">
        <f>SUM(K2492:K2493)</f>
        <v>#REF!</v>
      </c>
      <c r="L2491" s="15">
        <f>SUM(L2492:L2493)</f>
        <v>0</v>
      </c>
      <c r="M2491" s="28" t="e">
        <f>SUM(M2492:M2493)</f>
        <v>#REF!</v>
      </c>
      <c r="N2491" s="61" t="e">
        <f>+SUMIFS(#REF!,#REF!,Planning[[#This Row],[Proyectos]],#REF!,Planning[[#This Row],[Tipo de Tarea y especialidad]])</f>
        <v>#REF!</v>
      </c>
      <c r="O2491" s="28">
        <f t="shared" si="76"/>
        <v>10</v>
      </c>
      <c r="P2491" s="28">
        <f t="shared" si="77"/>
        <v>2024</v>
      </c>
      <c r="Q2491" s="28" t="e">
        <f>SUM(Q2492:Q2493)</f>
        <v>#REF!</v>
      </c>
      <c r="R2491" s="28" t="str">
        <f>TEXT(Planning[[#This Row],[Mes]]*29,"mmmm")</f>
        <v>October</v>
      </c>
      <c r="S24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91" s="192" t="s">
        <v>518</v>
      </c>
      <c r="U2491" s="43" t="e">
        <f>IF(Planning[[#This Row],[Horas Planificadas]]&lt;&gt;0,+K2491/Planning[[#This Row],[Horas Planificadas]],0)</f>
        <v>#REF!</v>
      </c>
      <c r="V2491" s="43" t="e">
        <f>IF(Planning[[#This Row],[Horas Planificadas]]&lt;&gt;0,Planning[[#This Row],[Horas utilizadas]]/Planning[[#This Row],[Horas Planificadas]],0)</f>
        <v>#REF!</v>
      </c>
      <c r="W2491" s="44">
        <f>Planning[[#This Row],[Horas Planificadas]]+Planning[[#This Row],[Horas ajustadas adicionales]]</f>
        <v>213</v>
      </c>
      <c r="X2491" s="142"/>
    </row>
    <row r="2492" spans="1:24" x14ac:dyDescent="0.2">
      <c r="A2492" s="7" t="s">
        <v>294</v>
      </c>
      <c r="B2492" s="7" t="s">
        <v>169</v>
      </c>
      <c r="C2492" s="3"/>
      <c r="D2492" s="3" t="s">
        <v>517</v>
      </c>
      <c r="E2492" s="4"/>
      <c r="F2492" s="3" t="s">
        <v>120</v>
      </c>
      <c r="G2492" s="9"/>
      <c r="H2492" s="9">
        <v>150</v>
      </c>
      <c r="I2492" s="12"/>
      <c r="J2492" s="5" t="e">
        <f>SUM(SUMIFS(#REF!,#REF!,Planning[[#This Row],[Tipo de Tarea y especialidad]],#REF!,Planning[[#This Row],[Proyectos Reiwa]]),SUMIFS(#REF!,#REF!,Planning[[#This Row],[Tipo de Tarea y especialidad]],#REF!,Planning[[#This Row],[Proyectos]]))</f>
        <v>#REF!</v>
      </c>
      <c r="K2492" s="5" t="e">
        <f>Planning[[#This Row],[Horas Planificadas]]+Planning[[#This Row],[Horas ajustadas adicionales]]-Planning[[#This Row],[Horas utilizadas]]</f>
        <v>#REF!</v>
      </c>
      <c r="L2492" s="7">
        <v>0</v>
      </c>
      <c r="M2492" s="19" t="e">
        <f>Planning[[#This Row],[Saldo]]-Planning[[#This Row],[Saldo estimado]]</f>
        <v>#REF!</v>
      </c>
      <c r="N2492" s="60" t="e">
        <f>+SUMIFS(#REF!,#REF!,Planning[[#This Row],[Proyectos]],#REF!,Planning[[#This Row],[Tipo de Tarea y especialidad]])</f>
        <v>#REF!</v>
      </c>
      <c r="O2492" s="19">
        <f t="shared" si="76"/>
        <v>10</v>
      </c>
      <c r="P2492" s="19">
        <f t="shared" si="77"/>
        <v>2024</v>
      </c>
      <c r="Q24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92" s="19" t="str">
        <f>TEXT(Planning[[#This Row],[Mes]]*29,"mmmm")</f>
        <v>October</v>
      </c>
      <c r="S24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92" s="193"/>
      <c r="U2492" s="43" t="e">
        <f>IF(Planning[[#This Row],[Horas Planificadas]]&lt;&gt;0,+K2492/Planning[[#This Row],[Horas Planificadas]],0)</f>
        <v>#REF!</v>
      </c>
      <c r="V2492" s="43" t="e">
        <f>IF(Planning[[#This Row],[Horas Planificadas]]&lt;&gt;0,Planning[[#This Row],[Horas utilizadas]]/Planning[[#This Row],[Horas Planificadas]],0)</f>
        <v>#REF!</v>
      </c>
      <c r="W2492" s="44">
        <f>Planning[[#This Row],[Horas Planificadas]]+Planning[[#This Row],[Horas ajustadas adicionales]]</f>
        <v>150</v>
      </c>
      <c r="X2492" s="142"/>
    </row>
    <row r="2493" spans="1:24" x14ac:dyDescent="0.2">
      <c r="A2493" s="7" t="s">
        <v>294</v>
      </c>
      <c r="B2493" s="7" t="s">
        <v>169</v>
      </c>
      <c r="C2493" s="3"/>
      <c r="D2493" s="3" t="s">
        <v>517</v>
      </c>
      <c r="E2493" s="4"/>
      <c r="F2493" s="3" t="s">
        <v>121</v>
      </c>
      <c r="G2493" s="9"/>
      <c r="H2493" s="9">
        <v>63</v>
      </c>
      <c r="I2493" s="12"/>
      <c r="J2493" s="5" t="e">
        <f>SUM(SUMIFS(#REF!,#REF!,Planning[[#This Row],[Tipo de Tarea y especialidad]],#REF!,Planning[[#This Row],[Proyectos Reiwa]]),SUMIFS(#REF!,#REF!,Planning[[#This Row],[Tipo de Tarea y especialidad]],#REF!,Planning[[#This Row],[Proyectos]]))</f>
        <v>#REF!</v>
      </c>
      <c r="K2493" s="5" t="e">
        <f>Planning[[#This Row],[Horas Planificadas]]+Planning[[#This Row],[Horas ajustadas adicionales]]-Planning[[#This Row],[Horas utilizadas]]</f>
        <v>#REF!</v>
      </c>
      <c r="L2493" s="7">
        <v>0</v>
      </c>
      <c r="M2493" s="19" t="e">
        <f>Planning[[#This Row],[Saldo]]-Planning[[#This Row],[Saldo estimado]]</f>
        <v>#REF!</v>
      </c>
      <c r="N2493" s="60" t="e">
        <f>+SUMIFS(#REF!,#REF!,Planning[[#This Row],[Proyectos]],#REF!,Planning[[#This Row],[Tipo de Tarea y especialidad]])</f>
        <v>#REF!</v>
      </c>
      <c r="O2493" s="19">
        <f t="shared" si="76"/>
        <v>10</v>
      </c>
      <c r="P2493" s="19">
        <f t="shared" si="77"/>
        <v>2024</v>
      </c>
      <c r="Q24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93" s="19" t="str">
        <f>TEXT(Planning[[#This Row],[Mes]]*29,"mmmm")</f>
        <v>October</v>
      </c>
      <c r="S24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93" s="193"/>
      <c r="U2493" s="43" t="e">
        <f>IF(Planning[[#This Row],[Horas Planificadas]]&lt;&gt;0,+K2493/Planning[[#This Row],[Horas Planificadas]],0)</f>
        <v>#REF!</v>
      </c>
      <c r="V2493" s="43" t="e">
        <f>IF(Planning[[#This Row],[Horas Planificadas]]&lt;&gt;0,Planning[[#This Row],[Horas utilizadas]]/Planning[[#This Row],[Horas Planificadas]],0)</f>
        <v>#REF!</v>
      </c>
      <c r="W2493" s="44">
        <f>Planning[[#This Row],[Horas Planificadas]]+Planning[[#This Row],[Horas ajustadas adicionales]]</f>
        <v>63</v>
      </c>
      <c r="X2493" s="142"/>
    </row>
    <row r="2494" spans="1:24" x14ac:dyDescent="0.2">
      <c r="A2494" s="7" t="s">
        <v>294</v>
      </c>
      <c r="B2494" s="7" t="s">
        <v>169</v>
      </c>
      <c r="C2494" s="3"/>
      <c r="D2494" s="3" t="s">
        <v>517</v>
      </c>
      <c r="E2494" s="4" t="s">
        <v>30</v>
      </c>
      <c r="F2494" s="3"/>
      <c r="G2494" s="9">
        <v>122</v>
      </c>
      <c r="H2494" s="25">
        <f>SUM(H2495:H2501)</f>
        <v>262</v>
      </c>
      <c r="I2494" s="14"/>
      <c r="J2494" s="14" t="e">
        <f>SUM(J2495:J2501)</f>
        <v>#REF!</v>
      </c>
      <c r="K2494" s="18" t="e">
        <f>SUM(K2495:K2501)</f>
        <v>#REF!</v>
      </c>
      <c r="L2494" s="15">
        <f>SUM(L2495:L2501)</f>
        <v>0</v>
      </c>
      <c r="M2494" s="16" t="e">
        <f>SUM(M2495:M2501)</f>
        <v>#REF!</v>
      </c>
      <c r="N2494" s="60" t="e">
        <f>+SUMIFS(#REF!,#REF!,Planning[[#This Row],[Proyectos]],#REF!,Planning[[#This Row],[Tipo de Tarea y especialidad]])</f>
        <v>#REF!</v>
      </c>
      <c r="O2494" s="16">
        <f t="shared" si="76"/>
        <v>10</v>
      </c>
      <c r="P2494" s="16">
        <f t="shared" si="77"/>
        <v>2024</v>
      </c>
      <c r="Q2494" s="16" t="e">
        <f>SUM(Q2495:Q2501)</f>
        <v>#REF!</v>
      </c>
      <c r="R2494" s="16" t="str">
        <f>TEXT(Planning[[#This Row],[Mes]]*29,"mmmm")</f>
        <v>October</v>
      </c>
      <c r="S24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94" s="193"/>
      <c r="U2494" s="43" t="e">
        <f>IF(Planning[[#This Row],[Horas Planificadas]]&lt;&gt;0,+K2494/Planning[[#This Row],[Horas Planificadas]],0)</f>
        <v>#REF!</v>
      </c>
      <c r="V2494" s="43" t="e">
        <f>IF(Planning[[#This Row],[Horas Planificadas]]&lt;&gt;0,Planning[[#This Row],[Horas utilizadas]]/Planning[[#This Row],[Horas Planificadas]],0)</f>
        <v>#REF!</v>
      </c>
      <c r="W2494" s="44">
        <f>Planning[[#This Row],[Horas Planificadas]]+Planning[[#This Row],[Horas ajustadas adicionales]]</f>
        <v>262</v>
      </c>
      <c r="X2494" s="142"/>
    </row>
    <row r="2495" spans="1:24" x14ac:dyDescent="0.2">
      <c r="A2495" s="7" t="s">
        <v>294</v>
      </c>
      <c r="B2495" s="7" t="s">
        <v>169</v>
      </c>
      <c r="C2495" s="3"/>
      <c r="D2495" s="3" t="s">
        <v>517</v>
      </c>
      <c r="E2495" s="4"/>
      <c r="F2495" s="4" t="s">
        <v>122</v>
      </c>
      <c r="G2495" s="7"/>
      <c r="H2495" s="7">
        <v>77</v>
      </c>
      <c r="I2495" s="12"/>
      <c r="J2495" s="5" t="e">
        <f>SUM(SUMIFS(#REF!,#REF!,Planning[[#This Row],[Tipo de Tarea y especialidad]],#REF!,Planning[[#This Row],[Proyectos Reiwa]]),SUMIFS(#REF!,#REF!,Planning[[#This Row],[Tipo de Tarea y especialidad]],#REF!,Planning[[#This Row],[Proyectos]]))</f>
        <v>#REF!</v>
      </c>
      <c r="K2495" s="5" t="e">
        <f>Planning[[#This Row],[Horas Planificadas]]+Planning[[#This Row],[Horas ajustadas adicionales]]-Planning[[#This Row],[Horas utilizadas]]</f>
        <v>#REF!</v>
      </c>
      <c r="L2495" s="7">
        <v>0</v>
      </c>
      <c r="M2495" s="19" t="e">
        <f>Planning[[#This Row],[Saldo]]-Planning[[#This Row],[Saldo estimado]]</f>
        <v>#REF!</v>
      </c>
      <c r="N2495" s="60" t="e">
        <f>+SUMIFS(#REF!,#REF!,Planning[[#This Row],[Proyectos]],#REF!,Planning[[#This Row],[Tipo de Tarea y especialidad]])</f>
        <v>#REF!</v>
      </c>
      <c r="O2495" s="19">
        <f t="shared" si="76"/>
        <v>10</v>
      </c>
      <c r="P2495" s="19">
        <f t="shared" si="77"/>
        <v>2024</v>
      </c>
      <c r="Q24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95" s="19" t="str">
        <f>TEXT(Planning[[#This Row],[Mes]]*29,"mmmm")</f>
        <v>October</v>
      </c>
      <c r="S24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95" s="193"/>
      <c r="U2495" s="43" t="e">
        <f>IF(Planning[[#This Row],[Horas Planificadas]]&lt;&gt;0,+K2495/Planning[[#This Row],[Horas Planificadas]],0)</f>
        <v>#REF!</v>
      </c>
      <c r="V2495" s="43" t="e">
        <f>IF(Planning[[#This Row],[Horas Planificadas]]&lt;&gt;0,Planning[[#This Row],[Horas utilizadas]]/Planning[[#This Row],[Horas Planificadas]],0)</f>
        <v>#REF!</v>
      </c>
      <c r="W2495" s="44">
        <f>Planning[[#This Row],[Horas Planificadas]]+Planning[[#This Row],[Horas ajustadas adicionales]]</f>
        <v>77</v>
      </c>
      <c r="X2495" s="142"/>
    </row>
    <row r="2496" spans="1:24" x14ac:dyDescent="0.2">
      <c r="A2496" s="7" t="s">
        <v>294</v>
      </c>
      <c r="B2496" s="7" t="s">
        <v>169</v>
      </c>
      <c r="C2496" s="3"/>
      <c r="D2496" s="3" t="s">
        <v>517</v>
      </c>
      <c r="E2496" s="4"/>
      <c r="F2496" s="3" t="s">
        <v>123</v>
      </c>
      <c r="G2496" s="7"/>
      <c r="H2496" s="7"/>
      <c r="I2496" s="12"/>
      <c r="J2496" s="5" t="e">
        <f>SUM(SUMIFS(#REF!,#REF!,Planning[[#This Row],[Tipo de Tarea y especialidad]],#REF!,Planning[[#This Row],[Proyectos Reiwa]]),SUMIFS(#REF!,#REF!,Planning[[#This Row],[Tipo de Tarea y especialidad]],#REF!,Planning[[#This Row],[Proyectos]]))</f>
        <v>#REF!</v>
      </c>
      <c r="K2496" s="5" t="e">
        <f>Planning[[#This Row],[Horas Planificadas]]+Planning[[#This Row],[Horas ajustadas adicionales]]-Planning[[#This Row],[Horas utilizadas]]</f>
        <v>#REF!</v>
      </c>
      <c r="L2496" s="7">
        <v>0</v>
      </c>
      <c r="M2496" s="19" t="e">
        <f>Planning[[#This Row],[Saldo]]-Planning[[#This Row],[Saldo estimado]]</f>
        <v>#REF!</v>
      </c>
      <c r="N2496" s="60" t="e">
        <f>+SUMIFS(#REF!,#REF!,Planning[[#This Row],[Proyectos]],#REF!,Planning[[#This Row],[Tipo de Tarea y especialidad]])</f>
        <v>#REF!</v>
      </c>
      <c r="O2496" s="19">
        <f t="shared" si="76"/>
        <v>10</v>
      </c>
      <c r="P2496" s="19">
        <f t="shared" si="77"/>
        <v>2024</v>
      </c>
      <c r="Q24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96" s="19" t="str">
        <f>TEXT(Planning[[#This Row],[Mes]]*29,"mmmm")</f>
        <v>October</v>
      </c>
      <c r="S24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96" s="193"/>
      <c r="U2496" s="43">
        <f>IF(Planning[[#This Row],[Horas Planificadas]]&lt;&gt;0,+K2496/Planning[[#This Row],[Horas Planificadas]],0)</f>
        <v>0</v>
      </c>
      <c r="V2496" s="43">
        <f>IF(Planning[[#This Row],[Horas Planificadas]]&lt;&gt;0,Planning[[#This Row],[Horas utilizadas]]/Planning[[#This Row],[Horas Planificadas]],0)</f>
        <v>0</v>
      </c>
      <c r="W2496" s="44">
        <f>Planning[[#This Row],[Horas Planificadas]]+Planning[[#This Row],[Horas ajustadas adicionales]]</f>
        <v>0</v>
      </c>
      <c r="X2496" s="142"/>
    </row>
    <row r="2497" spans="1:24" x14ac:dyDescent="0.2">
      <c r="A2497" s="7" t="s">
        <v>294</v>
      </c>
      <c r="B2497" s="7" t="s">
        <v>169</v>
      </c>
      <c r="C2497" s="3"/>
      <c r="D2497" s="3" t="s">
        <v>517</v>
      </c>
      <c r="E2497" s="4"/>
      <c r="F2497" s="3" t="s">
        <v>124</v>
      </c>
      <c r="G2497" s="7"/>
      <c r="H2497" s="7"/>
      <c r="I2497" s="12"/>
      <c r="J2497" s="5" t="e">
        <f>SUM(SUMIFS(#REF!,#REF!,Planning[[#This Row],[Tipo de Tarea y especialidad]],#REF!,Planning[[#This Row],[Proyectos Reiwa]]),SUMIFS(#REF!,#REF!,Planning[[#This Row],[Tipo de Tarea y especialidad]],#REF!,Planning[[#This Row],[Proyectos]]))</f>
        <v>#REF!</v>
      </c>
      <c r="K2497" s="5" t="e">
        <f>Planning[[#This Row],[Horas Planificadas]]+Planning[[#This Row],[Horas ajustadas adicionales]]-Planning[[#This Row],[Horas utilizadas]]</f>
        <v>#REF!</v>
      </c>
      <c r="L2497" s="7">
        <v>0</v>
      </c>
      <c r="M2497" s="19" t="e">
        <f>Planning[[#This Row],[Saldo]]-Planning[[#This Row],[Saldo estimado]]</f>
        <v>#REF!</v>
      </c>
      <c r="N2497" s="60" t="e">
        <f>+SUMIFS(#REF!,#REF!,Planning[[#This Row],[Proyectos]],#REF!,Planning[[#This Row],[Tipo de Tarea y especialidad]])</f>
        <v>#REF!</v>
      </c>
      <c r="O2497" s="19">
        <f t="shared" si="76"/>
        <v>10</v>
      </c>
      <c r="P2497" s="19">
        <f t="shared" si="77"/>
        <v>2024</v>
      </c>
      <c r="Q24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97" s="19" t="str">
        <f>TEXT(Planning[[#This Row],[Mes]]*29,"mmmm")</f>
        <v>October</v>
      </c>
      <c r="S24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97" s="193"/>
      <c r="U2497" s="43">
        <f>IF(Planning[[#This Row],[Horas Planificadas]]&lt;&gt;0,+K2497/Planning[[#This Row],[Horas Planificadas]],0)</f>
        <v>0</v>
      </c>
      <c r="V2497" s="43">
        <f>IF(Planning[[#This Row],[Horas Planificadas]]&lt;&gt;0,Planning[[#This Row],[Horas utilizadas]]/Planning[[#This Row],[Horas Planificadas]],0)</f>
        <v>0</v>
      </c>
      <c r="W2497" s="44">
        <f>Planning[[#This Row],[Horas Planificadas]]+Planning[[#This Row],[Horas ajustadas adicionales]]</f>
        <v>0</v>
      </c>
      <c r="X2497" s="142"/>
    </row>
    <row r="2498" spans="1:24" x14ac:dyDescent="0.2">
      <c r="A2498" s="7" t="s">
        <v>294</v>
      </c>
      <c r="B2498" s="7" t="s">
        <v>169</v>
      </c>
      <c r="C2498" s="3"/>
      <c r="D2498" s="3" t="s">
        <v>517</v>
      </c>
      <c r="E2498" s="4"/>
      <c r="F2498" s="3" t="s">
        <v>125</v>
      </c>
      <c r="G2498" s="7"/>
      <c r="H2498" s="7">
        <v>140</v>
      </c>
      <c r="I2498" s="12"/>
      <c r="J2498" s="5" t="e">
        <f>SUM(SUMIFS(#REF!,#REF!,Planning[[#This Row],[Tipo de Tarea y especialidad]],#REF!,Planning[[#This Row],[Proyectos Reiwa]]),SUMIFS(#REF!,#REF!,Planning[[#This Row],[Tipo de Tarea y especialidad]],#REF!,Planning[[#This Row],[Proyectos]]))</f>
        <v>#REF!</v>
      </c>
      <c r="K2498" s="5" t="e">
        <f>Planning[[#This Row],[Horas Planificadas]]+Planning[[#This Row],[Horas ajustadas adicionales]]-Planning[[#This Row],[Horas utilizadas]]</f>
        <v>#REF!</v>
      </c>
      <c r="L2498" s="7">
        <v>0</v>
      </c>
      <c r="M2498" s="19" t="e">
        <f>Planning[[#This Row],[Saldo]]-Planning[[#This Row],[Saldo estimado]]</f>
        <v>#REF!</v>
      </c>
      <c r="N2498" s="60" t="e">
        <f>+SUMIFS(#REF!,#REF!,Planning[[#This Row],[Proyectos]],#REF!,Planning[[#This Row],[Tipo de Tarea y especialidad]])</f>
        <v>#REF!</v>
      </c>
      <c r="O2498" s="19">
        <f t="shared" si="76"/>
        <v>10</v>
      </c>
      <c r="P2498" s="19">
        <f t="shared" si="77"/>
        <v>2024</v>
      </c>
      <c r="Q24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98" s="19" t="str">
        <f>TEXT(Planning[[#This Row],[Mes]]*29,"mmmm")</f>
        <v>October</v>
      </c>
      <c r="S24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98" s="193"/>
      <c r="U2498" s="43" t="e">
        <f>IF(Planning[[#This Row],[Horas Planificadas]]&lt;&gt;0,+K2498/Planning[[#This Row],[Horas Planificadas]],0)</f>
        <v>#REF!</v>
      </c>
      <c r="V2498" s="43" t="e">
        <f>IF(Planning[[#This Row],[Horas Planificadas]]&lt;&gt;0,Planning[[#This Row],[Horas utilizadas]]/Planning[[#This Row],[Horas Planificadas]],0)</f>
        <v>#REF!</v>
      </c>
      <c r="W2498" s="44">
        <f>Planning[[#This Row],[Horas Planificadas]]+Planning[[#This Row],[Horas ajustadas adicionales]]</f>
        <v>140</v>
      </c>
      <c r="X2498" s="142"/>
    </row>
    <row r="2499" spans="1:24" x14ac:dyDescent="0.2">
      <c r="A2499" s="7" t="s">
        <v>294</v>
      </c>
      <c r="B2499" s="7" t="s">
        <v>169</v>
      </c>
      <c r="C2499" s="3"/>
      <c r="D2499" s="3" t="s">
        <v>517</v>
      </c>
      <c r="E2499" s="4"/>
      <c r="F2499" s="3" t="s">
        <v>126</v>
      </c>
      <c r="G2499" s="9"/>
      <c r="H2499" s="12">
        <v>45</v>
      </c>
      <c r="I2499" s="12"/>
      <c r="J2499" s="5" t="e">
        <f>SUM(SUMIFS(#REF!,#REF!,Planning[[#This Row],[Tipo de Tarea y especialidad]],#REF!,Planning[[#This Row],[Proyectos Reiwa]]),SUMIFS(#REF!,#REF!,Planning[[#This Row],[Tipo de Tarea y especialidad]],#REF!,Planning[[#This Row],[Proyectos]]))</f>
        <v>#REF!</v>
      </c>
      <c r="K2499" s="27" t="e">
        <f>Planning[[#This Row],[Horas Planificadas]]+Planning[[#This Row],[Horas ajustadas adicionales]]-Planning[[#This Row],[Horas utilizadas]]</f>
        <v>#REF!</v>
      </c>
      <c r="L2499" s="7">
        <v>0</v>
      </c>
      <c r="M2499" s="34" t="e">
        <f>Planning[[#This Row],[Saldo]]-Planning[[#This Row],[Saldo estimado]]</f>
        <v>#REF!</v>
      </c>
      <c r="N2499" s="62" t="e">
        <f>+SUMIFS(#REF!,#REF!,Planning[[#This Row],[Proyectos]],#REF!,Planning[[#This Row],[Tipo de Tarea y especialidad]])</f>
        <v>#REF!</v>
      </c>
      <c r="O2499" s="34">
        <f t="shared" si="76"/>
        <v>10</v>
      </c>
      <c r="P2499" s="34">
        <f t="shared" si="77"/>
        <v>2024</v>
      </c>
      <c r="Q24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499" s="19" t="str">
        <f>TEXT(Planning[[#This Row],[Mes]]*29,"mmmm")</f>
        <v>October</v>
      </c>
      <c r="S24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499" s="193"/>
      <c r="U2499" s="43" t="e">
        <f>IF(Planning[[#This Row],[Horas Planificadas]]&lt;&gt;0,+K2499/Planning[[#This Row],[Horas Planificadas]],0)</f>
        <v>#REF!</v>
      </c>
      <c r="V2499" s="43" t="e">
        <f>IF(Planning[[#This Row],[Horas Planificadas]]&lt;&gt;0,Planning[[#This Row],[Horas utilizadas]]/Planning[[#This Row],[Horas Planificadas]],0)</f>
        <v>#REF!</v>
      </c>
      <c r="W2499" s="44">
        <f>Planning[[#This Row],[Horas Planificadas]]+Planning[[#This Row],[Horas ajustadas adicionales]]</f>
        <v>45</v>
      </c>
      <c r="X2499" s="142"/>
    </row>
    <row r="2500" spans="1:24" x14ac:dyDescent="0.2">
      <c r="A2500" s="7" t="s">
        <v>294</v>
      </c>
      <c r="B2500" s="7" t="s">
        <v>169</v>
      </c>
      <c r="C2500" s="3"/>
      <c r="D2500" s="3" t="s">
        <v>517</v>
      </c>
      <c r="E2500" s="4"/>
      <c r="F2500" s="3" t="s">
        <v>127</v>
      </c>
      <c r="G2500" s="9"/>
      <c r="H2500" s="9"/>
      <c r="I2500" s="12"/>
      <c r="J2500" s="5" t="e">
        <f>SUM(SUMIFS(#REF!,#REF!,Planning[[#This Row],[Tipo de Tarea y especialidad]],#REF!,Planning[[#This Row],[Proyectos Reiwa]]),SUMIFS(#REF!,#REF!,Planning[[#This Row],[Tipo de Tarea y especialidad]],#REF!,Planning[[#This Row],[Proyectos]]))</f>
        <v>#REF!</v>
      </c>
      <c r="K2500" s="5" t="e">
        <f>Planning[[#This Row],[Horas Planificadas]]+Planning[[#This Row],[Horas ajustadas adicionales]]-Planning[[#This Row],[Horas utilizadas]]</f>
        <v>#REF!</v>
      </c>
      <c r="L2500" s="7">
        <v>0</v>
      </c>
      <c r="M2500" s="19" t="e">
        <f>Planning[[#This Row],[Saldo]]-Planning[[#This Row],[Saldo estimado]]</f>
        <v>#REF!</v>
      </c>
      <c r="N2500" s="60" t="e">
        <f>+SUMIFS(#REF!,#REF!,Planning[[#This Row],[Proyectos]],#REF!,Planning[[#This Row],[Tipo de Tarea y especialidad]])</f>
        <v>#REF!</v>
      </c>
      <c r="O2500" s="19">
        <f t="shared" si="76"/>
        <v>10</v>
      </c>
      <c r="P2500" s="19">
        <f t="shared" si="77"/>
        <v>2024</v>
      </c>
      <c r="Q25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00" s="19" t="str">
        <f>TEXT(Planning[[#This Row],[Mes]]*29,"mmmm")</f>
        <v>October</v>
      </c>
      <c r="S25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00" s="193"/>
      <c r="U2500" s="43">
        <f>IF(Planning[[#This Row],[Horas Planificadas]]&lt;&gt;0,+K2500/Planning[[#This Row],[Horas Planificadas]],0)</f>
        <v>0</v>
      </c>
      <c r="V2500" s="43">
        <f>IF(Planning[[#This Row],[Horas Planificadas]]&lt;&gt;0,Planning[[#This Row],[Horas utilizadas]]/Planning[[#This Row],[Horas Planificadas]],0)</f>
        <v>0</v>
      </c>
      <c r="W2500" s="44">
        <f>Planning[[#This Row],[Horas Planificadas]]+Planning[[#This Row],[Horas ajustadas adicionales]]</f>
        <v>0</v>
      </c>
      <c r="X2500" s="142"/>
    </row>
    <row r="2501" spans="1:24" x14ac:dyDescent="0.2">
      <c r="A2501" s="7" t="s">
        <v>294</v>
      </c>
      <c r="B2501" s="7" t="s">
        <v>169</v>
      </c>
      <c r="C2501" s="3"/>
      <c r="D2501" s="3" t="s">
        <v>517</v>
      </c>
      <c r="E2501" s="4"/>
      <c r="F2501" s="3" t="s">
        <v>128</v>
      </c>
      <c r="G2501" s="9"/>
      <c r="H2501" s="9"/>
      <c r="I2501" s="12"/>
      <c r="J2501" s="5" t="e">
        <f>SUM(SUMIFS(#REF!,#REF!,Planning[[#This Row],[Tipo de Tarea y especialidad]],#REF!,Planning[[#This Row],[Proyectos Reiwa]]),SUMIFS(#REF!,#REF!,Planning[[#This Row],[Tipo de Tarea y especialidad]],#REF!,Planning[[#This Row],[Proyectos]]))</f>
        <v>#REF!</v>
      </c>
      <c r="K2501" s="5" t="e">
        <f>Planning[[#This Row],[Horas Planificadas]]+Planning[[#This Row],[Horas ajustadas adicionales]]-Planning[[#This Row],[Horas utilizadas]]</f>
        <v>#REF!</v>
      </c>
      <c r="L2501" s="7">
        <v>0</v>
      </c>
      <c r="M2501" s="19" t="e">
        <f>Planning[[#This Row],[Saldo]]-Planning[[#This Row],[Saldo estimado]]</f>
        <v>#REF!</v>
      </c>
      <c r="N2501" s="60" t="e">
        <f>+SUMIFS(#REF!,#REF!,Planning[[#This Row],[Proyectos]],#REF!,Planning[[#This Row],[Tipo de Tarea y especialidad]])</f>
        <v>#REF!</v>
      </c>
      <c r="O2501" s="19">
        <f t="shared" si="76"/>
        <v>10</v>
      </c>
      <c r="P2501" s="19">
        <f t="shared" si="77"/>
        <v>2024</v>
      </c>
      <c r="Q25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01" s="19" t="str">
        <f>TEXT(Planning[[#This Row],[Mes]]*29,"mmmm")</f>
        <v>October</v>
      </c>
      <c r="S25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01" s="193"/>
      <c r="U2501" s="43">
        <f>IF(Planning[[#This Row],[Horas Planificadas]]&lt;&gt;0,+K2501/Planning[[#This Row],[Horas Planificadas]],0)</f>
        <v>0</v>
      </c>
      <c r="V2501" s="43">
        <f>IF(Planning[[#This Row],[Horas Planificadas]]&lt;&gt;0,Planning[[#This Row],[Horas utilizadas]]/Planning[[#This Row],[Horas Planificadas]],0)</f>
        <v>0</v>
      </c>
      <c r="W2501" s="44">
        <f>Planning[[#This Row],[Horas Planificadas]]+Planning[[#This Row],[Horas ajustadas adicionales]]</f>
        <v>0</v>
      </c>
      <c r="X2501" s="142"/>
    </row>
    <row r="2502" spans="1:24" x14ac:dyDescent="0.2">
      <c r="A2502" s="7" t="s">
        <v>294</v>
      </c>
      <c r="B2502" s="7" t="s">
        <v>169</v>
      </c>
      <c r="C2502" s="3"/>
      <c r="D2502" s="3" t="s">
        <v>517</v>
      </c>
      <c r="E2502" s="4" t="s">
        <v>31</v>
      </c>
      <c r="F2502" s="3" t="s">
        <v>31</v>
      </c>
      <c r="G2502" s="9">
        <v>40</v>
      </c>
      <c r="H2502" s="18">
        <v>40</v>
      </c>
      <c r="I2502" s="18"/>
      <c r="J2502" s="14" t="e">
        <f>+SUMIFS(#REF!,#REF!,Planning[[#This Row],[Tarifa]],#REF!,Planning[[#This Row],[Proyectos]])</f>
        <v>#REF!</v>
      </c>
      <c r="K2502" s="24" t="e">
        <f>Planning[[#This Row],[Horas Planificadas]]+Planning[[#This Row],[Horas ajustadas adicionales]]-Planning[[#This Row],[Horas utilizadas]]</f>
        <v>#REF!</v>
      </c>
      <c r="L2502" s="15">
        <v>0</v>
      </c>
      <c r="M2502" s="16" t="e">
        <f>Planning[[#This Row],[Saldo]]-Planning[[#This Row],[Saldo estimado]]</f>
        <v>#REF!</v>
      </c>
      <c r="N2502" s="60" t="e">
        <f>+SUMIFS(#REF!,#REF!,Planning[[#This Row],[Proyectos]],#REF!,Planning[[#This Row],[Tipo de Tarea y especialidad]])</f>
        <v>#REF!</v>
      </c>
      <c r="O2502" s="16">
        <f t="shared" si="76"/>
        <v>10</v>
      </c>
      <c r="P2502" s="16">
        <f t="shared" si="77"/>
        <v>2024</v>
      </c>
      <c r="Q2502" s="16" t="e">
        <f>+SUMIFS(#REF!,#REF!,Planning[[#This Row],[Tarifa]],#REF!,Planning[[#This Row],[Proyectos]],#REF!,Planning[[#This Row],[Mes]],#REF!,Planning[[#This Row],[Año]])</f>
        <v>#REF!</v>
      </c>
      <c r="R2502" s="16" t="str">
        <f>TEXT(Planning[[#This Row],[Mes]]*29,"mmmm")</f>
        <v>October</v>
      </c>
      <c r="S25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02" s="193"/>
      <c r="U2502" s="43" t="e">
        <f>IF(Planning[[#This Row],[Horas Planificadas]]&lt;&gt;0,+K2502/Planning[[#This Row],[Horas Planificadas]],0)</f>
        <v>#REF!</v>
      </c>
      <c r="V2502" s="43" t="e">
        <f>IF(Planning[[#This Row],[Horas Planificadas]]&lt;&gt;0,Planning[[#This Row],[Horas utilizadas]]/Planning[[#This Row],[Horas Planificadas]],0)</f>
        <v>#REF!</v>
      </c>
      <c r="W2502" s="44">
        <f>Planning[[#This Row],[Horas Planificadas]]+Planning[[#This Row],[Horas ajustadas adicionales]]</f>
        <v>40</v>
      </c>
      <c r="X2502" s="142"/>
    </row>
    <row r="2503" spans="1:24" ht="22.5" x14ac:dyDescent="0.2">
      <c r="A2503" s="7" t="s">
        <v>294</v>
      </c>
      <c r="B2503" s="7" t="s">
        <v>169</v>
      </c>
      <c r="C2503" s="3"/>
      <c r="D2503" s="3" t="s">
        <v>517</v>
      </c>
      <c r="E2503" s="4" t="s">
        <v>32</v>
      </c>
      <c r="F2503" s="3"/>
      <c r="G2503" s="9">
        <v>50</v>
      </c>
      <c r="H2503" s="25">
        <f>SUM(H2504:H2506)</f>
        <v>50</v>
      </c>
      <c r="I2503" s="14"/>
      <c r="J2503" s="14" t="e">
        <f>SUM(J2504:J2506)</f>
        <v>#REF!</v>
      </c>
      <c r="K2503" s="18" t="e">
        <f>SUM(K2504:K2506)</f>
        <v>#REF!</v>
      </c>
      <c r="L2503" s="15">
        <f>SUM(L2504:L2506)</f>
        <v>0</v>
      </c>
      <c r="M2503" s="16" t="e">
        <f>SUM(M2504:M2506)</f>
        <v>#REF!</v>
      </c>
      <c r="N2503" s="60" t="e">
        <f>+SUMIFS(#REF!,#REF!,Planning[[#This Row],[Proyectos]],#REF!,Planning[[#This Row],[Tipo de Tarea y especialidad]])</f>
        <v>#REF!</v>
      </c>
      <c r="O2503" s="16">
        <f t="shared" ref="O2503:O2566" si="78">$L$4</f>
        <v>10</v>
      </c>
      <c r="P2503" s="16">
        <f t="shared" ref="P2503:P2566" si="79">$M$4</f>
        <v>2024</v>
      </c>
      <c r="Q2503" s="16" t="e">
        <f>SUM(Q2504:Q2506)</f>
        <v>#REF!</v>
      </c>
      <c r="R2503" s="16" t="str">
        <f>TEXT(Planning[[#This Row],[Mes]]*29,"mmmm")</f>
        <v>October</v>
      </c>
      <c r="S25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03" s="193"/>
      <c r="U2503" s="43" t="e">
        <f>IF(Planning[[#This Row],[Horas Planificadas]]&lt;&gt;0,+K2503/Planning[[#This Row],[Horas Planificadas]],0)</f>
        <v>#REF!</v>
      </c>
      <c r="V2503" s="43" t="e">
        <f>IF(Planning[[#This Row],[Horas Planificadas]]&lt;&gt;0,Planning[[#This Row],[Horas utilizadas]]/Planning[[#This Row],[Horas Planificadas]],0)</f>
        <v>#REF!</v>
      </c>
      <c r="W2503" s="44">
        <f>Planning[[#This Row],[Horas Planificadas]]+Planning[[#This Row],[Horas ajustadas adicionales]]</f>
        <v>50</v>
      </c>
      <c r="X2503" s="142"/>
    </row>
    <row r="2504" spans="1:24" x14ac:dyDescent="0.2">
      <c r="A2504" s="7" t="s">
        <v>294</v>
      </c>
      <c r="B2504" s="7" t="s">
        <v>169</v>
      </c>
      <c r="C2504" s="3"/>
      <c r="D2504" s="3" t="s">
        <v>517</v>
      </c>
      <c r="E2504" s="4"/>
      <c r="F2504" s="3" t="s">
        <v>129</v>
      </c>
      <c r="G2504" s="9"/>
      <c r="H2504" s="9">
        <v>50</v>
      </c>
      <c r="I2504" s="12"/>
      <c r="J2504" s="5" t="e">
        <f>SUM(SUMIFS(#REF!,#REF!,Planning[[#This Row],[Tipo de Tarea y especialidad]],#REF!,Planning[[#This Row],[Proyectos Reiwa]]),SUMIFS(#REF!,#REF!,Planning[[#This Row],[Tipo de Tarea y especialidad]],#REF!,Planning[[#This Row],[Proyectos]]))</f>
        <v>#REF!</v>
      </c>
      <c r="K2504" s="5" t="e">
        <f>Planning[[#This Row],[Horas Planificadas]]+Planning[[#This Row],[Horas ajustadas adicionales]]-Planning[[#This Row],[Horas utilizadas]]</f>
        <v>#REF!</v>
      </c>
      <c r="L2504" s="7">
        <v>0</v>
      </c>
      <c r="M2504" s="19" t="e">
        <f>Planning[[#This Row],[Saldo]]-Planning[[#This Row],[Saldo estimado]]</f>
        <v>#REF!</v>
      </c>
      <c r="N2504" s="60" t="e">
        <f>+SUMIFS(#REF!,#REF!,Planning[[#This Row],[Proyectos]],#REF!,Planning[[#This Row],[Tipo de Tarea y especialidad]])</f>
        <v>#REF!</v>
      </c>
      <c r="O2504" s="19">
        <f t="shared" si="78"/>
        <v>10</v>
      </c>
      <c r="P2504" s="19">
        <f t="shared" si="79"/>
        <v>2024</v>
      </c>
      <c r="Q25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04" s="19" t="str">
        <f>TEXT(Planning[[#This Row],[Mes]]*29,"mmmm")</f>
        <v>October</v>
      </c>
      <c r="S25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04" s="193"/>
      <c r="U2504" s="43" t="e">
        <f>IF(Planning[[#This Row],[Horas Planificadas]]&lt;&gt;0,+K2504/Planning[[#This Row],[Horas Planificadas]],0)</f>
        <v>#REF!</v>
      </c>
      <c r="V2504" s="43" t="e">
        <f>IF(Planning[[#This Row],[Horas Planificadas]]&lt;&gt;0,Planning[[#This Row],[Horas utilizadas]]/Planning[[#This Row],[Horas Planificadas]],0)</f>
        <v>#REF!</v>
      </c>
      <c r="W2504" s="44">
        <f>Planning[[#This Row],[Horas Planificadas]]+Planning[[#This Row],[Horas ajustadas adicionales]]</f>
        <v>50</v>
      </c>
      <c r="X2504" s="142"/>
    </row>
    <row r="2505" spans="1:24" x14ac:dyDescent="0.2">
      <c r="A2505" s="7" t="s">
        <v>294</v>
      </c>
      <c r="B2505" s="7" t="s">
        <v>169</v>
      </c>
      <c r="C2505" s="3"/>
      <c r="D2505" s="3" t="s">
        <v>517</v>
      </c>
      <c r="E2505" s="4"/>
      <c r="F2505" s="3" t="s">
        <v>130</v>
      </c>
      <c r="G2505" s="9"/>
      <c r="H2505" s="9"/>
      <c r="I2505" s="12"/>
      <c r="J2505" s="5" t="e">
        <f>SUM(SUMIFS(#REF!,#REF!,Planning[[#This Row],[Tipo de Tarea y especialidad]],#REF!,Planning[[#This Row],[Proyectos Reiwa]]),SUMIFS(#REF!,#REF!,Planning[[#This Row],[Tipo de Tarea y especialidad]],#REF!,Planning[[#This Row],[Proyectos]]))</f>
        <v>#REF!</v>
      </c>
      <c r="K2505" s="5" t="e">
        <f>Planning[[#This Row],[Horas Planificadas]]+Planning[[#This Row],[Horas ajustadas adicionales]]-Planning[[#This Row],[Horas utilizadas]]</f>
        <v>#REF!</v>
      </c>
      <c r="L2505" s="7">
        <v>0</v>
      </c>
      <c r="M2505" s="19" t="e">
        <f>Planning[[#This Row],[Saldo]]-Planning[[#This Row],[Saldo estimado]]</f>
        <v>#REF!</v>
      </c>
      <c r="N2505" s="60" t="e">
        <f>+SUMIFS(#REF!,#REF!,Planning[[#This Row],[Proyectos]],#REF!,Planning[[#This Row],[Tipo de Tarea y especialidad]])</f>
        <v>#REF!</v>
      </c>
      <c r="O2505" s="19">
        <f t="shared" si="78"/>
        <v>10</v>
      </c>
      <c r="P2505" s="19">
        <f t="shared" si="79"/>
        <v>2024</v>
      </c>
      <c r="Q25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05" s="19" t="str">
        <f>TEXT(Planning[[#This Row],[Mes]]*29,"mmmm")</f>
        <v>October</v>
      </c>
      <c r="S25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05" s="193"/>
      <c r="U2505" s="43">
        <f>IF(Planning[[#This Row],[Horas Planificadas]]&lt;&gt;0,+K2505/Planning[[#This Row],[Horas Planificadas]],0)</f>
        <v>0</v>
      </c>
      <c r="V2505" s="43">
        <f>IF(Planning[[#This Row],[Horas Planificadas]]&lt;&gt;0,Planning[[#This Row],[Horas utilizadas]]/Planning[[#This Row],[Horas Planificadas]],0)</f>
        <v>0</v>
      </c>
      <c r="W2505" s="44">
        <f>Planning[[#This Row],[Horas Planificadas]]+Planning[[#This Row],[Horas ajustadas adicionales]]</f>
        <v>0</v>
      </c>
      <c r="X2505" s="142"/>
    </row>
    <row r="2506" spans="1:24" x14ac:dyDescent="0.2">
      <c r="A2506" s="7" t="s">
        <v>294</v>
      </c>
      <c r="B2506" s="7" t="s">
        <v>169</v>
      </c>
      <c r="C2506" s="3"/>
      <c r="D2506" s="3" t="s">
        <v>517</v>
      </c>
      <c r="E2506" s="4"/>
      <c r="F2506" s="3" t="s">
        <v>131</v>
      </c>
      <c r="G2506" s="9"/>
      <c r="H2506" s="9"/>
      <c r="I2506" s="12"/>
      <c r="J2506" s="5" t="e">
        <f>SUM(SUMIFS(#REF!,#REF!,Planning[[#This Row],[Tipo de Tarea y especialidad]],#REF!,Planning[[#This Row],[Proyectos Reiwa]]),SUMIFS(#REF!,#REF!,Planning[[#This Row],[Tipo de Tarea y especialidad]],#REF!,Planning[[#This Row],[Proyectos]]))</f>
        <v>#REF!</v>
      </c>
      <c r="K2506" s="5" t="e">
        <f>Planning[[#This Row],[Horas Planificadas]]+Planning[[#This Row],[Horas ajustadas adicionales]]-Planning[[#This Row],[Horas utilizadas]]</f>
        <v>#REF!</v>
      </c>
      <c r="L2506" s="7">
        <v>0</v>
      </c>
      <c r="M2506" s="19" t="e">
        <f>Planning[[#This Row],[Saldo]]-Planning[[#This Row],[Saldo estimado]]</f>
        <v>#REF!</v>
      </c>
      <c r="N2506" s="60" t="e">
        <f>+SUMIFS(#REF!,#REF!,Planning[[#This Row],[Proyectos]],#REF!,Planning[[#This Row],[Tipo de Tarea y especialidad]])</f>
        <v>#REF!</v>
      </c>
      <c r="O2506" s="19">
        <f t="shared" si="78"/>
        <v>10</v>
      </c>
      <c r="P2506" s="19">
        <f t="shared" si="79"/>
        <v>2024</v>
      </c>
      <c r="Q25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06" s="19" t="str">
        <f>TEXT(Planning[[#This Row],[Mes]]*29,"mmmm")</f>
        <v>October</v>
      </c>
      <c r="S25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06" s="193"/>
      <c r="U2506" s="43">
        <f>IF(Planning[[#This Row],[Horas Planificadas]]&lt;&gt;0,+K2506/Planning[[#This Row],[Horas Planificadas]],0)</f>
        <v>0</v>
      </c>
      <c r="V2506" s="43">
        <f>IF(Planning[[#This Row],[Horas Planificadas]]&lt;&gt;0,Planning[[#This Row],[Horas utilizadas]]/Planning[[#This Row],[Horas Planificadas]],0)</f>
        <v>0</v>
      </c>
      <c r="W2506" s="44">
        <f>Planning[[#This Row],[Horas Planificadas]]+Planning[[#This Row],[Horas ajustadas adicionales]]</f>
        <v>0</v>
      </c>
      <c r="X2506" s="142"/>
    </row>
    <row r="2507" spans="1:24" ht="22.5" x14ac:dyDescent="0.2">
      <c r="A2507" s="7" t="s">
        <v>204</v>
      </c>
      <c r="B2507" s="7" t="s">
        <v>178</v>
      </c>
      <c r="C2507" s="3"/>
      <c r="D2507" s="3" t="s">
        <v>519</v>
      </c>
      <c r="E2507" s="4" t="s">
        <v>28</v>
      </c>
      <c r="F2507" s="3"/>
      <c r="G2507" s="9">
        <v>90</v>
      </c>
      <c r="H2507" s="25">
        <f>SUM(H2508:H2509)</f>
        <v>135</v>
      </c>
      <c r="I2507" s="14"/>
      <c r="J2507" s="14" t="e">
        <f>SUM(J2508:J2509)</f>
        <v>#REF!</v>
      </c>
      <c r="K2507" s="18" t="e">
        <f>SUM(K2508:K2509)</f>
        <v>#REF!</v>
      </c>
      <c r="L2507" s="15">
        <f>SUM(L2508:L2509)</f>
        <v>0</v>
      </c>
      <c r="M2507" s="28" t="e">
        <f>SUM(M2508:M2509)</f>
        <v>#REF!</v>
      </c>
      <c r="N2507" s="61" t="e">
        <f>+SUMIFS(#REF!,#REF!,Planning[[#This Row],[Proyectos]],#REF!,Planning[[#This Row],[Tipo de Tarea y especialidad]])</f>
        <v>#REF!</v>
      </c>
      <c r="O2507" s="28">
        <f t="shared" si="78"/>
        <v>10</v>
      </c>
      <c r="P2507" s="28">
        <f t="shared" si="79"/>
        <v>2024</v>
      </c>
      <c r="Q2507" s="28" t="e">
        <f>SUM(Q2508:Q2509)</f>
        <v>#REF!</v>
      </c>
      <c r="R2507" s="28" t="str">
        <f>TEXT(Planning[[#This Row],[Mes]]*29,"mmmm")</f>
        <v>October</v>
      </c>
      <c r="S25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07" s="192" t="s">
        <v>520</v>
      </c>
      <c r="U2507" s="43" t="e">
        <f>IF(Planning[[#This Row],[Horas Planificadas]]&lt;&gt;0,+K2507/Planning[[#This Row],[Horas Planificadas]],0)</f>
        <v>#REF!</v>
      </c>
      <c r="V2507" s="43" t="e">
        <f>IF(Planning[[#This Row],[Horas Planificadas]]&lt;&gt;0,Planning[[#This Row],[Horas utilizadas]]/Planning[[#This Row],[Horas Planificadas]],0)</f>
        <v>#REF!</v>
      </c>
      <c r="W2507" s="44">
        <f>Planning[[#This Row],[Horas Planificadas]]+Planning[[#This Row],[Horas ajustadas adicionales]]</f>
        <v>135</v>
      </c>
      <c r="X2507" s="142"/>
    </row>
    <row r="2508" spans="1:24" x14ac:dyDescent="0.2">
      <c r="A2508" s="7" t="s">
        <v>204</v>
      </c>
      <c r="B2508" s="7" t="s">
        <v>178</v>
      </c>
      <c r="C2508" s="3"/>
      <c r="D2508" s="3" t="s">
        <v>519</v>
      </c>
      <c r="E2508" s="4"/>
      <c r="F2508" s="3" t="s">
        <v>120</v>
      </c>
      <c r="G2508" s="9"/>
      <c r="H2508" s="9">
        <v>90</v>
      </c>
      <c r="I2508" s="12"/>
      <c r="J2508" s="5" t="e">
        <f>SUM(SUMIFS(#REF!,#REF!,Planning[[#This Row],[Tipo de Tarea y especialidad]],#REF!,Planning[[#This Row],[Proyectos Reiwa]]),SUMIFS(#REF!,#REF!,Planning[[#This Row],[Tipo de Tarea y especialidad]],#REF!,Planning[[#This Row],[Proyectos]]))</f>
        <v>#REF!</v>
      </c>
      <c r="K2508" s="5" t="e">
        <f>Planning[[#This Row],[Horas Planificadas]]+Planning[[#This Row],[Horas ajustadas adicionales]]-Planning[[#This Row],[Horas utilizadas]]</f>
        <v>#REF!</v>
      </c>
      <c r="L2508" s="7">
        <v>0</v>
      </c>
      <c r="M2508" s="19" t="e">
        <f>Planning[[#This Row],[Saldo]]-Planning[[#This Row],[Saldo estimado]]</f>
        <v>#REF!</v>
      </c>
      <c r="N2508" s="60" t="e">
        <f>+SUMIFS(#REF!,#REF!,Planning[[#This Row],[Proyectos]],#REF!,Planning[[#This Row],[Tipo de Tarea y especialidad]])</f>
        <v>#REF!</v>
      </c>
      <c r="O2508" s="19">
        <f t="shared" si="78"/>
        <v>10</v>
      </c>
      <c r="P2508" s="19">
        <f t="shared" si="79"/>
        <v>2024</v>
      </c>
      <c r="Q25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08" s="19" t="str">
        <f>TEXT(Planning[[#This Row],[Mes]]*29,"mmmm")</f>
        <v>October</v>
      </c>
      <c r="S25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08" s="193"/>
      <c r="U2508" s="43" t="e">
        <f>IF(Planning[[#This Row],[Horas Planificadas]]&lt;&gt;0,+K2508/Planning[[#This Row],[Horas Planificadas]],0)</f>
        <v>#REF!</v>
      </c>
      <c r="V2508" s="43" t="e">
        <f>IF(Planning[[#This Row],[Horas Planificadas]]&lt;&gt;0,Planning[[#This Row],[Horas utilizadas]]/Planning[[#This Row],[Horas Planificadas]],0)</f>
        <v>#REF!</v>
      </c>
      <c r="W2508" s="44">
        <f>Planning[[#This Row],[Horas Planificadas]]+Planning[[#This Row],[Horas ajustadas adicionales]]</f>
        <v>90</v>
      </c>
      <c r="X2508" s="142"/>
    </row>
    <row r="2509" spans="1:24" x14ac:dyDescent="0.2">
      <c r="A2509" s="7" t="s">
        <v>204</v>
      </c>
      <c r="B2509" s="7" t="s">
        <v>178</v>
      </c>
      <c r="C2509" s="3"/>
      <c r="D2509" s="3" t="s">
        <v>519</v>
      </c>
      <c r="E2509" s="4"/>
      <c r="F2509" s="3" t="s">
        <v>121</v>
      </c>
      <c r="G2509" s="9"/>
      <c r="H2509" s="9">
        <v>45</v>
      </c>
      <c r="I2509" s="12"/>
      <c r="J2509" s="5" t="e">
        <f>SUM(SUMIFS(#REF!,#REF!,Planning[[#This Row],[Tipo de Tarea y especialidad]],#REF!,Planning[[#This Row],[Proyectos Reiwa]]),SUMIFS(#REF!,#REF!,Planning[[#This Row],[Tipo de Tarea y especialidad]],#REF!,Planning[[#This Row],[Proyectos]]))</f>
        <v>#REF!</v>
      </c>
      <c r="K2509" s="5" t="e">
        <f>Planning[[#This Row],[Horas Planificadas]]+Planning[[#This Row],[Horas ajustadas adicionales]]-Planning[[#This Row],[Horas utilizadas]]</f>
        <v>#REF!</v>
      </c>
      <c r="L2509" s="7">
        <v>0</v>
      </c>
      <c r="M2509" s="19" t="e">
        <f>Planning[[#This Row],[Saldo]]-Planning[[#This Row],[Saldo estimado]]</f>
        <v>#REF!</v>
      </c>
      <c r="N2509" s="60" t="e">
        <f>+SUMIFS(#REF!,#REF!,Planning[[#This Row],[Proyectos]],#REF!,Planning[[#This Row],[Tipo de Tarea y especialidad]])</f>
        <v>#REF!</v>
      </c>
      <c r="O2509" s="19">
        <f t="shared" si="78"/>
        <v>10</v>
      </c>
      <c r="P2509" s="19">
        <f t="shared" si="79"/>
        <v>2024</v>
      </c>
      <c r="Q25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09" s="19" t="str">
        <f>TEXT(Planning[[#This Row],[Mes]]*29,"mmmm")</f>
        <v>October</v>
      </c>
      <c r="S25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09" s="193"/>
      <c r="U2509" s="43" t="e">
        <f>IF(Planning[[#This Row],[Horas Planificadas]]&lt;&gt;0,+K2509/Planning[[#This Row],[Horas Planificadas]],0)</f>
        <v>#REF!</v>
      </c>
      <c r="V2509" s="43" t="e">
        <f>IF(Planning[[#This Row],[Horas Planificadas]]&lt;&gt;0,Planning[[#This Row],[Horas utilizadas]]/Planning[[#This Row],[Horas Planificadas]],0)</f>
        <v>#REF!</v>
      </c>
      <c r="W2509" s="44">
        <f>Planning[[#This Row],[Horas Planificadas]]+Planning[[#This Row],[Horas ajustadas adicionales]]</f>
        <v>45</v>
      </c>
      <c r="X2509" s="142"/>
    </row>
    <row r="2510" spans="1:24" x14ac:dyDescent="0.2">
      <c r="A2510" s="7" t="s">
        <v>204</v>
      </c>
      <c r="B2510" s="7" t="s">
        <v>178</v>
      </c>
      <c r="C2510" s="3"/>
      <c r="D2510" s="3" t="s">
        <v>519</v>
      </c>
      <c r="E2510" s="4" t="s">
        <v>30</v>
      </c>
      <c r="F2510" s="3"/>
      <c r="G2510" s="9">
        <v>430</v>
      </c>
      <c r="H2510" s="25">
        <f>SUM(H2511:H2517)</f>
        <v>385</v>
      </c>
      <c r="I2510" s="14"/>
      <c r="J2510" s="14" t="e">
        <f>SUM(J2511:J2517)</f>
        <v>#REF!</v>
      </c>
      <c r="K2510" s="18" t="e">
        <f>SUM(K2511:K2517)</f>
        <v>#REF!</v>
      </c>
      <c r="L2510" s="15">
        <f>SUM(L2511:L2517)</f>
        <v>0</v>
      </c>
      <c r="M2510" s="16" t="e">
        <f>SUM(M2511:M2517)</f>
        <v>#REF!</v>
      </c>
      <c r="N2510" s="60" t="e">
        <f>+SUMIFS(#REF!,#REF!,Planning[[#This Row],[Proyectos]],#REF!,Planning[[#This Row],[Tipo de Tarea y especialidad]])</f>
        <v>#REF!</v>
      </c>
      <c r="O2510" s="16">
        <f t="shared" si="78"/>
        <v>10</v>
      </c>
      <c r="P2510" s="16">
        <f t="shared" si="79"/>
        <v>2024</v>
      </c>
      <c r="Q2510" s="16" t="e">
        <f>SUM(Q2511:Q2517)</f>
        <v>#REF!</v>
      </c>
      <c r="R2510" s="16" t="str">
        <f>TEXT(Planning[[#This Row],[Mes]]*29,"mmmm")</f>
        <v>October</v>
      </c>
      <c r="S25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10" s="193"/>
      <c r="U2510" s="43" t="e">
        <f>IF(Planning[[#This Row],[Horas Planificadas]]&lt;&gt;0,+K2510/Planning[[#This Row],[Horas Planificadas]],0)</f>
        <v>#REF!</v>
      </c>
      <c r="V2510" s="43" t="e">
        <f>IF(Planning[[#This Row],[Horas Planificadas]]&lt;&gt;0,Planning[[#This Row],[Horas utilizadas]]/Planning[[#This Row],[Horas Planificadas]],0)</f>
        <v>#REF!</v>
      </c>
      <c r="W2510" s="44">
        <f>Planning[[#This Row],[Horas Planificadas]]+Planning[[#This Row],[Horas ajustadas adicionales]]</f>
        <v>385</v>
      </c>
      <c r="X2510" s="142"/>
    </row>
    <row r="2511" spans="1:24" x14ac:dyDescent="0.2">
      <c r="A2511" s="7" t="s">
        <v>204</v>
      </c>
      <c r="B2511" s="7" t="s">
        <v>178</v>
      </c>
      <c r="C2511" s="3"/>
      <c r="D2511" s="3" t="s">
        <v>519</v>
      </c>
      <c r="E2511" s="4"/>
      <c r="F2511" s="3" t="s">
        <v>122</v>
      </c>
      <c r="G2511" s="9"/>
      <c r="H2511" s="12">
        <v>171</v>
      </c>
      <c r="I2511" s="12"/>
      <c r="J2511" s="5" t="e">
        <f>SUM(SUMIFS(#REF!,#REF!,Planning[[#This Row],[Tipo de Tarea y especialidad]],#REF!,Planning[[#This Row],[Proyectos Reiwa]]),SUMIFS(#REF!,#REF!,Planning[[#This Row],[Tipo de Tarea y especialidad]],#REF!,Planning[[#This Row],[Proyectos]]))</f>
        <v>#REF!</v>
      </c>
      <c r="K2511" s="27" t="e">
        <f>Planning[[#This Row],[Horas Planificadas]]+Planning[[#This Row],[Horas ajustadas adicionales]]-Planning[[#This Row],[Horas utilizadas]]</f>
        <v>#REF!</v>
      </c>
      <c r="L2511" s="7">
        <v>0</v>
      </c>
      <c r="M2511" s="19" t="e">
        <f>Planning[[#This Row],[Saldo]]-Planning[[#This Row],[Saldo estimado]]</f>
        <v>#REF!</v>
      </c>
      <c r="N2511" s="60" t="e">
        <f>+SUMIFS(#REF!,#REF!,Planning[[#This Row],[Proyectos]],#REF!,Planning[[#This Row],[Tipo de Tarea y especialidad]])</f>
        <v>#REF!</v>
      </c>
      <c r="O2511" s="19">
        <f t="shared" si="78"/>
        <v>10</v>
      </c>
      <c r="P2511" s="19">
        <f t="shared" si="79"/>
        <v>2024</v>
      </c>
      <c r="Q25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11" s="19" t="str">
        <f>TEXT(Planning[[#This Row],[Mes]]*29,"mmmm")</f>
        <v>October</v>
      </c>
      <c r="S25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11" s="193"/>
      <c r="U2511" s="43" t="e">
        <f>IF(Planning[[#This Row],[Horas Planificadas]]&lt;&gt;0,+K2511/Planning[[#This Row],[Horas Planificadas]],0)</f>
        <v>#REF!</v>
      </c>
      <c r="V2511" s="43" t="e">
        <f>IF(Planning[[#This Row],[Horas Planificadas]]&lt;&gt;0,Planning[[#This Row],[Horas utilizadas]]/Planning[[#This Row],[Horas Planificadas]],0)</f>
        <v>#REF!</v>
      </c>
      <c r="W2511" s="44">
        <f>Planning[[#This Row],[Horas Planificadas]]+Planning[[#This Row],[Horas ajustadas adicionales]]</f>
        <v>171</v>
      </c>
      <c r="X2511" s="142"/>
    </row>
    <row r="2512" spans="1:24" x14ac:dyDescent="0.2">
      <c r="A2512" s="7" t="s">
        <v>204</v>
      </c>
      <c r="B2512" s="7" t="s">
        <v>178</v>
      </c>
      <c r="C2512" s="3"/>
      <c r="D2512" s="3" t="s">
        <v>519</v>
      </c>
      <c r="E2512" s="4"/>
      <c r="F2512" s="3" t="s">
        <v>123</v>
      </c>
      <c r="G2512" s="9"/>
      <c r="H2512" s="9">
        <v>99</v>
      </c>
      <c r="I2512" s="12"/>
      <c r="J2512" s="5" t="e">
        <f>SUM(SUMIFS(#REF!,#REF!,Planning[[#This Row],[Tipo de Tarea y especialidad]],#REF!,Planning[[#This Row],[Proyectos Reiwa]]),SUMIFS(#REF!,#REF!,Planning[[#This Row],[Tipo de Tarea y especialidad]],#REF!,Planning[[#This Row],[Proyectos]]))</f>
        <v>#REF!</v>
      </c>
      <c r="K2512" s="5" t="e">
        <f>Planning[[#This Row],[Horas Planificadas]]+Planning[[#This Row],[Horas ajustadas adicionales]]-Planning[[#This Row],[Horas utilizadas]]</f>
        <v>#REF!</v>
      </c>
      <c r="L2512" s="7">
        <v>0</v>
      </c>
      <c r="M2512" s="19" t="e">
        <f>Planning[[#This Row],[Saldo]]-Planning[[#This Row],[Saldo estimado]]</f>
        <v>#REF!</v>
      </c>
      <c r="N2512" s="60" t="e">
        <f>+SUMIFS(#REF!,#REF!,Planning[[#This Row],[Proyectos]],#REF!,Planning[[#This Row],[Tipo de Tarea y especialidad]])</f>
        <v>#REF!</v>
      </c>
      <c r="O2512" s="19">
        <f t="shared" si="78"/>
        <v>10</v>
      </c>
      <c r="P2512" s="19">
        <f t="shared" si="79"/>
        <v>2024</v>
      </c>
      <c r="Q25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12" s="19" t="str">
        <f>TEXT(Planning[[#This Row],[Mes]]*29,"mmmm")</f>
        <v>October</v>
      </c>
      <c r="S25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12" s="193"/>
      <c r="U2512" s="43" t="e">
        <f>IF(Planning[[#This Row],[Horas Planificadas]]&lt;&gt;0,+K2512/Planning[[#This Row],[Horas Planificadas]],0)</f>
        <v>#REF!</v>
      </c>
      <c r="V2512" s="43" t="e">
        <f>IF(Planning[[#This Row],[Horas Planificadas]]&lt;&gt;0,Planning[[#This Row],[Horas utilizadas]]/Planning[[#This Row],[Horas Planificadas]],0)</f>
        <v>#REF!</v>
      </c>
      <c r="W2512" s="44">
        <f>Planning[[#This Row],[Horas Planificadas]]+Planning[[#This Row],[Horas ajustadas adicionales]]</f>
        <v>99</v>
      </c>
      <c r="X2512" s="142"/>
    </row>
    <row r="2513" spans="1:24" x14ac:dyDescent="0.2">
      <c r="A2513" s="7" t="s">
        <v>204</v>
      </c>
      <c r="B2513" s="7" t="s">
        <v>178</v>
      </c>
      <c r="C2513" s="3"/>
      <c r="D2513" s="3" t="s">
        <v>519</v>
      </c>
      <c r="E2513" s="4"/>
      <c r="F2513" s="3" t="s">
        <v>124</v>
      </c>
      <c r="G2513" s="9"/>
      <c r="H2513" s="9">
        <v>115</v>
      </c>
      <c r="I2513" s="12"/>
      <c r="J2513" s="5" t="e">
        <f>SUM(SUMIFS(#REF!,#REF!,Planning[[#This Row],[Tipo de Tarea y especialidad]],#REF!,Planning[[#This Row],[Proyectos Reiwa]]),SUMIFS(#REF!,#REF!,Planning[[#This Row],[Tipo de Tarea y especialidad]],#REF!,Planning[[#This Row],[Proyectos]]))</f>
        <v>#REF!</v>
      </c>
      <c r="K2513" s="5" t="e">
        <f>Planning[[#This Row],[Horas Planificadas]]+Planning[[#This Row],[Horas ajustadas adicionales]]-Planning[[#This Row],[Horas utilizadas]]</f>
        <v>#REF!</v>
      </c>
      <c r="L2513" s="7">
        <v>0</v>
      </c>
      <c r="M2513" s="19" t="e">
        <f>Planning[[#This Row],[Saldo]]-Planning[[#This Row],[Saldo estimado]]</f>
        <v>#REF!</v>
      </c>
      <c r="N2513" s="60" t="e">
        <f>+SUMIFS(#REF!,#REF!,Planning[[#This Row],[Proyectos]],#REF!,Planning[[#This Row],[Tipo de Tarea y especialidad]])</f>
        <v>#REF!</v>
      </c>
      <c r="O2513" s="19">
        <f t="shared" si="78"/>
        <v>10</v>
      </c>
      <c r="P2513" s="19">
        <f t="shared" si="79"/>
        <v>2024</v>
      </c>
      <c r="Q25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13" s="19" t="str">
        <f>TEXT(Planning[[#This Row],[Mes]]*29,"mmmm")</f>
        <v>October</v>
      </c>
      <c r="S25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13" s="193"/>
      <c r="U2513" s="43" t="e">
        <f>IF(Planning[[#This Row],[Horas Planificadas]]&lt;&gt;0,+K2513/Planning[[#This Row],[Horas Planificadas]],0)</f>
        <v>#REF!</v>
      </c>
      <c r="V2513" s="43" t="e">
        <f>IF(Planning[[#This Row],[Horas Planificadas]]&lt;&gt;0,Planning[[#This Row],[Horas utilizadas]]/Planning[[#This Row],[Horas Planificadas]],0)</f>
        <v>#REF!</v>
      </c>
      <c r="W2513" s="44">
        <f>Planning[[#This Row],[Horas Planificadas]]+Planning[[#This Row],[Horas ajustadas adicionales]]</f>
        <v>115</v>
      </c>
      <c r="X2513" s="142"/>
    </row>
    <row r="2514" spans="1:24" x14ac:dyDescent="0.2">
      <c r="A2514" s="7" t="s">
        <v>204</v>
      </c>
      <c r="B2514" s="7" t="s">
        <v>178</v>
      </c>
      <c r="C2514" s="3"/>
      <c r="D2514" s="3" t="s">
        <v>519</v>
      </c>
      <c r="E2514" s="4"/>
      <c r="F2514" s="3" t="s">
        <v>125</v>
      </c>
      <c r="G2514" s="9"/>
      <c r="H2514" s="9"/>
      <c r="I2514" s="12"/>
      <c r="J2514" s="5" t="e">
        <f>SUM(SUMIFS(#REF!,#REF!,Planning[[#This Row],[Tipo de Tarea y especialidad]],#REF!,Planning[[#This Row],[Proyectos Reiwa]]),SUMIFS(#REF!,#REF!,Planning[[#This Row],[Tipo de Tarea y especialidad]],#REF!,Planning[[#This Row],[Proyectos]]))</f>
        <v>#REF!</v>
      </c>
      <c r="K2514" s="5" t="e">
        <f>Planning[[#This Row],[Horas Planificadas]]+Planning[[#This Row],[Horas ajustadas adicionales]]-Planning[[#This Row],[Horas utilizadas]]</f>
        <v>#REF!</v>
      </c>
      <c r="L2514" s="7">
        <v>0</v>
      </c>
      <c r="M2514" s="19" t="e">
        <f>Planning[[#This Row],[Saldo]]-Planning[[#This Row],[Saldo estimado]]</f>
        <v>#REF!</v>
      </c>
      <c r="N2514" s="60" t="e">
        <f>+SUMIFS(#REF!,#REF!,Planning[[#This Row],[Proyectos]],#REF!,Planning[[#This Row],[Tipo de Tarea y especialidad]])</f>
        <v>#REF!</v>
      </c>
      <c r="O2514" s="19">
        <f t="shared" si="78"/>
        <v>10</v>
      </c>
      <c r="P2514" s="19">
        <f t="shared" si="79"/>
        <v>2024</v>
      </c>
      <c r="Q25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14" s="19" t="str">
        <f>TEXT(Planning[[#This Row],[Mes]]*29,"mmmm")</f>
        <v>October</v>
      </c>
      <c r="S25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14" s="193"/>
      <c r="U2514" s="43">
        <f>IF(Planning[[#This Row],[Horas Planificadas]]&lt;&gt;0,+K2514/Planning[[#This Row],[Horas Planificadas]],0)</f>
        <v>0</v>
      </c>
      <c r="V2514" s="43">
        <f>IF(Planning[[#This Row],[Horas Planificadas]]&lt;&gt;0,Planning[[#This Row],[Horas utilizadas]]/Planning[[#This Row],[Horas Planificadas]],0)</f>
        <v>0</v>
      </c>
      <c r="W2514" s="44">
        <f>Planning[[#This Row],[Horas Planificadas]]+Planning[[#This Row],[Horas ajustadas adicionales]]</f>
        <v>0</v>
      </c>
      <c r="X2514" s="142"/>
    </row>
    <row r="2515" spans="1:24" x14ac:dyDescent="0.2">
      <c r="A2515" s="7" t="s">
        <v>204</v>
      </c>
      <c r="B2515" s="7" t="s">
        <v>178</v>
      </c>
      <c r="C2515" s="3"/>
      <c r="D2515" s="3" t="s">
        <v>519</v>
      </c>
      <c r="E2515" s="4"/>
      <c r="F2515" s="3" t="s">
        <v>126</v>
      </c>
      <c r="G2515" s="9"/>
      <c r="H2515" s="12"/>
      <c r="I2515" s="12"/>
      <c r="J2515" s="5" t="e">
        <f>SUM(SUMIFS(#REF!,#REF!,Planning[[#This Row],[Tipo de Tarea y especialidad]],#REF!,Planning[[#This Row],[Proyectos Reiwa]]),SUMIFS(#REF!,#REF!,Planning[[#This Row],[Tipo de Tarea y especialidad]],#REF!,Planning[[#This Row],[Proyectos]]))</f>
        <v>#REF!</v>
      </c>
      <c r="K2515" s="27" t="e">
        <f>Planning[[#This Row],[Horas Planificadas]]+Planning[[#This Row],[Horas ajustadas adicionales]]-Planning[[#This Row],[Horas utilizadas]]</f>
        <v>#REF!</v>
      </c>
      <c r="L2515" s="7">
        <v>0</v>
      </c>
      <c r="M2515" s="34" t="e">
        <f>Planning[[#This Row],[Saldo]]-Planning[[#This Row],[Saldo estimado]]</f>
        <v>#REF!</v>
      </c>
      <c r="N2515" s="62" t="e">
        <f>+SUMIFS(#REF!,#REF!,Planning[[#This Row],[Proyectos]],#REF!,Planning[[#This Row],[Tipo de Tarea y especialidad]])</f>
        <v>#REF!</v>
      </c>
      <c r="O2515" s="34">
        <f t="shared" si="78"/>
        <v>10</v>
      </c>
      <c r="P2515" s="34">
        <f t="shared" si="79"/>
        <v>2024</v>
      </c>
      <c r="Q25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15" s="19" t="str">
        <f>TEXT(Planning[[#This Row],[Mes]]*29,"mmmm")</f>
        <v>October</v>
      </c>
      <c r="S25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15" s="193"/>
      <c r="U2515" s="43">
        <f>IF(Planning[[#This Row],[Horas Planificadas]]&lt;&gt;0,+K2515/Planning[[#This Row],[Horas Planificadas]],0)</f>
        <v>0</v>
      </c>
      <c r="V2515" s="43">
        <f>IF(Planning[[#This Row],[Horas Planificadas]]&lt;&gt;0,Planning[[#This Row],[Horas utilizadas]]/Planning[[#This Row],[Horas Planificadas]],0)</f>
        <v>0</v>
      </c>
      <c r="W2515" s="44">
        <f>Planning[[#This Row],[Horas Planificadas]]+Planning[[#This Row],[Horas ajustadas adicionales]]</f>
        <v>0</v>
      </c>
      <c r="X2515" s="142"/>
    </row>
    <row r="2516" spans="1:24" x14ac:dyDescent="0.2">
      <c r="A2516" s="7" t="s">
        <v>204</v>
      </c>
      <c r="B2516" s="7" t="s">
        <v>178</v>
      </c>
      <c r="C2516" s="3"/>
      <c r="D2516" s="3" t="s">
        <v>519</v>
      </c>
      <c r="E2516" s="4"/>
      <c r="F2516" s="3" t="s">
        <v>127</v>
      </c>
      <c r="G2516" s="9"/>
      <c r="H2516" s="9"/>
      <c r="I2516" s="12"/>
      <c r="J2516" s="5" t="e">
        <f>SUM(SUMIFS(#REF!,#REF!,Planning[[#This Row],[Tipo de Tarea y especialidad]],#REF!,Planning[[#This Row],[Proyectos Reiwa]]),SUMIFS(#REF!,#REF!,Planning[[#This Row],[Tipo de Tarea y especialidad]],#REF!,Planning[[#This Row],[Proyectos]]))</f>
        <v>#REF!</v>
      </c>
      <c r="K2516" s="5" t="e">
        <f>Planning[[#This Row],[Horas Planificadas]]+Planning[[#This Row],[Horas ajustadas adicionales]]-Planning[[#This Row],[Horas utilizadas]]</f>
        <v>#REF!</v>
      </c>
      <c r="L2516" s="7">
        <v>0</v>
      </c>
      <c r="M2516" s="19" t="e">
        <f>Planning[[#This Row],[Saldo]]-Planning[[#This Row],[Saldo estimado]]</f>
        <v>#REF!</v>
      </c>
      <c r="N2516" s="60" t="e">
        <f>+SUMIFS(#REF!,#REF!,Planning[[#This Row],[Proyectos]],#REF!,Planning[[#This Row],[Tipo de Tarea y especialidad]])</f>
        <v>#REF!</v>
      </c>
      <c r="O2516" s="19">
        <f t="shared" si="78"/>
        <v>10</v>
      </c>
      <c r="P2516" s="19">
        <f t="shared" si="79"/>
        <v>2024</v>
      </c>
      <c r="Q25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16" s="19" t="str">
        <f>TEXT(Planning[[#This Row],[Mes]]*29,"mmmm")</f>
        <v>October</v>
      </c>
      <c r="S25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16" s="193"/>
      <c r="U2516" s="43">
        <f>IF(Planning[[#This Row],[Horas Planificadas]]&lt;&gt;0,+K2516/Planning[[#This Row],[Horas Planificadas]],0)</f>
        <v>0</v>
      </c>
      <c r="V2516" s="43">
        <f>IF(Planning[[#This Row],[Horas Planificadas]]&lt;&gt;0,Planning[[#This Row],[Horas utilizadas]]/Planning[[#This Row],[Horas Planificadas]],0)</f>
        <v>0</v>
      </c>
      <c r="W2516" s="44">
        <f>Planning[[#This Row],[Horas Planificadas]]+Planning[[#This Row],[Horas ajustadas adicionales]]</f>
        <v>0</v>
      </c>
      <c r="X2516" s="142"/>
    </row>
    <row r="2517" spans="1:24" x14ac:dyDescent="0.2">
      <c r="A2517" s="7" t="s">
        <v>204</v>
      </c>
      <c r="B2517" s="7" t="s">
        <v>178</v>
      </c>
      <c r="C2517" s="3"/>
      <c r="D2517" s="3" t="s">
        <v>519</v>
      </c>
      <c r="E2517" s="4"/>
      <c r="F2517" s="3" t="s">
        <v>128</v>
      </c>
      <c r="G2517" s="9"/>
      <c r="H2517" s="9"/>
      <c r="I2517" s="12"/>
      <c r="J2517" s="5" t="e">
        <f>SUM(SUMIFS(#REF!,#REF!,Planning[[#This Row],[Tipo de Tarea y especialidad]],#REF!,Planning[[#This Row],[Proyectos Reiwa]]),SUMIFS(#REF!,#REF!,Planning[[#This Row],[Tipo de Tarea y especialidad]],#REF!,Planning[[#This Row],[Proyectos]]))</f>
        <v>#REF!</v>
      </c>
      <c r="K2517" s="5" t="e">
        <f>Planning[[#This Row],[Horas Planificadas]]+Planning[[#This Row],[Horas ajustadas adicionales]]-Planning[[#This Row],[Horas utilizadas]]</f>
        <v>#REF!</v>
      </c>
      <c r="L2517" s="7">
        <v>0</v>
      </c>
      <c r="M2517" s="19" t="e">
        <f>Planning[[#This Row],[Saldo]]-Planning[[#This Row],[Saldo estimado]]</f>
        <v>#REF!</v>
      </c>
      <c r="N2517" s="60" t="e">
        <f>+SUMIFS(#REF!,#REF!,Planning[[#This Row],[Proyectos]],#REF!,Planning[[#This Row],[Tipo de Tarea y especialidad]])</f>
        <v>#REF!</v>
      </c>
      <c r="O2517" s="19">
        <f t="shared" si="78"/>
        <v>10</v>
      </c>
      <c r="P2517" s="19">
        <f t="shared" si="79"/>
        <v>2024</v>
      </c>
      <c r="Q25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17" s="19" t="str">
        <f>TEXT(Planning[[#This Row],[Mes]]*29,"mmmm")</f>
        <v>October</v>
      </c>
      <c r="S25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17" s="193"/>
      <c r="U2517" s="43">
        <f>IF(Planning[[#This Row],[Horas Planificadas]]&lt;&gt;0,+K2517/Planning[[#This Row],[Horas Planificadas]],0)</f>
        <v>0</v>
      </c>
      <c r="V2517" s="43">
        <f>IF(Planning[[#This Row],[Horas Planificadas]]&lt;&gt;0,Planning[[#This Row],[Horas utilizadas]]/Planning[[#This Row],[Horas Planificadas]],0)</f>
        <v>0</v>
      </c>
      <c r="W2517" s="44">
        <f>Planning[[#This Row],[Horas Planificadas]]+Planning[[#This Row],[Horas ajustadas adicionales]]</f>
        <v>0</v>
      </c>
      <c r="X2517" s="142"/>
    </row>
    <row r="2518" spans="1:24" x14ac:dyDescent="0.2">
      <c r="A2518" s="7" t="s">
        <v>204</v>
      </c>
      <c r="B2518" s="7" t="s">
        <v>178</v>
      </c>
      <c r="C2518" s="3"/>
      <c r="D2518" s="3" t="s">
        <v>519</v>
      </c>
      <c r="E2518" s="4" t="s">
        <v>31</v>
      </c>
      <c r="F2518" s="3" t="s">
        <v>31</v>
      </c>
      <c r="G2518" s="9">
        <v>87</v>
      </c>
      <c r="H2518" s="18">
        <v>87</v>
      </c>
      <c r="I2518" s="18"/>
      <c r="J2518" s="14" t="e">
        <f>+SUMIFS(#REF!,#REF!,Planning[[#This Row],[Tarifa]],#REF!,Planning[[#This Row],[Proyectos]])</f>
        <v>#REF!</v>
      </c>
      <c r="K2518" s="24" t="e">
        <f>Planning[[#This Row],[Horas Planificadas]]+Planning[[#This Row],[Horas ajustadas adicionales]]-Planning[[#This Row],[Horas utilizadas]]</f>
        <v>#REF!</v>
      </c>
      <c r="L2518" s="15">
        <v>0</v>
      </c>
      <c r="M2518" s="16" t="e">
        <f>Planning[[#This Row],[Saldo]]-Planning[[#This Row],[Saldo estimado]]</f>
        <v>#REF!</v>
      </c>
      <c r="N2518" s="60" t="e">
        <f>+SUMIFS(#REF!,#REF!,Planning[[#This Row],[Proyectos]],#REF!,Planning[[#This Row],[Tipo de Tarea y especialidad]])</f>
        <v>#REF!</v>
      </c>
      <c r="O2518" s="16">
        <f t="shared" si="78"/>
        <v>10</v>
      </c>
      <c r="P2518" s="16">
        <f t="shared" si="79"/>
        <v>2024</v>
      </c>
      <c r="Q2518" s="16" t="e">
        <f>+SUMIFS(#REF!,#REF!,Planning[[#This Row],[Tarifa]],#REF!,Planning[[#This Row],[Proyectos]],#REF!,Planning[[#This Row],[Mes]],#REF!,Planning[[#This Row],[Año]])</f>
        <v>#REF!</v>
      </c>
      <c r="R2518" s="16" t="str">
        <f>TEXT(Planning[[#This Row],[Mes]]*29,"mmmm")</f>
        <v>October</v>
      </c>
      <c r="S25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18" s="193"/>
      <c r="U2518" s="43" t="e">
        <f>IF(Planning[[#This Row],[Horas Planificadas]]&lt;&gt;0,+K2518/Planning[[#This Row],[Horas Planificadas]],0)</f>
        <v>#REF!</v>
      </c>
      <c r="V2518" s="43" t="e">
        <f>IF(Planning[[#This Row],[Horas Planificadas]]&lt;&gt;0,Planning[[#This Row],[Horas utilizadas]]/Planning[[#This Row],[Horas Planificadas]],0)</f>
        <v>#REF!</v>
      </c>
      <c r="W2518" s="44">
        <f>Planning[[#This Row],[Horas Planificadas]]+Planning[[#This Row],[Horas ajustadas adicionales]]</f>
        <v>87</v>
      </c>
      <c r="X2518" s="142"/>
    </row>
    <row r="2519" spans="1:24" ht="22.5" x14ac:dyDescent="0.2">
      <c r="A2519" s="7" t="s">
        <v>204</v>
      </c>
      <c r="B2519" s="7" t="s">
        <v>178</v>
      </c>
      <c r="C2519" s="3"/>
      <c r="D2519" s="3" t="s">
        <v>519</v>
      </c>
      <c r="E2519" s="4" t="s">
        <v>32</v>
      </c>
      <c r="F2519" s="3"/>
      <c r="G2519" s="9">
        <v>290</v>
      </c>
      <c r="H2519" s="25">
        <f>SUM(H2520:H2522)</f>
        <v>290</v>
      </c>
      <c r="I2519" s="14"/>
      <c r="J2519" s="14" t="e">
        <f>SUM(J2520:J2522)</f>
        <v>#REF!</v>
      </c>
      <c r="K2519" s="18" t="e">
        <f>SUM(K2520:K2522)</f>
        <v>#REF!</v>
      </c>
      <c r="L2519" s="15">
        <f>SUM(L2520:L2522)</f>
        <v>0</v>
      </c>
      <c r="M2519" s="16" t="e">
        <f>SUM(M2520:M2522)</f>
        <v>#REF!</v>
      </c>
      <c r="N2519" s="60" t="e">
        <f>+SUMIFS(#REF!,#REF!,Planning[[#This Row],[Proyectos]],#REF!,Planning[[#This Row],[Tipo de Tarea y especialidad]])</f>
        <v>#REF!</v>
      </c>
      <c r="O2519" s="16">
        <f t="shared" si="78"/>
        <v>10</v>
      </c>
      <c r="P2519" s="16">
        <f t="shared" si="79"/>
        <v>2024</v>
      </c>
      <c r="Q2519" s="16" t="e">
        <f>SUM(Q2520:Q2522)</f>
        <v>#REF!</v>
      </c>
      <c r="R2519" s="16" t="str">
        <f>TEXT(Planning[[#This Row],[Mes]]*29,"mmmm")</f>
        <v>October</v>
      </c>
      <c r="S25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19" s="193"/>
      <c r="U2519" s="43" t="e">
        <f>IF(Planning[[#This Row],[Horas Planificadas]]&lt;&gt;0,+K2519/Planning[[#This Row],[Horas Planificadas]],0)</f>
        <v>#REF!</v>
      </c>
      <c r="V2519" s="43" t="e">
        <f>IF(Planning[[#This Row],[Horas Planificadas]]&lt;&gt;0,Planning[[#This Row],[Horas utilizadas]]/Planning[[#This Row],[Horas Planificadas]],0)</f>
        <v>#REF!</v>
      </c>
      <c r="W2519" s="44">
        <f>Planning[[#This Row],[Horas Planificadas]]+Planning[[#This Row],[Horas ajustadas adicionales]]</f>
        <v>290</v>
      </c>
      <c r="X2519" s="142"/>
    </row>
    <row r="2520" spans="1:24" x14ac:dyDescent="0.2">
      <c r="A2520" s="7" t="s">
        <v>204</v>
      </c>
      <c r="B2520" s="7" t="s">
        <v>178</v>
      </c>
      <c r="C2520" s="3"/>
      <c r="D2520" s="3" t="s">
        <v>519</v>
      </c>
      <c r="E2520" s="4"/>
      <c r="F2520" s="3" t="s">
        <v>129</v>
      </c>
      <c r="G2520" s="9"/>
      <c r="H2520" s="9">
        <v>130</v>
      </c>
      <c r="I2520" s="12"/>
      <c r="J2520" s="5" t="e">
        <f>SUM(SUMIFS(#REF!,#REF!,Planning[[#This Row],[Tipo de Tarea y especialidad]],#REF!,Planning[[#This Row],[Proyectos Reiwa]]),SUMIFS(#REF!,#REF!,Planning[[#This Row],[Tipo de Tarea y especialidad]],#REF!,Planning[[#This Row],[Proyectos]]))</f>
        <v>#REF!</v>
      </c>
      <c r="K2520" s="5" t="e">
        <f>Planning[[#This Row],[Horas Planificadas]]+Planning[[#This Row],[Horas ajustadas adicionales]]-Planning[[#This Row],[Horas utilizadas]]</f>
        <v>#REF!</v>
      </c>
      <c r="L2520" s="7">
        <v>0</v>
      </c>
      <c r="M2520" s="19" t="e">
        <f>Planning[[#This Row],[Saldo]]-Planning[[#This Row],[Saldo estimado]]</f>
        <v>#REF!</v>
      </c>
      <c r="N2520" s="60" t="e">
        <f>+SUMIFS(#REF!,#REF!,Planning[[#This Row],[Proyectos]],#REF!,Planning[[#This Row],[Tipo de Tarea y especialidad]])</f>
        <v>#REF!</v>
      </c>
      <c r="O2520" s="19">
        <f t="shared" si="78"/>
        <v>10</v>
      </c>
      <c r="P2520" s="19">
        <f t="shared" si="79"/>
        <v>2024</v>
      </c>
      <c r="Q25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20" s="19" t="str">
        <f>TEXT(Planning[[#This Row],[Mes]]*29,"mmmm")</f>
        <v>October</v>
      </c>
      <c r="S25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20" s="193"/>
      <c r="U2520" s="43" t="e">
        <f>IF(Planning[[#This Row],[Horas Planificadas]]&lt;&gt;0,+K2520/Planning[[#This Row],[Horas Planificadas]],0)</f>
        <v>#REF!</v>
      </c>
      <c r="V2520" s="43" t="e">
        <f>IF(Planning[[#This Row],[Horas Planificadas]]&lt;&gt;0,Planning[[#This Row],[Horas utilizadas]]/Planning[[#This Row],[Horas Planificadas]],0)</f>
        <v>#REF!</v>
      </c>
      <c r="W2520" s="44">
        <f>Planning[[#This Row],[Horas Planificadas]]+Planning[[#This Row],[Horas ajustadas adicionales]]</f>
        <v>130</v>
      </c>
      <c r="X2520" s="142"/>
    </row>
    <row r="2521" spans="1:24" x14ac:dyDescent="0.2">
      <c r="A2521" s="7" t="s">
        <v>204</v>
      </c>
      <c r="B2521" s="7" t="s">
        <v>178</v>
      </c>
      <c r="C2521" s="3"/>
      <c r="D2521" s="3" t="s">
        <v>519</v>
      </c>
      <c r="E2521" s="4"/>
      <c r="F2521" s="3" t="s">
        <v>130</v>
      </c>
      <c r="G2521" s="9"/>
      <c r="H2521" s="9"/>
      <c r="I2521" s="12"/>
      <c r="J2521" s="5" t="e">
        <f>SUM(SUMIFS(#REF!,#REF!,Planning[[#This Row],[Tipo de Tarea y especialidad]],#REF!,Planning[[#This Row],[Proyectos Reiwa]]),SUMIFS(#REF!,#REF!,Planning[[#This Row],[Tipo de Tarea y especialidad]],#REF!,Planning[[#This Row],[Proyectos]]))</f>
        <v>#REF!</v>
      </c>
      <c r="K2521" s="5" t="e">
        <f>Planning[[#This Row],[Horas Planificadas]]+Planning[[#This Row],[Horas ajustadas adicionales]]-Planning[[#This Row],[Horas utilizadas]]</f>
        <v>#REF!</v>
      </c>
      <c r="L2521" s="7">
        <v>0</v>
      </c>
      <c r="M2521" s="19" t="e">
        <f>Planning[[#This Row],[Saldo]]-Planning[[#This Row],[Saldo estimado]]</f>
        <v>#REF!</v>
      </c>
      <c r="N2521" s="60" t="e">
        <f>+SUMIFS(#REF!,#REF!,Planning[[#This Row],[Proyectos]],#REF!,Planning[[#This Row],[Tipo de Tarea y especialidad]])</f>
        <v>#REF!</v>
      </c>
      <c r="O2521" s="19">
        <f t="shared" si="78"/>
        <v>10</v>
      </c>
      <c r="P2521" s="19">
        <f t="shared" si="79"/>
        <v>2024</v>
      </c>
      <c r="Q25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21" s="19" t="str">
        <f>TEXT(Planning[[#This Row],[Mes]]*29,"mmmm")</f>
        <v>October</v>
      </c>
      <c r="S25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21" s="193"/>
      <c r="U2521" s="43">
        <f>IF(Planning[[#This Row],[Horas Planificadas]]&lt;&gt;0,+K2521/Planning[[#This Row],[Horas Planificadas]],0)</f>
        <v>0</v>
      </c>
      <c r="V2521" s="43">
        <f>IF(Planning[[#This Row],[Horas Planificadas]]&lt;&gt;0,Planning[[#This Row],[Horas utilizadas]]/Planning[[#This Row],[Horas Planificadas]],0)</f>
        <v>0</v>
      </c>
      <c r="W2521" s="44">
        <f>Planning[[#This Row],[Horas Planificadas]]+Planning[[#This Row],[Horas ajustadas adicionales]]</f>
        <v>0</v>
      </c>
      <c r="X2521" s="142"/>
    </row>
    <row r="2522" spans="1:24" x14ac:dyDescent="0.2">
      <c r="A2522" s="7" t="s">
        <v>204</v>
      </c>
      <c r="B2522" s="7" t="s">
        <v>178</v>
      </c>
      <c r="C2522" s="3"/>
      <c r="D2522" s="3" t="s">
        <v>519</v>
      </c>
      <c r="E2522" s="4"/>
      <c r="F2522" s="3" t="s">
        <v>131</v>
      </c>
      <c r="G2522" s="9"/>
      <c r="H2522" s="9">
        <v>160</v>
      </c>
      <c r="I2522" s="12"/>
      <c r="J2522" s="5" t="e">
        <f>SUM(SUMIFS(#REF!,#REF!,Planning[[#This Row],[Tipo de Tarea y especialidad]],#REF!,Planning[[#This Row],[Proyectos Reiwa]]),SUMIFS(#REF!,#REF!,Planning[[#This Row],[Tipo de Tarea y especialidad]],#REF!,Planning[[#This Row],[Proyectos]]))</f>
        <v>#REF!</v>
      </c>
      <c r="K2522" s="5" t="e">
        <f>Planning[[#This Row],[Horas Planificadas]]+Planning[[#This Row],[Horas ajustadas adicionales]]-Planning[[#This Row],[Horas utilizadas]]</f>
        <v>#REF!</v>
      </c>
      <c r="L2522" s="7">
        <v>0</v>
      </c>
      <c r="M2522" s="19" t="e">
        <f>Planning[[#This Row],[Saldo]]-Planning[[#This Row],[Saldo estimado]]</f>
        <v>#REF!</v>
      </c>
      <c r="N2522" s="60" t="e">
        <f>+SUMIFS(#REF!,#REF!,Planning[[#This Row],[Proyectos]],#REF!,Planning[[#This Row],[Tipo de Tarea y especialidad]])</f>
        <v>#REF!</v>
      </c>
      <c r="O2522" s="19">
        <f t="shared" si="78"/>
        <v>10</v>
      </c>
      <c r="P2522" s="19">
        <f t="shared" si="79"/>
        <v>2024</v>
      </c>
      <c r="Q25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22" s="19" t="str">
        <f>TEXT(Planning[[#This Row],[Mes]]*29,"mmmm")</f>
        <v>October</v>
      </c>
      <c r="S25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22" s="193"/>
      <c r="U2522" s="43" t="e">
        <f>IF(Planning[[#This Row],[Horas Planificadas]]&lt;&gt;0,+K2522/Planning[[#This Row],[Horas Planificadas]],0)</f>
        <v>#REF!</v>
      </c>
      <c r="V2522" s="43" t="e">
        <f>IF(Planning[[#This Row],[Horas Planificadas]]&lt;&gt;0,Planning[[#This Row],[Horas utilizadas]]/Planning[[#This Row],[Horas Planificadas]],0)</f>
        <v>#REF!</v>
      </c>
      <c r="W2522" s="44">
        <f>Planning[[#This Row],[Horas Planificadas]]+Planning[[#This Row],[Horas ajustadas adicionales]]</f>
        <v>160</v>
      </c>
      <c r="X2522" s="142"/>
    </row>
    <row r="2523" spans="1:24" ht="22.5" x14ac:dyDescent="0.2">
      <c r="A2523" s="7" t="s">
        <v>204</v>
      </c>
      <c r="B2523" s="7" t="s">
        <v>393</v>
      </c>
      <c r="C2523" s="3"/>
      <c r="D2523" s="3" t="s">
        <v>519</v>
      </c>
      <c r="E2523" s="4" t="s">
        <v>28</v>
      </c>
      <c r="F2523" s="3"/>
      <c r="G2523" s="9">
        <v>90</v>
      </c>
      <c r="H2523" s="25">
        <f>SUM(H2524:H2525)</f>
        <v>90</v>
      </c>
      <c r="I2523" s="14"/>
      <c r="J2523" s="14" t="e">
        <f>SUM(J2524:J2525)</f>
        <v>#REF!</v>
      </c>
      <c r="K2523" s="18" t="e">
        <f>SUM(K2524:K2525)</f>
        <v>#REF!</v>
      </c>
      <c r="L2523" s="15">
        <f>SUM(L2524:L2525)</f>
        <v>0</v>
      </c>
      <c r="M2523" s="28" t="e">
        <f>SUM(M2524:M2525)</f>
        <v>#REF!</v>
      </c>
      <c r="N2523" s="61" t="e">
        <f>+SUMIFS(#REF!,#REF!,Planning[[#This Row],[Proyectos]],#REF!,Planning[[#This Row],[Tipo de Tarea y especialidad]])</f>
        <v>#REF!</v>
      </c>
      <c r="O2523" s="28">
        <f t="shared" si="78"/>
        <v>10</v>
      </c>
      <c r="P2523" s="28">
        <f t="shared" si="79"/>
        <v>2024</v>
      </c>
      <c r="Q2523" s="28" t="e">
        <f>SUM(Q2524:Q2525)</f>
        <v>#REF!</v>
      </c>
      <c r="R2523" s="28" t="str">
        <f>TEXT(Planning[[#This Row],[Mes]]*29,"mmmm")</f>
        <v>October</v>
      </c>
      <c r="S25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23" s="192" t="s">
        <v>521</v>
      </c>
      <c r="U2523" s="43" t="e">
        <f>IF(Planning[[#This Row],[Horas Planificadas]]&lt;&gt;0,+K2523/Planning[[#This Row],[Horas Planificadas]],0)</f>
        <v>#REF!</v>
      </c>
      <c r="V2523" s="43" t="e">
        <f>IF(Planning[[#This Row],[Horas Planificadas]]&lt;&gt;0,Planning[[#This Row],[Horas utilizadas]]/Planning[[#This Row],[Horas Planificadas]],0)</f>
        <v>#REF!</v>
      </c>
      <c r="W2523" s="44">
        <f>Planning[[#This Row],[Horas Planificadas]]+Planning[[#This Row],[Horas ajustadas adicionales]]</f>
        <v>90</v>
      </c>
      <c r="X2523" s="142"/>
    </row>
    <row r="2524" spans="1:24" x14ac:dyDescent="0.2">
      <c r="A2524" s="7" t="s">
        <v>204</v>
      </c>
      <c r="B2524" s="7" t="s">
        <v>393</v>
      </c>
      <c r="C2524" s="3"/>
      <c r="D2524" s="3" t="s">
        <v>519</v>
      </c>
      <c r="E2524" s="4"/>
      <c r="F2524" s="3" t="s">
        <v>120</v>
      </c>
      <c r="G2524" s="9"/>
      <c r="H2524" s="9">
        <v>65</v>
      </c>
      <c r="I2524" s="12"/>
      <c r="J2524" s="5" t="e">
        <f>SUM(SUMIFS(#REF!,#REF!,Planning[[#This Row],[Tipo de Tarea y especialidad]],#REF!,Planning[[#This Row],[Proyectos Reiwa]]),SUMIFS(#REF!,#REF!,Planning[[#This Row],[Tipo de Tarea y especialidad]],#REF!,Planning[[#This Row],[Proyectos]]))</f>
        <v>#REF!</v>
      </c>
      <c r="K2524" s="5" t="e">
        <f>Planning[[#This Row],[Horas Planificadas]]+Planning[[#This Row],[Horas ajustadas adicionales]]-Planning[[#This Row],[Horas utilizadas]]</f>
        <v>#REF!</v>
      </c>
      <c r="L2524" s="7">
        <v>0</v>
      </c>
      <c r="M2524" s="19" t="e">
        <f>Planning[[#This Row],[Saldo]]-Planning[[#This Row],[Saldo estimado]]</f>
        <v>#REF!</v>
      </c>
      <c r="N2524" s="60" t="e">
        <f>+SUMIFS(#REF!,#REF!,Planning[[#This Row],[Proyectos]],#REF!,Planning[[#This Row],[Tipo de Tarea y especialidad]])</f>
        <v>#REF!</v>
      </c>
      <c r="O2524" s="19">
        <f t="shared" si="78"/>
        <v>10</v>
      </c>
      <c r="P2524" s="19">
        <f t="shared" si="79"/>
        <v>2024</v>
      </c>
      <c r="Q25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24" s="19" t="str">
        <f>TEXT(Planning[[#This Row],[Mes]]*29,"mmmm")</f>
        <v>October</v>
      </c>
      <c r="S25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24" s="193"/>
      <c r="U2524" s="43" t="e">
        <f>IF(Planning[[#This Row],[Horas Planificadas]]&lt;&gt;0,+K2524/Planning[[#This Row],[Horas Planificadas]],0)</f>
        <v>#REF!</v>
      </c>
      <c r="V2524" s="43" t="e">
        <f>IF(Planning[[#This Row],[Horas Planificadas]]&lt;&gt;0,Planning[[#This Row],[Horas utilizadas]]/Planning[[#This Row],[Horas Planificadas]],0)</f>
        <v>#REF!</v>
      </c>
      <c r="W2524" s="44">
        <f>Planning[[#This Row],[Horas Planificadas]]+Planning[[#This Row],[Horas ajustadas adicionales]]</f>
        <v>65</v>
      </c>
      <c r="X2524" s="142"/>
    </row>
    <row r="2525" spans="1:24" x14ac:dyDescent="0.2">
      <c r="A2525" s="7" t="s">
        <v>204</v>
      </c>
      <c r="B2525" s="7" t="s">
        <v>393</v>
      </c>
      <c r="C2525" s="3"/>
      <c r="D2525" s="3" t="s">
        <v>519</v>
      </c>
      <c r="E2525" s="4"/>
      <c r="F2525" s="3" t="s">
        <v>121</v>
      </c>
      <c r="G2525" s="9"/>
      <c r="H2525" s="9">
        <v>25</v>
      </c>
      <c r="I2525" s="12"/>
      <c r="J2525" s="5" t="e">
        <f>SUM(SUMIFS(#REF!,#REF!,Planning[[#This Row],[Tipo de Tarea y especialidad]],#REF!,Planning[[#This Row],[Proyectos Reiwa]]),SUMIFS(#REF!,#REF!,Planning[[#This Row],[Tipo de Tarea y especialidad]],#REF!,Planning[[#This Row],[Proyectos]]))</f>
        <v>#REF!</v>
      </c>
      <c r="K2525" s="5" t="e">
        <f>Planning[[#This Row],[Horas Planificadas]]+Planning[[#This Row],[Horas ajustadas adicionales]]-Planning[[#This Row],[Horas utilizadas]]</f>
        <v>#REF!</v>
      </c>
      <c r="L2525" s="7">
        <v>0</v>
      </c>
      <c r="M2525" s="19" t="e">
        <f>Planning[[#This Row],[Saldo]]-Planning[[#This Row],[Saldo estimado]]</f>
        <v>#REF!</v>
      </c>
      <c r="N2525" s="60" t="e">
        <f>+SUMIFS(#REF!,#REF!,Planning[[#This Row],[Proyectos]],#REF!,Planning[[#This Row],[Tipo de Tarea y especialidad]])</f>
        <v>#REF!</v>
      </c>
      <c r="O2525" s="19">
        <f t="shared" si="78"/>
        <v>10</v>
      </c>
      <c r="P2525" s="19">
        <f t="shared" si="79"/>
        <v>2024</v>
      </c>
      <c r="Q25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25" s="19" t="str">
        <f>TEXT(Planning[[#This Row],[Mes]]*29,"mmmm")</f>
        <v>October</v>
      </c>
      <c r="S25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25" s="193"/>
      <c r="U2525" s="43" t="e">
        <f>IF(Planning[[#This Row],[Horas Planificadas]]&lt;&gt;0,+K2525/Planning[[#This Row],[Horas Planificadas]],0)</f>
        <v>#REF!</v>
      </c>
      <c r="V2525" s="43" t="e">
        <f>IF(Planning[[#This Row],[Horas Planificadas]]&lt;&gt;0,Planning[[#This Row],[Horas utilizadas]]/Planning[[#This Row],[Horas Planificadas]],0)</f>
        <v>#REF!</v>
      </c>
      <c r="W2525" s="44">
        <f>Planning[[#This Row],[Horas Planificadas]]+Planning[[#This Row],[Horas ajustadas adicionales]]</f>
        <v>25</v>
      </c>
      <c r="X2525" s="142"/>
    </row>
    <row r="2526" spans="1:24" x14ac:dyDescent="0.2">
      <c r="A2526" s="7" t="s">
        <v>204</v>
      </c>
      <c r="B2526" s="7" t="s">
        <v>393</v>
      </c>
      <c r="C2526" s="3"/>
      <c r="D2526" s="3" t="s">
        <v>519</v>
      </c>
      <c r="E2526" s="4" t="s">
        <v>30</v>
      </c>
      <c r="F2526" s="3"/>
      <c r="G2526" s="9">
        <v>430</v>
      </c>
      <c r="H2526" s="25">
        <f>SUM(H2527:H2533)</f>
        <v>430</v>
      </c>
      <c r="I2526" s="14"/>
      <c r="J2526" s="14" t="e">
        <f>SUM(J2527:J2533)</f>
        <v>#REF!</v>
      </c>
      <c r="K2526" s="18" t="e">
        <f>SUM(K2527:K2533)</f>
        <v>#REF!</v>
      </c>
      <c r="L2526" s="15">
        <f>SUM(L2527:L2533)</f>
        <v>0</v>
      </c>
      <c r="M2526" s="16" t="e">
        <f>SUM(M2527:M2533)</f>
        <v>#REF!</v>
      </c>
      <c r="N2526" s="60" t="e">
        <f>+SUMIFS(#REF!,#REF!,Planning[[#This Row],[Proyectos]],#REF!,Planning[[#This Row],[Tipo de Tarea y especialidad]])</f>
        <v>#REF!</v>
      </c>
      <c r="O2526" s="16">
        <f t="shared" si="78"/>
        <v>10</v>
      </c>
      <c r="P2526" s="16">
        <f t="shared" si="79"/>
        <v>2024</v>
      </c>
      <c r="Q2526" s="16" t="e">
        <f>SUM(Q2527:Q2533)</f>
        <v>#REF!</v>
      </c>
      <c r="R2526" s="16" t="str">
        <f>TEXT(Planning[[#This Row],[Mes]]*29,"mmmm")</f>
        <v>October</v>
      </c>
      <c r="S25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26" s="193"/>
      <c r="U2526" s="43" t="e">
        <f>IF(Planning[[#This Row],[Horas Planificadas]]&lt;&gt;0,+K2526/Planning[[#This Row],[Horas Planificadas]],0)</f>
        <v>#REF!</v>
      </c>
      <c r="V2526" s="43" t="e">
        <f>IF(Planning[[#This Row],[Horas Planificadas]]&lt;&gt;0,Planning[[#This Row],[Horas utilizadas]]/Planning[[#This Row],[Horas Planificadas]],0)</f>
        <v>#REF!</v>
      </c>
      <c r="W2526" s="44">
        <f>Planning[[#This Row],[Horas Planificadas]]+Planning[[#This Row],[Horas ajustadas adicionales]]</f>
        <v>430</v>
      </c>
      <c r="X2526" s="142"/>
    </row>
    <row r="2527" spans="1:24" x14ac:dyDescent="0.2">
      <c r="A2527" s="7" t="s">
        <v>204</v>
      </c>
      <c r="B2527" s="7" t="s">
        <v>393</v>
      </c>
      <c r="C2527" s="3"/>
      <c r="D2527" s="3" t="s">
        <v>519</v>
      </c>
      <c r="E2527" s="4"/>
      <c r="F2527" s="3" t="s">
        <v>122</v>
      </c>
      <c r="G2527" s="9"/>
      <c r="H2527" s="12">
        <v>170</v>
      </c>
      <c r="I2527" s="12"/>
      <c r="J2527" s="5" t="e">
        <f>SUM(SUMIFS(#REF!,#REF!,Planning[[#This Row],[Tipo de Tarea y especialidad]],#REF!,Planning[[#This Row],[Proyectos Reiwa]]),SUMIFS(#REF!,#REF!,Planning[[#This Row],[Tipo de Tarea y especialidad]],#REF!,Planning[[#This Row],[Proyectos]]))</f>
        <v>#REF!</v>
      </c>
      <c r="K2527" s="27" t="e">
        <f>Planning[[#This Row],[Horas Planificadas]]+Planning[[#This Row],[Horas ajustadas adicionales]]-Planning[[#This Row],[Horas utilizadas]]</f>
        <v>#REF!</v>
      </c>
      <c r="L2527" s="7">
        <v>0</v>
      </c>
      <c r="M2527" s="19" t="e">
        <f>Planning[[#This Row],[Saldo]]-Planning[[#This Row],[Saldo estimado]]</f>
        <v>#REF!</v>
      </c>
      <c r="N2527" s="60" t="e">
        <f>+SUMIFS(#REF!,#REF!,Planning[[#This Row],[Proyectos]],#REF!,Planning[[#This Row],[Tipo de Tarea y especialidad]])</f>
        <v>#REF!</v>
      </c>
      <c r="O2527" s="19">
        <f t="shared" si="78"/>
        <v>10</v>
      </c>
      <c r="P2527" s="19">
        <f t="shared" si="79"/>
        <v>2024</v>
      </c>
      <c r="Q25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27" s="19" t="str">
        <f>TEXT(Planning[[#This Row],[Mes]]*29,"mmmm")</f>
        <v>October</v>
      </c>
      <c r="S25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27" s="193"/>
      <c r="U2527" s="43" t="e">
        <f>IF(Planning[[#This Row],[Horas Planificadas]]&lt;&gt;0,+K2527/Planning[[#This Row],[Horas Planificadas]],0)</f>
        <v>#REF!</v>
      </c>
      <c r="V2527" s="43" t="e">
        <f>IF(Planning[[#This Row],[Horas Planificadas]]&lt;&gt;0,Planning[[#This Row],[Horas utilizadas]]/Planning[[#This Row],[Horas Planificadas]],0)</f>
        <v>#REF!</v>
      </c>
      <c r="W2527" s="44">
        <f>Planning[[#This Row],[Horas Planificadas]]+Planning[[#This Row],[Horas ajustadas adicionales]]</f>
        <v>170</v>
      </c>
      <c r="X2527" s="142"/>
    </row>
    <row r="2528" spans="1:24" x14ac:dyDescent="0.2">
      <c r="A2528" s="7" t="s">
        <v>204</v>
      </c>
      <c r="B2528" s="7" t="s">
        <v>393</v>
      </c>
      <c r="C2528" s="3"/>
      <c r="D2528" s="3" t="s">
        <v>519</v>
      </c>
      <c r="E2528" s="4"/>
      <c r="F2528" s="3" t="s">
        <v>123</v>
      </c>
      <c r="G2528" s="9"/>
      <c r="H2528" s="9">
        <v>100</v>
      </c>
      <c r="I2528" s="12"/>
      <c r="J2528" s="5" t="e">
        <f>SUM(SUMIFS(#REF!,#REF!,Planning[[#This Row],[Tipo de Tarea y especialidad]],#REF!,Planning[[#This Row],[Proyectos Reiwa]]),SUMIFS(#REF!,#REF!,Planning[[#This Row],[Tipo de Tarea y especialidad]],#REF!,Planning[[#This Row],[Proyectos]]))</f>
        <v>#REF!</v>
      </c>
      <c r="K2528" s="5" t="e">
        <f>Planning[[#This Row],[Horas Planificadas]]+Planning[[#This Row],[Horas ajustadas adicionales]]-Planning[[#This Row],[Horas utilizadas]]</f>
        <v>#REF!</v>
      </c>
      <c r="L2528" s="7">
        <v>0</v>
      </c>
      <c r="M2528" s="19" t="e">
        <f>Planning[[#This Row],[Saldo]]-Planning[[#This Row],[Saldo estimado]]</f>
        <v>#REF!</v>
      </c>
      <c r="N2528" s="60" t="e">
        <f>+SUMIFS(#REF!,#REF!,Planning[[#This Row],[Proyectos]],#REF!,Planning[[#This Row],[Tipo de Tarea y especialidad]])</f>
        <v>#REF!</v>
      </c>
      <c r="O2528" s="19">
        <f t="shared" si="78"/>
        <v>10</v>
      </c>
      <c r="P2528" s="19">
        <f t="shared" si="79"/>
        <v>2024</v>
      </c>
      <c r="Q25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28" s="19" t="str">
        <f>TEXT(Planning[[#This Row],[Mes]]*29,"mmmm")</f>
        <v>October</v>
      </c>
      <c r="S25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28" s="193"/>
      <c r="U2528" s="43" t="e">
        <f>IF(Planning[[#This Row],[Horas Planificadas]]&lt;&gt;0,+K2528/Planning[[#This Row],[Horas Planificadas]],0)</f>
        <v>#REF!</v>
      </c>
      <c r="V2528" s="43" t="e">
        <f>IF(Planning[[#This Row],[Horas Planificadas]]&lt;&gt;0,Planning[[#This Row],[Horas utilizadas]]/Planning[[#This Row],[Horas Planificadas]],0)</f>
        <v>#REF!</v>
      </c>
      <c r="W2528" s="44">
        <f>Planning[[#This Row],[Horas Planificadas]]+Planning[[#This Row],[Horas ajustadas adicionales]]</f>
        <v>100</v>
      </c>
      <c r="X2528" s="142"/>
    </row>
    <row r="2529" spans="1:24" x14ac:dyDescent="0.2">
      <c r="A2529" s="7" t="s">
        <v>204</v>
      </c>
      <c r="B2529" s="7" t="s">
        <v>393</v>
      </c>
      <c r="C2529" s="3"/>
      <c r="D2529" s="3" t="s">
        <v>519</v>
      </c>
      <c r="E2529" s="4"/>
      <c r="F2529" s="3" t="s">
        <v>124</v>
      </c>
      <c r="G2529" s="9"/>
      <c r="H2529" s="9">
        <v>160</v>
      </c>
      <c r="I2529" s="12"/>
      <c r="J2529" s="5" t="e">
        <f>SUM(SUMIFS(#REF!,#REF!,Planning[[#This Row],[Tipo de Tarea y especialidad]],#REF!,Planning[[#This Row],[Proyectos Reiwa]]),SUMIFS(#REF!,#REF!,Planning[[#This Row],[Tipo de Tarea y especialidad]],#REF!,Planning[[#This Row],[Proyectos]]))</f>
        <v>#REF!</v>
      </c>
      <c r="K2529" s="5" t="e">
        <f>Planning[[#This Row],[Horas Planificadas]]+Planning[[#This Row],[Horas ajustadas adicionales]]-Planning[[#This Row],[Horas utilizadas]]</f>
        <v>#REF!</v>
      </c>
      <c r="L2529" s="7">
        <v>0</v>
      </c>
      <c r="M2529" s="19" t="e">
        <f>Planning[[#This Row],[Saldo]]-Planning[[#This Row],[Saldo estimado]]</f>
        <v>#REF!</v>
      </c>
      <c r="N2529" s="60" t="e">
        <f>+SUMIFS(#REF!,#REF!,Planning[[#This Row],[Proyectos]],#REF!,Planning[[#This Row],[Tipo de Tarea y especialidad]])</f>
        <v>#REF!</v>
      </c>
      <c r="O2529" s="19">
        <f t="shared" si="78"/>
        <v>10</v>
      </c>
      <c r="P2529" s="19">
        <f t="shared" si="79"/>
        <v>2024</v>
      </c>
      <c r="Q25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29" s="19" t="str">
        <f>TEXT(Planning[[#This Row],[Mes]]*29,"mmmm")</f>
        <v>October</v>
      </c>
      <c r="S25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29" s="193"/>
      <c r="U2529" s="43" t="e">
        <f>IF(Planning[[#This Row],[Horas Planificadas]]&lt;&gt;0,+K2529/Planning[[#This Row],[Horas Planificadas]],0)</f>
        <v>#REF!</v>
      </c>
      <c r="V2529" s="43" t="e">
        <f>IF(Planning[[#This Row],[Horas Planificadas]]&lt;&gt;0,Planning[[#This Row],[Horas utilizadas]]/Planning[[#This Row],[Horas Planificadas]],0)</f>
        <v>#REF!</v>
      </c>
      <c r="W2529" s="44">
        <f>Planning[[#This Row],[Horas Planificadas]]+Planning[[#This Row],[Horas ajustadas adicionales]]</f>
        <v>160</v>
      </c>
      <c r="X2529" s="142"/>
    </row>
    <row r="2530" spans="1:24" x14ac:dyDescent="0.2">
      <c r="A2530" s="7" t="s">
        <v>204</v>
      </c>
      <c r="B2530" s="7" t="s">
        <v>393</v>
      </c>
      <c r="C2530" s="3"/>
      <c r="D2530" s="3" t="s">
        <v>519</v>
      </c>
      <c r="E2530" s="4"/>
      <c r="F2530" s="3" t="s">
        <v>125</v>
      </c>
      <c r="G2530" s="9"/>
      <c r="H2530" s="9"/>
      <c r="I2530" s="12"/>
      <c r="J2530" s="5" t="e">
        <f>SUM(SUMIFS(#REF!,#REF!,Planning[[#This Row],[Tipo de Tarea y especialidad]],#REF!,Planning[[#This Row],[Proyectos Reiwa]]),SUMIFS(#REF!,#REF!,Planning[[#This Row],[Tipo de Tarea y especialidad]],#REF!,Planning[[#This Row],[Proyectos]]))</f>
        <v>#REF!</v>
      </c>
      <c r="K2530" s="5" t="e">
        <f>Planning[[#This Row],[Horas Planificadas]]+Planning[[#This Row],[Horas ajustadas adicionales]]-Planning[[#This Row],[Horas utilizadas]]</f>
        <v>#REF!</v>
      </c>
      <c r="L2530" s="7"/>
      <c r="M2530" s="19" t="e">
        <f>Planning[[#This Row],[Saldo]]-Planning[[#This Row],[Saldo estimado]]</f>
        <v>#REF!</v>
      </c>
      <c r="N2530" s="60" t="e">
        <f>+SUMIFS(#REF!,#REF!,Planning[[#This Row],[Proyectos]],#REF!,Planning[[#This Row],[Tipo de Tarea y especialidad]])</f>
        <v>#REF!</v>
      </c>
      <c r="O2530" s="19">
        <f t="shared" si="78"/>
        <v>10</v>
      </c>
      <c r="P2530" s="19">
        <f t="shared" si="79"/>
        <v>2024</v>
      </c>
      <c r="Q25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30" s="19" t="str">
        <f>TEXT(Planning[[#This Row],[Mes]]*29,"mmmm")</f>
        <v>October</v>
      </c>
      <c r="S25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30" s="193"/>
      <c r="U2530" s="43">
        <f>IF(Planning[[#This Row],[Horas Planificadas]]&lt;&gt;0,+K2530/Planning[[#This Row],[Horas Planificadas]],0)</f>
        <v>0</v>
      </c>
      <c r="V2530" s="43">
        <f>IF(Planning[[#This Row],[Horas Planificadas]]&lt;&gt;0,Planning[[#This Row],[Horas utilizadas]]/Planning[[#This Row],[Horas Planificadas]],0)</f>
        <v>0</v>
      </c>
      <c r="W2530" s="44">
        <f>Planning[[#This Row],[Horas Planificadas]]+Planning[[#This Row],[Horas ajustadas adicionales]]</f>
        <v>0</v>
      </c>
      <c r="X2530" s="142"/>
    </row>
    <row r="2531" spans="1:24" x14ac:dyDescent="0.2">
      <c r="A2531" s="7" t="s">
        <v>204</v>
      </c>
      <c r="B2531" s="7" t="s">
        <v>393</v>
      </c>
      <c r="C2531" s="3"/>
      <c r="D2531" s="3" t="s">
        <v>519</v>
      </c>
      <c r="E2531" s="4"/>
      <c r="F2531" s="4" t="s">
        <v>126</v>
      </c>
      <c r="G2531" s="7"/>
      <c r="H2531" s="7"/>
      <c r="I2531" s="12"/>
      <c r="J2531" s="5" t="e">
        <f>SUM(SUMIFS(#REF!,#REF!,Planning[[#This Row],[Tipo de Tarea y especialidad]],#REF!,Planning[[#This Row],[Proyectos Reiwa]]),SUMIFS(#REF!,#REF!,Planning[[#This Row],[Tipo de Tarea y especialidad]],#REF!,Planning[[#This Row],[Proyectos]]))</f>
        <v>#REF!</v>
      </c>
      <c r="K2531" s="5" t="e">
        <f>Planning[[#This Row],[Horas Planificadas]]+Planning[[#This Row],[Horas ajustadas adicionales]]-Planning[[#This Row],[Horas utilizadas]]</f>
        <v>#REF!</v>
      </c>
      <c r="L2531" s="7"/>
      <c r="M2531" s="19" t="e">
        <f>Planning[[#This Row],[Saldo]]-Planning[[#This Row],[Saldo estimado]]</f>
        <v>#REF!</v>
      </c>
      <c r="N2531" s="60" t="e">
        <f>+SUMIFS(#REF!,#REF!,Planning[[#This Row],[Proyectos]],#REF!,Planning[[#This Row],[Tipo de Tarea y especialidad]])</f>
        <v>#REF!</v>
      </c>
      <c r="O2531" s="19">
        <f t="shared" si="78"/>
        <v>10</v>
      </c>
      <c r="P2531" s="19">
        <f t="shared" si="79"/>
        <v>2024</v>
      </c>
      <c r="Q25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31" s="19" t="str">
        <f>TEXT(Planning[[#This Row],[Mes]]*29,"mmmm")</f>
        <v>October</v>
      </c>
      <c r="S25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31" s="193"/>
      <c r="U2531" s="43">
        <f>IF(Planning[[#This Row],[Horas Planificadas]]&lt;&gt;0,+K2531/Planning[[#This Row],[Horas Planificadas]],0)</f>
        <v>0</v>
      </c>
      <c r="V2531" s="43">
        <f>IF(Planning[[#This Row],[Horas Planificadas]]&lt;&gt;0,Planning[[#This Row],[Horas utilizadas]]/Planning[[#This Row],[Horas Planificadas]],0)</f>
        <v>0</v>
      </c>
      <c r="W2531" s="44">
        <f>Planning[[#This Row],[Horas Planificadas]]+Planning[[#This Row],[Horas ajustadas adicionales]]</f>
        <v>0</v>
      </c>
      <c r="X2531" s="142"/>
    </row>
    <row r="2532" spans="1:24" x14ac:dyDescent="0.2">
      <c r="A2532" s="7" t="s">
        <v>204</v>
      </c>
      <c r="B2532" s="7" t="s">
        <v>393</v>
      </c>
      <c r="C2532" s="3"/>
      <c r="D2532" s="3" t="s">
        <v>519</v>
      </c>
      <c r="E2532" s="4"/>
      <c r="F2532" s="3" t="s">
        <v>127</v>
      </c>
      <c r="G2532" s="7"/>
      <c r="H2532" s="7"/>
      <c r="I2532" s="12"/>
      <c r="J2532" s="5" t="e">
        <f>SUM(SUMIFS(#REF!,#REF!,Planning[[#This Row],[Tipo de Tarea y especialidad]],#REF!,Planning[[#This Row],[Proyectos Reiwa]]),SUMIFS(#REF!,#REF!,Planning[[#This Row],[Tipo de Tarea y especialidad]],#REF!,Planning[[#This Row],[Proyectos]]))</f>
        <v>#REF!</v>
      </c>
      <c r="K2532" s="5" t="e">
        <f>Planning[[#This Row],[Horas Planificadas]]+Planning[[#This Row],[Horas ajustadas adicionales]]-Planning[[#This Row],[Horas utilizadas]]</f>
        <v>#REF!</v>
      </c>
      <c r="L2532" s="7"/>
      <c r="M2532" s="19" t="e">
        <f>Planning[[#This Row],[Saldo]]-Planning[[#This Row],[Saldo estimado]]</f>
        <v>#REF!</v>
      </c>
      <c r="N2532" s="60" t="e">
        <f>+SUMIFS(#REF!,#REF!,Planning[[#This Row],[Proyectos]],#REF!,Planning[[#This Row],[Tipo de Tarea y especialidad]])</f>
        <v>#REF!</v>
      </c>
      <c r="O2532" s="19">
        <f t="shared" si="78"/>
        <v>10</v>
      </c>
      <c r="P2532" s="19">
        <f t="shared" si="79"/>
        <v>2024</v>
      </c>
      <c r="Q25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32" s="19" t="str">
        <f>TEXT(Planning[[#This Row],[Mes]]*29,"mmmm")</f>
        <v>October</v>
      </c>
      <c r="S25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32" s="193"/>
      <c r="U2532" s="43">
        <f>IF(Planning[[#This Row],[Horas Planificadas]]&lt;&gt;0,+K2532/Planning[[#This Row],[Horas Planificadas]],0)</f>
        <v>0</v>
      </c>
      <c r="V2532" s="43">
        <f>IF(Planning[[#This Row],[Horas Planificadas]]&lt;&gt;0,Planning[[#This Row],[Horas utilizadas]]/Planning[[#This Row],[Horas Planificadas]],0)</f>
        <v>0</v>
      </c>
      <c r="W2532" s="44">
        <f>Planning[[#This Row],[Horas Planificadas]]+Planning[[#This Row],[Horas ajustadas adicionales]]</f>
        <v>0</v>
      </c>
      <c r="X2532" s="142"/>
    </row>
    <row r="2533" spans="1:24" x14ac:dyDescent="0.2">
      <c r="A2533" s="7" t="s">
        <v>204</v>
      </c>
      <c r="B2533" s="7" t="s">
        <v>393</v>
      </c>
      <c r="C2533" s="3"/>
      <c r="D2533" s="3" t="s">
        <v>519</v>
      </c>
      <c r="E2533" s="4"/>
      <c r="F2533" s="3" t="s">
        <v>128</v>
      </c>
      <c r="G2533" s="7"/>
      <c r="H2533" s="7"/>
      <c r="I2533" s="12"/>
      <c r="J2533" s="5" t="e">
        <f>SUM(SUMIFS(#REF!,#REF!,Planning[[#This Row],[Tipo de Tarea y especialidad]],#REF!,Planning[[#This Row],[Proyectos Reiwa]]),SUMIFS(#REF!,#REF!,Planning[[#This Row],[Tipo de Tarea y especialidad]],#REF!,Planning[[#This Row],[Proyectos]]))</f>
        <v>#REF!</v>
      </c>
      <c r="K2533" s="5" t="e">
        <f>Planning[[#This Row],[Horas Planificadas]]+Planning[[#This Row],[Horas ajustadas adicionales]]-Planning[[#This Row],[Horas utilizadas]]</f>
        <v>#REF!</v>
      </c>
      <c r="L2533" s="7"/>
      <c r="M2533" s="19" t="e">
        <f>Planning[[#This Row],[Saldo]]-Planning[[#This Row],[Saldo estimado]]</f>
        <v>#REF!</v>
      </c>
      <c r="N2533" s="60" t="e">
        <f>+SUMIFS(#REF!,#REF!,Planning[[#This Row],[Proyectos]],#REF!,Planning[[#This Row],[Tipo de Tarea y especialidad]])</f>
        <v>#REF!</v>
      </c>
      <c r="O2533" s="19">
        <f t="shared" si="78"/>
        <v>10</v>
      </c>
      <c r="P2533" s="19">
        <f t="shared" si="79"/>
        <v>2024</v>
      </c>
      <c r="Q25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33" s="19" t="str">
        <f>TEXT(Planning[[#This Row],[Mes]]*29,"mmmm")</f>
        <v>October</v>
      </c>
      <c r="S25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33" s="193"/>
      <c r="U2533" s="43">
        <f>IF(Planning[[#This Row],[Horas Planificadas]]&lt;&gt;0,+K2533/Planning[[#This Row],[Horas Planificadas]],0)</f>
        <v>0</v>
      </c>
      <c r="V2533" s="43">
        <f>IF(Planning[[#This Row],[Horas Planificadas]]&lt;&gt;0,Planning[[#This Row],[Horas utilizadas]]/Planning[[#This Row],[Horas Planificadas]],0)</f>
        <v>0</v>
      </c>
      <c r="W2533" s="44">
        <f>Planning[[#This Row],[Horas Planificadas]]+Planning[[#This Row],[Horas ajustadas adicionales]]</f>
        <v>0</v>
      </c>
      <c r="X2533" s="142"/>
    </row>
    <row r="2534" spans="1:24" x14ac:dyDescent="0.2">
      <c r="A2534" s="7" t="s">
        <v>204</v>
      </c>
      <c r="B2534" s="7" t="s">
        <v>393</v>
      </c>
      <c r="C2534" s="3"/>
      <c r="D2534" s="3" t="s">
        <v>519</v>
      </c>
      <c r="E2534" s="4" t="s">
        <v>31</v>
      </c>
      <c r="F2534" s="3" t="s">
        <v>31</v>
      </c>
      <c r="G2534" s="7"/>
      <c r="H2534" s="15">
        <f>Planning[[#This Row],[Horas Precálculo]]</f>
        <v>0</v>
      </c>
      <c r="I2534" s="18"/>
      <c r="J2534" s="14" t="e">
        <f>+SUMIFS(#REF!,#REF!,Planning[[#This Row],[Tarifa]],#REF!,Planning[[#This Row],[Proyectos]])</f>
        <v>#REF!</v>
      </c>
      <c r="K2534" s="14" t="e">
        <f>Planning[[#This Row],[Horas Planificadas]]+Planning[[#This Row],[Horas ajustadas adicionales]]-Planning[[#This Row],[Horas utilizadas]]</f>
        <v>#REF!</v>
      </c>
      <c r="L2534" s="15">
        <v>0</v>
      </c>
      <c r="M2534" s="16" t="e">
        <f>Planning[[#This Row],[Saldo]]-Planning[[#This Row],[Saldo estimado]]</f>
        <v>#REF!</v>
      </c>
      <c r="N2534" s="60" t="e">
        <f>+SUMIFS(#REF!,#REF!,Planning[[#This Row],[Proyectos]],#REF!,Planning[[#This Row],[Tipo de Tarea y especialidad]])</f>
        <v>#REF!</v>
      </c>
      <c r="O2534" s="16">
        <f t="shared" si="78"/>
        <v>10</v>
      </c>
      <c r="P2534" s="16">
        <f t="shared" si="79"/>
        <v>2024</v>
      </c>
      <c r="Q2534" s="16" t="e">
        <f>+SUMIFS(#REF!,#REF!,Planning[[#This Row],[Tarifa]],#REF!,Planning[[#This Row],[Proyectos]],#REF!,Planning[[#This Row],[Mes]],#REF!,Planning[[#This Row],[Año]])</f>
        <v>#REF!</v>
      </c>
      <c r="R2534" s="16" t="str">
        <f>TEXT(Planning[[#This Row],[Mes]]*29,"mmmm")</f>
        <v>October</v>
      </c>
      <c r="S25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34" s="193"/>
      <c r="U2534" s="43">
        <f>IF(Planning[[#This Row],[Horas Planificadas]]&lt;&gt;0,+K2534/Planning[[#This Row],[Horas Planificadas]],0)</f>
        <v>0</v>
      </c>
      <c r="V2534" s="43">
        <f>IF(Planning[[#This Row],[Horas Planificadas]]&lt;&gt;0,Planning[[#This Row],[Horas utilizadas]]/Planning[[#This Row],[Horas Planificadas]],0)</f>
        <v>0</v>
      </c>
      <c r="W2534" s="44">
        <f>Planning[[#This Row],[Horas Planificadas]]+Planning[[#This Row],[Horas ajustadas adicionales]]</f>
        <v>0</v>
      </c>
      <c r="X2534" s="142"/>
    </row>
    <row r="2535" spans="1:24" ht="22.5" x14ac:dyDescent="0.2">
      <c r="A2535" s="7" t="s">
        <v>204</v>
      </c>
      <c r="B2535" s="7" t="s">
        <v>393</v>
      </c>
      <c r="C2535" s="3"/>
      <c r="D2535" s="3" t="s">
        <v>519</v>
      </c>
      <c r="E2535" s="4" t="s">
        <v>32</v>
      </c>
      <c r="F2535" s="3"/>
      <c r="G2535" s="9">
        <v>390</v>
      </c>
      <c r="H2535" s="14">
        <f>SUM(H2536:H2538)</f>
        <v>290</v>
      </c>
      <c r="I2535" s="14"/>
      <c r="J2535" s="14" t="e">
        <f>SUM(J2536:J2538)</f>
        <v>#REF!</v>
      </c>
      <c r="K2535" s="15" t="e">
        <f>SUM(K2536:K2538)</f>
        <v>#REF!</v>
      </c>
      <c r="L2535" s="15">
        <f>SUM(L2536:L2538)</f>
        <v>290</v>
      </c>
      <c r="M2535" s="35" t="e">
        <f>SUM(M2536:M2538)</f>
        <v>#REF!</v>
      </c>
      <c r="N2535" s="62" t="e">
        <f>+SUMIFS(#REF!,#REF!,Planning[[#This Row],[Proyectos]],#REF!,Planning[[#This Row],[Tipo de Tarea y especialidad]])</f>
        <v>#REF!</v>
      </c>
      <c r="O2535" s="35">
        <f t="shared" si="78"/>
        <v>10</v>
      </c>
      <c r="P2535" s="35">
        <f t="shared" si="79"/>
        <v>2024</v>
      </c>
      <c r="Q2535" s="16" t="e">
        <f>SUM(Q2536:Q2538)</f>
        <v>#REF!</v>
      </c>
      <c r="R2535" s="16" t="str">
        <f>TEXT(Planning[[#This Row],[Mes]]*29,"mmmm")</f>
        <v>October</v>
      </c>
      <c r="S25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35" s="193"/>
      <c r="U2535" s="43" t="e">
        <f>IF(Planning[[#This Row],[Horas Planificadas]]&lt;&gt;0,+K2535/Planning[[#This Row],[Horas Planificadas]],0)</f>
        <v>#REF!</v>
      </c>
      <c r="V2535" s="43" t="e">
        <f>IF(Planning[[#This Row],[Horas Planificadas]]&lt;&gt;0,Planning[[#This Row],[Horas utilizadas]]/Planning[[#This Row],[Horas Planificadas]],0)</f>
        <v>#REF!</v>
      </c>
      <c r="W2535" s="44">
        <f>Planning[[#This Row],[Horas Planificadas]]+Planning[[#This Row],[Horas ajustadas adicionales]]</f>
        <v>290</v>
      </c>
      <c r="X2535" s="142"/>
    </row>
    <row r="2536" spans="1:24" x14ac:dyDescent="0.2">
      <c r="A2536" s="7" t="s">
        <v>204</v>
      </c>
      <c r="B2536" s="7" t="s">
        <v>393</v>
      </c>
      <c r="C2536" s="3"/>
      <c r="D2536" s="3" t="s">
        <v>519</v>
      </c>
      <c r="E2536" s="4"/>
      <c r="F2536" s="3" t="s">
        <v>129</v>
      </c>
      <c r="G2536" s="9"/>
      <c r="H2536" s="9"/>
      <c r="I2536" s="12"/>
      <c r="J2536" s="5" t="e">
        <f>SUM(SUMIFS(#REF!,#REF!,Planning[[#This Row],[Tipo de Tarea y especialidad]],#REF!,Planning[[#This Row],[Proyectos Reiwa]]),SUMIFS(#REF!,#REF!,Planning[[#This Row],[Tipo de Tarea y especialidad]],#REF!,Planning[[#This Row],[Proyectos]]))</f>
        <v>#REF!</v>
      </c>
      <c r="K2536" s="5" t="e">
        <f>Planning[[#This Row],[Horas Planificadas]]+Planning[[#This Row],[Horas ajustadas adicionales]]-Planning[[#This Row],[Horas utilizadas]]</f>
        <v>#REF!</v>
      </c>
      <c r="L2536" s="7"/>
      <c r="M2536" s="19" t="e">
        <f>Planning[[#This Row],[Saldo]]-Planning[[#This Row],[Saldo estimado]]</f>
        <v>#REF!</v>
      </c>
      <c r="N2536" s="60" t="e">
        <f>+SUMIFS(#REF!,#REF!,Planning[[#This Row],[Proyectos]],#REF!,Planning[[#This Row],[Tipo de Tarea y especialidad]])</f>
        <v>#REF!</v>
      </c>
      <c r="O2536" s="19">
        <f t="shared" si="78"/>
        <v>10</v>
      </c>
      <c r="P2536" s="19">
        <f t="shared" si="79"/>
        <v>2024</v>
      </c>
      <c r="Q25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36" s="19" t="str">
        <f>TEXT(Planning[[#This Row],[Mes]]*29,"mmmm")</f>
        <v>October</v>
      </c>
      <c r="S25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36" s="193"/>
      <c r="U2536" s="43">
        <f>IF(Planning[[#This Row],[Horas Planificadas]]&lt;&gt;0,+K2536/Planning[[#This Row],[Horas Planificadas]],0)</f>
        <v>0</v>
      </c>
      <c r="V2536" s="43">
        <f>IF(Planning[[#This Row],[Horas Planificadas]]&lt;&gt;0,Planning[[#This Row],[Horas utilizadas]]/Planning[[#This Row],[Horas Planificadas]],0)</f>
        <v>0</v>
      </c>
      <c r="W2536" s="44">
        <f>Planning[[#This Row],[Horas Planificadas]]+Planning[[#This Row],[Horas ajustadas adicionales]]</f>
        <v>0</v>
      </c>
      <c r="X2536" s="142"/>
    </row>
    <row r="2537" spans="1:24" x14ac:dyDescent="0.2">
      <c r="A2537" s="7" t="s">
        <v>204</v>
      </c>
      <c r="B2537" s="7" t="s">
        <v>393</v>
      </c>
      <c r="C2537" s="3"/>
      <c r="D2537" s="3" t="s">
        <v>519</v>
      </c>
      <c r="E2537" s="4"/>
      <c r="F2537" s="3" t="s">
        <v>130</v>
      </c>
      <c r="G2537" s="9"/>
      <c r="H2537" s="9">
        <v>130</v>
      </c>
      <c r="I2537" s="12"/>
      <c r="J2537" s="5" t="e">
        <f>SUM(SUMIFS(#REF!,#REF!,Planning[[#This Row],[Tipo de Tarea y especialidad]],#REF!,Planning[[#This Row],[Proyectos Reiwa]]),SUMIFS(#REF!,#REF!,Planning[[#This Row],[Tipo de Tarea y especialidad]],#REF!,Planning[[#This Row],[Proyectos]]))</f>
        <v>#REF!</v>
      </c>
      <c r="K2537" s="5" t="e">
        <f>Planning[[#This Row],[Horas Planificadas]]+Planning[[#This Row],[Horas ajustadas adicionales]]-Planning[[#This Row],[Horas utilizadas]]</f>
        <v>#REF!</v>
      </c>
      <c r="L2537" s="7">
        <v>130</v>
      </c>
      <c r="M2537" s="19" t="e">
        <f>Planning[[#This Row],[Saldo]]-Planning[[#This Row],[Saldo estimado]]</f>
        <v>#REF!</v>
      </c>
      <c r="N2537" s="60" t="e">
        <f>+SUMIFS(#REF!,#REF!,Planning[[#This Row],[Proyectos]],#REF!,Planning[[#This Row],[Tipo de Tarea y especialidad]])</f>
        <v>#REF!</v>
      </c>
      <c r="O2537" s="19">
        <f t="shared" si="78"/>
        <v>10</v>
      </c>
      <c r="P2537" s="19">
        <f t="shared" si="79"/>
        <v>2024</v>
      </c>
      <c r="Q25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37" s="19" t="str">
        <f>TEXT(Planning[[#This Row],[Mes]]*29,"mmmm")</f>
        <v>October</v>
      </c>
      <c r="S25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37" s="193"/>
      <c r="U2537" s="43" t="e">
        <f>IF(Planning[[#This Row],[Horas Planificadas]]&lt;&gt;0,+K2537/Planning[[#This Row],[Horas Planificadas]],0)</f>
        <v>#REF!</v>
      </c>
      <c r="V2537" s="43" t="e">
        <f>IF(Planning[[#This Row],[Horas Planificadas]]&lt;&gt;0,Planning[[#This Row],[Horas utilizadas]]/Planning[[#This Row],[Horas Planificadas]],0)</f>
        <v>#REF!</v>
      </c>
      <c r="W2537" s="44">
        <f>Planning[[#This Row],[Horas Planificadas]]+Planning[[#This Row],[Horas ajustadas adicionales]]</f>
        <v>130</v>
      </c>
      <c r="X2537" s="142"/>
    </row>
    <row r="2538" spans="1:24" x14ac:dyDescent="0.2">
      <c r="A2538" s="7" t="s">
        <v>204</v>
      </c>
      <c r="B2538" s="7" t="s">
        <v>393</v>
      </c>
      <c r="C2538" s="3"/>
      <c r="D2538" s="3" t="s">
        <v>519</v>
      </c>
      <c r="E2538" s="4"/>
      <c r="F2538" s="3" t="s">
        <v>131</v>
      </c>
      <c r="G2538" s="9"/>
      <c r="H2538" s="12">
        <v>160</v>
      </c>
      <c r="I2538" s="12"/>
      <c r="J2538" s="5" t="e">
        <f>SUM(SUMIFS(#REF!,#REF!,Planning[[#This Row],[Tipo de Tarea y especialidad]],#REF!,Planning[[#This Row],[Proyectos Reiwa]]),SUMIFS(#REF!,#REF!,Planning[[#This Row],[Tipo de Tarea y especialidad]],#REF!,Planning[[#This Row],[Proyectos]]))</f>
        <v>#REF!</v>
      </c>
      <c r="K2538" s="27" t="e">
        <f>Planning[[#This Row],[Horas Planificadas]]+Planning[[#This Row],[Horas ajustadas adicionales]]-Planning[[#This Row],[Horas utilizadas]]</f>
        <v>#REF!</v>
      </c>
      <c r="L2538" s="7">
        <v>160</v>
      </c>
      <c r="M2538" s="19" t="e">
        <f>Planning[[#This Row],[Saldo]]-Planning[[#This Row],[Saldo estimado]]</f>
        <v>#REF!</v>
      </c>
      <c r="N2538" s="60" t="e">
        <f>+SUMIFS(#REF!,#REF!,Planning[[#This Row],[Proyectos]],#REF!,Planning[[#This Row],[Tipo de Tarea y especialidad]])</f>
        <v>#REF!</v>
      </c>
      <c r="O2538" s="19">
        <f t="shared" si="78"/>
        <v>10</v>
      </c>
      <c r="P2538" s="19">
        <f t="shared" si="79"/>
        <v>2024</v>
      </c>
      <c r="Q25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38" s="19" t="str">
        <f>TEXT(Planning[[#This Row],[Mes]]*29,"mmmm")</f>
        <v>October</v>
      </c>
      <c r="S25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38" s="193"/>
      <c r="U2538" s="43" t="e">
        <f>IF(Planning[[#This Row],[Horas Planificadas]]&lt;&gt;0,+K2538/Planning[[#This Row],[Horas Planificadas]],0)</f>
        <v>#REF!</v>
      </c>
      <c r="V2538" s="43" t="e">
        <f>IF(Planning[[#This Row],[Horas Planificadas]]&lt;&gt;0,Planning[[#This Row],[Horas utilizadas]]/Planning[[#This Row],[Horas Planificadas]],0)</f>
        <v>#REF!</v>
      </c>
      <c r="W2538" s="44">
        <f>Planning[[#This Row],[Horas Planificadas]]+Planning[[#This Row],[Horas ajustadas adicionales]]</f>
        <v>160</v>
      </c>
      <c r="X2538" s="142"/>
    </row>
    <row r="2539" spans="1:24" ht="22.5" x14ac:dyDescent="0.2">
      <c r="A2539" s="7"/>
      <c r="B2539" s="7"/>
      <c r="C2539" s="3"/>
      <c r="D2539" s="3" t="s">
        <v>522</v>
      </c>
      <c r="E2539" s="4" t="s">
        <v>28</v>
      </c>
      <c r="F2539" s="3"/>
      <c r="G2539" s="22"/>
      <c r="H2539" s="22">
        <v>70</v>
      </c>
      <c r="I2539" s="8"/>
      <c r="J2539" s="5" t="e">
        <f>+SUMIFS(#REF!,#REF!,Planning[[#This Row],[Tarifa]],#REF!,Planning[[#This Row],[Proyectos]])</f>
        <v>#REF!</v>
      </c>
      <c r="K2539" s="5" t="e">
        <f>Planning[[#This Row],[Horas Planificadas]]+Planning[[#This Row],[Horas ajustadas adicionales]]-Planning[[#This Row],[Horas utilizadas]]</f>
        <v>#REF!</v>
      </c>
      <c r="L2539" s="7"/>
      <c r="M2539" s="19" t="e">
        <f>Planning[[#This Row],[Saldo]]-Planning[[#This Row],[Saldo estimado]]</f>
        <v>#REF!</v>
      </c>
      <c r="N2539" s="60" t="e">
        <f>+SUMIFS(#REF!,#REF!,Planning[[#This Row],[Proyectos]],#REF!,Planning[[#This Row],[Tipo de Tarea y especialidad]])</f>
        <v>#REF!</v>
      </c>
      <c r="O2539" s="19">
        <f t="shared" si="78"/>
        <v>10</v>
      </c>
      <c r="P2539" s="19">
        <f t="shared" si="79"/>
        <v>2024</v>
      </c>
      <c r="Q2539" s="19" t="e">
        <f>+SUMIFS(#REF!,#REF!,Planning[[#This Row],[Tarifa]],#REF!,Planning[[#This Row],[Proyectos]],#REF!,Planning[[#This Row],[Mes]],#REF!,Planning[[#This Row],[Año]])</f>
        <v>#REF!</v>
      </c>
      <c r="R2539" s="19" t="str">
        <f>TEXT(Planning[[#This Row],[Mes]]*29,"mmmm")</f>
        <v>October</v>
      </c>
      <c r="S25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39" s="228"/>
      <c r="U2539" s="43" t="e">
        <f>IF(Planning[[#This Row],[Horas Planificadas]]&lt;&gt;0,+K2539/Planning[[#This Row],[Horas Planificadas]],0)</f>
        <v>#REF!</v>
      </c>
      <c r="V2539" s="43" t="e">
        <f>IF(Planning[[#This Row],[Horas Planificadas]]&lt;&gt;0,Planning[[#This Row],[Horas utilizadas]]/Planning[[#This Row],[Horas Planificadas]],0)</f>
        <v>#REF!</v>
      </c>
      <c r="W2539" s="44">
        <f>Planning[[#This Row],[Horas Planificadas]]+Planning[[#This Row],[Horas ajustadas adicionales]]</f>
        <v>70</v>
      </c>
      <c r="X2539" s="142"/>
    </row>
    <row r="2540" spans="1:24" x14ac:dyDescent="0.2">
      <c r="A2540" s="7"/>
      <c r="B2540" s="7"/>
      <c r="C2540" s="3"/>
      <c r="D2540" s="3" t="s">
        <v>522</v>
      </c>
      <c r="E2540" s="4" t="s">
        <v>30</v>
      </c>
      <c r="F2540" s="3"/>
      <c r="G2540" s="22"/>
      <c r="H2540" s="22">
        <v>80</v>
      </c>
      <c r="I2540" s="8"/>
      <c r="J2540" s="5" t="e">
        <f>+SUMIFS(#REF!,#REF!,Planning[[#This Row],[Tarifa]],#REF!,Planning[[#This Row],[Proyectos]])</f>
        <v>#REF!</v>
      </c>
      <c r="K2540" s="5" t="e">
        <f>Planning[[#This Row],[Horas Planificadas]]+Planning[[#This Row],[Horas ajustadas adicionales]]-Planning[[#This Row],[Horas utilizadas]]</f>
        <v>#REF!</v>
      </c>
      <c r="L2540" s="7"/>
      <c r="M2540" s="19" t="e">
        <f>Planning[[#This Row],[Saldo]]-Planning[[#This Row],[Saldo estimado]]</f>
        <v>#REF!</v>
      </c>
      <c r="N2540" s="60" t="e">
        <f>+SUMIFS(#REF!,#REF!,Planning[[#This Row],[Proyectos]],#REF!,Planning[[#This Row],[Tipo de Tarea y especialidad]])</f>
        <v>#REF!</v>
      </c>
      <c r="O2540" s="19">
        <f t="shared" si="78"/>
        <v>10</v>
      </c>
      <c r="P2540" s="19">
        <f t="shared" si="79"/>
        <v>2024</v>
      </c>
      <c r="Q2540" s="19" t="e">
        <f>+SUMIFS(#REF!,#REF!,Planning[[#This Row],[Tarifa]],#REF!,Planning[[#This Row],[Proyectos]],#REF!,Planning[[#This Row],[Mes]],#REF!,Planning[[#This Row],[Año]])</f>
        <v>#REF!</v>
      </c>
      <c r="R2540" s="19" t="str">
        <f>TEXT(Planning[[#This Row],[Mes]]*29,"mmmm")</f>
        <v>October</v>
      </c>
      <c r="S25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40" s="228"/>
      <c r="U2540" s="43" t="e">
        <f>IF(Planning[[#This Row],[Horas Planificadas]]&lt;&gt;0,+K2540/Planning[[#This Row],[Horas Planificadas]],0)</f>
        <v>#REF!</v>
      </c>
      <c r="V2540" s="43" t="e">
        <f>IF(Planning[[#This Row],[Horas Planificadas]]&lt;&gt;0,Planning[[#This Row],[Horas utilizadas]]/Planning[[#This Row],[Horas Planificadas]],0)</f>
        <v>#REF!</v>
      </c>
      <c r="W2540" s="44">
        <f>Planning[[#This Row],[Horas Planificadas]]+Planning[[#This Row],[Horas ajustadas adicionales]]</f>
        <v>80</v>
      </c>
      <c r="X2540" s="142"/>
    </row>
    <row r="2541" spans="1:24" x14ac:dyDescent="0.2">
      <c r="A2541" s="7"/>
      <c r="B2541" s="7"/>
      <c r="C2541" s="3"/>
      <c r="D2541" s="3" t="s">
        <v>522</v>
      </c>
      <c r="E2541" s="4" t="s">
        <v>31</v>
      </c>
      <c r="F2541" s="3"/>
      <c r="G2541" s="22"/>
      <c r="H2541" s="22">
        <v>60</v>
      </c>
      <c r="I2541" s="8"/>
      <c r="J2541" s="5" t="e">
        <f>+SUMIFS(#REF!,#REF!,Planning[[#This Row],[Tarifa]],#REF!,Planning[[#This Row],[Proyectos]])</f>
        <v>#REF!</v>
      </c>
      <c r="K2541" s="5" t="e">
        <f>Planning[[#This Row],[Horas Planificadas]]+Planning[[#This Row],[Horas ajustadas adicionales]]-Planning[[#This Row],[Horas utilizadas]]</f>
        <v>#REF!</v>
      </c>
      <c r="L2541" s="7"/>
      <c r="M2541" s="19" t="e">
        <f>Planning[[#This Row],[Saldo]]-Planning[[#This Row],[Saldo estimado]]</f>
        <v>#REF!</v>
      </c>
      <c r="N2541" s="60" t="e">
        <f>+SUMIFS(#REF!,#REF!,Planning[[#This Row],[Proyectos]],#REF!,Planning[[#This Row],[Tipo de Tarea y especialidad]])</f>
        <v>#REF!</v>
      </c>
      <c r="O2541" s="19">
        <f t="shared" si="78"/>
        <v>10</v>
      </c>
      <c r="P2541" s="19">
        <f t="shared" si="79"/>
        <v>2024</v>
      </c>
      <c r="Q2541" s="19" t="e">
        <f>+SUMIFS(#REF!,#REF!,Planning[[#This Row],[Tarifa]],#REF!,Planning[[#This Row],[Proyectos]],#REF!,Planning[[#This Row],[Mes]],#REF!,Planning[[#This Row],[Año]])</f>
        <v>#REF!</v>
      </c>
      <c r="R2541" s="19" t="str">
        <f>TEXT(Planning[[#This Row],[Mes]]*29,"mmmm")</f>
        <v>October</v>
      </c>
      <c r="S25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41" s="228"/>
      <c r="U2541" s="43" t="e">
        <f>IF(Planning[[#This Row],[Horas Planificadas]]&lt;&gt;0,+K2541/Planning[[#This Row],[Horas Planificadas]],0)</f>
        <v>#REF!</v>
      </c>
      <c r="V2541" s="43" t="e">
        <f>IF(Planning[[#This Row],[Horas Planificadas]]&lt;&gt;0,Planning[[#This Row],[Horas utilizadas]]/Planning[[#This Row],[Horas Planificadas]],0)</f>
        <v>#REF!</v>
      </c>
      <c r="W2541" s="44">
        <f>Planning[[#This Row],[Horas Planificadas]]+Planning[[#This Row],[Horas ajustadas adicionales]]</f>
        <v>60</v>
      </c>
      <c r="X2541" s="142"/>
    </row>
    <row r="2542" spans="1:24" ht="22.5" x14ac:dyDescent="0.2">
      <c r="A2542" s="7"/>
      <c r="B2542" s="7"/>
      <c r="C2542" s="3"/>
      <c r="D2542" s="3" t="s">
        <v>522</v>
      </c>
      <c r="E2542" s="4" t="s">
        <v>32</v>
      </c>
      <c r="F2542" s="3"/>
      <c r="G2542" s="22"/>
      <c r="H2542" s="22">
        <v>50</v>
      </c>
      <c r="I2542" s="8"/>
      <c r="J2542" s="5" t="e">
        <f>+SUMIFS(#REF!,#REF!,Planning[[#This Row],[Tarifa]],#REF!,Planning[[#This Row],[Proyectos]])</f>
        <v>#REF!</v>
      </c>
      <c r="K2542" s="5" t="e">
        <f>Planning[[#This Row],[Horas Planificadas]]+Planning[[#This Row],[Horas ajustadas adicionales]]-Planning[[#This Row],[Horas utilizadas]]</f>
        <v>#REF!</v>
      </c>
      <c r="L2542" s="7"/>
      <c r="M2542" s="19" t="e">
        <f>Planning[[#This Row],[Saldo]]-Planning[[#This Row],[Saldo estimado]]</f>
        <v>#REF!</v>
      </c>
      <c r="N2542" s="60" t="e">
        <f>+SUMIFS(#REF!,#REF!,Planning[[#This Row],[Proyectos]],#REF!,Planning[[#This Row],[Tipo de Tarea y especialidad]])</f>
        <v>#REF!</v>
      </c>
      <c r="O2542" s="19">
        <f t="shared" si="78"/>
        <v>10</v>
      </c>
      <c r="P2542" s="19">
        <f t="shared" si="79"/>
        <v>2024</v>
      </c>
      <c r="Q2542" s="19" t="e">
        <f>+SUMIFS(#REF!,#REF!,Planning[[#This Row],[Tarifa]],#REF!,Planning[[#This Row],[Proyectos]],#REF!,Planning[[#This Row],[Mes]],#REF!,Planning[[#This Row],[Año]])</f>
        <v>#REF!</v>
      </c>
      <c r="R2542" s="19" t="str">
        <f>TEXT(Planning[[#This Row],[Mes]]*29,"mmmm")</f>
        <v>October</v>
      </c>
      <c r="S25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42" s="228"/>
      <c r="U2542" s="43" t="e">
        <f>IF(Planning[[#This Row],[Horas Planificadas]]&lt;&gt;0,+K2542/Planning[[#This Row],[Horas Planificadas]],0)</f>
        <v>#REF!</v>
      </c>
      <c r="V2542" s="43" t="e">
        <f>IF(Planning[[#This Row],[Horas Planificadas]]&lt;&gt;0,Planning[[#This Row],[Horas utilizadas]]/Planning[[#This Row],[Horas Planificadas]],0)</f>
        <v>#REF!</v>
      </c>
      <c r="W2542" s="44">
        <f>Planning[[#This Row],[Horas Planificadas]]+Planning[[#This Row],[Horas ajustadas adicionales]]</f>
        <v>50</v>
      </c>
      <c r="X2542" s="142"/>
    </row>
    <row r="2543" spans="1:24" ht="22.5" x14ac:dyDescent="0.2">
      <c r="A2543" s="7"/>
      <c r="B2543" s="7" t="s">
        <v>205</v>
      </c>
      <c r="C2543" s="3"/>
      <c r="D2543" s="3" t="s">
        <v>523</v>
      </c>
      <c r="E2543" s="4" t="s">
        <v>28</v>
      </c>
      <c r="F2543" s="3"/>
      <c r="G2543" s="9">
        <v>0</v>
      </c>
      <c r="H2543" s="25">
        <f>SUM(H2544:H2545)</f>
        <v>0</v>
      </c>
      <c r="I2543" s="14"/>
      <c r="J2543" s="14" t="e">
        <f>SUM(J2544:J2545)</f>
        <v>#REF!</v>
      </c>
      <c r="K2543" s="18" t="e">
        <f>SUM(K2544:K2545)</f>
        <v>#REF!</v>
      </c>
      <c r="L2543" s="15">
        <f>SUM(L2544:L2545)</f>
        <v>0</v>
      </c>
      <c r="M2543" s="28" t="e">
        <f>SUM(M2544:M2545)</f>
        <v>#REF!</v>
      </c>
      <c r="N2543" s="61" t="e">
        <f>+SUMIFS(#REF!,#REF!,Planning[[#This Row],[Proyectos]],#REF!,Planning[[#This Row],[Tipo de Tarea y especialidad]])</f>
        <v>#REF!</v>
      </c>
      <c r="O2543" s="28">
        <f t="shared" si="78"/>
        <v>10</v>
      </c>
      <c r="P2543" s="28">
        <f t="shared" si="79"/>
        <v>2024</v>
      </c>
      <c r="Q2543" s="28" t="e">
        <f>SUM(Q2544:Q2545)</f>
        <v>#REF!</v>
      </c>
      <c r="R2543" s="28" t="str">
        <f>TEXT(Planning[[#This Row],[Mes]]*29,"mmmm")</f>
        <v>October</v>
      </c>
      <c r="S25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43" s="192" t="s">
        <v>524</v>
      </c>
      <c r="U2543" s="43">
        <f>IF(Planning[[#This Row],[Horas Planificadas]]&lt;&gt;0,+K2543/Planning[[#This Row],[Horas Planificadas]],0)</f>
        <v>0</v>
      </c>
      <c r="V2543" s="43">
        <f>IF(Planning[[#This Row],[Horas Planificadas]]&lt;&gt;0,Planning[[#This Row],[Horas utilizadas]]/Planning[[#This Row],[Horas Planificadas]],0)</f>
        <v>0</v>
      </c>
      <c r="W2543" s="44">
        <f>Planning[[#This Row],[Horas Planificadas]]+Planning[[#This Row],[Horas ajustadas adicionales]]</f>
        <v>0</v>
      </c>
      <c r="X2543" s="142"/>
    </row>
    <row r="2544" spans="1:24" x14ac:dyDescent="0.2">
      <c r="A2544" s="7"/>
      <c r="B2544" s="7" t="s">
        <v>205</v>
      </c>
      <c r="C2544" s="3"/>
      <c r="D2544" s="3" t="s">
        <v>523</v>
      </c>
      <c r="E2544" s="4"/>
      <c r="F2544" s="3" t="s">
        <v>120</v>
      </c>
      <c r="G2544" s="9"/>
      <c r="H2544" s="9"/>
      <c r="I2544" s="12"/>
      <c r="J2544" s="5" t="e">
        <f>SUM(SUMIFS(#REF!,#REF!,Planning[[#This Row],[Tipo de Tarea y especialidad]],#REF!,Planning[[#This Row],[Proyectos Reiwa]]),SUMIFS(#REF!,#REF!,Planning[[#This Row],[Tipo de Tarea y especialidad]],#REF!,Planning[[#This Row],[Proyectos]]))</f>
        <v>#REF!</v>
      </c>
      <c r="K2544" s="5" t="e">
        <f>Planning[[#This Row],[Horas Planificadas]]+Planning[[#This Row],[Horas ajustadas adicionales]]-Planning[[#This Row],[Horas utilizadas]]</f>
        <v>#REF!</v>
      </c>
      <c r="L2544" s="7"/>
      <c r="M2544" s="19" t="e">
        <f>Planning[[#This Row],[Saldo]]-Planning[[#This Row],[Saldo estimado]]</f>
        <v>#REF!</v>
      </c>
      <c r="N2544" s="60" t="e">
        <f>+SUMIFS(#REF!,#REF!,Planning[[#This Row],[Proyectos]],#REF!,Planning[[#This Row],[Tipo de Tarea y especialidad]])</f>
        <v>#REF!</v>
      </c>
      <c r="O2544" s="19">
        <f t="shared" si="78"/>
        <v>10</v>
      </c>
      <c r="P2544" s="19">
        <f t="shared" si="79"/>
        <v>2024</v>
      </c>
      <c r="Q25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44" s="19" t="str">
        <f>TEXT(Planning[[#This Row],[Mes]]*29,"mmmm")</f>
        <v>October</v>
      </c>
      <c r="S25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44" s="193"/>
      <c r="U2544" s="43">
        <f>IF(Planning[[#This Row],[Horas Planificadas]]&lt;&gt;0,+K2544/Planning[[#This Row],[Horas Planificadas]],0)</f>
        <v>0</v>
      </c>
      <c r="V2544" s="43">
        <f>IF(Planning[[#This Row],[Horas Planificadas]]&lt;&gt;0,Planning[[#This Row],[Horas utilizadas]]/Planning[[#This Row],[Horas Planificadas]],0)</f>
        <v>0</v>
      </c>
      <c r="W2544" s="44">
        <f>Planning[[#This Row],[Horas Planificadas]]+Planning[[#This Row],[Horas ajustadas adicionales]]</f>
        <v>0</v>
      </c>
      <c r="X2544" s="142"/>
    </row>
    <row r="2545" spans="1:24" x14ac:dyDescent="0.2">
      <c r="A2545" s="7"/>
      <c r="B2545" s="7" t="s">
        <v>205</v>
      </c>
      <c r="C2545" s="3"/>
      <c r="D2545" s="3" t="s">
        <v>523</v>
      </c>
      <c r="E2545" s="4"/>
      <c r="F2545" s="3" t="s">
        <v>121</v>
      </c>
      <c r="G2545" s="9"/>
      <c r="H2545" s="9"/>
      <c r="I2545" s="12"/>
      <c r="J2545" s="5" t="e">
        <f>SUM(SUMIFS(#REF!,#REF!,Planning[[#This Row],[Tipo de Tarea y especialidad]],#REF!,Planning[[#This Row],[Proyectos Reiwa]]),SUMIFS(#REF!,#REF!,Planning[[#This Row],[Tipo de Tarea y especialidad]],#REF!,Planning[[#This Row],[Proyectos]]))</f>
        <v>#REF!</v>
      </c>
      <c r="K2545" s="5" t="e">
        <f>Planning[[#This Row],[Horas Planificadas]]+Planning[[#This Row],[Horas ajustadas adicionales]]-Planning[[#This Row],[Horas utilizadas]]</f>
        <v>#REF!</v>
      </c>
      <c r="L2545" s="7"/>
      <c r="M2545" s="19" t="e">
        <f>Planning[[#This Row],[Saldo]]-Planning[[#This Row],[Saldo estimado]]</f>
        <v>#REF!</v>
      </c>
      <c r="N2545" s="60" t="e">
        <f>+SUMIFS(#REF!,#REF!,Planning[[#This Row],[Proyectos]],#REF!,Planning[[#This Row],[Tipo de Tarea y especialidad]])</f>
        <v>#REF!</v>
      </c>
      <c r="O2545" s="19">
        <f t="shared" si="78"/>
        <v>10</v>
      </c>
      <c r="P2545" s="19">
        <f t="shared" si="79"/>
        <v>2024</v>
      </c>
      <c r="Q25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45" s="19" t="str">
        <f>TEXT(Planning[[#This Row],[Mes]]*29,"mmmm")</f>
        <v>October</v>
      </c>
      <c r="S25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45" s="193"/>
      <c r="U2545" s="43">
        <f>IF(Planning[[#This Row],[Horas Planificadas]]&lt;&gt;0,+K2545/Planning[[#This Row],[Horas Planificadas]],0)</f>
        <v>0</v>
      </c>
      <c r="V2545" s="43">
        <f>IF(Planning[[#This Row],[Horas Planificadas]]&lt;&gt;0,Planning[[#This Row],[Horas utilizadas]]/Planning[[#This Row],[Horas Planificadas]],0)</f>
        <v>0</v>
      </c>
      <c r="W2545" s="44">
        <f>Planning[[#This Row],[Horas Planificadas]]+Planning[[#This Row],[Horas ajustadas adicionales]]</f>
        <v>0</v>
      </c>
      <c r="X2545" s="142"/>
    </row>
    <row r="2546" spans="1:24" x14ac:dyDescent="0.2">
      <c r="A2546" s="7"/>
      <c r="B2546" s="7" t="s">
        <v>205</v>
      </c>
      <c r="C2546" s="3"/>
      <c r="D2546" s="3" t="s">
        <v>523</v>
      </c>
      <c r="E2546" s="4" t="s">
        <v>30</v>
      </c>
      <c r="F2546" s="3"/>
      <c r="G2546" s="9">
        <v>589</v>
      </c>
      <c r="H2546" s="25">
        <f>SUM(H2547:H2553)</f>
        <v>589</v>
      </c>
      <c r="I2546" s="14"/>
      <c r="J2546" s="14" t="e">
        <f>SUM(J2547:J2553)</f>
        <v>#REF!</v>
      </c>
      <c r="K2546" s="18" t="e">
        <f>SUM(K2547:K2553)</f>
        <v>#REF!</v>
      </c>
      <c r="L2546" s="15">
        <f>SUM(L2547:L2553)</f>
        <v>0</v>
      </c>
      <c r="M2546" s="16" t="e">
        <f>SUM(M2547:M2553)</f>
        <v>#REF!</v>
      </c>
      <c r="N2546" s="60" t="e">
        <f>+SUMIFS(#REF!,#REF!,Planning[[#This Row],[Proyectos]],#REF!,Planning[[#This Row],[Tipo de Tarea y especialidad]])</f>
        <v>#REF!</v>
      </c>
      <c r="O2546" s="16">
        <f t="shared" si="78"/>
        <v>10</v>
      </c>
      <c r="P2546" s="16">
        <f t="shared" si="79"/>
        <v>2024</v>
      </c>
      <c r="Q2546" s="16" t="e">
        <f>SUM(Q2547:Q2553)</f>
        <v>#REF!</v>
      </c>
      <c r="R2546" s="16" t="str">
        <f>TEXT(Planning[[#This Row],[Mes]]*29,"mmmm")</f>
        <v>October</v>
      </c>
      <c r="S25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46" s="193"/>
      <c r="U2546" s="43" t="e">
        <f>IF(Planning[[#This Row],[Horas Planificadas]]&lt;&gt;0,+K2546/Planning[[#This Row],[Horas Planificadas]],0)</f>
        <v>#REF!</v>
      </c>
      <c r="V2546" s="43" t="e">
        <f>IF(Planning[[#This Row],[Horas Planificadas]]&lt;&gt;0,Planning[[#This Row],[Horas utilizadas]]/Planning[[#This Row],[Horas Planificadas]],0)</f>
        <v>#REF!</v>
      </c>
      <c r="W2546" s="44">
        <f>Planning[[#This Row],[Horas Planificadas]]+Planning[[#This Row],[Horas ajustadas adicionales]]</f>
        <v>589</v>
      </c>
      <c r="X2546" s="142"/>
    </row>
    <row r="2547" spans="1:24" x14ac:dyDescent="0.2">
      <c r="A2547" s="7"/>
      <c r="B2547" s="7" t="s">
        <v>205</v>
      </c>
      <c r="C2547" s="3"/>
      <c r="D2547" s="3" t="s">
        <v>523</v>
      </c>
      <c r="E2547" s="4"/>
      <c r="F2547" s="3" t="s">
        <v>122</v>
      </c>
      <c r="G2547" s="9"/>
      <c r="H2547" s="12"/>
      <c r="I2547" s="12"/>
      <c r="J2547" s="5" t="e">
        <f>SUM(SUMIFS(#REF!,#REF!,Planning[[#This Row],[Tipo de Tarea y especialidad]],#REF!,Planning[[#This Row],[Proyectos Reiwa]]),SUMIFS(#REF!,#REF!,Planning[[#This Row],[Tipo de Tarea y especialidad]],#REF!,Planning[[#This Row],[Proyectos]]))</f>
        <v>#REF!</v>
      </c>
      <c r="K2547" s="27" t="e">
        <f>Planning[[#This Row],[Horas Planificadas]]+Planning[[#This Row],[Horas ajustadas adicionales]]-Planning[[#This Row],[Horas utilizadas]]</f>
        <v>#REF!</v>
      </c>
      <c r="L2547" s="7"/>
      <c r="M2547" s="19" t="e">
        <f>Planning[[#This Row],[Saldo]]-Planning[[#This Row],[Saldo estimado]]</f>
        <v>#REF!</v>
      </c>
      <c r="N2547" s="60" t="e">
        <f>+SUMIFS(#REF!,#REF!,Planning[[#This Row],[Proyectos]],#REF!,Planning[[#This Row],[Tipo de Tarea y especialidad]])</f>
        <v>#REF!</v>
      </c>
      <c r="O2547" s="19">
        <f t="shared" si="78"/>
        <v>10</v>
      </c>
      <c r="P2547" s="19">
        <f t="shared" si="79"/>
        <v>2024</v>
      </c>
      <c r="Q25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47" s="19" t="str">
        <f>TEXT(Planning[[#This Row],[Mes]]*29,"mmmm")</f>
        <v>October</v>
      </c>
      <c r="S25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47" s="193"/>
      <c r="U2547" s="43">
        <f>IF(Planning[[#This Row],[Horas Planificadas]]&lt;&gt;0,+K2547/Planning[[#This Row],[Horas Planificadas]],0)</f>
        <v>0</v>
      </c>
      <c r="V2547" s="43">
        <f>IF(Planning[[#This Row],[Horas Planificadas]]&lt;&gt;0,Planning[[#This Row],[Horas utilizadas]]/Planning[[#This Row],[Horas Planificadas]],0)</f>
        <v>0</v>
      </c>
      <c r="W2547" s="44">
        <f>Planning[[#This Row],[Horas Planificadas]]+Planning[[#This Row],[Horas ajustadas adicionales]]</f>
        <v>0</v>
      </c>
      <c r="X2547" s="142"/>
    </row>
    <row r="2548" spans="1:24" x14ac:dyDescent="0.2">
      <c r="A2548" s="7"/>
      <c r="B2548" s="7" t="s">
        <v>205</v>
      </c>
      <c r="C2548" s="3"/>
      <c r="D2548" s="3" t="s">
        <v>523</v>
      </c>
      <c r="E2548" s="4"/>
      <c r="F2548" s="3" t="s">
        <v>123</v>
      </c>
      <c r="G2548" s="9"/>
      <c r="H2548" s="9">
        <v>499</v>
      </c>
      <c r="I2548" s="12"/>
      <c r="J2548" s="5" t="e">
        <f>SUM(SUMIFS(#REF!,#REF!,Planning[[#This Row],[Tipo de Tarea y especialidad]],#REF!,Planning[[#This Row],[Proyectos Reiwa]]),SUMIFS(#REF!,#REF!,Planning[[#This Row],[Tipo de Tarea y especialidad]],#REF!,Planning[[#This Row],[Proyectos]]))</f>
        <v>#REF!</v>
      </c>
      <c r="K2548" s="5" t="e">
        <f>Planning[[#This Row],[Horas Planificadas]]+Planning[[#This Row],[Horas ajustadas adicionales]]-Planning[[#This Row],[Horas utilizadas]]</f>
        <v>#REF!</v>
      </c>
      <c r="L2548" s="7">
        <v>0</v>
      </c>
      <c r="M2548" s="19" t="e">
        <f>Planning[[#This Row],[Saldo]]-Planning[[#This Row],[Saldo estimado]]</f>
        <v>#REF!</v>
      </c>
      <c r="N2548" s="60" t="e">
        <f>+SUMIFS(#REF!,#REF!,Planning[[#This Row],[Proyectos]],#REF!,Planning[[#This Row],[Tipo de Tarea y especialidad]])</f>
        <v>#REF!</v>
      </c>
      <c r="O2548" s="19">
        <f t="shared" si="78"/>
        <v>10</v>
      </c>
      <c r="P2548" s="19">
        <f t="shared" si="79"/>
        <v>2024</v>
      </c>
      <c r="Q25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48" s="19" t="str">
        <f>TEXT(Planning[[#This Row],[Mes]]*29,"mmmm")</f>
        <v>October</v>
      </c>
      <c r="S25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48" s="193"/>
      <c r="U2548" s="43" t="e">
        <f>IF(Planning[[#This Row],[Horas Planificadas]]&lt;&gt;0,+K2548/Planning[[#This Row],[Horas Planificadas]],0)</f>
        <v>#REF!</v>
      </c>
      <c r="V2548" s="43" t="e">
        <f>IF(Planning[[#This Row],[Horas Planificadas]]&lt;&gt;0,Planning[[#This Row],[Horas utilizadas]]/Planning[[#This Row],[Horas Planificadas]],0)</f>
        <v>#REF!</v>
      </c>
      <c r="W2548" s="44">
        <f>Planning[[#This Row],[Horas Planificadas]]+Planning[[#This Row],[Horas ajustadas adicionales]]</f>
        <v>499</v>
      </c>
      <c r="X2548" s="142"/>
    </row>
    <row r="2549" spans="1:24" x14ac:dyDescent="0.2">
      <c r="A2549" s="7"/>
      <c r="B2549" s="7" t="s">
        <v>205</v>
      </c>
      <c r="C2549" s="3"/>
      <c r="D2549" s="3" t="s">
        <v>523</v>
      </c>
      <c r="E2549" s="4"/>
      <c r="F2549" s="3" t="s">
        <v>124</v>
      </c>
      <c r="G2549" s="9"/>
      <c r="H2549" s="9"/>
      <c r="I2549" s="12"/>
      <c r="J2549" s="5" t="e">
        <f>SUM(SUMIFS(#REF!,#REF!,Planning[[#This Row],[Tipo de Tarea y especialidad]],#REF!,Planning[[#This Row],[Proyectos Reiwa]]),SUMIFS(#REF!,#REF!,Planning[[#This Row],[Tipo de Tarea y especialidad]],#REF!,Planning[[#This Row],[Proyectos]]))</f>
        <v>#REF!</v>
      </c>
      <c r="K2549" s="5" t="e">
        <f>Planning[[#This Row],[Horas Planificadas]]+Planning[[#This Row],[Horas ajustadas adicionales]]-Planning[[#This Row],[Horas utilizadas]]</f>
        <v>#REF!</v>
      </c>
      <c r="L2549" s="7"/>
      <c r="M2549" s="19" t="e">
        <f>Planning[[#This Row],[Saldo]]-Planning[[#This Row],[Saldo estimado]]</f>
        <v>#REF!</v>
      </c>
      <c r="N2549" s="60" t="e">
        <f>+SUMIFS(#REF!,#REF!,Planning[[#This Row],[Proyectos]],#REF!,Planning[[#This Row],[Tipo de Tarea y especialidad]])</f>
        <v>#REF!</v>
      </c>
      <c r="O2549" s="19">
        <f t="shared" si="78"/>
        <v>10</v>
      </c>
      <c r="P2549" s="19">
        <f t="shared" si="79"/>
        <v>2024</v>
      </c>
      <c r="Q25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49" s="19" t="str">
        <f>TEXT(Planning[[#This Row],[Mes]]*29,"mmmm")</f>
        <v>October</v>
      </c>
      <c r="S25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49" s="193"/>
      <c r="U2549" s="43">
        <f>IF(Planning[[#This Row],[Horas Planificadas]]&lt;&gt;0,+K2549/Planning[[#This Row],[Horas Planificadas]],0)</f>
        <v>0</v>
      </c>
      <c r="V2549" s="43">
        <f>IF(Planning[[#This Row],[Horas Planificadas]]&lt;&gt;0,Planning[[#This Row],[Horas utilizadas]]/Planning[[#This Row],[Horas Planificadas]],0)</f>
        <v>0</v>
      </c>
      <c r="W2549" s="44">
        <f>Planning[[#This Row],[Horas Planificadas]]+Planning[[#This Row],[Horas ajustadas adicionales]]</f>
        <v>0</v>
      </c>
      <c r="X2549" s="142"/>
    </row>
    <row r="2550" spans="1:24" x14ac:dyDescent="0.2">
      <c r="A2550" s="7"/>
      <c r="B2550" s="7" t="s">
        <v>205</v>
      </c>
      <c r="C2550" s="3"/>
      <c r="D2550" s="3" t="s">
        <v>523</v>
      </c>
      <c r="E2550" s="4"/>
      <c r="F2550" s="3" t="s">
        <v>125</v>
      </c>
      <c r="G2550" s="9"/>
      <c r="H2550" s="9">
        <v>90</v>
      </c>
      <c r="I2550" s="12"/>
      <c r="J2550" s="5" t="e">
        <f>SUM(SUMIFS(#REF!,#REF!,Planning[[#This Row],[Tipo de Tarea y especialidad]],#REF!,Planning[[#This Row],[Proyectos Reiwa]]),SUMIFS(#REF!,#REF!,Planning[[#This Row],[Tipo de Tarea y especialidad]],#REF!,Planning[[#This Row],[Proyectos]]))</f>
        <v>#REF!</v>
      </c>
      <c r="K2550" s="5" t="e">
        <f>Planning[[#This Row],[Horas Planificadas]]+Planning[[#This Row],[Horas ajustadas adicionales]]-Planning[[#This Row],[Horas utilizadas]]</f>
        <v>#REF!</v>
      </c>
      <c r="L2550" s="7">
        <v>0</v>
      </c>
      <c r="M2550" s="19" t="e">
        <f>Planning[[#This Row],[Saldo]]-Planning[[#This Row],[Saldo estimado]]</f>
        <v>#REF!</v>
      </c>
      <c r="N2550" s="60" t="e">
        <f>+SUMIFS(#REF!,#REF!,Planning[[#This Row],[Proyectos]],#REF!,Planning[[#This Row],[Tipo de Tarea y especialidad]])</f>
        <v>#REF!</v>
      </c>
      <c r="O2550" s="19">
        <f t="shared" si="78"/>
        <v>10</v>
      </c>
      <c r="P2550" s="19">
        <f t="shared" si="79"/>
        <v>2024</v>
      </c>
      <c r="Q25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50" s="19" t="str">
        <f>TEXT(Planning[[#This Row],[Mes]]*29,"mmmm")</f>
        <v>October</v>
      </c>
      <c r="S25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50" s="193"/>
      <c r="U2550" s="43" t="e">
        <f>IF(Planning[[#This Row],[Horas Planificadas]]&lt;&gt;0,+K2550/Planning[[#This Row],[Horas Planificadas]],0)</f>
        <v>#REF!</v>
      </c>
      <c r="V2550" s="43" t="e">
        <f>IF(Planning[[#This Row],[Horas Planificadas]]&lt;&gt;0,Planning[[#This Row],[Horas utilizadas]]/Planning[[#This Row],[Horas Planificadas]],0)</f>
        <v>#REF!</v>
      </c>
      <c r="W2550" s="44">
        <f>Planning[[#This Row],[Horas Planificadas]]+Planning[[#This Row],[Horas ajustadas adicionales]]</f>
        <v>90</v>
      </c>
      <c r="X2550" s="142"/>
    </row>
    <row r="2551" spans="1:24" x14ac:dyDescent="0.2">
      <c r="A2551" s="7"/>
      <c r="B2551" s="7" t="s">
        <v>205</v>
      </c>
      <c r="C2551" s="3"/>
      <c r="D2551" s="3" t="s">
        <v>523</v>
      </c>
      <c r="E2551" s="4"/>
      <c r="F2551" s="3" t="s">
        <v>126</v>
      </c>
      <c r="G2551" s="9"/>
      <c r="H2551" s="12"/>
      <c r="I2551" s="12"/>
      <c r="J2551" s="5" t="e">
        <f>SUM(SUMIFS(#REF!,#REF!,Planning[[#This Row],[Tipo de Tarea y especialidad]],#REF!,Planning[[#This Row],[Proyectos Reiwa]]),SUMIFS(#REF!,#REF!,Planning[[#This Row],[Tipo de Tarea y especialidad]],#REF!,Planning[[#This Row],[Proyectos]]))</f>
        <v>#REF!</v>
      </c>
      <c r="K2551" s="27" t="e">
        <f>Planning[[#This Row],[Horas Planificadas]]+Planning[[#This Row],[Horas ajustadas adicionales]]-Planning[[#This Row],[Horas utilizadas]]</f>
        <v>#REF!</v>
      </c>
      <c r="L2551" s="7"/>
      <c r="M2551" s="34" t="e">
        <f>Planning[[#This Row],[Saldo]]-Planning[[#This Row],[Saldo estimado]]</f>
        <v>#REF!</v>
      </c>
      <c r="N2551" s="62" t="e">
        <f>+SUMIFS(#REF!,#REF!,Planning[[#This Row],[Proyectos]],#REF!,Planning[[#This Row],[Tipo de Tarea y especialidad]])</f>
        <v>#REF!</v>
      </c>
      <c r="O2551" s="34">
        <f t="shared" si="78"/>
        <v>10</v>
      </c>
      <c r="P2551" s="34">
        <f t="shared" si="79"/>
        <v>2024</v>
      </c>
      <c r="Q25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51" s="19" t="str">
        <f>TEXT(Planning[[#This Row],[Mes]]*29,"mmmm")</f>
        <v>October</v>
      </c>
      <c r="S25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51" s="193"/>
      <c r="U2551" s="43">
        <f>IF(Planning[[#This Row],[Horas Planificadas]]&lt;&gt;0,+K2551/Planning[[#This Row],[Horas Planificadas]],0)</f>
        <v>0</v>
      </c>
      <c r="V2551" s="43">
        <f>IF(Planning[[#This Row],[Horas Planificadas]]&lt;&gt;0,Planning[[#This Row],[Horas utilizadas]]/Planning[[#This Row],[Horas Planificadas]],0)</f>
        <v>0</v>
      </c>
      <c r="W2551" s="44">
        <f>Planning[[#This Row],[Horas Planificadas]]+Planning[[#This Row],[Horas ajustadas adicionales]]</f>
        <v>0</v>
      </c>
      <c r="X2551" s="142"/>
    </row>
    <row r="2552" spans="1:24" x14ac:dyDescent="0.2">
      <c r="A2552" s="7"/>
      <c r="B2552" s="7" t="s">
        <v>205</v>
      </c>
      <c r="C2552" s="3"/>
      <c r="D2552" s="3" t="s">
        <v>523</v>
      </c>
      <c r="E2552" s="4"/>
      <c r="F2552" s="3" t="s">
        <v>127</v>
      </c>
      <c r="G2552" s="9"/>
      <c r="H2552" s="9"/>
      <c r="I2552" s="12"/>
      <c r="J2552" s="5" t="e">
        <f>SUM(SUMIFS(#REF!,#REF!,Planning[[#This Row],[Tipo de Tarea y especialidad]],#REF!,Planning[[#This Row],[Proyectos Reiwa]]),SUMIFS(#REF!,#REF!,Planning[[#This Row],[Tipo de Tarea y especialidad]],#REF!,Planning[[#This Row],[Proyectos]]))</f>
        <v>#REF!</v>
      </c>
      <c r="K2552" s="5" t="e">
        <f>Planning[[#This Row],[Horas Planificadas]]+Planning[[#This Row],[Horas ajustadas adicionales]]-Planning[[#This Row],[Horas utilizadas]]</f>
        <v>#REF!</v>
      </c>
      <c r="L2552" s="7"/>
      <c r="M2552" s="19" t="e">
        <f>Planning[[#This Row],[Saldo]]-Planning[[#This Row],[Saldo estimado]]</f>
        <v>#REF!</v>
      </c>
      <c r="N2552" s="60" t="e">
        <f>+SUMIFS(#REF!,#REF!,Planning[[#This Row],[Proyectos]],#REF!,Planning[[#This Row],[Tipo de Tarea y especialidad]])</f>
        <v>#REF!</v>
      </c>
      <c r="O2552" s="19">
        <f t="shared" si="78"/>
        <v>10</v>
      </c>
      <c r="P2552" s="19">
        <f t="shared" si="79"/>
        <v>2024</v>
      </c>
      <c r="Q25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52" s="19" t="str">
        <f>TEXT(Planning[[#This Row],[Mes]]*29,"mmmm")</f>
        <v>October</v>
      </c>
      <c r="S25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52" s="193"/>
      <c r="U2552" s="43">
        <f>IF(Planning[[#This Row],[Horas Planificadas]]&lt;&gt;0,+K2552/Planning[[#This Row],[Horas Planificadas]],0)</f>
        <v>0</v>
      </c>
      <c r="V2552" s="43">
        <f>IF(Planning[[#This Row],[Horas Planificadas]]&lt;&gt;0,Planning[[#This Row],[Horas utilizadas]]/Planning[[#This Row],[Horas Planificadas]],0)</f>
        <v>0</v>
      </c>
      <c r="W2552" s="44">
        <f>Planning[[#This Row],[Horas Planificadas]]+Planning[[#This Row],[Horas ajustadas adicionales]]</f>
        <v>0</v>
      </c>
      <c r="X2552" s="142"/>
    </row>
    <row r="2553" spans="1:24" x14ac:dyDescent="0.2">
      <c r="A2553" s="7"/>
      <c r="B2553" s="7" t="s">
        <v>205</v>
      </c>
      <c r="C2553" s="3"/>
      <c r="D2553" s="3" t="s">
        <v>523</v>
      </c>
      <c r="E2553" s="4"/>
      <c r="F2553" s="3" t="s">
        <v>128</v>
      </c>
      <c r="G2553" s="9"/>
      <c r="H2553" s="9"/>
      <c r="I2553" s="12"/>
      <c r="J2553" s="5" t="e">
        <f>SUM(SUMIFS(#REF!,#REF!,Planning[[#This Row],[Tipo de Tarea y especialidad]],#REF!,Planning[[#This Row],[Proyectos Reiwa]]),SUMIFS(#REF!,#REF!,Planning[[#This Row],[Tipo de Tarea y especialidad]],#REF!,Planning[[#This Row],[Proyectos]]))</f>
        <v>#REF!</v>
      </c>
      <c r="K2553" s="5" t="e">
        <f>Planning[[#This Row],[Horas Planificadas]]+Planning[[#This Row],[Horas ajustadas adicionales]]-Planning[[#This Row],[Horas utilizadas]]</f>
        <v>#REF!</v>
      </c>
      <c r="L2553" s="7"/>
      <c r="M2553" s="19" t="e">
        <f>Planning[[#This Row],[Saldo]]-Planning[[#This Row],[Saldo estimado]]</f>
        <v>#REF!</v>
      </c>
      <c r="N2553" s="60" t="e">
        <f>+SUMIFS(#REF!,#REF!,Planning[[#This Row],[Proyectos]],#REF!,Planning[[#This Row],[Tipo de Tarea y especialidad]])</f>
        <v>#REF!</v>
      </c>
      <c r="O2553" s="19">
        <f t="shared" si="78"/>
        <v>10</v>
      </c>
      <c r="P2553" s="19">
        <f t="shared" si="79"/>
        <v>2024</v>
      </c>
      <c r="Q25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53" s="19" t="str">
        <f>TEXT(Planning[[#This Row],[Mes]]*29,"mmmm")</f>
        <v>October</v>
      </c>
      <c r="S25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53" s="193"/>
      <c r="U2553" s="43">
        <f>IF(Planning[[#This Row],[Horas Planificadas]]&lt;&gt;0,+K2553/Planning[[#This Row],[Horas Planificadas]],0)</f>
        <v>0</v>
      </c>
      <c r="V2553" s="43">
        <f>IF(Planning[[#This Row],[Horas Planificadas]]&lt;&gt;0,Planning[[#This Row],[Horas utilizadas]]/Planning[[#This Row],[Horas Planificadas]],0)</f>
        <v>0</v>
      </c>
      <c r="W2553" s="44">
        <f>Planning[[#This Row],[Horas Planificadas]]+Planning[[#This Row],[Horas ajustadas adicionales]]</f>
        <v>0</v>
      </c>
      <c r="X2553" s="142"/>
    </row>
    <row r="2554" spans="1:24" x14ac:dyDescent="0.2">
      <c r="A2554" s="7"/>
      <c r="B2554" s="7" t="s">
        <v>205</v>
      </c>
      <c r="C2554" s="3"/>
      <c r="D2554" s="3" t="s">
        <v>523</v>
      </c>
      <c r="E2554" s="4" t="s">
        <v>31</v>
      </c>
      <c r="F2554" s="3" t="s">
        <v>31</v>
      </c>
      <c r="G2554" s="9">
        <v>24</v>
      </c>
      <c r="H2554" s="18">
        <v>24</v>
      </c>
      <c r="I2554" s="18"/>
      <c r="J2554" s="14" t="e">
        <f>+SUMIFS(#REF!,#REF!,Planning[[#This Row],[Tarifa]],#REF!,Planning[[#This Row],[Proyectos]])</f>
        <v>#REF!</v>
      </c>
      <c r="K2554" s="24" t="e">
        <f>Planning[[#This Row],[Horas Planificadas]]+Planning[[#This Row],[Horas ajustadas adicionales]]-Planning[[#This Row],[Horas utilizadas]]</f>
        <v>#REF!</v>
      </c>
      <c r="L2554" s="15">
        <v>0</v>
      </c>
      <c r="M2554" s="16" t="e">
        <f>Planning[[#This Row],[Saldo]]-Planning[[#This Row],[Saldo estimado]]</f>
        <v>#REF!</v>
      </c>
      <c r="N2554" s="60" t="e">
        <f>+SUMIFS(#REF!,#REF!,Planning[[#This Row],[Proyectos]],#REF!,Planning[[#This Row],[Tipo de Tarea y especialidad]])</f>
        <v>#REF!</v>
      </c>
      <c r="O2554" s="16">
        <f t="shared" si="78"/>
        <v>10</v>
      </c>
      <c r="P2554" s="16">
        <f t="shared" si="79"/>
        <v>2024</v>
      </c>
      <c r="Q2554" s="16" t="e">
        <f>+SUMIFS(#REF!,#REF!,Planning[[#This Row],[Tarifa]],#REF!,Planning[[#This Row],[Proyectos]],#REF!,Planning[[#This Row],[Mes]],#REF!,Planning[[#This Row],[Año]])</f>
        <v>#REF!</v>
      </c>
      <c r="R2554" s="16" t="str">
        <f>TEXT(Planning[[#This Row],[Mes]]*29,"mmmm")</f>
        <v>October</v>
      </c>
      <c r="S25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54" s="193"/>
      <c r="U2554" s="43" t="e">
        <f>IF(Planning[[#This Row],[Horas Planificadas]]&lt;&gt;0,+K2554/Planning[[#This Row],[Horas Planificadas]],0)</f>
        <v>#REF!</v>
      </c>
      <c r="V2554" s="43" t="e">
        <f>IF(Planning[[#This Row],[Horas Planificadas]]&lt;&gt;0,Planning[[#This Row],[Horas utilizadas]]/Planning[[#This Row],[Horas Planificadas]],0)</f>
        <v>#REF!</v>
      </c>
      <c r="W2554" s="44">
        <f>Planning[[#This Row],[Horas Planificadas]]+Planning[[#This Row],[Horas ajustadas adicionales]]</f>
        <v>24</v>
      </c>
      <c r="X2554" s="142"/>
    </row>
    <row r="2555" spans="1:24" ht="22.5" x14ac:dyDescent="0.2">
      <c r="A2555" s="7"/>
      <c r="B2555" s="7" t="s">
        <v>205</v>
      </c>
      <c r="C2555" s="3"/>
      <c r="D2555" s="3" t="s">
        <v>523</v>
      </c>
      <c r="E2555" s="4" t="s">
        <v>32</v>
      </c>
      <c r="F2555" s="3"/>
      <c r="G2555" s="9">
        <v>162</v>
      </c>
      <c r="H2555" s="25">
        <f>SUM(H2556:H2558)</f>
        <v>162</v>
      </c>
      <c r="I2555" s="14"/>
      <c r="J2555" s="14" t="e">
        <f>SUM(J2556:J2558)</f>
        <v>#REF!</v>
      </c>
      <c r="K2555" s="18" t="e">
        <f>SUM(K2556:K2558)</f>
        <v>#REF!</v>
      </c>
      <c r="L2555" s="15">
        <f>SUM(L2556:L2558)</f>
        <v>0</v>
      </c>
      <c r="M2555" s="16" t="e">
        <f>SUM(M2556:M2558)</f>
        <v>#REF!</v>
      </c>
      <c r="N2555" s="60" t="e">
        <f>+SUMIFS(#REF!,#REF!,Planning[[#This Row],[Proyectos]],#REF!,Planning[[#This Row],[Tipo de Tarea y especialidad]])</f>
        <v>#REF!</v>
      </c>
      <c r="O2555" s="16">
        <f t="shared" si="78"/>
        <v>10</v>
      </c>
      <c r="P2555" s="16">
        <f t="shared" si="79"/>
        <v>2024</v>
      </c>
      <c r="Q2555" s="16" t="e">
        <f>SUM(Q2556:Q2558)</f>
        <v>#REF!</v>
      </c>
      <c r="R2555" s="16" t="str">
        <f>TEXT(Planning[[#This Row],[Mes]]*29,"mmmm")</f>
        <v>October</v>
      </c>
      <c r="S25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55" s="193"/>
      <c r="U2555" s="43" t="e">
        <f>IF(Planning[[#This Row],[Horas Planificadas]]&lt;&gt;0,+K2555/Planning[[#This Row],[Horas Planificadas]],0)</f>
        <v>#REF!</v>
      </c>
      <c r="V2555" s="43" t="e">
        <f>IF(Planning[[#This Row],[Horas Planificadas]]&lt;&gt;0,Planning[[#This Row],[Horas utilizadas]]/Planning[[#This Row],[Horas Planificadas]],0)</f>
        <v>#REF!</v>
      </c>
      <c r="W2555" s="44">
        <f>Planning[[#This Row],[Horas Planificadas]]+Planning[[#This Row],[Horas ajustadas adicionales]]</f>
        <v>162</v>
      </c>
      <c r="X2555" s="142"/>
    </row>
    <row r="2556" spans="1:24" x14ac:dyDescent="0.2">
      <c r="A2556" s="7"/>
      <c r="B2556" s="7" t="s">
        <v>205</v>
      </c>
      <c r="C2556" s="3"/>
      <c r="D2556" s="3" t="s">
        <v>523</v>
      </c>
      <c r="E2556" s="4"/>
      <c r="F2556" s="3" t="s">
        <v>129</v>
      </c>
      <c r="G2556" s="9"/>
      <c r="H2556" s="9"/>
      <c r="I2556" s="12"/>
      <c r="J2556" s="5" t="e">
        <f>SUM(SUMIFS(#REF!,#REF!,Planning[[#This Row],[Tipo de Tarea y especialidad]],#REF!,Planning[[#This Row],[Proyectos Reiwa]]),SUMIFS(#REF!,#REF!,Planning[[#This Row],[Tipo de Tarea y especialidad]],#REF!,Planning[[#This Row],[Proyectos]]))</f>
        <v>#REF!</v>
      </c>
      <c r="K2556" s="5" t="e">
        <f>Planning[[#This Row],[Horas Planificadas]]+Planning[[#This Row],[Horas ajustadas adicionales]]-Planning[[#This Row],[Horas utilizadas]]</f>
        <v>#REF!</v>
      </c>
      <c r="L2556" s="7"/>
      <c r="M2556" s="19" t="e">
        <f>Planning[[#This Row],[Saldo]]-Planning[[#This Row],[Saldo estimado]]</f>
        <v>#REF!</v>
      </c>
      <c r="N2556" s="60" t="e">
        <f>+SUMIFS(#REF!,#REF!,Planning[[#This Row],[Proyectos]],#REF!,Planning[[#This Row],[Tipo de Tarea y especialidad]])</f>
        <v>#REF!</v>
      </c>
      <c r="O2556" s="19">
        <f t="shared" si="78"/>
        <v>10</v>
      </c>
      <c r="P2556" s="19">
        <f t="shared" si="79"/>
        <v>2024</v>
      </c>
      <c r="Q25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56" s="19" t="str">
        <f>TEXT(Planning[[#This Row],[Mes]]*29,"mmmm")</f>
        <v>October</v>
      </c>
      <c r="S25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56" s="193"/>
      <c r="U2556" s="43">
        <f>IF(Planning[[#This Row],[Horas Planificadas]]&lt;&gt;0,+K2556/Planning[[#This Row],[Horas Planificadas]],0)</f>
        <v>0</v>
      </c>
      <c r="V2556" s="43">
        <f>IF(Planning[[#This Row],[Horas Planificadas]]&lt;&gt;0,Planning[[#This Row],[Horas utilizadas]]/Planning[[#This Row],[Horas Planificadas]],0)</f>
        <v>0</v>
      </c>
      <c r="W2556" s="44">
        <f>Planning[[#This Row],[Horas Planificadas]]+Planning[[#This Row],[Horas ajustadas adicionales]]</f>
        <v>0</v>
      </c>
      <c r="X2556" s="142"/>
    </row>
    <row r="2557" spans="1:24" x14ac:dyDescent="0.2">
      <c r="A2557" s="7"/>
      <c r="B2557" s="7" t="s">
        <v>205</v>
      </c>
      <c r="C2557" s="3"/>
      <c r="D2557" s="3" t="s">
        <v>523</v>
      </c>
      <c r="E2557" s="4"/>
      <c r="F2557" s="3" t="s">
        <v>130</v>
      </c>
      <c r="G2557" s="9"/>
      <c r="H2557" s="9">
        <v>162</v>
      </c>
      <c r="I2557" s="12"/>
      <c r="J2557" s="5" t="e">
        <f>SUM(SUMIFS(#REF!,#REF!,Planning[[#This Row],[Tipo de Tarea y especialidad]],#REF!,Planning[[#This Row],[Proyectos Reiwa]]),SUMIFS(#REF!,#REF!,Planning[[#This Row],[Tipo de Tarea y especialidad]],#REF!,Planning[[#This Row],[Proyectos]]))</f>
        <v>#REF!</v>
      </c>
      <c r="K2557" s="5" t="e">
        <f>Planning[[#This Row],[Horas Planificadas]]+Planning[[#This Row],[Horas ajustadas adicionales]]-Planning[[#This Row],[Horas utilizadas]]</f>
        <v>#REF!</v>
      </c>
      <c r="L2557" s="7">
        <v>0</v>
      </c>
      <c r="M2557" s="19" t="e">
        <f>Planning[[#This Row],[Saldo]]-Planning[[#This Row],[Saldo estimado]]</f>
        <v>#REF!</v>
      </c>
      <c r="N2557" s="60" t="e">
        <f>+SUMIFS(#REF!,#REF!,Planning[[#This Row],[Proyectos]],#REF!,Planning[[#This Row],[Tipo de Tarea y especialidad]])</f>
        <v>#REF!</v>
      </c>
      <c r="O2557" s="19">
        <f t="shared" si="78"/>
        <v>10</v>
      </c>
      <c r="P2557" s="19">
        <f t="shared" si="79"/>
        <v>2024</v>
      </c>
      <c r="Q25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57" s="19" t="str">
        <f>TEXT(Planning[[#This Row],[Mes]]*29,"mmmm")</f>
        <v>October</v>
      </c>
      <c r="S25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57" s="193"/>
      <c r="U2557" s="43" t="e">
        <f>IF(Planning[[#This Row],[Horas Planificadas]]&lt;&gt;0,+K2557/Planning[[#This Row],[Horas Planificadas]],0)</f>
        <v>#REF!</v>
      </c>
      <c r="V2557" s="43" t="e">
        <f>IF(Planning[[#This Row],[Horas Planificadas]]&lt;&gt;0,Planning[[#This Row],[Horas utilizadas]]/Planning[[#This Row],[Horas Planificadas]],0)</f>
        <v>#REF!</v>
      </c>
      <c r="W2557" s="44">
        <f>Planning[[#This Row],[Horas Planificadas]]+Planning[[#This Row],[Horas ajustadas adicionales]]</f>
        <v>162</v>
      </c>
      <c r="X2557" s="142"/>
    </row>
    <row r="2558" spans="1:24" x14ac:dyDescent="0.2">
      <c r="A2558" s="7"/>
      <c r="B2558" s="7" t="s">
        <v>205</v>
      </c>
      <c r="C2558" s="3"/>
      <c r="D2558" s="3" t="s">
        <v>523</v>
      </c>
      <c r="E2558" s="4"/>
      <c r="F2558" s="3" t="s">
        <v>131</v>
      </c>
      <c r="G2558" s="9"/>
      <c r="H2558" s="9"/>
      <c r="I2558" s="12"/>
      <c r="J2558" s="5" t="e">
        <f>SUM(SUMIFS(#REF!,#REF!,Planning[[#This Row],[Tipo de Tarea y especialidad]],#REF!,Planning[[#This Row],[Proyectos Reiwa]]),SUMIFS(#REF!,#REF!,Planning[[#This Row],[Tipo de Tarea y especialidad]],#REF!,Planning[[#This Row],[Proyectos]]))</f>
        <v>#REF!</v>
      </c>
      <c r="K2558" s="5" t="e">
        <f>Planning[[#This Row],[Horas Planificadas]]+Planning[[#This Row],[Horas ajustadas adicionales]]-Planning[[#This Row],[Horas utilizadas]]</f>
        <v>#REF!</v>
      </c>
      <c r="L2558" s="7"/>
      <c r="M2558" s="19" t="e">
        <f>Planning[[#This Row],[Saldo]]-Planning[[#This Row],[Saldo estimado]]</f>
        <v>#REF!</v>
      </c>
      <c r="N2558" s="60" t="e">
        <f>+SUMIFS(#REF!,#REF!,Planning[[#This Row],[Proyectos]],#REF!,Planning[[#This Row],[Tipo de Tarea y especialidad]])</f>
        <v>#REF!</v>
      </c>
      <c r="O2558" s="19">
        <f t="shared" si="78"/>
        <v>10</v>
      </c>
      <c r="P2558" s="19">
        <f t="shared" si="79"/>
        <v>2024</v>
      </c>
      <c r="Q25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58" s="19" t="str">
        <f>TEXT(Planning[[#This Row],[Mes]]*29,"mmmm")</f>
        <v>October</v>
      </c>
      <c r="S25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58" s="193"/>
      <c r="U2558" s="43">
        <f>IF(Planning[[#This Row],[Horas Planificadas]]&lt;&gt;0,+K2558/Planning[[#This Row],[Horas Planificadas]],0)</f>
        <v>0</v>
      </c>
      <c r="V2558" s="43">
        <f>IF(Planning[[#This Row],[Horas Planificadas]]&lt;&gt;0,Planning[[#This Row],[Horas utilizadas]]/Planning[[#This Row],[Horas Planificadas]],0)</f>
        <v>0</v>
      </c>
      <c r="W2558" s="44">
        <f>Planning[[#This Row],[Horas Planificadas]]+Planning[[#This Row],[Horas ajustadas adicionales]]</f>
        <v>0</v>
      </c>
      <c r="X2558" s="142"/>
    </row>
    <row r="2559" spans="1:24" ht="22.5" x14ac:dyDescent="0.2">
      <c r="A2559" s="7"/>
      <c r="B2559" s="7"/>
      <c r="C2559" s="3"/>
      <c r="D2559" s="3" t="s">
        <v>525</v>
      </c>
      <c r="E2559" s="4" t="s">
        <v>28</v>
      </c>
      <c r="F2559" s="3"/>
      <c r="G2559" s="9"/>
      <c r="H2559" s="9">
        <v>0</v>
      </c>
      <c r="I2559" s="12"/>
      <c r="J2559" s="5" t="e">
        <f>+SUMIFS(#REF!,#REF!,Planning[[#This Row],[Tarifa]],#REF!,Planning[[#This Row],[Proyectos]])</f>
        <v>#REF!</v>
      </c>
      <c r="K2559" s="5" t="e">
        <f>Planning[[#This Row],[Horas Planificadas]]+Planning[[#This Row],[Horas ajustadas adicionales]]-Planning[[#This Row],[Horas utilizadas]]</f>
        <v>#REF!</v>
      </c>
      <c r="L2559" s="7"/>
      <c r="M2559" s="19" t="e">
        <f>Planning[[#This Row],[Saldo]]-Planning[[#This Row],[Saldo estimado]]</f>
        <v>#REF!</v>
      </c>
      <c r="N2559" s="60" t="e">
        <f>+SUMIFS(#REF!,#REF!,Planning[[#This Row],[Proyectos]],#REF!,Planning[[#This Row],[Tipo de Tarea y especialidad]])</f>
        <v>#REF!</v>
      </c>
      <c r="O2559" s="19">
        <f t="shared" si="78"/>
        <v>10</v>
      </c>
      <c r="P2559" s="19">
        <f t="shared" si="79"/>
        <v>2024</v>
      </c>
      <c r="Q2559" s="19" t="e">
        <f>+SUMIFS(#REF!,#REF!,Planning[[#This Row],[Tarifa]],#REF!,Planning[[#This Row],[Proyectos]],#REF!,Planning[[#This Row],[Mes]],#REF!,Planning[[#This Row],[Año]])</f>
        <v>#REF!</v>
      </c>
      <c r="R2559" s="19" t="str">
        <f>TEXT(Planning[[#This Row],[Mes]]*29,"mmmm")</f>
        <v>October</v>
      </c>
      <c r="S25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59" s="228"/>
      <c r="U2559" s="43">
        <f>IF(Planning[[#This Row],[Horas Planificadas]]&lt;&gt;0,+K2559/Planning[[#This Row],[Horas Planificadas]],0)</f>
        <v>0</v>
      </c>
      <c r="V2559" s="43">
        <f>IF(Planning[[#This Row],[Horas Planificadas]]&lt;&gt;0,Planning[[#This Row],[Horas utilizadas]]/Planning[[#This Row],[Horas Planificadas]],0)</f>
        <v>0</v>
      </c>
      <c r="W2559" s="44">
        <f>Planning[[#This Row],[Horas Planificadas]]+Planning[[#This Row],[Horas ajustadas adicionales]]</f>
        <v>0</v>
      </c>
      <c r="X2559" s="142"/>
    </row>
    <row r="2560" spans="1:24" x14ac:dyDescent="0.2">
      <c r="A2560" s="7"/>
      <c r="B2560" s="7"/>
      <c r="C2560" s="3"/>
      <c r="D2560" s="3" t="s">
        <v>525</v>
      </c>
      <c r="E2560" s="4" t="s">
        <v>30</v>
      </c>
      <c r="F2560" s="3"/>
      <c r="G2560" s="9"/>
      <c r="H2560" s="9">
        <v>50</v>
      </c>
      <c r="I2560" s="12"/>
      <c r="J2560" s="5" t="e">
        <f>+SUMIFS(#REF!,#REF!,Planning[[#This Row],[Tarifa]],#REF!,Planning[[#This Row],[Proyectos]])</f>
        <v>#REF!</v>
      </c>
      <c r="K2560" s="5" t="e">
        <f>Planning[[#This Row],[Horas Planificadas]]+Planning[[#This Row],[Horas ajustadas adicionales]]-Planning[[#This Row],[Horas utilizadas]]</f>
        <v>#REF!</v>
      </c>
      <c r="L2560" s="7"/>
      <c r="M2560" s="19" t="e">
        <f>Planning[[#This Row],[Saldo]]-Planning[[#This Row],[Saldo estimado]]</f>
        <v>#REF!</v>
      </c>
      <c r="N2560" s="60" t="e">
        <f>+SUMIFS(#REF!,#REF!,Planning[[#This Row],[Proyectos]],#REF!,Planning[[#This Row],[Tipo de Tarea y especialidad]])</f>
        <v>#REF!</v>
      </c>
      <c r="O2560" s="19">
        <f t="shared" si="78"/>
        <v>10</v>
      </c>
      <c r="P2560" s="19">
        <f t="shared" si="79"/>
        <v>2024</v>
      </c>
      <c r="Q2560" s="19" t="e">
        <f>+SUMIFS(#REF!,#REF!,Planning[[#This Row],[Tarifa]],#REF!,Planning[[#This Row],[Proyectos]],#REF!,Planning[[#This Row],[Mes]],#REF!,Planning[[#This Row],[Año]])</f>
        <v>#REF!</v>
      </c>
      <c r="R2560" s="19" t="str">
        <f>TEXT(Planning[[#This Row],[Mes]]*29,"mmmm")</f>
        <v>October</v>
      </c>
      <c r="S25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60" s="228"/>
      <c r="U2560" s="43" t="e">
        <f>IF(Planning[[#This Row],[Horas Planificadas]]&lt;&gt;0,+K2560/Planning[[#This Row],[Horas Planificadas]],0)</f>
        <v>#REF!</v>
      </c>
      <c r="V2560" s="43" t="e">
        <f>IF(Planning[[#This Row],[Horas Planificadas]]&lt;&gt;0,Planning[[#This Row],[Horas utilizadas]]/Planning[[#This Row],[Horas Planificadas]],0)</f>
        <v>#REF!</v>
      </c>
      <c r="W2560" s="44">
        <f>Planning[[#This Row],[Horas Planificadas]]+Planning[[#This Row],[Horas ajustadas adicionales]]</f>
        <v>50</v>
      </c>
      <c r="X2560" s="142"/>
    </row>
    <row r="2561" spans="1:24" x14ac:dyDescent="0.2">
      <c r="A2561" s="7"/>
      <c r="B2561" s="7"/>
      <c r="C2561" s="3"/>
      <c r="D2561" s="3" t="s">
        <v>525</v>
      </c>
      <c r="E2561" s="4" t="s">
        <v>31</v>
      </c>
      <c r="F2561" s="3"/>
      <c r="G2561" s="9"/>
      <c r="H2561" s="9">
        <v>80</v>
      </c>
      <c r="I2561" s="12"/>
      <c r="J2561" s="5" t="e">
        <f>+SUMIFS(#REF!,#REF!,Planning[[#This Row],[Tarifa]],#REF!,Planning[[#This Row],[Proyectos]])</f>
        <v>#REF!</v>
      </c>
      <c r="K2561" s="5" t="e">
        <f>Planning[[#This Row],[Horas Planificadas]]+Planning[[#This Row],[Horas ajustadas adicionales]]-Planning[[#This Row],[Horas utilizadas]]</f>
        <v>#REF!</v>
      </c>
      <c r="L2561" s="7"/>
      <c r="M2561" s="19" t="e">
        <f>Planning[[#This Row],[Saldo]]-Planning[[#This Row],[Saldo estimado]]</f>
        <v>#REF!</v>
      </c>
      <c r="N2561" s="60" t="e">
        <f>+SUMIFS(#REF!,#REF!,Planning[[#This Row],[Proyectos]],#REF!,Planning[[#This Row],[Tipo de Tarea y especialidad]])</f>
        <v>#REF!</v>
      </c>
      <c r="O2561" s="19">
        <f t="shared" si="78"/>
        <v>10</v>
      </c>
      <c r="P2561" s="19">
        <f t="shared" si="79"/>
        <v>2024</v>
      </c>
      <c r="Q2561" s="19" t="e">
        <f>+SUMIFS(#REF!,#REF!,Planning[[#This Row],[Tarifa]],#REF!,Planning[[#This Row],[Proyectos]],#REF!,Planning[[#This Row],[Mes]],#REF!,Planning[[#This Row],[Año]])</f>
        <v>#REF!</v>
      </c>
      <c r="R2561" s="19" t="str">
        <f>TEXT(Planning[[#This Row],[Mes]]*29,"mmmm")</f>
        <v>October</v>
      </c>
      <c r="S25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61" s="228"/>
      <c r="U2561" s="43" t="e">
        <f>IF(Planning[[#This Row],[Horas Planificadas]]&lt;&gt;0,+K2561/Planning[[#This Row],[Horas Planificadas]],0)</f>
        <v>#REF!</v>
      </c>
      <c r="V2561" s="43" t="e">
        <f>IF(Planning[[#This Row],[Horas Planificadas]]&lt;&gt;0,Planning[[#This Row],[Horas utilizadas]]/Planning[[#This Row],[Horas Planificadas]],0)</f>
        <v>#REF!</v>
      </c>
      <c r="W2561" s="44">
        <f>Planning[[#This Row],[Horas Planificadas]]+Planning[[#This Row],[Horas ajustadas adicionales]]</f>
        <v>80</v>
      </c>
      <c r="X2561" s="142"/>
    </row>
    <row r="2562" spans="1:24" ht="22.5" x14ac:dyDescent="0.2">
      <c r="A2562" s="7"/>
      <c r="B2562" s="7"/>
      <c r="C2562" s="3"/>
      <c r="D2562" s="3" t="s">
        <v>525</v>
      </c>
      <c r="E2562" s="4" t="s">
        <v>32</v>
      </c>
      <c r="F2562" s="3"/>
      <c r="G2562" s="9"/>
      <c r="H2562" s="9">
        <v>220</v>
      </c>
      <c r="I2562" s="12"/>
      <c r="J2562" s="5" t="e">
        <f>+SUMIFS(#REF!,#REF!,Planning[[#This Row],[Tarifa]],#REF!,Planning[[#This Row],[Proyectos]])</f>
        <v>#REF!</v>
      </c>
      <c r="K2562" s="5" t="e">
        <f>Planning[[#This Row],[Horas Planificadas]]+Planning[[#This Row],[Horas ajustadas adicionales]]-Planning[[#This Row],[Horas utilizadas]]</f>
        <v>#REF!</v>
      </c>
      <c r="L2562" s="7"/>
      <c r="M2562" s="19" t="e">
        <f>Planning[[#This Row],[Saldo]]-Planning[[#This Row],[Saldo estimado]]</f>
        <v>#REF!</v>
      </c>
      <c r="N2562" s="60" t="e">
        <f>+SUMIFS(#REF!,#REF!,Planning[[#This Row],[Proyectos]],#REF!,Planning[[#This Row],[Tipo de Tarea y especialidad]])</f>
        <v>#REF!</v>
      </c>
      <c r="O2562" s="19">
        <f t="shared" si="78"/>
        <v>10</v>
      </c>
      <c r="P2562" s="19">
        <f t="shared" si="79"/>
        <v>2024</v>
      </c>
      <c r="Q2562" s="19" t="e">
        <f>+SUMIFS(#REF!,#REF!,Planning[[#This Row],[Tarifa]],#REF!,Planning[[#This Row],[Proyectos]],#REF!,Planning[[#This Row],[Mes]],#REF!,Planning[[#This Row],[Año]])</f>
        <v>#REF!</v>
      </c>
      <c r="R2562" s="19" t="str">
        <f>TEXT(Planning[[#This Row],[Mes]]*29,"mmmm")</f>
        <v>October</v>
      </c>
      <c r="S25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62" s="228"/>
      <c r="U2562" s="43" t="e">
        <f>IF(Planning[[#This Row],[Horas Planificadas]]&lt;&gt;0,+K2562/Planning[[#This Row],[Horas Planificadas]],0)</f>
        <v>#REF!</v>
      </c>
      <c r="V2562" s="43" t="e">
        <f>IF(Planning[[#This Row],[Horas Planificadas]]&lt;&gt;0,Planning[[#This Row],[Horas utilizadas]]/Planning[[#This Row],[Horas Planificadas]],0)</f>
        <v>#REF!</v>
      </c>
      <c r="W2562" s="44">
        <f>Planning[[#This Row],[Horas Planificadas]]+Planning[[#This Row],[Horas ajustadas adicionales]]</f>
        <v>220</v>
      </c>
      <c r="X2562" s="142"/>
    </row>
    <row r="2563" spans="1:24" ht="22.5" x14ac:dyDescent="0.2">
      <c r="A2563" s="7" t="s">
        <v>177</v>
      </c>
      <c r="B2563" s="7" t="s">
        <v>393</v>
      </c>
      <c r="C2563" s="3"/>
      <c r="D2563" s="3" t="s">
        <v>526</v>
      </c>
      <c r="E2563" s="4" t="s">
        <v>28</v>
      </c>
      <c r="F2563" s="3"/>
      <c r="G2563" s="9">
        <v>270</v>
      </c>
      <c r="H2563" s="14">
        <f>SUM(H2564:H2565)</f>
        <v>270</v>
      </c>
      <c r="I2563" s="14"/>
      <c r="J2563" s="14" t="e">
        <f>SUM(J2564:J2565)</f>
        <v>#REF!</v>
      </c>
      <c r="K2563" s="15" t="e">
        <f>SUM(K2564:K2565)</f>
        <v>#REF!</v>
      </c>
      <c r="L2563" s="15">
        <f>SUM(L2564:L2565)</f>
        <v>0</v>
      </c>
      <c r="M2563" s="28" t="e">
        <f>SUM(M2564:M2565)</f>
        <v>#REF!</v>
      </c>
      <c r="N2563" s="61" t="e">
        <f>+SUMIFS(#REF!,#REF!,Planning[[#This Row],[Proyectos]],#REF!,Planning[[#This Row],[Tipo de Tarea y especialidad]])</f>
        <v>#REF!</v>
      </c>
      <c r="O2563" s="28">
        <f t="shared" si="78"/>
        <v>10</v>
      </c>
      <c r="P2563" s="28">
        <f t="shared" si="79"/>
        <v>2024</v>
      </c>
      <c r="Q2563" s="28" t="e">
        <f>SUM(Q2564:Q2565)</f>
        <v>#REF!</v>
      </c>
      <c r="R2563" s="28" t="str">
        <f>TEXT(Planning[[#This Row],[Mes]]*29,"mmmm")</f>
        <v>October</v>
      </c>
      <c r="S25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63" s="192" t="s">
        <v>527</v>
      </c>
      <c r="U2563" s="43" t="e">
        <f>IF(Planning[[#This Row],[Horas Planificadas]]&lt;&gt;0,+K2563/Planning[[#This Row],[Horas Planificadas]],0)</f>
        <v>#REF!</v>
      </c>
      <c r="V2563" s="43" t="e">
        <f>IF(Planning[[#This Row],[Horas Planificadas]]&lt;&gt;0,Planning[[#This Row],[Horas utilizadas]]/Planning[[#This Row],[Horas Planificadas]],0)</f>
        <v>#REF!</v>
      </c>
      <c r="W2563" s="44">
        <f>Planning[[#This Row],[Horas Planificadas]]+Planning[[#This Row],[Horas ajustadas adicionales]]</f>
        <v>270</v>
      </c>
      <c r="X2563" s="142"/>
    </row>
    <row r="2564" spans="1:24" x14ac:dyDescent="0.2">
      <c r="A2564" s="7" t="s">
        <v>177</v>
      </c>
      <c r="B2564" s="7" t="s">
        <v>393</v>
      </c>
      <c r="C2564" s="3"/>
      <c r="D2564" s="3" t="s">
        <v>526</v>
      </c>
      <c r="E2564" s="4"/>
      <c r="F2564" s="3" t="s">
        <v>120</v>
      </c>
      <c r="G2564" s="9"/>
      <c r="H2564" s="9">
        <v>210</v>
      </c>
      <c r="I2564" s="12"/>
      <c r="J2564" s="5" t="e">
        <f>SUM(SUMIFS(#REF!,#REF!,Planning[[#This Row],[Tipo de Tarea y especialidad]],#REF!,Planning[[#This Row],[Proyectos Reiwa]]),SUMIFS(#REF!,#REF!,Planning[[#This Row],[Tipo de Tarea y especialidad]],#REF!,Planning[[#This Row],[Proyectos]]))</f>
        <v>#REF!</v>
      </c>
      <c r="K2564" s="5" t="e">
        <f>Planning[[#This Row],[Horas Planificadas]]+Planning[[#This Row],[Horas ajustadas adicionales]]-Planning[[#This Row],[Horas utilizadas]]</f>
        <v>#REF!</v>
      </c>
      <c r="L2564" s="7">
        <v>0</v>
      </c>
      <c r="M2564" s="19" t="e">
        <f>Planning[[#This Row],[Saldo]]-Planning[[#This Row],[Saldo estimado]]</f>
        <v>#REF!</v>
      </c>
      <c r="N2564" s="60" t="e">
        <f>+SUMIFS(#REF!,#REF!,Planning[[#This Row],[Proyectos]],#REF!,Planning[[#This Row],[Tipo de Tarea y especialidad]])</f>
        <v>#REF!</v>
      </c>
      <c r="O2564" s="19">
        <f t="shared" si="78"/>
        <v>10</v>
      </c>
      <c r="P2564" s="19">
        <f t="shared" si="79"/>
        <v>2024</v>
      </c>
      <c r="Q25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64" s="19" t="str">
        <f>TEXT(Planning[[#This Row],[Mes]]*29,"mmmm")</f>
        <v>October</v>
      </c>
      <c r="S25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64" s="193"/>
      <c r="U2564" s="43" t="e">
        <f>IF(Planning[[#This Row],[Horas Planificadas]]&lt;&gt;0,+K2564/Planning[[#This Row],[Horas Planificadas]],0)</f>
        <v>#REF!</v>
      </c>
      <c r="V2564" s="43" t="e">
        <f>IF(Planning[[#This Row],[Horas Planificadas]]&lt;&gt;0,Planning[[#This Row],[Horas utilizadas]]/Planning[[#This Row],[Horas Planificadas]],0)</f>
        <v>#REF!</v>
      </c>
      <c r="W2564" s="44">
        <f>Planning[[#This Row],[Horas Planificadas]]+Planning[[#This Row],[Horas ajustadas adicionales]]</f>
        <v>210</v>
      </c>
      <c r="X2564" s="142"/>
    </row>
    <row r="2565" spans="1:24" x14ac:dyDescent="0.2">
      <c r="A2565" s="7" t="s">
        <v>177</v>
      </c>
      <c r="B2565" s="7" t="s">
        <v>393</v>
      </c>
      <c r="C2565" s="3"/>
      <c r="D2565" s="3" t="s">
        <v>526</v>
      </c>
      <c r="E2565" s="4"/>
      <c r="F2565" s="3" t="s">
        <v>121</v>
      </c>
      <c r="G2565" s="9"/>
      <c r="H2565" s="9">
        <v>60</v>
      </c>
      <c r="I2565" s="12"/>
      <c r="J2565" s="5" t="e">
        <f>SUM(SUMIFS(#REF!,#REF!,Planning[[#This Row],[Tipo de Tarea y especialidad]],#REF!,Planning[[#This Row],[Proyectos Reiwa]]),SUMIFS(#REF!,#REF!,Planning[[#This Row],[Tipo de Tarea y especialidad]],#REF!,Planning[[#This Row],[Proyectos]]))</f>
        <v>#REF!</v>
      </c>
      <c r="K2565" s="5" t="e">
        <f>Planning[[#This Row],[Horas Planificadas]]+Planning[[#This Row],[Horas ajustadas adicionales]]-Planning[[#This Row],[Horas utilizadas]]</f>
        <v>#REF!</v>
      </c>
      <c r="L2565" s="7">
        <v>0</v>
      </c>
      <c r="M2565" s="19" t="e">
        <f>Planning[[#This Row],[Saldo]]-Planning[[#This Row],[Saldo estimado]]</f>
        <v>#REF!</v>
      </c>
      <c r="N2565" s="60" t="e">
        <f>+SUMIFS(#REF!,#REF!,Planning[[#This Row],[Proyectos]],#REF!,Planning[[#This Row],[Tipo de Tarea y especialidad]])</f>
        <v>#REF!</v>
      </c>
      <c r="O2565" s="19">
        <f t="shared" si="78"/>
        <v>10</v>
      </c>
      <c r="P2565" s="19">
        <f t="shared" si="79"/>
        <v>2024</v>
      </c>
      <c r="Q25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65" s="19" t="str">
        <f>TEXT(Planning[[#This Row],[Mes]]*29,"mmmm")</f>
        <v>October</v>
      </c>
      <c r="S25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65" s="193"/>
      <c r="U2565" s="43" t="e">
        <f>IF(Planning[[#This Row],[Horas Planificadas]]&lt;&gt;0,+K2565/Planning[[#This Row],[Horas Planificadas]],0)</f>
        <v>#REF!</v>
      </c>
      <c r="V2565" s="43" t="e">
        <f>IF(Planning[[#This Row],[Horas Planificadas]]&lt;&gt;0,Planning[[#This Row],[Horas utilizadas]]/Planning[[#This Row],[Horas Planificadas]],0)</f>
        <v>#REF!</v>
      </c>
      <c r="W2565" s="44">
        <f>Planning[[#This Row],[Horas Planificadas]]+Planning[[#This Row],[Horas ajustadas adicionales]]</f>
        <v>60</v>
      </c>
      <c r="X2565" s="142"/>
    </row>
    <row r="2566" spans="1:24" x14ac:dyDescent="0.2">
      <c r="A2566" s="7" t="s">
        <v>177</v>
      </c>
      <c r="B2566" s="7" t="s">
        <v>393</v>
      </c>
      <c r="C2566" s="3"/>
      <c r="D2566" s="3" t="s">
        <v>526</v>
      </c>
      <c r="E2566" s="4" t="s">
        <v>30</v>
      </c>
      <c r="F2566" s="3"/>
      <c r="G2566" s="9">
        <v>240</v>
      </c>
      <c r="H2566" s="25">
        <f>SUM(H2567:H2573)</f>
        <v>240</v>
      </c>
      <c r="I2566" s="14"/>
      <c r="J2566" s="14" t="e">
        <f>SUM(J2567:J2573)</f>
        <v>#REF!</v>
      </c>
      <c r="K2566" s="18" t="e">
        <f>SUM(K2567:K2573)</f>
        <v>#REF!</v>
      </c>
      <c r="L2566" s="15">
        <f>SUM(L2567:L2573)</f>
        <v>0</v>
      </c>
      <c r="M2566" s="16" t="e">
        <f>SUM(M2567:M2573)</f>
        <v>#REF!</v>
      </c>
      <c r="N2566" s="60" t="e">
        <f>+SUMIFS(#REF!,#REF!,Planning[[#This Row],[Proyectos]],#REF!,Planning[[#This Row],[Tipo de Tarea y especialidad]])</f>
        <v>#REF!</v>
      </c>
      <c r="O2566" s="16">
        <f t="shared" si="78"/>
        <v>10</v>
      </c>
      <c r="P2566" s="16">
        <f t="shared" si="79"/>
        <v>2024</v>
      </c>
      <c r="Q2566" s="16" t="e">
        <f>SUM(Q2567:Q2573)</f>
        <v>#REF!</v>
      </c>
      <c r="R2566" s="16" t="str">
        <f>TEXT(Planning[[#This Row],[Mes]]*29,"mmmm")</f>
        <v>October</v>
      </c>
      <c r="S25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66" s="193"/>
      <c r="U2566" s="43" t="e">
        <f>IF(Planning[[#This Row],[Horas Planificadas]]&lt;&gt;0,+K2566/Planning[[#This Row],[Horas Planificadas]],0)</f>
        <v>#REF!</v>
      </c>
      <c r="V2566" s="43" t="e">
        <f>IF(Planning[[#This Row],[Horas Planificadas]]&lt;&gt;0,Planning[[#This Row],[Horas utilizadas]]/Planning[[#This Row],[Horas Planificadas]],0)</f>
        <v>#REF!</v>
      </c>
      <c r="W2566" s="44">
        <f>Planning[[#This Row],[Horas Planificadas]]+Planning[[#This Row],[Horas ajustadas adicionales]]</f>
        <v>240</v>
      </c>
      <c r="X2566" s="142"/>
    </row>
    <row r="2567" spans="1:24" x14ac:dyDescent="0.2">
      <c r="A2567" s="7" t="s">
        <v>177</v>
      </c>
      <c r="B2567" s="7" t="s">
        <v>393</v>
      </c>
      <c r="C2567" s="3"/>
      <c r="D2567" s="3" t="s">
        <v>526</v>
      </c>
      <c r="E2567" s="4"/>
      <c r="F2567" s="4" t="s">
        <v>122</v>
      </c>
      <c r="G2567" s="7"/>
      <c r="H2567" s="7"/>
      <c r="I2567" s="12"/>
      <c r="J2567" s="5" t="e">
        <f>SUM(SUMIFS(#REF!,#REF!,Planning[[#This Row],[Tipo de Tarea y especialidad]],#REF!,Planning[[#This Row],[Proyectos Reiwa]]),SUMIFS(#REF!,#REF!,Planning[[#This Row],[Tipo de Tarea y especialidad]],#REF!,Planning[[#This Row],[Proyectos]]))</f>
        <v>#REF!</v>
      </c>
      <c r="K2567" s="5" t="e">
        <f>Planning[[#This Row],[Horas Planificadas]]+Planning[[#This Row],[Horas ajustadas adicionales]]-Planning[[#This Row],[Horas utilizadas]]</f>
        <v>#REF!</v>
      </c>
      <c r="L2567" s="7"/>
      <c r="M2567" s="19" t="e">
        <f>Planning[[#This Row],[Saldo]]-Planning[[#This Row],[Saldo estimado]]</f>
        <v>#REF!</v>
      </c>
      <c r="N2567" s="60" t="e">
        <f>+SUMIFS(#REF!,#REF!,Planning[[#This Row],[Proyectos]],#REF!,Planning[[#This Row],[Tipo de Tarea y especialidad]])</f>
        <v>#REF!</v>
      </c>
      <c r="O2567" s="19">
        <f t="shared" ref="O2567:O2630" si="80">$L$4</f>
        <v>10</v>
      </c>
      <c r="P2567" s="19">
        <f t="shared" ref="P2567:P2630" si="81">$M$4</f>
        <v>2024</v>
      </c>
      <c r="Q25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67" s="19" t="str">
        <f>TEXT(Planning[[#This Row],[Mes]]*29,"mmmm")</f>
        <v>October</v>
      </c>
      <c r="S25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67" s="193"/>
      <c r="U2567" s="43">
        <f>IF(Planning[[#This Row],[Horas Planificadas]]&lt;&gt;0,+K2567/Planning[[#This Row],[Horas Planificadas]],0)</f>
        <v>0</v>
      </c>
      <c r="V2567" s="43">
        <f>IF(Planning[[#This Row],[Horas Planificadas]]&lt;&gt;0,Planning[[#This Row],[Horas utilizadas]]/Planning[[#This Row],[Horas Planificadas]],0)</f>
        <v>0</v>
      </c>
      <c r="W2567" s="44">
        <f>Planning[[#This Row],[Horas Planificadas]]+Planning[[#This Row],[Horas ajustadas adicionales]]</f>
        <v>0</v>
      </c>
      <c r="X2567" s="142"/>
    </row>
    <row r="2568" spans="1:24" x14ac:dyDescent="0.2">
      <c r="A2568" s="7" t="s">
        <v>177</v>
      </c>
      <c r="B2568" s="7" t="s">
        <v>393</v>
      </c>
      <c r="C2568" s="3"/>
      <c r="D2568" s="3" t="s">
        <v>526</v>
      </c>
      <c r="E2568" s="4"/>
      <c r="F2568" s="3" t="s">
        <v>123</v>
      </c>
      <c r="G2568" s="9"/>
      <c r="H2568" s="9"/>
      <c r="I2568" s="12"/>
      <c r="J2568" s="5" t="e">
        <f>SUM(SUMIFS(#REF!,#REF!,Planning[[#This Row],[Tipo de Tarea y especialidad]],#REF!,Planning[[#This Row],[Proyectos Reiwa]]),SUMIFS(#REF!,#REF!,Planning[[#This Row],[Tipo de Tarea y especialidad]],#REF!,Planning[[#This Row],[Proyectos]]))</f>
        <v>#REF!</v>
      </c>
      <c r="K2568" s="5" t="e">
        <f>Planning[[#This Row],[Horas Planificadas]]+Planning[[#This Row],[Horas ajustadas adicionales]]-Planning[[#This Row],[Horas utilizadas]]</f>
        <v>#REF!</v>
      </c>
      <c r="L2568" s="7"/>
      <c r="M2568" s="19" t="e">
        <f>Planning[[#This Row],[Saldo]]-Planning[[#This Row],[Saldo estimado]]</f>
        <v>#REF!</v>
      </c>
      <c r="N2568" s="60" t="e">
        <f>+SUMIFS(#REF!,#REF!,Planning[[#This Row],[Proyectos]],#REF!,Planning[[#This Row],[Tipo de Tarea y especialidad]])</f>
        <v>#REF!</v>
      </c>
      <c r="O2568" s="19">
        <f t="shared" si="80"/>
        <v>10</v>
      </c>
      <c r="P2568" s="19">
        <f t="shared" si="81"/>
        <v>2024</v>
      </c>
      <c r="Q25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68" s="19" t="str">
        <f>TEXT(Planning[[#This Row],[Mes]]*29,"mmmm")</f>
        <v>October</v>
      </c>
      <c r="S25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68" s="193"/>
      <c r="U2568" s="43">
        <f>IF(Planning[[#This Row],[Horas Planificadas]]&lt;&gt;0,+K2568/Planning[[#This Row],[Horas Planificadas]],0)</f>
        <v>0</v>
      </c>
      <c r="V2568" s="43">
        <f>IF(Planning[[#This Row],[Horas Planificadas]]&lt;&gt;0,Planning[[#This Row],[Horas utilizadas]]/Planning[[#This Row],[Horas Planificadas]],0)</f>
        <v>0</v>
      </c>
      <c r="W2568" s="44">
        <f>Planning[[#This Row],[Horas Planificadas]]+Planning[[#This Row],[Horas ajustadas adicionales]]</f>
        <v>0</v>
      </c>
      <c r="X2568" s="142"/>
    </row>
    <row r="2569" spans="1:24" x14ac:dyDescent="0.2">
      <c r="A2569" s="7" t="s">
        <v>177</v>
      </c>
      <c r="B2569" s="7" t="s">
        <v>393</v>
      </c>
      <c r="C2569" s="3"/>
      <c r="D2569" s="3" t="s">
        <v>526</v>
      </c>
      <c r="E2569" s="4"/>
      <c r="F2569" s="3" t="s">
        <v>124</v>
      </c>
      <c r="G2569" s="9"/>
      <c r="H2569" s="9">
        <v>240</v>
      </c>
      <c r="I2569" s="12"/>
      <c r="J2569" s="5" t="e">
        <f>SUM(SUMIFS(#REF!,#REF!,Planning[[#This Row],[Tipo de Tarea y especialidad]],#REF!,Planning[[#This Row],[Proyectos Reiwa]]),SUMIFS(#REF!,#REF!,Planning[[#This Row],[Tipo de Tarea y especialidad]],#REF!,Planning[[#This Row],[Proyectos]]))</f>
        <v>#REF!</v>
      </c>
      <c r="K2569" s="5" t="e">
        <f>Planning[[#This Row],[Horas Planificadas]]+Planning[[#This Row],[Horas ajustadas adicionales]]-Planning[[#This Row],[Horas utilizadas]]</f>
        <v>#REF!</v>
      </c>
      <c r="L2569" s="7">
        <v>0</v>
      </c>
      <c r="M2569" s="19" t="e">
        <f>Planning[[#This Row],[Saldo]]-Planning[[#This Row],[Saldo estimado]]</f>
        <v>#REF!</v>
      </c>
      <c r="N2569" s="60" t="e">
        <f>+SUMIFS(#REF!,#REF!,Planning[[#This Row],[Proyectos]],#REF!,Planning[[#This Row],[Tipo de Tarea y especialidad]])</f>
        <v>#REF!</v>
      </c>
      <c r="O2569" s="19">
        <f t="shared" si="80"/>
        <v>10</v>
      </c>
      <c r="P2569" s="19">
        <f t="shared" si="81"/>
        <v>2024</v>
      </c>
      <c r="Q25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69" s="19" t="str">
        <f>TEXT(Planning[[#This Row],[Mes]]*29,"mmmm")</f>
        <v>October</v>
      </c>
      <c r="S25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69" s="193"/>
      <c r="U2569" s="43" t="e">
        <f>IF(Planning[[#This Row],[Horas Planificadas]]&lt;&gt;0,+K2569/Planning[[#This Row],[Horas Planificadas]],0)</f>
        <v>#REF!</v>
      </c>
      <c r="V2569" s="43" t="e">
        <f>IF(Planning[[#This Row],[Horas Planificadas]]&lt;&gt;0,Planning[[#This Row],[Horas utilizadas]]/Planning[[#This Row],[Horas Planificadas]],0)</f>
        <v>#REF!</v>
      </c>
      <c r="W2569" s="44">
        <f>Planning[[#This Row],[Horas Planificadas]]+Planning[[#This Row],[Horas ajustadas adicionales]]</f>
        <v>240</v>
      </c>
      <c r="X2569" s="142"/>
    </row>
    <row r="2570" spans="1:24" x14ac:dyDescent="0.2">
      <c r="A2570" s="7" t="s">
        <v>177</v>
      </c>
      <c r="B2570" s="7" t="s">
        <v>393</v>
      </c>
      <c r="C2570" s="3"/>
      <c r="D2570" s="3" t="s">
        <v>526</v>
      </c>
      <c r="E2570" s="4"/>
      <c r="F2570" s="3" t="s">
        <v>125</v>
      </c>
      <c r="G2570" s="9"/>
      <c r="H2570" s="9"/>
      <c r="I2570" s="12"/>
      <c r="J2570" s="5" t="e">
        <f>SUM(SUMIFS(#REF!,#REF!,Planning[[#This Row],[Tipo de Tarea y especialidad]],#REF!,Planning[[#This Row],[Proyectos Reiwa]]),SUMIFS(#REF!,#REF!,Planning[[#This Row],[Tipo de Tarea y especialidad]],#REF!,Planning[[#This Row],[Proyectos]]))</f>
        <v>#REF!</v>
      </c>
      <c r="K2570" s="5" t="e">
        <f>Planning[[#This Row],[Horas Planificadas]]+Planning[[#This Row],[Horas ajustadas adicionales]]-Planning[[#This Row],[Horas utilizadas]]</f>
        <v>#REF!</v>
      </c>
      <c r="L2570" s="7">
        <v>0</v>
      </c>
      <c r="M2570" s="19" t="e">
        <f>Planning[[#This Row],[Saldo]]-Planning[[#This Row],[Saldo estimado]]</f>
        <v>#REF!</v>
      </c>
      <c r="N2570" s="60" t="e">
        <f>+SUMIFS(#REF!,#REF!,Planning[[#This Row],[Proyectos]],#REF!,Planning[[#This Row],[Tipo de Tarea y especialidad]])</f>
        <v>#REF!</v>
      </c>
      <c r="O2570" s="19">
        <f t="shared" si="80"/>
        <v>10</v>
      </c>
      <c r="P2570" s="19">
        <f t="shared" si="81"/>
        <v>2024</v>
      </c>
      <c r="Q25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70" s="19" t="str">
        <f>TEXT(Planning[[#This Row],[Mes]]*29,"mmmm")</f>
        <v>October</v>
      </c>
      <c r="S25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70" s="193"/>
      <c r="U2570" s="43">
        <f>IF(Planning[[#This Row],[Horas Planificadas]]&lt;&gt;0,+K2570/Planning[[#This Row],[Horas Planificadas]],0)</f>
        <v>0</v>
      </c>
      <c r="V2570" s="43">
        <f>IF(Planning[[#This Row],[Horas Planificadas]]&lt;&gt;0,Planning[[#This Row],[Horas utilizadas]]/Planning[[#This Row],[Horas Planificadas]],0)</f>
        <v>0</v>
      </c>
      <c r="W2570" s="44">
        <f>Planning[[#This Row],[Horas Planificadas]]+Planning[[#This Row],[Horas ajustadas adicionales]]</f>
        <v>0</v>
      </c>
      <c r="X2570" s="142"/>
    </row>
    <row r="2571" spans="1:24" x14ac:dyDescent="0.2">
      <c r="A2571" s="7" t="s">
        <v>177</v>
      </c>
      <c r="B2571" s="7" t="s">
        <v>393</v>
      </c>
      <c r="C2571" s="3"/>
      <c r="D2571" s="3" t="s">
        <v>526</v>
      </c>
      <c r="E2571" s="4"/>
      <c r="F2571" s="3" t="s">
        <v>126</v>
      </c>
      <c r="G2571" s="9"/>
      <c r="H2571" s="12"/>
      <c r="I2571" s="12"/>
      <c r="J2571" s="5" t="e">
        <f>SUM(SUMIFS(#REF!,#REF!,Planning[[#This Row],[Tipo de Tarea y especialidad]],#REF!,Planning[[#This Row],[Proyectos Reiwa]]),SUMIFS(#REF!,#REF!,Planning[[#This Row],[Tipo de Tarea y especialidad]],#REF!,Planning[[#This Row],[Proyectos]]))</f>
        <v>#REF!</v>
      </c>
      <c r="K2571" s="27" t="e">
        <f>Planning[[#This Row],[Horas Planificadas]]+Planning[[#This Row],[Horas ajustadas adicionales]]-Planning[[#This Row],[Horas utilizadas]]</f>
        <v>#REF!</v>
      </c>
      <c r="L2571" s="7"/>
      <c r="M2571" s="34" t="e">
        <f>Planning[[#This Row],[Saldo]]-Planning[[#This Row],[Saldo estimado]]</f>
        <v>#REF!</v>
      </c>
      <c r="N2571" s="62" t="e">
        <f>+SUMIFS(#REF!,#REF!,Planning[[#This Row],[Proyectos]],#REF!,Planning[[#This Row],[Tipo de Tarea y especialidad]])</f>
        <v>#REF!</v>
      </c>
      <c r="O2571" s="34">
        <f t="shared" si="80"/>
        <v>10</v>
      </c>
      <c r="P2571" s="34">
        <f t="shared" si="81"/>
        <v>2024</v>
      </c>
      <c r="Q25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71" s="19" t="str">
        <f>TEXT(Planning[[#This Row],[Mes]]*29,"mmmm")</f>
        <v>October</v>
      </c>
      <c r="S25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71" s="193"/>
      <c r="U2571" s="43">
        <f>IF(Planning[[#This Row],[Horas Planificadas]]&lt;&gt;0,+K2571/Planning[[#This Row],[Horas Planificadas]],0)</f>
        <v>0</v>
      </c>
      <c r="V2571" s="43">
        <f>IF(Planning[[#This Row],[Horas Planificadas]]&lt;&gt;0,Planning[[#This Row],[Horas utilizadas]]/Planning[[#This Row],[Horas Planificadas]],0)</f>
        <v>0</v>
      </c>
      <c r="W2571" s="44">
        <f>Planning[[#This Row],[Horas Planificadas]]+Planning[[#This Row],[Horas ajustadas adicionales]]</f>
        <v>0</v>
      </c>
      <c r="X2571" s="142"/>
    </row>
    <row r="2572" spans="1:24" x14ac:dyDescent="0.2">
      <c r="A2572" s="7" t="s">
        <v>177</v>
      </c>
      <c r="B2572" s="7" t="s">
        <v>393</v>
      </c>
      <c r="C2572" s="3"/>
      <c r="D2572" s="3" t="s">
        <v>526</v>
      </c>
      <c r="E2572" s="4"/>
      <c r="F2572" s="3" t="s">
        <v>127</v>
      </c>
      <c r="G2572" s="9"/>
      <c r="H2572" s="9"/>
      <c r="I2572" s="12"/>
      <c r="J2572" s="5" t="e">
        <f>SUM(SUMIFS(#REF!,#REF!,Planning[[#This Row],[Tipo de Tarea y especialidad]],#REF!,Planning[[#This Row],[Proyectos Reiwa]]),SUMIFS(#REF!,#REF!,Planning[[#This Row],[Tipo de Tarea y especialidad]],#REF!,Planning[[#This Row],[Proyectos]]))</f>
        <v>#REF!</v>
      </c>
      <c r="K2572" s="5" t="e">
        <f>Planning[[#This Row],[Horas Planificadas]]+Planning[[#This Row],[Horas ajustadas adicionales]]-Planning[[#This Row],[Horas utilizadas]]</f>
        <v>#REF!</v>
      </c>
      <c r="L2572" s="7"/>
      <c r="M2572" s="19" t="e">
        <f>Planning[[#This Row],[Saldo]]-Planning[[#This Row],[Saldo estimado]]</f>
        <v>#REF!</v>
      </c>
      <c r="N2572" s="60" t="e">
        <f>+SUMIFS(#REF!,#REF!,Planning[[#This Row],[Proyectos]],#REF!,Planning[[#This Row],[Tipo de Tarea y especialidad]])</f>
        <v>#REF!</v>
      </c>
      <c r="O2572" s="19">
        <f t="shared" si="80"/>
        <v>10</v>
      </c>
      <c r="P2572" s="19">
        <f t="shared" si="81"/>
        <v>2024</v>
      </c>
      <c r="Q25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72" s="19" t="str">
        <f>TEXT(Planning[[#This Row],[Mes]]*29,"mmmm")</f>
        <v>October</v>
      </c>
      <c r="S25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72" s="193"/>
      <c r="U2572" s="43">
        <f>IF(Planning[[#This Row],[Horas Planificadas]]&lt;&gt;0,+K2572/Planning[[#This Row],[Horas Planificadas]],0)</f>
        <v>0</v>
      </c>
      <c r="V2572" s="43">
        <f>IF(Planning[[#This Row],[Horas Planificadas]]&lt;&gt;0,Planning[[#This Row],[Horas utilizadas]]/Planning[[#This Row],[Horas Planificadas]],0)</f>
        <v>0</v>
      </c>
      <c r="W2572" s="44">
        <f>Planning[[#This Row],[Horas Planificadas]]+Planning[[#This Row],[Horas ajustadas adicionales]]</f>
        <v>0</v>
      </c>
      <c r="X2572" s="142"/>
    </row>
    <row r="2573" spans="1:24" x14ac:dyDescent="0.2">
      <c r="A2573" s="7" t="s">
        <v>177</v>
      </c>
      <c r="B2573" s="7" t="s">
        <v>393</v>
      </c>
      <c r="C2573" s="3"/>
      <c r="D2573" s="3" t="s">
        <v>526</v>
      </c>
      <c r="E2573" s="4"/>
      <c r="F2573" s="3" t="s">
        <v>128</v>
      </c>
      <c r="G2573" s="9"/>
      <c r="H2573" s="9"/>
      <c r="I2573" s="12"/>
      <c r="J2573" s="5" t="e">
        <f>SUM(SUMIFS(#REF!,#REF!,Planning[[#This Row],[Tipo de Tarea y especialidad]],#REF!,Planning[[#This Row],[Proyectos Reiwa]]),SUMIFS(#REF!,#REF!,Planning[[#This Row],[Tipo de Tarea y especialidad]],#REF!,Planning[[#This Row],[Proyectos]]))</f>
        <v>#REF!</v>
      </c>
      <c r="K2573" s="5" t="e">
        <f>Planning[[#This Row],[Horas Planificadas]]+Planning[[#This Row],[Horas ajustadas adicionales]]-Planning[[#This Row],[Horas utilizadas]]</f>
        <v>#REF!</v>
      </c>
      <c r="L2573" s="7">
        <v>0</v>
      </c>
      <c r="M2573" s="19" t="e">
        <f>Planning[[#This Row],[Saldo]]-Planning[[#This Row],[Saldo estimado]]</f>
        <v>#REF!</v>
      </c>
      <c r="N2573" s="60" t="e">
        <f>+SUMIFS(#REF!,#REF!,Planning[[#This Row],[Proyectos]],#REF!,Planning[[#This Row],[Tipo de Tarea y especialidad]])</f>
        <v>#REF!</v>
      </c>
      <c r="O2573" s="19">
        <f t="shared" si="80"/>
        <v>10</v>
      </c>
      <c r="P2573" s="19">
        <f t="shared" si="81"/>
        <v>2024</v>
      </c>
      <c r="Q25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73" s="19" t="str">
        <f>TEXT(Planning[[#This Row],[Mes]]*29,"mmmm")</f>
        <v>October</v>
      </c>
      <c r="S25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73" s="193"/>
      <c r="U2573" s="43">
        <f>IF(Planning[[#This Row],[Horas Planificadas]]&lt;&gt;0,+K2573/Planning[[#This Row],[Horas Planificadas]],0)</f>
        <v>0</v>
      </c>
      <c r="V2573" s="43">
        <f>IF(Planning[[#This Row],[Horas Planificadas]]&lt;&gt;0,Planning[[#This Row],[Horas utilizadas]]/Planning[[#This Row],[Horas Planificadas]],0)</f>
        <v>0</v>
      </c>
      <c r="W2573" s="44">
        <f>Planning[[#This Row],[Horas Planificadas]]+Planning[[#This Row],[Horas ajustadas adicionales]]</f>
        <v>0</v>
      </c>
      <c r="X2573" s="142"/>
    </row>
    <row r="2574" spans="1:24" x14ac:dyDescent="0.2">
      <c r="A2574" s="7" t="s">
        <v>177</v>
      </c>
      <c r="B2574" s="7" t="s">
        <v>393</v>
      </c>
      <c r="C2574" s="3"/>
      <c r="D2574" s="3" t="s">
        <v>526</v>
      </c>
      <c r="E2574" s="4" t="s">
        <v>31</v>
      </c>
      <c r="F2574" s="3" t="s">
        <v>31</v>
      </c>
      <c r="G2574" s="9">
        <v>80</v>
      </c>
      <c r="H2574" s="18">
        <v>80</v>
      </c>
      <c r="I2574" s="18"/>
      <c r="J2574" s="14" t="e">
        <f>+SUMIFS(#REF!,#REF!,Planning[[#This Row],[Tarifa]],#REF!,Planning[[#This Row],[Proyectos]])</f>
        <v>#REF!</v>
      </c>
      <c r="K2574" s="24" t="e">
        <f>Planning[[#This Row],[Horas Planificadas]]+Planning[[#This Row],[Horas ajustadas adicionales]]-Planning[[#This Row],[Horas utilizadas]]</f>
        <v>#REF!</v>
      </c>
      <c r="L2574" s="15">
        <v>0</v>
      </c>
      <c r="M2574" s="16" t="e">
        <f>Planning[[#This Row],[Saldo]]-Planning[[#This Row],[Saldo estimado]]</f>
        <v>#REF!</v>
      </c>
      <c r="N2574" s="60" t="e">
        <f>+SUMIFS(#REF!,#REF!,Planning[[#This Row],[Proyectos]],#REF!,Planning[[#This Row],[Tipo de Tarea y especialidad]])</f>
        <v>#REF!</v>
      </c>
      <c r="O2574" s="16">
        <f t="shared" si="80"/>
        <v>10</v>
      </c>
      <c r="P2574" s="16">
        <f t="shared" si="81"/>
        <v>2024</v>
      </c>
      <c r="Q2574" s="16" t="e">
        <f>+SUMIFS(#REF!,#REF!,Planning[[#This Row],[Tarifa]],#REF!,Planning[[#This Row],[Proyectos]],#REF!,Planning[[#This Row],[Mes]],#REF!,Planning[[#This Row],[Año]])</f>
        <v>#REF!</v>
      </c>
      <c r="R2574" s="16" t="str">
        <f>TEXT(Planning[[#This Row],[Mes]]*29,"mmmm")</f>
        <v>October</v>
      </c>
      <c r="S25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74" s="193"/>
      <c r="U2574" s="43" t="e">
        <f>IF(Planning[[#This Row],[Horas Planificadas]]&lt;&gt;0,+K2574/Planning[[#This Row],[Horas Planificadas]],0)</f>
        <v>#REF!</v>
      </c>
      <c r="V2574" s="43" t="e">
        <f>IF(Planning[[#This Row],[Horas Planificadas]]&lt;&gt;0,Planning[[#This Row],[Horas utilizadas]]/Planning[[#This Row],[Horas Planificadas]],0)</f>
        <v>#REF!</v>
      </c>
      <c r="W2574" s="44">
        <f>Planning[[#This Row],[Horas Planificadas]]+Planning[[#This Row],[Horas ajustadas adicionales]]</f>
        <v>80</v>
      </c>
      <c r="X2574" s="142"/>
    </row>
    <row r="2575" spans="1:24" ht="22.5" x14ac:dyDescent="0.2">
      <c r="A2575" s="7" t="s">
        <v>177</v>
      </c>
      <c r="B2575" s="7" t="s">
        <v>393</v>
      </c>
      <c r="C2575" s="3"/>
      <c r="D2575" s="3" t="s">
        <v>526</v>
      </c>
      <c r="E2575" s="4" t="s">
        <v>32</v>
      </c>
      <c r="F2575" s="3"/>
      <c r="G2575" s="9">
        <v>160</v>
      </c>
      <c r="H2575" s="25">
        <f>SUM(H2576:H2578)</f>
        <v>160</v>
      </c>
      <c r="I2575" s="14"/>
      <c r="J2575" s="14" t="e">
        <f>SUM(J2576:J2578)</f>
        <v>#REF!</v>
      </c>
      <c r="K2575" s="18" t="e">
        <f>SUM(K2576:K2578)</f>
        <v>#REF!</v>
      </c>
      <c r="L2575" s="15">
        <f>SUM(L2576:L2578)</f>
        <v>0</v>
      </c>
      <c r="M2575" s="16" t="e">
        <f>SUM(M2576:M2578)</f>
        <v>#REF!</v>
      </c>
      <c r="N2575" s="60" t="e">
        <f>+SUMIFS(#REF!,#REF!,Planning[[#This Row],[Proyectos]],#REF!,Planning[[#This Row],[Tipo de Tarea y especialidad]])</f>
        <v>#REF!</v>
      </c>
      <c r="O2575" s="16">
        <f t="shared" si="80"/>
        <v>10</v>
      </c>
      <c r="P2575" s="16">
        <f t="shared" si="81"/>
        <v>2024</v>
      </c>
      <c r="Q2575" s="16" t="e">
        <f>SUM(Q2576:Q2578)</f>
        <v>#REF!</v>
      </c>
      <c r="R2575" s="16" t="str">
        <f>TEXT(Planning[[#This Row],[Mes]]*29,"mmmm")</f>
        <v>October</v>
      </c>
      <c r="S25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75" s="193"/>
      <c r="U2575" s="43" t="e">
        <f>IF(Planning[[#This Row],[Horas Planificadas]]&lt;&gt;0,+K2575/Planning[[#This Row],[Horas Planificadas]],0)</f>
        <v>#REF!</v>
      </c>
      <c r="V2575" s="43" t="e">
        <f>IF(Planning[[#This Row],[Horas Planificadas]]&lt;&gt;0,Planning[[#This Row],[Horas utilizadas]]/Planning[[#This Row],[Horas Planificadas]],0)</f>
        <v>#REF!</v>
      </c>
      <c r="W2575" s="44">
        <f>Planning[[#This Row],[Horas Planificadas]]+Planning[[#This Row],[Horas ajustadas adicionales]]</f>
        <v>160</v>
      </c>
      <c r="X2575" s="142"/>
    </row>
    <row r="2576" spans="1:24" x14ac:dyDescent="0.2">
      <c r="A2576" s="7" t="s">
        <v>177</v>
      </c>
      <c r="B2576" s="7" t="s">
        <v>393</v>
      </c>
      <c r="C2576" s="3"/>
      <c r="D2576" s="3" t="s">
        <v>526</v>
      </c>
      <c r="E2576" s="4"/>
      <c r="F2576" s="3" t="s">
        <v>129</v>
      </c>
      <c r="G2576" s="9"/>
      <c r="H2576" s="9"/>
      <c r="I2576" s="12"/>
      <c r="J2576" s="5" t="e">
        <f>SUM(SUMIFS(#REF!,#REF!,Planning[[#This Row],[Tipo de Tarea y especialidad]],#REF!,Planning[[#This Row],[Proyectos Reiwa]]),SUMIFS(#REF!,#REF!,Planning[[#This Row],[Tipo de Tarea y especialidad]],#REF!,Planning[[#This Row],[Proyectos]]))</f>
        <v>#REF!</v>
      </c>
      <c r="K2576" s="5" t="e">
        <f>Planning[[#This Row],[Horas Planificadas]]+Planning[[#This Row],[Horas ajustadas adicionales]]-Planning[[#This Row],[Horas utilizadas]]</f>
        <v>#REF!</v>
      </c>
      <c r="L2576" s="7"/>
      <c r="M2576" s="19" t="e">
        <f>Planning[[#This Row],[Saldo]]-Planning[[#This Row],[Saldo estimado]]</f>
        <v>#REF!</v>
      </c>
      <c r="N2576" s="60" t="e">
        <f>+SUMIFS(#REF!,#REF!,Planning[[#This Row],[Proyectos]],#REF!,Planning[[#This Row],[Tipo de Tarea y especialidad]])</f>
        <v>#REF!</v>
      </c>
      <c r="O2576" s="19">
        <f t="shared" si="80"/>
        <v>10</v>
      </c>
      <c r="P2576" s="19">
        <f t="shared" si="81"/>
        <v>2024</v>
      </c>
      <c r="Q25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76" s="19" t="str">
        <f>TEXT(Planning[[#This Row],[Mes]]*29,"mmmm")</f>
        <v>October</v>
      </c>
      <c r="S25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76" s="193"/>
      <c r="U2576" s="43">
        <f>IF(Planning[[#This Row],[Horas Planificadas]]&lt;&gt;0,+K2576/Planning[[#This Row],[Horas Planificadas]],0)</f>
        <v>0</v>
      </c>
      <c r="V2576" s="43">
        <f>IF(Planning[[#This Row],[Horas Planificadas]]&lt;&gt;0,Planning[[#This Row],[Horas utilizadas]]/Planning[[#This Row],[Horas Planificadas]],0)</f>
        <v>0</v>
      </c>
      <c r="W2576" s="44">
        <f>Planning[[#This Row],[Horas Planificadas]]+Planning[[#This Row],[Horas ajustadas adicionales]]</f>
        <v>0</v>
      </c>
      <c r="X2576" s="142"/>
    </row>
    <row r="2577" spans="1:24" x14ac:dyDescent="0.2">
      <c r="A2577" s="7" t="s">
        <v>177</v>
      </c>
      <c r="B2577" s="7" t="s">
        <v>393</v>
      </c>
      <c r="C2577" s="3"/>
      <c r="D2577" s="3" t="s">
        <v>526</v>
      </c>
      <c r="E2577" s="4"/>
      <c r="F2577" s="3" t="s">
        <v>130</v>
      </c>
      <c r="G2577" s="9"/>
      <c r="H2577" s="9"/>
      <c r="I2577" s="12"/>
      <c r="J2577" s="5" t="e">
        <f>SUM(SUMIFS(#REF!,#REF!,Planning[[#This Row],[Tipo de Tarea y especialidad]],#REF!,Planning[[#This Row],[Proyectos Reiwa]]),SUMIFS(#REF!,#REF!,Planning[[#This Row],[Tipo de Tarea y especialidad]],#REF!,Planning[[#This Row],[Proyectos]]))</f>
        <v>#REF!</v>
      </c>
      <c r="K2577" s="5" t="e">
        <f>Planning[[#This Row],[Horas Planificadas]]+Planning[[#This Row],[Horas ajustadas adicionales]]-Planning[[#This Row],[Horas utilizadas]]</f>
        <v>#REF!</v>
      </c>
      <c r="L2577" s="7"/>
      <c r="M2577" s="19" t="e">
        <f>Planning[[#This Row],[Saldo]]-Planning[[#This Row],[Saldo estimado]]</f>
        <v>#REF!</v>
      </c>
      <c r="N2577" s="60" t="e">
        <f>+SUMIFS(#REF!,#REF!,Planning[[#This Row],[Proyectos]],#REF!,Planning[[#This Row],[Tipo de Tarea y especialidad]])</f>
        <v>#REF!</v>
      </c>
      <c r="O2577" s="19">
        <f t="shared" si="80"/>
        <v>10</v>
      </c>
      <c r="P2577" s="19">
        <f t="shared" si="81"/>
        <v>2024</v>
      </c>
      <c r="Q25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77" s="19" t="str">
        <f>TEXT(Planning[[#This Row],[Mes]]*29,"mmmm")</f>
        <v>October</v>
      </c>
      <c r="S25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77" s="193"/>
      <c r="U2577" s="43">
        <f>IF(Planning[[#This Row],[Horas Planificadas]]&lt;&gt;0,+K2577/Planning[[#This Row],[Horas Planificadas]],0)</f>
        <v>0</v>
      </c>
      <c r="V2577" s="43">
        <f>IF(Planning[[#This Row],[Horas Planificadas]]&lt;&gt;0,Planning[[#This Row],[Horas utilizadas]]/Planning[[#This Row],[Horas Planificadas]],0)</f>
        <v>0</v>
      </c>
      <c r="W2577" s="44">
        <f>Planning[[#This Row],[Horas Planificadas]]+Planning[[#This Row],[Horas ajustadas adicionales]]</f>
        <v>0</v>
      </c>
      <c r="X2577" s="142"/>
    </row>
    <row r="2578" spans="1:24" x14ac:dyDescent="0.2">
      <c r="A2578" s="7" t="s">
        <v>177</v>
      </c>
      <c r="B2578" s="7" t="s">
        <v>393</v>
      </c>
      <c r="C2578" s="3"/>
      <c r="D2578" s="3" t="s">
        <v>526</v>
      </c>
      <c r="E2578" s="4"/>
      <c r="F2578" s="3" t="s">
        <v>131</v>
      </c>
      <c r="G2578" s="9"/>
      <c r="H2578" s="9">
        <v>160</v>
      </c>
      <c r="I2578" s="12"/>
      <c r="J2578" s="5" t="e">
        <f>SUM(SUMIFS(#REF!,#REF!,Planning[[#This Row],[Tipo de Tarea y especialidad]],#REF!,Planning[[#This Row],[Proyectos Reiwa]]),SUMIFS(#REF!,#REF!,Planning[[#This Row],[Tipo de Tarea y especialidad]],#REF!,Planning[[#This Row],[Proyectos]]))</f>
        <v>#REF!</v>
      </c>
      <c r="K2578" s="5" t="e">
        <f>Planning[[#This Row],[Horas Planificadas]]+Planning[[#This Row],[Horas ajustadas adicionales]]-Planning[[#This Row],[Horas utilizadas]]</f>
        <v>#REF!</v>
      </c>
      <c r="L2578" s="7">
        <v>0</v>
      </c>
      <c r="M2578" s="19" t="e">
        <f>Planning[[#This Row],[Saldo]]-Planning[[#This Row],[Saldo estimado]]</f>
        <v>#REF!</v>
      </c>
      <c r="N2578" s="60" t="e">
        <f>+SUMIFS(#REF!,#REF!,Planning[[#This Row],[Proyectos]],#REF!,Planning[[#This Row],[Tipo de Tarea y especialidad]])</f>
        <v>#REF!</v>
      </c>
      <c r="O2578" s="19">
        <f t="shared" si="80"/>
        <v>10</v>
      </c>
      <c r="P2578" s="19">
        <f t="shared" si="81"/>
        <v>2024</v>
      </c>
      <c r="Q25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78" s="19" t="str">
        <f>TEXT(Planning[[#This Row],[Mes]]*29,"mmmm")</f>
        <v>October</v>
      </c>
      <c r="S25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78" s="193"/>
      <c r="U2578" s="43" t="e">
        <f>IF(Planning[[#This Row],[Horas Planificadas]]&lt;&gt;0,+K2578/Planning[[#This Row],[Horas Planificadas]],0)</f>
        <v>#REF!</v>
      </c>
      <c r="V2578" s="43" t="e">
        <f>IF(Planning[[#This Row],[Horas Planificadas]]&lt;&gt;0,Planning[[#This Row],[Horas utilizadas]]/Planning[[#This Row],[Horas Planificadas]],0)</f>
        <v>#REF!</v>
      </c>
      <c r="W2578" s="44">
        <f>Planning[[#This Row],[Horas Planificadas]]+Planning[[#This Row],[Horas ajustadas adicionales]]</f>
        <v>160</v>
      </c>
      <c r="X2578" s="142"/>
    </row>
    <row r="2579" spans="1:24" ht="12.75" customHeight="1" x14ac:dyDescent="0.2">
      <c r="A2579" s="7" t="s">
        <v>204</v>
      </c>
      <c r="B2579" s="7" t="s">
        <v>288</v>
      </c>
      <c r="C2579" s="3"/>
      <c r="D2579" s="3" t="s">
        <v>528</v>
      </c>
      <c r="E2579" s="4" t="s">
        <v>28</v>
      </c>
      <c r="F2579" s="3"/>
      <c r="G2579" s="9">
        <v>1066</v>
      </c>
      <c r="H2579" s="25">
        <f>SUM(H2580:H2581)</f>
        <v>1093</v>
      </c>
      <c r="I2579" s="14"/>
      <c r="J2579" s="14" t="e">
        <f>SUM(J2580:J2581)</f>
        <v>#REF!</v>
      </c>
      <c r="K2579" s="18" t="e">
        <f>SUM(K2580:K2581)</f>
        <v>#REF!</v>
      </c>
      <c r="L2579" s="15">
        <f>SUM(L2580:L2581)</f>
        <v>0</v>
      </c>
      <c r="M2579" s="28" t="e">
        <f>SUM(M2580:M2581)</f>
        <v>#REF!</v>
      </c>
      <c r="N2579" s="61" t="e">
        <f>+SUMIFS(#REF!,#REF!,Planning[[#This Row],[Proyectos]],#REF!,Planning[[#This Row],[Tipo de Tarea y especialidad]])</f>
        <v>#REF!</v>
      </c>
      <c r="O2579" s="28">
        <f t="shared" si="80"/>
        <v>10</v>
      </c>
      <c r="P2579" s="28">
        <f t="shared" si="81"/>
        <v>2024</v>
      </c>
      <c r="Q2579" s="28" t="e">
        <f>SUM(Q2580:Q2581)</f>
        <v>#REF!</v>
      </c>
      <c r="R2579" s="28" t="str">
        <f>TEXT(Planning[[#This Row],[Mes]]*29,"mmmm")</f>
        <v>October</v>
      </c>
      <c r="S25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79" s="207" t="s">
        <v>529</v>
      </c>
      <c r="U2579" s="43" t="e">
        <f>IF(Planning[[#This Row],[Horas Planificadas]]&lt;&gt;0,+K2579/Planning[[#This Row],[Horas Planificadas]],0)</f>
        <v>#REF!</v>
      </c>
      <c r="V2579" s="43" t="e">
        <f>IF(Planning[[#This Row],[Horas Planificadas]]&lt;&gt;0,Planning[[#This Row],[Horas utilizadas]]/Planning[[#This Row],[Horas Planificadas]],0)</f>
        <v>#REF!</v>
      </c>
      <c r="W2579" s="44">
        <f>Planning[[#This Row],[Horas Planificadas]]+Planning[[#This Row],[Horas ajustadas adicionales]]</f>
        <v>1093</v>
      </c>
      <c r="X2579" s="142"/>
    </row>
    <row r="2580" spans="1:24" x14ac:dyDescent="0.2">
      <c r="A2580" s="7" t="s">
        <v>204</v>
      </c>
      <c r="B2580" s="7" t="s">
        <v>288</v>
      </c>
      <c r="C2580" s="3"/>
      <c r="D2580" s="3" t="s">
        <v>528</v>
      </c>
      <c r="E2580" s="4"/>
      <c r="F2580" s="3" t="s">
        <v>120</v>
      </c>
      <c r="G2580" s="9"/>
      <c r="H2580" s="9">
        <v>580</v>
      </c>
      <c r="I2580" s="12"/>
      <c r="J2580" s="5" t="e">
        <f>SUM(SUMIFS(#REF!,#REF!,Planning[[#This Row],[Tipo de Tarea y especialidad]],#REF!,Planning[[#This Row],[Proyectos Reiwa]]),SUMIFS(#REF!,#REF!,Planning[[#This Row],[Tipo de Tarea y especialidad]],#REF!,Planning[[#This Row],[Proyectos]]))</f>
        <v>#REF!</v>
      </c>
      <c r="K2580" s="5" t="e">
        <f>Planning[[#This Row],[Horas Planificadas]]+Planning[[#This Row],[Horas ajustadas adicionales]]-Planning[[#This Row],[Horas utilizadas]]</f>
        <v>#REF!</v>
      </c>
      <c r="L2580" s="7">
        <v>0</v>
      </c>
      <c r="M2580" s="19" t="e">
        <f>Planning[[#This Row],[Saldo]]-Planning[[#This Row],[Saldo estimado]]</f>
        <v>#REF!</v>
      </c>
      <c r="N2580" s="60" t="e">
        <f>+SUMIFS(#REF!,#REF!,Planning[[#This Row],[Proyectos]],#REF!,Planning[[#This Row],[Tipo de Tarea y especialidad]])</f>
        <v>#REF!</v>
      </c>
      <c r="O2580" s="19">
        <f t="shared" si="80"/>
        <v>10</v>
      </c>
      <c r="P2580" s="19">
        <f t="shared" si="81"/>
        <v>2024</v>
      </c>
      <c r="Q25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80" s="19" t="str">
        <f>TEXT(Planning[[#This Row],[Mes]]*29,"mmmm")</f>
        <v>October</v>
      </c>
      <c r="S25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80" s="208"/>
      <c r="U2580" s="43" t="e">
        <f>IF(Planning[[#This Row],[Horas Planificadas]]&lt;&gt;0,+K2580/Planning[[#This Row],[Horas Planificadas]],0)</f>
        <v>#REF!</v>
      </c>
      <c r="V2580" s="43" t="e">
        <f>IF(Planning[[#This Row],[Horas Planificadas]]&lt;&gt;0,Planning[[#This Row],[Horas utilizadas]]/Planning[[#This Row],[Horas Planificadas]],0)</f>
        <v>#REF!</v>
      </c>
      <c r="W2580" s="44">
        <f>Planning[[#This Row],[Horas Planificadas]]+Planning[[#This Row],[Horas ajustadas adicionales]]</f>
        <v>580</v>
      </c>
      <c r="X2580" s="142"/>
    </row>
    <row r="2581" spans="1:24" x14ac:dyDescent="0.2">
      <c r="A2581" s="7" t="s">
        <v>204</v>
      </c>
      <c r="B2581" s="7" t="s">
        <v>288</v>
      </c>
      <c r="C2581" s="3"/>
      <c r="D2581" s="3" t="s">
        <v>528</v>
      </c>
      <c r="E2581" s="4"/>
      <c r="F2581" s="3" t="s">
        <v>121</v>
      </c>
      <c r="G2581" s="9"/>
      <c r="H2581" s="9">
        <v>513</v>
      </c>
      <c r="I2581" s="12"/>
      <c r="J2581" s="5" t="e">
        <f>SUM(SUMIFS(#REF!,#REF!,Planning[[#This Row],[Tipo de Tarea y especialidad]],#REF!,Planning[[#This Row],[Proyectos Reiwa]]),SUMIFS(#REF!,#REF!,Planning[[#This Row],[Tipo de Tarea y especialidad]],#REF!,Planning[[#This Row],[Proyectos]]))</f>
        <v>#REF!</v>
      </c>
      <c r="K2581" s="5" t="e">
        <f>Planning[[#This Row],[Horas Planificadas]]+Planning[[#This Row],[Horas ajustadas adicionales]]-Planning[[#This Row],[Horas utilizadas]]</f>
        <v>#REF!</v>
      </c>
      <c r="L2581" s="7">
        <v>0</v>
      </c>
      <c r="M2581" s="19" t="e">
        <f>Planning[[#This Row],[Saldo]]-Planning[[#This Row],[Saldo estimado]]</f>
        <v>#REF!</v>
      </c>
      <c r="N2581" s="60" t="e">
        <f>+SUMIFS(#REF!,#REF!,Planning[[#This Row],[Proyectos]],#REF!,Planning[[#This Row],[Tipo de Tarea y especialidad]])</f>
        <v>#REF!</v>
      </c>
      <c r="O2581" s="19">
        <f t="shared" si="80"/>
        <v>10</v>
      </c>
      <c r="P2581" s="19">
        <f t="shared" si="81"/>
        <v>2024</v>
      </c>
      <c r="Q25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81" s="19" t="str">
        <f>TEXT(Planning[[#This Row],[Mes]]*29,"mmmm")</f>
        <v>October</v>
      </c>
      <c r="S25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81" s="208"/>
      <c r="U2581" s="43" t="e">
        <f>IF(Planning[[#This Row],[Horas Planificadas]]&lt;&gt;0,+K2581/Planning[[#This Row],[Horas Planificadas]],0)</f>
        <v>#REF!</v>
      </c>
      <c r="V2581" s="43" t="e">
        <f>IF(Planning[[#This Row],[Horas Planificadas]]&lt;&gt;0,Planning[[#This Row],[Horas utilizadas]]/Planning[[#This Row],[Horas Planificadas]],0)</f>
        <v>#REF!</v>
      </c>
      <c r="W2581" s="44">
        <f>Planning[[#This Row],[Horas Planificadas]]+Planning[[#This Row],[Horas ajustadas adicionales]]</f>
        <v>513</v>
      </c>
      <c r="X2581" s="142"/>
    </row>
    <row r="2582" spans="1:24" x14ac:dyDescent="0.2">
      <c r="A2582" s="7" t="s">
        <v>204</v>
      </c>
      <c r="B2582" s="7" t="s">
        <v>288</v>
      </c>
      <c r="C2582" s="3"/>
      <c r="D2582" s="3" t="s">
        <v>528</v>
      </c>
      <c r="E2582" s="4" t="s">
        <v>30</v>
      </c>
      <c r="F2582" s="3"/>
      <c r="G2582" s="9">
        <v>1446</v>
      </c>
      <c r="H2582" s="25">
        <f>SUM(H2583:H2589)</f>
        <v>1366</v>
      </c>
      <c r="I2582" s="14"/>
      <c r="J2582" s="14" t="e">
        <f>SUM(J2583:J2589)</f>
        <v>#REF!</v>
      </c>
      <c r="K2582" s="18" t="e">
        <f>SUM(K2583:K2589)</f>
        <v>#REF!</v>
      </c>
      <c r="L2582" s="15">
        <f>SUM(L2583:L2589)</f>
        <v>0</v>
      </c>
      <c r="M2582" s="16" t="e">
        <f>SUM(M2583:M2589)</f>
        <v>#REF!</v>
      </c>
      <c r="N2582" s="60" t="e">
        <f>+SUMIFS(#REF!,#REF!,Planning[[#This Row],[Proyectos]],#REF!,Planning[[#This Row],[Tipo de Tarea y especialidad]])</f>
        <v>#REF!</v>
      </c>
      <c r="O2582" s="16">
        <f t="shared" si="80"/>
        <v>10</v>
      </c>
      <c r="P2582" s="16">
        <f t="shared" si="81"/>
        <v>2024</v>
      </c>
      <c r="Q2582" s="16" t="e">
        <f>SUM(Q2583:Q2589)</f>
        <v>#REF!</v>
      </c>
      <c r="R2582" s="16" t="str">
        <f>TEXT(Planning[[#This Row],[Mes]]*29,"mmmm")</f>
        <v>October</v>
      </c>
      <c r="S25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82" s="208"/>
      <c r="U2582" s="43" t="e">
        <f>IF(Planning[[#This Row],[Horas Planificadas]]&lt;&gt;0,+K2582/Planning[[#This Row],[Horas Planificadas]],0)</f>
        <v>#REF!</v>
      </c>
      <c r="V2582" s="43" t="e">
        <f>IF(Planning[[#This Row],[Horas Planificadas]]&lt;&gt;0,Planning[[#This Row],[Horas utilizadas]]/Planning[[#This Row],[Horas Planificadas]],0)</f>
        <v>#REF!</v>
      </c>
      <c r="W2582" s="44">
        <f>Planning[[#This Row],[Horas Planificadas]]+Planning[[#This Row],[Horas ajustadas adicionales]]</f>
        <v>1366</v>
      </c>
      <c r="X2582" s="142"/>
    </row>
    <row r="2583" spans="1:24" x14ac:dyDescent="0.2">
      <c r="A2583" s="7" t="s">
        <v>204</v>
      </c>
      <c r="B2583" s="7" t="s">
        <v>288</v>
      </c>
      <c r="C2583" s="3"/>
      <c r="D2583" s="3" t="s">
        <v>528</v>
      </c>
      <c r="E2583" s="4"/>
      <c r="F2583" s="3" t="s">
        <v>122</v>
      </c>
      <c r="G2583" s="9"/>
      <c r="H2583" s="12">
        <v>761</v>
      </c>
      <c r="I2583" s="12"/>
      <c r="J2583" s="5" t="e">
        <f>SUM(SUMIFS(#REF!,#REF!,Planning[[#This Row],[Tipo de Tarea y especialidad]],#REF!,Planning[[#This Row],[Proyectos Reiwa]]),SUMIFS(#REF!,#REF!,Planning[[#This Row],[Tipo de Tarea y especialidad]],#REF!,Planning[[#This Row],[Proyectos]]))</f>
        <v>#REF!</v>
      </c>
      <c r="K2583" s="27" t="e">
        <f>Planning[[#This Row],[Horas Planificadas]]+Planning[[#This Row],[Horas ajustadas adicionales]]-Planning[[#This Row],[Horas utilizadas]]</f>
        <v>#REF!</v>
      </c>
      <c r="L2583" s="7">
        <v>0</v>
      </c>
      <c r="M2583" s="19" t="e">
        <f>Planning[[#This Row],[Saldo]]-Planning[[#This Row],[Saldo estimado]]</f>
        <v>#REF!</v>
      </c>
      <c r="N2583" s="60" t="e">
        <f>+SUMIFS(#REF!,#REF!,Planning[[#This Row],[Proyectos]],#REF!,Planning[[#This Row],[Tipo de Tarea y especialidad]])</f>
        <v>#REF!</v>
      </c>
      <c r="O2583" s="19">
        <f t="shared" si="80"/>
        <v>10</v>
      </c>
      <c r="P2583" s="19">
        <f t="shared" si="81"/>
        <v>2024</v>
      </c>
      <c r="Q25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83" s="19" t="str">
        <f>TEXT(Planning[[#This Row],[Mes]]*29,"mmmm")</f>
        <v>October</v>
      </c>
      <c r="S25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83" s="208"/>
      <c r="U2583" s="43" t="e">
        <f>IF(Planning[[#This Row],[Horas Planificadas]]&lt;&gt;0,+K2583/Planning[[#This Row],[Horas Planificadas]],0)</f>
        <v>#REF!</v>
      </c>
      <c r="V2583" s="43" t="e">
        <f>IF(Planning[[#This Row],[Horas Planificadas]]&lt;&gt;0,Planning[[#This Row],[Horas utilizadas]]/Planning[[#This Row],[Horas Planificadas]],0)</f>
        <v>#REF!</v>
      </c>
      <c r="W2583" s="44">
        <f>Planning[[#This Row],[Horas Planificadas]]+Planning[[#This Row],[Horas ajustadas adicionales]]</f>
        <v>761</v>
      </c>
      <c r="X2583" s="142"/>
    </row>
    <row r="2584" spans="1:24" x14ac:dyDescent="0.2">
      <c r="A2584" s="7" t="s">
        <v>204</v>
      </c>
      <c r="B2584" s="7" t="s">
        <v>288</v>
      </c>
      <c r="C2584" s="3"/>
      <c r="D2584" s="3" t="s">
        <v>528</v>
      </c>
      <c r="E2584" s="4"/>
      <c r="F2584" s="3" t="s">
        <v>123</v>
      </c>
      <c r="G2584" s="9"/>
      <c r="H2584" s="9">
        <v>360</v>
      </c>
      <c r="I2584" s="12"/>
      <c r="J2584" s="5" t="e">
        <f>SUM(SUMIFS(#REF!,#REF!,Planning[[#This Row],[Tipo de Tarea y especialidad]],#REF!,Planning[[#This Row],[Proyectos Reiwa]]),SUMIFS(#REF!,#REF!,Planning[[#This Row],[Tipo de Tarea y especialidad]],#REF!,Planning[[#This Row],[Proyectos]]))</f>
        <v>#REF!</v>
      </c>
      <c r="K2584" s="5" t="e">
        <f>Planning[[#This Row],[Horas Planificadas]]+Planning[[#This Row],[Horas ajustadas adicionales]]-Planning[[#This Row],[Horas utilizadas]]</f>
        <v>#REF!</v>
      </c>
      <c r="L2584" s="7">
        <v>0</v>
      </c>
      <c r="M2584" s="19" t="e">
        <f>Planning[[#This Row],[Saldo]]-Planning[[#This Row],[Saldo estimado]]</f>
        <v>#REF!</v>
      </c>
      <c r="N2584" s="60" t="e">
        <f>+SUMIFS(#REF!,#REF!,Planning[[#This Row],[Proyectos]],#REF!,Planning[[#This Row],[Tipo de Tarea y especialidad]])</f>
        <v>#REF!</v>
      </c>
      <c r="O2584" s="19">
        <f t="shared" si="80"/>
        <v>10</v>
      </c>
      <c r="P2584" s="19">
        <f t="shared" si="81"/>
        <v>2024</v>
      </c>
      <c r="Q25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84" s="19" t="str">
        <f>TEXT(Planning[[#This Row],[Mes]]*29,"mmmm")</f>
        <v>October</v>
      </c>
      <c r="S25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84" s="208"/>
      <c r="U2584" s="43" t="e">
        <f>IF(Planning[[#This Row],[Horas Planificadas]]&lt;&gt;0,+K2584/Planning[[#This Row],[Horas Planificadas]],0)</f>
        <v>#REF!</v>
      </c>
      <c r="V2584" s="43" t="e">
        <f>IF(Planning[[#This Row],[Horas Planificadas]]&lt;&gt;0,Planning[[#This Row],[Horas utilizadas]]/Planning[[#This Row],[Horas Planificadas]],0)</f>
        <v>#REF!</v>
      </c>
      <c r="W2584" s="44">
        <f>Planning[[#This Row],[Horas Planificadas]]+Planning[[#This Row],[Horas ajustadas adicionales]]</f>
        <v>360</v>
      </c>
      <c r="X2584" s="142"/>
    </row>
    <row r="2585" spans="1:24" x14ac:dyDescent="0.2">
      <c r="A2585" s="7" t="s">
        <v>204</v>
      </c>
      <c r="B2585" s="7" t="s">
        <v>288</v>
      </c>
      <c r="C2585" s="3"/>
      <c r="D2585" s="3" t="s">
        <v>528</v>
      </c>
      <c r="E2585" s="4"/>
      <c r="F2585" s="3" t="s">
        <v>124</v>
      </c>
      <c r="G2585" s="9"/>
      <c r="H2585" s="9">
        <v>245</v>
      </c>
      <c r="I2585" s="12"/>
      <c r="J2585" s="5" t="e">
        <f>SUM(SUMIFS(#REF!,#REF!,Planning[[#This Row],[Tipo de Tarea y especialidad]],#REF!,Planning[[#This Row],[Proyectos Reiwa]]),SUMIFS(#REF!,#REF!,Planning[[#This Row],[Tipo de Tarea y especialidad]],#REF!,Planning[[#This Row],[Proyectos]]))</f>
        <v>#REF!</v>
      </c>
      <c r="K2585" s="5" t="e">
        <f>Planning[[#This Row],[Horas Planificadas]]+Planning[[#This Row],[Horas ajustadas adicionales]]-Planning[[#This Row],[Horas utilizadas]]</f>
        <v>#REF!</v>
      </c>
      <c r="L2585" s="7">
        <v>0</v>
      </c>
      <c r="M2585" s="19" t="e">
        <f>Planning[[#This Row],[Saldo]]-Planning[[#This Row],[Saldo estimado]]</f>
        <v>#REF!</v>
      </c>
      <c r="N2585" s="60" t="e">
        <f>+SUMIFS(#REF!,#REF!,Planning[[#This Row],[Proyectos]],#REF!,Planning[[#This Row],[Tipo de Tarea y especialidad]])</f>
        <v>#REF!</v>
      </c>
      <c r="O2585" s="19">
        <f t="shared" si="80"/>
        <v>10</v>
      </c>
      <c r="P2585" s="19">
        <f t="shared" si="81"/>
        <v>2024</v>
      </c>
      <c r="Q25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85" s="19" t="str">
        <f>TEXT(Planning[[#This Row],[Mes]]*29,"mmmm")</f>
        <v>October</v>
      </c>
      <c r="S25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85" s="208"/>
      <c r="U2585" s="43" t="e">
        <f>IF(Planning[[#This Row],[Horas Planificadas]]&lt;&gt;0,+K2585/Planning[[#This Row],[Horas Planificadas]],0)</f>
        <v>#REF!</v>
      </c>
      <c r="V2585" s="43" t="e">
        <f>IF(Planning[[#This Row],[Horas Planificadas]]&lt;&gt;0,Planning[[#This Row],[Horas utilizadas]]/Planning[[#This Row],[Horas Planificadas]],0)</f>
        <v>#REF!</v>
      </c>
      <c r="W2585" s="44">
        <f>Planning[[#This Row],[Horas Planificadas]]+Planning[[#This Row],[Horas ajustadas adicionales]]</f>
        <v>245</v>
      </c>
      <c r="X2585" s="142"/>
    </row>
    <row r="2586" spans="1:24" x14ac:dyDescent="0.2">
      <c r="A2586" s="7" t="s">
        <v>204</v>
      </c>
      <c r="B2586" s="7" t="s">
        <v>288</v>
      </c>
      <c r="C2586" s="3"/>
      <c r="D2586" s="3" t="s">
        <v>528</v>
      </c>
      <c r="E2586" s="4"/>
      <c r="F2586" s="3" t="s">
        <v>125</v>
      </c>
      <c r="G2586" s="9"/>
      <c r="H2586" s="9"/>
      <c r="I2586" s="12"/>
      <c r="J2586" s="5" t="e">
        <f>SUM(SUMIFS(#REF!,#REF!,Planning[[#This Row],[Tipo de Tarea y especialidad]],#REF!,Planning[[#This Row],[Proyectos Reiwa]]),SUMIFS(#REF!,#REF!,Planning[[#This Row],[Tipo de Tarea y especialidad]],#REF!,Planning[[#This Row],[Proyectos]]))</f>
        <v>#REF!</v>
      </c>
      <c r="K2586" s="5" t="e">
        <f>Planning[[#This Row],[Horas Planificadas]]+Planning[[#This Row],[Horas ajustadas adicionales]]-Planning[[#This Row],[Horas utilizadas]]</f>
        <v>#REF!</v>
      </c>
      <c r="L2586" s="7">
        <v>0</v>
      </c>
      <c r="M2586" s="19" t="e">
        <f>Planning[[#This Row],[Saldo]]-Planning[[#This Row],[Saldo estimado]]</f>
        <v>#REF!</v>
      </c>
      <c r="N2586" s="60" t="e">
        <f>+SUMIFS(#REF!,#REF!,Planning[[#This Row],[Proyectos]],#REF!,Planning[[#This Row],[Tipo de Tarea y especialidad]])</f>
        <v>#REF!</v>
      </c>
      <c r="O2586" s="19">
        <f t="shared" si="80"/>
        <v>10</v>
      </c>
      <c r="P2586" s="19">
        <f t="shared" si="81"/>
        <v>2024</v>
      </c>
      <c r="Q25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86" s="19" t="str">
        <f>TEXT(Planning[[#This Row],[Mes]]*29,"mmmm")</f>
        <v>October</v>
      </c>
      <c r="S25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86" s="208"/>
      <c r="U2586" s="43">
        <f>IF(Planning[[#This Row],[Horas Planificadas]]&lt;&gt;0,+K2586/Planning[[#This Row],[Horas Planificadas]],0)</f>
        <v>0</v>
      </c>
      <c r="V2586" s="43">
        <f>IF(Planning[[#This Row],[Horas Planificadas]]&lt;&gt;0,Planning[[#This Row],[Horas utilizadas]]/Planning[[#This Row],[Horas Planificadas]],0)</f>
        <v>0</v>
      </c>
      <c r="W2586" s="44">
        <f>Planning[[#This Row],[Horas Planificadas]]+Planning[[#This Row],[Horas ajustadas adicionales]]</f>
        <v>0</v>
      </c>
      <c r="X2586" s="142"/>
    </row>
    <row r="2587" spans="1:24" x14ac:dyDescent="0.2">
      <c r="A2587" s="7" t="s">
        <v>204</v>
      </c>
      <c r="B2587" s="7" t="s">
        <v>288</v>
      </c>
      <c r="C2587" s="3"/>
      <c r="D2587" s="3" t="s">
        <v>528</v>
      </c>
      <c r="E2587" s="4"/>
      <c r="F2587" s="3" t="s">
        <v>126</v>
      </c>
      <c r="G2587" s="9"/>
      <c r="H2587" s="12"/>
      <c r="I2587" s="12"/>
      <c r="J2587" s="5" t="e">
        <f>SUM(SUMIFS(#REF!,#REF!,Planning[[#This Row],[Tipo de Tarea y especialidad]],#REF!,Planning[[#This Row],[Proyectos Reiwa]]),SUMIFS(#REF!,#REF!,Planning[[#This Row],[Tipo de Tarea y especialidad]],#REF!,Planning[[#This Row],[Proyectos]]))</f>
        <v>#REF!</v>
      </c>
      <c r="K2587" s="27" t="e">
        <f>Planning[[#This Row],[Horas Planificadas]]+Planning[[#This Row],[Horas ajustadas adicionales]]-Planning[[#This Row],[Horas utilizadas]]</f>
        <v>#REF!</v>
      </c>
      <c r="L2587" s="7">
        <v>0</v>
      </c>
      <c r="M2587" s="34" t="e">
        <f>Planning[[#This Row],[Saldo]]-Planning[[#This Row],[Saldo estimado]]</f>
        <v>#REF!</v>
      </c>
      <c r="N2587" s="62" t="e">
        <f>+SUMIFS(#REF!,#REF!,Planning[[#This Row],[Proyectos]],#REF!,Planning[[#This Row],[Tipo de Tarea y especialidad]])</f>
        <v>#REF!</v>
      </c>
      <c r="O2587" s="34">
        <f t="shared" si="80"/>
        <v>10</v>
      </c>
      <c r="P2587" s="34">
        <f t="shared" si="81"/>
        <v>2024</v>
      </c>
      <c r="Q25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87" s="19" t="str">
        <f>TEXT(Planning[[#This Row],[Mes]]*29,"mmmm")</f>
        <v>October</v>
      </c>
      <c r="S25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87" s="208"/>
      <c r="U2587" s="43">
        <f>IF(Planning[[#This Row],[Horas Planificadas]]&lt;&gt;0,+K2587/Planning[[#This Row],[Horas Planificadas]],0)</f>
        <v>0</v>
      </c>
      <c r="V2587" s="43">
        <f>IF(Planning[[#This Row],[Horas Planificadas]]&lt;&gt;0,Planning[[#This Row],[Horas utilizadas]]/Planning[[#This Row],[Horas Planificadas]],0)</f>
        <v>0</v>
      </c>
      <c r="W2587" s="44">
        <f>Planning[[#This Row],[Horas Planificadas]]+Planning[[#This Row],[Horas ajustadas adicionales]]</f>
        <v>0</v>
      </c>
      <c r="X2587" s="142"/>
    </row>
    <row r="2588" spans="1:24" x14ac:dyDescent="0.2">
      <c r="A2588" s="7" t="s">
        <v>204</v>
      </c>
      <c r="B2588" s="7" t="s">
        <v>288</v>
      </c>
      <c r="C2588" s="3"/>
      <c r="D2588" s="3" t="s">
        <v>528</v>
      </c>
      <c r="E2588" s="4"/>
      <c r="F2588" s="3" t="s">
        <v>127</v>
      </c>
      <c r="G2588" s="9"/>
      <c r="H2588" s="9"/>
      <c r="I2588" s="12"/>
      <c r="J2588" s="5" t="e">
        <f>SUM(SUMIFS(#REF!,#REF!,Planning[[#This Row],[Tipo de Tarea y especialidad]],#REF!,Planning[[#This Row],[Proyectos Reiwa]]),SUMIFS(#REF!,#REF!,Planning[[#This Row],[Tipo de Tarea y especialidad]],#REF!,Planning[[#This Row],[Proyectos]]))</f>
        <v>#REF!</v>
      </c>
      <c r="K2588" s="5" t="e">
        <f>Planning[[#This Row],[Horas Planificadas]]+Planning[[#This Row],[Horas ajustadas adicionales]]-Planning[[#This Row],[Horas utilizadas]]</f>
        <v>#REF!</v>
      </c>
      <c r="L2588" s="54">
        <v>0</v>
      </c>
      <c r="M2588" s="19" t="e">
        <f>Planning[[#This Row],[Saldo]]-Planning[[#This Row],[Saldo estimado]]</f>
        <v>#REF!</v>
      </c>
      <c r="N2588" s="60" t="e">
        <f>+SUMIFS(#REF!,#REF!,Planning[[#This Row],[Proyectos]],#REF!,Planning[[#This Row],[Tipo de Tarea y especialidad]])</f>
        <v>#REF!</v>
      </c>
      <c r="O2588" s="19">
        <f t="shared" si="80"/>
        <v>10</v>
      </c>
      <c r="P2588" s="19">
        <f t="shared" si="81"/>
        <v>2024</v>
      </c>
      <c r="Q25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88" s="19" t="str">
        <f>TEXT(Planning[[#This Row],[Mes]]*29,"mmmm")</f>
        <v>October</v>
      </c>
      <c r="S25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88" s="208"/>
      <c r="U2588" s="43">
        <f>IF(Planning[[#This Row],[Horas Planificadas]]&lt;&gt;0,+K2588/Planning[[#This Row],[Horas Planificadas]],0)</f>
        <v>0</v>
      </c>
      <c r="V2588" s="43">
        <f>IF(Planning[[#This Row],[Horas Planificadas]]&lt;&gt;0,Planning[[#This Row],[Horas utilizadas]]/Planning[[#This Row],[Horas Planificadas]],0)</f>
        <v>0</v>
      </c>
      <c r="W2588" s="44">
        <f>Planning[[#This Row],[Horas Planificadas]]+Planning[[#This Row],[Horas ajustadas adicionales]]</f>
        <v>0</v>
      </c>
      <c r="X2588" s="142"/>
    </row>
    <row r="2589" spans="1:24" x14ac:dyDescent="0.2">
      <c r="A2589" s="7" t="s">
        <v>204</v>
      </c>
      <c r="B2589" s="7" t="s">
        <v>288</v>
      </c>
      <c r="C2589" s="3"/>
      <c r="D2589" s="3" t="s">
        <v>528</v>
      </c>
      <c r="E2589" s="4"/>
      <c r="F2589" s="3" t="s">
        <v>128</v>
      </c>
      <c r="G2589" s="9"/>
      <c r="H2589" s="9"/>
      <c r="I2589" s="12"/>
      <c r="J2589" s="5" t="e">
        <f>SUM(SUMIFS(#REF!,#REF!,Planning[[#This Row],[Tipo de Tarea y especialidad]],#REF!,Planning[[#This Row],[Proyectos Reiwa]]),SUMIFS(#REF!,#REF!,Planning[[#This Row],[Tipo de Tarea y especialidad]],#REF!,Planning[[#This Row],[Proyectos]]))</f>
        <v>#REF!</v>
      </c>
      <c r="K2589" s="5" t="e">
        <f>Planning[[#This Row],[Horas Planificadas]]+Planning[[#This Row],[Horas ajustadas adicionales]]-Planning[[#This Row],[Horas utilizadas]]</f>
        <v>#REF!</v>
      </c>
      <c r="L2589" s="7">
        <v>0</v>
      </c>
      <c r="M2589" s="19" t="e">
        <f>Planning[[#This Row],[Saldo]]-Planning[[#This Row],[Saldo estimado]]</f>
        <v>#REF!</v>
      </c>
      <c r="N2589" s="60" t="e">
        <f>+SUMIFS(#REF!,#REF!,Planning[[#This Row],[Proyectos]],#REF!,Planning[[#This Row],[Tipo de Tarea y especialidad]])</f>
        <v>#REF!</v>
      </c>
      <c r="O2589" s="19">
        <f t="shared" si="80"/>
        <v>10</v>
      </c>
      <c r="P2589" s="19">
        <f t="shared" si="81"/>
        <v>2024</v>
      </c>
      <c r="Q25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89" s="19" t="str">
        <f>TEXT(Planning[[#This Row],[Mes]]*29,"mmmm")</f>
        <v>October</v>
      </c>
      <c r="S25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89" s="208"/>
      <c r="U2589" s="43">
        <f>IF(Planning[[#This Row],[Horas Planificadas]]&lt;&gt;0,+K2589/Planning[[#This Row],[Horas Planificadas]],0)</f>
        <v>0</v>
      </c>
      <c r="V2589" s="43">
        <f>IF(Planning[[#This Row],[Horas Planificadas]]&lt;&gt;0,Planning[[#This Row],[Horas utilizadas]]/Planning[[#This Row],[Horas Planificadas]],0)</f>
        <v>0</v>
      </c>
      <c r="W2589" s="44">
        <f>Planning[[#This Row],[Horas Planificadas]]+Planning[[#This Row],[Horas ajustadas adicionales]]</f>
        <v>0</v>
      </c>
      <c r="X2589" s="142"/>
    </row>
    <row r="2590" spans="1:24" x14ac:dyDescent="0.2">
      <c r="A2590" s="7" t="s">
        <v>204</v>
      </c>
      <c r="B2590" s="7" t="s">
        <v>288</v>
      </c>
      <c r="C2590" s="3"/>
      <c r="D2590" s="3" t="s">
        <v>528</v>
      </c>
      <c r="E2590" s="4" t="s">
        <v>31</v>
      </c>
      <c r="F2590" s="3" t="s">
        <v>31</v>
      </c>
      <c r="G2590" s="9">
        <v>477</v>
      </c>
      <c r="H2590" s="18">
        <v>477</v>
      </c>
      <c r="I2590" s="18"/>
      <c r="J2590" s="14" t="e">
        <f>+SUMIFS(#REF!,#REF!,Planning[[#This Row],[Tarifa]],#REF!,Planning[[#This Row],[Proyectos]])</f>
        <v>#REF!</v>
      </c>
      <c r="K2590" s="24" t="e">
        <f>Planning[[#This Row],[Horas Planificadas]]+Planning[[#This Row],[Horas ajustadas adicionales]]-Planning[[#This Row],[Horas utilizadas]]</f>
        <v>#REF!</v>
      </c>
      <c r="L2590" s="15"/>
      <c r="M2590" s="16" t="e">
        <f>Planning[[#This Row],[Saldo]]-Planning[[#This Row],[Saldo estimado]]</f>
        <v>#REF!</v>
      </c>
      <c r="N2590" s="60" t="e">
        <f>+SUMIFS(#REF!,#REF!,Planning[[#This Row],[Proyectos]],#REF!,Planning[[#This Row],[Tipo de Tarea y especialidad]])</f>
        <v>#REF!</v>
      </c>
      <c r="O2590" s="16">
        <f t="shared" si="80"/>
        <v>10</v>
      </c>
      <c r="P2590" s="16">
        <f t="shared" si="81"/>
        <v>2024</v>
      </c>
      <c r="Q2590" s="16" t="e">
        <f>+SUMIFS(#REF!,#REF!,Planning[[#This Row],[Tarifa]],#REF!,Planning[[#This Row],[Proyectos]],#REF!,Planning[[#This Row],[Mes]],#REF!,Planning[[#This Row],[Año]])</f>
        <v>#REF!</v>
      </c>
      <c r="R2590" s="16" t="str">
        <f>TEXT(Planning[[#This Row],[Mes]]*29,"mmmm")</f>
        <v>October</v>
      </c>
      <c r="S25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90" s="208"/>
      <c r="U2590" s="43" t="e">
        <f>IF(Planning[[#This Row],[Horas Planificadas]]&lt;&gt;0,+K2590/Planning[[#This Row],[Horas Planificadas]],0)</f>
        <v>#REF!</v>
      </c>
      <c r="V2590" s="43" t="e">
        <f>IF(Planning[[#This Row],[Horas Planificadas]]&lt;&gt;0,Planning[[#This Row],[Horas utilizadas]]/Planning[[#This Row],[Horas Planificadas]],0)</f>
        <v>#REF!</v>
      </c>
      <c r="W2590" s="44">
        <f>Planning[[#This Row],[Horas Planificadas]]+Planning[[#This Row],[Horas ajustadas adicionales]]</f>
        <v>477</v>
      </c>
      <c r="X2590" s="142"/>
    </row>
    <row r="2591" spans="1:24" ht="22.5" x14ac:dyDescent="0.2">
      <c r="A2591" s="7" t="s">
        <v>204</v>
      </c>
      <c r="B2591" s="7" t="s">
        <v>288</v>
      </c>
      <c r="C2591" s="3"/>
      <c r="D2591" s="3" t="s">
        <v>528</v>
      </c>
      <c r="E2591" s="4" t="s">
        <v>32</v>
      </c>
      <c r="F2591" s="3"/>
      <c r="G2591" s="9">
        <v>896</v>
      </c>
      <c r="H2591" s="25">
        <f>SUM(H2592:H2594)</f>
        <v>896</v>
      </c>
      <c r="I2591" s="14"/>
      <c r="J2591" s="14" t="e">
        <f>SUM(J2592:J2594)</f>
        <v>#REF!</v>
      </c>
      <c r="K2591" s="18" t="e">
        <f>SUM(K2592:K2594)</f>
        <v>#REF!</v>
      </c>
      <c r="L2591" s="15">
        <f>SUM(L2592:L2594)</f>
        <v>0</v>
      </c>
      <c r="M2591" s="16" t="e">
        <f>SUM(M2592:M2594)</f>
        <v>#REF!</v>
      </c>
      <c r="N2591" s="60" t="e">
        <f>+SUMIFS(#REF!,#REF!,Planning[[#This Row],[Proyectos]],#REF!,Planning[[#This Row],[Tipo de Tarea y especialidad]])</f>
        <v>#REF!</v>
      </c>
      <c r="O2591" s="16">
        <f t="shared" si="80"/>
        <v>10</v>
      </c>
      <c r="P2591" s="16">
        <f t="shared" si="81"/>
        <v>2024</v>
      </c>
      <c r="Q2591" s="16" t="e">
        <f>SUM(Q2592:Q2594)</f>
        <v>#REF!</v>
      </c>
      <c r="R2591" s="16" t="str">
        <f>TEXT(Planning[[#This Row],[Mes]]*29,"mmmm")</f>
        <v>October</v>
      </c>
      <c r="S25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91" s="208"/>
      <c r="U2591" s="43" t="e">
        <f>IF(Planning[[#This Row],[Horas Planificadas]]&lt;&gt;0,+K2591/Planning[[#This Row],[Horas Planificadas]],0)</f>
        <v>#REF!</v>
      </c>
      <c r="V2591" s="43" t="e">
        <f>IF(Planning[[#This Row],[Horas Planificadas]]&lt;&gt;0,Planning[[#This Row],[Horas utilizadas]]/Planning[[#This Row],[Horas Planificadas]],0)</f>
        <v>#REF!</v>
      </c>
      <c r="W2591" s="44">
        <f>Planning[[#This Row],[Horas Planificadas]]+Planning[[#This Row],[Horas ajustadas adicionales]]</f>
        <v>896</v>
      </c>
      <c r="X2591" s="142"/>
    </row>
    <row r="2592" spans="1:24" x14ac:dyDescent="0.2">
      <c r="A2592" s="7" t="s">
        <v>204</v>
      </c>
      <c r="B2592" s="7" t="s">
        <v>288</v>
      </c>
      <c r="C2592" s="3"/>
      <c r="D2592" s="3" t="s">
        <v>528</v>
      </c>
      <c r="E2592" s="4"/>
      <c r="F2592" s="3" t="s">
        <v>129</v>
      </c>
      <c r="G2592" s="9"/>
      <c r="H2592" s="9">
        <v>581</v>
      </c>
      <c r="I2592" s="12"/>
      <c r="J2592" s="5" t="e">
        <f>SUM(SUMIFS(#REF!,#REF!,Planning[[#This Row],[Tipo de Tarea y especialidad]],#REF!,Planning[[#This Row],[Proyectos Reiwa]]),SUMIFS(#REF!,#REF!,Planning[[#This Row],[Tipo de Tarea y especialidad]],#REF!,Planning[[#This Row],[Proyectos]]))</f>
        <v>#REF!</v>
      </c>
      <c r="K2592" s="5" t="e">
        <f>Planning[[#This Row],[Horas Planificadas]]+Planning[[#This Row],[Horas ajustadas adicionales]]-Planning[[#This Row],[Horas utilizadas]]</f>
        <v>#REF!</v>
      </c>
      <c r="L2592" s="7">
        <v>0</v>
      </c>
      <c r="M2592" s="19" t="e">
        <f>Planning[[#This Row],[Saldo]]-Planning[[#This Row],[Saldo estimado]]</f>
        <v>#REF!</v>
      </c>
      <c r="N2592" s="60" t="e">
        <f>+SUMIFS(#REF!,#REF!,Planning[[#This Row],[Proyectos]],#REF!,Planning[[#This Row],[Tipo de Tarea y especialidad]])</f>
        <v>#REF!</v>
      </c>
      <c r="O2592" s="19">
        <f t="shared" si="80"/>
        <v>10</v>
      </c>
      <c r="P2592" s="19">
        <f t="shared" si="81"/>
        <v>2024</v>
      </c>
      <c r="Q25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92" s="19" t="str">
        <f>TEXT(Planning[[#This Row],[Mes]]*29,"mmmm")</f>
        <v>October</v>
      </c>
      <c r="S25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92" s="208"/>
      <c r="U2592" s="43" t="e">
        <f>IF(Planning[[#This Row],[Horas Planificadas]]&lt;&gt;0,+K2592/Planning[[#This Row],[Horas Planificadas]],0)</f>
        <v>#REF!</v>
      </c>
      <c r="V2592" s="43" t="e">
        <f>IF(Planning[[#This Row],[Horas Planificadas]]&lt;&gt;0,Planning[[#This Row],[Horas utilizadas]]/Planning[[#This Row],[Horas Planificadas]],0)</f>
        <v>#REF!</v>
      </c>
      <c r="W2592" s="44">
        <f>Planning[[#This Row],[Horas Planificadas]]+Planning[[#This Row],[Horas ajustadas adicionales]]</f>
        <v>581</v>
      </c>
      <c r="X2592" s="142"/>
    </row>
    <row r="2593" spans="1:24" x14ac:dyDescent="0.2">
      <c r="A2593" s="7" t="s">
        <v>204</v>
      </c>
      <c r="B2593" s="7" t="s">
        <v>288</v>
      </c>
      <c r="C2593" s="3"/>
      <c r="D2593" s="3" t="s">
        <v>528</v>
      </c>
      <c r="E2593" s="4"/>
      <c r="F2593" s="3" t="s">
        <v>130</v>
      </c>
      <c r="G2593" s="9"/>
      <c r="H2593" s="9">
        <v>99</v>
      </c>
      <c r="I2593" s="12"/>
      <c r="J2593" s="5" t="e">
        <f>SUM(SUMIFS(#REF!,#REF!,Planning[[#This Row],[Tipo de Tarea y especialidad]],#REF!,Planning[[#This Row],[Proyectos Reiwa]]),SUMIFS(#REF!,#REF!,Planning[[#This Row],[Tipo de Tarea y especialidad]],#REF!,Planning[[#This Row],[Proyectos]]))</f>
        <v>#REF!</v>
      </c>
      <c r="K2593" s="5" t="e">
        <f>Planning[[#This Row],[Horas Planificadas]]+Planning[[#This Row],[Horas ajustadas adicionales]]-Planning[[#This Row],[Horas utilizadas]]</f>
        <v>#REF!</v>
      </c>
      <c r="L2593" s="7">
        <v>0</v>
      </c>
      <c r="M2593" s="19" t="e">
        <f>Planning[[#This Row],[Saldo]]-Planning[[#This Row],[Saldo estimado]]</f>
        <v>#REF!</v>
      </c>
      <c r="N2593" s="60" t="e">
        <f>+SUMIFS(#REF!,#REF!,Planning[[#This Row],[Proyectos]],#REF!,Planning[[#This Row],[Tipo de Tarea y especialidad]])</f>
        <v>#REF!</v>
      </c>
      <c r="O2593" s="19">
        <f t="shared" si="80"/>
        <v>10</v>
      </c>
      <c r="P2593" s="19">
        <f t="shared" si="81"/>
        <v>2024</v>
      </c>
      <c r="Q25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93" s="19" t="str">
        <f>TEXT(Planning[[#This Row],[Mes]]*29,"mmmm")</f>
        <v>October</v>
      </c>
      <c r="S25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93" s="208"/>
      <c r="U2593" s="43" t="e">
        <f>IF(Planning[[#This Row],[Horas Planificadas]]&lt;&gt;0,+K2593/Planning[[#This Row],[Horas Planificadas]],0)</f>
        <v>#REF!</v>
      </c>
      <c r="V2593" s="43" t="e">
        <f>IF(Planning[[#This Row],[Horas Planificadas]]&lt;&gt;0,Planning[[#This Row],[Horas utilizadas]]/Planning[[#This Row],[Horas Planificadas]],0)</f>
        <v>#REF!</v>
      </c>
      <c r="W2593" s="44">
        <f>Planning[[#This Row],[Horas Planificadas]]+Planning[[#This Row],[Horas ajustadas adicionales]]</f>
        <v>99</v>
      </c>
      <c r="X2593" s="142"/>
    </row>
    <row r="2594" spans="1:24" x14ac:dyDescent="0.2">
      <c r="A2594" s="7" t="s">
        <v>204</v>
      </c>
      <c r="B2594" s="7" t="s">
        <v>288</v>
      </c>
      <c r="C2594" s="3"/>
      <c r="D2594" s="3" t="s">
        <v>528</v>
      </c>
      <c r="E2594" s="4"/>
      <c r="F2594" s="3" t="s">
        <v>131</v>
      </c>
      <c r="G2594" s="9"/>
      <c r="H2594" s="9">
        <v>216</v>
      </c>
      <c r="I2594" s="12"/>
      <c r="J2594" s="5" t="e">
        <f>SUM(SUMIFS(#REF!,#REF!,Planning[[#This Row],[Tipo de Tarea y especialidad]],#REF!,Planning[[#This Row],[Proyectos Reiwa]]),SUMIFS(#REF!,#REF!,Planning[[#This Row],[Tipo de Tarea y especialidad]],#REF!,Planning[[#This Row],[Proyectos]]))</f>
        <v>#REF!</v>
      </c>
      <c r="K2594" s="5" t="e">
        <f>Planning[[#This Row],[Horas Planificadas]]+Planning[[#This Row],[Horas ajustadas adicionales]]-Planning[[#This Row],[Horas utilizadas]]</f>
        <v>#REF!</v>
      </c>
      <c r="L2594" s="7">
        <v>0</v>
      </c>
      <c r="M2594" s="19" t="e">
        <f>Planning[[#This Row],[Saldo]]-Planning[[#This Row],[Saldo estimado]]</f>
        <v>#REF!</v>
      </c>
      <c r="N2594" s="60" t="e">
        <f>+SUMIFS(#REF!,#REF!,Planning[[#This Row],[Proyectos]],#REF!,Planning[[#This Row],[Tipo de Tarea y especialidad]])</f>
        <v>#REF!</v>
      </c>
      <c r="O2594" s="19">
        <f t="shared" si="80"/>
        <v>10</v>
      </c>
      <c r="P2594" s="19">
        <f t="shared" si="81"/>
        <v>2024</v>
      </c>
      <c r="Q25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594" s="19" t="str">
        <f>TEXT(Planning[[#This Row],[Mes]]*29,"mmmm")</f>
        <v>October</v>
      </c>
      <c r="S25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94" s="208"/>
      <c r="U2594" s="43" t="e">
        <f>IF(Planning[[#This Row],[Horas Planificadas]]&lt;&gt;0,+K2594/Planning[[#This Row],[Horas Planificadas]],0)</f>
        <v>#REF!</v>
      </c>
      <c r="V2594" s="43" t="e">
        <f>IF(Planning[[#This Row],[Horas Planificadas]]&lt;&gt;0,Planning[[#This Row],[Horas utilizadas]]/Planning[[#This Row],[Horas Planificadas]],0)</f>
        <v>#REF!</v>
      </c>
      <c r="W2594" s="44">
        <f>Planning[[#This Row],[Horas Planificadas]]+Planning[[#This Row],[Horas ajustadas adicionales]]</f>
        <v>216</v>
      </c>
      <c r="X2594" s="142"/>
    </row>
    <row r="2595" spans="1:24" ht="22.5" x14ac:dyDescent="0.2">
      <c r="A2595" s="7"/>
      <c r="B2595" s="7"/>
      <c r="C2595" s="3"/>
      <c r="D2595" s="3" t="s">
        <v>530</v>
      </c>
      <c r="E2595" s="4" t="s">
        <v>28</v>
      </c>
      <c r="F2595" s="3"/>
      <c r="G2595" s="9"/>
      <c r="H2595" s="9">
        <v>0</v>
      </c>
      <c r="I2595" s="12"/>
      <c r="J2595" s="5" t="e">
        <f>+SUMIFS(#REF!,#REF!,Planning[[#This Row],[Tarifa]],#REF!,Planning[[#This Row],[Proyectos]])</f>
        <v>#REF!</v>
      </c>
      <c r="K2595" s="5" t="e">
        <f>Planning[[#This Row],[Horas Planificadas]]+Planning[[#This Row],[Horas ajustadas adicionales]]-Planning[[#This Row],[Horas utilizadas]]</f>
        <v>#REF!</v>
      </c>
      <c r="L2595" s="7"/>
      <c r="M2595" s="19" t="e">
        <f>Planning[[#This Row],[Saldo]]-Planning[[#This Row],[Saldo estimado]]</f>
        <v>#REF!</v>
      </c>
      <c r="N2595" s="60" t="e">
        <f>+SUMIFS(#REF!,#REF!,Planning[[#This Row],[Proyectos]],#REF!,Planning[[#This Row],[Tipo de Tarea y especialidad]])</f>
        <v>#REF!</v>
      </c>
      <c r="O2595" s="19">
        <f t="shared" si="80"/>
        <v>10</v>
      </c>
      <c r="P2595" s="19">
        <f t="shared" si="81"/>
        <v>2024</v>
      </c>
      <c r="Q2595" s="19" t="e">
        <f>+SUMIFS(#REF!,#REF!,Planning[[#This Row],[Tarifa]],#REF!,Planning[[#This Row],[Proyectos]],#REF!,Planning[[#This Row],[Mes]],#REF!,Planning[[#This Row],[Año]])</f>
        <v>#REF!</v>
      </c>
      <c r="R2595" s="19" t="str">
        <f>TEXT(Planning[[#This Row],[Mes]]*29,"mmmm")</f>
        <v>October</v>
      </c>
      <c r="S25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95" s="228"/>
      <c r="U2595" s="43">
        <f>IF(Planning[[#This Row],[Horas Planificadas]]&lt;&gt;0,+K2595/Planning[[#This Row],[Horas Planificadas]],0)</f>
        <v>0</v>
      </c>
      <c r="V2595" s="43">
        <f>IF(Planning[[#This Row],[Horas Planificadas]]&lt;&gt;0,Planning[[#This Row],[Horas utilizadas]]/Planning[[#This Row],[Horas Planificadas]],0)</f>
        <v>0</v>
      </c>
      <c r="W2595" s="44">
        <f>Planning[[#This Row],[Horas Planificadas]]+Planning[[#This Row],[Horas ajustadas adicionales]]</f>
        <v>0</v>
      </c>
      <c r="X2595" s="142"/>
    </row>
    <row r="2596" spans="1:24" x14ac:dyDescent="0.2">
      <c r="A2596" s="7"/>
      <c r="B2596" s="7"/>
      <c r="C2596" s="3"/>
      <c r="D2596" s="3" t="s">
        <v>530</v>
      </c>
      <c r="E2596" s="4" t="s">
        <v>30</v>
      </c>
      <c r="F2596" s="3"/>
      <c r="G2596" s="9"/>
      <c r="H2596" s="9">
        <v>72</v>
      </c>
      <c r="I2596" s="12"/>
      <c r="J2596" s="5" t="e">
        <f>+SUMIFS(#REF!,#REF!,Planning[[#This Row],[Tarifa]],#REF!,Planning[[#This Row],[Proyectos]])</f>
        <v>#REF!</v>
      </c>
      <c r="K2596" s="5" t="e">
        <f>Planning[[#This Row],[Horas Planificadas]]+Planning[[#This Row],[Horas ajustadas adicionales]]-Planning[[#This Row],[Horas utilizadas]]</f>
        <v>#REF!</v>
      </c>
      <c r="L2596" s="7"/>
      <c r="M2596" s="19" t="e">
        <f>Planning[[#This Row],[Saldo]]-Planning[[#This Row],[Saldo estimado]]</f>
        <v>#REF!</v>
      </c>
      <c r="N2596" s="60" t="e">
        <f>+SUMIFS(#REF!,#REF!,Planning[[#This Row],[Proyectos]],#REF!,Planning[[#This Row],[Tipo de Tarea y especialidad]])</f>
        <v>#REF!</v>
      </c>
      <c r="O2596" s="19">
        <f t="shared" si="80"/>
        <v>10</v>
      </c>
      <c r="P2596" s="19">
        <f t="shared" si="81"/>
        <v>2024</v>
      </c>
      <c r="Q2596" s="19" t="e">
        <f>+SUMIFS(#REF!,#REF!,Planning[[#This Row],[Tarifa]],#REF!,Planning[[#This Row],[Proyectos]],#REF!,Planning[[#This Row],[Mes]],#REF!,Planning[[#This Row],[Año]])</f>
        <v>#REF!</v>
      </c>
      <c r="R2596" s="19" t="str">
        <f>TEXT(Planning[[#This Row],[Mes]]*29,"mmmm")</f>
        <v>October</v>
      </c>
      <c r="S25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96" s="228"/>
      <c r="U2596" s="43" t="e">
        <f>IF(Planning[[#This Row],[Horas Planificadas]]&lt;&gt;0,+K2596/Planning[[#This Row],[Horas Planificadas]],0)</f>
        <v>#REF!</v>
      </c>
      <c r="V2596" s="43" t="e">
        <f>IF(Planning[[#This Row],[Horas Planificadas]]&lt;&gt;0,Planning[[#This Row],[Horas utilizadas]]/Planning[[#This Row],[Horas Planificadas]],0)</f>
        <v>#REF!</v>
      </c>
      <c r="W2596" s="44">
        <f>Planning[[#This Row],[Horas Planificadas]]+Planning[[#This Row],[Horas ajustadas adicionales]]</f>
        <v>72</v>
      </c>
      <c r="X2596" s="142"/>
    </row>
    <row r="2597" spans="1:24" x14ac:dyDescent="0.2">
      <c r="A2597" s="7"/>
      <c r="B2597" s="7"/>
      <c r="C2597" s="3"/>
      <c r="D2597" s="3" t="s">
        <v>530</v>
      </c>
      <c r="E2597" s="4" t="s">
        <v>31</v>
      </c>
      <c r="F2597" s="3"/>
      <c r="G2597" s="9"/>
      <c r="H2597" s="9">
        <v>16</v>
      </c>
      <c r="I2597" s="12"/>
      <c r="J2597" s="5" t="e">
        <f>+SUMIFS(#REF!,#REF!,Planning[[#This Row],[Tarifa]],#REF!,Planning[[#This Row],[Proyectos]])</f>
        <v>#REF!</v>
      </c>
      <c r="K2597" s="5" t="e">
        <f>Planning[[#This Row],[Horas Planificadas]]+Planning[[#This Row],[Horas ajustadas adicionales]]-Planning[[#This Row],[Horas utilizadas]]</f>
        <v>#REF!</v>
      </c>
      <c r="L2597" s="7"/>
      <c r="M2597" s="19" t="e">
        <f>Planning[[#This Row],[Saldo]]-Planning[[#This Row],[Saldo estimado]]</f>
        <v>#REF!</v>
      </c>
      <c r="N2597" s="60" t="e">
        <f>+SUMIFS(#REF!,#REF!,Planning[[#This Row],[Proyectos]],#REF!,Planning[[#This Row],[Tipo de Tarea y especialidad]])</f>
        <v>#REF!</v>
      </c>
      <c r="O2597" s="19">
        <f t="shared" si="80"/>
        <v>10</v>
      </c>
      <c r="P2597" s="19">
        <f t="shared" si="81"/>
        <v>2024</v>
      </c>
      <c r="Q2597" s="19" t="e">
        <f>+SUMIFS(#REF!,#REF!,Planning[[#This Row],[Tarifa]],#REF!,Planning[[#This Row],[Proyectos]],#REF!,Planning[[#This Row],[Mes]],#REF!,Planning[[#This Row],[Año]])</f>
        <v>#REF!</v>
      </c>
      <c r="R2597" s="19" t="str">
        <f>TEXT(Planning[[#This Row],[Mes]]*29,"mmmm")</f>
        <v>October</v>
      </c>
      <c r="S25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97" s="228"/>
      <c r="U2597" s="43" t="e">
        <f>IF(Planning[[#This Row],[Horas Planificadas]]&lt;&gt;0,+K2597/Planning[[#This Row],[Horas Planificadas]],0)</f>
        <v>#REF!</v>
      </c>
      <c r="V2597" s="43" t="e">
        <f>IF(Planning[[#This Row],[Horas Planificadas]]&lt;&gt;0,Planning[[#This Row],[Horas utilizadas]]/Planning[[#This Row],[Horas Planificadas]],0)</f>
        <v>#REF!</v>
      </c>
      <c r="W2597" s="44">
        <f>Planning[[#This Row],[Horas Planificadas]]+Planning[[#This Row],[Horas ajustadas adicionales]]</f>
        <v>16</v>
      </c>
      <c r="X2597" s="142"/>
    </row>
    <row r="2598" spans="1:24" ht="22.5" x14ac:dyDescent="0.2">
      <c r="A2598" s="7"/>
      <c r="B2598" s="7"/>
      <c r="C2598" s="3"/>
      <c r="D2598" s="3" t="s">
        <v>530</v>
      </c>
      <c r="E2598" s="4" t="s">
        <v>32</v>
      </c>
      <c r="F2598" s="3"/>
      <c r="G2598" s="9"/>
      <c r="H2598" s="9">
        <v>160</v>
      </c>
      <c r="I2598" s="12"/>
      <c r="J2598" s="5" t="e">
        <f>+SUMIFS(#REF!,#REF!,Planning[[#This Row],[Tarifa]],#REF!,Planning[[#This Row],[Proyectos]])</f>
        <v>#REF!</v>
      </c>
      <c r="K2598" s="5" t="e">
        <f>Planning[[#This Row],[Horas Planificadas]]+Planning[[#This Row],[Horas ajustadas adicionales]]-Planning[[#This Row],[Horas utilizadas]]</f>
        <v>#REF!</v>
      </c>
      <c r="L2598" s="7"/>
      <c r="M2598" s="19" t="e">
        <f>Planning[[#This Row],[Saldo]]-Planning[[#This Row],[Saldo estimado]]</f>
        <v>#REF!</v>
      </c>
      <c r="N2598" s="60" t="e">
        <f>+SUMIFS(#REF!,#REF!,Planning[[#This Row],[Proyectos]],#REF!,Planning[[#This Row],[Tipo de Tarea y especialidad]])</f>
        <v>#REF!</v>
      </c>
      <c r="O2598" s="19">
        <f t="shared" si="80"/>
        <v>10</v>
      </c>
      <c r="P2598" s="19">
        <f t="shared" si="81"/>
        <v>2024</v>
      </c>
      <c r="Q2598" s="19" t="e">
        <f>+SUMIFS(#REF!,#REF!,Planning[[#This Row],[Tarifa]],#REF!,Planning[[#This Row],[Proyectos]],#REF!,Planning[[#This Row],[Mes]],#REF!,Planning[[#This Row],[Año]])</f>
        <v>#REF!</v>
      </c>
      <c r="R2598" s="19" t="str">
        <f>TEXT(Planning[[#This Row],[Mes]]*29,"mmmm")</f>
        <v>October</v>
      </c>
      <c r="S25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98" s="228"/>
      <c r="U2598" s="43" t="e">
        <f>IF(Planning[[#This Row],[Horas Planificadas]]&lt;&gt;0,+K2598/Planning[[#This Row],[Horas Planificadas]],0)</f>
        <v>#REF!</v>
      </c>
      <c r="V2598" s="43" t="e">
        <f>IF(Planning[[#This Row],[Horas Planificadas]]&lt;&gt;0,Planning[[#This Row],[Horas utilizadas]]/Planning[[#This Row],[Horas Planificadas]],0)</f>
        <v>#REF!</v>
      </c>
      <c r="W2598" s="44">
        <f>Planning[[#This Row],[Horas Planificadas]]+Planning[[#This Row],[Horas ajustadas adicionales]]</f>
        <v>160</v>
      </c>
      <c r="X2598" s="142"/>
    </row>
    <row r="2599" spans="1:24" ht="13.35" customHeight="1" x14ac:dyDescent="0.2">
      <c r="A2599" s="7" t="s">
        <v>486</v>
      </c>
      <c r="B2599" s="7" t="s">
        <v>288</v>
      </c>
      <c r="C2599" s="3"/>
      <c r="D2599" s="3" t="s">
        <v>531</v>
      </c>
      <c r="E2599" s="4" t="s">
        <v>28</v>
      </c>
      <c r="F2599" s="3"/>
      <c r="G2599" s="9">
        <v>107</v>
      </c>
      <c r="H2599" s="14">
        <f>SUM(H2600:H2601)</f>
        <v>107</v>
      </c>
      <c r="I2599" s="14"/>
      <c r="J2599" s="14" t="e">
        <f>SUM(J2600:J2601)</f>
        <v>#REF!</v>
      </c>
      <c r="K2599" s="15" t="e">
        <f>SUM(K2600:K2601)</f>
        <v>#REF!</v>
      </c>
      <c r="L2599" s="15">
        <f>SUM(L2600:L2601)</f>
        <v>0</v>
      </c>
      <c r="M2599" s="28" t="e">
        <f>SUM(M2600:M2601)</f>
        <v>#REF!</v>
      </c>
      <c r="N2599" s="61" t="e">
        <f>+SUMIFS(#REF!,#REF!,Planning[[#This Row],[Proyectos]],#REF!,Planning[[#This Row],[Tipo de Tarea y especialidad]])</f>
        <v>#REF!</v>
      </c>
      <c r="O2599" s="28">
        <f t="shared" si="80"/>
        <v>10</v>
      </c>
      <c r="P2599" s="28">
        <f t="shared" si="81"/>
        <v>2024</v>
      </c>
      <c r="Q2599" s="28" t="e">
        <f>SUM(Q2600:Q2601)</f>
        <v>#REF!</v>
      </c>
      <c r="R2599" s="28" t="str">
        <f>TEXT(Planning[[#This Row],[Mes]]*29,"mmmm")</f>
        <v>October</v>
      </c>
      <c r="S25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599" s="207" t="s">
        <v>532</v>
      </c>
      <c r="U2599" s="43" t="e">
        <f>IF(Planning[[#This Row],[Horas Planificadas]]&lt;&gt;0,+K2599/Planning[[#This Row],[Horas Planificadas]],0)</f>
        <v>#REF!</v>
      </c>
      <c r="V2599" s="43" t="e">
        <f>IF(Planning[[#This Row],[Horas Planificadas]]&lt;&gt;0,Planning[[#This Row],[Horas utilizadas]]/Planning[[#This Row],[Horas Planificadas]],0)</f>
        <v>#REF!</v>
      </c>
      <c r="W2599" s="44">
        <f>Planning[[#This Row],[Horas Planificadas]]+Planning[[#This Row],[Horas ajustadas adicionales]]</f>
        <v>107</v>
      </c>
      <c r="X2599" s="142"/>
    </row>
    <row r="2600" spans="1:24" x14ac:dyDescent="0.2">
      <c r="A2600" s="7" t="s">
        <v>486</v>
      </c>
      <c r="B2600" s="7" t="s">
        <v>288</v>
      </c>
      <c r="C2600" s="3"/>
      <c r="D2600" s="3" t="s">
        <v>531</v>
      </c>
      <c r="E2600" s="4"/>
      <c r="F2600" s="3" t="s">
        <v>120</v>
      </c>
      <c r="G2600" s="9"/>
      <c r="H2600" s="9">
        <v>90</v>
      </c>
      <c r="I2600" s="12"/>
      <c r="J2600" s="5" t="e">
        <f>SUM(SUMIFS(#REF!,#REF!,Planning[[#This Row],[Tipo de Tarea y especialidad]],#REF!,Planning[[#This Row],[Proyectos Reiwa]]),SUMIFS(#REF!,#REF!,Planning[[#This Row],[Tipo de Tarea y especialidad]],#REF!,Planning[[#This Row],[Proyectos]]))</f>
        <v>#REF!</v>
      </c>
      <c r="K2600" s="5" t="e">
        <f>Planning[[#This Row],[Horas Planificadas]]+Planning[[#This Row],[Horas ajustadas adicionales]]-Planning[[#This Row],[Horas utilizadas]]</f>
        <v>#REF!</v>
      </c>
      <c r="L2600" s="7">
        <v>0</v>
      </c>
      <c r="M2600" s="19" t="e">
        <f>Planning[[#This Row],[Saldo]]-Planning[[#This Row],[Saldo estimado]]</f>
        <v>#REF!</v>
      </c>
      <c r="N2600" s="60" t="e">
        <f>+SUMIFS(#REF!,#REF!,Planning[[#This Row],[Proyectos]],#REF!,Planning[[#This Row],[Tipo de Tarea y especialidad]])</f>
        <v>#REF!</v>
      </c>
      <c r="O2600" s="19">
        <f t="shared" si="80"/>
        <v>10</v>
      </c>
      <c r="P2600" s="19">
        <f t="shared" si="81"/>
        <v>2024</v>
      </c>
      <c r="Q26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00" s="19" t="str">
        <f>TEXT(Planning[[#This Row],[Mes]]*29,"mmmm")</f>
        <v>October</v>
      </c>
      <c r="S26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00" s="208"/>
      <c r="U2600" s="43" t="e">
        <f>IF(Planning[[#This Row],[Horas Planificadas]]&lt;&gt;0,+K2600/Planning[[#This Row],[Horas Planificadas]],0)</f>
        <v>#REF!</v>
      </c>
      <c r="V2600" s="43" t="e">
        <f>IF(Planning[[#This Row],[Horas Planificadas]]&lt;&gt;0,Planning[[#This Row],[Horas utilizadas]]/Planning[[#This Row],[Horas Planificadas]],0)</f>
        <v>#REF!</v>
      </c>
      <c r="W2600" s="44">
        <f>Planning[[#This Row],[Horas Planificadas]]+Planning[[#This Row],[Horas ajustadas adicionales]]</f>
        <v>90</v>
      </c>
      <c r="X2600" s="142"/>
    </row>
    <row r="2601" spans="1:24" x14ac:dyDescent="0.2">
      <c r="A2601" s="7" t="s">
        <v>486</v>
      </c>
      <c r="B2601" s="7" t="s">
        <v>288</v>
      </c>
      <c r="C2601" s="3"/>
      <c r="D2601" s="3" t="s">
        <v>531</v>
      </c>
      <c r="E2601" s="4"/>
      <c r="F2601" s="3" t="s">
        <v>121</v>
      </c>
      <c r="G2601" s="9"/>
      <c r="H2601" s="9">
        <v>17</v>
      </c>
      <c r="I2601" s="12"/>
      <c r="J2601" s="5" t="e">
        <f>SUM(SUMIFS(#REF!,#REF!,Planning[[#This Row],[Tipo de Tarea y especialidad]],#REF!,Planning[[#This Row],[Proyectos Reiwa]]),SUMIFS(#REF!,#REF!,Planning[[#This Row],[Tipo de Tarea y especialidad]],#REF!,Planning[[#This Row],[Proyectos]]))</f>
        <v>#REF!</v>
      </c>
      <c r="K2601" s="5" t="e">
        <f>Planning[[#This Row],[Horas Planificadas]]+Planning[[#This Row],[Horas ajustadas adicionales]]-Planning[[#This Row],[Horas utilizadas]]</f>
        <v>#REF!</v>
      </c>
      <c r="L2601" s="7">
        <v>0</v>
      </c>
      <c r="M2601" s="19" t="e">
        <f>Planning[[#This Row],[Saldo]]-Planning[[#This Row],[Saldo estimado]]</f>
        <v>#REF!</v>
      </c>
      <c r="N2601" s="60" t="e">
        <f>+SUMIFS(#REF!,#REF!,Planning[[#This Row],[Proyectos]],#REF!,Planning[[#This Row],[Tipo de Tarea y especialidad]])</f>
        <v>#REF!</v>
      </c>
      <c r="O2601" s="19">
        <f t="shared" si="80"/>
        <v>10</v>
      </c>
      <c r="P2601" s="19">
        <f t="shared" si="81"/>
        <v>2024</v>
      </c>
      <c r="Q26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01" s="19" t="str">
        <f>TEXT(Planning[[#This Row],[Mes]]*29,"mmmm")</f>
        <v>October</v>
      </c>
      <c r="S26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01" s="208"/>
      <c r="U2601" s="43" t="e">
        <f>IF(Planning[[#This Row],[Horas Planificadas]]&lt;&gt;0,+K2601/Planning[[#This Row],[Horas Planificadas]],0)</f>
        <v>#REF!</v>
      </c>
      <c r="V2601" s="43" t="e">
        <f>IF(Planning[[#This Row],[Horas Planificadas]]&lt;&gt;0,Planning[[#This Row],[Horas utilizadas]]/Planning[[#This Row],[Horas Planificadas]],0)</f>
        <v>#REF!</v>
      </c>
      <c r="W2601" s="44">
        <f>Planning[[#This Row],[Horas Planificadas]]+Planning[[#This Row],[Horas ajustadas adicionales]]</f>
        <v>17</v>
      </c>
      <c r="X2601" s="142"/>
    </row>
    <row r="2602" spans="1:24" x14ac:dyDescent="0.2">
      <c r="A2602" s="7" t="s">
        <v>486</v>
      </c>
      <c r="B2602" s="7" t="s">
        <v>288</v>
      </c>
      <c r="C2602" s="3"/>
      <c r="D2602" s="3" t="s">
        <v>531</v>
      </c>
      <c r="E2602" s="4" t="s">
        <v>30</v>
      </c>
      <c r="F2602" s="3"/>
      <c r="G2602" s="9">
        <v>166</v>
      </c>
      <c r="H2602" s="25">
        <f>SUM(H2603:H2609)</f>
        <v>146</v>
      </c>
      <c r="I2602" s="14"/>
      <c r="J2602" s="14" t="e">
        <f>SUM(J2603:J2609)</f>
        <v>#REF!</v>
      </c>
      <c r="K2602" s="18" t="e">
        <f>SUM(K2603:K2609)</f>
        <v>#REF!</v>
      </c>
      <c r="L2602" s="15">
        <f>SUM(L2603:L2609)</f>
        <v>0</v>
      </c>
      <c r="M2602" s="16" t="e">
        <f>SUM(M2603:M2609)</f>
        <v>#REF!</v>
      </c>
      <c r="N2602" s="60" t="e">
        <f>+SUMIFS(#REF!,#REF!,Planning[[#This Row],[Proyectos]],#REF!,Planning[[#This Row],[Tipo de Tarea y especialidad]])</f>
        <v>#REF!</v>
      </c>
      <c r="O2602" s="16">
        <f t="shared" si="80"/>
        <v>10</v>
      </c>
      <c r="P2602" s="16">
        <f t="shared" si="81"/>
        <v>2024</v>
      </c>
      <c r="Q2602" s="16" t="e">
        <f>SUM(Q2603:Q2609)</f>
        <v>#REF!</v>
      </c>
      <c r="R2602" s="16" t="str">
        <f>TEXT(Planning[[#This Row],[Mes]]*29,"mmmm")</f>
        <v>October</v>
      </c>
      <c r="S26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02" s="208"/>
      <c r="U2602" s="43" t="e">
        <f>IF(Planning[[#This Row],[Horas Planificadas]]&lt;&gt;0,+K2602/Planning[[#This Row],[Horas Planificadas]],0)</f>
        <v>#REF!</v>
      </c>
      <c r="V2602" s="43" t="e">
        <f>IF(Planning[[#This Row],[Horas Planificadas]]&lt;&gt;0,Planning[[#This Row],[Horas utilizadas]]/Planning[[#This Row],[Horas Planificadas]],0)</f>
        <v>#REF!</v>
      </c>
      <c r="W2602" s="44">
        <f>Planning[[#This Row],[Horas Planificadas]]+Planning[[#This Row],[Horas ajustadas adicionales]]</f>
        <v>146</v>
      </c>
      <c r="X2602" s="142"/>
    </row>
    <row r="2603" spans="1:24" x14ac:dyDescent="0.2">
      <c r="A2603" s="7" t="s">
        <v>486</v>
      </c>
      <c r="B2603" s="7" t="s">
        <v>288</v>
      </c>
      <c r="C2603" s="3"/>
      <c r="D2603" s="3" t="s">
        <v>531</v>
      </c>
      <c r="E2603" s="4"/>
      <c r="F2603" s="3" t="s">
        <v>122</v>
      </c>
      <c r="G2603" s="9"/>
      <c r="H2603" s="12"/>
      <c r="I2603" s="12"/>
      <c r="J2603" s="5" t="e">
        <f>SUM(SUMIFS(#REF!,#REF!,Planning[[#This Row],[Tipo de Tarea y especialidad]],#REF!,Planning[[#This Row],[Proyectos Reiwa]]),SUMIFS(#REF!,#REF!,Planning[[#This Row],[Tipo de Tarea y especialidad]],#REF!,Planning[[#This Row],[Proyectos]]))</f>
        <v>#REF!</v>
      </c>
      <c r="K2603" s="27" t="e">
        <f>Planning[[#This Row],[Horas Planificadas]]+Planning[[#This Row],[Horas ajustadas adicionales]]-Planning[[#This Row],[Horas utilizadas]]</f>
        <v>#REF!</v>
      </c>
      <c r="L2603" s="7"/>
      <c r="M2603" s="34" t="e">
        <f>Planning[[#This Row],[Saldo]]-Planning[[#This Row],[Saldo estimado]]</f>
        <v>#REF!</v>
      </c>
      <c r="N2603" s="62" t="e">
        <f>+SUMIFS(#REF!,#REF!,Planning[[#This Row],[Proyectos]],#REF!,Planning[[#This Row],[Tipo de Tarea y especialidad]])</f>
        <v>#REF!</v>
      </c>
      <c r="O2603" s="34">
        <f t="shared" si="80"/>
        <v>10</v>
      </c>
      <c r="P2603" s="34">
        <f t="shared" si="81"/>
        <v>2024</v>
      </c>
      <c r="Q26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03" s="19" t="str">
        <f>TEXT(Planning[[#This Row],[Mes]]*29,"mmmm")</f>
        <v>October</v>
      </c>
      <c r="S26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03" s="208"/>
      <c r="U2603" s="43">
        <f>IF(Planning[[#This Row],[Horas Planificadas]]&lt;&gt;0,+K2603/Planning[[#This Row],[Horas Planificadas]],0)</f>
        <v>0</v>
      </c>
      <c r="V2603" s="43">
        <f>IF(Planning[[#This Row],[Horas Planificadas]]&lt;&gt;0,Planning[[#This Row],[Horas utilizadas]]/Planning[[#This Row],[Horas Planificadas]],0)</f>
        <v>0</v>
      </c>
      <c r="W2603" s="44">
        <f>Planning[[#This Row],[Horas Planificadas]]+Planning[[#This Row],[Horas ajustadas adicionales]]</f>
        <v>0</v>
      </c>
      <c r="X2603" s="142"/>
    </row>
    <row r="2604" spans="1:24" x14ac:dyDescent="0.2">
      <c r="A2604" s="7" t="s">
        <v>486</v>
      </c>
      <c r="B2604" s="7" t="s">
        <v>288</v>
      </c>
      <c r="C2604" s="3"/>
      <c r="D2604" s="3" t="s">
        <v>531</v>
      </c>
      <c r="E2604" s="4"/>
      <c r="F2604" s="3" t="s">
        <v>123</v>
      </c>
      <c r="G2604" s="9"/>
      <c r="H2604" s="9"/>
      <c r="I2604" s="12"/>
      <c r="J2604" s="5" t="e">
        <f>SUM(SUMIFS(#REF!,#REF!,Planning[[#This Row],[Tipo de Tarea y especialidad]],#REF!,Planning[[#This Row],[Proyectos Reiwa]]),SUMIFS(#REF!,#REF!,Planning[[#This Row],[Tipo de Tarea y especialidad]],#REF!,Planning[[#This Row],[Proyectos]]))</f>
        <v>#REF!</v>
      </c>
      <c r="K2604" s="5" t="e">
        <f>Planning[[#This Row],[Horas Planificadas]]+Planning[[#This Row],[Horas ajustadas adicionales]]-Planning[[#This Row],[Horas utilizadas]]</f>
        <v>#REF!</v>
      </c>
      <c r="L2604" s="7"/>
      <c r="M2604" s="19" t="e">
        <f>Planning[[#This Row],[Saldo]]-Planning[[#This Row],[Saldo estimado]]</f>
        <v>#REF!</v>
      </c>
      <c r="N2604" s="60" t="e">
        <f>+SUMIFS(#REF!,#REF!,Planning[[#This Row],[Proyectos]],#REF!,Planning[[#This Row],[Tipo de Tarea y especialidad]])</f>
        <v>#REF!</v>
      </c>
      <c r="O2604" s="19">
        <f t="shared" si="80"/>
        <v>10</v>
      </c>
      <c r="P2604" s="19">
        <f t="shared" si="81"/>
        <v>2024</v>
      </c>
      <c r="Q26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04" s="19" t="str">
        <f>TEXT(Planning[[#This Row],[Mes]]*29,"mmmm")</f>
        <v>October</v>
      </c>
      <c r="S26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04" s="208"/>
      <c r="U2604" s="43">
        <f>IF(Planning[[#This Row],[Horas Planificadas]]&lt;&gt;0,+K2604/Planning[[#This Row],[Horas Planificadas]],0)</f>
        <v>0</v>
      </c>
      <c r="V2604" s="43">
        <f>IF(Planning[[#This Row],[Horas Planificadas]]&lt;&gt;0,Planning[[#This Row],[Horas utilizadas]]/Planning[[#This Row],[Horas Planificadas]],0)</f>
        <v>0</v>
      </c>
      <c r="W2604" s="44">
        <f>Planning[[#This Row],[Horas Planificadas]]+Planning[[#This Row],[Horas ajustadas adicionales]]</f>
        <v>0</v>
      </c>
      <c r="X2604" s="142"/>
    </row>
    <row r="2605" spans="1:24" x14ac:dyDescent="0.2">
      <c r="A2605" s="7" t="s">
        <v>486</v>
      </c>
      <c r="B2605" s="7" t="s">
        <v>288</v>
      </c>
      <c r="C2605" s="3"/>
      <c r="D2605" s="3" t="s">
        <v>531</v>
      </c>
      <c r="E2605" s="4"/>
      <c r="F2605" s="3" t="s">
        <v>124</v>
      </c>
      <c r="G2605" s="9"/>
      <c r="H2605" s="9">
        <v>146</v>
      </c>
      <c r="I2605" s="12"/>
      <c r="J2605" s="5" t="e">
        <f>SUM(SUMIFS(#REF!,#REF!,Planning[[#This Row],[Tipo de Tarea y especialidad]],#REF!,Planning[[#This Row],[Proyectos Reiwa]]),SUMIFS(#REF!,#REF!,Planning[[#This Row],[Tipo de Tarea y especialidad]],#REF!,Planning[[#This Row],[Proyectos]]))</f>
        <v>#REF!</v>
      </c>
      <c r="K2605" s="5" t="e">
        <f>Planning[[#This Row],[Horas Planificadas]]+Planning[[#This Row],[Horas ajustadas adicionales]]-Planning[[#This Row],[Horas utilizadas]]</f>
        <v>#REF!</v>
      </c>
      <c r="L2605" s="7">
        <v>0</v>
      </c>
      <c r="M2605" s="19" t="e">
        <f>Planning[[#This Row],[Saldo]]-Planning[[#This Row],[Saldo estimado]]</f>
        <v>#REF!</v>
      </c>
      <c r="N2605" s="60" t="e">
        <f>+SUMIFS(#REF!,#REF!,Planning[[#This Row],[Proyectos]],#REF!,Planning[[#This Row],[Tipo de Tarea y especialidad]])</f>
        <v>#REF!</v>
      </c>
      <c r="O2605" s="19">
        <f t="shared" si="80"/>
        <v>10</v>
      </c>
      <c r="P2605" s="19">
        <f t="shared" si="81"/>
        <v>2024</v>
      </c>
      <c r="Q26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05" s="19" t="str">
        <f>TEXT(Planning[[#This Row],[Mes]]*29,"mmmm")</f>
        <v>October</v>
      </c>
      <c r="S26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05" s="208"/>
      <c r="U2605" s="43" t="e">
        <f>IF(Planning[[#This Row],[Horas Planificadas]]&lt;&gt;0,+K2605/Planning[[#This Row],[Horas Planificadas]],0)</f>
        <v>#REF!</v>
      </c>
      <c r="V2605" s="43" t="e">
        <f>IF(Planning[[#This Row],[Horas Planificadas]]&lt;&gt;0,Planning[[#This Row],[Horas utilizadas]]/Planning[[#This Row],[Horas Planificadas]],0)</f>
        <v>#REF!</v>
      </c>
      <c r="W2605" s="44">
        <f>Planning[[#This Row],[Horas Planificadas]]+Planning[[#This Row],[Horas ajustadas adicionales]]</f>
        <v>146</v>
      </c>
      <c r="X2605" s="142"/>
    </row>
    <row r="2606" spans="1:24" x14ac:dyDescent="0.2">
      <c r="A2606" s="7" t="s">
        <v>486</v>
      </c>
      <c r="B2606" s="7" t="s">
        <v>288</v>
      </c>
      <c r="C2606" s="3"/>
      <c r="D2606" s="3" t="s">
        <v>531</v>
      </c>
      <c r="E2606" s="4"/>
      <c r="F2606" s="3" t="s">
        <v>125</v>
      </c>
      <c r="G2606" s="9"/>
      <c r="H2606" s="12"/>
      <c r="I2606" s="12"/>
      <c r="J2606" s="5" t="e">
        <f>SUM(SUMIFS(#REF!,#REF!,Planning[[#This Row],[Tipo de Tarea y especialidad]],#REF!,Planning[[#This Row],[Proyectos Reiwa]]),SUMIFS(#REF!,#REF!,Planning[[#This Row],[Tipo de Tarea y especialidad]],#REF!,Planning[[#This Row],[Proyectos]]))</f>
        <v>#REF!</v>
      </c>
      <c r="K2606" s="27" t="e">
        <f>Planning[[#This Row],[Horas Planificadas]]+Planning[[#This Row],[Horas ajustadas adicionales]]-Planning[[#This Row],[Horas utilizadas]]</f>
        <v>#REF!</v>
      </c>
      <c r="L2606" s="7">
        <v>0</v>
      </c>
      <c r="M2606" s="19" t="e">
        <f>Planning[[#This Row],[Saldo]]-Planning[[#This Row],[Saldo estimado]]</f>
        <v>#REF!</v>
      </c>
      <c r="N2606" s="60" t="e">
        <f>+SUMIFS(#REF!,#REF!,Planning[[#This Row],[Proyectos]],#REF!,Planning[[#This Row],[Tipo de Tarea y especialidad]])</f>
        <v>#REF!</v>
      </c>
      <c r="O2606" s="19">
        <f t="shared" si="80"/>
        <v>10</v>
      </c>
      <c r="P2606" s="19">
        <f t="shared" si="81"/>
        <v>2024</v>
      </c>
      <c r="Q26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06" s="19" t="str">
        <f>TEXT(Planning[[#This Row],[Mes]]*29,"mmmm")</f>
        <v>October</v>
      </c>
      <c r="S26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06" s="208"/>
      <c r="U2606" s="43">
        <f>IF(Planning[[#This Row],[Horas Planificadas]]&lt;&gt;0,+K2606/Planning[[#This Row],[Horas Planificadas]],0)</f>
        <v>0</v>
      </c>
      <c r="V2606" s="43">
        <f>IF(Planning[[#This Row],[Horas Planificadas]]&lt;&gt;0,Planning[[#This Row],[Horas utilizadas]]/Planning[[#This Row],[Horas Planificadas]],0)</f>
        <v>0</v>
      </c>
      <c r="W2606" s="44">
        <f>Planning[[#This Row],[Horas Planificadas]]+Planning[[#This Row],[Horas ajustadas adicionales]]</f>
        <v>0</v>
      </c>
      <c r="X2606" s="142"/>
    </row>
    <row r="2607" spans="1:24" x14ac:dyDescent="0.2">
      <c r="A2607" s="7" t="s">
        <v>486</v>
      </c>
      <c r="B2607" s="7" t="s">
        <v>288</v>
      </c>
      <c r="C2607" s="3"/>
      <c r="D2607" s="3" t="s">
        <v>531</v>
      </c>
      <c r="E2607" s="4"/>
      <c r="F2607" s="3" t="s">
        <v>126</v>
      </c>
      <c r="G2607" s="9"/>
      <c r="H2607" s="9"/>
      <c r="I2607" s="12"/>
      <c r="J2607" s="5" t="e">
        <f>SUM(SUMIFS(#REF!,#REF!,Planning[[#This Row],[Tipo de Tarea y especialidad]],#REF!,Planning[[#This Row],[Proyectos Reiwa]]),SUMIFS(#REF!,#REF!,Planning[[#This Row],[Tipo de Tarea y especialidad]],#REF!,Planning[[#This Row],[Proyectos]]))</f>
        <v>#REF!</v>
      </c>
      <c r="K2607" s="5" t="e">
        <f>Planning[[#This Row],[Horas Planificadas]]+Planning[[#This Row],[Horas ajustadas adicionales]]-Planning[[#This Row],[Horas utilizadas]]</f>
        <v>#REF!</v>
      </c>
      <c r="L2607" s="7"/>
      <c r="M2607" s="19" t="e">
        <f>Planning[[#This Row],[Saldo]]-Planning[[#This Row],[Saldo estimado]]</f>
        <v>#REF!</v>
      </c>
      <c r="N2607" s="60" t="e">
        <f>+SUMIFS(#REF!,#REF!,Planning[[#This Row],[Proyectos]],#REF!,Planning[[#This Row],[Tipo de Tarea y especialidad]])</f>
        <v>#REF!</v>
      </c>
      <c r="O2607" s="19">
        <f t="shared" si="80"/>
        <v>10</v>
      </c>
      <c r="P2607" s="19">
        <f t="shared" si="81"/>
        <v>2024</v>
      </c>
      <c r="Q26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07" s="19" t="str">
        <f>TEXT(Planning[[#This Row],[Mes]]*29,"mmmm")</f>
        <v>October</v>
      </c>
      <c r="S26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07" s="208"/>
      <c r="U2607" s="43">
        <f>IF(Planning[[#This Row],[Horas Planificadas]]&lt;&gt;0,+K2607/Planning[[#This Row],[Horas Planificadas]],0)</f>
        <v>0</v>
      </c>
      <c r="V2607" s="43">
        <f>IF(Planning[[#This Row],[Horas Planificadas]]&lt;&gt;0,Planning[[#This Row],[Horas utilizadas]]/Planning[[#This Row],[Horas Planificadas]],0)</f>
        <v>0</v>
      </c>
      <c r="W2607" s="44">
        <f>Planning[[#This Row],[Horas Planificadas]]+Planning[[#This Row],[Horas ajustadas adicionales]]</f>
        <v>0</v>
      </c>
      <c r="X2607" s="142"/>
    </row>
    <row r="2608" spans="1:24" x14ac:dyDescent="0.2">
      <c r="A2608" s="7" t="s">
        <v>486</v>
      </c>
      <c r="B2608" s="7" t="s">
        <v>288</v>
      </c>
      <c r="C2608" s="3"/>
      <c r="D2608" s="3" t="s">
        <v>531</v>
      </c>
      <c r="E2608" s="4"/>
      <c r="F2608" s="3" t="s">
        <v>127</v>
      </c>
      <c r="G2608" s="9"/>
      <c r="H2608" s="9"/>
      <c r="I2608" s="12"/>
      <c r="J2608" s="5" t="e">
        <f>SUM(SUMIFS(#REF!,#REF!,Planning[[#This Row],[Tipo de Tarea y especialidad]],#REF!,Planning[[#This Row],[Proyectos Reiwa]]),SUMIFS(#REF!,#REF!,Planning[[#This Row],[Tipo de Tarea y especialidad]],#REF!,Planning[[#This Row],[Proyectos]]))</f>
        <v>#REF!</v>
      </c>
      <c r="K2608" s="5" t="e">
        <f>Planning[[#This Row],[Horas Planificadas]]+Planning[[#This Row],[Horas ajustadas adicionales]]-Planning[[#This Row],[Horas utilizadas]]</f>
        <v>#REF!</v>
      </c>
      <c r="L2608" s="7"/>
      <c r="M2608" s="19" t="e">
        <f>Planning[[#This Row],[Saldo]]-Planning[[#This Row],[Saldo estimado]]</f>
        <v>#REF!</v>
      </c>
      <c r="N2608" s="60" t="e">
        <f>+SUMIFS(#REF!,#REF!,Planning[[#This Row],[Proyectos]],#REF!,Planning[[#This Row],[Tipo de Tarea y especialidad]])</f>
        <v>#REF!</v>
      </c>
      <c r="O2608" s="19">
        <f t="shared" si="80"/>
        <v>10</v>
      </c>
      <c r="P2608" s="19">
        <f t="shared" si="81"/>
        <v>2024</v>
      </c>
      <c r="Q26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08" s="19" t="str">
        <f>TEXT(Planning[[#This Row],[Mes]]*29,"mmmm")</f>
        <v>October</v>
      </c>
      <c r="S26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08" s="208"/>
      <c r="U2608" s="43">
        <f>IF(Planning[[#This Row],[Horas Planificadas]]&lt;&gt;0,+K2608/Planning[[#This Row],[Horas Planificadas]],0)</f>
        <v>0</v>
      </c>
      <c r="V2608" s="43">
        <f>IF(Planning[[#This Row],[Horas Planificadas]]&lt;&gt;0,Planning[[#This Row],[Horas utilizadas]]/Planning[[#This Row],[Horas Planificadas]],0)</f>
        <v>0</v>
      </c>
      <c r="W2608" s="44">
        <f>Planning[[#This Row],[Horas Planificadas]]+Planning[[#This Row],[Horas ajustadas adicionales]]</f>
        <v>0</v>
      </c>
      <c r="X2608" s="142"/>
    </row>
    <row r="2609" spans="1:24" x14ac:dyDescent="0.2">
      <c r="A2609" s="7" t="s">
        <v>486</v>
      </c>
      <c r="B2609" s="7" t="s">
        <v>288</v>
      </c>
      <c r="C2609" s="3"/>
      <c r="D2609" s="3" t="s">
        <v>531</v>
      </c>
      <c r="E2609" s="4"/>
      <c r="F2609" s="3" t="s">
        <v>128</v>
      </c>
      <c r="G2609" s="9"/>
      <c r="H2609" s="9"/>
      <c r="I2609" s="12"/>
      <c r="J2609" s="5" t="e">
        <f>SUM(SUMIFS(#REF!,#REF!,Planning[[#This Row],[Tipo de Tarea y especialidad]],#REF!,Planning[[#This Row],[Proyectos Reiwa]]),SUMIFS(#REF!,#REF!,Planning[[#This Row],[Tipo de Tarea y especialidad]],#REF!,Planning[[#This Row],[Proyectos]]))</f>
        <v>#REF!</v>
      </c>
      <c r="K2609" s="5" t="e">
        <f>Planning[[#This Row],[Horas Planificadas]]+Planning[[#This Row],[Horas ajustadas adicionales]]-Planning[[#This Row],[Horas utilizadas]]</f>
        <v>#REF!</v>
      </c>
      <c r="L2609" s="7">
        <v>0</v>
      </c>
      <c r="M2609" s="19" t="e">
        <f>Planning[[#This Row],[Saldo]]-Planning[[#This Row],[Saldo estimado]]</f>
        <v>#REF!</v>
      </c>
      <c r="N2609" s="60" t="e">
        <f>+SUMIFS(#REF!,#REF!,Planning[[#This Row],[Proyectos]],#REF!,Planning[[#This Row],[Tipo de Tarea y especialidad]])</f>
        <v>#REF!</v>
      </c>
      <c r="O2609" s="19">
        <f t="shared" si="80"/>
        <v>10</v>
      </c>
      <c r="P2609" s="19">
        <f t="shared" si="81"/>
        <v>2024</v>
      </c>
      <c r="Q26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09" s="19" t="str">
        <f>TEXT(Planning[[#This Row],[Mes]]*29,"mmmm")</f>
        <v>October</v>
      </c>
      <c r="S26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09" s="208"/>
      <c r="U2609" s="43">
        <f>IF(Planning[[#This Row],[Horas Planificadas]]&lt;&gt;0,+K2609/Planning[[#This Row],[Horas Planificadas]],0)</f>
        <v>0</v>
      </c>
      <c r="V2609" s="43">
        <f>IF(Planning[[#This Row],[Horas Planificadas]]&lt;&gt;0,Planning[[#This Row],[Horas utilizadas]]/Planning[[#This Row],[Horas Planificadas]],0)</f>
        <v>0</v>
      </c>
      <c r="W2609" s="44">
        <f>Planning[[#This Row],[Horas Planificadas]]+Planning[[#This Row],[Horas ajustadas adicionales]]</f>
        <v>0</v>
      </c>
      <c r="X2609" s="142"/>
    </row>
    <row r="2610" spans="1:24" x14ac:dyDescent="0.2">
      <c r="A2610" s="7" t="s">
        <v>486</v>
      </c>
      <c r="B2610" s="7" t="s">
        <v>288</v>
      </c>
      <c r="C2610" s="3"/>
      <c r="D2610" s="3" t="s">
        <v>531</v>
      </c>
      <c r="E2610" s="4" t="s">
        <v>31</v>
      </c>
      <c r="F2610" s="3" t="s">
        <v>31</v>
      </c>
      <c r="G2610" s="9">
        <v>72</v>
      </c>
      <c r="H2610" s="17">
        <v>72</v>
      </c>
      <c r="I2610" s="18"/>
      <c r="J2610" s="14" t="e">
        <f>+SUMIFS(#REF!,#REF!,Planning[[#This Row],[Tarifa]],#REF!,Planning[[#This Row],[Proyectos]])</f>
        <v>#REF!</v>
      </c>
      <c r="K2610" s="14" t="e">
        <f>Planning[[#This Row],[Horas Planificadas]]+Planning[[#This Row],[Horas ajustadas adicionales]]-Planning[[#This Row],[Horas utilizadas]]</f>
        <v>#REF!</v>
      </c>
      <c r="L2610" s="15">
        <v>0</v>
      </c>
      <c r="M2610" s="16" t="e">
        <f>Planning[[#This Row],[Saldo]]-Planning[[#This Row],[Saldo estimado]]</f>
        <v>#REF!</v>
      </c>
      <c r="N2610" s="60" t="e">
        <f>+SUMIFS(#REF!,#REF!,Planning[[#This Row],[Proyectos]],#REF!,Planning[[#This Row],[Tipo de Tarea y especialidad]])</f>
        <v>#REF!</v>
      </c>
      <c r="O2610" s="16">
        <f t="shared" si="80"/>
        <v>10</v>
      </c>
      <c r="P2610" s="16">
        <f t="shared" si="81"/>
        <v>2024</v>
      </c>
      <c r="Q2610" s="16" t="e">
        <f>+SUMIFS(#REF!,#REF!,Planning[[#This Row],[Tarifa]],#REF!,Planning[[#This Row],[Proyectos]],#REF!,Planning[[#This Row],[Mes]],#REF!,Planning[[#This Row],[Año]])</f>
        <v>#REF!</v>
      </c>
      <c r="R2610" s="16" t="str">
        <f>TEXT(Planning[[#This Row],[Mes]]*29,"mmmm")</f>
        <v>October</v>
      </c>
      <c r="S26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10" s="208"/>
      <c r="U2610" s="43" t="e">
        <f>IF(Planning[[#This Row],[Horas Planificadas]]&lt;&gt;0,+K2610/Planning[[#This Row],[Horas Planificadas]],0)</f>
        <v>#REF!</v>
      </c>
      <c r="V2610" s="43" t="e">
        <f>IF(Planning[[#This Row],[Horas Planificadas]]&lt;&gt;0,Planning[[#This Row],[Horas utilizadas]]/Planning[[#This Row],[Horas Planificadas]],0)</f>
        <v>#REF!</v>
      </c>
      <c r="W2610" s="44">
        <f>Planning[[#This Row],[Horas Planificadas]]+Planning[[#This Row],[Horas ajustadas adicionales]]</f>
        <v>72</v>
      </c>
      <c r="X2610" s="142"/>
    </row>
    <row r="2611" spans="1:24" ht="22.5" x14ac:dyDescent="0.2">
      <c r="A2611" s="7" t="s">
        <v>486</v>
      </c>
      <c r="B2611" s="7" t="s">
        <v>288</v>
      </c>
      <c r="C2611" s="3"/>
      <c r="D2611" s="3" t="s">
        <v>531</v>
      </c>
      <c r="E2611" s="4" t="s">
        <v>32</v>
      </c>
      <c r="F2611" s="3"/>
      <c r="G2611" s="9">
        <v>220</v>
      </c>
      <c r="H2611" s="25">
        <f>SUM(H2612:H2614)</f>
        <v>220</v>
      </c>
      <c r="I2611" s="14"/>
      <c r="J2611" s="14" t="e">
        <f>SUM(J2612:J2614)</f>
        <v>#REF!</v>
      </c>
      <c r="K2611" s="18" t="e">
        <f>SUM(K2612:K2614)</f>
        <v>#REF!</v>
      </c>
      <c r="L2611" s="15">
        <f>SUM(L2612:L2614)</f>
        <v>220</v>
      </c>
      <c r="M2611" s="16" t="e">
        <f>SUM(M2612:M2614)</f>
        <v>#REF!</v>
      </c>
      <c r="N2611" s="60" t="e">
        <f>+SUMIFS(#REF!,#REF!,Planning[[#This Row],[Proyectos]],#REF!,Planning[[#This Row],[Tipo de Tarea y especialidad]])</f>
        <v>#REF!</v>
      </c>
      <c r="O2611" s="16">
        <f t="shared" si="80"/>
        <v>10</v>
      </c>
      <c r="P2611" s="16">
        <f t="shared" si="81"/>
        <v>2024</v>
      </c>
      <c r="Q2611" s="16" t="e">
        <f>SUM(Q2612:Q2614)</f>
        <v>#REF!</v>
      </c>
      <c r="R2611" s="16" t="str">
        <f>TEXT(Planning[[#This Row],[Mes]]*29,"mmmm")</f>
        <v>October</v>
      </c>
      <c r="S26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11" s="208"/>
      <c r="U2611" s="43" t="e">
        <f>IF(Planning[[#This Row],[Horas Planificadas]]&lt;&gt;0,+K2611/Planning[[#This Row],[Horas Planificadas]],0)</f>
        <v>#REF!</v>
      </c>
      <c r="V2611" s="43" t="e">
        <f>IF(Planning[[#This Row],[Horas Planificadas]]&lt;&gt;0,Planning[[#This Row],[Horas utilizadas]]/Planning[[#This Row],[Horas Planificadas]],0)</f>
        <v>#REF!</v>
      </c>
      <c r="W2611" s="44">
        <f>Planning[[#This Row],[Horas Planificadas]]+Planning[[#This Row],[Horas ajustadas adicionales]]</f>
        <v>220</v>
      </c>
      <c r="X2611" s="142"/>
    </row>
    <row r="2612" spans="1:24" x14ac:dyDescent="0.2">
      <c r="A2612" s="7" t="s">
        <v>486</v>
      </c>
      <c r="B2612" s="7" t="s">
        <v>288</v>
      </c>
      <c r="C2612" s="3"/>
      <c r="D2612" s="3" t="s">
        <v>531</v>
      </c>
      <c r="E2612" s="4"/>
      <c r="F2612" s="3" t="s">
        <v>129</v>
      </c>
      <c r="G2612" s="9"/>
      <c r="H2612" s="9"/>
      <c r="I2612" s="12"/>
      <c r="J2612" s="5" t="e">
        <f>SUM(SUMIFS(#REF!,#REF!,Planning[[#This Row],[Tipo de Tarea y especialidad]],#REF!,Planning[[#This Row],[Proyectos Reiwa]]),SUMIFS(#REF!,#REF!,Planning[[#This Row],[Tipo de Tarea y especialidad]],#REF!,Planning[[#This Row],[Proyectos]]))</f>
        <v>#REF!</v>
      </c>
      <c r="K2612" s="5" t="e">
        <f>Planning[[#This Row],[Horas Planificadas]]+Planning[[#This Row],[Horas ajustadas adicionales]]-Planning[[#This Row],[Horas utilizadas]]</f>
        <v>#REF!</v>
      </c>
      <c r="L2612" s="7"/>
      <c r="M2612" s="19" t="e">
        <f>Planning[[#This Row],[Saldo]]-Planning[[#This Row],[Saldo estimado]]</f>
        <v>#REF!</v>
      </c>
      <c r="N2612" s="60" t="e">
        <f>+SUMIFS(#REF!,#REF!,Planning[[#This Row],[Proyectos]],#REF!,Planning[[#This Row],[Tipo de Tarea y especialidad]])</f>
        <v>#REF!</v>
      </c>
      <c r="O2612" s="19">
        <f t="shared" si="80"/>
        <v>10</v>
      </c>
      <c r="P2612" s="19">
        <f t="shared" si="81"/>
        <v>2024</v>
      </c>
      <c r="Q26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12" s="19" t="str">
        <f>TEXT(Planning[[#This Row],[Mes]]*29,"mmmm")</f>
        <v>October</v>
      </c>
      <c r="S26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12" s="208"/>
      <c r="U2612" s="43">
        <f>IF(Planning[[#This Row],[Horas Planificadas]]&lt;&gt;0,+K2612/Planning[[#This Row],[Horas Planificadas]],0)</f>
        <v>0</v>
      </c>
      <c r="V2612" s="43">
        <f>IF(Planning[[#This Row],[Horas Planificadas]]&lt;&gt;0,Planning[[#This Row],[Horas utilizadas]]/Planning[[#This Row],[Horas Planificadas]],0)</f>
        <v>0</v>
      </c>
      <c r="W2612" s="44">
        <f>Planning[[#This Row],[Horas Planificadas]]+Planning[[#This Row],[Horas ajustadas adicionales]]</f>
        <v>0</v>
      </c>
      <c r="X2612" s="142"/>
    </row>
    <row r="2613" spans="1:24" x14ac:dyDescent="0.2">
      <c r="A2613" s="7" t="s">
        <v>486</v>
      </c>
      <c r="B2613" s="7" t="s">
        <v>288</v>
      </c>
      <c r="C2613" s="3"/>
      <c r="D2613" s="3" t="s">
        <v>531</v>
      </c>
      <c r="E2613" s="4"/>
      <c r="F2613" s="3" t="s">
        <v>130</v>
      </c>
      <c r="G2613" s="9"/>
      <c r="H2613" s="9"/>
      <c r="I2613" s="12"/>
      <c r="J2613" s="5" t="e">
        <f>SUM(SUMIFS(#REF!,#REF!,Planning[[#This Row],[Tipo de Tarea y especialidad]],#REF!,Planning[[#This Row],[Proyectos Reiwa]]),SUMIFS(#REF!,#REF!,Planning[[#This Row],[Tipo de Tarea y especialidad]],#REF!,Planning[[#This Row],[Proyectos]]))</f>
        <v>#REF!</v>
      </c>
      <c r="K2613" s="5" t="e">
        <f>Planning[[#This Row],[Horas Planificadas]]+Planning[[#This Row],[Horas ajustadas adicionales]]-Planning[[#This Row],[Horas utilizadas]]</f>
        <v>#REF!</v>
      </c>
      <c r="L2613" s="7"/>
      <c r="M2613" s="19" t="e">
        <f>Planning[[#This Row],[Saldo]]-Planning[[#This Row],[Saldo estimado]]</f>
        <v>#REF!</v>
      </c>
      <c r="N2613" s="60" t="e">
        <f>+SUMIFS(#REF!,#REF!,Planning[[#This Row],[Proyectos]],#REF!,Planning[[#This Row],[Tipo de Tarea y especialidad]])</f>
        <v>#REF!</v>
      </c>
      <c r="O2613" s="19">
        <f t="shared" si="80"/>
        <v>10</v>
      </c>
      <c r="P2613" s="19">
        <f t="shared" si="81"/>
        <v>2024</v>
      </c>
      <c r="Q26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13" s="19" t="str">
        <f>TEXT(Planning[[#This Row],[Mes]]*29,"mmmm")</f>
        <v>October</v>
      </c>
      <c r="S26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13" s="208"/>
      <c r="U2613" s="43">
        <f>IF(Planning[[#This Row],[Horas Planificadas]]&lt;&gt;0,+K2613/Planning[[#This Row],[Horas Planificadas]],0)</f>
        <v>0</v>
      </c>
      <c r="V2613" s="43">
        <f>IF(Planning[[#This Row],[Horas Planificadas]]&lt;&gt;0,Planning[[#This Row],[Horas utilizadas]]/Planning[[#This Row],[Horas Planificadas]],0)</f>
        <v>0</v>
      </c>
      <c r="W2613" s="44">
        <f>Planning[[#This Row],[Horas Planificadas]]+Planning[[#This Row],[Horas ajustadas adicionales]]</f>
        <v>0</v>
      </c>
      <c r="X2613" s="142"/>
    </row>
    <row r="2614" spans="1:24" x14ac:dyDescent="0.2">
      <c r="A2614" s="7" t="s">
        <v>486</v>
      </c>
      <c r="B2614" s="7" t="s">
        <v>288</v>
      </c>
      <c r="C2614" s="3"/>
      <c r="D2614" s="3" t="s">
        <v>531</v>
      </c>
      <c r="E2614" s="4"/>
      <c r="F2614" s="3" t="s">
        <v>131</v>
      </c>
      <c r="G2614" s="9"/>
      <c r="H2614" s="9">
        <v>220</v>
      </c>
      <c r="I2614" s="12"/>
      <c r="J2614" s="5" t="e">
        <f>SUM(SUMIFS(#REF!,#REF!,Planning[[#This Row],[Tipo de Tarea y especialidad]],#REF!,Planning[[#This Row],[Proyectos Reiwa]]),SUMIFS(#REF!,#REF!,Planning[[#This Row],[Tipo de Tarea y especialidad]],#REF!,Planning[[#This Row],[Proyectos]]))</f>
        <v>#REF!</v>
      </c>
      <c r="K2614" s="5" t="e">
        <f>Planning[[#This Row],[Horas Planificadas]]+Planning[[#This Row],[Horas ajustadas adicionales]]-Planning[[#This Row],[Horas utilizadas]]</f>
        <v>#REF!</v>
      </c>
      <c r="L2614" s="7">
        <v>220</v>
      </c>
      <c r="M2614" s="19" t="e">
        <f>Planning[[#This Row],[Saldo]]-Planning[[#This Row],[Saldo estimado]]</f>
        <v>#REF!</v>
      </c>
      <c r="N2614" s="60" t="e">
        <f>+SUMIFS(#REF!,#REF!,Planning[[#This Row],[Proyectos]],#REF!,Planning[[#This Row],[Tipo de Tarea y especialidad]])</f>
        <v>#REF!</v>
      </c>
      <c r="O2614" s="19">
        <f t="shared" si="80"/>
        <v>10</v>
      </c>
      <c r="P2614" s="19">
        <f t="shared" si="81"/>
        <v>2024</v>
      </c>
      <c r="Q26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14" s="19" t="str">
        <f>TEXT(Planning[[#This Row],[Mes]]*29,"mmmm")</f>
        <v>October</v>
      </c>
      <c r="S26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14" s="208"/>
      <c r="U2614" s="43" t="e">
        <f>IF(Planning[[#This Row],[Horas Planificadas]]&lt;&gt;0,+K2614/Planning[[#This Row],[Horas Planificadas]],0)</f>
        <v>#REF!</v>
      </c>
      <c r="V2614" s="43" t="e">
        <f>IF(Planning[[#This Row],[Horas Planificadas]]&lt;&gt;0,Planning[[#This Row],[Horas utilizadas]]/Planning[[#This Row],[Horas Planificadas]],0)</f>
        <v>#REF!</v>
      </c>
      <c r="W2614" s="44">
        <f>Planning[[#This Row],[Horas Planificadas]]+Planning[[#This Row],[Horas ajustadas adicionales]]</f>
        <v>220</v>
      </c>
      <c r="X2614" s="142"/>
    </row>
    <row r="2615" spans="1:24" ht="22.5" x14ac:dyDescent="0.2">
      <c r="A2615" s="7" t="s">
        <v>117</v>
      </c>
      <c r="B2615" s="7" t="s">
        <v>178</v>
      </c>
      <c r="C2615" s="3"/>
      <c r="D2615" s="3" t="s">
        <v>533</v>
      </c>
      <c r="E2615" s="4" t="s">
        <v>28</v>
      </c>
      <c r="F2615" s="3"/>
      <c r="G2615" s="9">
        <v>45</v>
      </c>
      <c r="H2615" s="14">
        <f>SUM(H2616:H2617)</f>
        <v>45</v>
      </c>
      <c r="I2615" s="14"/>
      <c r="J2615" s="14" t="e">
        <f>SUM(J2616:J2617)</f>
        <v>#REF!</v>
      </c>
      <c r="K2615" s="15" t="e">
        <f>SUM(K2616:K2617)</f>
        <v>#REF!</v>
      </c>
      <c r="L2615" s="15">
        <f>SUM(L2616:L2617)</f>
        <v>0</v>
      </c>
      <c r="M2615" s="28" t="e">
        <f>SUM(M2616:M2617)</f>
        <v>#REF!</v>
      </c>
      <c r="N2615" s="61" t="e">
        <f>+SUMIFS(#REF!,#REF!,Planning[[#This Row],[Proyectos]],#REF!,Planning[[#This Row],[Tipo de Tarea y especialidad]])</f>
        <v>#REF!</v>
      </c>
      <c r="O2615" s="28">
        <f t="shared" si="80"/>
        <v>10</v>
      </c>
      <c r="P2615" s="28">
        <f t="shared" si="81"/>
        <v>2024</v>
      </c>
      <c r="Q2615" s="28" t="e">
        <f>SUM(Q2616:Q2617)</f>
        <v>#REF!</v>
      </c>
      <c r="R2615" s="28" t="str">
        <f>TEXT(Planning[[#This Row],[Mes]]*29,"mmmm")</f>
        <v>October</v>
      </c>
      <c r="S26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15" s="192" t="s">
        <v>534</v>
      </c>
      <c r="U2615" s="43" t="e">
        <f>IF(Planning[[#This Row],[Horas Planificadas]]&lt;&gt;0,+K2615/Planning[[#This Row],[Horas Planificadas]],0)</f>
        <v>#REF!</v>
      </c>
      <c r="V2615" s="43" t="e">
        <f>IF(Planning[[#This Row],[Horas Planificadas]]&lt;&gt;0,Planning[[#This Row],[Horas utilizadas]]/Planning[[#This Row],[Horas Planificadas]],0)</f>
        <v>#REF!</v>
      </c>
      <c r="W2615" s="44">
        <f>Planning[[#This Row],[Horas Planificadas]]+Planning[[#This Row],[Horas ajustadas adicionales]]</f>
        <v>45</v>
      </c>
      <c r="X2615" s="142"/>
    </row>
    <row r="2616" spans="1:24" x14ac:dyDescent="0.2">
      <c r="A2616" s="7" t="s">
        <v>117</v>
      </c>
      <c r="B2616" s="7" t="s">
        <v>178</v>
      </c>
      <c r="C2616" s="3"/>
      <c r="D2616" s="3" t="s">
        <v>533</v>
      </c>
      <c r="E2616" s="4"/>
      <c r="F2616" s="3" t="s">
        <v>120</v>
      </c>
      <c r="G2616" s="9"/>
      <c r="H2616" s="9"/>
      <c r="I2616" s="12"/>
      <c r="J2616" s="5" t="e">
        <f>SUM(SUMIFS(#REF!,#REF!,Planning[[#This Row],[Tipo de Tarea y especialidad]],#REF!,Planning[[#This Row],[Proyectos Reiwa]]),SUMIFS(#REF!,#REF!,Planning[[#This Row],[Tipo de Tarea y especialidad]],#REF!,Planning[[#This Row],[Proyectos]]))</f>
        <v>#REF!</v>
      </c>
      <c r="K2616" s="5" t="e">
        <f>Planning[[#This Row],[Horas Planificadas]]+Planning[[#This Row],[Horas ajustadas adicionales]]-Planning[[#This Row],[Horas utilizadas]]</f>
        <v>#REF!</v>
      </c>
      <c r="L2616" s="7">
        <v>0</v>
      </c>
      <c r="M2616" s="19" t="e">
        <f>Planning[[#This Row],[Saldo]]-Planning[[#This Row],[Saldo estimado]]</f>
        <v>#REF!</v>
      </c>
      <c r="N2616" s="60" t="e">
        <f>+SUMIFS(#REF!,#REF!,Planning[[#This Row],[Proyectos]],#REF!,Planning[[#This Row],[Tipo de Tarea y especialidad]])</f>
        <v>#REF!</v>
      </c>
      <c r="O2616" s="19">
        <f t="shared" si="80"/>
        <v>10</v>
      </c>
      <c r="P2616" s="19">
        <f t="shared" si="81"/>
        <v>2024</v>
      </c>
      <c r="Q26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16" s="19" t="str">
        <f>TEXT(Planning[[#This Row],[Mes]]*29,"mmmm")</f>
        <v>October</v>
      </c>
      <c r="S26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16" s="193"/>
      <c r="U2616" s="43">
        <f>IF(Planning[[#This Row],[Horas Planificadas]]&lt;&gt;0,+K2616/Planning[[#This Row],[Horas Planificadas]],0)</f>
        <v>0</v>
      </c>
      <c r="V2616" s="43">
        <f>IF(Planning[[#This Row],[Horas Planificadas]]&lt;&gt;0,Planning[[#This Row],[Horas utilizadas]]/Planning[[#This Row],[Horas Planificadas]],0)</f>
        <v>0</v>
      </c>
      <c r="W2616" s="44">
        <f>Planning[[#This Row],[Horas Planificadas]]+Planning[[#This Row],[Horas ajustadas adicionales]]</f>
        <v>0</v>
      </c>
      <c r="X2616" s="142"/>
    </row>
    <row r="2617" spans="1:24" x14ac:dyDescent="0.2">
      <c r="A2617" s="7" t="s">
        <v>117</v>
      </c>
      <c r="B2617" s="7" t="s">
        <v>178</v>
      </c>
      <c r="C2617" s="3"/>
      <c r="D2617" s="3" t="s">
        <v>533</v>
      </c>
      <c r="E2617" s="4"/>
      <c r="F2617" s="3" t="s">
        <v>121</v>
      </c>
      <c r="G2617" s="9"/>
      <c r="H2617" s="9">
        <v>45</v>
      </c>
      <c r="I2617" s="12"/>
      <c r="J2617" s="5" t="e">
        <f>SUM(SUMIFS(#REF!,#REF!,Planning[[#This Row],[Tipo de Tarea y especialidad]],#REF!,Planning[[#This Row],[Proyectos Reiwa]]),SUMIFS(#REF!,#REF!,Planning[[#This Row],[Tipo de Tarea y especialidad]],#REF!,Planning[[#This Row],[Proyectos]]))</f>
        <v>#REF!</v>
      </c>
      <c r="K2617" s="5" t="e">
        <f>Planning[[#This Row],[Horas Planificadas]]+Planning[[#This Row],[Horas ajustadas adicionales]]-Planning[[#This Row],[Horas utilizadas]]</f>
        <v>#REF!</v>
      </c>
      <c r="L2617" s="7">
        <v>0</v>
      </c>
      <c r="M2617" s="19" t="e">
        <f>Planning[[#This Row],[Saldo]]-Planning[[#This Row],[Saldo estimado]]</f>
        <v>#REF!</v>
      </c>
      <c r="N2617" s="60" t="e">
        <f>+SUMIFS(#REF!,#REF!,Planning[[#This Row],[Proyectos]],#REF!,Planning[[#This Row],[Tipo de Tarea y especialidad]])</f>
        <v>#REF!</v>
      </c>
      <c r="O2617" s="19">
        <f t="shared" si="80"/>
        <v>10</v>
      </c>
      <c r="P2617" s="19">
        <f t="shared" si="81"/>
        <v>2024</v>
      </c>
      <c r="Q26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17" s="19" t="str">
        <f>TEXT(Planning[[#This Row],[Mes]]*29,"mmmm")</f>
        <v>October</v>
      </c>
      <c r="S26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17" s="193"/>
      <c r="U2617" s="43" t="e">
        <f>IF(Planning[[#This Row],[Horas Planificadas]]&lt;&gt;0,+K2617/Planning[[#This Row],[Horas Planificadas]],0)</f>
        <v>#REF!</v>
      </c>
      <c r="V2617" s="43" t="e">
        <f>IF(Planning[[#This Row],[Horas Planificadas]]&lt;&gt;0,Planning[[#This Row],[Horas utilizadas]]/Planning[[#This Row],[Horas Planificadas]],0)</f>
        <v>#REF!</v>
      </c>
      <c r="W2617" s="44">
        <f>Planning[[#This Row],[Horas Planificadas]]+Planning[[#This Row],[Horas ajustadas adicionales]]</f>
        <v>45</v>
      </c>
      <c r="X2617" s="142"/>
    </row>
    <row r="2618" spans="1:24" x14ac:dyDescent="0.2">
      <c r="A2618" s="7" t="s">
        <v>117</v>
      </c>
      <c r="B2618" s="7" t="s">
        <v>178</v>
      </c>
      <c r="C2618" s="3"/>
      <c r="D2618" s="3" t="s">
        <v>533</v>
      </c>
      <c r="E2618" s="4" t="s">
        <v>30</v>
      </c>
      <c r="F2618" s="3"/>
      <c r="G2618" s="9">
        <v>2160</v>
      </c>
      <c r="H2618" s="25">
        <f>SUM(H2619:H2625)</f>
        <v>2160</v>
      </c>
      <c r="I2618" s="14"/>
      <c r="J2618" s="14" t="e">
        <f>SUM(J2619:J2625)</f>
        <v>#REF!</v>
      </c>
      <c r="K2618" s="18" t="e">
        <f>SUM(K2619:K2625)</f>
        <v>#REF!</v>
      </c>
      <c r="L2618" s="15">
        <f>SUM(L2619:L2625)</f>
        <v>0</v>
      </c>
      <c r="M2618" s="16" t="e">
        <f>SUM(M2619:M2625)</f>
        <v>#REF!</v>
      </c>
      <c r="N2618" s="60" t="e">
        <f>+SUMIFS(#REF!,#REF!,Planning[[#This Row],[Proyectos]],#REF!,Planning[[#This Row],[Tipo de Tarea y especialidad]])</f>
        <v>#REF!</v>
      </c>
      <c r="O2618" s="16">
        <f t="shared" si="80"/>
        <v>10</v>
      </c>
      <c r="P2618" s="16">
        <f t="shared" si="81"/>
        <v>2024</v>
      </c>
      <c r="Q2618" s="16" t="e">
        <f>SUM(Q2619:Q2625)</f>
        <v>#REF!</v>
      </c>
      <c r="R2618" s="16" t="str">
        <f>TEXT(Planning[[#This Row],[Mes]]*29,"mmmm")</f>
        <v>October</v>
      </c>
      <c r="S26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18" s="193"/>
      <c r="U2618" s="43" t="e">
        <f>IF(Planning[[#This Row],[Horas Planificadas]]&lt;&gt;0,+K2618/Planning[[#This Row],[Horas Planificadas]],0)</f>
        <v>#REF!</v>
      </c>
      <c r="V2618" s="43" t="e">
        <f>IF(Planning[[#This Row],[Horas Planificadas]]&lt;&gt;0,Planning[[#This Row],[Horas utilizadas]]/Planning[[#This Row],[Horas Planificadas]],0)</f>
        <v>#REF!</v>
      </c>
      <c r="W2618" s="44">
        <f>Planning[[#This Row],[Horas Planificadas]]+Planning[[#This Row],[Horas ajustadas adicionales]]</f>
        <v>2160</v>
      </c>
      <c r="X2618" s="142"/>
    </row>
    <row r="2619" spans="1:24" x14ac:dyDescent="0.2">
      <c r="A2619" s="7" t="s">
        <v>117</v>
      </c>
      <c r="B2619" s="7" t="s">
        <v>178</v>
      </c>
      <c r="C2619" s="3"/>
      <c r="D2619" s="3" t="s">
        <v>533</v>
      </c>
      <c r="E2619" s="4"/>
      <c r="F2619" s="3" t="s">
        <v>122</v>
      </c>
      <c r="G2619" s="9"/>
      <c r="H2619" s="12">
        <v>378</v>
      </c>
      <c r="I2619" s="12"/>
      <c r="J2619" s="5" t="e">
        <f>SUM(SUMIFS(#REF!,#REF!,Planning[[#This Row],[Tipo de Tarea y especialidad]],#REF!,Planning[[#This Row],[Proyectos Reiwa]]),SUMIFS(#REF!,#REF!,Planning[[#This Row],[Tipo de Tarea y especialidad]],#REF!,Planning[[#This Row],[Proyectos]]))</f>
        <v>#REF!</v>
      </c>
      <c r="K2619" s="27" t="e">
        <f>Planning[[#This Row],[Horas Planificadas]]+Planning[[#This Row],[Horas ajustadas adicionales]]-Planning[[#This Row],[Horas utilizadas]]</f>
        <v>#REF!</v>
      </c>
      <c r="L2619" s="7">
        <v>0</v>
      </c>
      <c r="M2619" s="34" t="e">
        <f>Planning[[#This Row],[Saldo]]-Planning[[#This Row],[Saldo estimado]]</f>
        <v>#REF!</v>
      </c>
      <c r="N2619" s="62" t="e">
        <f>+SUMIFS(#REF!,#REF!,Planning[[#This Row],[Proyectos]],#REF!,Planning[[#This Row],[Tipo de Tarea y especialidad]])</f>
        <v>#REF!</v>
      </c>
      <c r="O2619" s="34">
        <f t="shared" si="80"/>
        <v>10</v>
      </c>
      <c r="P2619" s="34">
        <f t="shared" si="81"/>
        <v>2024</v>
      </c>
      <c r="Q26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19" s="19" t="str">
        <f>TEXT(Planning[[#This Row],[Mes]]*29,"mmmm")</f>
        <v>October</v>
      </c>
      <c r="S26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19" s="193"/>
      <c r="U2619" s="43" t="e">
        <f>IF(Planning[[#This Row],[Horas Planificadas]]&lt;&gt;0,+K2619/Planning[[#This Row],[Horas Planificadas]],0)</f>
        <v>#REF!</v>
      </c>
      <c r="V2619" s="43" t="e">
        <f>IF(Planning[[#This Row],[Horas Planificadas]]&lt;&gt;0,Planning[[#This Row],[Horas utilizadas]]/Planning[[#This Row],[Horas Planificadas]],0)</f>
        <v>#REF!</v>
      </c>
      <c r="W2619" s="44">
        <f>Planning[[#This Row],[Horas Planificadas]]+Planning[[#This Row],[Horas ajustadas adicionales]]</f>
        <v>378</v>
      </c>
      <c r="X2619" s="142"/>
    </row>
    <row r="2620" spans="1:24" x14ac:dyDescent="0.2">
      <c r="A2620" s="7" t="s">
        <v>117</v>
      </c>
      <c r="B2620" s="7" t="s">
        <v>178</v>
      </c>
      <c r="C2620" s="3"/>
      <c r="D2620" s="3" t="s">
        <v>533</v>
      </c>
      <c r="E2620" s="4"/>
      <c r="F2620" s="3" t="s">
        <v>123</v>
      </c>
      <c r="G2620" s="9"/>
      <c r="H2620" s="9">
        <v>1782</v>
      </c>
      <c r="I2620" s="12"/>
      <c r="J2620" s="5" t="e">
        <f>SUM(SUMIFS(#REF!,#REF!,Planning[[#This Row],[Tipo de Tarea y especialidad]],#REF!,Planning[[#This Row],[Proyectos Reiwa]]),SUMIFS(#REF!,#REF!,Planning[[#This Row],[Tipo de Tarea y especialidad]],#REF!,Planning[[#This Row],[Proyectos]]))</f>
        <v>#REF!</v>
      </c>
      <c r="K2620" s="5" t="e">
        <f>Planning[[#This Row],[Horas Planificadas]]+Planning[[#This Row],[Horas ajustadas adicionales]]-Planning[[#This Row],[Horas utilizadas]]</f>
        <v>#REF!</v>
      </c>
      <c r="L2620" s="7">
        <v>0</v>
      </c>
      <c r="M2620" s="19" t="e">
        <f>Planning[[#This Row],[Saldo]]-Planning[[#This Row],[Saldo estimado]]</f>
        <v>#REF!</v>
      </c>
      <c r="N2620" s="60" t="e">
        <f>+SUMIFS(#REF!,#REF!,Planning[[#This Row],[Proyectos]],#REF!,Planning[[#This Row],[Tipo de Tarea y especialidad]])</f>
        <v>#REF!</v>
      </c>
      <c r="O2620" s="19">
        <f t="shared" si="80"/>
        <v>10</v>
      </c>
      <c r="P2620" s="19">
        <f t="shared" si="81"/>
        <v>2024</v>
      </c>
      <c r="Q26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20" s="19" t="str">
        <f>TEXT(Planning[[#This Row],[Mes]]*29,"mmmm")</f>
        <v>October</v>
      </c>
      <c r="S26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20" s="193"/>
      <c r="U2620" s="43" t="e">
        <f>IF(Planning[[#This Row],[Horas Planificadas]]&lt;&gt;0,+K2620/Planning[[#This Row],[Horas Planificadas]],0)</f>
        <v>#REF!</v>
      </c>
      <c r="V2620" s="43" t="e">
        <f>IF(Planning[[#This Row],[Horas Planificadas]]&lt;&gt;0,Planning[[#This Row],[Horas utilizadas]]/Planning[[#This Row],[Horas Planificadas]],0)</f>
        <v>#REF!</v>
      </c>
      <c r="W2620" s="44">
        <f>Planning[[#This Row],[Horas Planificadas]]+Planning[[#This Row],[Horas ajustadas adicionales]]</f>
        <v>1782</v>
      </c>
      <c r="X2620" s="142"/>
    </row>
    <row r="2621" spans="1:24" x14ac:dyDescent="0.2">
      <c r="A2621" s="7" t="s">
        <v>117</v>
      </c>
      <c r="B2621" s="7" t="s">
        <v>178</v>
      </c>
      <c r="C2621" s="3"/>
      <c r="D2621" s="3" t="s">
        <v>533</v>
      </c>
      <c r="E2621" s="4"/>
      <c r="F2621" s="3" t="s">
        <v>124</v>
      </c>
      <c r="G2621" s="9"/>
      <c r="H2621" s="9"/>
      <c r="I2621" s="12"/>
      <c r="J2621" s="5" t="e">
        <f>SUM(SUMIFS(#REF!,#REF!,Planning[[#This Row],[Tipo de Tarea y especialidad]],#REF!,Planning[[#This Row],[Proyectos Reiwa]]),SUMIFS(#REF!,#REF!,Planning[[#This Row],[Tipo de Tarea y especialidad]],#REF!,Planning[[#This Row],[Proyectos]]))</f>
        <v>#REF!</v>
      </c>
      <c r="K2621" s="5" t="e">
        <f>Planning[[#This Row],[Horas Planificadas]]+Planning[[#This Row],[Horas ajustadas adicionales]]-Planning[[#This Row],[Horas utilizadas]]</f>
        <v>#REF!</v>
      </c>
      <c r="L2621" s="7">
        <v>0</v>
      </c>
      <c r="M2621" s="19" t="e">
        <f>Planning[[#This Row],[Saldo]]-Planning[[#This Row],[Saldo estimado]]</f>
        <v>#REF!</v>
      </c>
      <c r="N2621" s="60" t="e">
        <f>+SUMIFS(#REF!,#REF!,Planning[[#This Row],[Proyectos]],#REF!,Planning[[#This Row],[Tipo de Tarea y especialidad]])</f>
        <v>#REF!</v>
      </c>
      <c r="O2621" s="19">
        <f t="shared" si="80"/>
        <v>10</v>
      </c>
      <c r="P2621" s="19">
        <f t="shared" si="81"/>
        <v>2024</v>
      </c>
      <c r="Q26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21" s="19" t="str">
        <f>TEXT(Planning[[#This Row],[Mes]]*29,"mmmm")</f>
        <v>October</v>
      </c>
      <c r="S26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21" s="193"/>
      <c r="U2621" s="43">
        <f>IF(Planning[[#This Row],[Horas Planificadas]]&lt;&gt;0,+K2621/Planning[[#This Row],[Horas Planificadas]],0)</f>
        <v>0</v>
      </c>
      <c r="V2621" s="43">
        <f>IF(Planning[[#This Row],[Horas Planificadas]]&lt;&gt;0,Planning[[#This Row],[Horas utilizadas]]/Planning[[#This Row],[Horas Planificadas]],0)</f>
        <v>0</v>
      </c>
      <c r="W2621" s="44">
        <f>Planning[[#This Row],[Horas Planificadas]]+Planning[[#This Row],[Horas ajustadas adicionales]]</f>
        <v>0</v>
      </c>
      <c r="X2621" s="142"/>
    </row>
    <row r="2622" spans="1:24" x14ac:dyDescent="0.2">
      <c r="A2622" s="7" t="s">
        <v>117</v>
      </c>
      <c r="B2622" s="7" t="s">
        <v>178</v>
      </c>
      <c r="C2622" s="3"/>
      <c r="D2622" s="3" t="s">
        <v>533</v>
      </c>
      <c r="E2622" s="4"/>
      <c r="F2622" s="3" t="s">
        <v>125</v>
      </c>
      <c r="G2622" s="9"/>
      <c r="H2622" s="12"/>
      <c r="I2622" s="12"/>
      <c r="J2622" s="5" t="e">
        <f>SUM(SUMIFS(#REF!,#REF!,Planning[[#This Row],[Tipo de Tarea y especialidad]],#REF!,Planning[[#This Row],[Proyectos Reiwa]]),SUMIFS(#REF!,#REF!,Planning[[#This Row],[Tipo de Tarea y especialidad]],#REF!,Planning[[#This Row],[Proyectos]]))</f>
        <v>#REF!</v>
      </c>
      <c r="K2622" s="27" t="e">
        <f>Planning[[#This Row],[Horas Planificadas]]+Planning[[#This Row],[Horas ajustadas adicionales]]-Planning[[#This Row],[Horas utilizadas]]</f>
        <v>#REF!</v>
      </c>
      <c r="L2622" s="7">
        <v>0</v>
      </c>
      <c r="M2622" s="19" t="e">
        <f>Planning[[#This Row],[Saldo]]-Planning[[#This Row],[Saldo estimado]]</f>
        <v>#REF!</v>
      </c>
      <c r="N2622" s="60" t="e">
        <f>+SUMIFS(#REF!,#REF!,Planning[[#This Row],[Proyectos]],#REF!,Planning[[#This Row],[Tipo de Tarea y especialidad]])</f>
        <v>#REF!</v>
      </c>
      <c r="O2622" s="19">
        <f t="shared" si="80"/>
        <v>10</v>
      </c>
      <c r="P2622" s="19">
        <f t="shared" si="81"/>
        <v>2024</v>
      </c>
      <c r="Q26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22" s="19" t="str">
        <f>TEXT(Planning[[#This Row],[Mes]]*29,"mmmm")</f>
        <v>October</v>
      </c>
      <c r="S26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22" s="193"/>
      <c r="U2622" s="43">
        <f>IF(Planning[[#This Row],[Horas Planificadas]]&lt;&gt;0,+K2622/Planning[[#This Row],[Horas Planificadas]],0)</f>
        <v>0</v>
      </c>
      <c r="V2622" s="43">
        <f>IF(Planning[[#This Row],[Horas Planificadas]]&lt;&gt;0,Planning[[#This Row],[Horas utilizadas]]/Planning[[#This Row],[Horas Planificadas]],0)</f>
        <v>0</v>
      </c>
      <c r="W2622" s="44">
        <f>Planning[[#This Row],[Horas Planificadas]]+Planning[[#This Row],[Horas ajustadas adicionales]]</f>
        <v>0</v>
      </c>
      <c r="X2622" s="142"/>
    </row>
    <row r="2623" spans="1:24" x14ac:dyDescent="0.2">
      <c r="A2623" s="7" t="s">
        <v>117</v>
      </c>
      <c r="B2623" s="7" t="s">
        <v>178</v>
      </c>
      <c r="C2623" s="3"/>
      <c r="D2623" s="3" t="s">
        <v>533</v>
      </c>
      <c r="E2623" s="4"/>
      <c r="F2623" s="3" t="s">
        <v>126</v>
      </c>
      <c r="G2623" s="9"/>
      <c r="H2623" s="9"/>
      <c r="I2623" s="12"/>
      <c r="J2623" s="5" t="e">
        <f>SUM(SUMIFS(#REF!,#REF!,Planning[[#This Row],[Tipo de Tarea y especialidad]],#REF!,Planning[[#This Row],[Proyectos Reiwa]]),SUMIFS(#REF!,#REF!,Planning[[#This Row],[Tipo de Tarea y especialidad]],#REF!,Planning[[#This Row],[Proyectos]]))</f>
        <v>#REF!</v>
      </c>
      <c r="K2623" s="5" t="e">
        <f>Planning[[#This Row],[Horas Planificadas]]+Planning[[#This Row],[Horas ajustadas adicionales]]-Planning[[#This Row],[Horas utilizadas]]</f>
        <v>#REF!</v>
      </c>
      <c r="L2623" s="7">
        <v>0</v>
      </c>
      <c r="M2623" s="19" t="e">
        <f>Planning[[#This Row],[Saldo]]-Planning[[#This Row],[Saldo estimado]]</f>
        <v>#REF!</v>
      </c>
      <c r="N2623" s="60" t="e">
        <f>+SUMIFS(#REF!,#REF!,Planning[[#This Row],[Proyectos]],#REF!,Planning[[#This Row],[Tipo de Tarea y especialidad]])</f>
        <v>#REF!</v>
      </c>
      <c r="O2623" s="19">
        <f t="shared" si="80"/>
        <v>10</v>
      </c>
      <c r="P2623" s="19">
        <f t="shared" si="81"/>
        <v>2024</v>
      </c>
      <c r="Q26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23" s="19" t="str">
        <f>TEXT(Planning[[#This Row],[Mes]]*29,"mmmm")</f>
        <v>October</v>
      </c>
      <c r="S26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23" s="193"/>
      <c r="U2623" s="43">
        <f>IF(Planning[[#This Row],[Horas Planificadas]]&lt;&gt;0,+K2623/Planning[[#This Row],[Horas Planificadas]],0)</f>
        <v>0</v>
      </c>
      <c r="V2623" s="43">
        <f>IF(Planning[[#This Row],[Horas Planificadas]]&lt;&gt;0,Planning[[#This Row],[Horas utilizadas]]/Planning[[#This Row],[Horas Planificadas]],0)</f>
        <v>0</v>
      </c>
      <c r="W2623" s="44">
        <f>Planning[[#This Row],[Horas Planificadas]]+Planning[[#This Row],[Horas ajustadas adicionales]]</f>
        <v>0</v>
      </c>
      <c r="X2623" s="142"/>
    </row>
    <row r="2624" spans="1:24" x14ac:dyDescent="0.2">
      <c r="A2624" s="7" t="s">
        <v>117</v>
      </c>
      <c r="B2624" s="7" t="s">
        <v>178</v>
      </c>
      <c r="C2624" s="3"/>
      <c r="D2624" s="3" t="s">
        <v>533</v>
      </c>
      <c r="E2624" s="4"/>
      <c r="F2624" s="3" t="s">
        <v>127</v>
      </c>
      <c r="G2624" s="9"/>
      <c r="H2624" s="9"/>
      <c r="I2624" s="12"/>
      <c r="J2624" s="5" t="e">
        <f>SUM(SUMIFS(#REF!,#REF!,Planning[[#This Row],[Tipo de Tarea y especialidad]],#REF!,Planning[[#This Row],[Proyectos Reiwa]]),SUMIFS(#REF!,#REF!,Planning[[#This Row],[Tipo de Tarea y especialidad]],#REF!,Planning[[#This Row],[Proyectos]]))</f>
        <v>#REF!</v>
      </c>
      <c r="K2624" s="5" t="e">
        <f>Planning[[#This Row],[Horas Planificadas]]+Planning[[#This Row],[Horas ajustadas adicionales]]-Planning[[#This Row],[Horas utilizadas]]</f>
        <v>#REF!</v>
      </c>
      <c r="L2624" s="7">
        <v>0</v>
      </c>
      <c r="M2624" s="19" t="e">
        <f>Planning[[#This Row],[Saldo]]-Planning[[#This Row],[Saldo estimado]]</f>
        <v>#REF!</v>
      </c>
      <c r="N2624" s="60" t="e">
        <f>+SUMIFS(#REF!,#REF!,Planning[[#This Row],[Proyectos]],#REF!,Planning[[#This Row],[Tipo de Tarea y especialidad]])</f>
        <v>#REF!</v>
      </c>
      <c r="O2624" s="19">
        <f t="shared" si="80"/>
        <v>10</v>
      </c>
      <c r="P2624" s="19">
        <f t="shared" si="81"/>
        <v>2024</v>
      </c>
      <c r="Q26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24" s="19" t="str">
        <f>TEXT(Planning[[#This Row],[Mes]]*29,"mmmm")</f>
        <v>October</v>
      </c>
      <c r="S26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24" s="193"/>
      <c r="U2624" s="43">
        <f>IF(Planning[[#This Row],[Horas Planificadas]]&lt;&gt;0,+K2624/Planning[[#This Row],[Horas Planificadas]],0)</f>
        <v>0</v>
      </c>
      <c r="V2624" s="43">
        <f>IF(Planning[[#This Row],[Horas Planificadas]]&lt;&gt;0,Planning[[#This Row],[Horas utilizadas]]/Planning[[#This Row],[Horas Planificadas]],0)</f>
        <v>0</v>
      </c>
      <c r="W2624" s="44">
        <f>Planning[[#This Row],[Horas Planificadas]]+Planning[[#This Row],[Horas ajustadas adicionales]]</f>
        <v>0</v>
      </c>
      <c r="X2624" s="142"/>
    </row>
    <row r="2625" spans="1:24" x14ac:dyDescent="0.2">
      <c r="A2625" s="7" t="s">
        <v>117</v>
      </c>
      <c r="B2625" s="7" t="s">
        <v>178</v>
      </c>
      <c r="C2625" s="3"/>
      <c r="D2625" s="3" t="s">
        <v>533</v>
      </c>
      <c r="E2625" s="4"/>
      <c r="F2625" s="3" t="s">
        <v>128</v>
      </c>
      <c r="G2625" s="9"/>
      <c r="H2625" s="9"/>
      <c r="I2625" s="12"/>
      <c r="J2625" s="5" t="e">
        <f>SUM(SUMIFS(#REF!,#REF!,Planning[[#This Row],[Tipo de Tarea y especialidad]],#REF!,Planning[[#This Row],[Proyectos Reiwa]]),SUMIFS(#REF!,#REF!,Planning[[#This Row],[Tipo de Tarea y especialidad]],#REF!,Planning[[#This Row],[Proyectos]]))</f>
        <v>#REF!</v>
      </c>
      <c r="K2625" s="5" t="e">
        <f>Planning[[#This Row],[Horas Planificadas]]+Planning[[#This Row],[Horas ajustadas adicionales]]-Planning[[#This Row],[Horas utilizadas]]</f>
        <v>#REF!</v>
      </c>
      <c r="L2625" s="7">
        <v>0</v>
      </c>
      <c r="M2625" s="19" t="e">
        <f>Planning[[#This Row],[Saldo]]-Planning[[#This Row],[Saldo estimado]]</f>
        <v>#REF!</v>
      </c>
      <c r="N2625" s="60" t="e">
        <f>+SUMIFS(#REF!,#REF!,Planning[[#This Row],[Proyectos]],#REF!,Planning[[#This Row],[Tipo de Tarea y especialidad]])</f>
        <v>#REF!</v>
      </c>
      <c r="O2625" s="19">
        <f t="shared" si="80"/>
        <v>10</v>
      </c>
      <c r="P2625" s="19">
        <f t="shared" si="81"/>
        <v>2024</v>
      </c>
      <c r="Q26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25" s="19" t="str">
        <f>TEXT(Planning[[#This Row],[Mes]]*29,"mmmm")</f>
        <v>October</v>
      </c>
      <c r="S26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25" s="193"/>
      <c r="U2625" s="43">
        <f>IF(Planning[[#This Row],[Horas Planificadas]]&lt;&gt;0,+K2625/Planning[[#This Row],[Horas Planificadas]],0)</f>
        <v>0</v>
      </c>
      <c r="V2625" s="43">
        <f>IF(Planning[[#This Row],[Horas Planificadas]]&lt;&gt;0,Planning[[#This Row],[Horas utilizadas]]/Planning[[#This Row],[Horas Planificadas]],0)</f>
        <v>0</v>
      </c>
      <c r="W2625" s="44">
        <f>Planning[[#This Row],[Horas Planificadas]]+Planning[[#This Row],[Horas ajustadas adicionales]]</f>
        <v>0</v>
      </c>
      <c r="X2625" s="142"/>
    </row>
    <row r="2626" spans="1:24" x14ac:dyDescent="0.2">
      <c r="A2626" s="7" t="s">
        <v>117</v>
      </c>
      <c r="B2626" s="7" t="s">
        <v>178</v>
      </c>
      <c r="C2626" s="3"/>
      <c r="D2626" s="3" t="s">
        <v>533</v>
      </c>
      <c r="E2626" s="4" t="s">
        <v>31</v>
      </c>
      <c r="F2626" s="3" t="s">
        <v>31</v>
      </c>
      <c r="G2626" s="9">
        <v>243</v>
      </c>
      <c r="H2626" s="17">
        <v>243</v>
      </c>
      <c r="I2626" s="18"/>
      <c r="J2626" s="14" t="e">
        <f>+SUMIFS(#REF!,#REF!,Planning[[#This Row],[Tarifa]],#REF!,Planning[[#This Row],[Proyectos]])</f>
        <v>#REF!</v>
      </c>
      <c r="K2626" s="14" t="e">
        <f>Planning[[#This Row],[Horas Planificadas]]+Planning[[#This Row],[Horas ajustadas adicionales]]-Planning[[#This Row],[Horas utilizadas]]</f>
        <v>#REF!</v>
      </c>
      <c r="L2626" s="15">
        <v>0</v>
      </c>
      <c r="M2626" s="16" t="e">
        <f>Planning[[#This Row],[Saldo]]-Planning[[#This Row],[Saldo estimado]]</f>
        <v>#REF!</v>
      </c>
      <c r="N2626" s="60" t="e">
        <f>+SUMIFS(#REF!,#REF!,Planning[[#This Row],[Proyectos]],#REF!,Planning[[#This Row],[Tipo de Tarea y especialidad]])</f>
        <v>#REF!</v>
      </c>
      <c r="O2626" s="16">
        <f t="shared" si="80"/>
        <v>10</v>
      </c>
      <c r="P2626" s="16">
        <f t="shared" si="81"/>
        <v>2024</v>
      </c>
      <c r="Q2626" s="16" t="e">
        <f>+SUMIFS(#REF!,#REF!,Planning[[#This Row],[Tarifa]],#REF!,Planning[[#This Row],[Proyectos]],#REF!,Planning[[#This Row],[Mes]],#REF!,Planning[[#This Row],[Año]])</f>
        <v>#REF!</v>
      </c>
      <c r="R2626" s="16" t="str">
        <f>TEXT(Planning[[#This Row],[Mes]]*29,"mmmm")</f>
        <v>October</v>
      </c>
      <c r="S26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26" s="193"/>
      <c r="U2626" s="43" t="e">
        <f>IF(Planning[[#This Row],[Horas Planificadas]]&lt;&gt;0,+K2626/Planning[[#This Row],[Horas Planificadas]],0)</f>
        <v>#REF!</v>
      </c>
      <c r="V2626" s="43" t="e">
        <f>IF(Planning[[#This Row],[Horas Planificadas]]&lt;&gt;0,Planning[[#This Row],[Horas utilizadas]]/Planning[[#This Row],[Horas Planificadas]],0)</f>
        <v>#REF!</v>
      </c>
      <c r="W2626" s="44">
        <f>Planning[[#This Row],[Horas Planificadas]]+Planning[[#This Row],[Horas ajustadas adicionales]]</f>
        <v>243</v>
      </c>
      <c r="X2626" s="142"/>
    </row>
    <row r="2627" spans="1:24" ht="22.5" x14ac:dyDescent="0.2">
      <c r="A2627" s="7" t="s">
        <v>117</v>
      </c>
      <c r="B2627" s="7" t="s">
        <v>178</v>
      </c>
      <c r="C2627" s="3"/>
      <c r="D2627" s="3" t="s">
        <v>533</v>
      </c>
      <c r="E2627" s="4" t="s">
        <v>32</v>
      </c>
      <c r="F2627" s="3"/>
      <c r="G2627" s="9">
        <v>450</v>
      </c>
      <c r="H2627" s="25">
        <f>SUM(H2628:H2630)</f>
        <v>450</v>
      </c>
      <c r="I2627" s="14"/>
      <c r="J2627" s="14" t="e">
        <f>SUM(J2628:J2630)</f>
        <v>#REF!</v>
      </c>
      <c r="K2627" s="18" t="e">
        <f>SUM(K2628:K2630)</f>
        <v>#REF!</v>
      </c>
      <c r="L2627" s="15">
        <f>SUM(L2628:L2630)</f>
        <v>0</v>
      </c>
      <c r="M2627" s="16" t="e">
        <f>SUM(M2628:M2630)</f>
        <v>#REF!</v>
      </c>
      <c r="N2627" s="60" t="e">
        <f>+SUMIFS(#REF!,#REF!,Planning[[#This Row],[Proyectos]],#REF!,Planning[[#This Row],[Tipo de Tarea y especialidad]])</f>
        <v>#REF!</v>
      </c>
      <c r="O2627" s="16">
        <f t="shared" si="80"/>
        <v>10</v>
      </c>
      <c r="P2627" s="16">
        <f t="shared" si="81"/>
        <v>2024</v>
      </c>
      <c r="Q2627" s="16" t="e">
        <f>SUM(Q2628:Q2630)</f>
        <v>#REF!</v>
      </c>
      <c r="R2627" s="16" t="str">
        <f>TEXT(Planning[[#This Row],[Mes]]*29,"mmmm")</f>
        <v>October</v>
      </c>
      <c r="S26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27" s="193"/>
      <c r="U2627" s="43" t="e">
        <f>IF(Planning[[#This Row],[Horas Planificadas]]&lt;&gt;0,+K2627/Planning[[#This Row],[Horas Planificadas]],0)</f>
        <v>#REF!</v>
      </c>
      <c r="V2627" s="43" t="e">
        <f>IF(Planning[[#This Row],[Horas Planificadas]]&lt;&gt;0,Planning[[#This Row],[Horas utilizadas]]/Planning[[#This Row],[Horas Planificadas]],0)</f>
        <v>#REF!</v>
      </c>
      <c r="W2627" s="44">
        <f>Planning[[#This Row],[Horas Planificadas]]+Planning[[#This Row],[Horas ajustadas adicionales]]</f>
        <v>450</v>
      </c>
      <c r="X2627" s="142"/>
    </row>
    <row r="2628" spans="1:24" x14ac:dyDescent="0.2">
      <c r="A2628" s="7" t="s">
        <v>117</v>
      </c>
      <c r="B2628" s="7" t="s">
        <v>178</v>
      </c>
      <c r="C2628" s="3"/>
      <c r="D2628" s="3" t="s">
        <v>533</v>
      </c>
      <c r="E2628" s="4"/>
      <c r="F2628" s="3" t="s">
        <v>129</v>
      </c>
      <c r="G2628" s="9"/>
      <c r="H2628" s="9">
        <v>80</v>
      </c>
      <c r="I2628" s="12"/>
      <c r="J2628" s="5" t="e">
        <f>SUM(SUMIFS(#REF!,#REF!,Planning[[#This Row],[Tipo de Tarea y especialidad]],#REF!,Planning[[#This Row],[Proyectos Reiwa]]),SUMIFS(#REF!,#REF!,Planning[[#This Row],[Tipo de Tarea y especialidad]],#REF!,Planning[[#This Row],[Proyectos]]))</f>
        <v>#REF!</v>
      </c>
      <c r="K2628" s="5" t="e">
        <f>Planning[[#This Row],[Horas Planificadas]]+Planning[[#This Row],[Horas ajustadas adicionales]]-Planning[[#This Row],[Horas utilizadas]]</f>
        <v>#REF!</v>
      </c>
      <c r="L2628" s="7">
        <v>0</v>
      </c>
      <c r="M2628" s="19" t="e">
        <f>Planning[[#This Row],[Saldo]]-Planning[[#This Row],[Saldo estimado]]</f>
        <v>#REF!</v>
      </c>
      <c r="N2628" s="60" t="e">
        <f>+SUMIFS(#REF!,#REF!,Planning[[#This Row],[Proyectos]],#REF!,Planning[[#This Row],[Tipo de Tarea y especialidad]])</f>
        <v>#REF!</v>
      </c>
      <c r="O2628" s="19">
        <f t="shared" si="80"/>
        <v>10</v>
      </c>
      <c r="P2628" s="19">
        <f t="shared" si="81"/>
        <v>2024</v>
      </c>
      <c r="Q26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28" s="19" t="str">
        <f>TEXT(Planning[[#This Row],[Mes]]*29,"mmmm")</f>
        <v>October</v>
      </c>
      <c r="S26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28" s="193"/>
      <c r="U2628" s="43" t="e">
        <f>IF(Planning[[#This Row],[Horas Planificadas]]&lt;&gt;0,+K2628/Planning[[#This Row],[Horas Planificadas]],0)</f>
        <v>#REF!</v>
      </c>
      <c r="V2628" s="43" t="e">
        <f>IF(Planning[[#This Row],[Horas Planificadas]]&lt;&gt;0,Planning[[#This Row],[Horas utilizadas]]/Planning[[#This Row],[Horas Planificadas]],0)</f>
        <v>#REF!</v>
      </c>
      <c r="W2628" s="44">
        <f>Planning[[#This Row],[Horas Planificadas]]+Planning[[#This Row],[Horas ajustadas adicionales]]</f>
        <v>80</v>
      </c>
      <c r="X2628" s="142"/>
    </row>
    <row r="2629" spans="1:24" x14ac:dyDescent="0.2">
      <c r="A2629" s="7" t="s">
        <v>117</v>
      </c>
      <c r="B2629" s="7" t="s">
        <v>178</v>
      </c>
      <c r="C2629" s="3"/>
      <c r="D2629" s="3" t="s">
        <v>533</v>
      </c>
      <c r="E2629" s="4"/>
      <c r="F2629" s="3" t="s">
        <v>130</v>
      </c>
      <c r="G2629" s="9"/>
      <c r="H2629" s="9">
        <v>370</v>
      </c>
      <c r="I2629" s="12"/>
      <c r="J2629" s="5" t="e">
        <f>SUM(SUMIFS(#REF!,#REF!,Planning[[#This Row],[Tipo de Tarea y especialidad]],#REF!,Planning[[#This Row],[Proyectos Reiwa]]),SUMIFS(#REF!,#REF!,Planning[[#This Row],[Tipo de Tarea y especialidad]],#REF!,Planning[[#This Row],[Proyectos]]))</f>
        <v>#REF!</v>
      </c>
      <c r="K2629" s="5" t="e">
        <f>Planning[[#This Row],[Horas Planificadas]]+Planning[[#This Row],[Horas ajustadas adicionales]]-Planning[[#This Row],[Horas utilizadas]]</f>
        <v>#REF!</v>
      </c>
      <c r="L2629" s="7">
        <v>0</v>
      </c>
      <c r="M2629" s="19" t="e">
        <f>Planning[[#This Row],[Saldo]]-Planning[[#This Row],[Saldo estimado]]</f>
        <v>#REF!</v>
      </c>
      <c r="N2629" s="60" t="e">
        <f>+SUMIFS(#REF!,#REF!,Planning[[#This Row],[Proyectos]],#REF!,Planning[[#This Row],[Tipo de Tarea y especialidad]])</f>
        <v>#REF!</v>
      </c>
      <c r="O2629" s="19">
        <f t="shared" si="80"/>
        <v>10</v>
      </c>
      <c r="P2629" s="19">
        <f t="shared" si="81"/>
        <v>2024</v>
      </c>
      <c r="Q26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29" s="19" t="str">
        <f>TEXT(Planning[[#This Row],[Mes]]*29,"mmmm")</f>
        <v>October</v>
      </c>
      <c r="S26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29" s="193"/>
      <c r="U2629" s="43" t="e">
        <f>IF(Planning[[#This Row],[Horas Planificadas]]&lt;&gt;0,+K2629/Planning[[#This Row],[Horas Planificadas]],0)</f>
        <v>#REF!</v>
      </c>
      <c r="V2629" s="43" t="e">
        <f>IF(Planning[[#This Row],[Horas Planificadas]]&lt;&gt;0,Planning[[#This Row],[Horas utilizadas]]/Planning[[#This Row],[Horas Planificadas]],0)</f>
        <v>#REF!</v>
      </c>
      <c r="W2629" s="44">
        <f>Planning[[#This Row],[Horas Planificadas]]+Planning[[#This Row],[Horas ajustadas adicionales]]</f>
        <v>370</v>
      </c>
      <c r="X2629" s="142"/>
    </row>
    <row r="2630" spans="1:24" x14ac:dyDescent="0.2">
      <c r="A2630" s="7" t="s">
        <v>117</v>
      </c>
      <c r="B2630" s="7" t="s">
        <v>178</v>
      </c>
      <c r="C2630" s="3"/>
      <c r="D2630" s="3" t="s">
        <v>533</v>
      </c>
      <c r="E2630" s="4"/>
      <c r="F2630" s="3" t="s">
        <v>131</v>
      </c>
      <c r="G2630" s="9"/>
      <c r="H2630" s="9"/>
      <c r="I2630" s="12"/>
      <c r="J2630" s="5" t="e">
        <f>SUM(SUMIFS(#REF!,#REF!,Planning[[#This Row],[Tipo de Tarea y especialidad]],#REF!,Planning[[#This Row],[Proyectos Reiwa]]),SUMIFS(#REF!,#REF!,Planning[[#This Row],[Tipo de Tarea y especialidad]],#REF!,Planning[[#This Row],[Proyectos]]))</f>
        <v>#REF!</v>
      </c>
      <c r="K2630" s="5" t="e">
        <f>Planning[[#This Row],[Horas Planificadas]]+Planning[[#This Row],[Horas ajustadas adicionales]]-Planning[[#This Row],[Horas utilizadas]]</f>
        <v>#REF!</v>
      </c>
      <c r="L2630" s="7">
        <v>0</v>
      </c>
      <c r="M2630" s="19" t="e">
        <f>Planning[[#This Row],[Saldo]]-Planning[[#This Row],[Saldo estimado]]</f>
        <v>#REF!</v>
      </c>
      <c r="N2630" s="60" t="e">
        <f>+SUMIFS(#REF!,#REF!,Planning[[#This Row],[Proyectos]],#REF!,Planning[[#This Row],[Tipo de Tarea y especialidad]])</f>
        <v>#REF!</v>
      </c>
      <c r="O2630" s="19">
        <f t="shared" si="80"/>
        <v>10</v>
      </c>
      <c r="P2630" s="19">
        <f t="shared" si="81"/>
        <v>2024</v>
      </c>
      <c r="Q26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30" s="19" t="str">
        <f>TEXT(Planning[[#This Row],[Mes]]*29,"mmmm")</f>
        <v>October</v>
      </c>
      <c r="S26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30" s="193"/>
      <c r="U2630" s="43">
        <f>IF(Planning[[#This Row],[Horas Planificadas]]&lt;&gt;0,+K2630/Planning[[#This Row],[Horas Planificadas]],0)</f>
        <v>0</v>
      </c>
      <c r="V2630" s="43">
        <f>IF(Planning[[#This Row],[Horas Planificadas]]&lt;&gt;0,Planning[[#This Row],[Horas utilizadas]]/Planning[[#This Row],[Horas Planificadas]],0)</f>
        <v>0</v>
      </c>
      <c r="W2630" s="44">
        <f>Planning[[#This Row],[Horas Planificadas]]+Planning[[#This Row],[Horas ajustadas adicionales]]</f>
        <v>0</v>
      </c>
      <c r="X2630" s="142"/>
    </row>
    <row r="2631" spans="1:24" ht="22.5" x14ac:dyDescent="0.2">
      <c r="A2631" s="7"/>
      <c r="B2631" s="7"/>
      <c r="C2631" s="3"/>
      <c r="D2631" s="3" t="s">
        <v>535</v>
      </c>
      <c r="E2631" s="4" t="s">
        <v>28</v>
      </c>
      <c r="F2631" s="3"/>
      <c r="G2631" s="9"/>
      <c r="H2631" s="12">
        <v>0</v>
      </c>
      <c r="I2631" s="12"/>
      <c r="J2631" s="5" t="e">
        <f>+SUMIFS(#REF!,#REF!,Planning[[#This Row],[Tarifa]],#REF!,Planning[[#This Row],[Proyectos]])</f>
        <v>#REF!</v>
      </c>
      <c r="K2631" s="27" t="e">
        <f>Planning[[#This Row],[Horas Planificadas]]+Planning[[#This Row],[Horas ajustadas adicionales]]-Planning[[#This Row],[Horas utilizadas]]</f>
        <v>#REF!</v>
      </c>
      <c r="L2631" s="7"/>
      <c r="M2631" s="19" t="e">
        <f>Planning[[#This Row],[Saldo]]-Planning[[#This Row],[Saldo estimado]]</f>
        <v>#REF!</v>
      </c>
      <c r="N2631" s="60" t="e">
        <f>+SUMIFS(#REF!,#REF!,Planning[[#This Row],[Proyectos]],#REF!,Planning[[#This Row],[Tipo de Tarea y especialidad]])</f>
        <v>#REF!</v>
      </c>
      <c r="O2631" s="19">
        <f t="shared" ref="O2631:O2694" si="82">$L$4</f>
        <v>10</v>
      </c>
      <c r="P2631" s="19">
        <f t="shared" ref="P2631:P2694" si="83">$M$4</f>
        <v>2024</v>
      </c>
      <c r="Q2631" s="19" t="e">
        <f>+SUMIFS(#REF!,#REF!,Planning[[#This Row],[Tarifa]],#REF!,Planning[[#This Row],[Proyectos]],#REF!,Planning[[#This Row],[Mes]],#REF!,Planning[[#This Row],[Año]])</f>
        <v>#REF!</v>
      </c>
      <c r="R2631" s="19" t="str">
        <f>TEXT(Planning[[#This Row],[Mes]]*29,"mmmm")</f>
        <v>October</v>
      </c>
      <c r="S26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31" s="228"/>
      <c r="U2631" s="43">
        <f>IF(Planning[[#This Row],[Horas Planificadas]]&lt;&gt;0,+K2631/Planning[[#This Row],[Horas Planificadas]],0)</f>
        <v>0</v>
      </c>
      <c r="V2631" s="43">
        <f>IF(Planning[[#This Row],[Horas Planificadas]]&lt;&gt;0,Planning[[#This Row],[Horas utilizadas]]/Planning[[#This Row],[Horas Planificadas]],0)</f>
        <v>0</v>
      </c>
      <c r="W2631" s="44">
        <f>Planning[[#This Row],[Horas Planificadas]]+Planning[[#This Row],[Horas ajustadas adicionales]]</f>
        <v>0</v>
      </c>
      <c r="X2631" s="142"/>
    </row>
    <row r="2632" spans="1:24" x14ac:dyDescent="0.2">
      <c r="A2632" s="7"/>
      <c r="B2632" s="7"/>
      <c r="C2632" s="3"/>
      <c r="D2632" s="3" t="s">
        <v>535</v>
      </c>
      <c r="E2632" s="4" t="s">
        <v>30</v>
      </c>
      <c r="F2632" s="3"/>
      <c r="G2632" s="9"/>
      <c r="H2632" s="9">
        <v>99</v>
      </c>
      <c r="I2632" s="12"/>
      <c r="J2632" s="5" t="e">
        <f>+SUMIFS(#REF!,#REF!,Planning[[#This Row],[Tarifa]],#REF!,Planning[[#This Row],[Proyectos]])</f>
        <v>#REF!</v>
      </c>
      <c r="K2632" s="5" t="e">
        <f>Planning[[#This Row],[Horas Planificadas]]+Planning[[#This Row],[Horas ajustadas adicionales]]-Planning[[#This Row],[Horas utilizadas]]</f>
        <v>#REF!</v>
      </c>
      <c r="L2632" s="7"/>
      <c r="M2632" s="19" t="e">
        <f>Planning[[#This Row],[Saldo]]-Planning[[#This Row],[Saldo estimado]]</f>
        <v>#REF!</v>
      </c>
      <c r="N2632" s="60" t="e">
        <f>+SUMIFS(#REF!,#REF!,Planning[[#This Row],[Proyectos]],#REF!,Planning[[#This Row],[Tipo de Tarea y especialidad]])</f>
        <v>#REF!</v>
      </c>
      <c r="O2632" s="19">
        <f t="shared" si="82"/>
        <v>10</v>
      </c>
      <c r="P2632" s="19">
        <f t="shared" si="83"/>
        <v>2024</v>
      </c>
      <c r="Q2632" s="19" t="e">
        <f>+SUMIFS(#REF!,#REF!,Planning[[#This Row],[Tarifa]],#REF!,Planning[[#This Row],[Proyectos]],#REF!,Planning[[#This Row],[Mes]],#REF!,Planning[[#This Row],[Año]])</f>
        <v>#REF!</v>
      </c>
      <c r="R2632" s="19" t="str">
        <f>TEXT(Planning[[#This Row],[Mes]]*29,"mmmm")</f>
        <v>October</v>
      </c>
      <c r="S26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32" s="228"/>
      <c r="U2632" s="43" t="e">
        <f>IF(Planning[[#This Row],[Horas Planificadas]]&lt;&gt;0,+K2632/Planning[[#This Row],[Horas Planificadas]],0)</f>
        <v>#REF!</v>
      </c>
      <c r="V2632" s="43" t="e">
        <f>IF(Planning[[#This Row],[Horas Planificadas]]&lt;&gt;0,Planning[[#This Row],[Horas utilizadas]]/Planning[[#This Row],[Horas Planificadas]],0)</f>
        <v>#REF!</v>
      </c>
      <c r="W2632" s="44">
        <f>Planning[[#This Row],[Horas Planificadas]]+Planning[[#This Row],[Horas ajustadas adicionales]]</f>
        <v>99</v>
      </c>
      <c r="X2632" s="142"/>
    </row>
    <row r="2633" spans="1:24" x14ac:dyDescent="0.2">
      <c r="A2633" s="7"/>
      <c r="B2633" s="7"/>
      <c r="C2633" s="3"/>
      <c r="D2633" s="3" t="s">
        <v>535</v>
      </c>
      <c r="E2633" s="4" t="s">
        <v>31</v>
      </c>
      <c r="F2633" s="3"/>
      <c r="G2633" s="9"/>
      <c r="H2633" s="9">
        <v>19</v>
      </c>
      <c r="I2633" s="12"/>
      <c r="J2633" s="5" t="e">
        <f>+SUMIFS(#REF!,#REF!,Planning[[#This Row],[Tarifa]],#REF!,Planning[[#This Row],[Proyectos]])</f>
        <v>#REF!</v>
      </c>
      <c r="K2633" s="5" t="e">
        <f>Planning[[#This Row],[Horas Planificadas]]+Planning[[#This Row],[Horas ajustadas adicionales]]-Planning[[#This Row],[Horas utilizadas]]</f>
        <v>#REF!</v>
      </c>
      <c r="L2633" s="7"/>
      <c r="M2633" s="19" t="e">
        <f>Planning[[#This Row],[Saldo]]-Planning[[#This Row],[Saldo estimado]]</f>
        <v>#REF!</v>
      </c>
      <c r="N2633" s="60" t="e">
        <f>+SUMIFS(#REF!,#REF!,Planning[[#This Row],[Proyectos]],#REF!,Planning[[#This Row],[Tipo de Tarea y especialidad]])</f>
        <v>#REF!</v>
      </c>
      <c r="O2633" s="19">
        <f t="shared" si="82"/>
        <v>10</v>
      </c>
      <c r="P2633" s="19">
        <f t="shared" si="83"/>
        <v>2024</v>
      </c>
      <c r="Q2633" s="19" t="e">
        <f>+SUMIFS(#REF!,#REF!,Planning[[#This Row],[Tarifa]],#REF!,Planning[[#This Row],[Proyectos]],#REF!,Planning[[#This Row],[Mes]],#REF!,Planning[[#This Row],[Año]])</f>
        <v>#REF!</v>
      </c>
      <c r="R2633" s="19" t="str">
        <f>TEXT(Planning[[#This Row],[Mes]]*29,"mmmm")</f>
        <v>October</v>
      </c>
      <c r="S26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33" s="228"/>
      <c r="U2633" s="43" t="e">
        <f>IF(Planning[[#This Row],[Horas Planificadas]]&lt;&gt;0,+K2633/Planning[[#This Row],[Horas Planificadas]],0)</f>
        <v>#REF!</v>
      </c>
      <c r="V2633" s="43" t="e">
        <f>IF(Planning[[#This Row],[Horas Planificadas]]&lt;&gt;0,Planning[[#This Row],[Horas utilizadas]]/Planning[[#This Row],[Horas Planificadas]],0)</f>
        <v>#REF!</v>
      </c>
      <c r="W2633" s="44">
        <f>Planning[[#This Row],[Horas Planificadas]]+Planning[[#This Row],[Horas ajustadas adicionales]]</f>
        <v>19</v>
      </c>
      <c r="X2633" s="142"/>
    </row>
    <row r="2634" spans="1:24" ht="22.5" x14ac:dyDescent="0.2">
      <c r="A2634" s="7"/>
      <c r="B2634" s="7"/>
      <c r="C2634" s="3"/>
      <c r="D2634" s="3" t="s">
        <v>535</v>
      </c>
      <c r="E2634" s="4" t="s">
        <v>32</v>
      </c>
      <c r="F2634" s="3"/>
      <c r="G2634" s="9"/>
      <c r="H2634" s="9">
        <v>52</v>
      </c>
      <c r="I2634" s="12"/>
      <c r="J2634" s="5" t="e">
        <f>+SUMIFS(#REF!,#REF!,Planning[[#This Row],[Tarifa]],#REF!,Planning[[#This Row],[Proyectos]])</f>
        <v>#REF!</v>
      </c>
      <c r="K2634" s="5" t="e">
        <f>Planning[[#This Row],[Horas Planificadas]]+Planning[[#This Row],[Horas ajustadas adicionales]]-Planning[[#This Row],[Horas utilizadas]]</f>
        <v>#REF!</v>
      </c>
      <c r="L2634" s="7"/>
      <c r="M2634" s="19" t="e">
        <f>Planning[[#This Row],[Saldo]]-Planning[[#This Row],[Saldo estimado]]</f>
        <v>#REF!</v>
      </c>
      <c r="N2634" s="60" t="e">
        <f>+SUMIFS(#REF!,#REF!,Planning[[#This Row],[Proyectos]],#REF!,Planning[[#This Row],[Tipo de Tarea y especialidad]])</f>
        <v>#REF!</v>
      </c>
      <c r="O2634" s="19">
        <f t="shared" si="82"/>
        <v>10</v>
      </c>
      <c r="P2634" s="19">
        <f t="shared" si="83"/>
        <v>2024</v>
      </c>
      <c r="Q2634" s="19" t="e">
        <f>+SUMIFS(#REF!,#REF!,Planning[[#This Row],[Tarifa]],#REF!,Planning[[#This Row],[Proyectos]],#REF!,Planning[[#This Row],[Mes]],#REF!,Planning[[#This Row],[Año]])</f>
        <v>#REF!</v>
      </c>
      <c r="R2634" s="19" t="str">
        <f>TEXT(Planning[[#This Row],[Mes]]*29,"mmmm")</f>
        <v>October</v>
      </c>
      <c r="S26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34" s="228"/>
      <c r="U2634" s="43" t="e">
        <f>IF(Planning[[#This Row],[Horas Planificadas]]&lt;&gt;0,+K2634/Planning[[#This Row],[Horas Planificadas]],0)</f>
        <v>#REF!</v>
      </c>
      <c r="V2634" s="43" t="e">
        <f>IF(Planning[[#This Row],[Horas Planificadas]]&lt;&gt;0,Planning[[#This Row],[Horas utilizadas]]/Planning[[#This Row],[Horas Planificadas]],0)</f>
        <v>#REF!</v>
      </c>
      <c r="W2634" s="44">
        <f>Planning[[#This Row],[Horas Planificadas]]+Planning[[#This Row],[Horas ajustadas adicionales]]</f>
        <v>52</v>
      </c>
      <c r="X2634" s="142"/>
    </row>
    <row r="2635" spans="1:24" ht="22.5" x14ac:dyDescent="0.2">
      <c r="A2635" s="7" t="s">
        <v>117</v>
      </c>
      <c r="B2635" s="7" t="s">
        <v>205</v>
      </c>
      <c r="C2635" s="3"/>
      <c r="D2635" s="3" t="s">
        <v>536</v>
      </c>
      <c r="E2635" s="4" t="s">
        <v>28</v>
      </c>
      <c r="F2635" s="3"/>
      <c r="G2635" s="9">
        <v>343</v>
      </c>
      <c r="H2635" s="14">
        <f>SUM(H2636:H2637)</f>
        <v>343</v>
      </c>
      <c r="I2635" s="14"/>
      <c r="J2635" s="14" t="e">
        <f>SUM(J2636:J2637)</f>
        <v>#REF!</v>
      </c>
      <c r="K2635" s="15" t="e">
        <f>SUM(K2636:K2637)</f>
        <v>#REF!</v>
      </c>
      <c r="L2635" s="15">
        <f>SUM(L2636:L2637)</f>
        <v>9</v>
      </c>
      <c r="M2635" s="14" t="e">
        <f>SUM(M2636:M2637)</f>
        <v>#REF!</v>
      </c>
      <c r="N2635" s="66" t="e">
        <f>+SUMIFS(#REF!,#REF!,Planning[[#This Row],[Proyectos]],#REF!,Planning[[#This Row],[Tipo de Tarea y especialidad]])</f>
        <v>#REF!</v>
      </c>
      <c r="O2635" s="14">
        <f t="shared" si="82"/>
        <v>10</v>
      </c>
      <c r="P2635" s="14">
        <f t="shared" si="83"/>
        <v>2024</v>
      </c>
      <c r="Q2635" s="28" t="e">
        <f>SUM(Q2636:Q2637)</f>
        <v>#REF!</v>
      </c>
      <c r="R2635" s="28" t="str">
        <f>TEXT(Planning[[#This Row],[Mes]]*29,"mmmm")</f>
        <v>October</v>
      </c>
      <c r="S26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35" s="192" t="s">
        <v>537</v>
      </c>
      <c r="U2635" s="43" t="e">
        <f>IF(Planning[[#This Row],[Horas Planificadas]]&lt;&gt;0,+K2635/Planning[[#This Row],[Horas Planificadas]],0)</f>
        <v>#REF!</v>
      </c>
      <c r="V2635" s="43" t="e">
        <f>IF(Planning[[#This Row],[Horas Planificadas]]&lt;&gt;0,Planning[[#This Row],[Horas utilizadas]]/Planning[[#This Row],[Horas Planificadas]],0)</f>
        <v>#REF!</v>
      </c>
      <c r="W2635" s="44">
        <f>Planning[[#This Row],[Horas Planificadas]]+Planning[[#This Row],[Horas ajustadas adicionales]]</f>
        <v>343</v>
      </c>
      <c r="X2635" s="142"/>
    </row>
    <row r="2636" spans="1:24" x14ac:dyDescent="0.2">
      <c r="A2636" s="7" t="s">
        <v>117</v>
      </c>
      <c r="B2636" s="7" t="s">
        <v>205</v>
      </c>
      <c r="C2636" s="3"/>
      <c r="D2636" s="3" t="s">
        <v>536</v>
      </c>
      <c r="E2636" s="4"/>
      <c r="F2636" s="3" t="s">
        <v>120</v>
      </c>
      <c r="G2636" s="9"/>
      <c r="H2636" s="9">
        <v>190</v>
      </c>
      <c r="I2636" s="12">
        <v>-160</v>
      </c>
      <c r="J2636" s="5" t="e">
        <f>SUM(SUMIFS(#REF!,#REF!,Planning[[#This Row],[Tipo de Tarea y especialidad]],#REF!,Planning[[#This Row],[Proyectos Reiwa]]),SUMIFS(#REF!,#REF!,Planning[[#This Row],[Tipo de Tarea y especialidad]],#REF!,Planning[[#This Row],[Proyectos]]))</f>
        <v>#REF!</v>
      </c>
      <c r="K2636" s="5" t="e">
        <f>Planning[[#This Row],[Horas Planificadas]]+Planning[[#This Row],[Horas ajustadas adicionales]]-Planning[[#This Row],[Horas utilizadas]]</f>
        <v>#REF!</v>
      </c>
      <c r="L2636" s="7">
        <v>0</v>
      </c>
      <c r="M2636" s="19" t="e">
        <f>Planning[[#This Row],[Saldo]]-Planning[[#This Row],[Saldo estimado]]</f>
        <v>#REF!</v>
      </c>
      <c r="N2636" s="60" t="e">
        <f>+SUMIFS(#REF!,#REF!,Planning[[#This Row],[Proyectos]],#REF!,Planning[[#This Row],[Tipo de Tarea y especialidad]])</f>
        <v>#REF!</v>
      </c>
      <c r="O2636" s="19">
        <f t="shared" si="82"/>
        <v>10</v>
      </c>
      <c r="P2636" s="19">
        <f t="shared" si="83"/>
        <v>2024</v>
      </c>
      <c r="Q26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36" s="19" t="str">
        <f>TEXT(Planning[[#This Row],[Mes]]*29,"mmmm")</f>
        <v>October</v>
      </c>
      <c r="S26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36" s="193"/>
      <c r="U2636" s="43" t="e">
        <f>IF(Planning[[#This Row],[Horas Planificadas]]&lt;&gt;0,+K2636/Planning[[#This Row],[Horas Planificadas]],0)</f>
        <v>#REF!</v>
      </c>
      <c r="V2636" s="43" t="e">
        <f>IF(Planning[[#This Row],[Horas Planificadas]]&lt;&gt;0,Planning[[#This Row],[Horas utilizadas]]/Planning[[#This Row],[Horas Planificadas]],0)</f>
        <v>#REF!</v>
      </c>
      <c r="W2636" s="44">
        <f>Planning[[#This Row],[Horas Planificadas]]+Planning[[#This Row],[Horas ajustadas adicionales]]</f>
        <v>30</v>
      </c>
      <c r="X2636" s="142"/>
    </row>
    <row r="2637" spans="1:24" x14ac:dyDescent="0.2">
      <c r="A2637" s="7" t="s">
        <v>117</v>
      </c>
      <c r="B2637" s="7" t="s">
        <v>205</v>
      </c>
      <c r="C2637" s="3"/>
      <c r="D2637" s="3" t="s">
        <v>536</v>
      </c>
      <c r="E2637" s="4"/>
      <c r="F2637" s="3" t="s">
        <v>121</v>
      </c>
      <c r="G2637" s="9"/>
      <c r="H2637" s="9">
        <v>153</v>
      </c>
      <c r="I2637" s="12"/>
      <c r="J2637" s="5" t="e">
        <f>SUM(SUMIFS(#REF!,#REF!,Planning[[#This Row],[Tipo de Tarea y especialidad]],#REF!,Planning[[#This Row],[Proyectos Reiwa]]),SUMIFS(#REF!,#REF!,Planning[[#This Row],[Tipo de Tarea y especialidad]],#REF!,Planning[[#This Row],[Proyectos]]))</f>
        <v>#REF!</v>
      </c>
      <c r="K2637" s="5" t="e">
        <f>Planning[[#This Row],[Horas Planificadas]]+Planning[[#This Row],[Horas ajustadas adicionales]]-Planning[[#This Row],[Horas utilizadas]]</f>
        <v>#REF!</v>
      </c>
      <c r="L2637" s="7">
        <v>9</v>
      </c>
      <c r="M2637" s="19" t="e">
        <f>Planning[[#This Row],[Saldo]]-Planning[[#This Row],[Saldo estimado]]</f>
        <v>#REF!</v>
      </c>
      <c r="N2637" s="60" t="e">
        <f>+SUMIFS(#REF!,#REF!,Planning[[#This Row],[Proyectos]],#REF!,Planning[[#This Row],[Tipo de Tarea y especialidad]])</f>
        <v>#REF!</v>
      </c>
      <c r="O2637" s="19">
        <f t="shared" si="82"/>
        <v>10</v>
      </c>
      <c r="P2637" s="19">
        <f t="shared" si="83"/>
        <v>2024</v>
      </c>
      <c r="Q26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37" s="19" t="str">
        <f>TEXT(Planning[[#This Row],[Mes]]*29,"mmmm")</f>
        <v>October</v>
      </c>
      <c r="S26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37" s="193"/>
      <c r="U2637" s="43" t="e">
        <f>IF(Planning[[#This Row],[Horas Planificadas]]&lt;&gt;0,+K2637/Planning[[#This Row],[Horas Planificadas]],0)</f>
        <v>#REF!</v>
      </c>
      <c r="V2637" s="43" t="e">
        <f>IF(Planning[[#This Row],[Horas Planificadas]]&lt;&gt;0,Planning[[#This Row],[Horas utilizadas]]/Planning[[#This Row],[Horas Planificadas]],0)</f>
        <v>#REF!</v>
      </c>
      <c r="W2637" s="44">
        <f>Planning[[#This Row],[Horas Planificadas]]+Planning[[#This Row],[Horas ajustadas adicionales]]</f>
        <v>153</v>
      </c>
      <c r="X2637" s="142"/>
    </row>
    <row r="2638" spans="1:24" x14ac:dyDescent="0.2">
      <c r="A2638" s="7" t="s">
        <v>117</v>
      </c>
      <c r="B2638" s="7" t="s">
        <v>205</v>
      </c>
      <c r="C2638" s="3"/>
      <c r="D2638" s="3" t="s">
        <v>536</v>
      </c>
      <c r="E2638" s="4" t="s">
        <v>30</v>
      </c>
      <c r="F2638" s="3"/>
      <c r="G2638" s="9">
        <v>608</v>
      </c>
      <c r="H2638" s="14">
        <f>SUM(H2639:H2645)</f>
        <v>608</v>
      </c>
      <c r="I2638" s="14"/>
      <c r="J2638" s="14" t="e">
        <f>SUM(J2639:J2645)</f>
        <v>#REF!</v>
      </c>
      <c r="K2638" s="15" t="e">
        <f>SUM(K2639:K2645)</f>
        <v>#REF!</v>
      </c>
      <c r="L2638" s="15" t="e">
        <f>SUM(L2639:L2645)</f>
        <v>#REF!</v>
      </c>
      <c r="M2638" s="16" t="e">
        <f>SUM(M2639:M2645)</f>
        <v>#REF!</v>
      </c>
      <c r="N2638" s="60" t="e">
        <f>+SUMIFS(#REF!,#REF!,Planning[[#This Row],[Proyectos]],#REF!,Planning[[#This Row],[Tipo de Tarea y especialidad]])</f>
        <v>#REF!</v>
      </c>
      <c r="O2638" s="16">
        <f t="shared" si="82"/>
        <v>10</v>
      </c>
      <c r="P2638" s="16">
        <f t="shared" si="83"/>
        <v>2024</v>
      </c>
      <c r="Q2638" s="16" t="e">
        <f>SUM(Q2639:Q2645)</f>
        <v>#REF!</v>
      </c>
      <c r="R2638" s="16" t="str">
        <f>TEXT(Planning[[#This Row],[Mes]]*29,"mmmm")</f>
        <v>October</v>
      </c>
      <c r="S26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38" s="193"/>
      <c r="U2638" s="43" t="e">
        <f>IF(Planning[[#This Row],[Horas Planificadas]]&lt;&gt;0,+K2638/Planning[[#This Row],[Horas Planificadas]],0)</f>
        <v>#REF!</v>
      </c>
      <c r="V2638" s="43" t="e">
        <f>IF(Planning[[#This Row],[Horas Planificadas]]&lt;&gt;0,Planning[[#This Row],[Horas utilizadas]]/Planning[[#This Row],[Horas Planificadas]],0)</f>
        <v>#REF!</v>
      </c>
      <c r="W2638" s="44">
        <f>Planning[[#This Row],[Horas Planificadas]]+Planning[[#This Row],[Horas ajustadas adicionales]]</f>
        <v>608</v>
      </c>
      <c r="X2638" s="142"/>
    </row>
    <row r="2639" spans="1:24" x14ac:dyDescent="0.2">
      <c r="A2639" s="7" t="s">
        <v>117</v>
      </c>
      <c r="B2639" s="7" t="s">
        <v>205</v>
      </c>
      <c r="C2639" s="3"/>
      <c r="D2639" s="3" t="s">
        <v>536</v>
      </c>
      <c r="E2639" s="4"/>
      <c r="F2639" s="3" t="s">
        <v>122</v>
      </c>
      <c r="G2639" s="9"/>
      <c r="H2639" s="9"/>
      <c r="I2639" s="12"/>
      <c r="J2639" s="5" t="e">
        <f>SUM(SUMIFS(#REF!,#REF!,Planning[[#This Row],[Tipo de Tarea y especialidad]],#REF!,Planning[[#This Row],[Proyectos Reiwa]]),SUMIFS(#REF!,#REF!,Planning[[#This Row],[Tipo de Tarea y especialidad]],#REF!,Planning[[#This Row],[Proyectos]]))</f>
        <v>#REF!</v>
      </c>
      <c r="K2639" s="5" t="e">
        <f>Planning[[#This Row],[Horas Planificadas]]+Planning[[#This Row],[Horas ajustadas adicionales]]-Planning[[#This Row],[Horas utilizadas]]</f>
        <v>#REF!</v>
      </c>
      <c r="L2639" s="7"/>
      <c r="M2639" s="19" t="e">
        <f>Planning[[#This Row],[Saldo]]-Planning[[#This Row],[Saldo estimado]]</f>
        <v>#REF!</v>
      </c>
      <c r="N2639" s="60" t="e">
        <f>+SUMIFS(#REF!,#REF!,Planning[[#This Row],[Proyectos]],#REF!,Planning[[#This Row],[Tipo de Tarea y especialidad]])</f>
        <v>#REF!</v>
      </c>
      <c r="O2639" s="19">
        <f t="shared" si="82"/>
        <v>10</v>
      </c>
      <c r="P2639" s="19">
        <f t="shared" si="83"/>
        <v>2024</v>
      </c>
      <c r="Q26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39" s="19" t="str">
        <f>TEXT(Planning[[#This Row],[Mes]]*29,"mmmm")</f>
        <v>October</v>
      </c>
      <c r="S26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39" s="193"/>
      <c r="U2639" s="43">
        <f>IF(Planning[[#This Row],[Horas Planificadas]]&lt;&gt;0,+K2639/Planning[[#This Row],[Horas Planificadas]],0)</f>
        <v>0</v>
      </c>
      <c r="V2639" s="43">
        <f>IF(Planning[[#This Row],[Horas Planificadas]]&lt;&gt;0,Planning[[#This Row],[Horas utilizadas]]/Planning[[#This Row],[Horas Planificadas]],0)</f>
        <v>0</v>
      </c>
      <c r="W2639" s="44">
        <f>Planning[[#This Row],[Horas Planificadas]]+Planning[[#This Row],[Horas ajustadas adicionales]]</f>
        <v>0</v>
      </c>
      <c r="X2639" s="142"/>
    </row>
    <row r="2640" spans="1:24" x14ac:dyDescent="0.2">
      <c r="A2640" s="7" t="s">
        <v>117</v>
      </c>
      <c r="B2640" s="7" t="s">
        <v>205</v>
      </c>
      <c r="C2640" s="3"/>
      <c r="D2640" s="3" t="s">
        <v>536</v>
      </c>
      <c r="E2640" s="4"/>
      <c r="F2640" s="3" t="s">
        <v>123</v>
      </c>
      <c r="G2640" s="9"/>
      <c r="H2640" s="9">
        <v>324</v>
      </c>
      <c r="I2640" s="12">
        <v>-1.5</v>
      </c>
      <c r="J2640" s="5" t="e">
        <f>SUM(SUMIFS(#REF!,#REF!,Planning[[#This Row],[Tipo de Tarea y especialidad]],#REF!,Planning[[#This Row],[Proyectos Reiwa]]),SUMIFS(#REF!,#REF!,Planning[[#This Row],[Tipo de Tarea y especialidad]],#REF!,Planning[[#This Row],[Proyectos]]))</f>
        <v>#REF!</v>
      </c>
      <c r="K2640" s="5" t="e">
        <f>Planning[[#This Row],[Horas Planificadas]]+Planning[[#This Row],[Horas ajustadas adicionales]]-Planning[[#This Row],[Horas utilizadas]]</f>
        <v>#REF!</v>
      </c>
      <c r="L2640" s="7">
        <v>0</v>
      </c>
      <c r="M2640" s="19" t="e">
        <f>Planning[[#This Row],[Saldo]]-Planning[[#This Row],[Saldo estimado]]</f>
        <v>#REF!</v>
      </c>
      <c r="N2640" s="60" t="e">
        <f>+SUMIFS(#REF!,#REF!,Planning[[#This Row],[Proyectos]],#REF!,Planning[[#This Row],[Tipo de Tarea y especialidad]])</f>
        <v>#REF!</v>
      </c>
      <c r="O2640" s="19">
        <f t="shared" si="82"/>
        <v>10</v>
      </c>
      <c r="P2640" s="19">
        <f t="shared" si="83"/>
        <v>2024</v>
      </c>
      <c r="Q26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40" s="19" t="str">
        <f>TEXT(Planning[[#This Row],[Mes]]*29,"mmmm")</f>
        <v>October</v>
      </c>
      <c r="S26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40" s="193"/>
      <c r="U2640" s="43" t="e">
        <f>IF(Planning[[#This Row],[Horas Planificadas]]&lt;&gt;0,+K2640/Planning[[#This Row],[Horas Planificadas]],0)</f>
        <v>#REF!</v>
      </c>
      <c r="V2640" s="43" t="e">
        <f>IF(Planning[[#This Row],[Horas Planificadas]]&lt;&gt;0,Planning[[#This Row],[Horas utilizadas]]/Planning[[#This Row],[Horas Planificadas]],0)</f>
        <v>#REF!</v>
      </c>
      <c r="W2640" s="44">
        <f>Planning[[#This Row],[Horas Planificadas]]+Planning[[#This Row],[Horas ajustadas adicionales]]</f>
        <v>322.5</v>
      </c>
      <c r="X2640" s="142"/>
    </row>
    <row r="2641" spans="1:24" x14ac:dyDescent="0.2">
      <c r="A2641" s="7" t="s">
        <v>117</v>
      </c>
      <c r="B2641" s="7" t="s">
        <v>205</v>
      </c>
      <c r="C2641" s="3"/>
      <c r="D2641" s="3" t="s">
        <v>536</v>
      </c>
      <c r="E2641" s="4"/>
      <c r="F2641" s="3" t="s">
        <v>124</v>
      </c>
      <c r="G2641" s="9"/>
      <c r="H2641" s="9">
        <v>50</v>
      </c>
      <c r="I2641" s="12"/>
      <c r="J2641" s="5" t="e">
        <f>SUM(SUMIFS(#REF!,#REF!,Planning[[#This Row],[Tipo de Tarea y especialidad]],#REF!,Planning[[#This Row],[Proyectos Reiwa]]),SUMIFS(#REF!,#REF!,Planning[[#This Row],[Tipo de Tarea y especialidad]],#REF!,Planning[[#This Row],[Proyectos]]))</f>
        <v>#REF!</v>
      </c>
      <c r="K2641" s="5" t="e">
        <f>Planning[[#This Row],[Horas Planificadas]]+Planning[[#This Row],[Horas ajustadas adicionales]]-Planning[[#This Row],[Horas utilizadas]]</f>
        <v>#REF!</v>
      </c>
      <c r="L2641" s="7" t="e">
        <f>Planning[[#This Row],[Saldo]]</f>
        <v>#REF!</v>
      </c>
      <c r="M2641" s="19" t="e">
        <f>Planning[[#This Row],[Saldo]]-Planning[[#This Row],[Saldo estimado]]</f>
        <v>#REF!</v>
      </c>
      <c r="N2641" s="60" t="e">
        <f>+SUMIFS(#REF!,#REF!,Planning[[#This Row],[Proyectos]],#REF!,Planning[[#This Row],[Tipo de Tarea y especialidad]])</f>
        <v>#REF!</v>
      </c>
      <c r="O2641" s="19">
        <f t="shared" si="82"/>
        <v>10</v>
      </c>
      <c r="P2641" s="19">
        <f t="shared" si="83"/>
        <v>2024</v>
      </c>
      <c r="Q26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41" s="19" t="str">
        <f>TEXT(Planning[[#This Row],[Mes]]*29,"mmmm")</f>
        <v>October</v>
      </c>
      <c r="S26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41" s="193"/>
      <c r="U2641" s="43" t="e">
        <f>IF(Planning[[#This Row],[Horas Planificadas]]&lt;&gt;0,+K2641/Planning[[#This Row],[Horas Planificadas]],0)</f>
        <v>#REF!</v>
      </c>
      <c r="V2641" s="43" t="e">
        <f>IF(Planning[[#This Row],[Horas Planificadas]]&lt;&gt;0,Planning[[#This Row],[Horas utilizadas]]/Planning[[#This Row],[Horas Planificadas]],0)</f>
        <v>#REF!</v>
      </c>
      <c r="W2641" s="44">
        <f>Planning[[#This Row],[Horas Planificadas]]+Planning[[#This Row],[Horas ajustadas adicionales]]</f>
        <v>50</v>
      </c>
      <c r="X2641" s="142"/>
    </row>
    <row r="2642" spans="1:24" x14ac:dyDescent="0.2">
      <c r="A2642" s="7" t="s">
        <v>117</v>
      </c>
      <c r="B2642" s="7" t="s">
        <v>205</v>
      </c>
      <c r="C2642" s="3"/>
      <c r="D2642" s="3" t="s">
        <v>536</v>
      </c>
      <c r="E2642" s="4"/>
      <c r="F2642" s="3" t="s">
        <v>125</v>
      </c>
      <c r="G2642" s="9"/>
      <c r="H2642" s="9">
        <v>153</v>
      </c>
      <c r="I2642" s="12"/>
      <c r="J2642" s="5" t="e">
        <f>SUM(SUMIFS(#REF!,#REF!,Planning[[#This Row],[Tipo de Tarea y especialidad]],#REF!,Planning[[#This Row],[Proyectos Reiwa]]),SUMIFS(#REF!,#REF!,Planning[[#This Row],[Tipo de Tarea y especialidad]],#REF!,Planning[[#This Row],[Proyectos]]))</f>
        <v>#REF!</v>
      </c>
      <c r="K2642" s="5" t="e">
        <f>Planning[[#This Row],[Horas Planificadas]]+Planning[[#This Row],[Horas ajustadas adicionales]]-Planning[[#This Row],[Horas utilizadas]]</f>
        <v>#REF!</v>
      </c>
      <c r="L2642" s="7">
        <v>3</v>
      </c>
      <c r="M2642" s="19" t="e">
        <f>Planning[[#This Row],[Saldo]]-Planning[[#This Row],[Saldo estimado]]</f>
        <v>#REF!</v>
      </c>
      <c r="N2642" s="60" t="e">
        <f>+SUMIFS(#REF!,#REF!,Planning[[#This Row],[Proyectos]],#REF!,Planning[[#This Row],[Tipo de Tarea y especialidad]])</f>
        <v>#REF!</v>
      </c>
      <c r="O2642" s="19">
        <f t="shared" si="82"/>
        <v>10</v>
      </c>
      <c r="P2642" s="19">
        <f t="shared" si="83"/>
        <v>2024</v>
      </c>
      <c r="Q26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42" s="19" t="str">
        <f>TEXT(Planning[[#This Row],[Mes]]*29,"mmmm")</f>
        <v>October</v>
      </c>
      <c r="S26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42" s="193"/>
      <c r="U2642" s="43" t="e">
        <f>IF(Planning[[#This Row],[Horas Planificadas]]&lt;&gt;0,+K2642/Planning[[#This Row],[Horas Planificadas]],0)</f>
        <v>#REF!</v>
      </c>
      <c r="V2642" s="43" t="e">
        <f>IF(Planning[[#This Row],[Horas Planificadas]]&lt;&gt;0,Planning[[#This Row],[Horas utilizadas]]/Planning[[#This Row],[Horas Planificadas]],0)</f>
        <v>#REF!</v>
      </c>
      <c r="W2642" s="44">
        <f>Planning[[#This Row],[Horas Planificadas]]+Planning[[#This Row],[Horas ajustadas adicionales]]</f>
        <v>153</v>
      </c>
      <c r="X2642" s="142"/>
    </row>
    <row r="2643" spans="1:24" x14ac:dyDescent="0.2">
      <c r="A2643" s="7" t="s">
        <v>117</v>
      </c>
      <c r="B2643" s="7" t="s">
        <v>205</v>
      </c>
      <c r="C2643" s="3"/>
      <c r="D2643" s="3" t="s">
        <v>536</v>
      </c>
      <c r="E2643" s="4"/>
      <c r="F2643" s="3" t="s">
        <v>126</v>
      </c>
      <c r="G2643" s="9"/>
      <c r="H2643" s="9"/>
      <c r="I2643" s="12"/>
      <c r="J2643" s="5" t="e">
        <f>SUM(SUMIFS(#REF!,#REF!,Planning[[#This Row],[Tipo de Tarea y especialidad]],#REF!,Planning[[#This Row],[Proyectos Reiwa]]),SUMIFS(#REF!,#REF!,Planning[[#This Row],[Tipo de Tarea y especialidad]],#REF!,Planning[[#This Row],[Proyectos]]))</f>
        <v>#REF!</v>
      </c>
      <c r="K2643" s="5" t="e">
        <f>Planning[[#This Row],[Horas Planificadas]]+Planning[[#This Row],[Horas ajustadas adicionales]]-Planning[[#This Row],[Horas utilizadas]]</f>
        <v>#REF!</v>
      </c>
      <c r="L2643" s="7"/>
      <c r="M2643" s="19" t="e">
        <f>Planning[[#This Row],[Saldo]]-Planning[[#This Row],[Saldo estimado]]</f>
        <v>#REF!</v>
      </c>
      <c r="N2643" s="60" t="e">
        <f>+SUMIFS(#REF!,#REF!,Planning[[#This Row],[Proyectos]],#REF!,Planning[[#This Row],[Tipo de Tarea y especialidad]])</f>
        <v>#REF!</v>
      </c>
      <c r="O2643" s="19">
        <f t="shared" si="82"/>
        <v>10</v>
      </c>
      <c r="P2643" s="19">
        <f t="shared" si="83"/>
        <v>2024</v>
      </c>
      <c r="Q26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43" s="19" t="str">
        <f>TEXT(Planning[[#This Row],[Mes]]*29,"mmmm")</f>
        <v>October</v>
      </c>
      <c r="S26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43" s="193"/>
      <c r="U2643" s="43">
        <f>IF(Planning[[#This Row],[Horas Planificadas]]&lt;&gt;0,+K2643/Planning[[#This Row],[Horas Planificadas]],0)</f>
        <v>0</v>
      </c>
      <c r="V2643" s="43">
        <f>IF(Planning[[#This Row],[Horas Planificadas]]&lt;&gt;0,Planning[[#This Row],[Horas utilizadas]]/Planning[[#This Row],[Horas Planificadas]],0)</f>
        <v>0</v>
      </c>
      <c r="W2643" s="44">
        <f>Planning[[#This Row],[Horas Planificadas]]+Planning[[#This Row],[Horas ajustadas adicionales]]</f>
        <v>0</v>
      </c>
      <c r="X2643" s="142"/>
    </row>
    <row r="2644" spans="1:24" x14ac:dyDescent="0.2">
      <c r="A2644" s="7" t="s">
        <v>117</v>
      </c>
      <c r="B2644" s="7" t="s">
        <v>205</v>
      </c>
      <c r="C2644" s="3"/>
      <c r="D2644" s="3" t="s">
        <v>536</v>
      </c>
      <c r="E2644" s="4"/>
      <c r="F2644" s="3" t="s">
        <v>127</v>
      </c>
      <c r="G2644" s="9"/>
      <c r="H2644" s="9">
        <v>81</v>
      </c>
      <c r="I2644" s="12"/>
      <c r="J2644" s="5" t="e">
        <f>SUM(SUMIFS(#REF!,#REF!,Planning[[#This Row],[Tipo de Tarea y especialidad]],#REF!,Planning[[#This Row],[Proyectos Reiwa]]),SUMIFS(#REF!,#REF!,Planning[[#This Row],[Tipo de Tarea y especialidad]],#REF!,Planning[[#This Row],[Proyectos]]))</f>
        <v>#REF!</v>
      </c>
      <c r="K2644" s="5" t="e">
        <f>Planning[[#This Row],[Horas Planificadas]]+Planning[[#This Row],[Horas ajustadas adicionales]]-Planning[[#This Row],[Horas utilizadas]]</f>
        <v>#REF!</v>
      </c>
      <c r="L2644" s="7">
        <v>0</v>
      </c>
      <c r="M2644" s="19" t="e">
        <f>Planning[[#This Row],[Saldo]]-Planning[[#This Row],[Saldo estimado]]</f>
        <v>#REF!</v>
      </c>
      <c r="N2644" s="60" t="e">
        <f>+SUMIFS(#REF!,#REF!,Planning[[#This Row],[Proyectos]],#REF!,Planning[[#This Row],[Tipo de Tarea y especialidad]])</f>
        <v>#REF!</v>
      </c>
      <c r="O2644" s="19">
        <f t="shared" si="82"/>
        <v>10</v>
      </c>
      <c r="P2644" s="19">
        <f t="shared" si="83"/>
        <v>2024</v>
      </c>
      <c r="Q26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44" s="19" t="str">
        <f>TEXT(Planning[[#This Row],[Mes]]*29,"mmmm")</f>
        <v>October</v>
      </c>
      <c r="S26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44" s="193"/>
      <c r="U2644" s="43" t="e">
        <f>IF(Planning[[#This Row],[Horas Planificadas]]&lt;&gt;0,+K2644/Planning[[#This Row],[Horas Planificadas]],0)</f>
        <v>#REF!</v>
      </c>
      <c r="V2644" s="43" t="e">
        <f>IF(Planning[[#This Row],[Horas Planificadas]]&lt;&gt;0,Planning[[#This Row],[Horas utilizadas]]/Planning[[#This Row],[Horas Planificadas]],0)</f>
        <v>#REF!</v>
      </c>
      <c r="W2644" s="44">
        <f>Planning[[#This Row],[Horas Planificadas]]+Planning[[#This Row],[Horas ajustadas adicionales]]</f>
        <v>81</v>
      </c>
      <c r="X2644" s="142"/>
    </row>
    <row r="2645" spans="1:24" x14ac:dyDescent="0.2">
      <c r="A2645" s="7" t="s">
        <v>117</v>
      </c>
      <c r="B2645" s="7" t="s">
        <v>205</v>
      </c>
      <c r="C2645" s="3"/>
      <c r="D2645" s="3" t="s">
        <v>536</v>
      </c>
      <c r="E2645" s="4"/>
      <c r="F2645" s="3" t="s">
        <v>128</v>
      </c>
      <c r="G2645" s="9"/>
      <c r="H2645" s="9"/>
      <c r="I2645" s="12"/>
      <c r="J2645" s="5" t="e">
        <f>SUM(SUMIFS(#REF!,#REF!,Planning[[#This Row],[Tipo de Tarea y especialidad]],#REF!,Planning[[#This Row],[Proyectos Reiwa]]),SUMIFS(#REF!,#REF!,Planning[[#This Row],[Tipo de Tarea y especialidad]],#REF!,Planning[[#This Row],[Proyectos]]))</f>
        <v>#REF!</v>
      </c>
      <c r="K2645" s="5" t="e">
        <f>Planning[[#This Row],[Horas Planificadas]]+Planning[[#This Row],[Horas ajustadas adicionales]]-Planning[[#This Row],[Horas utilizadas]]</f>
        <v>#REF!</v>
      </c>
      <c r="L2645" s="7"/>
      <c r="M2645" s="19" t="e">
        <f>Planning[[#This Row],[Saldo]]-Planning[[#This Row],[Saldo estimado]]</f>
        <v>#REF!</v>
      </c>
      <c r="N2645" s="60" t="e">
        <f>+SUMIFS(#REF!,#REF!,Planning[[#This Row],[Proyectos]],#REF!,Planning[[#This Row],[Tipo de Tarea y especialidad]])</f>
        <v>#REF!</v>
      </c>
      <c r="O2645" s="19">
        <f t="shared" si="82"/>
        <v>10</v>
      </c>
      <c r="P2645" s="19">
        <f t="shared" si="83"/>
        <v>2024</v>
      </c>
      <c r="Q26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45" s="19" t="str">
        <f>TEXT(Planning[[#This Row],[Mes]]*29,"mmmm")</f>
        <v>October</v>
      </c>
      <c r="S26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45" s="193"/>
      <c r="U2645" s="43">
        <f>IF(Planning[[#This Row],[Horas Planificadas]]&lt;&gt;0,+K2645/Planning[[#This Row],[Horas Planificadas]],0)</f>
        <v>0</v>
      </c>
      <c r="V2645" s="43">
        <f>IF(Planning[[#This Row],[Horas Planificadas]]&lt;&gt;0,Planning[[#This Row],[Horas utilizadas]]/Planning[[#This Row],[Horas Planificadas]],0)</f>
        <v>0</v>
      </c>
      <c r="W2645" s="44">
        <f>Planning[[#This Row],[Horas Planificadas]]+Planning[[#This Row],[Horas ajustadas adicionales]]</f>
        <v>0</v>
      </c>
      <c r="X2645" s="142"/>
    </row>
    <row r="2646" spans="1:24" x14ac:dyDescent="0.2">
      <c r="A2646" s="7" t="s">
        <v>117</v>
      </c>
      <c r="B2646" s="7" t="s">
        <v>205</v>
      </c>
      <c r="C2646" s="3"/>
      <c r="D2646" s="3" t="s">
        <v>536</v>
      </c>
      <c r="E2646" s="4" t="s">
        <v>31</v>
      </c>
      <c r="F2646" s="3" t="s">
        <v>31</v>
      </c>
      <c r="G2646" s="9">
        <v>174</v>
      </c>
      <c r="H2646" s="17">
        <v>174</v>
      </c>
      <c r="I2646" s="18"/>
      <c r="J2646" s="14" t="e">
        <f>+SUMIFS(#REF!,#REF!,Planning[[#This Row],[Tarifa]],#REF!,Planning[[#This Row],[Proyectos]])</f>
        <v>#REF!</v>
      </c>
      <c r="K2646" s="14" t="e">
        <f>Planning[[#This Row],[Horas Planificadas]]+Planning[[#This Row],[Horas ajustadas adicionales]]-Planning[[#This Row],[Horas utilizadas]]</f>
        <v>#REF!</v>
      </c>
      <c r="L2646" s="15" t="e">
        <f>Planning[[#This Row],[Saldo]]</f>
        <v>#REF!</v>
      </c>
      <c r="M2646" s="16" t="e">
        <f>Planning[[#This Row],[Saldo]]-Planning[[#This Row],[Saldo estimado]]</f>
        <v>#REF!</v>
      </c>
      <c r="N2646" s="60" t="e">
        <f>+SUMIFS(#REF!,#REF!,Planning[[#This Row],[Proyectos]],#REF!,Planning[[#This Row],[Tipo de Tarea y especialidad]])</f>
        <v>#REF!</v>
      </c>
      <c r="O2646" s="16">
        <f t="shared" si="82"/>
        <v>10</v>
      </c>
      <c r="P2646" s="16">
        <f t="shared" si="83"/>
        <v>2024</v>
      </c>
      <c r="Q2646" s="16" t="e">
        <f>+SUMIFS(#REF!,#REF!,Planning[[#This Row],[Tarifa]],#REF!,Planning[[#This Row],[Proyectos]],#REF!,Planning[[#This Row],[Mes]],#REF!,Planning[[#This Row],[Año]])</f>
        <v>#REF!</v>
      </c>
      <c r="R2646" s="16" t="str">
        <f>TEXT(Planning[[#This Row],[Mes]]*29,"mmmm")</f>
        <v>October</v>
      </c>
      <c r="S26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46" s="193"/>
      <c r="U2646" s="43" t="e">
        <f>IF(Planning[[#This Row],[Horas Planificadas]]&lt;&gt;0,+K2646/Planning[[#This Row],[Horas Planificadas]],0)</f>
        <v>#REF!</v>
      </c>
      <c r="V2646" s="43" t="e">
        <f>IF(Planning[[#This Row],[Horas Planificadas]]&lt;&gt;0,Planning[[#This Row],[Horas utilizadas]]/Planning[[#This Row],[Horas Planificadas]],0)</f>
        <v>#REF!</v>
      </c>
      <c r="W2646" s="44">
        <f>Planning[[#This Row],[Horas Planificadas]]+Planning[[#This Row],[Horas ajustadas adicionales]]</f>
        <v>174</v>
      </c>
      <c r="X2646" s="142"/>
    </row>
    <row r="2647" spans="1:24" ht="22.5" x14ac:dyDescent="0.2">
      <c r="A2647" s="7" t="s">
        <v>117</v>
      </c>
      <c r="B2647" s="7" t="s">
        <v>205</v>
      </c>
      <c r="C2647" s="3"/>
      <c r="D2647" s="3" t="s">
        <v>536</v>
      </c>
      <c r="E2647" s="4" t="s">
        <v>32</v>
      </c>
      <c r="F2647" s="3"/>
      <c r="G2647" s="9">
        <v>135</v>
      </c>
      <c r="H2647" s="14">
        <f>SUM(H2648:H2650)</f>
        <v>135</v>
      </c>
      <c r="I2647" s="14"/>
      <c r="J2647" s="14" t="e">
        <f>SUM(J2648:J2650)</f>
        <v>#REF!</v>
      </c>
      <c r="K2647" s="15" t="e">
        <f>SUM(K2648:K2650)</f>
        <v>#REF!</v>
      </c>
      <c r="L2647" s="15">
        <f>SUM(L2648:L2650)</f>
        <v>135</v>
      </c>
      <c r="M2647" s="16" t="e">
        <f>SUM(M2648:M2650)</f>
        <v>#REF!</v>
      </c>
      <c r="N2647" s="60" t="e">
        <f>+SUMIFS(#REF!,#REF!,Planning[[#This Row],[Proyectos]],#REF!,Planning[[#This Row],[Tipo de Tarea y especialidad]])</f>
        <v>#REF!</v>
      </c>
      <c r="O2647" s="16">
        <f t="shared" si="82"/>
        <v>10</v>
      </c>
      <c r="P2647" s="16">
        <f t="shared" si="83"/>
        <v>2024</v>
      </c>
      <c r="Q2647" s="16" t="e">
        <f>SUM(Q2648:Q2650)</f>
        <v>#REF!</v>
      </c>
      <c r="R2647" s="16" t="str">
        <f>TEXT(Planning[[#This Row],[Mes]]*29,"mmmm")</f>
        <v>October</v>
      </c>
      <c r="S26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47" s="193"/>
      <c r="U2647" s="43" t="e">
        <f>IF(Planning[[#This Row],[Horas Planificadas]]&lt;&gt;0,+K2647/Planning[[#This Row],[Horas Planificadas]],0)</f>
        <v>#REF!</v>
      </c>
      <c r="V2647" s="43" t="e">
        <f>IF(Planning[[#This Row],[Horas Planificadas]]&lt;&gt;0,Planning[[#This Row],[Horas utilizadas]]/Planning[[#This Row],[Horas Planificadas]],0)</f>
        <v>#REF!</v>
      </c>
      <c r="W2647" s="44">
        <f>Planning[[#This Row],[Horas Planificadas]]+Planning[[#This Row],[Horas ajustadas adicionales]]</f>
        <v>135</v>
      </c>
      <c r="X2647" s="142"/>
    </row>
    <row r="2648" spans="1:24" x14ac:dyDescent="0.2">
      <c r="A2648" s="7" t="s">
        <v>117</v>
      </c>
      <c r="B2648" s="7" t="s">
        <v>205</v>
      </c>
      <c r="C2648" s="3"/>
      <c r="D2648" s="3" t="s">
        <v>536</v>
      </c>
      <c r="E2648" s="4"/>
      <c r="F2648" s="3" t="s">
        <v>129</v>
      </c>
      <c r="G2648" s="9"/>
      <c r="H2648" s="9"/>
      <c r="I2648" s="12"/>
      <c r="J2648" s="5" t="e">
        <f>SUM(SUMIFS(#REF!,#REF!,Planning[[#This Row],[Tipo de Tarea y especialidad]],#REF!,Planning[[#This Row],[Proyectos Reiwa]]),SUMIFS(#REF!,#REF!,Planning[[#This Row],[Tipo de Tarea y especialidad]],#REF!,Planning[[#This Row],[Proyectos]]))</f>
        <v>#REF!</v>
      </c>
      <c r="K2648" s="5" t="e">
        <f>Planning[[#This Row],[Horas Planificadas]]+Planning[[#This Row],[Horas ajustadas adicionales]]-Planning[[#This Row],[Horas utilizadas]]</f>
        <v>#REF!</v>
      </c>
      <c r="L2648" s="7"/>
      <c r="M2648" s="19" t="e">
        <f>Planning[[#This Row],[Saldo]]-Planning[[#This Row],[Saldo estimado]]</f>
        <v>#REF!</v>
      </c>
      <c r="N2648" s="60" t="e">
        <f>+SUMIFS(#REF!,#REF!,Planning[[#This Row],[Proyectos]],#REF!,Planning[[#This Row],[Tipo de Tarea y especialidad]])</f>
        <v>#REF!</v>
      </c>
      <c r="O2648" s="19">
        <f t="shared" si="82"/>
        <v>10</v>
      </c>
      <c r="P2648" s="19">
        <f t="shared" si="83"/>
        <v>2024</v>
      </c>
      <c r="Q26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48" s="19" t="str">
        <f>TEXT(Planning[[#This Row],[Mes]]*29,"mmmm")</f>
        <v>October</v>
      </c>
      <c r="S26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48" s="193"/>
      <c r="U2648" s="43">
        <f>IF(Planning[[#This Row],[Horas Planificadas]]&lt;&gt;0,+K2648/Planning[[#This Row],[Horas Planificadas]],0)</f>
        <v>0</v>
      </c>
      <c r="V2648" s="43">
        <f>IF(Planning[[#This Row],[Horas Planificadas]]&lt;&gt;0,Planning[[#This Row],[Horas utilizadas]]/Planning[[#This Row],[Horas Planificadas]],0)</f>
        <v>0</v>
      </c>
      <c r="W2648" s="44">
        <f>Planning[[#This Row],[Horas Planificadas]]+Planning[[#This Row],[Horas ajustadas adicionales]]</f>
        <v>0</v>
      </c>
      <c r="X2648" s="142"/>
    </row>
    <row r="2649" spans="1:24" x14ac:dyDescent="0.2">
      <c r="A2649" s="7" t="s">
        <v>117</v>
      </c>
      <c r="B2649" s="7" t="s">
        <v>205</v>
      </c>
      <c r="C2649" s="3"/>
      <c r="D2649" s="3" t="s">
        <v>536</v>
      </c>
      <c r="E2649" s="4"/>
      <c r="F2649" s="3" t="s">
        <v>130</v>
      </c>
      <c r="G2649" s="9"/>
      <c r="H2649" s="9">
        <v>135</v>
      </c>
      <c r="I2649" s="12"/>
      <c r="J2649" s="5" t="e">
        <f>SUM(SUMIFS(#REF!,#REF!,Planning[[#This Row],[Tipo de Tarea y especialidad]],#REF!,Planning[[#This Row],[Proyectos Reiwa]]),SUMIFS(#REF!,#REF!,Planning[[#This Row],[Tipo de Tarea y especialidad]],#REF!,Planning[[#This Row],[Proyectos]]))</f>
        <v>#REF!</v>
      </c>
      <c r="K2649" s="5" t="e">
        <f>Planning[[#This Row],[Horas Planificadas]]+Planning[[#This Row],[Horas ajustadas adicionales]]-Planning[[#This Row],[Horas utilizadas]]</f>
        <v>#REF!</v>
      </c>
      <c r="L2649" s="7">
        <v>135</v>
      </c>
      <c r="M2649" s="19" t="e">
        <f>Planning[[#This Row],[Saldo]]-Planning[[#This Row],[Saldo estimado]]</f>
        <v>#REF!</v>
      </c>
      <c r="N2649" s="60" t="e">
        <f>+SUMIFS(#REF!,#REF!,Planning[[#This Row],[Proyectos]],#REF!,Planning[[#This Row],[Tipo de Tarea y especialidad]])</f>
        <v>#REF!</v>
      </c>
      <c r="O2649" s="19">
        <f t="shared" si="82"/>
        <v>10</v>
      </c>
      <c r="P2649" s="19">
        <f t="shared" si="83"/>
        <v>2024</v>
      </c>
      <c r="Q26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49" s="19" t="str">
        <f>TEXT(Planning[[#This Row],[Mes]]*29,"mmmm")</f>
        <v>October</v>
      </c>
      <c r="S26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49" s="193"/>
      <c r="U2649" s="43" t="e">
        <f>IF(Planning[[#This Row],[Horas Planificadas]]&lt;&gt;0,+K2649/Planning[[#This Row],[Horas Planificadas]],0)</f>
        <v>#REF!</v>
      </c>
      <c r="V2649" s="43" t="e">
        <f>IF(Planning[[#This Row],[Horas Planificadas]]&lt;&gt;0,Planning[[#This Row],[Horas utilizadas]]/Planning[[#This Row],[Horas Planificadas]],0)</f>
        <v>#REF!</v>
      </c>
      <c r="W2649" s="44">
        <f>Planning[[#This Row],[Horas Planificadas]]+Planning[[#This Row],[Horas ajustadas adicionales]]</f>
        <v>135</v>
      </c>
      <c r="X2649" s="142"/>
    </row>
    <row r="2650" spans="1:24" x14ac:dyDescent="0.2">
      <c r="A2650" s="7" t="s">
        <v>117</v>
      </c>
      <c r="B2650" s="7" t="s">
        <v>205</v>
      </c>
      <c r="C2650" s="3"/>
      <c r="D2650" s="3" t="s">
        <v>536</v>
      </c>
      <c r="E2650" s="4"/>
      <c r="F2650" s="3" t="s">
        <v>131</v>
      </c>
      <c r="G2650" s="9"/>
      <c r="H2650" s="9"/>
      <c r="I2650" s="12"/>
      <c r="J2650" s="5" t="e">
        <f>SUM(SUMIFS(#REF!,#REF!,Planning[[#This Row],[Tipo de Tarea y especialidad]],#REF!,Planning[[#This Row],[Proyectos Reiwa]]),SUMIFS(#REF!,#REF!,Planning[[#This Row],[Tipo de Tarea y especialidad]],#REF!,Planning[[#This Row],[Proyectos]]))</f>
        <v>#REF!</v>
      </c>
      <c r="K2650" s="5" t="e">
        <f>Planning[[#This Row],[Horas Planificadas]]+Planning[[#This Row],[Horas ajustadas adicionales]]-Planning[[#This Row],[Horas utilizadas]]</f>
        <v>#REF!</v>
      </c>
      <c r="L2650" s="7"/>
      <c r="M2650" s="19" t="e">
        <f>Planning[[#This Row],[Saldo]]-Planning[[#This Row],[Saldo estimado]]</f>
        <v>#REF!</v>
      </c>
      <c r="N2650" s="60" t="e">
        <f>+SUMIFS(#REF!,#REF!,Planning[[#This Row],[Proyectos]],#REF!,Planning[[#This Row],[Tipo de Tarea y especialidad]])</f>
        <v>#REF!</v>
      </c>
      <c r="O2650" s="19">
        <f t="shared" si="82"/>
        <v>10</v>
      </c>
      <c r="P2650" s="19">
        <f t="shared" si="83"/>
        <v>2024</v>
      </c>
      <c r="Q26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50" s="19" t="str">
        <f>TEXT(Planning[[#This Row],[Mes]]*29,"mmmm")</f>
        <v>October</v>
      </c>
      <c r="S26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50" s="193"/>
      <c r="U2650" s="43">
        <f>IF(Planning[[#This Row],[Horas Planificadas]]&lt;&gt;0,+K2650/Planning[[#This Row],[Horas Planificadas]],0)</f>
        <v>0</v>
      </c>
      <c r="V2650" s="43">
        <f>IF(Planning[[#This Row],[Horas Planificadas]]&lt;&gt;0,Planning[[#This Row],[Horas utilizadas]]/Planning[[#This Row],[Horas Planificadas]],0)</f>
        <v>0</v>
      </c>
      <c r="W2650" s="44">
        <f>Planning[[#This Row],[Horas Planificadas]]+Planning[[#This Row],[Horas ajustadas adicionales]]</f>
        <v>0</v>
      </c>
      <c r="X2650" s="142"/>
    </row>
    <row r="2651" spans="1:24" ht="22.5" x14ac:dyDescent="0.2">
      <c r="A2651" s="7" t="s">
        <v>435</v>
      </c>
      <c r="B2651" s="7" t="s">
        <v>205</v>
      </c>
      <c r="C2651" s="3"/>
      <c r="D2651" s="3" t="s">
        <v>538</v>
      </c>
      <c r="E2651" s="4" t="s">
        <v>28</v>
      </c>
      <c r="F2651" s="3"/>
      <c r="G2651" s="9">
        <v>490</v>
      </c>
      <c r="H2651" s="25">
        <f>SUM(H2652:H2653)</f>
        <v>490</v>
      </c>
      <c r="I2651" s="14"/>
      <c r="J2651" s="14" t="e">
        <f>SUM(J2652:J2653)</f>
        <v>#REF!</v>
      </c>
      <c r="K2651" s="18" t="e">
        <f>SUM(K2652:K2653)</f>
        <v>#REF!</v>
      </c>
      <c r="L2651" s="15">
        <f>SUM(L2652:L2653)</f>
        <v>0</v>
      </c>
      <c r="M2651" s="28" t="e">
        <f>SUM(M2652:M2653)</f>
        <v>#REF!</v>
      </c>
      <c r="N2651" s="61" t="e">
        <f>+SUMIFS(#REF!,#REF!,Planning[[#This Row],[Proyectos]],#REF!,Planning[[#This Row],[Tipo de Tarea y especialidad]])</f>
        <v>#REF!</v>
      </c>
      <c r="O2651" s="28">
        <f t="shared" si="82"/>
        <v>10</v>
      </c>
      <c r="P2651" s="28">
        <f t="shared" si="83"/>
        <v>2024</v>
      </c>
      <c r="Q2651" s="28" t="e">
        <f>SUM(Q2652:Q2653)</f>
        <v>#REF!</v>
      </c>
      <c r="R2651" s="28" t="str">
        <f>TEXT(Planning[[#This Row],[Mes]]*29,"mmmm")</f>
        <v>October</v>
      </c>
      <c r="S26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51" s="192" t="s">
        <v>539</v>
      </c>
      <c r="U2651" s="43" t="e">
        <f>IF(Planning[[#This Row],[Horas Planificadas]]&lt;&gt;0,+K2651/Planning[[#This Row],[Horas Planificadas]],0)</f>
        <v>#REF!</v>
      </c>
      <c r="V2651" s="43" t="e">
        <f>IF(Planning[[#This Row],[Horas Planificadas]]&lt;&gt;0,Planning[[#This Row],[Horas utilizadas]]/Planning[[#This Row],[Horas Planificadas]],0)</f>
        <v>#REF!</v>
      </c>
      <c r="W2651" s="44">
        <f>Planning[[#This Row],[Horas Planificadas]]+Planning[[#This Row],[Horas ajustadas adicionales]]</f>
        <v>490</v>
      </c>
      <c r="X2651" s="142"/>
    </row>
    <row r="2652" spans="1:24" x14ac:dyDescent="0.2">
      <c r="A2652" s="7" t="s">
        <v>435</v>
      </c>
      <c r="B2652" s="7" t="s">
        <v>205</v>
      </c>
      <c r="C2652" s="3"/>
      <c r="D2652" s="3" t="s">
        <v>538</v>
      </c>
      <c r="E2652" s="4"/>
      <c r="F2652" s="3" t="s">
        <v>120</v>
      </c>
      <c r="G2652" s="9"/>
      <c r="H2652" s="9">
        <v>280</v>
      </c>
      <c r="I2652" s="12"/>
      <c r="J2652" s="5" t="e">
        <f>SUM(SUMIFS(#REF!,#REF!,Planning[[#This Row],[Tipo de Tarea y especialidad]],#REF!,Planning[[#This Row],[Proyectos Reiwa]]),SUMIFS(#REF!,#REF!,Planning[[#This Row],[Tipo de Tarea y especialidad]],#REF!,Planning[[#This Row],[Proyectos]]))</f>
        <v>#REF!</v>
      </c>
      <c r="K2652" s="5" t="e">
        <f>Planning[[#This Row],[Horas Planificadas]]+Planning[[#This Row],[Horas ajustadas adicionales]]-Planning[[#This Row],[Horas utilizadas]]</f>
        <v>#REF!</v>
      </c>
      <c r="L2652" s="7">
        <v>0</v>
      </c>
      <c r="M2652" s="19" t="e">
        <f>Planning[[#This Row],[Saldo]]-Planning[[#This Row],[Saldo estimado]]</f>
        <v>#REF!</v>
      </c>
      <c r="N2652" s="60" t="e">
        <f>+SUMIFS(#REF!,#REF!,Planning[[#This Row],[Proyectos]],#REF!,Planning[[#This Row],[Tipo de Tarea y especialidad]])</f>
        <v>#REF!</v>
      </c>
      <c r="O2652" s="19">
        <f t="shared" si="82"/>
        <v>10</v>
      </c>
      <c r="P2652" s="19">
        <f t="shared" si="83"/>
        <v>2024</v>
      </c>
      <c r="Q26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52" s="19" t="str">
        <f>TEXT(Planning[[#This Row],[Mes]]*29,"mmmm")</f>
        <v>October</v>
      </c>
      <c r="S26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52" s="193"/>
      <c r="U2652" s="43" t="e">
        <f>IF(Planning[[#This Row],[Horas Planificadas]]&lt;&gt;0,+K2652/Planning[[#This Row],[Horas Planificadas]],0)</f>
        <v>#REF!</v>
      </c>
      <c r="V2652" s="43" t="e">
        <f>IF(Planning[[#This Row],[Horas Planificadas]]&lt;&gt;0,Planning[[#This Row],[Horas utilizadas]]/Planning[[#This Row],[Horas Planificadas]],0)</f>
        <v>#REF!</v>
      </c>
      <c r="W2652" s="44">
        <f>Planning[[#This Row],[Horas Planificadas]]+Planning[[#This Row],[Horas ajustadas adicionales]]</f>
        <v>280</v>
      </c>
      <c r="X2652" s="142"/>
    </row>
    <row r="2653" spans="1:24" x14ac:dyDescent="0.2">
      <c r="A2653" s="7" t="s">
        <v>435</v>
      </c>
      <c r="B2653" s="7" t="s">
        <v>205</v>
      </c>
      <c r="C2653" s="3"/>
      <c r="D2653" s="3" t="s">
        <v>538</v>
      </c>
      <c r="E2653" s="4"/>
      <c r="F2653" s="3" t="s">
        <v>121</v>
      </c>
      <c r="G2653" s="9"/>
      <c r="H2653" s="9">
        <v>210</v>
      </c>
      <c r="I2653" s="12"/>
      <c r="J2653" s="5" t="e">
        <f>SUM(SUMIFS(#REF!,#REF!,Planning[[#This Row],[Tipo de Tarea y especialidad]],#REF!,Planning[[#This Row],[Proyectos Reiwa]]),SUMIFS(#REF!,#REF!,Planning[[#This Row],[Tipo de Tarea y especialidad]],#REF!,Planning[[#This Row],[Proyectos]]))</f>
        <v>#REF!</v>
      </c>
      <c r="K2653" s="5" t="e">
        <f>Planning[[#This Row],[Horas Planificadas]]+Planning[[#This Row],[Horas ajustadas adicionales]]-Planning[[#This Row],[Horas utilizadas]]</f>
        <v>#REF!</v>
      </c>
      <c r="L2653" s="7">
        <v>0</v>
      </c>
      <c r="M2653" s="19" t="e">
        <f>Planning[[#This Row],[Saldo]]-Planning[[#This Row],[Saldo estimado]]</f>
        <v>#REF!</v>
      </c>
      <c r="N2653" s="60" t="e">
        <f>+SUMIFS(#REF!,#REF!,Planning[[#This Row],[Proyectos]],#REF!,Planning[[#This Row],[Tipo de Tarea y especialidad]])</f>
        <v>#REF!</v>
      </c>
      <c r="O2653" s="19">
        <f t="shared" si="82"/>
        <v>10</v>
      </c>
      <c r="P2653" s="19">
        <f t="shared" si="83"/>
        <v>2024</v>
      </c>
      <c r="Q26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53" s="19" t="str">
        <f>TEXT(Planning[[#This Row],[Mes]]*29,"mmmm")</f>
        <v>October</v>
      </c>
      <c r="S26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53" s="193"/>
      <c r="U2653" s="43" t="e">
        <f>IF(Planning[[#This Row],[Horas Planificadas]]&lt;&gt;0,+K2653/Planning[[#This Row],[Horas Planificadas]],0)</f>
        <v>#REF!</v>
      </c>
      <c r="V2653" s="43" t="e">
        <f>IF(Planning[[#This Row],[Horas Planificadas]]&lt;&gt;0,Planning[[#This Row],[Horas utilizadas]]/Planning[[#This Row],[Horas Planificadas]],0)</f>
        <v>#REF!</v>
      </c>
      <c r="W2653" s="44">
        <f>Planning[[#This Row],[Horas Planificadas]]+Planning[[#This Row],[Horas ajustadas adicionales]]</f>
        <v>210</v>
      </c>
      <c r="X2653" s="142"/>
    </row>
    <row r="2654" spans="1:24" x14ac:dyDescent="0.2">
      <c r="A2654" s="7" t="s">
        <v>435</v>
      </c>
      <c r="B2654" s="7" t="s">
        <v>205</v>
      </c>
      <c r="C2654" s="3"/>
      <c r="D2654" s="3" t="s">
        <v>538</v>
      </c>
      <c r="E2654" s="4" t="s">
        <v>30</v>
      </c>
      <c r="F2654" s="3"/>
      <c r="G2654" s="9">
        <v>1185</v>
      </c>
      <c r="H2654" s="25">
        <f>SUM(H2655:H2661)</f>
        <v>1185</v>
      </c>
      <c r="I2654" s="14"/>
      <c r="J2654" s="14" t="e">
        <f>SUM(J2655:J2661)</f>
        <v>#REF!</v>
      </c>
      <c r="K2654" s="18" t="e">
        <f>SUM(K2655:K2661)</f>
        <v>#REF!</v>
      </c>
      <c r="L2654" s="15">
        <f>SUM(L2655:L2661)</f>
        <v>0</v>
      </c>
      <c r="M2654" s="16" t="e">
        <f>SUM(M2655:M2661)</f>
        <v>#REF!</v>
      </c>
      <c r="N2654" s="60" t="e">
        <f>+SUMIFS(#REF!,#REF!,Planning[[#This Row],[Proyectos]],#REF!,Planning[[#This Row],[Tipo de Tarea y especialidad]])</f>
        <v>#REF!</v>
      </c>
      <c r="O2654" s="16">
        <f t="shared" si="82"/>
        <v>10</v>
      </c>
      <c r="P2654" s="16">
        <f t="shared" si="83"/>
        <v>2024</v>
      </c>
      <c r="Q2654" s="16" t="e">
        <f>SUM(Q2655:Q2661)</f>
        <v>#REF!</v>
      </c>
      <c r="R2654" s="16" t="str">
        <f>TEXT(Planning[[#This Row],[Mes]]*29,"mmmm")</f>
        <v>October</v>
      </c>
      <c r="S26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54" s="193"/>
      <c r="U2654" s="43" t="e">
        <f>IF(Planning[[#This Row],[Horas Planificadas]]&lt;&gt;0,+K2654/Planning[[#This Row],[Horas Planificadas]],0)</f>
        <v>#REF!</v>
      </c>
      <c r="V2654" s="43" t="e">
        <f>IF(Planning[[#This Row],[Horas Planificadas]]&lt;&gt;0,Planning[[#This Row],[Horas utilizadas]]/Planning[[#This Row],[Horas Planificadas]],0)</f>
        <v>#REF!</v>
      </c>
      <c r="W2654" s="44">
        <f>Planning[[#This Row],[Horas Planificadas]]+Planning[[#This Row],[Horas ajustadas adicionales]]</f>
        <v>1185</v>
      </c>
      <c r="X2654" s="142"/>
    </row>
    <row r="2655" spans="1:24" x14ac:dyDescent="0.2">
      <c r="A2655" s="7" t="s">
        <v>435</v>
      </c>
      <c r="B2655" s="7" t="s">
        <v>205</v>
      </c>
      <c r="C2655" s="3"/>
      <c r="D2655" s="3" t="s">
        <v>538</v>
      </c>
      <c r="E2655" s="4"/>
      <c r="F2655" s="3" t="s">
        <v>122</v>
      </c>
      <c r="G2655" s="9"/>
      <c r="H2655" s="12"/>
      <c r="I2655" s="12"/>
      <c r="J2655" s="5" t="e">
        <f>SUM(SUMIFS(#REF!,#REF!,Planning[[#This Row],[Tipo de Tarea y especialidad]],#REF!,Planning[[#This Row],[Proyectos Reiwa]]),SUMIFS(#REF!,#REF!,Planning[[#This Row],[Tipo de Tarea y especialidad]],#REF!,Planning[[#This Row],[Proyectos]]))</f>
        <v>#REF!</v>
      </c>
      <c r="K2655" s="27" t="e">
        <f>Planning[[#This Row],[Horas Planificadas]]+Planning[[#This Row],[Horas ajustadas adicionales]]-Planning[[#This Row],[Horas utilizadas]]</f>
        <v>#REF!</v>
      </c>
      <c r="L2655" s="7">
        <v>0</v>
      </c>
      <c r="M2655" s="34" t="e">
        <f>Planning[[#This Row],[Saldo]]-Planning[[#This Row],[Saldo estimado]]</f>
        <v>#REF!</v>
      </c>
      <c r="N2655" s="62" t="e">
        <f>+SUMIFS(#REF!,#REF!,Planning[[#This Row],[Proyectos]],#REF!,Planning[[#This Row],[Tipo de Tarea y especialidad]])</f>
        <v>#REF!</v>
      </c>
      <c r="O2655" s="34">
        <f t="shared" si="82"/>
        <v>10</v>
      </c>
      <c r="P2655" s="34">
        <f t="shared" si="83"/>
        <v>2024</v>
      </c>
      <c r="Q26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55" s="19" t="str">
        <f>TEXT(Planning[[#This Row],[Mes]]*29,"mmmm")</f>
        <v>October</v>
      </c>
      <c r="S26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55" s="193"/>
      <c r="U2655" s="43">
        <f>IF(Planning[[#This Row],[Horas Planificadas]]&lt;&gt;0,+K2655/Planning[[#This Row],[Horas Planificadas]],0)</f>
        <v>0</v>
      </c>
      <c r="V2655" s="43">
        <f>IF(Planning[[#This Row],[Horas Planificadas]]&lt;&gt;0,Planning[[#This Row],[Horas utilizadas]]/Planning[[#This Row],[Horas Planificadas]],0)</f>
        <v>0</v>
      </c>
      <c r="W2655" s="44">
        <f>Planning[[#This Row],[Horas Planificadas]]+Planning[[#This Row],[Horas ajustadas adicionales]]</f>
        <v>0</v>
      </c>
      <c r="X2655" s="142"/>
    </row>
    <row r="2656" spans="1:24" x14ac:dyDescent="0.2">
      <c r="A2656" s="7" t="s">
        <v>435</v>
      </c>
      <c r="B2656" s="7" t="s">
        <v>205</v>
      </c>
      <c r="C2656" s="3"/>
      <c r="D2656" s="3" t="s">
        <v>538</v>
      </c>
      <c r="E2656" s="4"/>
      <c r="F2656" s="3" t="s">
        <v>123</v>
      </c>
      <c r="G2656" s="9"/>
      <c r="H2656" s="9">
        <v>578</v>
      </c>
      <c r="I2656" s="12"/>
      <c r="J2656" s="5" t="e">
        <f>SUM(SUMIFS(#REF!,#REF!,Planning[[#This Row],[Tipo de Tarea y especialidad]],#REF!,Planning[[#This Row],[Proyectos Reiwa]]),SUMIFS(#REF!,#REF!,Planning[[#This Row],[Tipo de Tarea y especialidad]],#REF!,Planning[[#This Row],[Proyectos]]))</f>
        <v>#REF!</v>
      </c>
      <c r="K2656" s="5" t="e">
        <f>Planning[[#This Row],[Horas Planificadas]]+Planning[[#This Row],[Horas ajustadas adicionales]]-Planning[[#This Row],[Horas utilizadas]]</f>
        <v>#REF!</v>
      </c>
      <c r="L2656" s="7">
        <v>0</v>
      </c>
      <c r="M2656" s="19" t="e">
        <f>Planning[[#This Row],[Saldo]]-Planning[[#This Row],[Saldo estimado]]</f>
        <v>#REF!</v>
      </c>
      <c r="N2656" s="60" t="e">
        <f>+SUMIFS(#REF!,#REF!,Planning[[#This Row],[Proyectos]],#REF!,Planning[[#This Row],[Tipo de Tarea y especialidad]])</f>
        <v>#REF!</v>
      </c>
      <c r="O2656" s="19">
        <f t="shared" si="82"/>
        <v>10</v>
      </c>
      <c r="P2656" s="19">
        <f t="shared" si="83"/>
        <v>2024</v>
      </c>
      <c r="Q26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56" s="19" t="str">
        <f>TEXT(Planning[[#This Row],[Mes]]*29,"mmmm")</f>
        <v>October</v>
      </c>
      <c r="S26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56" s="193"/>
      <c r="U2656" s="43" t="e">
        <f>IF(Planning[[#This Row],[Horas Planificadas]]&lt;&gt;0,+K2656/Planning[[#This Row],[Horas Planificadas]],0)</f>
        <v>#REF!</v>
      </c>
      <c r="V2656" s="43" t="e">
        <f>IF(Planning[[#This Row],[Horas Planificadas]]&lt;&gt;0,Planning[[#This Row],[Horas utilizadas]]/Planning[[#This Row],[Horas Planificadas]],0)</f>
        <v>#REF!</v>
      </c>
      <c r="W2656" s="44">
        <f>Planning[[#This Row],[Horas Planificadas]]+Planning[[#This Row],[Horas ajustadas adicionales]]</f>
        <v>578</v>
      </c>
      <c r="X2656" s="142"/>
    </row>
    <row r="2657" spans="1:24" x14ac:dyDescent="0.2">
      <c r="A2657" s="7" t="s">
        <v>435</v>
      </c>
      <c r="B2657" s="7" t="s">
        <v>205</v>
      </c>
      <c r="C2657" s="3"/>
      <c r="D2657" s="3" t="s">
        <v>538</v>
      </c>
      <c r="E2657" s="4"/>
      <c r="F2657" s="3" t="s">
        <v>124</v>
      </c>
      <c r="G2657" s="9"/>
      <c r="H2657" s="9">
        <v>132</v>
      </c>
      <c r="I2657" s="12"/>
      <c r="J2657" s="5" t="e">
        <f>SUM(SUMIFS(#REF!,#REF!,Planning[[#This Row],[Tipo de Tarea y especialidad]],#REF!,Planning[[#This Row],[Proyectos Reiwa]]),SUMIFS(#REF!,#REF!,Planning[[#This Row],[Tipo de Tarea y especialidad]],#REF!,Planning[[#This Row],[Proyectos]]))</f>
        <v>#REF!</v>
      </c>
      <c r="K2657" s="5" t="e">
        <f>Planning[[#This Row],[Horas Planificadas]]+Planning[[#This Row],[Horas ajustadas adicionales]]-Planning[[#This Row],[Horas utilizadas]]</f>
        <v>#REF!</v>
      </c>
      <c r="L2657" s="7">
        <v>0</v>
      </c>
      <c r="M2657" s="19" t="e">
        <f>Planning[[#This Row],[Saldo]]-Planning[[#This Row],[Saldo estimado]]</f>
        <v>#REF!</v>
      </c>
      <c r="N2657" s="60" t="e">
        <f>+SUMIFS(#REF!,#REF!,Planning[[#This Row],[Proyectos]],#REF!,Planning[[#This Row],[Tipo de Tarea y especialidad]])</f>
        <v>#REF!</v>
      </c>
      <c r="O2657" s="19">
        <f t="shared" si="82"/>
        <v>10</v>
      </c>
      <c r="P2657" s="19">
        <f t="shared" si="83"/>
        <v>2024</v>
      </c>
      <c r="Q26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57" s="19" t="str">
        <f>TEXT(Planning[[#This Row],[Mes]]*29,"mmmm")</f>
        <v>October</v>
      </c>
      <c r="S26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57" s="193"/>
      <c r="U2657" s="43" t="e">
        <f>IF(Planning[[#This Row],[Horas Planificadas]]&lt;&gt;0,+K2657/Planning[[#This Row],[Horas Planificadas]],0)</f>
        <v>#REF!</v>
      </c>
      <c r="V2657" s="43" t="e">
        <f>IF(Planning[[#This Row],[Horas Planificadas]]&lt;&gt;0,Planning[[#This Row],[Horas utilizadas]]/Planning[[#This Row],[Horas Planificadas]],0)</f>
        <v>#REF!</v>
      </c>
      <c r="W2657" s="44">
        <f>Planning[[#This Row],[Horas Planificadas]]+Planning[[#This Row],[Horas ajustadas adicionales]]</f>
        <v>132</v>
      </c>
      <c r="X2657" s="142"/>
    </row>
    <row r="2658" spans="1:24" x14ac:dyDescent="0.2">
      <c r="A2658" s="7" t="s">
        <v>435</v>
      </c>
      <c r="B2658" s="7" t="s">
        <v>205</v>
      </c>
      <c r="C2658" s="3"/>
      <c r="D2658" s="3" t="s">
        <v>538</v>
      </c>
      <c r="E2658" s="4"/>
      <c r="F2658" s="3" t="s">
        <v>125</v>
      </c>
      <c r="G2658" s="9"/>
      <c r="H2658" s="12">
        <v>205</v>
      </c>
      <c r="I2658" s="12"/>
      <c r="J2658" s="5" t="e">
        <f>SUM(SUMIFS(#REF!,#REF!,Planning[[#This Row],[Tipo de Tarea y especialidad]],#REF!,Planning[[#This Row],[Proyectos Reiwa]]),SUMIFS(#REF!,#REF!,Planning[[#This Row],[Tipo de Tarea y especialidad]],#REF!,Planning[[#This Row],[Proyectos]]))</f>
        <v>#REF!</v>
      </c>
      <c r="K2658" s="27" t="e">
        <f>Planning[[#This Row],[Horas Planificadas]]+Planning[[#This Row],[Horas ajustadas adicionales]]-Planning[[#This Row],[Horas utilizadas]]</f>
        <v>#REF!</v>
      </c>
      <c r="L2658" s="7">
        <v>0</v>
      </c>
      <c r="M2658" s="19" t="e">
        <f>Planning[[#This Row],[Saldo]]-Planning[[#This Row],[Saldo estimado]]</f>
        <v>#REF!</v>
      </c>
      <c r="N2658" s="60" t="e">
        <f>+SUMIFS(#REF!,#REF!,Planning[[#This Row],[Proyectos]],#REF!,Planning[[#This Row],[Tipo de Tarea y especialidad]])</f>
        <v>#REF!</v>
      </c>
      <c r="O2658" s="19">
        <f t="shared" si="82"/>
        <v>10</v>
      </c>
      <c r="P2658" s="19">
        <f t="shared" si="83"/>
        <v>2024</v>
      </c>
      <c r="Q26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58" s="19" t="str">
        <f>TEXT(Planning[[#This Row],[Mes]]*29,"mmmm")</f>
        <v>October</v>
      </c>
      <c r="S26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58" s="193"/>
      <c r="U2658" s="43" t="e">
        <f>IF(Planning[[#This Row],[Horas Planificadas]]&lt;&gt;0,+K2658/Planning[[#This Row],[Horas Planificadas]],0)</f>
        <v>#REF!</v>
      </c>
      <c r="V2658" s="43" t="e">
        <f>IF(Planning[[#This Row],[Horas Planificadas]]&lt;&gt;0,Planning[[#This Row],[Horas utilizadas]]/Planning[[#This Row],[Horas Planificadas]],0)</f>
        <v>#REF!</v>
      </c>
      <c r="W2658" s="44">
        <f>Planning[[#This Row],[Horas Planificadas]]+Planning[[#This Row],[Horas ajustadas adicionales]]</f>
        <v>205</v>
      </c>
      <c r="X2658" s="142"/>
    </row>
    <row r="2659" spans="1:24" x14ac:dyDescent="0.2">
      <c r="A2659" s="7" t="s">
        <v>435</v>
      </c>
      <c r="B2659" s="7" t="s">
        <v>205</v>
      </c>
      <c r="C2659" s="3"/>
      <c r="D2659" s="3" t="s">
        <v>538</v>
      </c>
      <c r="E2659" s="4"/>
      <c r="F2659" s="3" t="s">
        <v>126</v>
      </c>
      <c r="G2659" s="9"/>
      <c r="H2659" s="9"/>
      <c r="I2659" s="12"/>
      <c r="J2659" s="5" t="e">
        <f>SUM(SUMIFS(#REF!,#REF!,Planning[[#This Row],[Tipo de Tarea y especialidad]],#REF!,Planning[[#This Row],[Proyectos Reiwa]]),SUMIFS(#REF!,#REF!,Planning[[#This Row],[Tipo de Tarea y especialidad]],#REF!,Planning[[#This Row],[Proyectos]]))</f>
        <v>#REF!</v>
      </c>
      <c r="K2659" s="5" t="e">
        <f>Planning[[#This Row],[Horas Planificadas]]+Planning[[#This Row],[Horas ajustadas adicionales]]-Planning[[#This Row],[Horas utilizadas]]</f>
        <v>#REF!</v>
      </c>
      <c r="L2659" s="7">
        <v>0</v>
      </c>
      <c r="M2659" s="19" t="e">
        <f>Planning[[#This Row],[Saldo]]-Planning[[#This Row],[Saldo estimado]]</f>
        <v>#REF!</v>
      </c>
      <c r="N2659" s="60" t="e">
        <f>+SUMIFS(#REF!,#REF!,Planning[[#This Row],[Proyectos]],#REF!,Planning[[#This Row],[Tipo de Tarea y especialidad]])</f>
        <v>#REF!</v>
      </c>
      <c r="O2659" s="19">
        <f t="shared" si="82"/>
        <v>10</v>
      </c>
      <c r="P2659" s="19">
        <f t="shared" si="83"/>
        <v>2024</v>
      </c>
      <c r="Q26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59" s="19" t="str">
        <f>TEXT(Planning[[#This Row],[Mes]]*29,"mmmm")</f>
        <v>October</v>
      </c>
      <c r="S26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59" s="193"/>
      <c r="U2659" s="43">
        <f>IF(Planning[[#This Row],[Horas Planificadas]]&lt;&gt;0,+K2659/Planning[[#This Row],[Horas Planificadas]],0)</f>
        <v>0</v>
      </c>
      <c r="V2659" s="43">
        <f>IF(Planning[[#This Row],[Horas Planificadas]]&lt;&gt;0,Planning[[#This Row],[Horas utilizadas]]/Planning[[#This Row],[Horas Planificadas]],0)</f>
        <v>0</v>
      </c>
      <c r="W2659" s="44">
        <f>Planning[[#This Row],[Horas Planificadas]]+Planning[[#This Row],[Horas ajustadas adicionales]]</f>
        <v>0</v>
      </c>
      <c r="X2659" s="142"/>
    </row>
    <row r="2660" spans="1:24" x14ac:dyDescent="0.2">
      <c r="A2660" s="7" t="s">
        <v>435</v>
      </c>
      <c r="B2660" s="7" t="s">
        <v>205</v>
      </c>
      <c r="C2660" s="3"/>
      <c r="D2660" s="3" t="s">
        <v>538</v>
      </c>
      <c r="E2660" s="4"/>
      <c r="F2660" s="3" t="s">
        <v>127</v>
      </c>
      <c r="G2660" s="9"/>
      <c r="H2660" s="9">
        <v>171</v>
      </c>
      <c r="I2660" s="12"/>
      <c r="J2660" s="5" t="e">
        <f>SUM(SUMIFS(#REF!,#REF!,Planning[[#This Row],[Tipo de Tarea y especialidad]],#REF!,Planning[[#This Row],[Proyectos Reiwa]]),SUMIFS(#REF!,#REF!,Planning[[#This Row],[Tipo de Tarea y especialidad]],#REF!,Planning[[#This Row],[Proyectos]]))</f>
        <v>#REF!</v>
      </c>
      <c r="K2660" s="5" t="e">
        <f>Planning[[#This Row],[Horas Planificadas]]+Planning[[#This Row],[Horas ajustadas adicionales]]-Planning[[#This Row],[Horas utilizadas]]</f>
        <v>#REF!</v>
      </c>
      <c r="L2660" s="7">
        <v>0</v>
      </c>
      <c r="M2660" s="19" t="e">
        <f>Planning[[#This Row],[Saldo]]-Planning[[#This Row],[Saldo estimado]]</f>
        <v>#REF!</v>
      </c>
      <c r="N2660" s="60" t="e">
        <f>+SUMIFS(#REF!,#REF!,Planning[[#This Row],[Proyectos]],#REF!,Planning[[#This Row],[Tipo de Tarea y especialidad]])</f>
        <v>#REF!</v>
      </c>
      <c r="O2660" s="19">
        <f t="shared" si="82"/>
        <v>10</v>
      </c>
      <c r="P2660" s="19">
        <f t="shared" si="83"/>
        <v>2024</v>
      </c>
      <c r="Q26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60" s="19" t="str">
        <f>TEXT(Planning[[#This Row],[Mes]]*29,"mmmm")</f>
        <v>October</v>
      </c>
      <c r="S26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60" s="193"/>
      <c r="U2660" s="43" t="e">
        <f>IF(Planning[[#This Row],[Horas Planificadas]]&lt;&gt;0,+K2660/Planning[[#This Row],[Horas Planificadas]],0)</f>
        <v>#REF!</v>
      </c>
      <c r="V2660" s="43" t="e">
        <f>IF(Planning[[#This Row],[Horas Planificadas]]&lt;&gt;0,Planning[[#This Row],[Horas utilizadas]]/Planning[[#This Row],[Horas Planificadas]],0)</f>
        <v>#REF!</v>
      </c>
      <c r="W2660" s="44">
        <f>Planning[[#This Row],[Horas Planificadas]]+Planning[[#This Row],[Horas ajustadas adicionales]]</f>
        <v>171</v>
      </c>
      <c r="X2660" s="142"/>
    </row>
    <row r="2661" spans="1:24" x14ac:dyDescent="0.2">
      <c r="A2661" s="7" t="s">
        <v>435</v>
      </c>
      <c r="B2661" s="7" t="s">
        <v>205</v>
      </c>
      <c r="C2661" s="3"/>
      <c r="D2661" s="3" t="s">
        <v>538</v>
      </c>
      <c r="E2661" s="4"/>
      <c r="F2661" s="3" t="s">
        <v>128</v>
      </c>
      <c r="G2661" s="9"/>
      <c r="H2661" s="9">
        <v>99</v>
      </c>
      <c r="I2661" s="12"/>
      <c r="J2661" s="5" t="e">
        <f>SUM(SUMIFS(#REF!,#REF!,Planning[[#This Row],[Tipo de Tarea y especialidad]],#REF!,Planning[[#This Row],[Proyectos Reiwa]]),SUMIFS(#REF!,#REF!,Planning[[#This Row],[Tipo de Tarea y especialidad]],#REF!,Planning[[#This Row],[Proyectos]]))</f>
        <v>#REF!</v>
      </c>
      <c r="K2661" s="5" t="e">
        <f>Planning[[#This Row],[Horas Planificadas]]+Planning[[#This Row],[Horas ajustadas adicionales]]-Planning[[#This Row],[Horas utilizadas]]</f>
        <v>#REF!</v>
      </c>
      <c r="L2661" s="7">
        <v>0</v>
      </c>
      <c r="M2661" s="19" t="e">
        <f>Planning[[#This Row],[Saldo]]-Planning[[#This Row],[Saldo estimado]]</f>
        <v>#REF!</v>
      </c>
      <c r="N2661" s="60" t="e">
        <f>+SUMIFS(#REF!,#REF!,Planning[[#This Row],[Proyectos]],#REF!,Planning[[#This Row],[Tipo de Tarea y especialidad]])</f>
        <v>#REF!</v>
      </c>
      <c r="O2661" s="19">
        <f t="shared" si="82"/>
        <v>10</v>
      </c>
      <c r="P2661" s="19">
        <f t="shared" si="83"/>
        <v>2024</v>
      </c>
      <c r="Q26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61" s="19" t="str">
        <f>TEXT(Planning[[#This Row],[Mes]]*29,"mmmm")</f>
        <v>October</v>
      </c>
      <c r="S26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61" s="193"/>
      <c r="U2661" s="43" t="e">
        <f>IF(Planning[[#This Row],[Horas Planificadas]]&lt;&gt;0,+K2661/Planning[[#This Row],[Horas Planificadas]],0)</f>
        <v>#REF!</v>
      </c>
      <c r="V2661" s="43" t="e">
        <f>IF(Planning[[#This Row],[Horas Planificadas]]&lt;&gt;0,Planning[[#This Row],[Horas utilizadas]]/Planning[[#This Row],[Horas Planificadas]],0)</f>
        <v>#REF!</v>
      </c>
      <c r="W2661" s="44">
        <f>Planning[[#This Row],[Horas Planificadas]]+Planning[[#This Row],[Horas ajustadas adicionales]]</f>
        <v>99</v>
      </c>
      <c r="X2661" s="142"/>
    </row>
    <row r="2662" spans="1:24" x14ac:dyDescent="0.2">
      <c r="A2662" s="7" t="s">
        <v>435</v>
      </c>
      <c r="B2662" s="7" t="s">
        <v>205</v>
      </c>
      <c r="C2662" s="3"/>
      <c r="D2662" s="3" t="s">
        <v>538</v>
      </c>
      <c r="E2662" s="4" t="s">
        <v>31</v>
      </c>
      <c r="F2662" s="3" t="s">
        <v>31</v>
      </c>
      <c r="G2662" s="9">
        <v>171</v>
      </c>
      <c r="H2662" s="17">
        <v>171</v>
      </c>
      <c r="I2662" s="18"/>
      <c r="J2662" s="14" t="e">
        <f>+SUMIFS(#REF!,#REF!,Planning[[#This Row],[Tarifa]],#REF!,Planning[[#This Row],[Proyectos]])</f>
        <v>#REF!</v>
      </c>
      <c r="K2662" s="14" t="e">
        <f>Planning[[#This Row],[Horas Planificadas]]+Planning[[#This Row],[Horas ajustadas adicionales]]-Planning[[#This Row],[Horas utilizadas]]</f>
        <v>#REF!</v>
      </c>
      <c r="L2662" s="15">
        <v>0</v>
      </c>
      <c r="M2662" s="16" t="e">
        <f>Planning[[#This Row],[Saldo]]-Planning[[#This Row],[Saldo estimado]]</f>
        <v>#REF!</v>
      </c>
      <c r="N2662" s="60" t="e">
        <f>+SUMIFS(#REF!,#REF!,Planning[[#This Row],[Proyectos]],#REF!,Planning[[#This Row],[Tipo de Tarea y especialidad]])</f>
        <v>#REF!</v>
      </c>
      <c r="O2662" s="16">
        <f t="shared" si="82"/>
        <v>10</v>
      </c>
      <c r="P2662" s="16">
        <f t="shared" si="83"/>
        <v>2024</v>
      </c>
      <c r="Q2662" s="16" t="e">
        <f>+SUMIFS(#REF!,#REF!,Planning[[#This Row],[Tarifa]],#REF!,Planning[[#This Row],[Proyectos]],#REF!,Planning[[#This Row],[Mes]],#REF!,Planning[[#This Row],[Año]])</f>
        <v>#REF!</v>
      </c>
      <c r="R2662" s="16" t="str">
        <f>TEXT(Planning[[#This Row],[Mes]]*29,"mmmm")</f>
        <v>October</v>
      </c>
      <c r="S26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62" s="193"/>
      <c r="U2662" s="43" t="e">
        <f>IF(Planning[[#This Row],[Horas Planificadas]]&lt;&gt;0,+K2662/Planning[[#This Row],[Horas Planificadas]],0)</f>
        <v>#REF!</v>
      </c>
      <c r="V2662" s="43" t="e">
        <f>IF(Planning[[#This Row],[Horas Planificadas]]&lt;&gt;0,Planning[[#This Row],[Horas utilizadas]]/Planning[[#This Row],[Horas Planificadas]],0)</f>
        <v>#REF!</v>
      </c>
      <c r="W2662" s="44">
        <f>Planning[[#This Row],[Horas Planificadas]]+Planning[[#This Row],[Horas ajustadas adicionales]]</f>
        <v>171</v>
      </c>
      <c r="X2662" s="142"/>
    </row>
    <row r="2663" spans="1:24" ht="22.5" x14ac:dyDescent="0.2">
      <c r="A2663" s="7" t="s">
        <v>435</v>
      </c>
      <c r="B2663" s="7" t="s">
        <v>205</v>
      </c>
      <c r="C2663" s="3"/>
      <c r="D2663" s="3" t="s">
        <v>538</v>
      </c>
      <c r="E2663" s="4" t="s">
        <v>32</v>
      </c>
      <c r="F2663" s="3"/>
      <c r="G2663" s="9">
        <v>380</v>
      </c>
      <c r="H2663" s="25">
        <f>SUM(H2664:H2666)</f>
        <v>380</v>
      </c>
      <c r="I2663" s="14"/>
      <c r="J2663" s="14" t="e">
        <f>SUM(J2664:J2666)</f>
        <v>#REF!</v>
      </c>
      <c r="K2663" s="18" t="e">
        <f>SUM(K2664:K2666)</f>
        <v>#REF!</v>
      </c>
      <c r="L2663" s="15">
        <f>SUM(L2664:L2666)</f>
        <v>0</v>
      </c>
      <c r="M2663" s="16" t="e">
        <f>SUM(M2664:M2666)</f>
        <v>#REF!</v>
      </c>
      <c r="N2663" s="60" t="e">
        <f>+SUMIFS(#REF!,#REF!,Planning[[#This Row],[Proyectos]],#REF!,Planning[[#This Row],[Tipo de Tarea y especialidad]])</f>
        <v>#REF!</v>
      </c>
      <c r="O2663" s="16">
        <f t="shared" si="82"/>
        <v>10</v>
      </c>
      <c r="P2663" s="16">
        <f t="shared" si="83"/>
        <v>2024</v>
      </c>
      <c r="Q2663" s="16" t="e">
        <f>SUM(Q2664:Q2666)</f>
        <v>#REF!</v>
      </c>
      <c r="R2663" s="16" t="str">
        <f>TEXT(Planning[[#This Row],[Mes]]*29,"mmmm")</f>
        <v>October</v>
      </c>
      <c r="S26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63" s="193"/>
      <c r="U2663" s="43" t="e">
        <f>IF(Planning[[#This Row],[Horas Planificadas]]&lt;&gt;0,+K2663/Planning[[#This Row],[Horas Planificadas]],0)</f>
        <v>#REF!</v>
      </c>
      <c r="V2663" s="43" t="e">
        <f>IF(Planning[[#This Row],[Horas Planificadas]]&lt;&gt;0,Planning[[#This Row],[Horas utilizadas]]/Planning[[#This Row],[Horas Planificadas]],0)</f>
        <v>#REF!</v>
      </c>
      <c r="W2663" s="44">
        <f>Planning[[#This Row],[Horas Planificadas]]+Planning[[#This Row],[Horas ajustadas adicionales]]</f>
        <v>380</v>
      </c>
      <c r="X2663" s="142"/>
    </row>
    <row r="2664" spans="1:24" x14ac:dyDescent="0.2">
      <c r="A2664" s="7" t="s">
        <v>435</v>
      </c>
      <c r="B2664" s="7" t="s">
        <v>205</v>
      </c>
      <c r="C2664" s="3"/>
      <c r="D2664" s="3" t="s">
        <v>538</v>
      </c>
      <c r="E2664" s="4"/>
      <c r="F2664" s="3" t="s">
        <v>129</v>
      </c>
      <c r="G2664" s="9"/>
      <c r="H2664" s="9"/>
      <c r="I2664" s="12"/>
      <c r="J2664" s="5" t="e">
        <f>SUM(SUMIFS(#REF!,#REF!,Planning[[#This Row],[Tipo de Tarea y especialidad]],#REF!,Planning[[#This Row],[Proyectos Reiwa]]),SUMIFS(#REF!,#REF!,Planning[[#This Row],[Tipo de Tarea y especialidad]],#REF!,Planning[[#This Row],[Proyectos]]))</f>
        <v>#REF!</v>
      </c>
      <c r="K2664" s="5" t="e">
        <f>Planning[[#This Row],[Horas Planificadas]]+Planning[[#This Row],[Horas ajustadas adicionales]]-Planning[[#This Row],[Horas utilizadas]]</f>
        <v>#REF!</v>
      </c>
      <c r="L2664" s="7">
        <v>0</v>
      </c>
      <c r="M2664" s="19" t="e">
        <f>Planning[[#This Row],[Saldo]]-Planning[[#This Row],[Saldo estimado]]</f>
        <v>#REF!</v>
      </c>
      <c r="N2664" s="60" t="e">
        <f>+SUMIFS(#REF!,#REF!,Planning[[#This Row],[Proyectos]],#REF!,Planning[[#This Row],[Tipo de Tarea y especialidad]])</f>
        <v>#REF!</v>
      </c>
      <c r="O2664" s="19">
        <f t="shared" si="82"/>
        <v>10</v>
      </c>
      <c r="P2664" s="19">
        <f t="shared" si="83"/>
        <v>2024</v>
      </c>
      <c r="Q26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64" s="19" t="str">
        <f>TEXT(Planning[[#This Row],[Mes]]*29,"mmmm")</f>
        <v>October</v>
      </c>
      <c r="S26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64" s="193"/>
      <c r="U2664" s="43">
        <f>IF(Planning[[#This Row],[Horas Planificadas]]&lt;&gt;0,+K2664/Planning[[#This Row],[Horas Planificadas]],0)</f>
        <v>0</v>
      </c>
      <c r="V2664" s="43">
        <f>IF(Planning[[#This Row],[Horas Planificadas]]&lt;&gt;0,Planning[[#This Row],[Horas utilizadas]]/Planning[[#This Row],[Horas Planificadas]],0)</f>
        <v>0</v>
      </c>
      <c r="W2664" s="44">
        <f>Planning[[#This Row],[Horas Planificadas]]+Planning[[#This Row],[Horas ajustadas adicionales]]</f>
        <v>0</v>
      </c>
      <c r="X2664" s="142"/>
    </row>
    <row r="2665" spans="1:24" x14ac:dyDescent="0.2">
      <c r="A2665" s="7" t="s">
        <v>435</v>
      </c>
      <c r="B2665" s="7" t="s">
        <v>205</v>
      </c>
      <c r="C2665" s="3"/>
      <c r="D2665" s="3" t="s">
        <v>538</v>
      </c>
      <c r="E2665" s="4"/>
      <c r="F2665" s="3" t="s">
        <v>130</v>
      </c>
      <c r="G2665" s="9"/>
      <c r="H2665" s="9">
        <v>245</v>
      </c>
      <c r="I2665" s="12"/>
      <c r="J2665" s="5" t="e">
        <f>SUM(SUMIFS(#REF!,#REF!,Planning[[#This Row],[Tipo de Tarea y especialidad]],#REF!,Planning[[#This Row],[Proyectos Reiwa]]),SUMIFS(#REF!,#REF!,Planning[[#This Row],[Tipo de Tarea y especialidad]],#REF!,Planning[[#This Row],[Proyectos]]))</f>
        <v>#REF!</v>
      </c>
      <c r="K2665" s="5" t="e">
        <f>Planning[[#This Row],[Horas Planificadas]]+Planning[[#This Row],[Horas ajustadas adicionales]]-Planning[[#This Row],[Horas utilizadas]]</f>
        <v>#REF!</v>
      </c>
      <c r="L2665" s="7">
        <v>0</v>
      </c>
      <c r="M2665" s="19" t="e">
        <f>Planning[[#This Row],[Saldo]]-Planning[[#This Row],[Saldo estimado]]</f>
        <v>#REF!</v>
      </c>
      <c r="N2665" s="60" t="e">
        <f>+SUMIFS(#REF!,#REF!,Planning[[#This Row],[Proyectos]],#REF!,Planning[[#This Row],[Tipo de Tarea y especialidad]])</f>
        <v>#REF!</v>
      </c>
      <c r="O2665" s="19">
        <f t="shared" si="82"/>
        <v>10</v>
      </c>
      <c r="P2665" s="19">
        <f t="shared" si="83"/>
        <v>2024</v>
      </c>
      <c r="Q26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65" s="19" t="str">
        <f>TEXT(Planning[[#This Row],[Mes]]*29,"mmmm")</f>
        <v>October</v>
      </c>
      <c r="S26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65" s="193"/>
      <c r="U2665" s="43" t="e">
        <f>IF(Planning[[#This Row],[Horas Planificadas]]&lt;&gt;0,+K2665/Planning[[#This Row],[Horas Planificadas]],0)</f>
        <v>#REF!</v>
      </c>
      <c r="V2665" s="43" t="e">
        <f>IF(Planning[[#This Row],[Horas Planificadas]]&lt;&gt;0,Planning[[#This Row],[Horas utilizadas]]/Planning[[#This Row],[Horas Planificadas]],0)</f>
        <v>#REF!</v>
      </c>
      <c r="W2665" s="44">
        <f>Planning[[#This Row],[Horas Planificadas]]+Planning[[#This Row],[Horas ajustadas adicionales]]</f>
        <v>245</v>
      </c>
      <c r="X2665" s="142"/>
    </row>
    <row r="2666" spans="1:24" x14ac:dyDescent="0.2">
      <c r="A2666" s="7" t="s">
        <v>435</v>
      </c>
      <c r="B2666" s="7" t="s">
        <v>205</v>
      </c>
      <c r="C2666" s="3"/>
      <c r="D2666" s="3" t="s">
        <v>538</v>
      </c>
      <c r="E2666" s="4"/>
      <c r="F2666" s="3" t="s">
        <v>131</v>
      </c>
      <c r="G2666" s="9"/>
      <c r="H2666" s="9">
        <v>135</v>
      </c>
      <c r="I2666" s="12"/>
      <c r="J2666" s="5" t="e">
        <f>SUM(SUMIFS(#REF!,#REF!,Planning[[#This Row],[Tipo de Tarea y especialidad]],#REF!,Planning[[#This Row],[Proyectos Reiwa]]),SUMIFS(#REF!,#REF!,Planning[[#This Row],[Tipo de Tarea y especialidad]],#REF!,Planning[[#This Row],[Proyectos]]))</f>
        <v>#REF!</v>
      </c>
      <c r="K2666" s="5" t="e">
        <f>Planning[[#This Row],[Horas Planificadas]]+Planning[[#This Row],[Horas ajustadas adicionales]]-Planning[[#This Row],[Horas utilizadas]]</f>
        <v>#REF!</v>
      </c>
      <c r="L2666" s="7">
        <v>0</v>
      </c>
      <c r="M2666" s="19" t="e">
        <f>Planning[[#This Row],[Saldo]]-Planning[[#This Row],[Saldo estimado]]</f>
        <v>#REF!</v>
      </c>
      <c r="N2666" s="60" t="e">
        <f>+SUMIFS(#REF!,#REF!,Planning[[#This Row],[Proyectos]],#REF!,Planning[[#This Row],[Tipo de Tarea y especialidad]])</f>
        <v>#REF!</v>
      </c>
      <c r="O2666" s="19">
        <f t="shared" si="82"/>
        <v>10</v>
      </c>
      <c r="P2666" s="19">
        <f t="shared" si="83"/>
        <v>2024</v>
      </c>
      <c r="Q26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66" s="19" t="str">
        <f>TEXT(Planning[[#This Row],[Mes]]*29,"mmmm")</f>
        <v>October</v>
      </c>
      <c r="S26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66" s="193"/>
      <c r="U2666" s="43" t="e">
        <f>IF(Planning[[#This Row],[Horas Planificadas]]&lt;&gt;0,+K2666/Planning[[#This Row],[Horas Planificadas]],0)</f>
        <v>#REF!</v>
      </c>
      <c r="V2666" s="43" t="e">
        <f>IF(Planning[[#This Row],[Horas Planificadas]]&lt;&gt;0,Planning[[#This Row],[Horas utilizadas]]/Planning[[#This Row],[Horas Planificadas]],0)</f>
        <v>#REF!</v>
      </c>
      <c r="W2666" s="44">
        <f>Planning[[#This Row],[Horas Planificadas]]+Planning[[#This Row],[Horas ajustadas adicionales]]</f>
        <v>135</v>
      </c>
      <c r="X2666" s="142"/>
    </row>
    <row r="2667" spans="1:24" ht="12.75" customHeight="1" x14ac:dyDescent="0.2">
      <c r="A2667" s="7" t="s">
        <v>168</v>
      </c>
      <c r="B2667" s="7" t="s">
        <v>220</v>
      </c>
      <c r="C2667" s="3"/>
      <c r="D2667" s="3" t="s">
        <v>540</v>
      </c>
      <c r="E2667" s="4" t="s">
        <v>28</v>
      </c>
      <c r="F2667" s="3"/>
      <c r="G2667" s="9">
        <v>2230</v>
      </c>
      <c r="H2667" s="14">
        <f>SUM(H2668:H2669)</f>
        <v>2717</v>
      </c>
      <c r="I2667" s="14"/>
      <c r="J2667" s="14" t="e">
        <f>SUM(J2668:J2669)</f>
        <v>#REF!</v>
      </c>
      <c r="K2667" s="15" t="e">
        <f>SUM(K2668:K2669)</f>
        <v>#REF!</v>
      </c>
      <c r="L2667" s="15">
        <f>SUM(L2668:L2669)</f>
        <v>0</v>
      </c>
      <c r="M2667" s="28" t="e">
        <f>SUM(M2668:M2669)</f>
        <v>#REF!</v>
      </c>
      <c r="N2667" s="61" t="e">
        <f>+SUMIFS(#REF!,#REF!,Planning[[#This Row],[Proyectos]],#REF!,Planning[[#This Row],[Tipo de Tarea y especialidad]])</f>
        <v>#REF!</v>
      </c>
      <c r="O2667" s="28">
        <f t="shared" si="82"/>
        <v>10</v>
      </c>
      <c r="P2667" s="28">
        <f t="shared" si="83"/>
        <v>2024</v>
      </c>
      <c r="Q2667" s="28" t="e">
        <f>SUM(Q2668:Q2669)</f>
        <v>#REF!</v>
      </c>
      <c r="R2667" s="28" t="str">
        <f>TEXT(Planning[[#This Row],[Mes]]*29,"mmmm")</f>
        <v>October</v>
      </c>
      <c r="S26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67" s="235" t="s">
        <v>541</v>
      </c>
      <c r="U2667" s="43" t="e">
        <f>IF(Planning[[#This Row],[Horas Planificadas]]&lt;&gt;0,+K2667/Planning[[#This Row],[Horas Planificadas]],0)</f>
        <v>#REF!</v>
      </c>
      <c r="V2667" s="43" t="e">
        <f>IF(Planning[[#This Row],[Horas Planificadas]]&lt;&gt;0,Planning[[#This Row],[Horas utilizadas]]/Planning[[#This Row],[Horas Planificadas]],0)</f>
        <v>#REF!</v>
      </c>
      <c r="W2667" s="44">
        <f>Planning[[#This Row],[Horas Planificadas]]+Planning[[#This Row],[Horas ajustadas adicionales]]</f>
        <v>2717</v>
      </c>
      <c r="X2667" s="142"/>
    </row>
    <row r="2668" spans="1:24" x14ac:dyDescent="0.2">
      <c r="A2668" s="7" t="s">
        <v>168</v>
      </c>
      <c r="B2668" s="7" t="s">
        <v>220</v>
      </c>
      <c r="C2668" s="3"/>
      <c r="D2668" s="3" t="s">
        <v>540</v>
      </c>
      <c r="E2668" s="4"/>
      <c r="F2668" s="3" t="s">
        <v>120</v>
      </c>
      <c r="G2668" s="9"/>
      <c r="H2668" s="9">
        <v>1770</v>
      </c>
      <c r="I2668" s="12">
        <f>141+9</f>
        <v>150</v>
      </c>
      <c r="J2668" s="5" t="e">
        <f>SUM(SUMIFS(#REF!,#REF!,Planning[[#This Row],[Tipo de Tarea y especialidad]],#REF!,Planning[[#This Row],[Proyectos Reiwa]]),SUMIFS(#REF!,#REF!,Planning[[#This Row],[Tipo de Tarea y especialidad]],#REF!,Planning[[#This Row],[Proyectos]]))</f>
        <v>#REF!</v>
      </c>
      <c r="K2668" s="5" t="e">
        <f>Planning[[#This Row],[Horas Planificadas]]+Planning[[#This Row],[Horas ajustadas adicionales]]-Planning[[#This Row],[Horas utilizadas]]</f>
        <v>#REF!</v>
      </c>
      <c r="L2668" s="7">
        <v>0</v>
      </c>
      <c r="M2668" s="19" t="e">
        <f>Planning[[#This Row],[Saldo]]-Planning[[#This Row],[Saldo estimado]]</f>
        <v>#REF!</v>
      </c>
      <c r="N2668" s="60" t="e">
        <f>+SUMIFS(#REF!,#REF!,Planning[[#This Row],[Proyectos]],#REF!,Planning[[#This Row],[Tipo de Tarea y especialidad]])</f>
        <v>#REF!</v>
      </c>
      <c r="O2668" s="19">
        <f t="shared" si="82"/>
        <v>10</v>
      </c>
      <c r="P2668" s="19">
        <f t="shared" si="83"/>
        <v>2024</v>
      </c>
      <c r="Q26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68" s="19" t="str">
        <f>TEXT(Planning[[#This Row],[Mes]]*29,"mmmm")</f>
        <v>October</v>
      </c>
      <c r="S26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68" s="235"/>
      <c r="U2668" s="43" t="e">
        <f>IF(Planning[[#This Row],[Horas Planificadas]]&lt;&gt;0,+K2668/Planning[[#This Row],[Horas Planificadas]],0)</f>
        <v>#REF!</v>
      </c>
      <c r="V2668" s="43" t="e">
        <f>IF(Planning[[#This Row],[Horas Planificadas]]&lt;&gt;0,Planning[[#This Row],[Horas utilizadas]]/Planning[[#This Row],[Horas Planificadas]],0)</f>
        <v>#REF!</v>
      </c>
      <c r="W2668" s="44">
        <f>Planning[[#This Row],[Horas Planificadas]]+Planning[[#This Row],[Horas ajustadas adicionales]]</f>
        <v>1920</v>
      </c>
      <c r="X2668" s="142"/>
    </row>
    <row r="2669" spans="1:24" x14ac:dyDescent="0.2">
      <c r="A2669" s="7" t="s">
        <v>168</v>
      </c>
      <c r="B2669" s="7" t="s">
        <v>220</v>
      </c>
      <c r="C2669" s="3"/>
      <c r="D2669" s="3" t="s">
        <v>540</v>
      </c>
      <c r="E2669" s="4"/>
      <c r="F2669" s="3" t="s">
        <v>121</v>
      </c>
      <c r="G2669" s="9"/>
      <c r="H2669" s="9">
        <v>947</v>
      </c>
      <c r="I2669" s="12">
        <v>18</v>
      </c>
      <c r="J2669" s="5" t="e">
        <f>SUM(SUMIFS(#REF!,#REF!,Planning[[#This Row],[Tipo de Tarea y especialidad]],#REF!,Planning[[#This Row],[Proyectos Reiwa]]),SUMIFS(#REF!,#REF!,Planning[[#This Row],[Tipo de Tarea y especialidad]],#REF!,Planning[[#This Row],[Proyectos]]))</f>
        <v>#REF!</v>
      </c>
      <c r="K2669" s="5" t="e">
        <f>Planning[[#This Row],[Horas Planificadas]]+Planning[[#This Row],[Horas ajustadas adicionales]]-Planning[[#This Row],[Horas utilizadas]]</f>
        <v>#REF!</v>
      </c>
      <c r="L2669" s="7">
        <v>0</v>
      </c>
      <c r="M2669" s="19" t="e">
        <f>Planning[[#This Row],[Saldo]]-Planning[[#This Row],[Saldo estimado]]</f>
        <v>#REF!</v>
      </c>
      <c r="N2669" s="60" t="e">
        <f>+SUMIFS(#REF!,#REF!,Planning[[#This Row],[Proyectos]],#REF!,Planning[[#This Row],[Tipo de Tarea y especialidad]])</f>
        <v>#REF!</v>
      </c>
      <c r="O2669" s="19">
        <f t="shared" si="82"/>
        <v>10</v>
      </c>
      <c r="P2669" s="19">
        <f t="shared" si="83"/>
        <v>2024</v>
      </c>
      <c r="Q26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69" s="19" t="str">
        <f>TEXT(Planning[[#This Row],[Mes]]*29,"mmmm")</f>
        <v>October</v>
      </c>
      <c r="S26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69" s="235"/>
      <c r="U2669" s="43" t="e">
        <f>IF(Planning[[#This Row],[Horas Planificadas]]&lt;&gt;0,+K2669/Planning[[#This Row],[Horas Planificadas]],0)</f>
        <v>#REF!</v>
      </c>
      <c r="V2669" s="43" t="e">
        <f>IF(Planning[[#This Row],[Horas Planificadas]]&lt;&gt;0,Planning[[#This Row],[Horas utilizadas]]/Planning[[#This Row],[Horas Planificadas]],0)</f>
        <v>#REF!</v>
      </c>
      <c r="W2669" s="44">
        <f>Planning[[#This Row],[Horas Planificadas]]+Planning[[#This Row],[Horas ajustadas adicionales]]</f>
        <v>965</v>
      </c>
      <c r="X2669" s="142"/>
    </row>
    <row r="2670" spans="1:24" x14ac:dyDescent="0.2">
      <c r="A2670" s="7" t="s">
        <v>168</v>
      </c>
      <c r="B2670" s="7" t="s">
        <v>220</v>
      </c>
      <c r="C2670" s="3"/>
      <c r="D2670" s="3" t="s">
        <v>540</v>
      </c>
      <c r="E2670" s="4" t="s">
        <v>30</v>
      </c>
      <c r="F2670" s="3"/>
      <c r="G2670" s="9">
        <v>3047</v>
      </c>
      <c r="H2670" s="25">
        <f>SUM(H2671:H2677)</f>
        <v>2916</v>
      </c>
      <c r="I2670" s="14"/>
      <c r="J2670" s="14" t="e">
        <f>SUM(J2671:J2677)</f>
        <v>#REF!</v>
      </c>
      <c r="K2670" s="18" t="e">
        <f>SUM(K2671:K2677)</f>
        <v>#REF!</v>
      </c>
      <c r="L2670" s="15">
        <f>SUM(L2671:L2677)</f>
        <v>0</v>
      </c>
      <c r="M2670" s="16" t="e">
        <f>SUM(M2671:M2677)</f>
        <v>#REF!</v>
      </c>
      <c r="N2670" s="60" t="e">
        <f>+SUMIFS(#REF!,#REF!,Planning[[#This Row],[Proyectos]],#REF!,Planning[[#This Row],[Tipo de Tarea y especialidad]])</f>
        <v>#REF!</v>
      </c>
      <c r="O2670" s="16">
        <f t="shared" si="82"/>
        <v>10</v>
      </c>
      <c r="P2670" s="16">
        <f t="shared" si="83"/>
        <v>2024</v>
      </c>
      <c r="Q2670" s="16" t="e">
        <f>SUM(Q2671:Q2677)</f>
        <v>#REF!</v>
      </c>
      <c r="R2670" s="16" t="str">
        <f>TEXT(Planning[[#This Row],[Mes]]*29,"mmmm")</f>
        <v>October</v>
      </c>
      <c r="S26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70" s="235"/>
      <c r="U2670" s="43" t="e">
        <f>IF(Planning[[#This Row],[Horas Planificadas]]&lt;&gt;0,+K2670/Planning[[#This Row],[Horas Planificadas]],0)</f>
        <v>#REF!</v>
      </c>
      <c r="V2670" s="43" t="e">
        <f>IF(Planning[[#This Row],[Horas Planificadas]]&lt;&gt;0,Planning[[#This Row],[Horas utilizadas]]/Planning[[#This Row],[Horas Planificadas]],0)</f>
        <v>#REF!</v>
      </c>
      <c r="W2670" s="44">
        <f>Planning[[#This Row],[Horas Planificadas]]+Planning[[#This Row],[Horas ajustadas adicionales]]</f>
        <v>2916</v>
      </c>
      <c r="X2670" s="142"/>
    </row>
    <row r="2671" spans="1:24" x14ac:dyDescent="0.2">
      <c r="A2671" s="7" t="s">
        <v>168</v>
      </c>
      <c r="B2671" s="7" t="s">
        <v>220</v>
      </c>
      <c r="C2671" s="3"/>
      <c r="D2671" s="3" t="s">
        <v>540</v>
      </c>
      <c r="E2671" s="4"/>
      <c r="F2671" s="3" t="s">
        <v>122</v>
      </c>
      <c r="G2671" s="9"/>
      <c r="H2671" s="12">
        <f>440+312</f>
        <v>752</v>
      </c>
      <c r="I2671" s="12">
        <v>45</v>
      </c>
      <c r="J2671" s="5" t="e">
        <f>SUM(SUMIFS(#REF!,#REF!,Planning[[#This Row],[Tipo de Tarea y especialidad]],#REF!,Planning[[#This Row],[Proyectos Reiwa]]),SUMIFS(#REF!,#REF!,Planning[[#This Row],[Tipo de Tarea y especialidad]],#REF!,Planning[[#This Row],[Proyectos]]))</f>
        <v>#REF!</v>
      </c>
      <c r="K2671" s="27" t="e">
        <f>Planning[[#This Row],[Horas Planificadas]]+Planning[[#This Row],[Horas ajustadas adicionales]]-Planning[[#This Row],[Horas utilizadas]]</f>
        <v>#REF!</v>
      </c>
      <c r="L2671" s="7">
        <v>0</v>
      </c>
      <c r="M2671" s="34" t="e">
        <f>Planning[[#This Row],[Saldo]]-Planning[[#This Row],[Saldo estimado]]</f>
        <v>#REF!</v>
      </c>
      <c r="N2671" s="62" t="e">
        <f>+SUMIFS(#REF!,#REF!,Planning[[#This Row],[Proyectos]],#REF!,Planning[[#This Row],[Tipo de Tarea y especialidad]])</f>
        <v>#REF!</v>
      </c>
      <c r="O2671" s="34">
        <f t="shared" si="82"/>
        <v>10</v>
      </c>
      <c r="P2671" s="34">
        <f t="shared" si="83"/>
        <v>2024</v>
      </c>
      <c r="Q26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71" s="19" t="str">
        <f>TEXT(Planning[[#This Row],[Mes]]*29,"mmmm")</f>
        <v>October</v>
      </c>
      <c r="S26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71" s="235"/>
      <c r="U2671" s="43" t="e">
        <f>IF(Planning[[#This Row],[Horas Planificadas]]&lt;&gt;0,+K2671/Planning[[#This Row],[Horas Planificadas]],0)</f>
        <v>#REF!</v>
      </c>
      <c r="V2671" s="43" t="e">
        <f>IF(Planning[[#This Row],[Horas Planificadas]]&lt;&gt;0,Planning[[#This Row],[Horas utilizadas]]/Planning[[#This Row],[Horas Planificadas]],0)</f>
        <v>#REF!</v>
      </c>
      <c r="W2671" s="44">
        <f>Planning[[#This Row],[Horas Planificadas]]+Planning[[#This Row],[Horas ajustadas adicionales]]</f>
        <v>797</v>
      </c>
      <c r="X2671" s="142"/>
    </row>
    <row r="2672" spans="1:24" x14ac:dyDescent="0.2">
      <c r="A2672" s="7" t="s">
        <v>168</v>
      </c>
      <c r="B2672" s="7" t="s">
        <v>220</v>
      </c>
      <c r="C2672" s="3"/>
      <c r="D2672" s="3" t="s">
        <v>540</v>
      </c>
      <c r="E2672" s="4"/>
      <c r="F2672" s="3" t="s">
        <v>123</v>
      </c>
      <c r="G2672" s="9"/>
      <c r="H2672" s="9">
        <f>540+311-300</f>
        <v>551</v>
      </c>
      <c r="I2672" s="12">
        <v>300</v>
      </c>
      <c r="J2672" s="5" t="e">
        <f>SUM(SUMIFS(#REF!,#REF!,Planning[[#This Row],[Tipo de Tarea y especialidad]],#REF!,Planning[[#This Row],[Proyectos Reiwa]]),SUMIFS(#REF!,#REF!,Planning[[#This Row],[Tipo de Tarea y especialidad]],#REF!,Planning[[#This Row],[Proyectos]]))</f>
        <v>#REF!</v>
      </c>
      <c r="K2672" s="5" t="e">
        <f>Planning[[#This Row],[Horas Planificadas]]+Planning[[#This Row],[Horas ajustadas adicionales]]-Planning[[#This Row],[Horas utilizadas]]</f>
        <v>#REF!</v>
      </c>
      <c r="L2672" s="7">
        <v>0</v>
      </c>
      <c r="M2672" s="19" t="e">
        <f>Planning[[#This Row],[Saldo]]-Planning[[#This Row],[Saldo estimado]]</f>
        <v>#REF!</v>
      </c>
      <c r="N2672" s="60" t="e">
        <f>+SUMIFS(#REF!,#REF!,Planning[[#This Row],[Proyectos]],#REF!,Planning[[#This Row],[Tipo de Tarea y especialidad]])</f>
        <v>#REF!</v>
      </c>
      <c r="O2672" s="19">
        <f t="shared" si="82"/>
        <v>10</v>
      </c>
      <c r="P2672" s="19">
        <f t="shared" si="83"/>
        <v>2024</v>
      </c>
      <c r="Q26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72" s="19" t="str">
        <f>TEXT(Planning[[#This Row],[Mes]]*29,"mmmm")</f>
        <v>October</v>
      </c>
      <c r="S26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72" s="235"/>
      <c r="U2672" s="43" t="e">
        <f>IF(Planning[[#This Row],[Horas Planificadas]]&lt;&gt;0,+K2672/Planning[[#This Row],[Horas Planificadas]],0)</f>
        <v>#REF!</v>
      </c>
      <c r="V2672" s="43" t="e">
        <f>IF(Planning[[#This Row],[Horas Planificadas]]&lt;&gt;0,Planning[[#This Row],[Horas utilizadas]]/Planning[[#This Row],[Horas Planificadas]],0)</f>
        <v>#REF!</v>
      </c>
      <c r="W2672" s="44">
        <f>Planning[[#This Row],[Horas Planificadas]]+Planning[[#This Row],[Horas ajustadas adicionales]]</f>
        <v>851</v>
      </c>
      <c r="X2672" s="142"/>
    </row>
    <row r="2673" spans="1:24" x14ac:dyDescent="0.2">
      <c r="A2673" s="7" t="s">
        <v>168</v>
      </c>
      <c r="B2673" s="7" t="s">
        <v>220</v>
      </c>
      <c r="C2673" s="3"/>
      <c r="D2673" s="3" t="s">
        <v>540</v>
      </c>
      <c r="E2673" s="4"/>
      <c r="F2673" s="3" t="s">
        <v>124</v>
      </c>
      <c r="G2673" s="9"/>
      <c r="H2673" s="9">
        <f>160+135</f>
        <v>295</v>
      </c>
      <c r="I2673" s="12"/>
      <c r="J2673" s="5" t="e">
        <f>SUM(SUMIFS(#REF!,#REF!,Planning[[#This Row],[Tipo de Tarea y especialidad]],#REF!,Planning[[#This Row],[Proyectos Reiwa]]),SUMIFS(#REF!,#REF!,Planning[[#This Row],[Tipo de Tarea y especialidad]],#REF!,Planning[[#This Row],[Proyectos]]))</f>
        <v>#REF!</v>
      </c>
      <c r="K2673" s="5" t="e">
        <f>Planning[[#This Row],[Horas Planificadas]]+Planning[[#This Row],[Horas ajustadas adicionales]]-Planning[[#This Row],[Horas utilizadas]]</f>
        <v>#REF!</v>
      </c>
      <c r="L2673" s="7">
        <v>0</v>
      </c>
      <c r="M2673" s="19" t="e">
        <f>Planning[[#This Row],[Saldo]]-Planning[[#This Row],[Saldo estimado]]</f>
        <v>#REF!</v>
      </c>
      <c r="N2673" s="60" t="e">
        <f>+SUMIFS(#REF!,#REF!,Planning[[#This Row],[Proyectos]],#REF!,Planning[[#This Row],[Tipo de Tarea y especialidad]])</f>
        <v>#REF!</v>
      </c>
      <c r="O2673" s="19">
        <f t="shared" si="82"/>
        <v>10</v>
      </c>
      <c r="P2673" s="19">
        <f t="shared" si="83"/>
        <v>2024</v>
      </c>
      <c r="Q26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73" s="19" t="str">
        <f>TEXT(Planning[[#This Row],[Mes]]*29,"mmmm")</f>
        <v>October</v>
      </c>
      <c r="S26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73" s="235"/>
      <c r="U2673" s="43" t="e">
        <f>IF(Planning[[#This Row],[Horas Planificadas]]&lt;&gt;0,+K2673/Planning[[#This Row],[Horas Planificadas]],0)</f>
        <v>#REF!</v>
      </c>
      <c r="V2673" s="43" t="e">
        <f>IF(Planning[[#This Row],[Horas Planificadas]]&lt;&gt;0,Planning[[#This Row],[Horas utilizadas]]/Planning[[#This Row],[Horas Planificadas]],0)</f>
        <v>#REF!</v>
      </c>
      <c r="W2673" s="44">
        <f>Planning[[#This Row],[Horas Planificadas]]+Planning[[#This Row],[Horas ajustadas adicionales]]</f>
        <v>295</v>
      </c>
      <c r="X2673" s="142"/>
    </row>
    <row r="2674" spans="1:24" x14ac:dyDescent="0.2">
      <c r="A2674" s="7" t="s">
        <v>168</v>
      </c>
      <c r="B2674" s="7" t="s">
        <v>220</v>
      </c>
      <c r="C2674" s="3"/>
      <c r="D2674" s="3" t="s">
        <v>540</v>
      </c>
      <c r="E2674" s="4"/>
      <c r="F2674" s="3" t="s">
        <v>125</v>
      </c>
      <c r="G2674" s="9"/>
      <c r="H2674" s="12">
        <f>162+292</f>
        <v>454</v>
      </c>
      <c r="I2674" s="12"/>
      <c r="J2674" s="5" t="e">
        <f>SUM(SUMIFS(#REF!,#REF!,Planning[[#This Row],[Tipo de Tarea y especialidad]],#REF!,Planning[[#This Row],[Proyectos Reiwa]]),SUMIFS(#REF!,#REF!,Planning[[#This Row],[Tipo de Tarea y especialidad]],#REF!,Planning[[#This Row],[Proyectos]]))</f>
        <v>#REF!</v>
      </c>
      <c r="K2674" s="27" t="e">
        <f>Planning[[#This Row],[Horas Planificadas]]+Planning[[#This Row],[Horas ajustadas adicionales]]-Planning[[#This Row],[Horas utilizadas]]</f>
        <v>#REF!</v>
      </c>
      <c r="L2674" s="7">
        <v>0</v>
      </c>
      <c r="M2674" s="19" t="e">
        <f>Planning[[#This Row],[Saldo]]-Planning[[#This Row],[Saldo estimado]]</f>
        <v>#REF!</v>
      </c>
      <c r="N2674" s="60" t="e">
        <f>+SUMIFS(#REF!,#REF!,Planning[[#This Row],[Proyectos]],#REF!,Planning[[#This Row],[Tipo de Tarea y especialidad]])</f>
        <v>#REF!</v>
      </c>
      <c r="O2674" s="19">
        <f t="shared" si="82"/>
        <v>10</v>
      </c>
      <c r="P2674" s="19">
        <f t="shared" si="83"/>
        <v>2024</v>
      </c>
      <c r="Q26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74" s="19" t="str">
        <f>TEXT(Planning[[#This Row],[Mes]]*29,"mmmm")</f>
        <v>October</v>
      </c>
      <c r="S26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74" s="235"/>
      <c r="U2674" s="43" t="e">
        <f>IF(Planning[[#This Row],[Horas Planificadas]]&lt;&gt;0,+K2674/Planning[[#This Row],[Horas Planificadas]],0)</f>
        <v>#REF!</v>
      </c>
      <c r="V2674" s="43" t="e">
        <f>IF(Planning[[#This Row],[Horas Planificadas]]&lt;&gt;0,Planning[[#This Row],[Horas utilizadas]]/Planning[[#This Row],[Horas Planificadas]],0)</f>
        <v>#REF!</v>
      </c>
      <c r="W2674" s="44">
        <f>Planning[[#This Row],[Horas Planificadas]]+Planning[[#This Row],[Horas ajustadas adicionales]]</f>
        <v>454</v>
      </c>
      <c r="X2674" s="142"/>
    </row>
    <row r="2675" spans="1:24" x14ac:dyDescent="0.2">
      <c r="A2675" s="7" t="s">
        <v>168</v>
      </c>
      <c r="B2675" s="7" t="s">
        <v>220</v>
      </c>
      <c r="C2675" s="3"/>
      <c r="D2675" s="3" t="s">
        <v>540</v>
      </c>
      <c r="E2675" s="4"/>
      <c r="F2675" s="3" t="s">
        <v>126</v>
      </c>
      <c r="G2675" s="9"/>
      <c r="H2675" s="9">
        <f>450+54</f>
        <v>504</v>
      </c>
      <c r="I2675" s="12"/>
      <c r="J2675" s="5" t="e">
        <f>SUM(SUMIFS(#REF!,#REF!,Planning[[#This Row],[Tipo de Tarea y especialidad]],#REF!,Planning[[#This Row],[Proyectos Reiwa]]),SUMIFS(#REF!,#REF!,Planning[[#This Row],[Tipo de Tarea y especialidad]],#REF!,Planning[[#This Row],[Proyectos]]))</f>
        <v>#REF!</v>
      </c>
      <c r="K2675" s="5" t="e">
        <f>Planning[[#This Row],[Horas Planificadas]]+Planning[[#This Row],[Horas ajustadas adicionales]]-Planning[[#This Row],[Horas utilizadas]]</f>
        <v>#REF!</v>
      </c>
      <c r="L2675" s="7">
        <v>0</v>
      </c>
      <c r="M2675" s="19" t="e">
        <f>Planning[[#This Row],[Saldo]]-Planning[[#This Row],[Saldo estimado]]</f>
        <v>#REF!</v>
      </c>
      <c r="N2675" s="60" t="e">
        <f>+SUMIFS(#REF!,#REF!,Planning[[#This Row],[Proyectos]],#REF!,Planning[[#This Row],[Tipo de Tarea y especialidad]])</f>
        <v>#REF!</v>
      </c>
      <c r="O2675" s="19">
        <f t="shared" si="82"/>
        <v>10</v>
      </c>
      <c r="P2675" s="19">
        <f t="shared" si="83"/>
        <v>2024</v>
      </c>
      <c r="Q26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75" s="19" t="str">
        <f>TEXT(Planning[[#This Row],[Mes]]*29,"mmmm")</f>
        <v>October</v>
      </c>
      <c r="S26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75" s="235"/>
      <c r="U2675" s="43" t="e">
        <f>IF(Planning[[#This Row],[Horas Planificadas]]&lt;&gt;0,+K2675/Planning[[#This Row],[Horas Planificadas]],0)</f>
        <v>#REF!</v>
      </c>
      <c r="V2675" s="43" t="e">
        <f>IF(Planning[[#This Row],[Horas Planificadas]]&lt;&gt;0,Planning[[#This Row],[Horas utilizadas]]/Planning[[#This Row],[Horas Planificadas]],0)</f>
        <v>#REF!</v>
      </c>
      <c r="W2675" s="44">
        <f>Planning[[#This Row],[Horas Planificadas]]+Planning[[#This Row],[Horas ajustadas adicionales]]</f>
        <v>504</v>
      </c>
      <c r="X2675" s="142"/>
    </row>
    <row r="2676" spans="1:24" x14ac:dyDescent="0.2">
      <c r="A2676" s="7" t="s">
        <v>168</v>
      </c>
      <c r="B2676" s="7" t="s">
        <v>220</v>
      </c>
      <c r="C2676" s="3"/>
      <c r="D2676" s="3" t="s">
        <v>540</v>
      </c>
      <c r="E2676" s="4"/>
      <c r="F2676" s="3" t="s">
        <v>127</v>
      </c>
      <c r="G2676" s="9"/>
      <c r="H2676" s="9">
        <v>270</v>
      </c>
      <c r="I2676" s="12"/>
      <c r="J2676" s="5" t="e">
        <f>SUM(SUMIFS(#REF!,#REF!,Planning[[#This Row],[Tipo de Tarea y especialidad]],#REF!,Planning[[#This Row],[Proyectos Reiwa]]),SUMIFS(#REF!,#REF!,Planning[[#This Row],[Tipo de Tarea y especialidad]],#REF!,Planning[[#This Row],[Proyectos]]))</f>
        <v>#REF!</v>
      </c>
      <c r="K2676" s="5" t="e">
        <f>Planning[[#This Row],[Horas Planificadas]]+Planning[[#This Row],[Horas ajustadas adicionales]]-Planning[[#This Row],[Horas utilizadas]]</f>
        <v>#REF!</v>
      </c>
      <c r="L2676" s="7">
        <v>0</v>
      </c>
      <c r="M2676" s="19" t="e">
        <f>Planning[[#This Row],[Saldo]]-Planning[[#This Row],[Saldo estimado]]</f>
        <v>#REF!</v>
      </c>
      <c r="N2676" s="60" t="e">
        <f>+SUMIFS(#REF!,#REF!,Planning[[#This Row],[Proyectos]],#REF!,Planning[[#This Row],[Tipo de Tarea y especialidad]])</f>
        <v>#REF!</v>
      </c>
      <c r="O2676" s="19">
        <f t="shared" si="82"/>
        <v>10</v>
      </c>
      <c r="P2676" s="19">
        <f t="shared" si="83"/>
        <v>2024</v>
      </c>
      <c r="Q26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76" s="19" t="str">
        <f>TEXT(Planning[[#This Row],[Mes]]*29,"mmmm")</f>
        <v>October</v>
      </c>
      <c r="S26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76" s="235"/>
      <c r="U2676" s="43" t="e">
        <f>IF(Planning[[#This Row],[Horas Planificadas]]&lt;&gt;0,+K2676/Planning[[#This Row],[Horas Planificadas]],0)</f>
        <v>#REF!</v>
      </c>
      <c r="V2676" s="43" t="e">
        <f>IF(Planning[[#This Row],[Horas Planificadas]]&lt;&gt;0,Planning[[#This Row],[Horas utilizadas]]/Planning[[#This Row],[Horas Planificadas]],0)</f>
        <v>#REF!</v>
      </c>
      <c r="W2676" s="44">
        <f>Planning[[#This Row],[Horas Planificadas]]+Planning[[#This Row],[Horas ajustadas adicionales]]</f>
        <v>270</v>
      </c>
      <c r="X2676" s="142"/>
    </row>
    <row r="2677" spans="1:24" x14ac:dyDescent="0.2">
      <c r="A2677" s="7" t="s">
        <v>168</v>
      </c>
      <c r="B2677" s="7" t="s">
        <v>220</v>
      </c>
      <c r="C2677" s="3"/>
      <c r="D2677" s="3" t="s">
        <v>540</v>
      </c>
      <c r="E2677" s="4"/>
      <c r="F2677" s="3" t="s">
        <v>128</v>
      </c>
      <c r="G2677" s="9"/>
      <c r="H2677" s="9">
        <v>90</v>
      </c>
      <c r="I2677" s="12"/>
      <c r="J2677" s="5" t="e">
        <f>SUM(SUMIFS(#REF!,#REF!,Planning[[#This Row],[Tipo de Tarea y especialidad]],#REF!,Planning[[#This Row],[Proyectos Reiwa]]),SUMIFS(#REF!,#REF!,Planning[[#This Row],[Tipo de Tarea y especialidad]],#REF!,Planning[[#This Row],[Proyectos]]))</f>
        <v>#REF!</v>
      </c>
      <c r="K2677" s="5" t="e">
        <f>Planning[[#This Row],[Horas Planificadas]]+Planning[[#This Row],[Horas ajustadas adicionales]]-Planning[[#This Row],[Horas utilizadas]]</f>
        <v>#REF!</v>
      </c>
      <c r="L2677" s="7">
        <v>0</v>
      </c>
      <c r="M2677" s="19" t="e">
        <f>Planning[[#This Row],[Saldo]]-Planning[[#This Row],[Saldo estimado]]</f>
        <v>#REF!</v>
      </c>
      <c r="N2677" s="60" t="e">
        <f>+SUMIFS(#REF!,#REF!,Planning[[#This Row],[Proyectos]],#REF!,Planning[[#This Row],[Tipo de Tarea y especialidad]])</f>
        <v>#REF!</v>
      </c>
      <c r="O2677" s="19">
        <f t="shared" si="82"/>
        <v>10</v>
      </c>
      <c r="P2677" s="19">
        <f t="shared" si="83"/>
        <v>2024</v>
      </c>
      <c r="Q26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77" s="19" t="str">
        <f>TEXT(Planning[[#This Row],[Mes]]*29,"mmmm")</f>
        <v>October</v>
      </c>
      <c r="S26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77" s="235"/>
      <c r="U2677" s="43" t="e">
        <f>IF(Planning[[#This Row],[Horas Planificadas]]&lt;&gt;0,+K2677/Planning[[#This Row],[Horas Planificadas]],0)</f>
        <v>#REF!</v>
      </c>
      <c r="V2677" s="43" t="e">
        <f>IF(Planning[[#This Row],[Horas Planificadas]]&lt;&gt;0,Planning[[#This Row],[Horas utilizadas]]/Planning[[#This Row],[Horas Planificadas]],0)</f>
        <v>#REF!</v>
      </c>
      <c r="W2677" s="44">
        <f>Planning[[#This Row],[Horas Planificadas]]+Planning[[#This Row],[Horas ajustadas adicionales]]</f>
        <v>90</v>
      </c>
      <c r="X2677" s="142"/>
    </row>
    <row r="2678" spans="1:24" x14ac:dyDescent="0.2">
      <c r="A2678" s="7" t="s">
        <v>168</v>
      </c>
      <c r="B2678" s="7" t="s">
        <v>220</v>
      </c>
      <c r="C2678" s="3"/>
      <c r="D2678" s="3" t="s">
        <v>540</v>
      </c>
      <c r="E2678" s="4" t="s">
        <v>31</v>
      </c>
      <c r="F2678" s="3" t="s">
        <v>31</v>
      </c>
      <c r="G2678" s="9">
        <v>485</v>
      </c>
      <c r="H2678" s="17">
        <v>485</v>
      </c>
      <c r="I2678" s="18"/>
      <c r="J2678" s="14" t="e">
        <f>+SUMIFS(#REF!,#REF!,Planning[[#This Row],[Tarifa]],#REF!,Planning[[#This Row],[Proyectos]])</f>
        <v>#REF!</v>
      </c>
      <c r="K2678" s="14" t="e">
        <f>Planning[[#This Row],[Horas Planificadas]]+Planning[[#This Row],[Horas ajustadas adicionales]]-Planning[[#This Row],[Horas utilizadas]]</f>
        <v>#REF!</v>
      </c>
      <c r="L2678" s="15">
        <v>0</v>
      </c>
      <c r="M2678" s="16" t="e">
        <f>Planning[[#This Row],[Saldo]]-Planning[[#This Row],[Saldo estimado]]</f>
        <v>#REF!</v>
      </c>
      <c r="N2678" s="60" t="e">
        <f>+SUMIFS(#REF!,#REF!,Planning[[#This Row],[Proyectos]],#REF!,Planning[[#This Row],[Tipo de Tarea y especialidad]])</f>
        <v>#REF!</v>
      </c>
      <c r="O2678" s="16">
        <f t="shared" si="82"/>
        <v>10</v>
      </c>
      <c r="P2678" s="16">
        <f t="shared" si="83"/>
        <v>2024</v>
      </c>
      <c r="Q2678" s="16" t="e">
        <f>+SUMIFS(#REF!,#REF!,Planning[[#This Row],[Tarifa]],#REF!,Planning[[#This Row],[Proyectos]],#REF!,Planning[[#This Row],[Mes]],#REF!,Planning[[#This Row],[Año]])</f>
        <v>#REF!</v>
      </c>
      <c r="R2678" s="16" t="str">
        <f>TEXT(Planning[[#This Row],[Mes]]*29,"mmmm")</f>
        <v>October</v>
      </c>
      <c r="S26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78" s="235"/>
      <c r="U2678" s="43" t="e">
        <f>IF(Planning[[#This Row],[Horas Planificadas]]&lt;&gt;0,+K2678/Planning[[#This Row],[Horas Planificadas]],0)</f>
        <v>#REF!</v>
      </c>
      <c r="V2678" s="43" t="e">
        <f>IF(Planning[[#This Row],[Horas Planificadas]]&lt;&gt;0,Planning[[#This Row],[Horas utilizadas]]/Planning[[#This Row],[Horas Planificadas]],0)</f>
        <v>#REF!</v>
      </c>
      <c r="W2678" s="44">
        <f>Planning[[#This Row],[Horas Planificadas]]+Planning[[#This Row],[Horas ajustadas adicionales]]</f>
        <v>485</v>
      </c>
      <c r="X2678" s="142"/>
    </row>
    <row r="2679" spans="1:24" ht="22.5" x14ac:dyDescent="0.2">
      <c r="A2679" s="7" t="s">
        <v>168</v>
      </c>
      <c r="B2679" s="7" t="s">
        <v>220</v>
      </c>
      <c r="C2679" s="3"/>
      <c r="D2679" s="3" t="s">
        <v>540</v>
      </c>
      <c r="E2679" s="4" t="s">
        <v>32</v>
      </c>
      <c r="F2679" s="3"/>
      <c r="G2679" s="9">
        <v>1060</v>
      </c>
      <c r="H2679" s="25">
        <f>SUM(H2680:H2682)</f>
        <v>1060</v>
      </c>
      <c r="I2679" s="14"/>
      <c r="J2679" s="14" t="e">
        <f>SUM(J2680:J2682)</f>
        <v>#REF!</v>
      </c>
      <c r="K2679" s="18" t="e">
        <f>SUM(K2680:K2682)</f>
        <v>#REF!</v>
      </c>
      <c r="L2679" s="15">
        <f>SUM(L2680:L2682)</f>
        <v>0</v>
      </c>
      <c r="M2679" s="16" t="e">
        <f>SUM(M2680:M2682)</f>
        <v>#REF!</v>
      </c>
      <c r="N2679" s="60" t="e">
        <f>+SUMIFS(#REF!,#REF!,Planning[[#This Row],[Proyectos]],#REF!,Planning[[#This Row],[Tipo de Tarea y especialidad]])</f>
        <v>#REF!</v>
      </c>
      <c r="O2679" s="16">
        <f t="shared" si="82"/>
        <v>10</v>
      </c>
      <c r="P2679" s="16">
        <f t="shared" si="83"/>
        <v>2024</v>
      </c>
      <c r="Q2679" s="16" t="e">
        <f>SUM(Q2680:Q2682)</f>
        <v>#REF!</v>
      </c>
      <c r="R2679" s="16" t="str">
        <f>TEXT(Planning[[#This Row],[Mes]]*29,"mmmm")</f>
        <v>October</v>
      </c>
      <c r="S26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79" s="235"/>
      <c r="U2679" s="43" t="e">
        <f>IF(Planning[[#This Row],[Horas Planificadas]]&lt;&gt;0,+K2679/Planning[[#This Row],[Horas Planificadas]],0)</f>
        <v>#REF!</v>
      </c>
      <c r="V2679" s="43" t="e">
        <f>IF(Planning[[#This Row],[Horas Planificadas]]&lt;&gt;0,Planning[[#This Row],[Horas utilizadas]]/Planning[[#This Row],[Horas Planificadas]],0)</f>
        <v>#REF!</v>
      </c>
      <c r="W2679" s="44">
        <f>Planning[[#This Row],[Horas Planificadas]]+Planning[[#This Row],[Horas ajustadas adicionales]]</f>
        <v>1060</v>
      </c>
      <c r="X2679" s="142"/>
    </row>
    <row r="2680" spans="1:24" x14ac:dyDescent="0.2">
      <c r="A2680" s="7" t="s">
        <v>168</v>
      </c>
      <c r="B2680" s="7" t="s">
        <v>220</v>
      </c>
      <c r="C2680" s="3"/>
      <c r="D2680" s="3" t="s">
        <v>540</v>
      </c>
      <c r="E2680" s="4"/>
      <c r="F2680" s="3" t="s">
        <v>129</v>
      </c>
      <c r="G2680" s="9"/>
      <c r="H2680" s="9">
        <v>520</v>
      </c>
      <c r="I2680" s="12"/>
      <c r="J2680" s="5" t="e">
        <f>SUM(SUMIFS(#REF!,#REF!,Planning[[#This Row],[Tipo de Tarea y especialidad]],#REF!,Planning[[#This Row],[Proyectos Reiwa]]),SUMIFS(#REF!,#REF!,Planning[[#This Row],[Tipo de Tarea y especialidad]],#REF!,Planning[[#This Row],[Proyectos]]))</f>
        <v>#REF!</v>
      </c>
      <c r="K2680" s="5" t="e">
        <f>Planning[[#This Row],[Horas Planificadas]]+Planning[[#This Row],[Horas ajustadas adicionales]]-Planning[[#This Row],[Horas utilizadas]]</f>
        <v>#REF!</v>
      </c>
      <c r="L2680" s="7">
        <v>0</v>
      </c>
      <c r="M2680" s="19" t="e">
        <f>Planning[[#This Row],[Saldo]]-Planning[[#This Row],[Saldo estimado]]</f>
        <v>#REF!</v>
      </c>
      <c r="N2680" s="60" t="e">
        <f>+SUMIFS(#REF!,#REF!,Planning[[#This Row],[Proyectos]],#REF!,Planning[[#This Row],[Tipo de Tarea y especialidad]])</f>
        <v>#REF!</v>
      </c>
      <c r="O2680" s="19">
        <f t="shared" si="82"/>
        <v>10</v>
      </c>
      <c r="P2680" s="19">
        <f t="shared" si="83"/>
        <v>2024</v>
      </c>
      <c r="Q26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80" s="19" t="str">
        <f>TEXT(Planning[[#This Row],[Mes]]*29,"mmmm")</f>
        <v>October</v>
      </c>
      <c r="S26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80" s="235"/>
      <c r="U2680" s="43" t="e">
        <f>IF(Planning[[#This Row],[Horas Planificadas]]&lt;&gt;0,+K2680/Planning[[#This Row],[Horas Planificadas]],0)</f>
        <v>#REF!</v>
      </c>
      <c r="V2680" s="43" t="e">
        <f>IF(Planning[[#This Row],[Horas Planificadas]]&lt;&gt;0,Planning[[#This Row],[Horas utilizadas]]/Planning[[#This Row],[Horas Planificadas]],0)</f>
        <v>#REF!</v>
      </c>
      <c r="W2680" s="44">
        <f>Planning[[#This Row],[Horas Planificadas]]+Planning[[#This Row],[Horas ajustadas adicionales]]</f>
        <v>520</v>
      </c>
      <c r="X2680" s="142"/>
    </row>
    <row r="2681" spans="1:24" x14ac:dyDescent="0.2">
      <c r="A2681" s="7" t="s">
        <v>168</v>
      </c>
      <c r="B2681" s="7" t="s">
        <v>220</v>
      </c>
      <c r="C2681" s="3"/>
      <c r="D2681" s="3" t="s">
        <v>540</v>
      </c>
      <c r="E2681" s="4"/>
      <c r="F2681" s="3" t="s">
        <v>130</v>
      </c>
      <c r="G2681" s="9"/>
      <c r="H2681" s="9">
        <v>340</v>
      </c>
      <c r="I2681" s="12">
        <v>100</v>
      </c>
      <c r="J2681" s="5" t="e">
        <f>SUM(SUMIFS(#REF!,#REF!,Planning[[#This Row],[Tipo de Tarea y especialidad]],#REF!,Planning[[#This Row],[Proyectos Reiwa]]),SUMIFS(#REF!,#REF!,Planning[[#This Row],[Tipo de Tarea y especialidad]],#REF!,Planning[[#This Row],[Proyectos]]))</f>
        <v>#REF!</v>
      </c>
      <c r="K2681" s="5" t="e">
        <f>Planning[[#This Row],[Horas Planificadas]]+Planning[[#This Row],[Horas ajustadas adicionales]]-Planning[[#This Row],[Horas utilizadas]]</f>
        <v>#REF!</v>
      </c>
      <c r="L2681" s="7">
        <v>0</v>
      </c>
      <c r="M2681" s="19" t="e">
        <f>Planning[[#This Row],[Saldo]]-Planning[[#This Row],[Saldo estimado]]</f>
        <v>#REF!</v>
      </c>
      <c r="N2681" s="60" t="e">
        <f>+SUMIFS(#REF!,#REF!,Planning[[#This Row],[Proyectos]],#REF!,Planning[[#This Row],[Tipo de Tarea y especialidad]])</f>
        <v>#REF!</v>
      </c>
      <c r="O2681" s="19">
        <f t="shared" si="82"/>
        <v>10</v>
      </c>
      <c r="P2681" s="19">
        <f t="shared" si="83"/>
        <v>2024</v>
      </c>
      <c r="Q26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81" s="19" t="str">
        <f>TEXT(Planning[[#This Row],[Mes]]*29,"mmmm")</f>
        <v>October</v>
      </c>
      <c r="S26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81" s="235"/>
      <c r="U2681" s="43" t="e">
        <f>IF(Planning[[#This Row],[Horas Planificadas]]&lt;&gt;0,+K2681/Planning[[#This Row],[Horas Planificadas]],0)</f>
        <v>#REF!</v>
      </c>
      <c r="V2681" s="43" t="e">
        <f>IF(Planning[[#This Row],[Horas Planificadas]]&lt;&gt;0,Planning[[#This Row],[Horas utilizadas]]/Planning[[#This Row],[Horas Planificadas]],0)</f>
        <v>#REF!</v>
      </c>
      <c r="W2681" s="44">
        <f>Planning[[#This Row],[Horas Planificadas]]+Planning[[#This Row],[Horas ajustadas adicionales]]</f>
        <v>440</v>
      </c>
      <c r="X2681" s="142"/>
    </row>
    <row r="2682" spans="1:24" x14ac:dyDescent="0.2">
      <c r="A2682" s="7" t="s">
        <v>168</v>
      </c>
      <c r="B2682" s="7" t="s">
        <v>220</v>
      </c>
      <c r="C2682" s="3"/>
      <c r="D2682" s="3" t="s">
        <v>540</v>
      </c>
      <c r="E2682" s="4"/>
      <c r="F2682" s="3" t="s">
        <v>131</v>
      </c>
      <c r="G2682" s="9"/>
      <c r="H2682" s="9">
        <v>200</v>
      </c>
      <c r="I2682" s="12"/>
      <c r="J2682" s="5" t="e">
        <f>SUM(SUMIFS(#REF!,#REF!,Planning[[#This Row],[Tipo de Tarea y especialidad]],#REF!,Planning[[#This Row],[Proyectos Reiwa]]),SUMIFS(#REF!,#REF!,Planning[[#This Row],[Tipo de Tarea y especialidad]],#REF!,Planning[[#This Row],[Proyectos]]))</f>
        <v>#REF!</v>
      </c>
      <c r="K2682" s="5" t="e">
        <f>Planning[[#This Row],[Horas Planificadas]]+Planning[[#This Row],[Horas ajustadas adicionales]]-Planning[[#This Row],[Horas utilizadas]]</f>
        <v>#REF!</v>
      </c>
      <c r="L2682" s="7">
        <v>0</v>
      </c>
      <c r="M2682" s="19" t="e">
        <f>Planning[[#This Row],[Saldo]]-Planning[[#This Row],[Saldo estimado]]</f>
        <v>#REF!</v>
      </c>
      <c r="N2682" s="60" t="e">
        <f>+SUMIFS(#REF!,#REF!,Planning[[#This Row],[Proyectos]],#REF!,Planning[[#This Row],[Tipo de Tarea y especialidad]])</f>
        <v>#REF!</v>
      </c>
      <c r="O2682" s="19">
        <f t="shared" si="82"/>
        <v>10</v>
      </c>
      <c r="P2682" s="19">
        <f t="shared" si="83"/>
        <v>2024</v>
      </c>
      <c r="Q26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82" s="19" t="str">
        <f>TEXT(Planning[[#This Row],[Mes]]*29,"mmmm")</f>
        <v>October</v>
      </c>
      <c r="S26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82" s="235"/>
      <c r="U2682" s="43" t="e">
        <f>IF(Planning[[#This Row],[Horas Planificadas]]&lt;&gt;0,+K2682/Planning[[#This Row],[Horas Planificadas]],0)</f>
        <v>#REF!</v>
      </c>
      <c r="V2682" s="43" t="e">
        <f>IF(Planning[[#This Row],[Horas Planificadas]]&lt;&gt;0,Planning[[#This Row],[Horas utilizadas]]/Planning[[#This Row],[Horas Planificadas]],0)</f>
        <v>#REF!</v>
      </c>
      <c r="W2682" s="44">
        <f>Planning[[#This Row],[Horas Planificadas]]+Planning[[#This Row],[Horas ajustadas adicionales]]</f>
        <v>200</v>
      </c>
      <c r="X2682" s="142"/>
    </row>
    <row r="2683" spans="1:24" ht="22.5" x14ac:dyDescent="0.2">
      <c r="A2683" s="7" t="s">
        <v>294</v>
      </c>
      <c r="B2683" s="7" t="s">
        <v>118</v>
      </c>
      <c r="C2683" s="3"/>
      <c r="D2683" s="3" t="s">
        <v>542</v>
      </c>
      <c r="E2683" s="4" t="s">
        <v>28</v>
      </c>
      <c r="F2683" s="3"/>
      <c r="G2683" s="9">
        <v>1097</v>
      </c>
      <c r="H2683" s="14">
        <f>SUM(H2684:H2685)</f>
        <v>2350</v>
      </c>
      <c r="I2683" s="14"/>
      <c r="J2683" s="14" t="e">
        <f>SUM(J2684:J2685)</f>
        <v>#REF!</v>
      </c>
      <c r="K2683" s="15" t="e">
        <f>SUM(K2684:K2685)</f>
        <v>#REF!</v>
      </c>
      <c r="L2683" s="15">
        <f>SUM(L2684:L2685)</f>
        <v>18</v>
      </c>
      <c r="M2683" s="28" t="e">
        <f>SUM(M2684:M2685)</f>
        <v>#REF!</v>
      </c>
      <c r="N2683" s="61" t="e">
        <f>+SUMIFS(#REF!,#REF!,Planning[[#This Row],[Proyectos]],#REF!,Planning[[#This Row],[Tipo de Tarea y especialidad]])</f>
        <v>#REF!</v>
      </c>
      <c r="O2683" s="28">
        <f t="shared" si="82"/>
        <v>10</v>
      </c>
      <c r="P2683" s="28">
        <f t="shared" si="83"/>
        <v>2024</v>
      </c>
      <c r="Q2683" s="28" t="e">
        <f>SUM(Q2684:Q2685)</f>
        <v>#REF!</v>
      </c>
      <c r="R2683" s="28" t="str">
        <f>TEXT(Planning[[#This Row],[Mes]]*29,"mmmm")</f>
        <v>October</v>
      </c>
      <c r="S26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83" s="192" t="s">
        <v>543</v>
      </c>
      <c r="U2683" s="43" t="e">
        <f>IF(Planning[[#This Row],[Horas Planificadas]]&lt;&gt;0,+K2683/Planning[[#This Row],[Horas Planificadas]],0)</f>
        <v>#REF!</v>
      </c>
      <c r="V2683" s="43" t="e">
        <f>IF(Planning[[#This Row],[Horas Planificadas]]&lt;&gt;0,Planning[[#This Row],[Horas utilizadas]]/Planning[[#This Row],[Horas Planificadas]],0)</f>
        <v>#REF!</v>
      </c>
      <c r="W2683" s="44">
        <f>Planning[[#This Row],[Horas Planificadas]]+Planning[[#This Row],[Horas ajustadas adicionales]]</f>
        <v>2350</v>
      </c>
      <c r="X2683" s="142"/>
    </row>
    <row r="2684" spans="1:24" x14ac:dyDescent="0.2">
      <c r="A2684" s="7" t="s">
        <v>294</v>
      </c>
      <c r="B2684" s="7" t="s">
        <v>118</v>
      </c>
      <c r="C2684" s="3"/>
      <c r="D2684" s="3" t="s">
        <v>542</v>
      </c>
      <c r="E2684" s="4"/>
      <c r="F2684" s="3" t="s">
        <v>120</v>
      </c>
      <c r="G2684" s="9"/>
      <c r="H2684" s="9">
        <v>1300</v>
      </c>
      <c r="I2684" s="12"/>
      <c r="J2684" s="5" t="e">
        <f>SUM(SUMIFS(#REF!,#REF!,Planning[[#This Row],[Tipo de Tarea y especialidad]],#REF!,Planning[[#This Row],[Proyectos Reiwa]]),SUMIFS(#REF!,#REF!,Planning[[#This Row],[Tipo de Tarea y especialidad]],#REF!,Planning[[#This Row],[Proyectos]]))</f>
        <v>#REF!</v>
      </c>
      <c r="K2684" s="5" t="e">
        <f>Planning[[#This Row],[Horas Planificadas]]+Planning[[#This Row],[Horas ajustadas adicionales]]-Planning[[#This Row],[Horas utilizadas]]</f>
        <v>#REF!</v>
      </c>
      <c r="L2684" s="7">
        <v>0</v>
      </c>
      <c r="M2684" s="19" t="e">
        <f>Planning[[#This Row],[Saldo]]-Planning[[#This Row],[Saldo estimado]]</f>
        <v>#REF!</v>
      </c>
      <c r="N2684" s="60" t="e">
        <f>+SUMIFS(#REF!,#REF!,Planning[[#This Row],[Proyectos]],#REF!,Planning[[#This Row],[Tipo de Tarea y especialidad]])</f>
        <v>#REF!</v>
      </c>
      <c r="O2684" s="19">
        <f t="shared" si="82"/>
        <v>10</v>
      </c>
      <c r="P2684" s="19">
        <f t="shared" si="83"/>
        <v>2024</v>
      </c>
      <c r="Q26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84" s="19" t="str">
        <f>TEXT(Planning[[#This Row],[Mes]]*29,"mmmm")</f>
        <v>October</v>
      </c>
      <c r="S26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84" s="193"/>
      <c r="U2684" s="43" t="e">
        <f>IF(Planning[[#This Row],[Horas Planificadas]]&lt;&gt;0,+K2684/Planning[[#This Row],[Horas Planificadas]],0)</f>
        <v>#REF!</v>
      </c>
      <c r="V2684" s="43" t="e">
        <f>IF(Planning[[#This Row],[Horas Planificadas]]&lt;&gt;0,Planning[[#This Row],[Horas utilizadas]]/Planning[[#This Row],[Horas Planificadas]],0)</f>
        <v>#REF!</v>
      </c>
      <c r="W2684" s="44">
        <f>Planning[[#This Row],[Horas Planificadas]]+Planning[[#This Row],[Horas ajustadas adicionales]]</f>
        <v>1300</v>
      </c>
      <c r="X2684" s="142"/>
    </row>
    <row r="2685" spans="1:24" x14ac:dyDescent="0.2">
      <c r="A2685" s="7" t="s">
        <v>294</v>
      </c>
      <c r="B2685" s="7" t="s">
        <v>118</v>
      </c>
      <c r="C2685" s="3"/>
      <c r="D2685" s="3" t="s">
        <v>542</v>
      </c>
      <c r="E2685" s="4"/>
      <c r="F2685" s="3" t="s">
        <v>121</v>
      </c>
      <c r="G2685" s="9"/>
      <c r="H2685" s="9">
        <v>1050</v>
      </c>
      <c r="I2685" s="12"/>
      <c r="J2685" s="5" t="e">
        <f>SUM(SUMIFS(#REF!,#REF!,Planning[[#This Row],[Tipo de Tarea y especialidad]],#REF!,Planning[[#This Row],[Proyectos Reiwa]]),SUMIFS(#REF!,#REF!,Planning[[#This Row],[Tipo de Tarea y especialidad]],#REF!,Planning[[#This Row],[Proyectos]]))</f>
        <v>#REF!</v>
      </c>
      <c r="K2685" s="5" t="e">
        <f>Planning[[#This Row],[Horas Planificadas]]+Planning[[#This Row],[Horas ajustadas adicionales]]-Planning[[#This Row],[Horas utilizadas]]</f>
        <v>#REF!</v>
      </c>
      <c r="L2685" s="7">
        <v>18</v>
      </c>
      <c r="M2685" s="19" t="e">
        <f>Planning[[#This Row],[Saldo]]-Planning[[#This Row],[Saldo estimado]]</f>
        <v>#REF!</v>
      </c>
      <c r="N2685" s="60" t="e">
        <f>+SUMIFS(#REF!,#REF!,Planning[[#This Row],[Proyectos]],#REF!,Planning[[#This Row],[Tipo de Tarea y especialidad]])</f>
        <v>#REF!</v>
      </c>
      <c r="O2685" s="19">
        <f t="shared" si="82"/>
        <v>10</v>
      </c>
      <c r="P2685" s="19">
        <f t="shared" si="83"/>
        <v>2024</v>
      </c>
      <c r="Q26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85" s="19" t="str">
        <f>TEXT(Planning[[#This Row],[Mes]]*29,"mmmm")</f>
        <v>October</v>
      </c>
      <c r="S26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85" s="193"/>
      <c r="U2685" s="43" t="e">
        <f>IF(Planning[[#This Row],[Horas Planificadas]]&lt;&gt;0,+K2685/Planning[[#This Row],[Horas Planificadas]],0)</f>
        <v>#REF!</v>
      </c>
      <c r="V2685" s="43" t="e">
        <f>IF(Planning[[#This Row],[Horas Planificadas]]&lt;&gt;0,Planning[[#This Row],[Horas utilizadas]]/Planning[[#This Row],[Horas Planificadas]],0)</f>
        <v>#REF!</v>
      </c>
      <c r="W2685" s="44">
        <f>Planning[[#This Row],[Horas Planificadas]]+Planning[[#This Row],[Horas ajustadas adicionales]]</f>
        <v>1050</v>
      </c>
      <c r="X2685" s="142"/>
    </row>
    <row r="2686" spans="1:24" x14ac:dyDescent="0.2">
      <c r="A2686" s="7" t="s">
        <v>294</v>
      </c>
      <c r="B2686" s="7" t="s">
        <v>118</v>
      </c>
      <c r="C2686" s="3"/>
      <c r="D2686" s="3" t="s">
        <v>542</v>
      </c>
      <c r="E2686" s="4" t="s">
        <v>30</v>
      </c>
      <c r="F2686" s="3"/>
      <c r="G2686" s="9">
        <v>881</v>
      </c>
      <c r="H2686" s="25">
        <f>SUM(H2687:H2693)</f>
        <v>1538</v>
      </c>
      <c r="I2686" s="14"/>
      <c r="J2686" s="14" t="e">
        <f>SUM(J2687:J2693)</f>
        <v>#REF!</v>
      </c>
      <c r="K2686" s="18" t="e">
        <f>SUM(K2687:K2693)</f>
        <v>#REF!</v>
      </c>
      <c r="L2686" s="15">
        <f>SUM(L2687:L2693)</f>
        <v>9</v>
      </c>
      <c r="M2686" s="16" t="e">
        <f>SUM(M2687:M2693)</f>
        <v>#REF!</v>
      </c>
      <c r="N2686" s="60" t="e">
        <f>+SUMIFS(#REF!,#REF!,Planning[[#This Row],[Proyectos]],#REF!,Planning[[#This Row],[Tipo de Tarea y especialidad]])</f>
        <v>#REF!</v>
      </c>
      <c r="O2686" s="16">
        <f t="shared" si="82"/>
        <v>10</v>
      </c>
      <c r="P2686" s="16">
        <f t="shared" si="83"/>
        <v>2024</v>
      </c>
      <c r="Q2686" s="16" t="e">
        <f>SUM(Q2687:Q2693)</f>
        <v>#REF!</v>
      </c>
      <c r="R2686" s="16" t="str">
        <f>TEXT(Planning[[#This Row],[Mes]]*29,"mmmm")</f>
        <v>October</v>
      </c>
      <c r="S26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86" s="193"/>
      <c r="U2686" s="43" t="e">
        <f>IF(Planning[[#This Row],[Horas Planificadas]]&lt;&gt;0,+K2686/Planning[[#This Row],[Horas Planificadas]],0)</f>
        <v>#REF!</v>
      </c>
      <c r="V2686" s="43" t="e">
        <f>IF(Planning[[#This Row],[Horas Planificadas]]&lt;&gt;0,Planning[[#This Row],[Horas utilizadas]]/Planning[[#This Row],[Horas Planificadas]],0)</f>
        <v>#REF!</v>
      </c>
      <c r="W2686" s="44">
        <f>Planning[[#This Row],[Horas Planificadas]]+Planning[[#This Row],[Horas ajustadas adicionales]]</f>
        <v>1538</v>
      </c>
      <c r="X2686" s="142"/>
    </row>
    <row r="2687" spans="1:24" x14ac:dyDescent="0.2">
      <c r="A2687" s="7" t="s">
        <v>294</v>
      </c>
      <c r="B2687" s="7" t="s">
        <v>118</v>
      </c>
      <c r="C2687" s="3"/>
      <c r="D2687" s="3" t="s">
        <v>542</v>
      </c>
      <c r="E2687" s="4"/>
      <c r="F2687" s="3" t="s">
        <v>122</v>
      </c>
      <c r="G2687" s="9"/>
      <c r="H2687" s="12">
        <v>370</v>
      </c>
      <c r="I2687" s="12"/>
      <c r="J2687" s="5" t="e">
        <f>SUM(SUMIFS(#REF!,#REF!,Planning[[#This Row],[Tipo de Tarea y especialidad]],#REF!,Planning[[#This Row],[Proyectos Reiwa]]),SUMIFS(#REF!,#REF!,Planning[[#This Row],[Tipo de Tarea y especialidad]],#REF!,Planning[[#This Row],[Proyectos]]))</f>
        <v>#REF!</v>
      </c>
      <c r="K2687" s="27" t="e">
        <f>Planning[[#This Row],[Horas Planificadas]]+Planning[[#This Row],[Horas ajustadas adicionales]]-Planning[[#This Row],[Horas utilizadas]]</f>
        <v>#REF!</v>
      </c>
      <c r="L2687" s="7"/>
      <c r="M2687" s="34" t="e">
        <f>Planning[[#This Row],[Saldo]]-Planning[[#This Row],[Saldo estimado]]</f>
        <v>#REF!</v>
      </c>
      <c r="N2687" s="62" t="e">
        <f>+SUMIFS(#REF!,#REF!,Planning[[#This Row],[Proyectos]],#REF!,Planning[[#This Row],[Tipo de Tarea y especialidad]])</f>
        <v>#REF!</v>
      </c>
      <c r="O2687" s="34">
        <f t="shared" si="82"/>
        <v>10</v>
      </c>
      <c r="P2687" s="34">
        <f t="shared" si="83"/>
        <v>2024</v>
      </c>
      <c r="Q26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87" s="19" t="str">
        <f>TEXT(Planning[[#This Row],[Mes]]*29,"mmmm")</f>
        <v>October</v>
      </c>
      <c r="S26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87" s="193"/>
      <c r="U2687" s="43" t="e">
        <f>IF(Planning[[#This Row],[Horas Planificadas]]&lt;&gt;0,+K2687/Planning[[#This Row],[Horas Planificadas]],0)</f>
        <v>#REF!</v>
      </c>
      <c r="V2687" s="43" t="e">
        <f>IF(Planning[[#This Row],[Horas Planificadas]]&lt;&gt;0,Planning[[#This Row],[Horas utilizadas]]/Planning[[#This Row],[Horas Planificadas]],0)</f>
        <v>#REF!</v>
      </c>
      <c r="W2687" s="44">
        <f>Planning[[#This Row],[Horas Planificadas]]+Planning[[#This Row],[Horas ajustadas adicionales]]</f>
        <v>370</v>
      </c>
      <c r="X2687" s="142"/>
    </row>
    <row r="2688" spans="1:24" x14ac:dyDescent="0.2">
      <c r="A2688" s="7" t="s">
        <v>294</v>
      </c>
      <c r="B2688" s="7" t="s">
        <v>118</v>
      </c>
      <c r="C2688" s="3"/>
      <c r="D2688" s="3" t="s">
        <v>542</v>
      </c>
      <c r="E2688" s="4"/>
      <c r="F2688" s="3" t="s">
        <v>123</v>
      </c>
      <c r="G2688" s="9"/>
      <c r="H2688" s="9"/>
      <c r="I2688" s="12"/>
      <c r="J2688" s="5" t="e">
        <f>SUM(SUMIFS(#REF!,#REF!,Planning[[#This Row],[Tipo de Tarea y especialidad]],#REF!,Planning[[#This Row],[Proyectos Reiwa]]),SUMIFS(#REF!,#REF!,Planning[[#This Row],[Tipo de Tarea y especialidad]],#REF!,Planning[[#This Row],[Proyectos]]))</f>
        <v>#REF!</v>
      </c>
      <c r="K2688" s="5" t="e">
        <f>Planning[[#This Row],[Horas Planificadas]]+Planning[[#This Row],[Horas ajustadas adicionales]]-Planning[[#This Row],[Horas utilizadas]]</f>
        <v>#REF!</v>
      </c>
      <c r="L2688" s="7"/>
      <c r="M2688" s="19" t="e">
        <f>Planning[[#This Row],[Saldo]]-Planning[[#This Row],[Saldo estimado]]</f>
        <v>#REF!</v>
      </c>
      <c r="N2688" s="60" t="e">
        <f>+SUMIFS(#REF!,#REF!,Planning[[#This Row],[Proyectos]],#REF!,Planning[[#This Row],[Tipo de Tarea y especialidad]])</f>
        <v>#REF!</v>
      </c>
      <c r="O2688" s="19">
        <f t="shared" si="82"/>
        <v>10</v>
      </c>
      <c r="P2688" s="19">
        <f t="shared" si="83"/>
        <v>2024</v>
      </c>
      <c r="Q26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88" s="19" t="str">
        <f>TEXT(Planning[[#This Row],[Mes]]*29,"mmmm")</f>
        <v>October</v>
      </c>
      <c r="S26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88" s="193"/>
      <c r="U2688" s="43">
        <f>IF(Planning[[#This Row],[Horas Planificadas]]&lt;&gt;0,+K2688/Planning[[#This Row],[Horas Planificadas]],0)</f>
        <v>0</v>
      </c>
      <c r="V2688" s="43">
        <f>IF(Planning[[#This Row],[Horas Planificadas]]&lt;&gt;0,Planning[[#This Row],[Horas utilizadas]]/Planning[[#This Row],[Horas Planificadas]],0)</f>
        <v>0</v>
      </c>
      <c r="W2688" s="44">
        <f>Planning[[#This Row],[Horas Planificadas]]+Planning[[#This Row],[Horas ajustadas adicionales]]</f>
        <v>0</v>
      </c>
      <c r="X2688" s="142"/>
    </row>
    <row r="2689" spans="1:24" x14ac:dyDescent="0.2">
      <c r="A2689" s="7" t="s">
        <v>294</v>
      </c>
      <c r="B2689" s="7" t="s">
        <v>118</v>
      </c>
      <c r="C2689" s="3"/>
      <c r="D2689" s="3" t="s">
        <v>542</v>
      </c>
      <c r="E2689" s="4"/>
      <c r="F2689" s="3" t="s">
        <v>124</v>
      </c>
      <c r="G2689" s="9"/>
      <c r="H2689" s="9">
        <v>160</v>
      </c>
      <c r="I2689" s="12"/>
      <c r="J2689" s="5" t="e">
        <f>SUM(SUMIFS(#REF!,#REF!,Planning[[#This Row],[Tipo de Tarea y especialidad]],#REF!,Planning[[#This Row],[Proyectos Reiwa]]),SUMIFS(#REF!,#REF!,Planning[[#This Row],[Tipo de Tarea y especialidad]],#REF!,Planning[[#This Row],[Proyectos]]))</f>
        <v>#REF!</v>
      </c>
      <c r="K2689" s="5" t="e">
        <f>Planning[[#This Row],[Horas Planificadas]]+Planning[[#This Row],[Horas ajustadas adicionales]]-Planning[[#This Row],[Horas utilizadas]]</f>
        <v>#REF!</v>
      </c>
      <c r="L2689" s="7"/>
      <c r="M2689" s="19" t="e">
        <f>Planning[[#This Row],[Saldo]]-Planning[[#This Row],[Saldo estimado]]</f>
        <v>#REF!</v>
      </c>
      <c r="N2689" s="60" t="e">
        <f>+SUMIFS(#REF!,#REF!,Planning[[#This Row],[Proyectos]],#REF!,Planning[[#This Row],[Tipo de Tarea y especialidad]])</f>
        <v>#REF!</v>
      </c>
      <c r="O2689" s="19">
        <f t="shared" si="82"/>
        <v>10</v>
      </c>
      <c r="P2689" s="19">
        <f t="shared" si="83"/>
        <v>2024</v>
      </c>
      <c r="Q26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89" s="19" t="str">
        <f>TEXT(Planning[[#This Row],[Mes]]*29,"mmmm")</f>
        <v>October</v>
      </c>
      <c r="S26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89" s="193"/>
      <c r="U2689" s="43" t="e">
        <f>IF(Planning[[#This Row],[Horas Planificadas]]&lt;&gt;0,+K2689/Planning[[#This Row],[Horas Planificadas]],0)</f>
        <v>#REF!</v>
      </c>
      <c r="V2689" s="43" t="e">
        <f>IF(Planning[[#This Row],[Horas Planificadas]]&lt;&gt;0,Planning[[#This Row],[Horas utilizadas]]/Planning[[#This Row],[Horas Planificadas]],0)</f>
        <v>#REF!</v>
      </c>
      <c r="W2689" s="44">
        <f>Planning[[#This Row],[Horas Planificadas]]+Planning[[#This Row],[Horas ajustadas adicionales]]</f>
        <v>160</v>
      </c>
      <c r="X2689" s="142"/>
    </row>
    <row r="2690" spans="1:24" x14ac:dyDescent="0.2">
      <c r="A2690" s="7" t="s">
        <v>294</v>
      </c>
      <c r="B2690" s="7" t="s">
        <v>118</v>
      </c>
      <c r="C2690" s="3"/>
      <c r="D2690" s="3" t="s">
        <v>542</v>
      </c>
      <c r="E2690" s="4"/>
      <c r="F2690" s="3" t="s">
        <v>125</v>
      </c>
      <c r="G2690" s="9"/>
      <c r="H2690" s="12">
        <v>650</v>
      </c>
      <c r="I2690" s="12"/>
      <c r="J2690" s="5" t="e">
        <f>SUM(SUMIFS(#REF!,#REF!,Planning[[#This Row],[Tipo de Tarea y especialidad]],#REF!,Planning[[#This Row],[Proyectos Reiwa]]),SUMIFS(#REF!,#REF!,Planning[[#This Row],[Tipo de Tarea y especialidad]],#REF!,Planning[[#This Row],[Proyectos]]))</f>
        <v>#REF!</v>
      </c>
      <c r="K2690" s="27" t="e">
        <f>Planning[[#This Row],[Horas Planificadas]]+Planning[[#This Row],[Horas ajustadas adicionales]]-Planning[[#This Row],[Horas utilizadas]]</f>
        <v>#REF!</v>
      </c>
      <c r="L2690" s="7">
        <v>9</v>
      </c>
      <c r="M2690" s="19" t="e">
        <f>Planning[[#This Row],[Saldo]]-Planning[[#This Row],[Saldo estimado]]</f>
        <v>#REF!</v>
      </c>
      <c r="N2690" s="60" t="e">
        <f>+SUMIFS(#REF!,#REF!,Planning[[#This Row],[Proyectos]],#REF!,Planning[[#This Row],[Tipo de Tarea y especialidad]])</f>
        <v>#REF!</v>
      </c>
      <c r="O2690" s="19">
        <f t="shared" si="82"/>
        <v>10</v>
      </c>
      <c r="P2690" s="19">
        <f t="shared" si="83"/>
        <v>2024</v>
      </c>
      <c r="Q26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90" s="19" t="str">
        <f>TEXT(Planning[[#This Row],[Mes]]*29,"mmmm")</f>
        <v>October</v>
      </c>
      <c r="S26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90" s="193"/>
      <c r="U2690" s="43" t="e">
        <f>IF(Planning[[#This Row],[Horas Planificadas]]&lt;&gt;0,+K2690/Planning[[#This Row],[Horas Planificadas]],0)</f>
        <v>#REF!</v>
      </c>
      <c r="V2690" s="43" t="e">
        <f>IF(Planning[[#This Row],[Horas Planificadas]]&lt;&gt;0,Planning[[#This Row],[Horas utilizadas]]/Planning[[#This Row],[Horas Planificadas]],0)</f>
        <v>#REF!</v>
      </c>
      <c r="W2690" s="44">
        <f>Planning[[#This Row],[Horas Planificadas]]+Planning[[#This Row],[Horas ajustadas adicionales]]</f>
        <v>650</v>
      </c>
      <c r="X2690" s="142"/>
    </row>
    <row r="2691" spans="1:24" x14ac:dyDescent="0.2">
      <c r="A2691" s="7" t="s">
        <v>294</v>
      </c>
      <c r="B2691" s="7" t="s">
        <v>118</v>
      </c>
      <c r="C2691" s="3"/>
      <c r="D2691" s="3" t="s">
        <v>542</v>
      </c>
      <c r="E2691" s="4"/>
      <c r="F2691" s="3" t="s">
        <v>126</v>
      </c>
      <c r="G2691" s="9"/>
      <c r="H2691" s="9">
        <v>358</v>
      </c>
      <c r="I2691" s="12"/>
      <c r="J2691" s="5" t="e">
        <f>SUM(SUMIFS(#REF!,#REF!,Planning[[#This Row],[Tipo de Tarea y especialidad]],#REF!,Planning[[#This Row],[Proyectos Reiwa]]),SUMIFS(#REF!,#REF!,Planning[[#This Row],[Tipo de Tarea y especialidad]],#REF!,Planning[[#This Row],[Proyectos]]))</f>
        <v>#REF!</v>
      </c>
      <c r="K2691" s="5" t="e">
        <f>Planning[[#This Row],[Horas Planificadas]]+Planning[[#This Row],[Horas ajustadas adicionales]]-Planning[[#This Row],[Horas utilizadas]]</f>
        <v>#REF!</v>
      </c>
      <c r="L2691" s="7"/>
      <c r="M2691" s="19" t="e">
        <f>Planning[[#This Row],[Saldo]]-Planning[[#This Row],[Saldo estimado]]</f>
        <v>#REF!</v>
      </c>
      <c r="N2691" s="60" t="e">
        <f>+SUMIFS(#REF!,#REF!,Planning[[#This Row],[Proyectos]],#REF!,Planning[[#This Row],[Tipo de Tarea y especialidad]])</f>
        <v>#REF!</v>
      </c>
      <c r="O2691" s="19">
        <f t="shared" si="82"/>
        <v>10</v>
      </c>
      <c r="P2691" s="19">
        <f t="shared" si="83"/>
        <v>2024</v>
      </c>
      <c r="Q26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91" s="19" t="str">
        <f>TEXT(Planning[[#This Row],[Mes]]*29,"mmmm")</f>
        <v>October</v>
      </c>
      <c r="S26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91" s="193"/>
      <c r="U2691" s="43" t="e">
        <f>IF(Planning[[#This Row],[Horas Planificadas]]&lt;&gt;0,+K2691/Planning[[#This Row],[Horas Planificadas]],0)</f>
        <v>#REF!</v>
      </c>
      <c r="V2691" s="43" t="e">
        <f>IF(Planning[[#This Row],[Horas Planificadas]]&lt;&gt;0,Planning[[#This Row],[Horas utilizadas]]/Planning[[#This Row],[Horas Planificadas]],0)</f>
        <v>#REF!</v>
      </c>
      <c r="W2691" s="44">
        <f>Planning[[#This Row],[Horas Planificadas]]+Planning[[#This Row],[Horas ajustadas adicionales]]</f>
        <v>358</v>
      </c>
      <c r="X2691" s="142"/>
    </row>
    <row r="2692" spans="1:24" x14ac:dyDescent="0.2">
      <c r="A2692" s="7" t="s">
        <v>294</v>
      </c>
      <c r="B2692" s="7" t="s">
        <v>118</v>
      </c>
      <c r="C2692" s="3"/>
      <c r="D2692" s="3" t="s">
        <v>542</v>
      </c>
      <c r="E2692" s="4"/>
      <c r="F2692" s="3" t="s">
        <v>127</v>
      </c>
      <c r="G2692" s="9"/>
      <c r="H2692" s="9"/>
      <c r="I2692" s="12"/>
      <c r="J2692" s="5" t="e">
        <f>SUM(SUMIFS(#REF!,#REF!,Planning[[#This Row],[Tipo de Tarea y especialidad]],#REF!,Planning[[#This Row],[Proyectos Reiwa]]),SUMIFS(#REF!,#REF!,Planning[[#This Row],[Tipo de Tarea y especialidad]],#REF!,Planning[[#This Row],[Proyectos]]))</f>
        <v>#REF!</v>
      </c>
      <c r="K2692" s="5" t="e">
        <f>Planning[[#This Row],[Horas Planificadas]]+Planning[[#This Row],[Horas ajustadas adicionales]]-Planning[[#This Row],[Horas utilizadas]]</f>
        <v>#REF!</v>
      </c>
      <c r="L2692" s="7"/>
      <c r="M2692" s="19" t="e">
        <f>Planning[[#This Row],[Saldo]]-Planning[[#This Row],[Saldo estimado]]</f>
        <v>#REF!</v>
      </c>
      <c r="N2692" s="60" t="e">
        <f>+SUMIFS(#REF!,#REF!,Planning[[#This Row],[Proyectos]],#REF!,Planning[[#This Row],[Tipo de Tarea y especialidad]])</f>
        <v>#REF!</v>
      </c>
      <c r="O2692" s="19">
        <f t="shared" si="82"/>
        <v>10</v>
      </c>
      <c r="P2692" s="19">
        <f t="shared" si="83"/>
        <v>2024</v>
      </c>
      <c r="Q26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92" s="19" t="str">
        <f>TEXT(Planning[[#This Row],[Mes]]*29,"mmmm")</f>
        <v>October</v>
      </c>
      <c r="S26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92" s="193"/>
      <c r="U2692" s="43">
        <f>IF(Planning[[#This Row],[Horas Planificadas]]&lt;&gt;0,+K2692/Planning[[#This Row],[Horas Planificadas]],0)</f>
        <v>0</v>
      </c>
      <c r="V2692" s="43">
        <f>IF(Planning[[#This Row],[Horas Planificadas]]&lt;&gt;0,Planning[[#This Row],[Horas utilizadas]]/Planning[[#This Row],[Horas Planificadas]],0)</f>
        <v>0</v>
      </c>
      <c r="W2692" s="44">
        <f>Planning[[#This Row],[Horas Planificadas]]+Planning[[#This Row],[Horas ajustadas adicionales]]</f>
        <v>0</v>
      </c>
      <c r="X2692" s="142"/>
    </row>
    <row r="2693" spans="1:24" x14ac:dyDescent="0.2">
      <c r="A2693" s="7" t="s">
        <v>294</v>
      </c>
      <c r="B2693" s="7" t="s">
        <v>118</v>
      </c>
      <c r="C2693" s="3"/>
      <c r="D2693" s="3" t="s">
        <v>542</v>
      </c>
      <c r="E2693" s="4"/>
      <c r="F2693" s="3" t="s">
        <v>128</v>
      </c>
      <c r="G2693" s="9"/>
      <c r="H2693" s="9"/>
      <c r="I2693" s="12"/>
      <c r="J2693" s="5" t="e">
        <f>SUM(SUMIFS(#REF!,#REF!,Planning[[#This Row],[Tipo de Tarea y especialidad]],#REF!,Planning[[#This Row],[Proyectos Reiwa]]),SUMIFS(#REF!,#REF!,Planning[[#This Row],[Tipo de Tarea y especialidad]],#REF!,Planning[[#This Row],[Proyectos]]))</f>
        <v>#REF!</v>
      </c>
      <c r="K2693" s="5" t="e">
        <f>Planning[[#This Row],[Horas Planificadas]]+Planning[[#This Row],[Horas ajustadas adicionales]]-Planning[[#This Row],[Horas utilizadas]]</f>
        <v>#REF!</v>
      </c>
      <c r="L2693" s="7"/>
      <c r="M2693" s="19" t="e">
        <f>Planning[[#This Row],[Saldo]]-Planning[[#This Row],[Saldo estimado]]</f>
        <v>#REF!</v>
      </c>
      <c r="N2693" s="60" t="e">
        <f>+SUMIFS(#REF!,#REF!,Planning[[#This Row],[Proyectos]],#REF!,Planning[[#This Row],[Tipo de Tarea y especialidad]])</f>
        <v>#REF!</v>
      </c>
      <c r="O2693" s="19">
        <f t="shared" si="82"/>
        <v>10</v>
      </c>
      <c r="P2693" s="19">
        <f t="shared" si="83"/>
        <v>2024</v>
      </c>
      <c r="Q26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93" s="19" t="str">
        <f>TEXT(Planning[[#This Row],[Mes]]*29,"mmmm")</f>
        <v>October</v>
      </c>
      <c r="S26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93" s="193"/>
      <c r="U2693" s="43">
        <f>IF(Planning[[#This Row],[Horas Planificadas]]&lt;&gt;0,+K2693/Planning[[#This Row],[Horas Planificadas]],0)</f>
        <v>0</v>
      </c>
      <c r="V2693" s="43">
        <f>IF(Planning[[#This Row],[Horas Planificadas]]&lt;&gt;0,Planning[[#This Row],[Horas utilizadas]]/Planning[[#This Row],[Horas Planificadas]],0)</f>
        <v>0</v>
      </c>
      <c r="W2693" s="44">
        <f>Planning[[#This Row],[Horas Planificadas]]+Planning[[#This Row],[Horas ajustadas adicionales]]</f>
        <v>0</v>
      </c>
      <c r="X2693" s="142"/>
    </row>
    <row r="2694" spans="1:24" x14ac:dyDescent="0.2">
      <c r="A2694" s="7" t="s">
        <v>294</v>
      </c>
      <c r="B2694" s="7" t="s">
        <v>118</v>
      </c>
      <c r="C2694" s="3"/>
      <c r="D2694" s="3" t="s">
        <v>542</v>
      </c>
      <c r="E2694" s="4" t="s">
        <v>31</v>
      </c>
      <c r="F2694" s="3" t="s">
        <v>31</v>
      </c>
      <c r="G2694" s="9">
        <v>140</v>
      </c>
      <c r="H2694" s="17">
        <v>140</v>
      </c>
      <c r="I2694" s="18"/>
      <c r="J2694" s="14" t="e">
        <f>+SUMIFS(#REF!,#REF!,Planning[[#This Row],[Tarifa]],#REF!,Planning[[#This Row],[Proyectos]])</f>
        <v>#REF!</v>
      </c>
      <c r="K2694" s="14" t="e">
        <f>Planning[[#This Row],[Horas Planificadas]]+Planning[[#This Row],[Horas ajustadas adicionales]]-Planning[[#This Row],[Horas utilizadas]]</f>
        <v>#REF!</v>
      </c>
      <c r="L2694" s="15">
        <v>0</v>
      </c>
      <c r="M2694" s="16" t="e">
        <f>Planning[[#This Row],[Saldo]]-Planning[[#This Row],[Saldo estimado]]</f>
        <v>#REF!</v>
      </c>
      <c r="N2694" s="60" t="e">
        <f>+SUMIFS(#REF!,#REF!,Planning[[#This Row],[Proyectos]],#REF!,Planning[[#This Row],[Tipo de Tarea y especialidad]])</f>
        <v>#REF!</v>
      </c>
      <c r="O2694" s="16">
        <f t="shared" si="82"/>
        <v>10</v>
      </c>
      <c r="P2694" s="16">
        <f t="shared" si="83"/>
        <v>2024</v>
      </c>
      <c r="Q2694" s="16" t="e">
        <f>+SUMIFS(#REF!,#REF!,Planning[[#This Row],[Tarifa]],#REF!,Planning[[#This Row],[Proyectos]],#REF!,Planning[[#This Row],[Mes]],#REF!,Planning[[#This Row],[Año]])</f>
        <v>#REF!</v>
      </c>
      <c r="R2694" s="16" t="str">
        <f>TEXT(Planning[[#This Row],[Mes]]*29,"mmmm")</f>
        <v>October</v>
      </c>
      <c r="S26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94" s="193"/>
      <c r="U2694" s="43" t="e">
        <f>IF(Planning[[#This Row],[Horas Planificadas]]&lt;&gt;0,+K2694/Planning[[#This Row],[Horas Planificadas]],0)</f>
        <v>#REF!</v>
      </c>
      <c r="V2694" s="43" t="e">
        <f>IF(Planning[[#This Row],[Horas Planificadas]]&lt;&gt;0,Planning[[#This Row],[Horas utilizadas]]/Planning[[#This Row],[Horas Planificadas]],0)</f>
        <v>#REF!</v>
      </c>
      <c r="W2694" s="44">
        <f>Planning[[#This Row],[Horas Planificadas]]+Planning[[#This Row],[Horas ajustadas adicionales]]</f>
        <v>140</v>
      </c>
      <c r="X2694" s="142"/>
    </row>
    <row r="2695" spans="1:24" ht="22.5" x14ac:dyDescent="0.2">
      <c r="A2695" s="7" t="s">
        <v>294</v>
      </c>
      <c r="B2695" s="7" t="s">
        <v>118</v>
      </c>
      <c r="C2695" s="3"/>
      <c r="D2695" s="3" t="s">
        <v>542</v>
      </c>
      <c r="E2695" s="4" t="s">
        <v>32</v>
      </c>
      <c r="F2695" s="3"/>
      <c r="G2695" s="9">
        <v>418</v>
      </c>
      <c r="H2695" s="25">
        <f>SUM(H2696:H2698)</f>
        <v>418</v>
      </c>
      <c r="I2695" s="14"/>
      <c r="J2695" s="14" t="e">
        <f>SUM(J2696:J2698)</f>
        <v>#REF!</v>
      </c>
      <c r="K2695" s="18" t="e">
        <f>SUM(K2696:K2698)</f>
        <v>#REF!</v>
      </c>
      <c r="L2695" s="15">
        <f>SUM(L2696:L2698)</f>
        <v>0</v>
      </c>
      <c r="M2695" s="16" t="e">
        <f>SUM(M2696:M2698)</f>
        <v>#REF!</v>
      </c>
      <c r="N2695" s="60" t="e">
        <f>+SUMIFS(#REF!,#REF!,Planning[[#This Row],[Proyectos]],#REF!,Planning[[#This Row],[Tipo de Tarea y especialidad]])</f>
        <v>#REF!</v>
      </c>
      <c r="O2695" s="16">
        <f t="shared" ref="O2695:O2758" si="84">$L$4</f>
        <v>10</v>
      </c>
      <c r="P2695" s="16">
        <f t="shared" ref="P2695:P2758" si="85">$M$4</f>
        <v>2024</v>
      </c>
      <c r="Q2695" s="16" t="e">
        <f>SUM(Q2696:Q2698)</f>
        <v>#REF!</v>
      </c>
      <c r="R2695" s="16" t="str">
        <f>TEXT(Planning[[#This Row],[Mes]]*29,"mmmm")</f>
        <v>October</v>
      </c>
      <c r="S26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95" s="193"/>
      <c r="U2695" s="43" t="e">
        <f>IF(Planning[[#This Row],[Horas Planificadas]]&lt;&gt;0,+K2695/Planning[[#This Row],[Horas Planificadas]],0)</f>
        <v>#REF!</v>
      </c>
      <c r="V2695" s="43" t="e">
        <f>IF(Planning[[#This Row],[Horas Planificadas]]&lt;&gt;0,Planning[[#This Row],[Horas utilizadas]]/Planning[[#This Row],[Horas Planificadas]],0)</f>
        <v>#REF!</v>
      </c>
      <c r="W2695" s="44">
        <f>Planning[[#This Row],[Horas Planificadas]]+Planning[[#This Row],[Horas ajustadas adicionales]]</f>
        <v>418</v>
      </c>
      <c r="X2695" s="142"/>
    </row>
    <row r="2696" spans="1:24" x14ac:dyDescent="0.2">
      <c r="A2696" s="7" t="s">
        <v>294</v>
      </c>
      <c r="B2696" s="7" t="s">
        <v>118</v>
      </c>
      <c r="C2696" s="3"/>
      <c r="D2696" s="3" t="s">
        <v>542</v>
      </c>
      <c r="E2696" s="4"/>
      <c r="F2696" s="3" t="s">
        <v>129</v>
      </c>
      <c r="G2696" s="9"/>
      <c r="H2696" s="9">
        <v>238</v>
      </c>
      <c r="I2696" s="12">
        <v>430</v>
      </c>
      <c r="J2696" s="5" t="e">
        <f>SUM(SUMIFS(#REF!,#REF!,Planning[[#This Row],[Tipo de Tarea y especialidad]],#REF!,Planning[[#This Row],[Proyectos Reiwa]]),SUMIFS(#REF!,#REF!,Planning[[#This Row],[Tipo de Tarea y especialidad]],#REF!,Planning[[#This Row],[Proyectos]]))</f>
        <v>#REF!</v>
      </c>
      <c r="K2696" s="5" t="e">
        <f>Planning[[#This Row],[Horas Planificadas]]+Planning[[#This Row],[Horas ajustadas adicionales]]-Planning[[#This Row],[Horas utilizadas]]</f>
        <v>#REF!</v>
      </c>
      <c r="L2696" s="7">
        <v>0</v>
      </c>
      <c r="M2696" s="19" t="e">
        <f>Planning[[#This Row],[Saldo]]-Planning[[#This Row],[Saldo estimado]]</f>
        <v>#REF!</v>
      </c>
      <c r="N2696" s="60" t="e">
        <f>+SUMIFS(#REF!,#REF!,Planning[[#This Row],[Proyectos]],#REF!,Planning[[#This Row],[Tipo de Tarea y especialidad]])</f>
        <v>#REF!</v>
      </c>
      <c r="O2696" s="19">
        <f t="shared" si="84"/>
        <v>10</v>
      </c>
      <c r="P2696" s="19">
        <f t="shared" si="85"/>
        <v>2024</v>
      </c>
      <c r="Q26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96" s="19" t="str">
        <f>TEXT(Planning[[#This Row],[Mes]]*29,"mmmm")</f>
        <v>October</v>
      </c>
      <c r="S26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96" s="193"/>
      <c r="U2696" s="43" t="e">
        <f>IF(Planning[[#This Row],[Horas Planificadas]]&lt;&gt;0,+K2696/Planning[[#This Row],[Horas Planificadas]],0)</f>
        <v>#REF!</v>
      </c>
      <c r="V2696" s="43" t="e">
        <f>IF(Planning[[#This Row],[Horas Planificadas]]&lt;&gt;0,Planning[[#This Row],[Horas utilizadas]]/Planning[[#This Row],[Horas Planificadas]],0)</f>
        <v>#REF!</v>
      </c>
      <c r="W2696" s="44">
        <f>Planning[[#This Row],[Horas Planificadas]]+Planning[[#This Row],[Horas ajustadas adicionales]]</f>
        <v>668</v>
      </c>
      <c r="X2696" s="142"/>
    </row>
    <row r="2697" spans="1:24" x14ac:dyDescent="0.2">
      <c r="A2697" s="7" t="s">
        <v>294</v>
      </c>
      <c r="B2697" s="7" t="s">
        <v>118</v>
      </c>
      <c r="C2697" s="3"/>
      <c r="D2697" s="3" t="s">
        <v>542</v>
      </c>
      <c r="E2697" s="4"/>
      <c r="F2697" s="3" t="s">
        <v>130</v>
      </c>
      <c r="G2697" s="9"/>
      <c r="H2697" s="9"/>
      <c r="I2697" s="12"/>
      <c r="J2697" s="5" t="e">
        <f>SUM(SUMIFS(#REF!,#REF!,Planning[[#This Row],[Tipo de Tarea y especialidad]],#REF!,Planning[[#This Row],[Proyectos Reiwa]]),SUMIFS(#REF!,#REF!,Planning[[#This Row],[Tipo de Tarea y especialidad]],#REF!,Planning[[#This Row],[Proyectos]]))</f>
        <v>#REF!</v>
      </c>
      <c r="K2697" s="5" t="e">
        <f>Planning[[#This Row],[Horas Planificadas]]+Planning[[#This Row],[Horas ajustadas adicionales]]-Planning[[#This Row],[Horas utilizadas]]</f>
        <v>#REF!</v>
      </c>
      <c r="L2697" s="7"/>
      <c r="M2697" s="19" t="e">
        <f>Planning[[#This Row],[Saldo]]-Planning[[#This Row],[Saldo estimado]]</f>
        <v>#REF!</v>
      </c>
      <c r="N2697" s="60" t="e">
        <f>+SUMIFS(#REF!,#REF!,Planning[[#This Row],[Proyectos]],#REF!,Planning[[#This Row],[Tipo de Tarea y especialidad]])</f>
        <v>#REF!</v>
      </c>
      <c r="O2697" s="19">
        <f t="shared" si="84"/>
        <v>10</v>
      </c>
      <c r="P2697" s="19">
        <f t="shared" si="85"/>
        <v>2024</v>
      </c>
      <c r="Q26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97" s="19" t="str">
        <f>TEXT(Planning[[#This Row],[Mes]]*29,"mmmm")</f>
        <v>October</v>
      </c>
      <c r="S26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97" s="193"/>
      <c r="U2697" s="43">
        <f>IF(Planning[[#This Row],[Horas Planificadas]]&lt;&gt;0,+K2697/Planning[[#This Row],[Horas Planificadas]],0)</f>
        <v>0</v>
      </c>
      <c r="V2697" s="43">
        <f>IF(Planning[[#This Row],[Horas Planificadas]]&lt;&gt;0,Planning[[#This Row],[Horas utilizadas]]/Planning[[#This Row],[Horas Planificadas]],0)</f>
        <v>0</v>
      </c>
      <c r="W2697" s="44">
        <f>Planning[[#This Row],[Horas Planificadas]]+Planning[[#This Row],[Horas ajustadas adicionales]]</f>
        <v>0</v>
      </c>
      <c r="X2697" s="142"/>
    </row>
    <row r="2698" spans="1:24" x14ac:dyDescent="0.2">
      <c r="A2698" s="7" t="s">
        <v>294</v>
      </c>
      <c r="B2698" s="7" t="s">
        <v>118</v>
      </c>
      <c r="C2698" s="3"/>
      <c r="D2698" s="3" t="s">
        <v>542</v>
      </c>
      <c r="E2698" s="4"/>
      <c r="F2698" s="3" t="s">
        <v>131</v>
      </c>
      <c r="G2698" s="9"/>
      <c r="H2698" s="9">
        <v>180</v>
      </c>
      <c r="I2698" s="12"/>
      <c r="J2698" s="5" t="e">
        <f>SUM(SUMIFS(#REF!,#REF!,Planning[[#This Row],[Tipo de Tarea y especialidad]],#REF!,Planning[[#This Row],[Proyectos Reiwa]]),SUMIFS(#REF!,#REF!,Planning[[#This Row],[Tipo de Tarea y especialidad]],#REF!,Planning[[#This Row],[Proyectos]]))</f>
        <v>#REF!</v>
      </c>
      <c r="K2698" s="5" t="e">
        <f>Planning[[#This Row],[Horas Planificadas]]+Planning[[#This Row],[Horas ajustadas adicionales]]-Planning[[#This Row],[Horas utilizadas]]</f>
        <v>#REF!</v>
      </c>
      <c r="L2698" s="7"/>
      <c r="M2698" s="19" t="e">
        <f>Planning[[#This Row],[Saldo]]-Planning[[#This Row],[Saldo estimado]]</f>
        <v>#REF!</v>
      </c>
      <c r="N2698" s="60" t="e">
        <f>+SUMIFS(#REF!,#REF!,Planning[[#This Row],[Proyectos]],#REF!,Planning[[#This Row],[Tipo de Tarea y especialidad]])</f>
        <v>#REF!</v>
      </c>
      <c r="O2698" s="19">
        <f t="shared" si="84"/>
        <v>10</v>
      </c>
      <c r="P2698" s="19">
        <f t="shared" si="85"/>
        <v>2024</v>
      </c>
      <c r="Q26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698" s="19" t="str">
        <f>TEXT(Planning[[#This Row],[Mes]]*29,"mmmm")</f>
        <v>October</v>
      </c>
      <c r="S26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98" s="193"/>
      <c r="U2698" s="43" t="e">
        <f>IF(Planning[[#This Row],[Horas Planificadas]]&lt;&gt;0,+K2698/Planning[[#This Row],[Horas Planificadas]],0)</f>
        <v>#REF!</v>
      </c>
      <c r="V2698" s="43" t="e">
        <f>IF(Planning[[#This Row],[Horas Planificadas]]&lt;&gt;0,Planning[[#This Row],[Horas utilizadas]]/Planning[[#This Row],[Horas Planificadas]],0)</f>
        <v>#REF!</v>
      </c>
      <c r="W2698" s="44">
        <f>Planning[[#This Row],[Horas Planificadas]]+Planning[[#This Row],[Horas ajustadas adicionales]]</f>
        <v>180</v>
      </c>
      <c r="X2698" s="142"/>
    </row>
    <row r="2699" spans="1:24" ht="22.5" x14ac:dyDescent="0.2">
      <c r="A2699" s="7" t="s">
        <v>486</v>
      </c>
      <c r="B2699" s="7" t="s">
        <v>178</v>
      </c>
      <c r="C2699" s="3"/>
      <c r="D2699" s="3" t="s">
        <v>544</v>
      </c>
      <c r="E2699" s="4" t="s">
        <v>28</v>
      </c>
      <c r="F2699" s="3"/>
      <c r="G2699" s="9">
        <v>0</v>
      </c>
      <c r="H2699" s="14">
        <f>SUM(H2700:H2701)</f>
        <v>0</v>
      </c>
      <c r="I2699" s="14"/>
      <c r="J2699" s="14" t="e">
        <f>SUM(J2700:J2701)</f>
        <v>#REF!</v>
      </c>
      <c r="K2699" s="15" t="e">
        <f>SUM(K2700:K2701)</f>
        <v>#REF!</v>
      </c>
      <c r="L2699" s="15">
        <f>SUM(L2700:L2701)</f>
        <v>0</v>
      </c>
      <c r="M2699" s="28" t="e">
        <f>SUM(M2700:M2701)</f>
        <v>#REF!</v>
      </c>
      <c r="N2699" s="61" t="e">
        <f>+SUMIFS(#REF!,#REF!,Planning[[#This Row],[Proyectos]],#REF!,Planning[[#This Row],[Tipo de Tarea y especialidad]])</f>
        <v>#REF!</v>
      </c>
      <c r="O2699" s="28">
        <f t="shared" si="84"/>
        <v>10</v>
      </c>
      <c r="P2699" s="28">
        <f t="shared" si="85"/>
        <v>2024</v>
      </c>
      <c r="Q2699" s="28" t="e">
        <f>SUM(Q2700:Q2701)</f>
        <v>#REF!</v>
      </c>
      <c r="R2699" s="28" t="str">
        <f>TEXT(Planning[[#This Row],[Mes]]*29,"mmmm")</f>
        <v>October</v>
      </c>
      <c r="S26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699" s="192" t="s">
        <v>545</v>
      </c>
      <c r="U2699" s="43">
        <f>IF(Planning[[#This Row],[Horas Planificadas]]&lt;&gt;0,+K2699/Planning[[#This Row],[Horas Planificadas]],0)</f>
        <v>0</v>
      </c>
      <c r="V2699" s="43">
        <f>IF(Planning[[#This Row],[Horas Planificadas]]&lt;&gt;0,Planning[[#This Row],[Horas utilizadas]]/Planning[[#This Row],[Horas Planificadas]],0)</f>
        <v>0</v>
      </c>
      <c r="W2699" s="44">
        <f>Planning[[#This Row],[Horas Planificadas]]+Planning[[#This Row],[Horas ajustadas adicionales]]</f>
        <v>0</v>
      </c>
      <c r="X2699" s="142"/>
    </row>
    <row r="2700" spans="1:24" x14ac:dyDescent="0.2">
      <c r="A2700" s="7" t="s">
        <v>486</v>
      </c>
      <c r="B2700" s="7" t="s">
        <v>178</v>
      </c>
      <c r="C2700" s="3"/>
      <c r="D2700" s="3" t="s">
        <v>544</v>
      </c>
      <c r="E2700" s="4"/>
      <c r="F2700" s="3" t="s">
        <v>120</v>
      </c>
      <c r="G2700" s="9"/>
      <c r="H2700" s="9"/>
      <c r="I2700" s="12"/>
      <c r="J2700" s="5" t="e">
        <f>SUM(SUMIFS(#REF!,#REF!,Planning[[#This Row],[Tipo de Tarea y especialidad]],#REF!,Planning[[#This Row],[Proyectos Reiwa]]),SUMIFS(#REF!,#REF!,Planning[[#This Row],[Tipo de Tarea y especialidad]],#REF!,Planning[[#This Row],[Proyectos]]))</f>
        <v>#REF!</v>
      </c>
      <c r="K2700" s="5" t="e">
        <f>Planning[[#This Row],[Horas Planificadas]]+Planning[[#This Row],[Horas ajustadas adicionales]]-Planning[[#This Row],[Horas utilizadas]]</f>
        <v>#REF!</v>
      </c>
      <c r="L2700" s="7">
        <v>0</v>
      </c>
      <c r="M2700" s="19" t="e">
        <f>Planning[[#This Row],[Saldo]]-Planning[[#This Row],[Saldo estimado]]</f>
        <v>#REF!</v>
      </c>
      <c r="N2700" s="60" t="e">
        <f>+SUMIFS(#REF!,#REF!,Planning[[#This Row],[Proyectos]],#REF!,Planning[[#This Row],[Tipo de Tarea y especialidad]])</f>
        <v>#REF!</v>
      </c>
      <c r="O2700" s="19">
        <f t="shared" si="84"/>
        <v>10</v>
      </c>
      <c r="P2700" s="19">
        <f t="shared" si="85"/>
        <v>2024</v>
      </c>
      <c r="Q27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00" s="19" t="str">
        <f>TEXT(Planning[[#This Row],[Mes]]*29,"mmmm")</f>
        <v>October</v>
      </c>
      <c r="S27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00" s="193"/>
      <c r="U2700" s="43">
        <f>IF(Planning[[#This Row],[Horas Planificadas]]&lt;&gt;0,+K2700/Planning[[#This Row],[Horas Planificadas]],0)</f>
        <v>0</v>
      </c>
      <c r="V2700" s="43">
        <f>IF(Planning[[#This Row],[Horas Planificadas]]&lt;&gt;0,Planning[[#This Row],[Horas utilizadas]]/Planning[[#This Row],[Horas Planificadas]],0)</f>
        <v>0</v>
      </c>
      <c r="W2700" s="44">
        <f>Planning[[#This Row],[Horas Planificadas]]+Planning[[#This Row],[Horas ajustadas adicionales]]</f>
        <v>0</v>
      </c>
      <c r="X2700" s="142"/>
    </row>
    <row r="2701" spans="1:24" x14ac:dyDescent="0.2">
      <c r="A2701" s="7" t="s">
        <v>486</v>
      </c>
      <c r="B2701" s="7" t="s">
        <v>178</v>
      </c>
      <c r="C2701" s="3"/>
      <c r="D2701" s="3" t="s">
        <v>544</v>
      </c>
      <c r="E2701" s="4"/>
      <c r="F2701" s="3" t="s">
        <v>121</v>
      </c>
      <c r="G2701" s="9"/>
      <c r="H2701" s="9"/>
      <c r="I2701" s="12"/>
      <c r="J2701" s="5" t="e">
        <f>SUM(SUMIFS(#REF!,#REF!,Planning[[#This Row],[Tipo de Tarea y especialidad]],#REF!,Planning[[#This Row],[Proyectos Reiwa]]),SUMIFS(#REF!,#REF!,Planning[[#This Row],[Tipo de Tarea y especialidad]],#REF!,Planning[[#This Row],[Proyectos]]))</f>
        <v>#REF!</v>
      </c>
      <c r="K2701" s="5" t="e">
        <f>Planning[[#This Row],[Horas Planificadas]]+Planning[[#This Row],[Horas ajustadas adicionales]]-Planning[[#This Row],[Horas utilizadas]]</f>
        <v>#REF!</v>
      </c>
      <c r="L2701" s="7">
        <v>0</v>
      </c>
      <c r="M2701" s="19" t="e">
        <f>Planning[[#This Row],[Saldo]]-Planning[[#This Row],[Saldo estimado]]</f>
        <v>#REF!</v>
      </c>
      <c r="N2701" s="60" t="e">
        <f>+SUMIFS(#REF!,#REF!,Planning[[#This Row],[Proyectos]],#REF!,Planning[[#This Row],[Tipo de Tarea y especialidad]])</f>
        <v>#REF!</v>
      </c>
      <c r="O2701" s="19">
        <f t="shared" si="84"/>
        <v>10</v>
      </c>
      <c r="P2701" s="19">
        <f t="shared" si="85"/>
        <v>2024</v>
      </c>
      <c r="Q27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01" s="19" t="str">
        <f>TEXT(Planning[[#This Row],[Mes]]*29,"mmmm")</f>
        <v>October</v>
      </c>
      <c r="S27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01" s="193"/>
      <c r="U2701" s="43">
        <f>IF(Planning[[#This Row],[Horas Planificadas]]&lt;&gt;0,+K2701/Planning[[#This Row],[Horas Planificadas]],0)</f>
        <v>0</v>
      </c>
      <c r="V2701" s="43">
        <f>IF(Planning[[#This Row],[Horas Planificadas]]&lt;&gt;0,Planning[[#This Row],[Horas utilizadas]]/Planning[[#This Row],[Horas Planificadas]],0)</f>
        <v>0</v>
      </c>
      <c r="W2701" s="44">
        <f>Planning[[#This Row],[Horas Planificadas]]+Planning[[#This Row],[Horas ajustadas adicionales]]</f>
        <v>0</v>
      </c>
      <c r="X2701" s="142"/>
    </row>
    <row r="2702" spans="1:24" x14ac:dyDescent="0.2">
      <c r="A2702" s="7" t="s">
        <v>486</v>
      </c>
      <c r="B2702" s="7" t="s">
        <v>178</v>
      </c>
      <c r="C2702" s="3"/>
      <c r="D2702" s="3" t="s">
        <v>544</v>
      </c>
      <c r="E2702" s="4" t="s">
        <v>30</v>
      </c>
      <c r="F2702" s="3"/>
      <c r="G2702" s="9">
        <v>34</v>
      </c>
      <c r="H2702" s="25">
        <f>SUM(H2703:H2709)</f>
        <v>46</v>
      </c>
      <c r="I2702" s="14"/>
      <c r="J2702" s="14" t="e">
        <f>SUM(J2703:J2709)</f>
        <v>#REF!</v>
      </c>
      <c r="K2702" s="18" t="e">
        <f>SUM(K2703:K2709)</f>
        <v>#REF!</v>
      </c>
      <c r="L2702" s="15">
        <f>SUM(L2703:L2709)</f>
        <v>0</v>
      </c>
      <c r="M2702" s="16" t="e">
        <f>SUM(M2703:M2709)</f>
        <v>#REF!</v>
      </c>
      <c r="N2702" s="60" t="e">
        <f>+SUMIFS(#REF!,#REF!,Planning[[#This Row],[Proyectos]],#REF!,Planning[[#This Row],[Tipo de Tarea y especialidad]])</f>
        <v>#REF!</v>
      </c>
      <c r="O2702" s="16">
        <f t="shared" si="84"/>
        <v>10</v>
      </c>
      <c r="P2702" s="16">
        <f t="shared" si="85"/>
        <v>2024</v>
      </c>
      <c r="Q2702" s="16" t="e">
        <f>SUM(Q2703:Q2709)</f>
        <v>#REF!</v>
      </c>
      <c r="R2702" s="16" t="str">
        <f>TEXT(Planning[[#This Row],[Mes]]*29,"mmmm")</f>
        <v>October</v>
      </c>
      <c r="S27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02" s="193"/>
      <c r="U2702" s="43" t="e">
        <f>IF(Planning[[#This Row],[Horas Planificadas]]&lt;&gt;0,+K2702/Planning[[#This Row],[Horas Planificadas]],0)</f>
        <v>#REF!</v>
      </c>
      <c r="V2702" s="43" t="e">
        <f>IF(Planning[[#This Row],[Horas Planificadas]]&lt;&gt;0,Planning[[#This Row],[Horas utilizadas]]/Planning[[#This Row],[Horas Planificadas]],0)</f>
        <v>#REF!</v>
      </c>
      <c r="W2702" s="44">
        <f>Planning[[#This Row],[Horas Planificadas]]+Planning[[#This Row],[Horas ajustadas adicionales]]</f>
        <v>46</v>
      </c>
      <c r="X2702" s="142"/>
    </row>
    <row r="2703" spans="1:24" ht="12.75" customHeight="1" x14ac:dyDescent="0.2">
      <c r="A2703" s="7" t="s">
        <v>486</v>
      </c>
      <c r="B2703" s="7" t="s">
        <v>178</v>
      </c>
      <c r="C2703" s="3"/>
      <c r="D2703" s="3" t="s">
        <v>544</v>
      </c>
      <c r="E2703" s="4"/>
      <c r="F2703" s="3" t="s">
        <v>122</v>
      </c>
      <c r="G2703" s="9"/>
      <c r="H2703" s="12"/>
      <c r="I2703" s="12"/>
      <c r="J2703" s="5" t="e">
        <f>SUM(SUMIFS(#REF!,#REF!,Planning[[#This Row],[Tipo de Tarea y especialidad]],#REF!,Planning[[#This Row],[Proyectos Reiwa]]),SUMIFS(#REF!,#REF!,Planning[[#This Row],[Tipo de Tarea y especialidad]],#REF!,Planning[[#This Row],[Proyectos]]))</f>
        <v>#REF!</v>
      </c>
      <c r="K2703" s="27" t="e">
        <f>Planning[[#This Row],[Horas Planificadas]]+Planning[[#This Row],[Horas ajustadas adicionales]]-Planning[[#This Row],[Horas utilizadas]]</f>
        <v>#REF!</v>
      </c>
      <c r="L2703" s="7">
        <v>0</v>
      </c>
      <c r="M2703" s="34" t="e">
        <f>Planning[[#This Row],[Saldo]]-Planning[[#This Row],[Saldo estimado]]</f>
        <v>#REF!</v>
      </c>
      <c r="N2703" s="62" t="e">
        <f>+SUMIFS(#REF!,#REF!,Planning[[#This Row],[Proyectos]],#REF!,Planning[[#This Row],[Tipo de Tarea y especialidad]])</f>
        <v>#REF!</v>
      </c>
      <c r="O2703" s="34">
        <f t="shared" si="84"/>
        <v>10</v>
      </c>
      <c r="P2703" s="34">
        <f t="shared" si="85"/>
        <v>2024</v>
      </c>
      <c r="Q27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03" s="19" t="str">
        <f>TEXT(Planning[[#This Row],[Mes]]*29,"mmmm")</f>
        <v>October</v>
      </c>
      <c r="S27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03" s="193"/>
      <c r="U2703" s="43">
        <f>IF(Planning[[#This Row],[Horas Planificadas]]&lt;&gt;0,+K2703/Planning[[#This Row],[Horas Planificadas]],0)</f>
        <v>0</v>
      </c>
      <c r="V2703" s="43">
        <f>IF(Planning[[#This Row],[Horas Planificadas]]&lt;&gt;0,Planning[[#This Row],[Horas utilizadas]]/Planning[[#This Row],[Horas Planificadas]],0)</f>
        <v>0</v>
      </c>
      <c r="W2703" s="44">
        <f>Planning[[#This Row],[Horas Planificadas]]+Planning[[#This Row],[Horas ajustadas adicionales]]</f>
        <v>0</v>
      </c>
      <c r="X2703" s="142"/>
    </row>
    <row r="2704" spans="1:24" x14ac:dyDescent="0.2">
      <c r="A2704" s="7" t="s">
        <v>486</v>
      </c>
      <c r="B2704" s="7" t="s">
        <v>178</v>
      </c>
      <c r="C2704" s="3"/>
      <c r="D2704" s="3" t="s">
        <v>544</v>
      </c>
      <c r="E2704" s="4"/>
      <c r="F2704" s="3" t="s">
        <v>123</v>
      </c>
      <c r="G2704" s="9"/>
      <c r="H2704" s="9">
        <v>46</v>
      </c>
      <c r="I2704" s="12"/>
      <c r="J2704" s="5" t="e">
        <f>SUM(SUMIFS(#REF!,#REF!,Planning[[#This Row],[Tipo de Tarea y especialidad]],#REF!,Planning[[#This Row],[Proyectos Reiwa]]),SUMIFS(#REF!,#REF!,Planning[[#This Row],[Tipo de Tarea y especialidad]],#REF!,Planning[[#This Row],[Proyectos]]))</f>
        <v>#REF!</v>
      </c>
      <c r="K2704" s="5" t="e">
        <f>Planning[[#This Row],[Horas Planificadas]]+Planning[[#This Row],[Horas ajustadas adicionales]]-Planning[[#This Row],[Horas utilizadas]]</f>
        <v>#REF!</v>
      </c>
      <c r="L2704" s="7">
        <v>0</v>
      </c>
      <c r="M2704" s="19" t="e">
        <f>Planning[[#This Row],[Saldo]]-Planning[[#This Row],[Saldo estimado]]</f>
        <v>#REF!</v>
      </c>
      <c r="N2704" s="60" t="e">
        <f>+SUMIFS(#REF!,#REF!,Planning[[#This Row],[Proyectos]],#REF!,Planning[[#This Row],[Tipo de Tarea y especialidad]])</f>
        <v>#REF!</v>
      </c>
      <c r="O2704" s="19">
        <f t="shared" si="84"/>
        <v>10</v>
      </c>
      <c r="P2704" s="19">
        <f t="shared" si="85"/>
        <v>2024</v>
      </c>
      <c r="Q27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04" s="19" t="str">
        <f>TEXT(Planning[[#This Row],[Mes]]*29,"mmmm")</f>
        <v>October</v>
      </c>
      <c r="S27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04" s="193"/>
      <c r="U2704" s="43" t="e">
        <f>IF(Planning[[#This Row],[Horas Planificadas]]&lt;&gt;0,+K2704/Planning[[#This Row],[Horas Planificadas]],0)</f>
        <v>#REF!</v>
      </c>
      <c r="V2704" s="43" t="e">
        <f>IF(Planning[[#This Row],[Horas Planificadas]]&lt;&gt;0,Planning[[#This Row],[Horas utilizadas]]/Planning[[#This Row],[Horas Planificadas]],0)</f>
        <v>#REF!</v>
      </c>
      <c r="W2704" s="44">
        <f>Planning[[#This Row],[Horas Planificadas]]+Planning[[#This Row],[Horas ajustadas adicionales]]</f>
        <v>46</v>
      </c>
      <c r="X2704" s="142"/>
    </row>
    <row r="2705" spans="1:24" x14ac:dyDescent="0.2">
      <c r="A2705" s="7" t="s">
        <v>486</v>
      </c>
      <c r="B2705" s="7" t="s">
        <v>178</v>
      </c>
      <c r="C2705" s="3"/>
      <c r="D2705" s="3" t="s">
        <v>544</v>
      </c>
      <c r="E2705" s="4"/>
      <c r="F2705" s="3" t="s">
        <v>124</v>
      </c>
      <c r="G2705" s="9"/>
      <c r="H2705" s="9"/>
      <c r="I2705" s="12"/>
      <c r="J2705" s="5" t="e">
        <f>SUM(SUMIFS(#REF!,#REF!,Planning[[#This Row],[Tipo de Tarea y especialidad]],#REF!,Planning[[#This Row],[Proyectos Reiwa]]),SUMIFS(#REF!,#REF!,Planning[[#This Row],[Tipo de Tarea y especialidad]],#REF!,Planning[[#This Row],[Proyectos]]))</f>
        <v>#REF!</v>
      </c>
      <c r="K2705" s="5" t="e">
        <f>Planning[[#This Row],[Horas Planificadas]]+Planning[[#This Row],[Horas ajustadas adicionales]]-Planning[[#This Row],[Horas utilizadas]]</f>
        <v>#REF!</v>
      </c>
      <c r="L2705" s="7">
        <v>0</v>
      </c>
      <c r="M2705" s="19" t="e">
        <f>Planning[[#This Row],[Saldo]]-Planning[[#This Row],[Saldo estimado]]</f>
        <v>#REF!</v>
      </c>
      <c r="N2705" s="60" t="e">
        <f>+SUMIFS(#REF!,#REF!,Planning[[#This Row],[Proyectos]],#REF!,Planning[[#This Row],[Tipo de Tarea y especialidad]])</f>
        <v>#REF!</v>
      </c>
      <c r="O2705" s="19">
        <f t="shared" si="84"/>
        <v>10</v>
      </c>
      <c r="P2705" s="19">
        <f t="shared" si="85"/>
        <v>2024</v>
      </c>
      <c r="Q27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05" s="19" t="str">
        <f>TEXT(Planning[[#This Row],[Mes]]*29,"mmmm")</f>
        <v>October</v>
      </c>
      <c r="S27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05" s="193"/>
      <c r="U2705" s="43">
        <f>IF(Planning[[#This Row],[Horas Planificadas]]&lt;&gt;0,+K2705/Planning[[#This Row],[Horas Planificadas]],0)</f>
        <v>0</v>
      </c>
      <c r="V2705" s="43">
        <f>IF(Planning[[#This Row],[Horas Planificadas]]&lt;&gt;0,Planning[[#This Row],[Horas utilizadas]]/Planning[[#This Row],[Horas Planificadas]],0)</f>
        <v>0</v>
      </c>
      <c r="W2705" s="44">
        <f>Planning[[#This Row],[Horas Planificadas]]+Planning[[#This Row],[Horas ajustadas adicionales]]</f>
        <v>0</v>
      </c>
      <c r="X2705" s="142"/>
    </row>
    <row r="2706" spans="1:24" x14ac:dyDescent="0.2">
      <c r="A2706" s="7" t="s">
        <v>486</v>
      </c>
      <c r="B2706" s="7" t="s">
        <v>178</v>
      </c>
      <c r="C2706" s="3"/>
      <c r="D2706" s="3" t="s">
        <v>544</v>
      </c>
      <c r="E2706" s="4"/>
      <c r="F2706" s="3" t="s">
        <v>125</v>
      </c>
      <c r="G2706" s="9"/>
      <c r="H2706" s="12"/>
      <c r="I2706" s="12"/>
      <c r="J2706" s="5" t="e">
        <f>SUM(SUMIFS(#REF!,#REF!,Planning[[#This Row],[Tipo de Tarea y especialidad]],#REF!,Planning[[#This Row],[Proyectos Reiwa]]),SUMIFS(#REF!,#REF!,Planning[[#This Row],[Tipo de Tarea y especialidad]],#REF!,Planning[[#This Row],[Proyectos]]))</f>
        <v>#REF!</v>
      </c>
      <c r="K2706" s="27" t="e">
        <f>Planning[[#This Row],[Horas Planificadas]]+Planning[[#This Row],[Horas ajustadas adicionales]]-Planning[[#This Row],[Horas utilizadas]]</f>
        <v>#REF!</v>
      </c>
      <c r="L2706" s="7">
        <v>0</v>
      </c>
      <c r="M2706" s="19" t="e">
        <f>Planning[[#This Row],[Saldo]]-Planning[[#This Row],[Saldo estimado]]</f>
        <v>#REF!</v>
      </c>
      <c r="N2706" s="60" t="e">
        <f>+SUMIFS(#REF!,#REF!,Planning[[#This Row],[Proyectos]],#REF!,Planning[[#This Row],[Tipo de Tarea y especialidad]])</f>
        <v>#REF!</v>
      </c>
      <c r="O2706" s="19">
        <f t="shared" si="84"/>
        <v>10</v>
      </c>
      <c r="P2706" s="19">
        <f t="shared" si="85"/>
        <v>2024</v>
      </c>
      <c r="Q27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06" s="19" t="str">
        <f>TEXT(Planning[[#This Row],[Mes]]*29,"mmmm")</f>
        <v>October</v>
      </c>
      <c r="S27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06" s="193"/>
      <c r="U2706" s="43">
        <f>IF(Planning[[#This Row],[Horas Planificadas]]&lt;&gt;0,+K2706/Planning[[#This Row],[Horas Planificadas]],0)</f>
        <v>0</v>
      </c>
      <c r="V2706" s="43">
        <f>IF(Planning[[#This Row],[Horas Planificadas]]&lt;&gt;0,Planning[[#This Row],[Horas utilizadas]]/Planning[[#This Row],[Horas Planificadas]],0)</f>
        <v>0</v>
      </c>
      <c r="W2706" s="44">
        <f>Planning[[#This Row],[Horas Planificadas]]+Planning[[#This Row],[Horas ajustadas adicionales]]</f>
        <v>0</v>
      </c>
      <c r="X2706" s="142"/>
    </row>
    <row r="2707" spans="1:24" x14ac:dyDescent="0.2">
      <c r="A2707" s="7" t="s">
        <v>486</v>
      </c>
      <c r="B2707" s="7" t="s">
        <v>178</v>
      </c>
      <c r="C2707" s="3"/>
      <c r="D2707" s="3" t="s">
        <v>544</v>
      </c>
      <c r="E2707" s="4"/>
      <c r="F2707" s="3" t="s">
        <v>126</v>
      </c>
      <c r="G2707" s="9"/>
      <c r="H2707" s="9"/>
      <c r="I2707" s="12"/>
      <c r="J2707" s="5" t="e">
        <f>SUM(SUMIFS(#REF!,#REF!,Planning[[#This Row],[Tipo de Tarea y especialidad]],#REF!,Planning[[#This Row],[Proyectos Reiwa]]),SUMIFS(#REF!,#REF!,Planning[[#This Row],[Tipo de Tarea y especialidad]],#REF!,Planning[[#This Row],[Proyectos]]))</f>
        <v>#REF!</v>
      </c>
      <c r="K2707" s="5" t="e">
        <f>Planning[[#This Row],[Horas Planificadas]]+Planning[[#This Row],[Horas ajustadas adicionales]]-Planning[[#This Row],[Horas utilizadas]]</f>
        <v>#REF!</v>
      </c>
      <c r="L2707" s="7">
        <v>0</v>
      </c>
      <c r="M2707" s="19" t="e">
        <f>Planning[[#This Row],[Saldo]]-Planning[[#This Row],[Saldo estimado]]</f>
        <v>#REF!</v>
      </c>
      <c r="N2707" s="60" t="e">
        <f>+SUMIFS(#REF!,#REF!,Planning[[#This Row],[Proyectos]],#REF!,Planning[[#This Row],[Tipo de Tarea y especialidad]])</f>
        <v>#REF!</v>
      </c>
      <c r="O2707" s="19">
        <f t="shared" si="84"/>
        <v>10</v>
      </c>
      <c r="P2707" s="19">
        <f t="shared" si="85"/>
        <v>2024</v>
      </c>
      <c r="Q27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07" s="19" t="str">
        <f>TEXT(Planning[[#This Row],[Mes]]*29,"mmmm")</f>
        <v>October</v>
      </c>
      <c r="S27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07" s="193"/>
      <c r="U2707" s="43">
        <f>IF(Planning[[#This Row],[Horas Planificadas]]&lt;&gt;0,+K2707/Planning[[#This Row],[Horas Planificadas]],0)</f>
        <v>0</v>
      </c>
      <c r="V2707" s="43">
        <f>IF(Planning[[#This Row],[Horas Planificadas]]&lt;&gt;0,Planning[[#This Row],[Horas utilizadas]]/Planning[[#This Row],[Horas Planificadas]],0)</f>
        <v>0</v>
      </c>
      <c r="W2707" s="44">
        <f>Planning[[#This Row],[Horas Planificadas]]+Planning[[#This Row],[Horas ajustadas adicionales]]</f>
        <v>0</v>
      </c>
      <c r="X2707" s="142"/>
    </row>
    <row r="2708" spans="1:24" x14ac:dyDescent="0.2">
      <c r="A2708" s="7" t="s">
        <v>486</v>
      </c>
      <c r="B2708" s="7" t="s">
        <v>178</v>
      </c>
      <c r="C2708" s="3"/>
      <c r="D2708" s="3" t="s">
        <v>544</v>
      </c>
      <c r="E2708" s="4"/>
      <c r="F2708" s="3" t="s">
        <v>127</v>
      </c>
      <c r="G2708" s="9"/>
      <c r="H2708" s="9"/>
      <c r="I2708" s="12"/>
      <c r="J2708" s="5" t="e">
        <f>SUM(SUMIFS(#REF!,#REF!,Planning[[#This Row],[Tipo de Tarea y especialidad]],#REF!,Planning[[#This Row],[Proyectos Reiwa]]),SUMIFS(#REF!,#REF!,Planning[[#This Row],[Tipo de Tarea y especialidad]],#REF!,Planning[[#This Row],[Proyectos]]))</f>
        <v>#REF!</v>
      </c>
      <c r="K2708" s="5" t="e">
        <f>Planning[[#This Row],[Horas Planificadas]]+Planning[[#This Row],[Horas ajustadas adicionales]]-Planning[[#This Row],[Horas utilizadas]]</f>
        <v>#REF!</v>
      </c>
      <c r="L2708" s="7">
        <v>0</v>
      </c>
      <c r="M2708" s="19" t="e">
        <f>Planning[[#This Row],[Saldo]]-Planning[[#This Row],[Saldo estimado]]</f>
        <v>#REF!</v>
      </c>
      <c r="N2708" s="60" t="e">
        <f>+SUMIFS(#REF!,#REF!,Planning[[#This Row],[Proyectos]],#REF!,Planning[[#This Row],[Tipo de Tarea y especialidad]])</f>
        <v>#REF!</v>
      </c>
      <c r="O2708" s="19">
        <f t="shared" si="84"/>
        <v>10</v>
      </c>
      <c r="P2708" s="19">
        <f t="shared" si="85"/>
        <v>2024</v>
      </c>
      <c r="Q27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08" s="19" t="str">
        <f>TEXT(Planning[[#This Row],[Mes]]*29,"mmmm")</f>
        <v>October</v>
      </c>
      <c r="S27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08" s="193"/>
      <c r="U2708" s="43">
        <f>IF(Planning[[#This Row],[Horas Planificadas]]&lt;&gt;0,+K2708/Planning[[#This Row],[Horas Planificadas]],0)</f>
        <v>0</v>
      </c>
      <c r="V2708" s="43">
        <f>IF(Planning[[#This Row],[Horas Planificadas]]&lt;&gt;0,Planning[[#This Row],[Horas utilizadas]]/Planning[[#This Row],[Horas Planificadas]],0)</f>
        <v>0</v>
      </c>
      <c r="W2708" s="44">
        <f>Planning[[#This Row],[Horas Planificadas]]+Planning[[#This Row],[Horas ajustadas adicionales]]</f>
        <v>0</v>
      </c>
      <c r="X2708" s="142"/>
    </row>
    <row r="2709" spans="1:24" x14ac:dyDescent="0.2">
      <c r="A2709" s="7" t="s">
        <v>486</v>
      </c>
      <c r="B2709" s="7" t="s">
        <v>178</v>
      </c>
      <c r="C2709" s="3"/>
      <c r="D2709" s="3" t="s">
        <v>544</v>
      </c>
      <c r="E2709" s="4"/>
      <c r="F2709" s="3" t="s">
        <v>128</v>
      </c>
      <c r="G2709" s="9"/>
      <c r="H2709" s="9"/>
      <c r="I2709" s="12"/>
      <c r="J2709" s="5" t="e">
        <f>SUM(SUMIFS(#REF!,#REF!,Planning[[#This Row],[Tipo de Tarea y especialidad]],#REF!,Planning[[#This Row],[Proyectos Reiwa]]),SUMIFS(#REF!,#REF!,Planning[[#This Row],[Tipo de Tarea y especialidad]],#REF!,Planning[[#This Row],[Proyectos]]))</f>
        <v>#REF!</v>
      </c>
      <c r="K2709" s="5" t="e">
        <f>Planning[[#This Row],[Horas Planificadas]]+Planning[[#This Row],[Horas ajustadas adicionales]]-Planning[[#This Row],[Horas utilizadas]]</f>
        <v>#REF!</v>
      </c>
      <c r="L2709" s="7">
        <v>0</v>
      </c>
      <c r="M2709" s="19" t="e">
        <f>Planning[[#This Row],[Saldo]]-Planning[[#This Row],[Saldo estimado]]</f>
        <v>#REF!</v>
      </c>
      <c r="N2709" s="60" t="e">
        <f>+SUMIFS(#REF!,#REF!,Planning[[#This Row],[Proyectos]],#REF!,Planning[[#This Row],[Tipo de Tarea y especialidad]])</f>
        <v>#REF!</v>
      </c>
      <c r="O2709" s="19">
        <f t="shared" si="84"/>
        <v>10</v>
      </c>
      <c r="P2709" s="19">
        <f t="shared" si="85"/>
        <v>2024</v>
      </c>
      <c r="Q27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09" s="19" t="str">
        <f>TEXT(Planning[[#This Row],[Mes]]*29,"mmmm")</f>
        <v>October</v>
      </c>
      <c r="S27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09" s="193"/>
      <c r="U2709" s="43">
        <f>IF(Planning[[#This Row],[Horas Planificadas]]&lt;&gt;0,+K2709/Planning[[#This Row],[Horas Planificadas]],0)</f>
        <v>0</v>
      </c>
      <c r="V2709" s="43">
        <f>IF(Planning[[#This Row],[Horas Planificadas]]&lt;&gt;0,Planning[[#This Row],[Horas utilizadas]]/Planning[[#This Row],[Horas Planificadas]],0)</f>
        <v>0</v>
      </c>
      <c r="W2709" s="44">
        <f>Planning[[#This Row],[Horas Planificadas]]+Planning[[#This Row],[Horas ajustadas adicionales]]</f>
        <v>0</v>
      </c>
      <c r="X2709" s="142"/>
    </row>
    <row r="2710" spans="1:24" x14ac:dyDescent="0.2">
      <c r="A2710" s="7" t="s">
        <v>486</v>
      </c>
      <c r="B2710" s="7" t="s">
        <v>178</v>
      </c>
      <c r="C2710" s="3"/>
      <c r="D2710" s="3" t="s">
        <v>544</v>
      </c>
      <c r="E2710" s="4" t="s">
        <v>31</v>
      </c>
      <c r="F2710" s="3" t="s">
        <v>31</v>
      </c>
      <c r="G2710" s="9">
        <v>14</v>
      </c>
      <c r="H2710" s="17">
        <v>140</v>
      </c>
      <c r="I2710" s="18"/>
      <c r="J2710" s="14" t="e">
        <f>+SUMIFS(#REF!,#REF!,Planning[[#This Row],[Tarifa]],#REF!,Planning[[#This Row],[Proyectos]])</f>
        <v>#REF!</v>
      </c>
      <c r="K2710" s="14" t="e">
        <f>Planning[[#This Row],[Horas Planificadas]]+Planning[[#This Row],[Horas ajustadas adicionales]]-Planning[[#This Row],[Horas utilizadas]]</f>
        <v>#REF!</v>
      </c>
      <c r="L2710" s="15">
        <v>0</v>
      </c>
      <c r="M2710" s="16" t="e">
        <f>Planning[[#This Row],[Saldo]]-Planning[[#This Row],[Saldo estimado]]</f>
        <v>#REF!</v>
      </c>
      <c r="N2710" s="60" t="e">
        <f>+SUMIFS(#REF!,#REF!,Planning[[#This Row],[Proyectos]],#REF!,Planning[[#This Row],[Tipo de Tarea y especialidad]])</f>
        <v>#REF!</v>
      </c>
      <c r="O2710" s="16">
        <f t="shared" si="84"/>
        <v>10</v>
      </c>
      <c r="P2710" s="16">
        <f t="shared" si="85"/>
        <v>2024</v>
      </c>
      <c r="Q2710" s="16" t="e">
        <f>+SUMIFS(#REF!,#REF!,Planning[[#This Row],[Tarifa]],#REF!,Planning[[#This Row],[Proyectos]],#REF!,Planning[[#This Row],[Mes]],#REF!,Planning[[#This Row],[Año]])</f>
        <v>#REF!</v>
      </c>
      <c r="R2710" s="16" t="str">
        <f>TEXT(Planning[[#This Row],[Mes]]*29,"mmmm")</f>
        <v>October</v>
      </c>
      <c r="S27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10" s="193"/>
      <c r="U2710" s="43" t="e">
        <f>IF(Planning[[#This Row],[Horas Planificadas]]&lt;&gt;0,+K2710/Planning[[#This Row],[Horas Planificadas]],0)</f>
        <v>#REF!</v>
      </c>
      <c r="V2710" s="43" t="e">
        <f>IF(Planning[[#This Row],[Horas Planificadas]]&lt;&gt;0,Planning[[#This Row],[Horas utilizadas]]/Planning[[#This Row],[Horas Planificadas]],0)</f>
        <v>#REF!</v>
      </c>
      <c r="W2710" s="44">
        <f>Planning[[#This Row],[Horas Planificadas]]+Planning[[#This Row],[Horas ajustadas adicionales]]</f>
        <v>140</v>
      </c>
      <c r="X2710" s="142"/>
    </row>
    <row r="2711" spans="1:24" ht="22.5" x14ac:dyDescent="0.2">
      <c r="A2711" s="7" t="s">
        <v>486</v>
      </c>
      <c r="B2711" s="7" t="s">
        <v>178</v>
      </c>
      <c r="C2711" s="3"/>
      <c r="D2711" s="3" t="s">
        <v>544</v>
      </c>
      <c r="E2711" s="4" t="s">
        <v>32</v>
      </c>
      <c r="F2711" s="3"/>
      <c r="G2711" s="9">
        <v>20</v>
      </c>
      <c r="H2711" s="25">
        <f>SUM(H2712:H2714)</f>
        <v>20</v>
      </c>
      <c r="I2711" s="14"/>
      <c r="J2711" s="14" t="e">
        <f>SUM(J2712:J2714)</f>
        <v>#REF!</v>
      </c>
      <c r="K2711" s="18" t="e">
        <f>SUM(K2712:K2714)</f>
        <v>#REF!</v>
      </c>
      <c r="L2711" s="15">
        <f>SUM(L2712:L2714)</f>
        <v>0</v>
      </c>
      <c r="M2711" s="16" t="e">
        <f>SUM(M2712:M2714)</f>
        <v>#REF!</v>
      </c>
      <c r="N2711" s="60" t="e">
        <f>+SUMIFS(#REF!,#REF!,Planning[[#This Row],[Proyectos]],#REF!,Planning[[#This Row],[Tipo de Tarea y especialidad]])</f>
        <v>#REF!</v>
      </c>
      <c r="O2711" s="16">
        <f t="shared" si="84"/>
        <v>10</v>
      </c>
      <c r="P2711" s="16">
        <f t="shared" si="85"/>
        <v>2024</v>
      </c>
      <c r="Q2711" s="16" t="e">
        <f>SUM(Q2712:Q2714)</f>
        <v>#REF!</v>
      </c>
      <c r="R2711" s="16" t="str">
        <f>TEXT(Planning[[#This Row],[Mes]]*29,"mmmm")</f>
        <v>October</v>
      </c>
      <c r="S27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11" s="193"/>
      <c r="U2711" s="43" t="e">
        <f>IF(Planning[[#This Row],[Horas Planificadas]]&lt;&gt;0,+K2711/Planning[[#This Row],[Horas Planificadas]],0)</f>
        <v>#REF!</v>
      </c>
      <c r="V2711" s="43" t="e">
        <f>IF(Planning[[#This Row],[Horas Planificadas]]&lt;&gt;0,Planning[[#This Row],[Horas utilizadas]]/Planning[[#This Row],[Horas Planificadas]],0)</f>
        <v>#REF!</v>
      </c>
      <c r="W2711" s="44">
        <f>Planning[[#This Row],[Horas Planificadas]]+Planning[[#This Row],[Horas ajustadas adicionales]]</f>
        <v>20</v>
      </c>
      <c r="X2711" s="142"/>
    </row>
    <row r="2712" spans="1:24" x14ac:dyDescent="0.2">
      <c r="A2712" s="7" t="s">
        <v>486</v>
      </c>
      <c r="B2712" s="7" t="s">
        <v>178</v>
      </c>
      <c r="C2712" s="3"/>
      <c r="D2712" s="3" t="s">
        <v>544</v>
      </c>
      <c r="E2712" s="4"/>
      <c r="F2712" s="3" t="s">
        <v>129</v>
      </c>
      <c r="G2712" s="9"/>
      <c r="H2712" s="9"/>
      <c r="I2712" s="12"/>
      <c r="J2712" s="5" t="e">
        <f>SUM(SUMIFS(#REF!,#REF!,Planning[[#This Row],[Tipo de Tarea y especialidad]],#REF!,Planning[[#This Row],[Proyectos Reiwa]]),SUMIFS(#REF!,#REF!,Planning[[#This Row],[Tipo de Tarea y especialidad]],#REF!,Planning[[#This Row],[Proyectos]]))</f>
        <v>#REF!</v>
      </c>
      <c r="K2712" s="5" t="e">
        <f>Planning[[#This Row],[Horas Planificadas]]+Planning[[#This Row],[Horas ajustadas adicionales]]-Planning[[#This Row],[Horas utilizadas]]</f>
        <v>#REF!</v>
      </c>
      <c r="L2712" s="7">
        <v>0</v>
      </c>
      <c r="M2712" s="19" t="e">
        <f>Planning[[#This Row],[Saldo]]-Planning[[#This Row],[Saldo estimado]]</f>
        <v>#REF!</v>
      </c>
      <c r="N2712" s="60" t="e">
        <f>+SUMIFS(#REF!,#REF!,Planning[[#This Row],[Proyectos]],#REF!,Planning[[#This Row],[Tipo de Tarea y especialidad]])</f>
        <v>#REF!</v>
      </c>
      <c r="O2712" s="19">
        <f t="shared" si="84"/>
        <v>10</v>
      </c>
      <c r="P2712" s="19">
        <f t="shared" si="85"/>
        <v>2024</v>
      </c>
      <c r="Q27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12" s="19" t="str">
        <f>TEXT(Planning[[#This Row],[Mes]]*29,"mmmm")</f>
        <v>October</v>
      </c>
      <c r="S27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12" s="193"/>
      <c r="U2712" s="43">
        <f>IF(Planning[[#This Row],[Horas Planificadas]]&lt;&gt;0,+K2712/Planning[[#This Row],[Horas Planificadas]],0)</f>
        <v>0</v>
      </c>
      <c r="V2712" s="43">
        <f>IF(Planning[[#This Row],[Horas Planificadas]]&lt;&gt;0,Planning[[#This Row],[Horas utilizadas]]/Planning[[#This Row],[Horas Planificadas]],0)</f>
        <v>0</v>
      </c>
      <c r="W2712" s="44">
        <f>Planning[[#This Row],[Horas Planificadas]]+Planning[[#This Row],[Horas ajustadas adicionales]]</f>
        <v>0</v>
      </c>
      <c r="X2712" s="142"/>
    </row>
    <row r="2713" spans="1:24" x14ac:dyDescent="0.2">
      <c r="A2713" s="7" t="s">
        <v>486</v>
      </c>
      <c r="B2713" s="7" t="s">
        <v>178</v>
      </c>
      <c r="C2713" s="3"/>
      <c r="D2713" s="3" t="s">
        <v>544</v>
      </c>
      <c r="E2713" s="4"/>
      <c r="F2713" s="3" t="s">
        <v>130</v>
      </c>
      <c r="G2713" s="9"/>
      <c r="H2713" s="9">
        <v>20</v>
      </c>
      <c r="I2713" s="12"/>
      <c r="J2713" s="5" t="e">
        <f>SUM(SUMIFS(#REF!,#REF!,Planning[[#This Row],[Tipo de Tarea y especialidad]],#REF!,Planning[[#This Row],[Proyectos Reiwa]]),SUMIFS(#REF!,#REF!,Planning[[#This Row],[Tipo de Tarea y especialidad]],#REF!,Planning[[#This Row],[Proyectos]]))</f>
        <v>#REF!</v>
      </c>
      <c r="K2713" s="5" t="e">
        <f>Planning[[#This Row],[Horas Planificadas]]+Planning[[#This Row],[Horas ajustadas adicionales]]-Planning[[#This Row],[Horas utilizadas]]</f>
        <v>#REF!</v>
      </c>
      <c r="L2713" s="7">
        <v>0</v>
      </c>
      <c r="M2713" s="19" t="e">
        <f>Planning[[#This Row],[Saldo]]-Planning[[#This Row],[Saldo estimado]]</f>
        <v>#REF!</v>
      </c>
      <c r="N2713" s="60" t="e">
        <f>+SUMIFS(#REF!,#REF!,Planning[[#This Row],[Proyectos]],#REF!,Planning[[#This Row],[Tipo de Tarea y especialidad]])</f>
        <v>#REF!</v>
      </c>
      <c r="O2713" s="19">
        <f t="shared" si="84"/>
        <v>10</v>
      </c>
      <c r="P2713" s="19">
        <f t="shared" si="85"/>
        <v>2024</v>
      </c>
      <c r="Q27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13" s="19" t="str">
        <f>TEXT(Planning[[#This Row],[Mes]]*29,"mmmm")</f>
        <v>October</v>
      </c>
      <c r="S27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13" s="193"/>
      <c r="U2713" s="43" t="e">
        <f>IF(Planning[[#This Row],[Horas Planificadas]]&lt;&gt;0,+K2713/Planning[[#This Row],[Horas Planificadas]],0)</f>
        <v>#REF!</v>
      </c>
      <c r="V2713" s="43" t="e">
        <f>IF(Planning[[#This Row],[Horas Planificadas]]&lt;&gt;0,Planning[[#This Row],[Horas utilizadas]]/Planning[[#This Row],[Horas Planificadas]],0)</f>
        <v>#REF!</v>
      </c>
      <c r="W2713" s="44">
        <f>Planning[[#This Row],[Horas Planificadas]]+Planning[[#This Row],[Horas ajustadas adicionales]]</f>
        <v>20</v>
      </c>
      <c r="X2713" s="142"/>
    </row>
    <row r="2714" spans="1:24" x14ac:dyDescent="0.2">
      <c r="A2714" s="7" t="s">
        <v>486</v>
      </c>
      <c r="B2714" s="7" t="s">
        <v>178</v>
      </c>
      <c r="C2714" s="3"/>
      <c r="D2714" s="3" t="s">
        <v>544</v>
      </c>
      <c r="E2714" s="4"/>
      <c r="F2714" s="3" t="s">
        <v>131</v>
      </c>
      <c r="G2714" s="9"/>
      <c r="H2714" s="9"/>
      <c r="I2714" s="12"/>
      <c r="J2714" s="5" t="e">
        <f>SUM(SUMIFS(#REF!,#REF!,Planning[[#This Row],[Tipo de Tarea y especialidad]],#REF!,Planning[[#This Row],[Proyectos Reiwa]]),SUMIFS(#REF!,#REF!,Planning[[#This Row],[Tipo de Tarea y especialidad]],#REF!,Planning[[#This Row],[Proyectos]]))</f>
        <v>#REF!</v>
      </c>
      <c r="K2714" s="5" t="e">
        <f>Planning[[#This Row],[Horas Planificadas]]+Planning[[#This Row],[Horas ajustadas adicionales]]-Planning[[#This Row],[Horas utilizadas]]</f>
        <v>#REF!</v>
      </c>
      <c r="L2714" s="7">
        <v>0</v>
      </c>
      <c r="M2714" s="19" t="e">
        <f>Planning[[#This Row],[Saldo]]-Planning[[#This Row],[Saldo estimado]]</f>
        <v>#REF!</v>
      </c>
      <c r="N2714" s="60" t="e">
        <f>+SUMIFS(#REF!,#REF!,Planning[[#This Row],[Proyectos]],#REF!,Planning[[#This Row],[Tipo de Tarea y especialidad]])</f>
        <v>#REF!</v>
      </c>
      <c r="O2714" s="19">
        <f t="shared" si="84"/>
        <v>10</v>
      </c>
      <c r="P2714" s="19">
        <f t="shared" si="85"/>
        <v>2024</v>
      </c>
      <c r="Q27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14" s="19" t="str">
        <f>TEXT(Planning[[#This Row],[Mes]]*29,"mmmm")</f>
        <v>October</v>
      </c>
      <c r="S27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14" s="193"/>
      <c r="U2714" s="43">
        <f>IF(Planning[[#This Row],[Horas Planificadas]]&lt;&gt;0,+K2714/Planning[[#This Row],[Horas Planificadas]],0)</f>
        <v>0</v>
      </c>
      <c r="V2714" s="43">
        <f>IF(Planning[[#This Row],[Horas Planificadas]]&lt;&gt;0,Planning[[#This Row],[Horas utilizadas]]/Planning[[#This Row],[Horas Planificadas]],0)</f>
        <v>0</v>
      </c>
      <c r="W2714" s="44">
        <f>Planning[[#This Row],[Horas Planificadas]]+Planning[[#This Row],[Horas ajustadas adicionales]]</f>
        <v>0</v>
      </c>
      <c r="X2714" s="142"/>
    </row>
    <row r="2715" spans="1:24" ht="22.5" x14ac:dyDescent="0.2">
      <c r="A2715" s="7" t="s">
        <v>117</v>
      </c>
      <c r="B2715" s="7" t="s">
        <v>205</v>
      </c>
      <c r="C2715" s="3"/>
      <c r="D2715" s="3" t="s">
        <v>546</v>
      </c>
      <c r="E2715" s="4" t="s">
        <v>28</v>
      </c>
      <c r="F2715" s="3"/>
      <c r="G2715" s="9">
        <v>354</v>
      </c>
      <c r="H2715" s="14">
        <f>SUM(H2716:H2717)</f>
        <v>354</v>
      </c>
      <c r="I2715" s="14"/>
      <c r="J2715" s="14" t="e">
        <f>SUM(J2716:J2717)</f>
        <v>#REF!</v>
      </c>
      <c r="K2715" s="15" t="e">
        <f>SUM(K2716:K2717)</f>
        <v>#REF!</v>
      </c>
      <c r="L2715" s="15">
        <f>SUM(L2716:L2717)</f>
        <v>0</v>
      </c>
      <c r="M2715" s="28" t="e">
        <f>SUM(M2716:M2717)</f>
        <v>#REF!</v>
      </c>
      <c r="N2715" s="61" t="e">
        <f>+SUMIFS(#REF!,#REF!,Planning[[#This Row],[Proyectos]],#REF!,Planning[[#This Row],[Tipo de Tarea y especialidad]])</f>
        <v>#REF!</v>
      </c>
      <c r="O2715" s="28">
        <f t="shared" si="84"/>
        <v>10</v>
      </c>
      <c r="P2715" s="28">
        <f t="shared" si="85"/>
        <v>2024</v>
      </c>
      <c r="Q2715" s="28" t="e">
        <f>SUM(Q2716:Q2717)</f>
        <v>#REF!</v>
      </c>
      <c r="R2715" s="28" t="str">
        <f>TEXT(Planning[[#This Row],[Mes]]*29,"mmmm")</f>
        <v>October</v>
      </c>
      <c r="S27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15" s="192" t="s">
        <v>547</v>
      </c>
      <c r="U2715" s="43" t="e">
        <f>IF(Planning[[#This Row],[Horas Planificadas]]&lt;&gt;0,+K2715/Planning[[#This Row],[Horas Planificadas]],0)</f>
        <v>#REF!</v>
      </c>
      <c r="V2715" s="43" t="e">
        <f>IF(Planning[[#This Row],[Horas Planificadas]]&lt;&gt;0,Planning[[#This Row],[Horas utilizadas]]/Planning[[#This Row],[Horas Planificadas]],0)</f>
        <v>#REF!</v>
      </c>
      <c r="W2715" s="44">
        <f>Planning[[#This Row],[Horas Planificadas]]+Planning[[#This Row],[Horas ajustadas adicionales]]</f>
        <v>354</v>
      </c>
      <c r="X2715" s="142"/>
    </row>
    <row r="2716" spans="1:24" x14ac:dyDescent="0.2">
      <c r="A2716" s="7" t="s">
        <v>117</v>
      </c>
      <c r="B2716" s="7" t="s">
        <v>205</v>
      </c>
      <c r="C2716" s="3"/>
      <c r="D2716" s="3" t="s">
        <v>546</v>
      </c>
      <c r="E2716" s="4"/>
      <c r="F2716" s="3" t="s">
        <v>120</v>
      </c>
      <c r="G2716" s="9"/>
      <c r="H2716" s="9">
        <v>210</v>
      </c>
      <c r="I2716" s="12"/>
      <c r="J2716" s="5" t="e">
        <f>SUM(SUMIFS(#REF!,#REF!,Planning[[#This Row],[Tipo de Tarea y especialidad]],#REF!,Planning[[#This Row],[Proyectos Reiwa]]),SUMIFS(#REF!,#REF!,Planning[[#This Row],[Tipo de Tarea y especialidad]],#REF!,Planning[[#This Row],[Proyectos]]))</f>
        <v>#REF!</v>
      </c>
      <c r="K2716" s="5" t="e">
        <f>Planning[[#This Row],[Horas Planificadas]]+Planning[[#This Row],[Horas ajustadas adicionales]]-Planning[[#This Row],[Horas utilizadas]]</f>
        <v>#REF!</v>
      </c>
      <c r="L2716" s="7"/>
      <c r="M2716" s="19" t="e">
        <f>Planning[[#This Row],[Saldo]]-Planning[[#This Row],[Saldo estimado]]</f>
        <v>#REF!</v>
      </c>
      <c r="N2716" s="60" t="e">
        <f>+SUMIFS(#REF!,#REF!,Planning[[#This Row],[Proyectos]],#REF!,Planning[[#This Row],[Tipo de Tarea y especialidad]])</f>
        <v>#REF!</v>
      </c>
      <c r="O2716" s="19">
        <f t="shared" si="84"/>
        <v>10</v>
      </c>
      <c r="P2716" s="19">
        <f t="shared" si="85"/>
        <v>2024</v>
      </c>
      <c r="Q27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16" s="19" t="str">
        <f>TEXT(Planning[[#This Row],[Mes]]*29,"mmmm")</f>
        <v>October</v>
      </c>
      <c r="S27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16" s="193"/>
      <c r="U2716" s="43" t="e">
        <f>IF(Planning[[#This Row],[Horas Planificadas]]&lt;&gt;0,+K2716/Planning[[#This Row],[Horas Planificadas]],0)</f>
        <v>#REF!</v>
      </c>
      <c r="V2716" s="43" t="e">
        <f>IF(Planning[[#This Row],[Horas Planificadas]]&lt;&gt;0,Planning[[#This Row],[Horas utilizadas]]/Planning[[#This Row],[Horas Planificadas]],0)</f>
        <v>#REF!</v>
      </c>
      <c r="W2716" s="44">
        <f>Planning[[#This Row],[Horas Planificadas]]+Planning[[#This Row],[Horas ajustadas adicionales]]</f>
        <v>210</v>
      </c>
      <c r="X2716" s="142"/>
    </row>
    <row r="2717" spans="1:24" x14ac:dyDescent="0.2">
      <c r="A2717" s="7" t="s">
        <v>117</v>
      </c>
      <c r="B2717" s="7" t="s">
        <v>205</v>
      </c>
      <c r="C2717" s="3"/>
      <c r="D2717" s="3" t="s">
        <v>546</v>
      </c>
      <c r="E2717" s="4"/>
      <c r="F2717" s="3" t="s">
        <v>121</v>
      </c>
      <c r="G2717" s="9"/>
      <c r="H2717" s="9">
        <v>144</v>
      </c>
      <c r="I2717" s="12"/>
      <c r="J2717" s="5" t="e">
        <f>SUM(SUMIFS(#REF!,#REF!,Planning[[#This Row],[Tipo de Tarea y especialidad]],#REF!,Planning[[#This Row],[Proyectos Reiwa]]),SUMIFS(#REF!,#REF!,Planning[[#This Row],[Tipo de Tarea y especialidad]],#REF!,Planning[[#This Row],[Proyectos]]))</f>
        <v>#REF!</v>
      </c>
      <c r="K2717" s="5" t="e">
        <f>Planning[[#This Row],[Horas Planificadas]]+Planning[[#This Row],[Horas ajustadas adicionales]]-Planning[[#This Row],[Horas utilizadas]]</f>
        <v>#REF!</v>
      </c>
      <c r="L2717" s="7"/>
      <c r="M2717" s="19" t="e">
        <f>Planning[[#This Row],[Saldo]]-Planning[[#This Row],[Saldo estimado]]</f>
        <v>#REF!</v>
      </c>
      <c r="N2717" s="60" t="e">
        <f>+SUMIFS(#REF!,#REF!,Planning[[#This Row],[Proyectos]],#REF!,Planning[[#This Row],[Tipo de Tarea y especialidad]])</f>
        <v>#REF!</v>
      </c>
      <c r="O2717" s="19">
        <f t="shared" si="84"/>
        <v>10</v>
      </c>
      <c r="P2717" s="19">
        <f t="shared" si="85"/>
        <v>2024</v>
      </c>
      <c r="Q27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17" s="19" t="str">
        <f>TEXT(Planning[[#This Row],[Mes]]*29,"mmmm")</f>
        <v>October</v>
      </c>
      <c r="S27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17" s="193"/>
      <c r="U2717" s="43" t="e">
        <f>IF(Planning[[#This Row],[Horas Planificadas]]&lt;&gt;0,+K2717/Planning[[#This Row],[Horas Planificadas]],0)</f>
        <v>#REF!</v>
      </c>
      <c r="V2717" s="43" t="e">
        <f>IF(Planning[[#This Row],[Horas Planificadas]]&lt;&gt;0,Planning[[#This Row],[Horas utilizadas]]/Planning[[#This Row],[Horas Planificadas]],0)</f>
        <v>#REF!</v>
      </c>
      <c r="W2717" s="44">
        <f>Planning[[#This Row],[Horas Planificadas]]+Planning[[#This Row],[Horas ajustadas adicionales]]</f>
        <v>144</v>
      </c>
      <c r="X2717" s="142"/>
    </row>
    <row r="2718" spans="1:24" x14ac:dyDescent="0.2">
      <c r="A2718" s="7" t="s">
        <v>117</v>
      </c>
      <c r="B2718" s="7" t="s">
        <v>205</v>
      </c>
      <c r="C2718" s="3"/>
      <c r="D2718" s="3" t="s">
        <v>546</v>
      </c>
      <c r="E2718" s="4" t="s">
        <v>30</v>
      </c>
      <c r="F2718" s="3"/>
      <c r="G2718" s="9">
        <v>567</v>
      </c>
      <c r="H2718" s="25">
        <f>SUM(H2719:H2725)</f>
        <v>567</v>
      </c>
      <c r="I2718" s="14"/>
      <c r="J2718" s="14" t="e">
        <f>SUM(J2719:J2725)</f>
        <v>#REF!</v>
      </c>
      <c r="K2718" s="18" t="e">
        <f>SUM(K2719:K2725)</f>
        <v>#REF!</v>
      </c>
      <c r="L2718" s="15">
        <f>SUM(L2719:L2725)</f>
        <v>0</v>
      </c>
      <c r="M2718" s="16" t="e">
        <f>SUM(M2719:M2725)</f>
        <v>#REF!</v>
      </c>
      <c r="N2718" s="60" t="e">
        <f>+SUMIFS(#REF!,#REF!,Planning[[#This Row],[Proyectos]],#REF!,Planning[[#This Row],[Tipo de Tarea y especialidad]])</f>
        <v>#REF!</v>
      </c>
      <c r="O2718" s="16">
        <f t="shared" si="84"/>
        <v>10</v>
      </c>
      <c r="P2718" s="16">
        <f t="shared" si="85"/>
        <v>2024</v>
      </c>
      <c r="Q2718" s="16" t="e">
        <f>SUM(Q2719:Q2725)</f>
        <v>#REF!</v>
      </c>
      <c r="R2718" s="16" t="str">
        <f>TEXT(Planning[[#This Row],[Mes]]*29,"mmmm")</f>
        <v>October</v>
      </c>
      <c r="S27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18" s="193"/>
      <c r="U2718" s="43" t="e">
        <f>IF(Planning[[#This Row],[Horas Planificadas]]&lt;&gt;0,+K2718/Planning[[#This Row],[Horas Planificadas]],0)</f>
        <v>#REF!</v>
      </c>
      <c r="V2718" s="43" t="e">
        <f>IF(Planning[[#This Row],[Horas Planificadas]]&lt;&gt;0,Planning[[#This Row],[Horas utilizadas]]/Planning[[#This Row],[Horas Planificadas]],0)</f>
        <v>#REF!</v>
      </c>
      <c r="W2718" s="44">
        <f>Planning[[#This Row],[Horas Planificadas]]+Planning[[#This Row],[Horas ajustadas adicionales]]</f>
        <v>567</v>
      </c>
      <c r="X2718" s="142"/>
    </row>
    <row r="2719" spans="1:24" x14ac:dyDescent="0.2">
      <c r="A2719" s="7" t="s">
        <v>117</v>
      </c>
      <c r="B2719" s="7" t="s">
        <v>205</v>
      </c>
      <c r="C2719" s="3"/>
      <c r="D2719" s="3" t="s">
        <v>546</v>
      </c>
      <c r="E2719" s="4"/>
      <c r="F2719" s="3" t="s">
        <v>122</v>
      </c>
      <c r="G2719" s="7"/>
      <c r="H2719" s="7"/>
      <c r="I2719" s="12"/>
      <c r="J2719" s="5" t="e">
        <f>SUM(SUMIFS(#REF!,#REF!,Planning[[#This Row],[Tipo de Tarea y especialidad]],#REF!,Planning[[#This Row],[Proyectos Reiwa]]),SUMIFS(#REF!,#REF!,Planning[[#This Row],[Tipo de Tarea y especialidad]],#REF!,Planning[[#This Row],[Proyectos]]))</f>
        <v>#REF!</v>
      </c>
      <c r="K2719" s="5" t="e">
        <f>Planning[[#This Row],[Horas Planificadas]]+Planning[[#This Row],[Horas ajustadas adicionales]]-Planning[[#This Row],[Horas utilizadas]]</f>
        <v>#REF!</v>
      </c>
      <c r="L2719" s="7"/>
      <c r="M2719" s="19" t="e">
        <f>Planning[[#This Row],[Saldo]]-Planning[[#This Row],[Saldo estimado]]</f>
        <v>#REF!</v>
      </c>
      <c r="N2719" s="60" t="e">
        <f>+SUMIFS(#REF!,#REF!,Planning[[#This Row],[Proyectos]],#REF!,Planning[[#This Row],[Tipo de Tarea y especialidad]])</f>
        <v>#REF!</v>
      </c>
      <c r="O2719" s="19">
        <f t="shared" si="84"/>
        <v>10</v>
      </c>
      <c r="P2719" s="19">
        <f t="shared" si="85"/>
        <v>2024</v>
      </c>
      <c r="Q27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19" s="19" t="str">
        <f>TEXT(Planning[[#This Row],[Mes]]*29,"mmmm")</f>
        <v>October</v>
      </c>
      <c r="S27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19" s="193"/>
      <c r="U2719" s="43">
        <f>IF(Planning[[#This Row],[Horas Planificadas]]&lt;&gt;0,+K2719/Planning[[#This Row],[Horas Planificadas]],0)</f>
        <v>0</v>
      </c>
      <c r="V2719" s="43">
        <f>IF(Planning[[#This Row],[Horas Planificadas]]&lt;&gt;0,Planning[[#This Row],[Horas utilizadas]]/Planning[[#This Row],[Horas Planificadas]],0)</f>
        <v>0</v>
      </c>
      <c r="W2719" s="44">
        <f>Planning[[#This Row],[Horas Planificadas]]+Planning[[#This Row],[Horas ajustadas adicionales]]</f>
        <v>0</v>
      </c>
      <c r="X2719" s="142"/>
    </row>
    <row r="2720" spans="1:24" x14ac:dyDescent="0.2">
      <c r="A2720" s="7" t="s">
        <v>117</v>
      </c>
      <c r="B2720" s="7" t="s">
        <v>205</v>
      </c>
      <c r="C2720" s="3"/>
      <c r="D2720" s="3" t="s">
        <v>546</v>
      </c>
      <c r="E2720" s="4"/>
      <c r="F2720" s="3" t="s">
        <v>123</v>
      </c>
      <c r="G2720" s="9"/>
      <c r="H2720" s="9">
        <v>288</v>
      </c>
      <c r="I2720" s="12"/>
      <c r="J2720" s="5" t="e">
        <f>SUM(SUMIFS(#REF!,#REF!,Planning[[#This Row],[Tipo de Tarea y especialidad]],#REF!,Planning[[#This Row],[Proyectos Reiwa]]),SUMIFS(#REF!,#REF!,Planning[[#This Row],[Tipo de Tarea y especialidad]],#REF!,Planning[[#This Row],[Proyectos]]))</f>
        <v>#REF!</v>
      </c>
      <c r="K2720" s="5" t="e">
        <f>Planning[[#This Row],[Horas Planificadas]]+Planning[[#This Row],[Horas ajustadas adicionales]]-Planning[[#This Row],[Horas utilizadas]]</f>
        <v>#REF!</v>
      </c>
      <c r="L2720" s="7"/>
      <c r="M2720" s="19" t="e">
        <f>Planning[[#This Row],[Saldo]]-Planning[[#This Row],[Saldo estimado]]</f>
        <v>#REF!</v>
      </c>
      <c r="N2720" s="60" t="e">
        <f>+SUMIFS(#REF!,#REF!,Planning[[#This Row],[Proyectos]],#REF!,Planning[[#This Row],[Tipo de Tarea y especialidad]])</f>
        <v>#REF!</v>
      </c>
      <c r="O2720" s="19">
        <f t="shared" si="84"/>
        <v>10</v>
      </c>
      <c r="P2720" s="19">
        <f t="shared" si="85"/>
        <v>2024</v>
      </c>
      <c r="Q27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20" s="19" t="str">
        <f>TEXT(Planning[[#This Row],[Mes]]*29,"mmmm")</f>
        <v>October</v>
      </c>
      <c r="S27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20" s="193"/>
      <c r="U2720" s="43" t="e">
        <f>IF(Planning[[#This Row],[Horas Planificadas]]&lt;&gt;0,+K2720/Planning[[#This Row],[Horas Planificadas]],0)</f>
        <v>#REF!</v>
      </c>
      <c r="V2720" s="43" t="e">
        <f>IF(Planning[[#This Row],[Horas Planificadas]]&lt;&gt;0,Planning[[#This Row],[Horas utilizadas]]/Planning[[#This Row],[Horas Planificadas]],0)</f>
        <v>#REF!</v>
      </c>
      <c r="W2720" s="44">
        <f>Planning[[#This Row],[Horas Planificadas]]+Planning[[#This Row],[Horas ajustadas adicionales]]</f>
        <v>288</v>
      </c>
      <c r="X2720" s="142"/>
    </row>
    <row r="2721" spans="1:24" x14ac:dyDescent="0.2">
      <c r="A2721" s="7" t="s">
        <v>117</v>
      </c>
      <c r="B2721" s="7" t="s">
        <v>205</v>
      </c>
      <c r="C2721" s="3"/>
      <c r="D2721" s="3" t="s">
        <v>546</v>
      </c>
      <c r="E2721" s="4"/>
      <c r="F2721" s="3" t="s">
        <v>124</v>
      </c>
      <c r="G2721" s="9"/>
      <c r="H2721" s="9"/>
      <c r="I2721" s="12"/>
      <c r="J2721" s="5" t="e">
        <f>SUM(SUMIFS(#REF!,#REF!,Planning[[#This Row],[Tipo de Tarea y especialidad]],#REF!,Planning[[#This Row],[Proyectos Reiwa]]),SUMIFS(#REF!,#REF!,Planning[[#This Row],[Tipo de Tarea y especialidad]],#REF!,Planning[[#This Row],[Proyectos]]))</f>
        <v>#REF!</v>
      </c>
      <c r="K2721" s="5" t="e">
        <f>Planning[[#This Row],[Horas Planificadas]]+Planning[[#This Row],[Horas ajustadas adicionales]]-Planning[[#This Row],[Horas utilizadas]]</f>
        <v>#REF!</v>
      </c>
      <c r="L2721" s="7"/>
      <c r="M2721" s="19" t="e">
        <f>Planning[[#This Row],[Saldo]]-Planning[[#This Row],[Saldo estimado]]</f>
        <v>#REF!</v>
      </c>
      <c r="N2721" s="60" t="e">
        <f>+SUMIFS(#REF!,#REF!,Planning[[#This Row],[Proyectos]],#REF!,Planning[[#This Row],[Tipo de Tarea y especialidad]])</f>
        <v>#REF!</v>
      </c>
      <c r="O2721" s="19">
        <f t="shared" si="84"/>
        <v>10</v>
      </c>
      <c r="P2721" s="19">
        <f t="shared" si="85"/>
        <v>2024</v>
      </c>
      <c r="Q27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21" s="19" t="str">
        <f>TEXT(Planning[[#This Row],[Mes]]*29,"mmmm")</f>
        <v>October</v>
      </c>
      <c r="S27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21" s="193"/>
      <c r="U2721" s="43">
        <f>IF(Planning[[#This Row],[Horas Planificadas]]&lt;&gt;0,+K2721/Planning[[#This Row],[Horas Planificadas]],0)</f>
        <v>0</v>
      </c>
      <c r="V2721" s="43">
        <f>IF(Planning[[#This Row],[Horas Planificadas]]&lt;&gt;0,Planning[[#This Row],[Horas utilizadas]]/Planning[[#This Row],[Horas Planificadas]],0)</f>
        <v>0</v>
      </c>
      <c r="W2721" s="44">
        <f>Planning[[#This Row],[Horas Planificadas]]+Planning[[#This Row],[Horas ajustadas adicionales]]</f>
        <v>0</v>
      </c>
      <c r="X2721" s="142"/>
    </row>
    <row r="2722" spans="1:24" x14ac:dyDescent="0.2">
      <c r="A2722" s="7" t="s">
        <v>117</v>
      </c>
      <c r="B2722" s="7" t="s">
        <v>205</v>
      </c>
      <c r="C2722" s="3"/>
      <c r="D2722" s="3" t="s">
        <v>546</v>
      </c>
      <c r="E2722" s="4"/>
      <c r="F2722" s="3" t="s">
        <v>125</v>
      </c>
      <c r="G2722" s="9"/>
      <c r="H2722" s="9">
        <v>162</v>
      </c>
      <c r="I2722" s="12"/>
      <c r="J2722" s="5" t="e">
        <f>SUM(SUMIFS(#REF!,#REF!,Planning[[#This Row],[Tipo de Tarea y especialidad]],#REF!,Planning[[#This Row],[Proyectos Reiwa]]),SUMIFS(#REF!,#REF!,Planning[[#This Row],[Tipo de Tarea y especialidad]],#REF!,Planning[[#This Row],[Proyectos]]))</f>
        <v>#REF!</v>
      </c>
      <c r="K2722" s="5" t="e">
        <f>Planning[[#This Row],[Horas Planificadas]]+Planning[[#This Row],[Horas ajustadas adicionales]]-Planning[[#This Row],[Horas utilizadas]]</f>
        <v>#REF!</v>
      </c>
      <c r="L2722" s="7"/>
      <c r="M2722" s="19" t="e">
        <f>Planning[[#This Row],[Saldo]]-Planning[[#This Row],[Saldo estimado]]</f>
        <v>#REF!</v>
      </c>
      <c r="N2722" s="60" t="e">
        <f>+SUMIFS(#REF!,#REF!,Planning[[#This Row],[Proyectos]],#REF!,Planning[[#This Row],[Tipo de Tarea y especialidad]])</f>
        <v>#REF!</v>
      </c>
      <c r="O2722" s="19">
        <f t="shared" si="84"/>
        <v>10</v>
      </c>
      <c r="P2722" s="19">
        <f t="shared" si="85"/>
        <v>2024</v>
      </c>
      <c r="Q27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22" s="19" t="str">
        <f>TEXT(Planning[[#This Row],[Mes]]*29,"mmmm")</f>
        <v>October</v>
      </c>
      <c r="S27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22" s="193"/>
      <c r="U2722" s="43" t="e">
        <f>IF(Planning[[#This Row],[Horas Planificadas]]&lt;&gt;0,+K2722/Planning[[#This Row],[Horas Planificadas]],0)</f>
        <v>#REF!</v>
      </c>
      <c r="V2722" s="43" t="e">
        <f>IF(Planning[[#This Row],[Horas Planificadas]]&lt;&gt;0,Planning[[#This Row],[Horas utilizadas]]/Planning[[#This Row],[Horas Planificadas]],0)</f>
        <v>#REF!</v>
      </c>
      <c r="W2722" s="44">
        <f>Planning[[#This Row],[Horas Planificadas]]+Planning[[#This Row],[Horas ajustadas adicionales]]</f>
        <v>162</v>
      </c>
      <c r="X2722" s="142"/>
    </row>
    <row r="2723" spans="1:24" x14ac:dyDescent="0.2">
      <c r="A2723" s="7" t="s">
        <v>117</v>
      </c>
      <c r="B2723" s="7" t="s">
        <v>205</v>
      </c>
      <c r="C2723" s="3"/>
      <c r="D2723" s="3" t="s">
        <v>546</v>
      </c>
      <c r="E2723" s="4"/>
      <c r="F2723" s="3" t="s">
        <v>126</v>
      </c>
      <c r="G2723" s="7"/>
      <c r="H2723" s="7"/>
      <c r="I2723" s="12"/>
      <c r="J2723" s="5" t="e">
        <f>SUM(SUMIFS(#REF!,#REF!,Planning[[#This Row],[Tipo de Tarea y especialidad]],#REF!,Planning[[#This Row],[Proyectos Reiwa]]),SUMIFS(#REF!,#REF!,Planning[[#This Row],[Tipo de Tarea y especialidad]],#REF!,Planning[[#This Row],[Proyectos]]))</f>
        <v>#REF!</v>
      </c>
      <c r="K2723" s="5" t="e">
        <f>Planning[[#This Row],[Horas Planificadas]]+Planning[[#This Row],[Horas ajustadas adicionales]]-Planning[[#This Row],[Horas utilizadas]]</f>
        <v>#REF!</v>
      </c>
      <c r="L2723" s="7"/>
      <c r="M2723" s="19" t="e">
        <f>Planning[[#This Row],[Saldo]]-Planning[[#This Row],[Saldo estimado]]</f>
        <v>#REF!</v>
      </c>
      <c r="N2723" s="60" t="e">
        <f>+SUMIFS(#REF!,#REF!,Planning[[#This Row],[Proyectos]],#REF!,Planning[[#This Row],[Tipo de Tarea y especialidad]])</f>
        <v>#REF!</v>
      </c>
      <c r="O2723" s="19">
        <f t="shared" si="84"/>
        <v>10</v>
      </c>
      <c r="P2723" s="19">
        <f t="shared" si="85"/>
        <v>2024</v>
      </c>
      <c r="Q27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23" s="19" t="str">
        <f>TEXT(Planning[[#This Row],[Mes]]*29,"mmmm")</f>
        <v>October</v>
      </c>
      <c r="S27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23" s="193"/>
      <c r="U2723" s="43">
        <f>IF(Planning[[#This Row],[Horas Planificadas]]&lt;&gt;0,+K2723/Planning[[#This Row],[Horas Planificadas]],0)</f>
        <v>0</v>
      </c>
      <c r="V2723" s="43">
        <f>IF(Planning[[#This Row],[Horas Planificadas]]&lt;&gt;0,Planning[[#This Row],[Horas utilizadas]]/Planning[[#This Row],[Horas Planificadas]],0)</f>
        <v>0</v>
      </c>
      <c r="W2723" s="44">
        <f>Planning[[#This Row],[Horas Planificadas]]+Planning[[#This Row],[Horas ajustadas adicionales]]</f>
        <v>0</v>
      </c>
      <c r="X2723" s="142"/>
    </row>
    <row r="2724" spans="1:24" x14ac:dyDescent="0.2">
      <c r="A2724" s="7" t="s">
        <v>117</v>
      </c>
      <c r="B2724" s="7" t="s">
        <v>205</v>
      </c>
      <c r="C2724" s="3"/>
      <c r="D2724" s="3" t="s">
        <v>546</v>
      </c>
      <c r="E2724" s="4"/>
      <c r="F2724" s="3" t="s">
        <v>127</v>
      </c>
      <c r="G2724" s="9"/>
      <c r="H2724" s="9">
        <v>117</v>
      </c>
      <c r="I2724" s="12"/>
      <c r="J2724" s="5" t="e">
        <f>SUM(SUMIFS(#REF!,#REF!,Planning[[#This Row],[Tipo de Tarea y especialidad]],#REF!,Planning[[#This Row],[Proyectos Reiwa]]),SUMIFS(#REF!,#REF!,Planning[[#This Row],[Tipo de Tarea y especialidad]],#REF!,Planning[[#This Row],[Proyectos]]))</f>
        <v>#REF!</v>
      </c>
      <c r="K2724" s="5" t="e">
        <f>Planning[[#This Row],[Horas Planificadas]]+Planning[[#This Row],[Horas ajustadas adicionales]]-Planning[[#This Row],[Horas utilizadas]]</f>
        <v>#REF!</v>
      </c>
      <c r="L2724" s="7"/>
      <c r="M2724" s="19" t="e">
        <f>Planning[[#This Row],[Saldo]]-Planning[[#This Row],[Saldo estimado]]</f>
        <v>#REF!</v>
      </c>
      <c r="N2724" s="60" t="e">
        <f>+SUMIFS(#REF!,#REF!,Planning[[#This Row],[Proyectos]],#REF!,Planning[[#This Row],[Tipo de Tarea y especialidad]])</f>
        <v>#REF!</v>
      </c>
      <c r="O2724" s="19">
        <f t="shared" si="84"/>
        <v>10</v>
      </c>
      <c r="P2724" s="19">
        <f t="shared" si="85"/>
        <v>2024</v>
      </c>
      <c r="Q27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24" s="19" t="str">
        <f>TEXT(Planning[[#This Row],[Mes]]*29,"mmmm")</f>
        <v>October</v>
      </c>
      <c r="S27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24" s="193"/>
      <c r="U2724" s="43" t="e">
        <f>IF(Planning[[#This Row],[Horas Planificadas]]&lt;&gt;0,+K2724/Planning[[#This Row],[Horas Planificadas]],0)</f>
        <v>#REF!</v>
      </c>
      <c r="V2724" s="43" t="e">
        <f>IF(Planning[[#This Row],[Horas Planificadas]]&lt;&gt;0,Planning[[#This Row],[Horas utilizadas]]/Planning[[#This Row],[Horas Planificadas]],0)</f>
        <v>#REF!</v>
      </c>
      <c r="W2724" s="44">
        <f>Planning[[#This Row],[Horas Planificadas]]+Planning[[#This Row],[Horas ajustadas adicionales]]</f>
        <v>117</v>
      </c>
      <c r="X2724" s="142"/>
    </row>
    <row r="2725" spans="1:24" x14ac:dyDescent="0.2">
      <c r="A2725" s="7" t="s">
        <v>117</v>
      </c>
      <c r="B2725" s="7" t="s">
        <v>205</v>
      </c>
      <c r="C2725" s="3"/>
      <c r="D2725" s="3" t="s">
        <v>546</v>
      </c>
      <c r="E2725" s="4"/>
      <c r="F2725" s="3" t="s">
        <v>128</v>
      </c>
      <c r="G2725" s="9"/>
      <c r="H2725" s="9"/>
      <c r="I2725" s="12"/>
      <c r="J2725" s="5" t="e">
        <f>SUM(SUMIFS(#REF!,#REF!,Planning[[#This Row],[Tipo de Tarea y especialidad]],#REF!,Planning[[#This Row],[Proyectos Reiwa]]),SUMIFS(#REF!,#REF!,Planning[[#This Row],[Tipo de Tarea y especialidad]],#REF!,Planning[[#This Row],[Proyectos]]))</f>
        <v>#REF!</v>
      </c>
      <c r="K2725" s="5" t="e">
        <f>Planning[[#This Row],[Horas Planificadas]]+Planning[[#This Row],[Horas ajustadas adicionales]]-Planning[[#This Row],[Horas utilizadas]]</f>
        <v>#REF!</v>
      </c>
      <c r="L2725" s="7"/>
      <c r="M2725" s="19" t="e">
        <f>Planning[[#This Row],[Saldo]]-Planning[[#This Row],[Saldo estimado]]</f>
        <v>#REF!</v>
      </c>
      <c r="N2725" s="60" t="e">
        <f>+SUMIFS(#REF!,#REF!,Planning[[#This Row],[Proyectos]],#REF!,Planning[[#This Row],[Tipo de Tarea y especialidad]])</f>
        <v>#REF!</v>
      </c>
      <c r="O2725" s="19">
        <f t="shared" si="84"/>
        <v>10</v>
      </c>
      <c r="P2725" s="19">
        <f t="shared" si="85"/>
        <v>2024</v>
      </c>
      <c r="Q27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25" s="19" t="str">
        <f>TEXT(Planning[[#This Row],[Mes]]*29,"mmmm")</f>
        <v>October</v>
      </c>
      <c r="S27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25" s="193"/>
      <c r="U2725" s="43">
        <f>IF(Planning[[#This Row],[Horas Planificadas]]&lt;&gt;0,+K2725/Planning[[#This Row],[Horas Planificadas]],0)</f>
        <v>0</v>
      </c>
      <c r="V2725" s="43">
        <f>IF(Planning[[#This Row],[Horas Planificadas]]&lt;&gt;0,Planning[[#This Row],[Horas utilizadas]]/Planning[[#This Row],[Horas Planificadas]],0)</f>
        <v>0</v>
      </c>
      <c r="W2725" s="44">
        <f>Planning[[#This Row],[Horas Planificadas]]+Planning[[#This Row],[Horas ajustadas adicionales]]</f>
        <v>0</v>
      </c>
      <c r="X2725" s="142"/>
    </row>
    <row r="2726" spans="1:24" x14ac:dyDescent="0.2">
      <c r="A2726" s="7" t="s">
        <v>117</v>
      </c>
      <c r="B2726" s="7" t="s">
        <v>205</v>
      </c>
      <c r="C2726" s="3"/>
      <c r="D2726" s="3" t="s">
        <v>546</v>
      </c>
      <c r="E2726" s="4" t="s">
        <v>31</v>
      </c>
      <c r="F2726" s="3" t="s">
        <v>31</v>
      </c>
      <c r="G2726" s="9">
        <v>90</v>
      </c>
      <c r="H2726" s="17">
        <v>90</v>
      </c>
      <c r="I2726" s="18"/>
      <c r="J2726" s="14" t="e">
        <f>+SUMIFS(#REF!,#REF!,Planning[[#This Row],[Tarifa]],#REF!,Planning[[#This Row],[Proyectos]])</f>
        <v>#REF!</v>
      </c>
      <c r="K2726" s="14" t="e">
        <f>Planning[[#This Row],[Horas Planificadas]]+Planning[[#This Row],[Horas ajustadas adicionales]]-Planning[[#This Row],[Horas utilizadas]]</f>
        <v>#REF!</v>
      </c>
      <c r="L2726" s="15">
        <v>0</v>
      </c>
      <c r="M2726" s="16" t="e">
        <f>Planning[[#This Row],[Saldo]]-Planning[[#This Row],[Saldo estimado]]</f>
        <v>#REF!</v>
      </c>
      <c r="N2726" s="60" t="e">
        <f>+SUMIFS(#REF!,#REF!,Planning[[#This Row],[Proyectos]],#REF!,Planning[[#This Row],[Tipo de Tarea y especialidad]])</f>
        <v>#REF!</v>
      </c>
      <c r="O2726" s="16">
        <f t="shared" si="84"/>
        <v>10</v>
      </c>
      <c r="P2726" s="16">
        <f t="shared" si="85"/>
        <v>2024</v>
      </c>
      <c r="Q2726" s="16" t="e">
        <f>+SUMIFS(#REF!,#REF!,Planning[[#This Row],[Tarifa]],#REF!,Planning[[#This Row],[Proyectos]],#REF!,Planning[[#This Row],[Mes]],#REF!,Planning[[#This Row],[Año]])</f>
        <v>#REF!</v>
      </c>
      <c r="R2726" s="16" t="str">
        <f>TEXT(Planning[[#This Row],[Mes]]*29,"mmmm")</f>
        <v>October</v>
      </c>
      <c r="S27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26" s="193"/>
      <c r="U2726" s="43" t="e">
        <f>IF(Planning[[#This Row],[Horas Planificadas]]&lt;&gt;0,+K2726/Planning[[#This Row],[Horas Planificadas]],0)</f>
        <v>#REF!</v>
      </c>
      <c r="V2726" s="43" t="e">
        <f>IF(Planning[[#This Row],[Horas Planificadas]]&lt;&gt;0,Planning[[#This Row],[Horas utilizadas]]/Planning[[#This Row],[Horas Planificadas]],0)</f>
        <v>#REF!</v>
      </c>
      <c r="W2726" s="44">
        <f>Planning[[#This Row],[Horas Planificadas]]+Planning[[#This Row],[Horas ajustadas adicionales]]</f>
        <v>90</v>
      </c>
      <c r="X2726" s="142"/>
    </row>
    <row r="2727" spans="1:24" ht="22.5" x14ac:dyDescent="0.2">
      <c r="A2727" s="7" t="s">
        <v>117</v>
      </c>
      <c r="B2727" s="7" t="s">
        <v>205</v>
      </c>
      <c r="C2727" s="3"/>
      <c r="D2727" s="3" t="s">
        <v>546</v>
      </c>
      <c r="E2727" s="4" t="s">
        <v>32</v>
      </c>
      <c r="F2727" s="3"/>
      <c r="G2727" s="9">
        <v>100</v>
      </c>
      <c r="H2727" s="14">
        <f>SUM(H2728:H2730)</f>
        <v>100</v>
      </c>
      <c r="I2727" s="14"/>
      <c r="J2727" s="14" t="e">
        <f>SUM(J2728:J2730)</f>
        <v>#REF!</v>
      </c>
      <c r="K2727" s="15" t="e">
        <f>SUM(K2728:K2730)</f>
        <v>#REF!</v>
      </c>
      <c r="L2727" s="15">
        <f>SUM(L2728:L2730)</f>
        <v>0</v>
      </c>
      <c r="M2727" s="35" t="e">
        <f>SUM(M2728:M2730)</f>
        <v>#REF!</v>
      </c>
      <c r="N2727" s="62" t="e">
        <f>+SUMIFS(#REF!,#REF!,Planning[[#This Row],[Proyectos]],#REF!,Planning[[#This Row],[Tipo de Tarea y especialidad]])</f>
        <v>#REF!</v>
      </c>
      <c r="O2727" s="35">
        <f t="shared" si="84"/>
        <v>10</v>
      </c>
      <c r="P2727" s="35">
        <f t="shared" si="85"/>
        <v>2024</v>
      </c>
      <c r="Q2727" s="16" t="e">
        <f>SUM(Q2728:Q2730)</f>
        <v>#REF!</v>
      </c>
      <c r="R2727" s="16" t="str">
        <f>TEXT(Planning[[#This Row],[Mes]]*29,"mmmm")</f>
        <v>October</v>
      </c>
      <c r="S27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27" s="193"/>
      <c r="U2727" s="43" t="e">
        <f>IF(Planning[[#This Row],[Horas Planificadas]]&lt;&gt;0,+K2727/Planning[[#This Row],[Horas Planificadas]],0)</f>
        <v>#REF!</v>
      </c>
      <c r="V2727" s="43" t="e">
        <f>IF(Planning[[#This Row],[Horas Planificadas]]&lt;&gt;0,Planning[[#This Row],[Horas utilizadas]]/Planning[[#This Row],[Horas Planificadas]],0)</f>
        <v>#REF!</v>
      </c>
      <c r="W2727" s="44">
        <f>Planning[[#This Row],[Horas Planificadas]]+Planning[[#This Row],[Horas ajustadas adicionales]]</f>
        <v>100</v>
      </c>
      <c r="X2727" s="142"/>
    </row>
    <row r="2728" spans="1:24" x14ac:dyDescent="0.2">
      <c r="A2728" s="7" t="s">
        <v>117</v>
      </c>
      <c r="B2728" s="7" t="s">
        <v>205</v>
      </c>
      <c r="C2728" s="3"/>
      <c r="D2728" s="3" t="s">
        <v>546</v>
      </c>
      <c r="E2728" s="4"/>
      <c r="F2728" s="3" t="s">
        <v>129</v>
      </c>
      <c r="G2728" s="9"/>
      <c r="H2728" s="9"/>
      <c r="I2728" s="12"/>
      <c r="J2728" s="5" t="e">
        <f>SUM(SUMIFS(#REF!,#REF!,Planning[[#This Row],[Tipo de Tarea y especialidad]],#REF!,Planning[[#This Row],[Proyectos Reiwa]]),SUMIFS(#REF!,#REF!,Planning[[#This Row],[Tipo de Tarea y especialidad]],#REF!,Planning[[#This Row],[Proyectos]]))</f>
        <v>#REF!</v>
      </c>
      <c r="K2728" s="5" t="e">
        <f>Planning[[#This Row],[Horas Planificadas]]+Planning[[#This Row],[Horas ajustadas adicionales]]-Planning[[#This Row],[Horas utilizadas]]</f>
        <v>#REF!</v>
      </c>
      <c r="L2728" s="7"/>
      <c r="M2728" s="19" t="e">
        <f>Planning[[#This Row],[Saldo]]-Planning[[#This Row],[Saldo estimado]]</f>
        <v>#REF!</v>
      </c>
      <c r="N2728" s="60" t="e">
        <f>+SUMIFS(#REF!,#REF!,Planning[[#This Row],[Proyectos]],#REF!,Planning[[#This Row],[Tipo de Tarea y especialidad]])</f>
        <v>#REF!</v>
      </c>
      <c r="O2728" s="19">
        <f t="shared" si="84"/>
        <v>10</v>
      </c>
      <c r="P2728" s="19">
        <f t="shared" si="85"/>
        <v>2024</v>
      </c>
      <c r="Q27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28" s="19" t="str">
        <f>TEXT(Planning[[#This Row],[Mes]]*29,"mmmm")</f>
        <v>October</v>
      </c>
      <c r="S27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28" s="193"/>
      <c r="U2728" s="43">
        <f>IF(Planning[[#This Row],[Horas Planificadas]]&lt;&gt;0,+K2728/Planning[[#This Row],[Horas Planificadas]],0)</f>
        <v>0</v>
      </c>
      <c r="V2728" s="43">
        <f>IF(Planning[[#This Row],[Horas Planificadas]]&lt;&gt;0,Planning[[#This Row],[Horas utilizadas]]/Planning[[#This Row],[Horas Planificadas]],0)</f>
        <v>0</v>
      </c>
      <c r="W2728" s="44">
        <f>Planning[[#This Row],[Horas Planificadas]]+Planning[[#This Row],[Horas ajustadas adicionales]]</f>
        <v>0</v>
      </c>
      <c r="X2728" s="142"/>
    </row>
    <row r="2729" spans="1:24" x14ac:dyDescent="0.2">
      <c r="A2729" s="7" t="s">
        <v>117</v>
      </c>
      <c r="B2729" s="7" t="s">
        <v>205</v>
      </c>
      <c r="C2729" s="3"/>
      <c r="D2729" s="3" t="s">
        <v>546</v>
      </c>
      <c r="E2729" s="4"/>
      <c r="F2729" s="3" t="s">
        <v>130</v>
      </c>
      <c r="G2729" s="9"/>
      <c r="H2729" s="9">
        <v>100</v>
      </c>
      <c r="I2729" s="12"/>
      <c r="J2729" s="5" t="e">
        <f>SUM(SUMIFS(#REF!,#REF!,Planning[[#This Row],[Tipo de Tarea y especialidad]],#REF!,Planning[[#This Row],[Proyectos Reiwa]]),SUMIFS(#REF!,#REF!,Planning[[#This Row],[Tipo de Tarea y especialidad]],#REF!,Planning[[#This Row],[Proyectos]]))</f>
        <v>#REF!</v>
      </c>
      <c r="K2729" s="5" t="e">
        <f>Planning[[#This Row],[Horas Planificadas]]+Planning[[#This Row],[Horas ajustadas adicionales]]-Planning[[#This Row],[Horas utilizadas]]</f>
        <v>#REF!</v>
      </c>
      <c r="L2729" s="7"/>
      <c r="M2729" s="19" t="e">
        <f>Planning[[#This Row],[Saldo]]-Planning[[#This Row],[Saldo estimado]]</f>
        <v>#REF!</v>
      </c>
      <c r="N2729" s="60" t="e">
        <f>+SUMIFS(#REF!,#REF!,Planning[[#This Row],[Proyectos]],#REF!,Planning[[#This Row],[Tipo de Tarea y especialidad]])</f>
        <v>#REF!</v>
      </c>
      <c r="O2729" s="19">
        <f t="shared" si="84"/>
        <v>10</v>
      </c>
      <c r="P2729" s="19">
        <f t="shared" si="85"/>
        <v>2024</v>
      </c>
      <c r="Q27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29" s="19" t="str">
        <f>TEXT(Planning[[#This Row],[Mes]]*29,"mmmm")</f>
        <v>October</v>
      </c>
      <c r="S27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29" s="193"/>
      <c r="U2729" s="43" t="e">
        <f>IF(Planning[[#This Row],[Horas Planificadas]]&lt;&gt;0,+K2729/Planning[[#This Row],[Horas Planificadas]],0)</f>
        <v>#REF!</v>
      </c>
      <c r="V2729" s="43" t="e">
        <f>IF(Planning[[#This Row],[Horas Planificadas]]&lt;&gt;0,Planning[[#This Row],[Horas utilizadas]]/Planning[[#This Row],[Horas Planificadas]],0)</f>
        <v>#REF!</v>
      </c>
      <c r="W2729" s="44">
        <f>Planning[[#This Row],[Horas Planificadas]]+Planning[[#This Row],[Horas ajustadas adicionales]]</f>
        <v>100</v>
      </c>
      <c r="X2729" s="142"/>
    </row>
    <row r="2730" spans="1:24" x14ac:dyDescent="0.2">
      <c r="A2730" s="7" t="s">
        <v>117</v>
      </c>
      <c r="B2730" s="7" t="s">
        <v>205</v>
      </c>
      <c r="C2730" s="3"/>
      <c r="D2730" s="3" t="s">
        <v>546</v>
      </c>
      <c r="E2730" s="4"/>
      <c r="F2730" s="3" t="s">
        <v>131</v>
      </c>
      <c r="G2730" s="9"/>
      <c r="H2730" s="12"/>
      <c r="I2730" s="12"/>
      <c r="J2730" s="5" t="e">
        <f>SUM(SUMIFS(#REF!,#REF!,Planning[[#This Row],[Tipo de Tarea y especialidad]],#REF!,Planning[[#This Row],[Proyectos Reiwa]]),SUMIFS(#REF!,#REF!,Planning[[#This Row],[Tipo de Tarea y especialidad]],#REF!,Planning[[#This Row],[Proyectos]]))</f>
        <v>#REF!</v>
      </c>
      <c r="K2730" s="27" t="e">
        <f>Planning[[#This Row],[Horas Planificadas]]+Planning[[#This Row],[Horas ajustadas adicionales]]-Planning[[#This Row],[Horas utilizadas]]</f>
        <v>#REF!</v>
      </c>
      <c r="L2730" s="7"/>
      <c r="M2730" s="19" t="e">
        <f>Planning[[#This Row],[Saldo]]-Planning[[#This Row],[Saldo estimado]]</f>
        <v>#REF!</v>
      </c>
      <c r="N2730" s="60" t="e">
        <f>+SUMIFS(#REF!,#REF!,Planning[[#This Row],[Proyectos]],#REF!,Planning[[#This Row],[Tipo de Tarea y especialidad]])</f>
        <v>#REF!</v>
      </c>
      <c r="O2730" s="19">
        <f t="shared" si="84"/>
        <v>10</v>
      </c>
      <c r="P2730" s="19">
        <f t="shared" si="85"/>
        <v>2024</v>
      </c>
      <c r="Q27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30" s="19" t="str">
        <f>TEXT(Planning[[#This Row],[Mes]]*29,"mmmm")</f>
        <v>October</v>
      </c>
      <c r="S27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30" s="193"/>
      <c r="U2730" s="43">
        <f>IF(Planning[[#This Row],[Horas Planificadas]]&lt;&gt;0,+K2730/Planning[[#This Row],[Horas Planificadas]],0)</f>
        <v>0</v>
      </c>
      <c r="V2730" s="43">
        <f>IF(Planning[[#This Row],[Horas Planificadas]]&lt;&gt;0,Planning[[#This Row],[Horas utilizadas]]/Planning[[#This Row],[Horas Planificadas]],0)</f>
        <v>0</v>
      </c>
      <c r="W2730" s="44">
        <f>Planning[[#This Row],[Horas Planificadas]]+Planning[[#This Row],[Horas ajustadas adicionales]]</f>
        <v>0</v>
      </c>
      <c r="X2730" s="142"/>
    </row>
    <row r="2731" spans="1:24" ht="22.5" x14ac:dyDescent="0.2">
      <c r="A2731" s="7" t="s">
        <v>117</v>
      </c>
      <c r="B2731" s="7" t="s">
        <v>205</v>
      </c>
      <c r="C2731" s="3"/>
      <c r="D2731" s="3" t="s">
        <v>548</v>
      </c>
      <c r="E2731" s="4" t="s">
        <v>28</v>
      </c>
      <c r="F2731" s="3"/>
      <c r="G2731" s="9">
        <v>354</v>
      </c>
      <c r="H2731" s="25">
        <f>SUM(H2732:H2733)</f>
        <v>354</v>
      </c>
      <c r="I2731" s="14"/>
      <c r="J2731" s="14" t="e">
        <f>SUM(J2732:J2733)</f>
        <v>#REF!</v>
      </c>
      <c r="K2731" s="18" t="e">
        <f>SUM(K2732:K2733)</f>
        <v>#REF!</v>
      </c>
      <c r="L2731" s="15">
        <f>SUM(L2732:L2733)</f>
        <v>0</v>
      </c>
      <c r="M2731" s="28" t="e">
        <f>SUM(M2732:M2733)</f>
        <v>#REF!</v>
      </c>
      <c r="N2731" s="61" t="e">
        <f>+SUMIFS(#REF!,#REF!,Planning[[#This Row],[Proyectos]],#REF!,Planning[[#This Row],[Tipo de Tarea y especialidad]])</f>
        <v>#REF!</v>
      </c>
      <c r="O2731" s="28">
        <f t="shared" si="84"/>
        <v>10</v>
      </c>
      <c r="P2731" s="28">
        <f t="shared" si="85"/>
        <v>2024</v>
      </c>
      <c r="Q2731" s="28" t="e">
        <f>SUM(Q2732:Q2733)</f>
        <v>#REF!</v>
      </c>
      <c r="R2731" s="28" t="str">
        <f>TEXT(Planning[[#This Row],[Mes]]*29,"mmmm")</f>
        <v>October</v>
      </c>
      <c r="S27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31" s="192" t="s">
        <v>549</v>
      </c>
      <c r="U2731" s="43" t="e">
        <f>IF(Planning[[#This Row],[Horas Planificadas]]&lt;&gt;0,+K2731/Planning[[#This Row],[Horas Planificadas]],0)</f>
        <v>#REF!</v>
      </c>
      <c r="V2731" s="43" t="e">
        <f>IF(Planning[[#This Row],[Horas Planificadas]]&lt;&gt;0,Planning[[#This Row],[Horas utilizadas]]/Planning[[#This Row],[Horas Planificadas]],0)</f>
        <v>#REF!</v>
      </c>
      <c r="W2731" s="44">
        <f>Planning[[#This Row],[Horas Planificadas]]+Planning[[#This Row],[Horas ajustadas adicionales]]</f>
        <v>354</v>
      </c>
      <c r="X2731" s="142"/>
    </row>
    <row r="2732" spans="1:24" x14ac:dyDescent="0.2">
      <c r="A2732" s="7" t="s">
        <v>117</v>
      </c>
      <c r="B2732" s="7" t="s">
        <v>205</v>
      </c>
      <c r="C2732" s="3"/>
      <c r="D2732" s="3" t="s">
        <v>548</v>
      </c>
      <c r="E2732" s="4"/>
      <c r="F2732" s="3" t="s">
        <v>120</v>
      </c>
      <c r="G2732" s="9"/>
      <c r="H2732" s="9">
        <v>210</v>
      </c>
      <c r="I2732" s="12"/>
      <c r="J2732" s="5" t="e">
        <f>SUM(SUMIFS(#REF!,#REF!,Planning[[#This Row],[Tipo de Tarea y especialidad]],#REF!,Planning[[#This Row],[Proyectos Reiwa]]),SUMIFS(#REF!,#REF!,Planning[[#This Row],[Tipo de Tarea y especialidad]],#REF!,Planning[[#This Row],[Proyectos]]))</f>
        <v>#REF!</v>
      </c>
      <c r="K2732" s="5" t="e">
        <f>Planning[[#This Row],[Horas Planificadas]]+Planning[[#This Row],[Horas ajustadas adicionales]]-Planning[[#This Row],[Horas utilizadas]]</f>
        <v>#REF!</v>
      </c>
      <c r="L2732" s="7">
        <v>0</v>
      </c>
      <c r="M2732" s="19" t="e">
        <f>Planning[[#This Row],[Saldo]]-Planning[[#This Row],[Saldo estimado]]</f>
        <v>#REF!</v>
      </c>
      <c r="N2732" s="60" t="e">
        <f>+SUMIFS(#REF!,#REF!,Planning[[#This Row],[Proyectos]],#REF!,Planning[[#This Row],[Tipo de Tarea y especialidad]])</f>
        <v>#REF!</v>
      </c>
      <c r="O2732" s="19">
        <f t="shared" si="84"/>
        <v>10</v>
      </c>
      <c r="P2732" s="19">
        <f t="shared" si="85"/>
        <v>2024</v>
      </c>
      <c r="Q27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32" s="19" t="str">
        <f>TEXT(Planning[[#This Row],[Mes]]*29,"mmmm")</f>
        <v>October</v>
      </c>
      <c r="S27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32" s="193"/>
      <c r="U2732" s="43" t="e">
        <f>IF(Planning[[#This Row],[Horas Planificadas]]&lt;&gt;0,+K2732/Planning[[#This Row],[Horas Planificadas]],0)</f>
        <v>#REF!</v>
      </c>
      <c r="V2732" s="43" t="e">
        <f>IF(Planning[[#This Row],[Horas Planificadas]]&lt;&gt;0,Planning[[#This Row],[Horas utilizadas]]/Planning[[#This Row],[Horas Planificadas]],0)</f>
        <v>#REF!</v>
      </c>
      <c r="W2732" s="44">
        <f>Planning[[#This Row],[Horas Planificadas]]+Planning[[#This Row],[Horas ajustadas adicionales]]</f>
        <v>210</v>
      </c>
      <c r="X2732" s="142"/>
    </row>
    <row r="2733" spans="1:24" x14ac:dyDescent="0.2">
      <c r="A2733" s="7" t="s">
        <v>117</v>
      </c>
      <c r="B2733" s="7" t="s">
        <v>205</v>
      </c>
      <c r="C2733" s="3"/>
      <c r="D2733" s="3" t="s">
        <v>548</v>
      </c>
      <c r="E2733" s="4"/>
      <c r="F2733" s="3" t="s">
        <v>121</v>
      </c>
      <c r="G2733" s="9"/>
      <c r="H2733" s="9">
        <v>144</v>
      </c>
      <c r="I2733" s="12"/>
      <c r="J2733" s="5" t="e">
        <f>SUM(SUMIFS(#REF!,#REF!,Planning[[#This Row],[Tipo de Tarea y especialidad]],#REF!,Planning[[#This Row],[Proyectos Reiwa]]),SUMIFS(#REF!,#REF!,Planning[[#This Row],[Tipo de Tarea y especialidad]],#REF!,Planning[[#This Row],[Proyectos]]))</f>
        <v>#REF!</v>
      </c>
      <c r="K2733" s="5" t="e">
        <f>Planning[[#This Row],[Horas Planificadas]]+Planning[[#This Row],[Horas ajustadas adicionales]]-Planning[[#This Row],[Horas utilizadas]]</f>
        <v>#REF!</v>
      </c>
      <c r="L2733" s="7">
        <v>0</v>
      </c>
      <c r="M2733" s="19" t="e">
        <f>Planning[[#This Row],[Saldo]]-Planning[[#This Row],[Saldo estimado]]</f>
        <v>#REF!</v>
      </c>
      <c r="N2733" s="60" t="e">
        <f>+SUMIFS(#REF!,#REF!,Planning[[#This Row],[Proyectos]],#REF!,Planning[[#This Row],[Tipo de Tarea y especialidad]])</f>
        <v>#REF!</v>
      </c>
      <c r="O2733" s="19">
        <f t="shared" si="84"/>
        <v>10</v>
      </c>
      <c r="P2733" s="19">
        <f t="shared" si="85"/>
        <v>2024</v>
      </c>
      <c r="Q27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33" s="19" t="str">
        <f>TEXT(Planning[[#This Row],[Mes]]*29,"mmmm")</f>
        <v>October</v>
      </c>
      <c r="S27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33" s="193"/>
      <c r="U2733" s="43" t="e">
        <f>IF(Planning[[#This Row],[Horas Planificadas]]&lt;&gt;0,+K2733/Planning[[#This Row],[Horas Planificadas]],0)</f>
        <v>#REF!</v>
      </c>
      <c r="V2733" s="43" t="e">
        <f>IF(Planning[[#This Row],[Horas Planificadas]]&lt;&gt;0,Planning[[#This Row],[Horas utilizadas]]/Planning[[#This Row],[Horas Planificadas]],0)</f>
        <v>#REF!</v>
      </c>
      <c r="W2733" s="44">
        <f>Planning[[#This Row],[Horas Planificadas]]+Planning[[#This Row],[Horas ajustadas adicionales]]</f>
        <v>144</v>
      </c>
      <c r="X2733" s="142"/>
    </row>
    <row r="2734" spans="1:24" x14ac:dyDescent="0.2">
      <c r="A2734" s="7" t="s">
        <v>117</v>
      </c>
      <c r="B2734" s="7" t="s">
        <v>205</v>
      </c>
      <c r="C2734" s="3"/>
      <c r="D2734" s="3" t="s">
        <v>548</v>
      </c>
      <c r="E2734" s="4" t="s">
        <v>30</v>
      </c>
      <c r="F2734" s="3"/>
      <c r="G2734" s="9">
        <v>549</v>
      </c>
      <c r="H2734" s="25">
        <f>SUM(H2735:H2741)</f>
        <v>549</v>
      </c>
      <c r="I2734" s="14"/>
      <c r="J2734" s="14" t="e">
        <f>SUM(J2735:J2741)</f>
        <v>#REF!</v>
      </c>
      <c r="K2734" s="18" t="e">
        <f>SUM(K2735:K2741)</f>
        <v>#REF!</v>
      </c>
      <c r="L2734" s="15">
        <f>SUM(L2735:L2741)</f>
        <v>0</v>
      </c>
      <c r="M2734" s="16" t="e">
        <f>SUM(M2735:M2741)</f>
        <v>#REF!</v>
      </c>
      <c r="N2734" s="60" t="e">
        <f>+SUMIFS(#REF!,#REF!,Planning[[#This Row],[Proyectos]],#REF!,Planning[[#This Row],[Tipo de Tarea y especialidad]])</f>
        <v>#REF!</v>
      </c>
      <c r="O2734" s="16">
        <f t="shared" si="84"/>
        <v>10</v>
      </c>
      <c r="P2734" s="16">
        <f t="shared" si="85"/>
        <v>2024</v>
      </c>
      <c r="Q2734" s="16" t="e">
        <f>SUM(Q2735:Q2741)</f>
        <v>#REF!</v>
      </c>
      <c r="R2734" s="16" t="str">
        <f>TEXT(Planning[[#This Row],[Mes]]*29,"mmmm")</f>
        <v>October</v>
      </c>
      <c r="S27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34" s="193"/>
      <c r="U2734" s="43" t="e">
        <f>IF(Planning[[#This Row],[Horas Planificadas]]&lt;&gt;0,+K2734/Planning[[#This Row],[Horas Planificadas]],0)</f>
        <v>#REF!</v>
      </c>
      <c r="V2734" s="43" t="e">
        <f>IF(Planning[[#This Row],[Horas Planificadas]]&lt;&gt;0,Planning[[#This Row],[Horas utilizadas]]/Planning[[#This Row],[Horas Planificadas]],0)</f>
        <v>#REF!</v>
      </c>
      <c r="W2734" s="44">
        <f>Planning[[#This Row],[Horas Planificadas]]+Planning[[#This Row],[Horas ajustadas adicionales]]</f>
        <v>549</v>
      </c>
      <c r="X2734" s="142"/>
    </row>
    <row r="2735" spans="1:24" x14ac:dyDescent="0.2">
      <c r="A2735" s="7" t="s">
        <v>117</v>
      </c>
      <c r="B2735" s="7" t="s">
        <v>205</v>
      </c>
      <c r="C2735" s="3"/>
      <c r="D2735" s="3" t="s">
        <v>548</v>
      </c>
      <c r="E2735" s="4"/>
      <c r="F2735" s="3" t="s">
        <v>122</v>
      </c>
      <c r="G2735" s="9"/>
      <c r="H2735" s="9"/>
      <c r="I2735" s="12"/>
      <c r="J2735" s="5" t="e">
        <f>SUM(SUMIFS(#REF!,#REF!,Planning[[#This Row],[Tipo de Tarea y especialidad]],#REF!,Planning[[#This Row],[Proyectos Reiwa]]),SUMIFS(#REF!,#REF!,Planning[[#This Row],[Tipo de Tarea y especialidad]],#REF!,Planning[[#This Row],[Proyectos]]))</f>
        <v>#REF!</v>
      </c>
      <c r="K2735" s="5" t="e">
        <f>Planning[[#This Row],[Horas Planificadas]]+Planning[[#This Row],[Horas ajustadas adicionales]]-Planning[[#This Row],[Horas utilizadas]]</f>
        <v>#REF!</v>
      </c>
      <c r="L2735" s="7"/>
      <c r="M2735" s="19" t="e">
        <f>Planning[[#This Row],[Saldo]]-Planning[[#This Row],[Saldo estimado]]</f>
        <v>#REF!</v>
      </c>
      <c r="N2735" s="60" t="e">
        <f>+SUMIFS(#REF!,#REF!,Planning[[#This Row],[Proyectos]],#REF!,Planning[[#This Row],[Tipo de Tarea y especialidad]])</f>
        <v>#REF!</v>
      </c>
      <c r="O2735" s="19">
        <f t="shared" si="84"/>
        <v>10</v>
      </c>
      <c r="P2735" s="19">
        <f t="shared" si="85"/>
        <v>2024</v>
      </c>
      <c r="Q27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35" s="19" t="str">
        <f>TEXT(Planning[[#This Row],[Mes]]*29,"mmmm")</f>
        <v>October</v>
      </c>
      <c r="S27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35" s="193"/>
      <c r="U2735" s="43">
        <f>IF(Planning[[#This Row],[Horas Planificadas]]&lt;&gt;0,+K2735/Planning[[#This Row],[Horas Planificadas]],0)</f>
        <v>0</v>
      </c>
      <c r="V2735" s="43">
        <f>IF(Planning[[#This Row],[Horas Planificadas]]&lt;&gt;0,Planning[[#This Row],[Horas utilizadas]]/Planning[[#This Row],[Horas Planificadas]],0)</f>
        <v>0</v>
      </c>
      <c r="W2735" s="44">
        <f>Planning[[#This Row],[Horas Planificadas]]+Planning[[#This Row],[Horas ajustadas adicionales]]</f>
        <v>0</v>
      </c>
      <c r="X2735" s="142"/>
    </row>
    <row r="2736" spans="1:24" x14ac:dyDescent="0.2">
      <c r="A2736" s="7" t="s">
        <v>117</v>
      </c>
      <c r="B2736" s="7" t="s">
        <v>205</v>
      </c>
      <c r="C2736" s="3"/>
      <c r="D2736" s="3" t="s">
        <v>548</v>
      </c>
      <c r="E2736" s="4"/>
      <c r="F2736" s="3" t="s">
        <v>123</v>
      </c>
      <c r="G2736" s="9"/>
      <c r="H2736" s="9">
        <v>549</v>
      </c>
      <c r="I2736" s="12"/>
      <c r="J2736" s="5" t="e">
        <f>SUM(SUMIFS(#REF!,#REF!,Planning[[#This Row],[Tipo de Tarea y especialidad]],#REF!,Planning[[#This Row],[Proyectos Reiwa]]),SUMIFS(#REF!,#REF!,Planning[[#This Row],[Tipo de Tarea y especialidad]],#REF!,Planning[[#This Row],[Proyectos]]))</f>
        <v>#REF!</v>
      </c>
      <c r="K2736" s="5" t="e">
        <f>Planning[[#This Row],[Horas Planificadas]]+Planning[[#This Row],[Horas ajustadas adicionales]]-Planning[[#This Row],[Horas utilizadas]]</f>
        <v>#REF!</v>
      </c>
      <c r="L2736" s="7">
        <v>0</v>
      </c>
      <c r="M2736" s="19" t="e">
        <f>Planning[[#This Row],[Saldo]]-Planning[[#This Row],[Saldo estimado]]</f>
        <v>#REF!</v>
      </c>
      <c r="N2736" s="60" t="e">
        <f>+SUMIFS(#REF!,#REF!,Planning[[#This Row],[Proyectos]],#REF!,Planning[[#This Row],[Tipo de Tarea y especialidad]])</f>
        <v>#REF!</v>
      </c>
      <c r="O2736" s="19">
        <f t="shared" si="84"/>
        <v>10</v>
      </c>
      <c r="P2736" s="19">
        <f t="shared" si="85"/>
        <v>2024</v>
      </c>
      <c r="Q27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36" s="19" t="str">
        <f>TEXT(Planning[[#This Row],[Mes]]*29,"mmmm")</f>
        <v>October</v>
      </c>
      <c r="S27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36" s="193"/>
      <c r="U2736" s="43" t="e">
        <f>IF(Planning[[#This Row],[Horas Planificadas]]&lt;&gt;0,+K2736/Planning[[#This Row],[Horas Planificadas]],0)</f>
        <v>#REF!</v>
      </c>
      <c r="V2736" s="43" t="e">
        <f>IF(Planning[[#This Row],[Horas Planificadas]]&lt;&gt;0,Planning[[#This Row],[Horas utilizadas]]/Planning[[#This Row],[Horas Planificadas]],0)</f>
        <v>#REF!</v>
      </c>
      <c r="W2736" s="44">
        <f>Planning[[#This Row],[Horas Planificadas]]+Planning[[#This Row],[Horas ajustadas adicionales]]</f>
        <v>549</v>
      </c>
      <c r="X2736" s="142"/>
    </row>
    <row r="2737" spans="1:24" x14ac:dyDescent="0.2">
      <c r="A2737" s="7" t="s">
        <v>117</v>
      </c>
      <c r="B2737" s="7" t="s">
        <v>205</v>
      </c>
      <c r="C2737" s="3"/>
      <c r="D2737" s="3" t="s">
        <v>548</v>
      </c>
      <c r="E2737" s="4"/>
      <c r="F2737" s="3" t="s">
        <v>124</v>
      </c>
      <c r="G2737" s="9"/>
      <c r="H2737" s="9"/>
      <c r="I2737" s="12"/>
      <c r="J2737" s="5" t="e">
        <f>SUM(SUMIFS(#REF!,#REF!,Planning[[#This Row],[Tipo de Tarea y especialidad]],#REF!,Planning[[#This Row],[Proyectos Reiwa]]),SUMIFS(#REF!,#REF!,Planning[[#This Row],[Tipo de Tarea y especialidad]],#REF!,Planning[[#This Row],[Proyectos]]))</f>
        <v>#REF!</v>
      </c>
      <c r="K2737" s="5" t="e">
        <f>Planning[[#This Row],[Horas Planificadas]]+Planning[[#This Row],[Horas ajustadas adicionales]]-Planning[[#This Row],[Horas utilizadas]]</f>
        <v>#REF!</v>
      </c>
      <c r="L2737" s="7"/>
      <c r="M2737" s="19" t="e">
        <f>Planning[[#This Row],[Saldo]]-Planning[[#This Row],[Saldo estimado]]</f>
        <v>#REF!</v>
      </c>
      <c r="N2737" s="60" t="e">
        <f>+SUMIFS(#REF!,#REF!,Planning[[#This Row],[Proyectos]],#REF!,Planning[[#This Row],[Tipo de Tarea y especialidad]])</f>
        <v>#REF!</v>
      </c>
      <c r="O2737" s="19">
        <f t="shared" si="84"/>
        <v>10</v>
      </c>
      <c r="P2737" s="19">
        <f t="shared" si="85"/>
        <v>2024</v>
      </c>
      <c r="Q27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37" s="19" t="str">
        <f>TEXT(Planning[[#This Row],[Mes]]*29,"mmmm")</f>
        <v>October</v>
      </c>
      <c r="S27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37" s="193"/>
      <c r="U2737" s="43">
        <f>IF(Planning[[#This Row],[Horas Planificadas]]&lt;&gt;0,+K2737/Planning[[#This Row],[Horas Planificadas]],0)</f>
        <v>0</v>
      </c>
      <c r="V2737" s="43">
        <f>IF(Planning[[#This Row],[Horas Planificadas]]&lt;&gt;0,Planning[[#This Row],[Horas utilizadas]]/Planning[[#This Row],[Horas Planificadas]],0)</f>
        <v>0</v>
      </c>
      <c r="W2737" s="44">
        <f>Planning[[#This Row],[Horas Planificadas]]+Planning[[#This Row],[Horas ajustadas adicionales]]</f>
        <v>0</v>
      </c>
      <c r="X2737" s="142"/>
    </row>
    <row r="2738" spans="1:24" x14ac:dyDescent="0.2">
      <c r="A2738" s="7" t="s">
        <v>117</v>
      </c>
      <c r="B2738" s="7" t="s">
        <v>205</v>
      </c>
      <c r="C2738" s="3"/>
      <c r="D2738" s="3" t="s">
        <v>548</v>
      </c>
      <c r="E2738" s="4"/>
      <c r="F2738" s="3" t="s">
        <v>125</v>
      </c>
      <c r="G2738" s="9"/>
      <c r="H2738" s="9"/>
      <c r="I2738" s="12"/>
      <c r="J2738" s="5" t="e">
        <f>SUM(SUMIFS(#REF!,#REF!,Planning[[#This Row],[Tipo de Tarea y especialidad]],#REF!,Planning[[#This Row],[Proyectos Reiwa]]),SUMIFS(#REF!,#REF!,Planning[[#This Row],[Tipo de Tarea y especialidad]],#REF!,Planning[[#This Row],[Proyectos]]))</f>
        <v>#REF!</v>
      </c>
      <c r="K2738" s="5" t="e">
        <f>Planning[[#This Row],[Horas Planificadas]]+Planning[[#This Row],[Horas ajustadas adicionales]]-Planning[[#This Row],[Horas utilizadas]]</f>
        <v>#REF!</v>
      </c>
      <c r="L2738" s="7"/>
      <c r="M2738" s="19" t="e">
        <f>Planning[[#This Row],[Saldo]]-Planning[[#This Row],[Saldo estimado]]</f>
        <v>#REF!</v>
      </c>
      <c r="N2738" s="60" t="e">
        <f>+SUMIFS(#REF!,#REF!,Planning[[#This Row],[Proyectos]],#REF!,Planning[[#This Row],[Tipo de Tarea y especialidad]])</f>
        <v>#REF!</v>
      </c>
      <c r="O2738" s="19">
        <f t="shared" si="84"/>
        <v>10</v>
      </c>
      <c r="P2738" s="19">
        <f t="shared" si="85"/>
        <v>2024</v>
      </c>
      <c r="Q27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38" s="19" t="str">
        <f>TEXT(Planning[[#This Row],[Mes]]*29,"mmmm")</f>
        <v>October</v>
      </c>
      <c r="S27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38" s="193"/>
      <c r="U2738" s="43">
        <f>IF(Planning[[#This Row],[Horas Planificadas]]&lt;&gt;0,+K2738/Planning[[#This Row],[Horas Planificadas]],0)</f>
        <v>0</v>
      </c>
      <c r="V2738" s="43">
        <f>IF(Planning[[#This Row],[Horas Planificadas]]&lt;&gt;0,Planning[[#This Row],[Horas utilizadas]]/Planning[[#This Row],[Horas Planificadas]],0)</f>
        <v>0</v>
      </c>
      <c r="W2738" s="44">
        <f>Planning[[#This Row],[Horas Planificadas]]+Planning[[#This Row],[Horas ajustadas adicionales]]</f>
        <v>0</v>
      </c>
      <c r="X2738" s="142"/>
    </row>
    <row r="2739" spans="1:24" x14ac:dyDescent="0.2">
      <c r="A2739" s="7" t="s">
        <v>117</v>
      </c>
      <c r="B2739" s="7" t="s">
        <v>205</v>
      </c>
      <c r="C2739" s="3"/>
      <c r="D2739" s="3" t="s">
        <v>548</v>
      </c>
      <c r="E2739" s="4"/>
      <c r="F2739" s="3" t="s">
        <v>126</v>
      </c>
      <c r="G2739" s="9"/>
      <c r="H2739" s="12"/>
      <c r="I2739" s="12"/>
      <c r="J2739" s="5" t="e">
        <f>SUM(SUMIFS(#REF!,#REF!,Planning[[#This Row],[Tipo de Tarea y especialidad]],#REF!,Planning[[#This Row],[Proyectos Reiwa]]),SUMIFS(#REF!,#REF!,Planning[[#This Row],[Tipo de Tarea y especialidad]],#REF!,Planning[[#This Row],[Proyectos]]))</f>
        <v>#REF!</v>
      </c>
      <c r="K2739" s="27" t="e">
        <f>Planning[[#This Row],[Horas Planificadas]]+Planning[[#This Row],[Horas ajustadas adicionales]]-Planning[[#This Row],[Horas utilizadas]]</f>
        <v>#REF!</v>
      </c>
      <c r="L2739" s="7"/>
      <c r="M2739" s="19" t="e">
        <f>Planning[[#This Row],[Saldo]]-Planning[[#This Row],[Saldo estimado]]</f>
        <v>#REF!</v>
      </c>
      <c r="N2739" s="60" t="e">
        <f>+SUMIFS(#REF!,#REF!,Planning[[#This Row],[Proyectos]],#REF!,Planning[[#This Row],[Tipo de Tarea y especialidad]])</f>
        <v>#REF!</v>
      </c>
      <c r="O2739" s="19">
        <f t="shared" si="84"/>
        <v>10</v>
      </c>
      <c r="P2739" s="19">
        <f t="shared" si="85"/>
        <v>2024</v>
      </c>
      <c r="Q27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39" s="19" t="str">
        <f>TEXT(Planning[[#This Row],[Mes]]*29,"mmmm")</f>
        <v>October</v>
      </c>
      <c r="S27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39" s="193"/>
      <c r="U2739" s="43">
        <f>IF(Planning[[#This Row],[Horas Planificadas]]&lt;&gt;0,+K2739/Planning[[#This Row],[Horas Planificadas]],0)</f>
        <v>0</v>
      </c>
      <c r="V2739" s="43">
        <f>IF(Planning[[#This Row],[Horas Planificadas]]&lt;&gt;0,Planning[[#This Row],[Horas utilizadas]]/Planning[[#This Row],[Horas Planificadas]],0)</f>
        <v>0</v>
      </c>
      <c r="W2739" s="44">
        <f>Planning[[#This Row],[Horas Planificadas]]+Planning[[#This Row],[Horas ajustadas adicionales]]</f>
        <v>0</v>
      </c>
      <c r="X2739" s="142"/>
    </row>
    <row r="2740" spans="1:24" x14ac:dyDescent="0.2">
      <c r="A2740" s="7" t="s">
        <v>117</v>
      </c>
      <c r="B2740" s="7" t="s">
        <v>205</v>
      </c>
      <c r="C2740" s="3"/>
      <c r="D2740" s="3" t="s">
        <v>548</v>
      </c>
      <c r="E2740" s="4"/>
      <c r="F2740" s="3" t="s">
        <v>127</v>
      </c>
      <c r="G2740" s="9"/>
      <c r="H2740" s="9"/>
      <c r="I2740" s="12"/>
      <c r="J2740" s="5" t="e">
        <f>SUM(SUMIFS(#REF!,#REF!,Planning[[#This Row],[Tipo de Tarea y especialidad]],#REF!,Planning[[#This Row],[Proyectos Reiwa]]),SUMIFS(#REF!,#REF!,Planning[[#This Row],[Tipo de Tarea y especialidad]],#REF!,Planning[[#This Row],[Proyectos]]))</f>
        <v>#REF!</v>
      </c>
      <c r="K2740" s="5" t="e">
        <f>Planning[[#This Row],[Horas Planificadas]]+Planning[[#This Row],[Horas ajustadas adicionales]]-Planning[[#This Row],[Horas utilizadas]]</f>
        <v>#REF!</v>
      </c>
      <c r="L2740" s="7"/>
      <c r="M2740" s="19" t="e">
        <f>Planning[[#This Row],[Saldo]]-Planning[[#This Row],[Saldo estimado]]</f>
        <v>#REF!</v>
      </c>
      <c r="N2740" s="60" t="e">
        <f>+SUMIFS(#REF!,#REF!,Planning[[#This Row],[Proyectos]],#REF!,Planning[[#This Row],[Tipo de Tarea y especialidad]])</f>
        <v>#REF!</v>
      </c>
      <c r="O2740" s="19">
        <f t="shared" si="84"/>
        <v>10</v>
      </c>
      <c r="P2740" s="19">
        <f t="shared" si="85"/>
        <v>2024</v>
      </c>
      <c r="Q27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40" s="19" t="str">
        <f>TEXT(Planning[[#This Row],[Mes]]*29,"mmmm")</f>
        <v>October</v>
      </c>
      <c r="S27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40" s="193"/>
      <c r="U2740" s="43">
        <f>IF(Planning[[#This Row],[Horas Planificadas]]&lt;&gt;0,+K2740/Planning[[#This Row],[Horas Planificadas]],0)</f>
        <v>0</v>
      </c>
      <c r="V2740" s="43">
        <f>IF(Planning[[#This Row],[Horas Planificadas]]&lt;&gt;0,Planning[[#This Row],[Horas utilizadas]]/Planning[[#This Row],[Horas Planificadas]],0)</f>
        <v>0</v>
      </c>
      <c r="W2740" s="44">
        <f>Planning[[#This Row],[Horas Planificadas]]+Planning[[#This Row],[Horas ajustadas adicionales]]</f>
        <v>0</v>
      </c>
      <c r="X2740" s="142"/>
    </row>
    <row r="2741" spans="1:24" x14ac:dyDescent="0.2">
      <c r="A2741" s="7" t="s">
        <v>117</v>
      </c>
      <c r="B2741" s="7" t="s">
        <v>205</v>
      </c>
      <c r="C2741" s="3"/>
      <c r="D2741" s="3" t="s">
        <v>548</v>
      </c>
      <c r="E2741" s="4"/>
      <c r="F2741" s="3" t="s">
        <v>128</v>
      </c>
      <c r="G2741" s="9"/>
      <c r="H2741" s="9"/>
      <c r="I2741" s="12"/>
      <c r="J2741" s="5" t="e">
        <f>SUM(SUMIFS(#REF!,#REF!,Planning[[#This Row],[Tipo de Tarea y especialidad]],#REF!,Planning[[#This Row],[Proyectos Reiwa]]),SUMIFS(#REF!,#REF!,Planning[[#This Row],[Tipo de Tarea y especialidad]],#REF!,Planning[[#This Row],[Proyectos]]))</f>
        <v>#REF!</v>
      </c>
      <c r="K2741" s="5" t="e">
        <f>Planning[[#This Row],[Horas Planificadas]]+Planning[[#This Row],[Horas ajustadas adicionales]]-Planning[[#This Row],[Horas utilizadas]]</f>
        <v>#REF!</v>
      </c>
      <c r="L2741" s="7"/>
      <c r="M2741" s="19" t="e">
        <f>Planning[[#This Row],[Saldo]]-Planning[[#This Row],[Saldo estimado]]</f>
        <v>#REF!</v>
      </c>
      <c r="N2741" s="60" t="e">
        <f>+SUMIFS(#REF!,#REF!,Planning[[#This Row],[Proyectos]],#REF!,Planning[[#This Row],[Tipo de Tarea y especialidad]])</f>
        <v>#REF!</v>
      </c>
      <c r="O2741" s="19">
        <f t="shared" si="84"/>
        <v>10</v>
      </c>
      <c r="P2741" s="19">
        <f t="shared" si="85"/>
        <v>2024</v>
      </c>
      <c r="Q27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41" s="19" t="str">
        <f>TEXT(Planning[[#This Row],[Mes]]*29,"mmmm")</f>
        <v>October</v>
      </c>
      <c r="S27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41" s="193"/>
      <c r="U2741" s="43">
        <f>IF(Planning[[#This Row],[Horas Planificadas]]&lt;&gt;0,+K2741/Planning[[#This Row],[Horas Planificadas]],0)</f>
        <v>0</v>
      </c>
      <c r="V2741" s="43">
        <f>IF(Planning[[#This Row],[Horas Planificadas]]&lt;&gt;0,Planning[[#This Row],[Horas utilizadas]]/Planning[[#This Row],[Horas Planificadas]],0)</f>
        <v>0</v>
      </c>
      <c r="W2741" s="44">
        <f>Planning[[#This Row],[Horas Planificadas]]+Planning[[#This Row],[Horas ajustadas adicionales]]</f>
        <v>0</v>
      </c>
      <c r="X2741" s="142"/>
    </row>
    <row r="2742" spans="1:24" x14ac:dyDescent="0.2">
      <c r="A2742" s="7" t="s">
        <v>117</v>
      </c>
      <c r="B2742" s="7" t="s">
        <v>205</v>
      </c>
      <c r="C2742" s="3"/>
      <c r="D2742" s="3" t="s">
        <v>548</v>
      </c>
      <c r="E2742" s="4" t="s">
        <v>31</v>
      </c>
      <c r="F2742" s="3" t="s">
        <v>31</v>
      </c>
      <c r="G2742" s="9">
        <v>90</v>
      </c>
      <c r="H2742" s="17">
        <v>90</v>
      </c>
      <c r="I2742" s="18"/>
      <c r="J2742" s="14" t="e">
        <f>+SUMIFS(#REF!,#REF!,Planning[[#This Row],[Tarifa]],#REF!,Planning[[#This Row],[Proyectos]])</f>
        <v>#REF!</v>
      </c>
      <c r="K2742" s="14" t="e">
        <f>Planning[[#This Row],[Horas Planificadas]]+Planning[[#This Row],[Horas ajustadas adicionales]]-Planning[[#This Row],[Horas utilizadas]]</f>
        <v>#REF!</v>
      </c>
      <c r="L2742" s="15">
        <v>-27</v>
      </c>
      <c r="M2742" s="16" t="e">
        <f>Planning[[#This Row],[Saldo]]-Planning[[#This Row],[Saldo estimado]]</f>
        <v>#REF!</v>
      </c>
      <c r="N2742" s="60" t="e">
        <f>+SUMIFS(#REF!,#REF!,Planning[[#This Row],[Proyectos]],#REF!,Planning[[#This Row],[Tipo de Tarea y especialidad]])</f>
        <v>#REF!</v>
      </c>
      <c r="O2742" s="16">
        <f t="shared" si="84"/>
        <v>10</v>
      </c>
      <c r="P2742" s="16">
        <f t="shared" si="85"/>
        <v>2024</v>
      </c>
      <c r="Q2742" s="16" t="e">
        <f>+SUMIFS(#REF!,#REF!,Planning[[#This Row],[Tarifa]],#REF!,Planning[[#This Row],[Proyectos]],#REF!,Planning[[#This Row],[Mes]],#REF!,Planning[[#This Row],[Año]])</f>
        <v>#REF!</v>
      </c>
      <c r="R2742" s="16" t="str">
        <f>TEXT(Planning[[#This Row],[Mes]]*29,"mmmm")</f>
        <v>October</v>
      </c>
      <c r="S27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42" s="193"/>
      <c r="U2742" s="43" t="e">
        <f>IF(Planning[[#This Row],[Horas Planificadas]]&lt;&gt;0,+K2742/Planning[[#This Row],[Horas Planificadas]],0)</f>
        <v>#REF!</v>
      </c>
      <c r="V2742" s="43" t="e">
        <f>IF(Planning[[#This Row],[Horas Planificadas]]&lt;&gt;0,Planning[[#This Row],[Horas utilizadas]]/Planning[[#This Row],[Horas Planificadas]],0)</f>
        <v>#REF!</v>
      </c>
      <c r="W2742" s="44">
        <f>Planning[[#This Row],[Horas Planificadas]]+Planning[[#This Row],[Horas ajustadas adicionales]]</f>
        <v>90</v>
      </c>
      <c r="X2742" s="142"/>
    </row>
    <row r="2743" spans="1:24" ht="22.5" x14ac:dyDescent="0.2">
      <c r="A2743" s="7" t="s">
        <v>117</v>
      </c>
      <c r="B2743" s="7" t="s">
        <v>205</v>
      </c>
      <c r="C2743" s="3"/>
      <c r="D2743" s="3" t="s">
        <v>548</v>
      </c>
      <c r="E2743" s="4" t="s">
        <v>32</v>
      </c>
      <c r="F2743" s="3"/>
      <c r="G2743" s="9">
        <v>100</v>
      </c>
      <c r="H2743" s="14">
        <f>SUM(H2744:H2746)</f>
        <v>100</v>
      </c>
      <c r="I2743" s="14"/>
      <c r="J2743" s="14" t="e">
        <f>SUM(J2744:J2746)</f>
        <v>#REF!</v>
      </c>
      <c r="K2743" s="15" t="e">
        <f>SUM(K2744:K2746)</f>
        <v>#REF!</v>
      </c>
      <c r="L2743" s="15">
        <f>SUM(L2744:L2746)</f>
        <v>0</v>
      </c>
      <c r="M2743" s="35" t="e">
        <f>SUM(M2744:M2746)</f>
        <v>#REF!</v>
      </c>
      <c r="N2743" s="62" t="e">
        <f>+SUMIFS(#REF!,#REF!,Planning[[#This Row],[Proyectos]],#REF!,Planning[[#This Row],[Tipo de Tarea y especialidad]])</f>
        <v>#REF!</v>
      </c>
      <c r="O2743" s="35">
        <f t="shared" si="84"/>
        <v>10</v>
      </c>
      <c r="P2743" s="35">
        <f t="shared" si="85"/>
        <v>2024</v>
      </c>
      <c r="Q2743" s="16" t="e">
        <f>SUM(Q2744:Q2746)</f>
        <v>#REF!</v>
      </c>
      <c r="R2743" s="16" t="str">
        <f>TEXT(Planning[[#This Row],[Mes]]*29,"mmmm")</f>
        <v>October</v>
      </c>
      <c r="S27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43" s="193"/>
      <c r="U2743" s="43" t="e">
        <f>IF(Planning[[#This Row],[Horas Planificadas]]&lt;&gt;0,+K2743/Planning[[#This Row],[Horas Planificadas]],0)</f>
        <v>#REF!</v>
      </c>
      <c r="V2743" s="43" t="e">
        <f>IF(Planning[[#This Row],[Horas Planificadas]]&lt;&gt;0,Planning[[#This Row],[Horas utilizadas]]/Planning[[#This Row],[Horas Planificadas]],0)</f>
        <v>#REF!</v>
      </c>
      <c r="W2743" s="44">
        <f>Planning[[#This Row],[Horas Planificadas]]+Planning[[#This Row],[Horas ajustadas adicionales]]</f>
        <v>100</v>
      </c>
      <c r="X2743" s="142"/>
    </row>
    <row r="2744" spans="1:24" x14ac:dyDescent="0.2">
      <c r="A2744" s="7" t="s">
        <v>117</v>
      </c>
      <c r="B2744" s="7" t="s">
        <v>205</v>
      </c>
      <c r="C2744" s="3"/>
      <c r="D2744" s="3" t="s">
        <v>548</v>
      </c>
      <c r="E2744" s="4"/>
      <c r="F2744" s="3" t="s">
        <v>129</v>
      </c>
      <c r="G2744" s="9"/>
      <c r="H2744" s="9"/>
      <c r="I2744" s="12"/>
      <c r="J2744" s="5" t="e">
        <f>SUM(SUMIFS(#REF!,#REF!,Planning[[#This Row],[Tipo de Tarea y especialidad]],#REF!,Planning[[#This Row],[Proyectos Reiwa]]),SUMIFS(#REF!,#REF!,Planning[[#This Row],[Tipo de Tarea y especialidad]],#REF!,Planning[[#This Row],[Proyectos]]))</f>
        <v>#REF!</v>
      </c>
      <c r="K2744" s="5" t="e">
        <f>Planning[[#This Row],[Horas Planificadas]]+Planning[[#This Row],[Horas ajustadas adicionales]]-Planning[[#This Row],[Horas utilizadas]]</f>
        <v>#REF!</v>
      </c>
      <c r="L2744" s="7"/>
      <c r="M2744" s="19" t="e">
        <f>Planning[[#This Row],[Saldo]]-Planning[[#This Row],[Saldo estimado]]</f>
        <v>#REF!</v>
      </c>
      <c r="N2744" s="60" t="e">
        <f>+SUMIFS(#REF!,#REF!,Planning[[#This Row],[Proyectos]],#REF!,Planning[[#This Row],[Tipo de Tarea y especialidad]])</f>
        <v>#REF!</v>
      </c>
      <c r="O2744" s="19">
        <f t="shared" si="84"/>
        <v>10</v>
      </c>
      <c r="P2744" s="19">
        <f t="shared" si="85"/>
        <v>2024</v>
      </c>
      <c r="Q27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44" s="19" t="str">
        <f>TEXT(Planning[[#This Row],[Mes]]*29,"mmmm")</f>
        <v>October</v>
      </c>
      <c r="S27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44" s="193"/>
      <c r="U2744" s="43">
        <f>IF(Planning[[#This Row],[Horas Planificadas]]&lt;&gt;0,+K2744/Planning[[#This Row],[Horas Planificadas]],0)</f>
        <v>0</v>
      </c>
      <c r="V2744" s="43">
        <f>IF(Planning[[#This Row],[Horas Planificadas]]&lt;&gt;0,Planning[[#This Row],[Horas utilizadas]]/Planning[[#This Row],[Horas Planificadas]],0)</f>
        <v>0</v>
      </c>
      <c r="W2744" s="44">
        <f>Planning[[#This Row],[Horas Planificadas]]+Planning[[#This Row],[Horas ajustadas adicionales]]</f>
        <v>0</v>
      </c>
      <c r="X2744" s="142"/>
    </row>
    <row r="2745" spans="1:24" x14ac:dyDescent="0.2">
      <c r="A2745" s="7" t="s">
        <v>117</v>
      </c>
      <c r="B2745" s="7" t="s">
        <v>205</v>
      </c>
      <c r="C2745" s="3"/>
      <c r="D2745" s="3" t="s">
        <v>548</v>
      </c>
      <c r="E2745" s="4"/>
      <c r="F2745" s="3" t="s">
        <v>130</v>
      </c>
      <c r="G2745" s="9"/>
      <c r="H2745" s="9">
        <v>100</v>
      </c>
      <c r="I2745" s="12"/>
      <c r="J2745" s="5" t="e">
        <f>SUM(SUMIFS(#REF!,#REF!,Planning[[#This Row],[Tipo de Tarea y especialidad]],#REF!,Planning[[#This Row],[Proyectos Reiwa]]),SUMIFS(#REF!,#REF!,Planning[[#This Row],[Tipo de Tarea y especialidad]],#REF!,Planning[[#This Row],[Proyectos]]))</f>
        <v>#REF!</v>
      </c>
      <c r="K2745" s="5" t="e">
        <f>Planning[[#This Row],[Horas Planificadas]]+Planning[[#This Row],[Horas ajustadas adicionales]]-Planning[[#This Row],[Horas utilizadas]]</f>
        <v>#REF!</v>
      </c>
      <c r="L2745" s="7">
        <v>0</v>
      </c>
      <c r="M2745" s="19" t="e">
        <f>Planning[[#This Row],[Saldo]]-Planning[[#This Row],[Saldo estimado]]</f>
        <v>#REF!</v>
      </c>
      <c r="N2745" s="60" t="e">
        <f>+SUMIFS(#REF!,#REF!,Planning[[#This Row],[Proyectos]],#REF!,Planning[[#This Row],[Tipo de Tarea y especialidad]])</f>
        <v>#REF!</v>
      </c>
      <c r="O2745" s="19">
        <f t="shared" si="84"/>
        <v>10</v>
      </c>
      <c r="P2745" s="19">
        <f t="shared" si="85"/>
        <v>2024</v>
      </c>
      <c r="Q27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45" s="19" t="str">
        <f>TEXT(Planning[[#This Row],[Mes]]*29,"mmmm")</f>
        <v>October</v>
      </c>
      <c r="S27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45" s="193"/>
      <c r="U2745" s="43" t="e">
        <f>IF(Planning[[#This Row],[Horas Planificadas]]&lt;&gt;0,+K2745/Planning[[#This Row],[Horas Planificadas]],0)</f>
        <v>#REF!</v>
      </c>
      <c r="V2745" s="43" t="e">
        <f>IF(Planning[[#This Row],[Horas Planificadas]]&lt;&gt;0,Planning[[#This Row],[Horas utilizadas]]/Planning[[#This Row],[Horas Planificadas]],0)</f>
        <v>#REF!</v>
      </c>
      <c r="W2745" s="44">
        <f>Planning[[#This Row],[Horas Planificadas]]+Planning[[#This Row],[Horas ajustadas adicionales]]</f>
        <v>100</v>
      </c>
      <c r="X2745" s="142"/>
    </row>
    <row r="2746" spans="1:24" x14ac:dyDescent="0.2">
      <c r="A2746" s="7" t="s">
        <v>117</v>
      </c>
      <c r="B2746" s="7" t="s">
        <v>205</v>
      </c>
      <c r="C2746" s="3"/>
      <c r="D2746" s="3" t="s">
        <v>548</v>
      </c>
      <c r="E2746" s="4"/>
      <c r="F2746" s="3" t="s">
        <v>131</v>
      </c>
      <c r="G2746" s="9"/>
      <c r="H2746" s="12"/>
      <c r="I2746" s="12"/>
      <c r="J2746" s="5" t="e">
        <f>SUM(SUMIFS(#REF!,#REF!,Planning[[#This Row],[Tipo de Tarea y especialidad]],#REF!,Planning[[#This Row],[Proyectos Reiwa]]),SUMIFS(#REF!,#REF!,Planning[[#This Row],[Tipo de Tarea y especialidad]],#REF!,Planning[[#This Row],[Proyectos]]))</f>
        <v>#REF!</v>
      </c>
      <c r="K2746" s="27" t="e">
        <f>Planning[[#This Row],[Horas Planificadas]]+Planning[[#This Row],[Horas ajustadas adicionales]]-Planning[[#This Row],[Horas utilizadas]]</f>
        <v>#REF!</v>
      </c>
      <c r="L2746" s="7"/>
      <c r="M2746" s="19" t="e">
        <f>Planning[[#This Row],[Saldo]]-Planning[[#This Row],[Saldo estimado]]</f>
        <v>#REF!</v>
      </c>
      <c r="N2746" s="60" t="e">
        <f>+SUMIFS(#REF!,#REF!,Planning[[#This Row],[Proyectos]],#REF!,Planning[[#This Row],[Tipo de Tarea y especialidad]])</f>
        <v>#REF!</v>
      </c>
      <c r="O2746" s="19">
        <f t="shared" si="84"/>
        <v>10</v>
      </c>
      <c r="P2746" s="19">
        <f t="shared" si="85"/>
        <v>2024</v>
      </c>
      <c r="Q27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46" s="19" t="str">
        <f>TEXT(Planning[[#This Row],[Mes]]*29,"mmmm")</f>
        <v>October</v>
      </c>
      <c r="S27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46" s="193"/>
      <c r="U2746" s="43">
        <f>IF(Planning[[#This Row],[Horas Planificadas]]&lt;&gt;0,+K2746/Planning[[#This Row],[Horas Planificadas]],0)</f>
        <v>0</v>
      </c>
      <c r="V2746" s="43">
        <f>IF(Planning[[#This Row],[Horas Planificadas]]&lt;&gt;0,Planning[[#This Row],[Horas utilizadas]]/Planning[[#This Row],[Horas Planificadas]],0)</f>
        <v>0</v>
      </c>
      <c r="W2746" s="44">
        <f>Planning[[#This Row],[Horas Planificadas]]+Planning[[#This Row],[Horas ajustadas adicionales]]</f>
        <v>0</v>
      </c>
      <c r="X2746" s="142"/>
    </row>
    <row r="2747" spans="1:24" ht="22.5" x14ac:dyDescent="0.2">
      <c r="A2747" s="7" t="s">
        <v>117</v>
      </c>
      <c r="B2747" s="7" t="s">
        <v>205</v>
      </c>
      <c r="C2747" s="3"/>
      <c r="D2747" s="3" t="s">
        <v>550</v>
      </c>
      <c r="E2747" s="4" t="s">
        <v>28</v>
      </c>
      <c r="F2747" s="3"/>
      <c r="G2747" s="9">
        <v>248</v>
      </c>
      <c r="H2747" s="25">
        <f>SUM(H2748:H2749)</f>
        <v>248</v>
      </c>
      <c r="I2747" s="14"/>
      <c r="J2747" s="14" t="e">
        <f>SUM(J2748:J2749)</f>
        <v>#REF!</v>
      </c>
      <c r="K2747" s="18" t="e">
        <f>SUM(K2748:K2749)</f>
        <v>#REF!</v>
      </c>
      <c r="L2747" s="15">
        <f>SUM(L2748:L2749)</f>
        <v>0</v>
      </c>
      <c r="M2747" s="28" t="e">
        <f>SUM(M2748:M2749)</f>
        <v>#REF!</v>
      </c>
      <c r="N2747" s="61" t="e">
        <f>+SUMIFS(#REF!,#REF!,Planning[[#This Row],[Proyectos]],#REF!,Planning[[#This Row],[Tipo de Tarea y especialidad]])</f>
        <v>#REF!</v>
      </c>
      <c r="O2747" s="28">
        <f t="shared" si="84"/>
        <v>10</v>
      </c>
      <c r="P2747" s="28">
        <f t="shared" si="85"/>
        <v>2024</v>
      </c>
      <c r="Q2747" s="28" t="e">
        <f>SUM(Q2748:Q2749)</f>
        <v>#REF!</v>
      </c>
      <c r="R2747" s="28" t="str">
        <f>TEXT(Planning[[#This Row],[Mes]]*29,"mmmm")</f>
        <v>October</v>
      </c>
      <c r="S27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47" s="192" t="s">
        <v>551</v>
      </c>
      <c r="U2747" s="43" t="e">
        <f>IF(Planning[[#This Row],[Horas Planificadas]]&lt;&gt;0,+K2747/Planning[[#This Row],[Horas Planificadas]],0)</f>
        <v>#REF!</v>
      </c>
      <c r="V2747" s="43" t="e">
        <f>IF(Planning[[#This Row],[Horas Planificadas]]&lt;&gt;0,Planning[[#This Row],[Horas utilizadas]]/Planning[[#This Row],[Horas Planificadas]],0)</f>
        <v>#REF!</v>
      </c>
      <c r="W2747" s="44">
        <f>Planning[[#This Row],[Horas Planificadas]]+Planning[[#This Row],[Horas ajustadas adicionales]]</f>
        <v>248</v>
      </c>
      <c r="X2747" s="142"/>
    </row>
    <row r="2748" spans="1:24" x14ac:dyDescent="0.2">
      <c r="A2748" s="7" t="s">
        <v>117</v>
      </c>
      <c r="B2748" s="7" t="s">
        <v>205</v>
      </c>
      <c r="C2748" s="3"/>
      <c r="D2748" s="3" t="s">
        <v>550</v>
      </c>
      <c r="E2748" s="4"/>
      <c r="F2748" s="3" t="s">
        <v>120</v>
      </c>
      <c r="G2748" s="9"/>
      <c r="H2748" s="9">
        <v>140</v>
      </c>
      <c r="I2748" s="12"/>
      <c r="J2748" s="5" t="e">
        <f>SUM(SUMIFS(#REF!,#REF!,Planning[[#This Row],[Tipo de Tarea y especialidad]],#REF!,Planning[[#This Row],[Proyectos Reiwa]]),SUMIFS(#REF!,#REF!,Planning[[#This Row],[Tipo de Tarea y especialidad]],#REF!,Planning[[#This Row],[Proyectos]]))</f>
        <v>#REF!</v>
      </c>
      <c r="K2748" s="5" t="e">
        <f>Planning[[#This Row],[Horas Planificadas]]+Planning[[#This Row],[Horas ajustadas adicionales]]-Planning[[#This Row],[Horas utilizadas]]</f>
        <v>#REF!</v>
      </c>
      <c r="L2748" s="7">
        <v>0</v>
      </c>
      <c r="M2748" s="19" t="e">
        <f>Planning[[#This Row],[Saldo]]-Planning[[#This Row],[Saldo estimado]]</f>
        <v>#REF!</v>
      </c>
      <c r="N2748" s="60" t="e">
        <f>+SUMIFS(#REF!,#REF!,Planning[[#This Row],[Proyectos]],#REF!,Planning[[#This Row],[Tipo de Tarea y especialidad]])</f>
        <v>#REF!</v>
      </c>
      <c r="O2748" s="19">
        <f t="shared" si="84"/>
        <v>10</v>
      </c>
      <c r="P2748" s="19">
        <f t="shared" si="85"/>
        <v>2024</v>
      </c>
      <c r="Q27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48" s="19" t="str">
        <f>TEXT(Planning[[#This Row],[Mes]]*29,"mmmm")</f>
        <v>October</v>
      </c>
      <c r="S27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48" s="193"/>
      <c r="U2748" s="43" t="e">
        <f>IF(Planning[[#This Row],[Horas Planificadas]]&lt;&gt;0,+K2748/Planning[[#This Row],[Horas Planificadas]],0)</f>
        <v>#REF!</v>
      </c>
      <c r="V2748" s="43" t="e">
        <f>IF(Planning[[#This Row],[Horas Planificadas]]&lt;&gt;0,Planning[[#This Row],[Horas utilizadas]]/Planning[[#This Row],[Horas Planificadas]],0)</f>
        <v>#REF!</v>
      </c>
      <c r="W2748" s="44">
        <f>Planning[[#This Row],[Horas Planificadas]]+Planning[[#This Row],[Horas ajustadas adicionales]]</f>
        <v>140</v>
      </c>
      <c r="X2748" s="142"/>
    </row>
    <row r="2749" spans="1:24" x14ac:dyDescent="0.2">
      <c r="A2749" s="7" t="s">
        <v>117</v>
      </c>
      <c r="B2749" s="7" t="s">
        <v>205</v>
      </c>
      <c r="C2749" s="3"/>
      <c r="D2749" s="3" t="s">
        <v>550</v>
      </c>
      <c r="E2749" s="4"/>
      <c r="F2749" s="3" t="s">
        <v>121</v>
      </c>
      <c r="G2749" s="9"/>
      <c r="H2749" s="9">
        <v>108</v>
      </c>
      <c r="I2749" s="12"/>
      <c r="J2749" s="5" t="e">
        <f>SUM(SUMIFS(#REF!,#REF!,Planning[[#This Row],[Tipo de Tarea y especialidad]],#REF!,Planning[[#This Row],[Proyectos Reiwa]]),SUMIFS(#REF!,#REF!,Planning[[#This Row],[Tipo de Tarea y especialidad]],#REF!,Planning[[#This Row],[Proyectos]]))</f>
        <v>#REF!</v>
      </c>
      <c r="K2749" s="5" t="e">
        <f>Planning[[#This Row],[Horas Planificadas]]+Planning[[#This Row],[Horas ajustadas adicionales]]-Planning[[#This Row],[Horas utilizadas]]</f>
        <v>#REF!</v>
      </c>
      <c r="L2749" s="7">
        <v>0</v>
      </c>
      <c r="M2749" s="19" t="e">
        <f>Planning[[#This Row],[Saldo]]-Planning[[#This Row],[Saldo estimado]]</f>
        <v>#REF!</v>
      </c>
      <c r="N2749" s="60" t="e">
        <f>+SUMIFS(#REF!,#REF!,Planning[[#This Row],[Proyectos]],#REF!,Planning[[#This Row],[Tipo de Tarea y especialidad]])</f>
        <v>#REF!</v>
      </c>
      <c r="O2749" s="19">
        <f t="shared" si="84"/>
        <v>10</v>
      </c>
      <c r="P2749" s="19">
        <f t="shared" si="85"/>
        <v>2024</v>
      </c>
      <c r="Q27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49" s="19" t="str">
        <f>TEXT(Planning[[#This Row],[Mes]]*29,"mmmm")</f>
        <v>October</v>
      </c>
      <c r="S27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49" s="193"/>
      <c r="U2749" s="43" t="e">
        <f>IF(Planning[[#This Row],[Horas Planificadas]]&lt;&gt;0,+K2749/Planning[[#This Row],[Horas Planificadas]],0)</f>
        <v>#REF!</v>
      </c>
      <c r="V2749" s="43" t="e">
        <f>IF(Planning[[#This Row],[Horas Planificadas]]&lt;&gt;0,Planning[[#This Row],[Horas utilizadas]]/Planning[[#This Row],[Horas Planificadas]],0)</f>
        <v>#REF!</v>
      </c>
      <c r="W2749" s="44">
        <f>Planning[[#This Row],[Horas Planificadas]]+Planning[[#This Row],[Horas ajustadas adicionales]]</f>
        <v>108</v>
      </c>
      <c r="X2749" s="142"/>
    </row>
    <row r="2750" spans="1:24" x14ac:dyDescent="0.2">
      <c r="A2750" s="7" t="s">
        <v>117</v>
      </c>
      <c r="B2750" s="7" t="s">
        <v>205</v>
      </c>
      <c r="C2750" s="3"/>
      <c r="D2750" s="3" t="s">
        <v>550</v>
      </c>
      <c r="E2750" s="4" t="s">
        <v>30</v>
      </c>
      <c r="F2750" s="3"/>
      <c r="G2750" s="9">
        <v>315</v>
      </c>
      <c r="H2750" s="25">
        <f>SUM(H2751:H2757)</f>
        <v>315</v>
      </c>
      <c r="I2750" s="14"/>
      <c r="J2750" s="14" t="e">
        <f>SUM(J2751:J2757)</f>
        <v>#REF!</v>
      </c>
      <c r="K2750" s="18" t="e">
        <f>SUM(K2751:K2757)</f>
        <v>#REF!</v>
      </c>
      <c r="L2750" s="15">
        <f>SUM(L2751:L2757)</f>
        <v>0</v>
      </c>
      <c r="M2750" s="16" t="e">
        <f>SUM(M2751:M2757)</f>
        <v>#REF!</v>
      </c>
      <c r="N2750" s="60" t="e">
        <f>+SUMIFS(#REF!,#REF!,Planning[[#This Row],[Proyectos]],#REF!,Planning[[#This Row],[Tipo de Tarea y especialidad]])</f>
        <v>#REF!</v>
      </c>
      <c r="O2750" s="16">
        <f t="shared" si="84"/>
        <v>10</v>
      </c>
      <c r="P2750" s="16">
        <f t="shared" si="85"/>
        <v>2024</v>
      </c>
      <c r="Q2750" s="16" t="e">
        <f>SUM(Q2751:Q2757)</f>
        <v>#REF!</v>
      </c>
      <c r="R2750" s="16" t="str">
        <f>TEXT(Planning[[#This Row],[Mes]]*29,"mmmm")</f>
        <v>October</v>
      </c>
      <c r="S27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50" s="193"/>
      <c r="U2750" s="43" t="e">
        <f>IF(Planning[[#This Row],[Horas Planificadas]]&lt;&gt;0,+K2750/Planning[[#This Row],[Horas Planificadas]],0)</f>
        <v>#REF!</v>
      </c>
      <c r="V2750" s="43" t="e">
        <f>IF(Planning[[#This Row],[Horas Planificadas]]&lt;&gt;0,Planning[[#This Row],[Horas utilizadas]]/Planning[[#This Row],[Horas Planificadas]],0)</f>
        <v>#REF!</v>
      </c>
      <c r="W2750" s="44">
        <f>Planning[[#This Row],[Horas Planificadas]]+Planning[[#This Row],[Horas ajustadas adicionales]]</f>
        <v>315</v>
      </c>
      <c r="X2750" s="142"/>
    </row>
    <row r="2751" spans="1:24" x14ac:dyDescent="0.2">
      <c r="A2751" s="7" t="s">
        <v>117</v>
      </c>
      <c r="B2751" s="7" t="s">
        <v>205</v>
      </c>
      <c r="C2751" s="3"/>
      <c r="D2751" s="3" t="s">
        <v>550</v>
      </c>
      <c r="E2751" s="4"/>
      <c r="F2751" s="3" t="s">
        <v>122</v>
      </c>
      <c r="G2751" s="9"/>
      <c r="H2751" s="9"/>
      <c r="I2751" s="12"/>
      <c r="J2751" s="5" t="e">
        <f>SUM(SUMIFS(#REF!,#REF!,Planning[[#This Row],[Tipo de Tarea y especialidad]],#REF!,Planning[[#This Row],[Proyectos Reiwa]]),SUMIFS(#REF!,#REF!,Planning[[#This Row],[Tipo de Tarea y especialidad]],#REF!,Planning[[#This Row],[Proyectos]]))</f>
        <v>#REF!</v>
      </c>
      <c r="K2751" s="5" t="e">
        <f>Planning[[#This Row],[Horas Planificadas]]+Planning[[#This Row],[Horas ajustadas adicionales]]-Planning[[#This Row],[Horas utilizadas]]</f>
        <v>#REF!</v>
      </c>
      <c r="L2751" s="7"/>
      <c r="M2751" s="19" t="e">
        <f>Planning[[#This Row],[Saldo]]-Planning[[#This Row],[Saldo estimado]]</f>
        <v>#REF!</v>
      </c>
      <c r="N2751" s="60" t="e">
        <f>+SUMIFS(#REF!,#REF!,Planning[[#This Row],[Proyectos]],#REF!,Planning[[#This Row],[Tipo de Tarea y especialidad]])</f>
        <v>#REF!</v>
      </c>
      <c r="O2751" s="19">
        <f t="shared" si="84"/>
        <v>10</v>
      </c>
      <c r="P2751" s="19">
        <f t="shared" si="85"/>
        <v>2024</v>
      </c>
      <c r="Q27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51" s="19" t="str">
        <f>TEXT(Planning[[#This Row],[Mes]]*29,"mmmm")</f>
        <v>October</v>
      </c>
      <c r="S27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51" s="193"/>
      <c r="U2751" s="43">
        <f>IF(Planning[[#This Row],[Horas Planificadas]]&lt;&gt;0,+K2751/Planning[[#This Row],[Horas Planificadas]],0)</f>
        <v>0</v>
      </c>
      <c r="V2751" s="43">
        <f>IF(Planning[[#This Row],[Horas Planificadas]]&lt;&gt;0,Planning[[#This Row],[Horas utilizadas]]/Planning[[#This Row],[Horas Planificadas]],0)</f>
        <v>0</v>
      </c>
      <c r="W2751" s="44">
        <f>Planning[[#This Row],[Horas Planificadas]]+Planning[[#This Row],[Horas ajustadas adicionales]]</f>
        <v>0</v>
      </c>
      <c r="X2751" s="142"/>
    </row>
    <row r="2752" spans="1:24" x14ac:dyDescent="0.2">
      <c r="A2752" s="7" t="s">
        <v>117</v>
      </c>
      <c r="B2752" s="7" t="s">
        <v>205</v>
      </c>
      <c r="C2752" s="3"/>
      <c r="D2752" s="3" t="s">
        <v>550</v>
      </c>
      <c r="E2752" s="4"/>
      <c r="F2752" s="3" t="s">
        <v>123</v>
      </c>
      <c r="G2752" s="9"/>
      <c r="H2752" s="9">
        <v>315</v>
      </c>
      <c r="I2752" s="12"/>
      <c r="J2752" s="5" t="e">
        <f>SUM(SUMIFS(#REF!,#REF!,Planning[[#This Row],[Tipo de Tarea y especialidad]],#REF!,Planning[[#This Row],[Proyectos Reiwa]]),SUMIFS(#REF!,#REF!,Planning[[#This Row],[Tipo de Tarea y especialidad]],#REF!,Planning[[#This Row],[Proyectos]]))</f>
        <v>#REF!</v>
      </c>
      <c r="K2752" s="5" t="e">
        <f>Planning[[#This Row],[Horas Planificadas]]+Planning[[#This Row],[Horas ajustadas adicionales]]-Planning[[#This Row],[Horas utilizadas]]</f>
        <v>#REF!</v>
      </c>
      <c r="L2752" s="7">
        <v>0</v>
      </c>
      <c r="M2752" s="19" t="e">
        <f>Planning[[#This Row],[Saldo]]-Planning[[#This Row],[Saldo estimado]]</f>
        <v>#REF!</v>
      </c>
      <c r="N2752" s="60" t="e">
        <f>+SUMIFS(#REF!,#REF!,Planning[[#This Row],[Proyectos]],#REF!,Planning[[#This Row],[Tipo de Tarea y especialidad]])</f>
        <v>#REF!</v>
      </c>
      <c r="O2752" s="19">
        <f t="shared" si="84"/>
        <v>10</v>
      </c>
      <c r="P2752" s="19">
        <f t="shared" si="85"/>
        <v>2024</v>
      </c>
      <c r="Q27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52" s="19" t="str">
        <f>TEXT(Planning[[#This Row],[Mes]]*29,"mmmm")</f>
        <v>October</v>
      </c>
      <c r="S27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52" s="193"/>
      <c r="U2752" s="43" t="e">
        <f>IF(Planning[[#This Row],[Horas Planificadas]]&lt;&gt;0,+K2752/Planning[[#This Row],[Horas Planificadas]],0)</f>
        <v>#REF!</v>
      </c>
      <c r="V2752" s="43" t="e">
        <f>IF(Planning[[#This Row],[Horas Planificadas]]&lt;&gt;0,Planning[[#This Row],[Horas utilizadas]]/Planning[[#This Row],[Horas Planificadas]],0)</f>
        <v>#REF!</v>
      </c>
      <c r="W2752" s="44">
        <f>Planning[[#This Row],[Horas Planificadas]]+Planning[[#This Row],[Horas ajustadas adicionales]]</f>
        <v>315</v>
      </c>
      <c r="X2752" s="142"/>
    </row>
    <row r="2753" spans="1:24" x14ac:dyDescent="0.2">
      <c r="A2753" s="7" t="s">
        <v>117</v>
      </c>
      <c r="B2753" s="7" t="s">
        <v>205</v>
      </c>
      <c r="C2753" s="3"/>
      <c r="D2753" s="3" t="s">
        <v>550</v>
      </c>
      <c r="E2753" s="4"/>
      <c r="F2753" s="3" t="s">
        <v>124</v>
      </c>
      <c r="G2753" s="9"/>
      <c r="H2753" s="9"/>
      <c r="I2753" s="12"/>
      <c r="J2753" s="5" t="e">
        <f>SUM(SUMIFS(#REF!,#REF!,Planning[[#This Row],[Tipo de Tarea y especialidad]],#REF!,Planning[[#This Row],[Proyectos Reiwa]]),SUMIFS(#REF!,#REF!,Planning[[#This Row],[Tipo de Tarea y especialidad]],#REF!,Planning[[#This Row],[Proyectos]]))</f>
        <v>#REF!</v>
      </c>
      <c r="K2753" s="5" t="e">
        <f>Planning[[#This Row],[Horas Planificadas]]+Planning[[#This Row],[Horas ajustadas adicionales]]-Planning[[#This Row],[Horas utilizadas]]</f>
        <v>#REF!</v>
      </c>
      <c r="L2753" s="7"/>
      <c r="M2753" s="19" t="e">
        <f>Planning[[#This Row],[Saldo]]-Planning[[#This Row],[Saldo estimado]]</f>
        <v>#REF!</v>
      </c>
      <c r="N2753" s="60" t="e">
        <f>+SUMIFS(#REF!,#REF!,Planning[[#This Row],[Proyectos]],#REF!,Planning[[#This Row],[Tipo de Tarea y especialidad]])</f>
        <v>#REF!</v>
      </c>
      <c r="O2753" s="19">
        <f t="shared" si="84"/>
        <v>10</v>
      </c>
      <c r="P2753" s="19">
        <f t="shared" si="85"/>
        <v>2024</v>
      </c>
      <c r="Q27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53" s="19" t="str">
        <f>TEXT(Planning[[#This Row],[Mes]]*29,"mmmm")</f>
        <v>October</v>
      </c>
      <c r="S27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53" s="193"/>
      <c r="U2753" s="43">
        <f>IF(Planning[[#This Row],[Horas Planificadas]]&lt;&gt;0,+K2753/Planning[[#This Row],[Horas Planificadas]],0)</f>
        <v>0</v>
      </c>
      <c r="V2753" s="43">
        <f>IF(Planning[[#This Row],[Horas Planificadas]]&lt;&gt;0,Planning[[#This Row],[Horas utilizadas]]/Planning[[#This Row],[Horas Planificadas]],0)</f>
        <v>0</v>
      </c>
      <c r="W2753" s="44">
        <f>Planning[[#This Row],[Horas Planificadas]]+Planning[[#This Row],[Horas ajustadas adicionales]]</f>
        <v>0</v>
      </c>
      <c r="X2753" s="142"/>
    </row>
    <row r="2754" spans="1:24" x14ac:dyDescent="0.2">
      <c r="A2754" s="7" t="s">
        <v>117</v>
      </c>
      <c r="B2754" s="7" t="s">
        <v>205</v>
      </c>
      <c r="C2754" s="3"/>
      <c r="D2754" s="3" t="s">
        <v>550</v>
      </c>
      <c r="E2754" s="4"/>
      <c r="F2754" s="3" t="s">
        <v>125</v>
      </c>
      <c r="G2754" s="9"/>
      <c r="H2754" s="9"/>
      <c r="I2754" s="12"/>
      <c r="J2754" s="5" t="e">
        <f>SUM(SUMIFS(#REF!,#REF!,Planning[[#This Row],[Tipo de Tarea y especialidad]],#REF!,Planning[[#This Row],[Proyectos Reiwa]]),SUMIFS(#REF!,#REF!,Planning[[#This Row],[Tipo de Tarea y especialidad]],#REF!,Planning[[#This Row],[Proyectos]]))</f>
        <v>#REF!</v>
      </c>
      <c r="K2754" s="5" t="e">
        <f>Planning[[#This Row],[Horas Planificadas]]+Planning[[#This Row],[Horas ajustadas adicionales]]-Planning[[#This Row],[Horas utilizadas]]</f>
        <v>#REF!</v>
      </c>
      <c r="L2754" s="7"/>
      <c r="M2754" s="19" t="e">
        <f>Planning[[#This Row],[Saldo]]-Planning[[#This Row],[Saldo estimado]]</f>
        <v>#REF!</v>
      </c>
      <c r="N2754" s="60" t="e">
        <f>+SUMIFS(#REF!,#REF!,Planning[[#This Row],[Proyectos]],#REF!,Planning[[#This Row],[Tipo de Tarea y especialidad]])</f>
        <v>#REF!</v>
      </c>
      <c r="O2754" s="19">
        <f t="shared" si="84"/>
        <v>10</v>
      </c>
      <c r="P2754" s="19">
        <f t="shared" si="85"/>
        <v>2024</v>
      </c>
      <c r="Q27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54" s="19" t="str">
        <f>TEXT(Planning[[#This Row],[Mes]]*29,"mmmm")</f>
        <v>October</v>
      </c>
      <c r="S27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54" s="193"/>
      <c r="U2754" s="43">
        <f>IF(Planning[[#This Row],[Horas Planificadas]]&lt;&gt;0,+K2754/Planning[[#This Row],[Horas Planificadas]],0)</f>
        <v>0</v>
      </c>
      <c r="V2754" s="43">
        <f>IF(Planning[[#This Row],[Horas Planificadas]]&lt;&gt;0,Planning[[#This Row],[Horas utilizadas]]/Planning[[#This Row],[Horas Planificadas]],0)</f>
        <v>0</v>
      </c>
      <c r="W2754" s="44">
        <f>Planning[[#This Row],[Horas Planificadas]]+Planning[[#This Row],[Horas ajustadas adicionales]]</f>
        <v>0</v>
      </c>
      <c r="X2754" s="142"/>
    </row>
    <row r="2755" spans="1:24" x14ac:dyDescent="0.2">
      <c r="A2755" s="7" t="s">
        <v>117</v>
      </c>
      <c r="B2755" s="7" t="s">
        <v>205</v>
      </c>
      <c r="C2755" s="3"/>
      <c r="D2755" s="3" t="s">
        <v>550</v>
      </c>
      <c r="E2755" s="4"/>
      <c r="F2755" s="3" t="s">
        <v>126</v>
      </c>
      <c r="G2755" s="9"/>
      <c r="H2755" s="12"/>
      <c r="I2755" s="12"/>
      <c r="J2755" s="5" t="e">
        <f>SUM(SUMIFS(#REF!,#REF!,Planning[[#This Row],[Tipo de Tarea y especialidad]],#REF!,Planning[[#This Row],[Proyectos Reiwa]]),SUMIFS(#REF!,#REF!,Planning[[#This Row],[Tipo de Tarea y especialidad]],#REF!,Planning[[#This Row],[Proyectos]]))</f>
        <v>#REF!</v>
      </c>
      <c r="K2755" s="27" t="e">
        <f>Planning[[#This Row],[Horas Planificadas]]+Planning[[#This Row],[Horas ajustadas adicionales]]-Planning[[#This Row],[Horas utilizadas]]</f>
        <v>#REF!</v>
      </c>
      <c r="L2755" s="7"/>
      <c r="M2755" s="19" t="e">
        <f>Planning[[#This Row],[Saldo]]-Planning[[#This Row],[Saldo estimado]]</f>
        <v>#REF!</v>
      </c>
      <c r="N2755" s="60" t="e">
        <f>+SUMIFS(#REF!,#REF!,Planning[[#This Row],[Proyectos]],#REF!,Planning[[#This Row],[Tipo de Tarea y especialidad]])</f>
        <v>#REF!</v>
      </c>
      <c r="O2755" s="19">
        <f t="shared" si="84"/>
        <v>10</v>
      </c>
      <c r="P2755" s="19">
        <f t="shared" si="85"/>
        <v>2024</v>
      </c>
      <c r="Q27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55" s="19" t="str">
        <f>TEXT(Planning[[#This Row],[Mes]]*29,"mmmm")</f>
        <v>October</v>
      </c>
      <c r="S27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55" s="193"/>
      <c r="U2755" s="43">
        <f>IF(Planning[[#This Row],[Horas Planificadas]]&lt;&gt;0,+K2755/Planning[[#This Row],[Horas Planificadas]],0)</f>
        <v>0</v>
      </c>
      <c r="V2755" s="43">
        <f>IF(Planning[[#This Row],[Horas Planificadas]]&lt;&gt;0,Planning[[#This Row],[Horas utilizadas]]/Planning[[#This Row],[Horas Planificadas]],0)</f>
        <v>0</v>
      </c>
      <c r="W2755" s="44">
        <f>Planning[[#This Row],[Horas Planificadas]]+Planning[[#This Row],[Horas ajustadas adicionales]]</f>
        <v>0</v>
      </c>
      <c r="X2755" s="142"/>
    </row>
    <row r="2756" spans="1:24" x14ac:dyDescent="0.2">
      <c r="A2756" s="7" t="s">
        <v>117</v>
      </c>
      <c r="B2756" s="7" t="s">
        <v>205</v>
      </c>
      <c r="C2756" s="3"/>
      <c r="D2756" s="3" t="s">
        <v>550</v>
      </c>
      <c r="E2756" s="4"/>
      <c r="F2756" s="3" t="s">
        <v>127</v>
      </c>
      <c r="G2756" s="9"/>
      <c r="H2756" s="9"/>
      <c r="I2756" s="12"/>
      <c r="J2756" s="5" t="e">
        <f>SUM(SUMIFS(#REF!,#REF!,Planning[[#This Row],[Tipo de Tarea y especialidad]],#REF!,Planning[[#This Row],[Proyectos Reiwa]]),SUMIFS(#REF!,#REF!,Planning[[#This Row],[Tipo de Tarea y especialidad]],#REF!,Planning[[#This Row],[Proyectos]]))</f>
        <v>#REF!</v>
      </c>
      <c r="K2756" s="5" t="e">
        <f>Planning[[#This Row],[Horas Planificadas]]+Planning[[#This Row],[Horas ajustadas adicionales]]-Planning[[#This Row],[Horas utilizadas]]</f>
        <v>#REF!</v>
      </c>
      <c r="L2756" s="7"/>
      <c r="M2756" s="19" t="e">
        <f>Planning[[#This Row],[Saldo]]-Planning[[#This Row],[Saldo estimado]]</f>
        <v>#REF!</v>
      </c>
      <c r="N2756" s="60" t="e">
        <f>+SUMIFS(#REF!,#REF!,Planning[[#This Row],[Proyectos]],#REF!,Planning[[#This Row],[Tipo de Tarea y especialidad]])</f>
        <v>#REF!</v>
      </c>
      <c r="O2756" s="19">
        <f t="shared" si="84"/>
        <v>10</v>
      </c>
      <c r="P2756" s="19">
        <f t="shared" si="85"/>
        <v>2024</v>
      </c>
      <c r="Q27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56" s="19" t="str">
        <f>TEXT(Planning[[#This Row],[Mes]]*29,"mmmm")</f>
        <v>October</v>
      </c>
      <c r="S27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56" s="193"/>
      <c r="U2756" s="43">
        <f>IF(Planning[[#This Row],[Horas Planificadas]]&lt;&gt;0,+K2756/Planning[[#This Row],[Horas Planificadas]],0)</f>
        <v>0</v>
      </c>
      <c r="V2756" s="43">
        <f>IF(Planning[[#This Row],[Horas Planificadas]]&lt;&gt;0,Planning[[#This Row],[Horas utilizadas]]/Planning[[#This Row],[Horas Planificadas]],0)</f>
        <v>0</v>
      </c>
      <c r="W2756" s="44">
        <f>Planning[[#This Row],[Horas Planificadas]]+Planning[[#This Row],[Horas ajustadas adicionales]]</f>
        <v>0</v>
      </c>
      <c r="X2756" s="142"/>
    </row>
    <row r="2757" spans="1:24" x14ac:dyDescent="0.2">
      <c r="A2757" s="7" t="s">
        <v>117</v>
      </c>
      <c r="B2757" s="7" t="s">
        <v>205</v>
      </c>
      <c r="C2757" s="3"/>
      <c r="D2757" s="3" t="s">
        <v>550</v>
      </c>
      <c r="E2757" s="4"/>
      <c r="F2757" s="3" t="s">
        <v>128</v>
      </c>
      <c r="G2757" s="9"/>
      <c r="H2757" s="9"/>
      <c r="I2757" s="12"/>
      <c r="J2757" s="5" t="e">
        <f>SUM(SUMIFS(#REF!,#REF!,Planning[[#This Row],[Tipo de Tarea y especialidad]],#REF!,Planning[[#This Row],[Proyectos Reiwa]]),SUMIFS(#REF!,#REF!,Planning[[#This Row],[Tipo de Tarea y especialidad]],#REF!,Planning[[#This Row],[Proyectos]]))</f>
        <v>#REF!</v>
      </c>
      <c r="K2757" s="5" t="e">
        <f>Planning[[#This Row],[Horas Planificadas]]+Planning[[#This Row],[Horas ajustadas adicionales]]-Planning[[#This Row],[Horas utilizadas]]</f>
        <v>#REF!</v>
      </c>
      <c r="L2757" s="7"/>
      <c r="M2757" s="19" t="e">
        <f>Planning[[#This Row],[Saldo]]-Planning[[#This Row],[Saldo estimado]]</f>
        <v>#REF!</v>
      </c>
      <c r="N2757" s="60" t="e">
        <f>+SUMIFS(#REF!,#REF!,Planning[[#This Row],[Proyectos]],#REF!,Planning[[#This Row],[Tipo de Tarea y especialidad]])</f>
        <v>#REF!</v>
      </c>
      <c r="O2757" s="19">
        <f t="shared" si="84"/>
        <v>10</v>
      </c>
      <c r="P2757" s="19">
        <f t="shared" si="85"/>
        <v>2024</v>
      </c>
      <c r="Q27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57" s="19" t="str">
        <f>TEXT(Planning[[#This Row],[Mes]]*29,"mmmm")</f>
        <v>October</v>
      </c>
      <c r="S27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57" s="193"/>
      <c r="U2757" s="43">
        <f>IF(Planning[[#This Row],[Horas Planificadas]]&lt;&gt;0,+K2757/Planning[[#This Row],[Horas Planificadas]],0)</f>
        <v>0</v>
      </c>
      <c r="V2757" s="43">
        <f>IF(Planning[[#This Row],[Horas Planificadas]]&lt;&gt;0,Planning[[#This Row],[Horas utilizadas]]/Planning[[#This Row],[Horas Planificadas]],0)</f>
        <v>0</v>
      </c>
      <c r="W2757" s="44">
        <f>Planning[[#This Row],[Horas Planificadas]]+Planning[[#This Row],[Horas ajustadas adicionales]]</f>
        <v>0</v>
      </c>
      <c r="X2757" s="142"/>
    </row>
    <row r="2758" spans="1:24" x14ac:dyDescent="0.2">
      <c r="A2758" s="7" t="s">
        <v>117</v>
      </c>
      <c r="B2758" s="7" t="s">
        <v>205</v>
      </c>
      <c r="C2758" s="3"/>
      <c r="D2758" s="3" t="s">
        <v>550</v>
      </c>
      <c r="E2758" s="4" t="s">
        <v>31</v>
      </c>
      <c r="F2758" s="3" t="s">
        <v>31</v>
      </c>
      <c r="G2758" s="9">
        <v>45</v>
      </c>
      <c r="H2758" s="17">
        <v>45</v>
      </c>
      <c r="I2758" s="18"/>
      <c r="J2758" s="14" t="e">
        <f>+SUMIFS(#REF!,#REF!,Planning[[#This Row],[Tarifa]],#REF!,Planning[[#This Row],[Proyectos]])</f>
        <v>#REF!</v>
      </c>
      <c r="K2758" s="14" t="e">
        <f>Planning[[#This Row],[Horas Planificadas]]+Planning[[#This Row],[Horas ajustadas adicionales]]-Planning[[#This Row],[Horas utilizadas]]</f>
        <v>#REF!</v>
      </c>
      <c r="L2758" s="15">
        <v>-9</v>
      </c>
      <c r="M2758" s="16" t="e">
        <f>Planning[[#This Row],[Saldo]]-Planning[[#This Row],[Saldo estimado]]</f>
        <v>#REF!</v>
      </c>
      <c r="N2758" s="60" t="e">
        <f>+SUMIFS(#REF!,#REF!,Planning[[#This Row],[Proyectos]],#REF!,Planning[[#This Row],[Tipo de Tarea y especialidad]])</f>
        <v>#REF!</v>
      </c>
      <c r="O2758" s="16">
        <f t="shared" si="84"/>
        <v>10</v>
      </c>
      <c r="P2758" s="16">
        <f t="shared" si="85"/>
        <v>2024</v>
      </c>
      <c r="Q2758" s="16" t="e">
        <f>+SUMIFS(#REF!,#REF!,Planning[[#This Row],[Tarifa]],#REF!,Planning[[#This Row],[Proyectos]],#REF!,Planning[[#This Row],[Mes]],#REF!,Planning[[#This Row],[Año]])</f>
        <v>#REF!</v>
      </c>
      <c r="R2758" s="16" t="str">
        <f>TEXT(Planning[[#This Row],[Mes]]*29,"mmmm")</f>
        <v>October</v>
      </c>
      <c r="S27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58" s="193"/>
      <c r="U2758" s="43" t="e">
        <f>IF(Planning[[#This Row],[Horas Planificadas]]&lt;&gt;0,+K2758/Planning[[#This Row],[Horas Planificadas]],0)</f>
        <v>#REF!</v>
      </c>
      <c r="V2758" s="43" t="e">
        <f>IF(Planning[[#This Row],[Horas Planificadas]]&lt;&gt;0,Planning[[#This Row],[Horas utilizadas]]/Planning[[#This Row],[Horas Planificadas]],0)</f>
        <v>#REF!</v>
      </c>
      <c r="W2758" s="44">
        <f>Planning[[#This Row],[Horas Planificadas]]+Planning[[#This Row],[Horas ajustadas adicionales]]</f>
        <v>45</v>
      </c>
      <c r="X2758" s="142"/>
    </row>
    <row r="2759" spans="1:24" ht="22.5" x14ac:dyDescent="0.2">
      <c r="A2759" s="7" t="s">
        <v>117</v>
      </c>
      <c r="B2759" s="7" t="s">
        <v>205</v>
      </c>
      <c r="C2759" s="3"/>
      <c r="D2759" s="3" t="s">
        <v>550</v>
      </c>
      <c r="E2759" s="4" t="s">
        <v>32</v>
      </c>
      <c r="F2759" s="3"/>
      <c r="G2759" s="9">
        <v>50</v>
      </c>
      <c r="H2759" s="14">
        <f>SUM(H2760:H2762)</f>
        <v>50</v>
      </c>
      <c r="I2759" s="14"/>
      <c r="J2759" s="14" t="e">
        <f>SUM(J2760:J2762)</f>
        <v>#REF!</v>
      </c>
      <c r="K2759" s="15" t="e">
        <f>SUM(K2760:K2762)</f>
        <v>#REF!</v>
      </c>
      <c r="L2759" s="15">
        <f>SUM(L2760:L2762)</f>
        <v>0</v>
      </c>
      <c r="M2759" s="35" t="e">
        <f>SUM(M2760:M2762)</f>
        <v>#REF!</v>
      </c>
      <c r="N2759" s="62" t="e">
        <f>+SUMIFS(#REF!,#REF!,Planning[[#This Row],[Proyectos]],#REF!,Planning[[#This Row],[Tipo de Tarea y especialidad]])</f>
        <v>#REF!</v>
      </c>
      <c r="O2759" s="35">
        <f t="shared" ref="O2759:O2822" si="86">$L$4</f>
        <v>10</v>
      </c>
      <c r="P2759" s="35">
        <f t="shared" ref="P2759:P2822" si="87">$M$4</f>
        <v>2024</v>
      </c>
      <c r="Q2759" s="16" t="e">
        <f>SUM(Q2760:Q2762)</f>
        <v>#REF!</v>
      </c>
      <c r="R2759" s="16" t="str">
        <f>TEXT(Planning[[#This Row],[Mes]]*29,"mmmm")</f>
        <v>October</v>
      </c>
      <c r="S27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59" s="193"/>
      <c r="U2759" s="43" t="e">
        <f>IF(Planning[[#This Row],[Horas Planificadas]]&lt;&gt;0,+K2759/Planning[[#This Row],[Horas Planificadas]],0)</f>
        <v>#REF!</v>
      </c>
      <c r="V2759" s="43" t="e">
        <f>IF(Planning[[#This Row],[Horas Planificadas]]&lt;&gt;0,Planning[[#This Row],[Horas utilizadas]]/Planning[[#This Row],[Horas Planificadas]],0)</f>
        <v>#REF!</v>
      </c>
      <c r="W2759" s="44">
        <f>Planning[[#This Row],[Horas Planificadas]]+Planning[[#This Row],[Horas ajustadas adicionales]]</f>
        <v>50</v>
      </c>
      <c r="X2759" s="142"/>
    </row>
    <row r="2760" spans="1:24" x14ac:dyDescent="0.2">
      <c r="A2760" s="7" t="s">
        <v>117</v>
      </c>
      <c r="B2760" s="7" t="s">
        <v>205</v>
      </c>
      <c r="C2760" s="3"/>
      <c r="D2760" s="3" t="s">
        <v>550</v>
      </c>
      <c r="E2760" s="4"/>
      <c r="F2760" s="3" t="s">
        <v>129</v>
      </c>
      <c r="G2760" s="9"/>
      <c r="H2760" s="9"/>
      <c r="I2760" s="12"/>
      <c r="J2760" s="5" t="e">
        <f>SUM(SUMIFS(#REF!,#REF!,Planning[[#This Row],[Tipo de Tarea y especialidad]],#REF!,Planning[[#This Row],[Proyectos Reiwa]]),SUMIFS(#REF!,#REF!,Planning[[#This Row],[Tipo de Tarea y especialidad]],#REF!,Planning[[#This Row],[Proyectos]]))</f>
        <v>#REF!</v>
      </c>
      <c r="K2760" s="5" t="e">
        <f>Planning[[#This Row],[Horas Planificadas]]+Planning[[#This Row],[Horas ajustadas adicionales]]-Planning[[#This Row],[Horas utilizadas]]</f>
        <v>#REF!</v>
      </c>
      <c r="L2760" s="7"/>
      <c r="M2760" s="19" t="e">
        <f>Planning[[#This Row],[Saldo]]-Planning[[#This Row],[Saldo estimado]]</f>
        <v>#REF!</v>
      </c>
      <c r="N2760" s="60" t="e">
        <f>+SUMIFS(#REF!,#REF!,Planning[[#This Row],[Proyectos]],#REF!,Planning[[#This Row],[Tipo de Tarea y especialidad]])</f>
        <v>#REF!</v>
      </c>
      <c r="O2760" s="19">
        <f t="shared" si="86"/>
        <v>10</v>
      </c>
      <c r="P2760" s="19">
        <f t="shared" si="87"/>
        <v>2024</v>
      </c>
      <c r="Q27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60" s="19" t="str">
        <f>TEXT(Planning[[#This Row],[Mes]]*29,"mmmm")</f>
        <v>October</v>
      </c>
      <c r="S27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60" s="193"/>
      <c r="U2760" s="43">
        <f>IF(Planning[[#This Row],[Horas Planificadas]]&lt;&gt;0,+K2760/Planning[[#This Row],[Horas Planificadas]],0)</f>
        <v>0</v>
      </c>
      <c r="V2760" s="43">
        <f>IF(Planning[[#This Row],[Horas Planificadas]]&lt;&gt;0,Planning[[#This Row],[Horas utilizadas]]/Planning[[#This Row],[Horas Planificadas]],0)</f>
        <v>0</v>
      </c>
      <c r="W2760" s="44">
        <f>Planning[[#This Row],[Horas Planificadas]]+Planning[[#This Row],[Horas ajustadas adicionales]]</f>
        <v>0</v>
      </c>
      <c r="X2760" s="142"/>
    </row>
    <row r="2761" spans="1:24" x14ac:dyDescent="0.2">
      <c r="A2761" s="7" t="s">
        <v>117</v>
      </c>
      <c r="B2761" s="7" t="s">
        <v>205</v>
      </c>
      <c r="C2761" s="3"/>
      <c r="D2761" s="3" t="s">
        <v>550</v>
      </c>
      <c r="E2761" s="4"/>
      <c r="F2761" s="3" t="s">
        <v>130</v>
      </c>
      <c r="G2761" s="9"/>
      <c r="H2761" s="9">
        <v>50</v>
      </c>
      <c r="I2761" s="12"/>
      <c r="J2761" s="5" t="e">
        <f>SUM(SUMIFS(#REF!,#REF!,Planning[[#This Row],[Tipo de Tarea y especialidad]],#REF!,Planning[[#This Row],[Proyectos Reiwa]]),SUMIFS(#REF!,#REF!,Planning[[#This Row],[Tipo de Tarea y especialidad]],#REF!,Planning[[#This Row],[Proyectos]]))</f>
        <v>#REF!</v>
      </c>
      <c r="K2761" s="5" t="e">
        <f>Planning[[#This Row],[Horas Planificadas]]+Planning[[#This Row],[Horas ajustadas adicionales]]-Planning[[#This Row],[Horas utilizadas]]</f>
        <v>#REF!</v>
      </c>
      <c r="L2761" s="7">
        <v>0</v>
      </c>
      <c r="M2761" s="19" t="e">
        <f>Planning[[#This Row],[Saldo]]-Planning[[#This Row],[Saldo estimado]]</f>
        <v>#REF!</v>
      </c>
      <c r="N2761" s="60" t="e">
        <f>+SUMIFS(#REF!,#REF!,Planning[[#This Row],[Proyectos]],#REF!,Planning[[#This Row],[Tipo de Tarea y especialidad]])</f>
        <v>#REF!</v>
      </c>
      <c r="O2761" s="19">
        <f t="shared" si="86"/>
        <v>10</v>
      </c>
      <c r="P2761" s="19">
        <f t="shared" si="87"/>
        <v>2024</v>
      </c>
      <c r="Q27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61" s="19" t="str">
        <f>TEXT(Planning[[#This Row],[Mes]]*29,"mmmm")</f>
        <v>October</v>
      </c>
      <c r="S27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61" s="193"/>
      <c r="U2761" s="43" t="e">
        <f>IF(Planning[[#This Row],[Horas Planificadas]]&lt;&gt;0,+K2761/Planning[[#This Row],[Horas Planificadas]],0)</f>
        <v>#REF!</v>
      </c>
      <c r="V2761" s="43" t="e">
        <f>IF(Planning[[#This Row],[Horas Planificadas]]&lt;&gt;0,Planning[[#This Row],[Horas utilizadas]]/Planning[[#This Row],[Horas Planificadas]],0)</f>
        <v>#REF!</v>
      </c>
      <c r="W2761" s="44">
        <f>Planning[[#This Row],[Horas Planificadas]]+Planning[[#This Row],[Horas ajustadas adicionales]]</f>
        <v>50</v>
      </c>
      <c r="X2761" s="142"/>
    </row>
    <row r="2762" spans="1:24" x14ac:dyDescent="0.2">
      <c r="A2762" s="7" t="s">
        <v>117</v>
      </c>
      <c r="B2762" s="7" t="s">
        <v>205</v>
      </c>
      <c r="C2762" s="3"/>
      <c r="D2762" s="3" t="s">
        <v>550</v>
      </c>
      <c r="E2762" s="4"/>
      <c r="F2762" s="3" t="s">
        <v>131</v>
      </c>
      <c r="G2762" s="9"/>
      <c r="H2762" s="12"/>
      <c r="I2762" s="12"/>
      <c r="J2762" s="5" t="e">
        <f>SUM(SUMIFS(#REF!,#REF!,Planning[[#This Row],[Tipo de Tarea y especialidad]],#REF!,Planning[[#This Row],[Proyectos Reiwa]]),SUMIFS(#REF!,#REF!,Planning[[#This Row],[Tipo de Tarea y especialidad]],#REF!,Planning[[#This Row],[Proyectos]]))</f>
        <v>#REF!</v>
      </c>
      <c r="K2762" s="27" t="e">
        <f>Planning[[#This Row],[Horas Planificadas]]+Planning[[#This Row],[Horas ajustadas adicionales]]-Planning[[#This Row],[Horas utilizadas]]</f>
        <v>#REF!</v>
      </c>
      <c r="L2762" s="7"/>
      <c r="M2762" s="19" t="e">
        <f>Planning[[#This Row],[Saldo]]-Planning[[#This Row],[Saldo estimado]]</f>
        <v>#REF!</v>
      </c>
      <c r="N2762" s="60" t="e">
        <f>+SUMIFS(#REF!,#REF!,Planning[[#This Row],[Proyectos]],#REF!,Planning[[#This Row],[Tipo de Tarea y especialidad]])</f>
        <v>#REF!</v>
      </c>
      <c r="O2762" s="19">
        <f t="shared" si="86"/>
        <v>10</v>
      </c>
      <c r="P2762" s="19">
        <f t="shared" si="87"/>
        <v>2024</v>
      </c>
      <c r="Q27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62" s="19" t="str">
        <f>TEXT(Planning[[#This Row],[Mes]]*29,"mmmm")</f>
        <v>October</v>
      </c>
      <c r="S27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62" s="193"/>
      <c r="U2762" s="43">
        <f>IF(Planning[[#This Row],[Horas Planificadas]]&lt;&gt;0,+K2762/Planning[[#This Row],[Horas Planificadas]],0)</f>
        <v>0</v>
      </c>
      <c r="V2762" s="43">
        <f>IF(Planning[[#This Row],[Horas Planificadas]]&lt;&gt;0,Planning[[#This Row],[Horas utilizadas]]/Planning[[#This Row],[Horas Planificadas]],0)</f>
        <v>0</v>
      </c>
      <c r="W2762" s="44">
        <f>Planning[[#This Row],[Horas Planificadas]]+Planning[[#This Row],[Horas ajustadas adicionales]]</f>
        <v>0</v>
      </c>
      <c r="X2762" s="142"/>
    </row>
    <row r="2763" spans="1:24" ht="12.75" customHeight="1" x14ac:dyDescent="0.2">
      <c r="A2763" s="7" t="s">
        <v>483</v>
      </c>
      <c r="B2763" s="7" t="s">
        <v>169</v>
      </c>
      <c r="C2763" s="3"/>
      <c r="D2763" s="3" t="s">
        <v>552</v>
      </c>
      <c r="E2763" s="4" t="s">
        <v>28</v>
      </c>
      <c r="F2763" s="3"/>
      <c r="G2763" s="9">
        <v>0</v>
      </c>
      <c r="H2763" s="25">
        <f>SUM(H2764:H2765)</f>
        <v>0</v>
      </c>
      <c r="I2763" s="14"/>
      <c r="J2763" s="14" t="e">
        <f>SUM(J2764:J2765)</f>
        <v>#REF!</v>
      </c>
      <c r="K2763" s="18" t="e">
        <f>SUM(K2764:K2765)</f>
        <v>#REF!</v>
      </c>
      <c r="L2763" s="15">
        <f>SUM(L2764:L2765)</f>
        <v>0</v>
      </c>
      <c r="M2763" s="28" t="e">
        <f>SUM(M2764:M2765)</f>
        <v>#REF!</v>
      </c>
      <c r="N2763" s="61" t="e">
        <f>+SUMIFS(#REF!,#REF!,Planning[[#This Row],[Proyectos]],#REF!,Planning[[#This Row],[Tipo de Tarea y especialidad]])</f>
        <v>#REF!</v>
      </c>
      <c r="O2763" s="28">
        <f t="shared" si="86"/>
        <v>10</v>
      </c>
      <c r="P2763" s="28">
        <f t="shared" si="87"/>
        <v>2024</v>
      </c>
      <c r="Q2763" s="28" t="e">
        <f>SUM(Q2764:Q2765)</f>
        <v>#REF!</v>
      </c>
      <c r="R2763" s="28" t="str">
        <f>TEXT(Planning[[#This Row],[Mes]]*29,"mmmm")</f>
        <v>October</v>
      </c>
      <c r="S27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63" s="224" t="s">
        <v>553</v>
      </c>
      <c r="U2763" s="43">
        <f>IF(Planning[[#This Row],[Horas Planificadas]]&lt;&gt;0,+K2763/Planning[[#This Row],[Horas Planificadas]],0)</f>
        <v>0</v>
      </c>
      <c r="V2763" s="43">
        <f>IF(Planning[[#This Row],[Horas Planificadas]]&lt;&gt;0,Planning[[#This Row],[Horas utilizadas]]/Planning[[#This Row],[Horas Planificadas]],0)</f>
        <v>0</v>
      </c>
      <c r="W2763" s="44">
        <f>Planning[[#This Row],[Horas Planificadas]]+Planning[[#This Row],[Horas ajustadas adicionales]]</f>
        <v>0</v>
      </c>
      <c r="X2763" s="142"/>
    </row>
    <row r="2764" spans="1:24" x14ac:dyDescent="0.2">
      <c r="A2764" s="7" t="s">
        <v>483</v>
      </c>
      <c r="B2764" s="7" t="s">
        <v>169</v>
      </c>
      <c r="C2764" s="3"/>
      <c r="D2764" s="3" t="s">
        <v>552</v>
      </c>
      <c r="E2764" s="4"/>
      <c r="F2764" s="3" t="s">
        <v>120</v>
      </c>
      <c r="G2764" s="9"/>
      <c r="H2764" s="9"/>
      <c r="I2764" s="12"/>
      <c r="J2764" s="5" t="e">
        <f>SUM(SUMIFS(#REF!,#REF!,Planning[[#This Row],[Tipo de Tarea y especialidad]],#REF!,Planning[[#This Row],[Proyectos Reiwa]]),SUMIFS(#REF!,#REF!,Planning[[#This Row],[Tipo de Tarea y especialidad]],#REF!,Planning[[#This Row],[Proyectos]]))</f>
        <v>#REF!</v>
      </c>
      <c r="K2764" s="5" t="e">
        <f>Planning[[#This Row],[Horas Planificadas]]+Planning[[#This Row],[Horas ajustadas adicionales]]-Planning[[#This Row],[Horas utilizadas]]</f>
        <v>#REF!</v>
      </c>
      <c r="L2764" s="7">
        <v>0</v>
      </c>
      <c r="M2764" s="19" t="e">
        <f>Planning[[#This Row],[Saldo]]-Planning[[#This Row],[Saldo estimado]]</f>
        <v>#REF!</v>
      </c>
      <c r="N2764" s="60" t="e">
        <f>+SUMIFS(#REF!,#REF!,Planning[[#This Row],[Proyectos]],#REF!,Planning[[#This Row],[Tipo de Tarea y especialidad]])</f>
        <v>#REF!</v>
      </c>
      <c r="O2764" s="19">
        <f t="shared" si="86"/>
        <v>10</v>
      </c>
      <c r="P2764" s="19">
        <f t="shared" si="87"/>
        <v>2024</v>
      </c>
      <c r="Q27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64" s="19" t="str">
        <f>TEXT(Planning[[#This Row],[Mes]]*29,"mmmm")</f>
        <v>October</v>
      </c>
      <c r="S27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64" s="210"/>
      <c r="U2764" s="43">
        <f>IF(Planning[[#This Row],[Horas Planificadas]]&lt;&gt;0,+K2764/Planning[[#This Row],[Horas Planificadas]],0)</f>
        <v>0</v>
      </c>
      <c r="V2764" s="43">
        <f>IF(Planning[[#This Row],[Horas Planificadas]]&lt;&gt;0,Planning[[#This Row],[Horas utilizadas]]/Planning[[#This Row],[Horas Planificadas]],0)</f>
        <v>0</v>
      </c>
      <c r="W2764" s="44">
        <f>Planning[[#This Row],[Horas Planificadas]]+Planning[[#This Row],[Horas ajustadas adicionales]]</f>
        <v>0</v>
      </c>
      <c r="X2764" s="142"/>
    </row>
    <row r="2765" spans="1:24" x14ac:dyDescent="0.2">
      <c r="A2765" s="7" t="s">
        <v>483</v>
      </c>
      <c r="B2765" s="7" t="s">
        <v>169</v>
      </c>
      <c r="C2765" s="3"/>
      <c r="D2765" s="3" t="s">
        <v>552</v>
      </c>
      <c r="E2765" s="4"/>
      <c r="F2765" s="3" t="s">
        <v>121</v>
      </c>
      <c r="G2765" s="9"/>
      <c r="H2765" s="9"/>
      <c r="I2765" s="12"/>
      <c r="J2765" s="5" t="e">
        <f>SUM(SUMIFS(#REF!,#REF!,Planning[[#This Row],[Tipo de Tarea y especialidad]],#REF!,Planning[[#This Row],[Proyectos Reiwa]]),SUMIFS(#REF!,#REF!,Planning[[#This Row],[Tipo de Tarea y especialidad]],#REF!,Planning[[#This Row],[Proyectos]]))</f>
        <v>#REF!</v>
      </c>
      <c r="K2765" s="5" t="e">
        <f>Planning[[#This Row],[Horas Planificadas]]+Planning[[#This Row],[Horas ajustadas adicionales]]-Planning[[#This Row],[Horas utilizadas]]</f>
        <v>#REF!</v>
      </c>
      <c r="L2765" s="7">
        <v>0</v>
      </c>
      <c r="M2765" s="19" t="e">
        <f>Planning[[#This Row],[Saldo]]-Planning[[#This Row],[Saldo estimado]]</f>
        <v>#REF!</v>
      </c>
      <c r="N2765" s="60" t="e">
        <f>+SUMIFS(#REF!,#REF!,Planning[[#This Row],[Proyectos]],#REF!,Planning[[#This Row],[Tipo de Tarea y especialidad]])</f>
        <v>#REF!</v>
      </c>
      <c r="O2765" s="19">
        <f t="shared" si="86"/>
        <v>10</v>
      </c>
      <c r="P2765" s="19">
        <f t="shared" si="87"/>
        <v>2024</v>
      </c>
      <c r="Q27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65" s="19" t="str">
        <f>TEXT(Planning[[#This Row],[Mes]]*29,"mmmm")</f>
        <v>October</v>
      </c>
      <c r="S27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65" s="210"/>
      <c r="U2765" s="43">
        <f>IF(Planning[[#This Row],[Horas Planificadas]]&lt;&gt;0,+K2765/Planning[[#This Row],[Horas Planificadas]],0)</f>
        <v>0</v>
      </c>
      <c r="V2765" s="43">
        <f>IF(Planning[[#This Row],[Horas Planificadas]]&lt;&gt;0,Planning[[#This Row],[Horas utilizadas]]/Planning[[#This Row],[Horas Planificadas]],0)</f>
        <v>0</v>
      </c>
      <c r="W2765" s="44">
        <f>Planning[[#This Row],[Horas Planificadas]]+Planning[[#This Row],[Horas ajustadas adicionales]]</f>
        <v>0</v>
      </c>
      <c r="X2765" s="142"/>
    </row>
    <row r="2766" spans="1:24" x14ac:dyDescent="0.2">
      <c r="A2766" s="7" t="s">
        <v>483</v>
      </c>
      <c r="B2766" s="7" t="s">
        <v>169</v>
      </c>
      <c r="C2766" s="3"/>
      <c r="D2766" s="3" t="s">
        <v>552</v>
      </c>
      <c r="E2766" s="4" t="s">
        <v>30</v>
      </c>
      <c r="F2766" s="3"/>
      <c r="G2766" s="9">
        <v>153</v>
      </c>
      <c r="H2766" s="25">
        <f>SUM(H2767:H2773)</f>
        <v>153</v>
      </c>
      <c r="I2766" s="14"/>
      <c r="J2766" s="14" t="e">
        <f>SUM(J2767:J2773)</f>
        <v>#REF!</v>
      </c>
      <c r="K2766" s="18" t="e">
        <f>SUM(K2767:K2773)</f>
        <v>#REF!</v>
      </c>
      <c r="L2766" s="15">
        <f>SUM(L2767:L2773)</f>
        <v>0</v>
      </c>
      <c r="M2766" s="16" t="e">
        <f>SUM(M2767:M2773)</f>
        <v>#REF!</v>
      </c>
      <c r="N2766" s="60" t="e">
        <f>+SUMIFS(#REF!,#REF!,Planning[[#This Row],[Proyectos]],#REF!,Planning[[#This Row],[Tipo de Tarea y especialidad]])</f>
        <v>#REF!</v>
      </c>
      <c r="O2766" s="16">
        <f t="shared" si="86"/>
        <v>10</v>
      </c>
      <c r="P2766" s="16">
        <f t="shared" si="87"/>
        <v>2024</v>
      </c>
      <c r="Q2766" s="16" t="e">
        <f>SUM(Q2767:Q2773)</f>
        <v>#REF!</v>
      </c>
      <c r="R2766" s="16" t="str">
        <f>TEXT(Planning[[#This Row],[Mes]]*29,"mmmm")</f>
        <v>October</v>
      </c>
      <c r="S27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66" s="210"/>
      <c r="U2766" s="43" t="e">
        <f>IF(Planning[[#This Row],[Horas Planificadas]]&lt;&gt;0,+K2766/Planning[[#This Row],[Horas Planificadas]],0)</f>
        <v>#REF!</v>
      </c>
      <c r="V2766" s="43" t="e">
        <f>IF(Planning[[#This Row],[Horas Planificadas]]&lt;&gt;0,Planning[[#This Row],[Horas utilizadas]]/Planning[[#This Row],[Horas Planificadas]],0)</f>
        <v>#REF!</v>
      </c>
      <c r="W2766" s="44">
        <f>Planning[[#This Row],[Horas Planificadas]]+Planning[[#This Row],[Horas ajustadas adicionales]]</f>
        <v>153</v>
      </c>
      <c r="X2766" s="142"/>
    </row>
    <row r="2767" spans="1:24" x14ac:dyDescent="0.2">
      <c r="A2767" s="7" t="s">
        <v>483</v>
      </c>
      <c r="B2767" s="7" t="s">
        <v>169</v>
      </c>
      <c r="C2767" s="3"/>
      <c r="D2767" s="3" t="s">
        <v>552</v>
      </c>
      <c r="E2767" s="4"/>
      <c r="F2767" s="3" t="s">
        <v>122</v>
      </c>
      <c r="G2767" s="9"/>
      <c r="H2767" s="9"/>
      <c r="I2767" s="12"/>
      <c r="J2767" s="5" t="e">
        <f>SUM(SUMIFS(#REF!,#REF!,Planning[[#This Row],[Tipo de Tarea y especialidad]],#REF!,Planning[[#This Row],[Proyectos Reiwa]]),SUMIFS(#REF!,#REF!,Planning[[#This Row],[Tipo de Tarea y especialidad]],#REF!,Planning[[#This Row],[Proyectos]]))</f>
        <v>#REF!</v>
      </c>
      <c r="K2767" s="5" t="e">
        <f>Planning[[#This Row],[Horas Planificadas]]+Planning[[#This Row],[Horas ajustadas adicionales]]-Planning[[#This Row],[Horas utilizadas]]</f>
        <v>#REF!</v>
      </c>
      <c r="L2767" s="7">
        <v>0</v>
      </c>
      <c r="M2767" s="19" t="e">
        <f>Planning[[#This Row],[Saldo]]-Planning[[#This Row],[Saldo estimado]]</f>
        <v>#REF!</v>
      </c>
      <c r="N2767" s="60" t="e">
        <f>+SUMIFS(#REF!,#REF!,Planning[[#This Row],[Proyectos]],#REF!,Planning[[#This Row],[Tipo de Tarea y especialidad]])</f>
        <v>#REF!</v>
      </c>
      <c r="O2767" s="19">
        <f t="shared" si="86"/>
        <v>10</v>
      </c>
      <c r="P2767" s="19">
        <f t="shared" si="87"/>
        <v>2024</v>
      </c>
      <c r="Q27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67" s="19" t="str">
        <f>TEXT(Planning[[#This Row],[Mes]]*29,"mmmm")</f>
        <v>October</v>
      </c>
      <c r="S27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67" s="210"/>
      <c r="U2767" s="43">
        <f>IF(Planning[[#This Row],[Horas Planificadas]]&lt;&gt;0,+K2767/Planning[[#This Row],[Horas Planificadas]],0)</f>
        <v>0</v>
      </c>
      <c r="V2767" s="43">
        <f>IF(Planning[[#This Row],[Horas Planificadas]]&lt;&gt;0,Planning[[#This Row],[Horas utilizadas]]/Planning[[#This Row],[Horas Planificadas]],0)</f>
        <v>0</v>
      </c>
      <c r="W2767" s="44">
        <f>Planning[[#This Row],[Horas Planificadas]]+Planning[[#This Row],[Horas ajustadas adicionales]]</f>
        <v>0</v>
      </c>
      <c r="X2767" s="142"/>
    </row>
    <row r="2768" spans="1:24" x14ac:dyDescent="0.2">
      <c r="A2768" s="7" t="s">
        <v>483</v>
      </c>
      <c r="B2768" s="7" t="s">
        <v>169</v>
      </c>
      <c r="C2768" s="3"/>
      <c r="D2768" s="3" t="s">
        <v>552</v>
      </c>
      <c r="E2768" s="4"/>
      <c r="F2768" s="3" t="s">
        <v>123</v>
      </c>
      <c r="G2768" s="9"/>
      <c r="H2768" s="9"/>
      <c r="I2768" s="12"/>
      <c r="J2768" s="5" t="e">
        <f>SUM(SUMIFS(#REF!,#REF!,Planning[[#This Row],[Tipo de Tarea y especialidad]],#REF!,Planning[[#This Row],[Proyectos Reiwa]]),SUMIFS(#REF!,#REF!,Planning[[#This Row],[Tipo de Tarea y especialidad]],#REF!,Planning[[#This Row],[Proyectos]]))</f>
        <v>#REF!</v>
      </c>
      <c r="K2768" s="5" t="e">
        <f>Planning[[#This Row],[Horas Planificadas]]+Planning[[#This Row],[Horas ajustadas adicionales]]-Planning[[#This Row],[Horas utilizadas]]</f>
        <v>#REF!</v>
      </c>
      <c r="L2768" s="7">
        <v>0</v>
      </c>
      <c r="M2768" s="19" t="e">
        <f>Planning[[#This Row],[Saldo]]-Planning[[#This Row],[Saldo estimado]]</f>
        <v>#REF!</v>
      </c>
      <c r="N2768" s="60" t="e">
        <f>+SUMIFS(#REF!,#REF!,Planning[[#This Row],[Proyectos]],#REF!,Planning[[#This Row],[Tipo de Tarea y especialidad]])</f>
        <v>#REF!</v>
      </c>
      <c r="O2768" s="19">
        <f t="shared" si="86"/>
        <v>10</v>
      </c>
      <c r="P2768" s="19">
        <f t="shared" si="87"/>
        <v>2024</v>
      </c>
      <c r="Q27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68" s="19" t="str">
        <f>TEXT(Planning[[#This Row],[Mes]]*29,"mmmm")</f>
        <v>October</v>
      </c>
      <c r="S27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68" s="210"/>
      <c r="U2768" s="43">
        <f>IF(Planning[[#This Row],[Horas Planificadas]]&lt;&gt;0,+K2768/Planning[[#This Row],[Horas Planificadas]],0)</f>
        <v>0</v>
      </c>
      <c r="V2768" s="43">
        <f>IF(Planning[[#This Row],[Horas Planificadas]]&lt;&gt;0,Planning[[#This Row],[Horas utilizadas]]/Planning[[#This Row],[Horas Planificadas]],0)</f>
        <v>0</v>
      </c>
      <c r="W2768" s="44">
        <f>Planning[[#This Row],[Horas Planificadas]]+Planning[[#This Row],[Horas ajustadas adicionales]]</f>
        <v>0</v>
      </c>
      <c r="X2768" s="142"/>
    </row>
    <row r="2769" spans="1:24" x14ac:dyDescent="0.2">
      <c r="A2769" s="7" t="s">
        <v>483</v>
      </c>
      <c r="B2769" s="7" t="s">
        <v>169</v>
      </c>
      <c r="C2769" s="3"/>
      <c r="D2769" s="3" t="s">
        <v>552</v>
      </c>
      <c r="E2769" s="4"/>
      <c r="F2769" s="3" t="s">
        <v>124</v>
      </c>
      <c r="G2769" s="9"/>
      <c r="H2769" s="9"/>
      <c r="I2769" s="12"/>
      <c r="J2769" s="5" t="e">
        <f>SUM(SUMIFS(#REF!,#REF!,Planning[[#This Row],[Tipo de Tarea y especialidad]],#REF!,Planning[[#This Row],[Proyectos Reiwa]]),SUMIFS(#REF!,#REF!,Planning[[#This Row],[Tipo de Tarea y especialidad]],#REF!,Planning[[#This Row],[Proyectos]]))</f>
        <v>#REF!</v>
      </c>
      <c r="K2769" s="5" t="e">
        <f>Planning[[#This Row],[Horas Planificadas]]+Planning[[#This Row],[Horas ajustadas adicionales]]-Planning[[#This Row],[Horas utilizadas]]</f>
        <v>#REF!</v>
      </c>
      <c r="L2769" s="7">
        <v>0</v>
      </c>
      <c r="M2769" s="19" t="e">
        <f>Planning[[#This Row],[Saldo]]-Planning[[#This Row],[Saldo estimado]]</f>
        <v>#REF!</v>
      </c>
      <c r="N2769" s="60" t="e">
        <f>+SUMIFS(#REF!,#REF!,Planning[[#This Row],[Proyectos]],#REF!,Planning[[#This Row],[Tipo de Tarea y especialidad]])</f>
        <v>#REF!</v>
      </c>
      <c r="O2769" s="19">
        <f t="shared" si="86"/>
        <v>10</v>
      </c>
      <c r="P2769" s="19">
        <f t="shared" si="87"/>
        <v>2024</v>
      </c>
      <c r="Q27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69" s="19" t="str">
        <f>TEXT(Planning[[#This Row],[Mes]]*29,"mmmm")</f>
        <v>October</v>
      </c>
      <c r="S27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69" s="210"/>
      <c r="U2769" s="43">
        <f>IF(Planning[[#This Row],[Horas Planificadas]]&lt;&gt;0,+K2769/Planning[[#This Row],[Horas Planificadas]],0)</f>
        <v>0</v>
      </c>
      <c r="V2769" s="43">
        <f>IF(Planning[[#This Row],[Horas Planificadas]]&lt;&gt;0,Planning[[#This Row],[Horas utilizadas]]/Planning[[#This Row],[Horas Planificadas]],0)</f>
        <v>0</v>
      </c>
      <c r="W2769" s="44">
        <f>Planning[[#This Row],[Horas Planificadas]]+Planning[[#This Row],[Horas ajustadas adicionales]]</f>
        <v>0</v>
      </c>
      <c r="X2769" s="142"/>
    </row>
    <row r="2770" spans="1:24" x14ac:dyDescent="0.2">
      <c r="A2770" s="7" t="s">
        <v>483</v>
      </c>
      <c r="B2770" s="7" t="s">
        <v>169</v>
      </c>
      <c r="C2770" s="3"/>
      <c r="D2770" s="3" t="s">
        <v>552</v>
      </c>
      <c r="E2770" s="4"/>
      <c r="F2770" s="3" t="s">
        <v>125</v>
      </c>
      <c r="G2770" s="9"/>
      <c r="H2770" s="9">
        <v>38</v>
      </c>
      <c r="I2770" s="12"/>
      <c r="J2770" s="5" t="e">
        <f>SUM(SUMIFS(#REF!,#REF!,Planning[[#This Row],[Tipo de Tarea y especialidad]],#REF!,Planning[[#This Row],[Proyectos Reiwa]]),SUMIFS(#REF!,#REF!,Planning[[#This Row],[Tipo de Tarea y especialidad]],#REF!,Planning[[#This Row],[Proyectos]]))</f>
        <v>#REF!</v>
      </c>
      <c r="K2770" s="5" t="e">
        <f>Planning[[#This Row],[Horas Planificadas]]+Planning[[#This Row],[Horas ajustadas adicionales]]-Planning[[#This Row],[Horas utilizadas]]</f>
        <v>#REF!</v>
      </c>
      <c r="L2770" s="7">
        <v>0</v>
      </c>
      <c r="M2770" s="19" t="e">
        <f>Planning[[#This Row],[Saldo]]-Planning[[#This Row],[Saldo estimado]]</f>
        <v>#REF!</v>
      </c>
      <c r="N2770" s="60" t="e">
        <f>+SUMIFS(#REF!,#REF!,Planning[[#This Row],[Proyectos]],#REF!,Planning[[#This Row],[Tipo de Tarea y especialidad]])</f>
        <v>#REF!</v>
      </c>
      <c r="O2770" s="19">
        <f t="shared" si="86"/>
        <v>10</v>
      </c>
      <c r="P2770" s="19">
        <f t="shared" si="87"/>
        <v>2024</v>
      </c>
      <c r="Q27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70" s="19" t="str">
        <f>TEXT(Planning[[#This Row],[Mes]]*29,"mmmm")</f>
        <v>October</v>
      </c>
      <c r="S27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70" s="210"/>
      <c r="U2770" s="43" t="e">
        <f>IF(Planning[[#This Row],[Horas Planificadas]]&lt;&gt;0,+K2770/Planning[[#This Row],[Horas Planificadas]],0)</f>
        <v>#REF!</v>
      </c>
      <c r="V2770" s="43" t="e">
        <f>IF(Planning[[#This Row],[Horas Planificadas]]&lt;&gt;0,Planning[[#This Row],[Horas utilizadas]]/Planning[[#This Row],[Horas Planificadas]],0)</f>
        <v>#REF!</v>
      </c>
      <c r="W2770" s="44">
        <f>Planning[[#This Row],[Horas Planificadas]]+Planning[[#This Row],[Horas ajustadas adicionales]]</f>
        <v>38</v>
      </c>
      <c r="X2770" s="142"/>
    </row>
    <row r="2771" spans="1:24" x14ac:dyDescent="0.2">
      <c r="A2771" s="7" t="s">
        <v>483</v>
      </c>
      <c r="B2771" s="7" t="s">
        <v>169</v>
      </c>
      <c r="C2771" s="3"/>
      <c r="D2771" s="3" t="s">
        <v>552</v>
      </c>
      <c r="E2771" s="4"/>
      <c r="F2771" s="3" t="s">
        <v>126</v>
      </c>
      <c r="G2771" s="9"/>
      <c r="H2771" s="12">
        <v>115</v>
      </c>
      <c r="I2771" s="12"/>
      <c r="J2771" s="5" t="e">
        <f>SUM(SUMIFS(#REF!,#REF!,Planning[[#This Row],[Tipo de Tarea y especialidad]],#REF!,Planning[[#This Row],[Proyectos Reiwa]]),SUMIFS(#REF!,#REF!,Planning[[#This Row],[Tipo de Tarea y especialidad]],#REF!,Planning[[#This Row],[Proyectos]]))</f>
        <v>#REF!</v>
      </c>
      <c r="K2771" s="27" t="e">
        <f>Planning[[#This Row],[Horas Planificadas]]+Planning[[#This Row],[Horas ajustadas adicionales]]-Planning[[#This Row],[Horas utilizadas]]</f>
        <v>#REF!</v>
      </c>
      <c r="L2771" s="7">
        <v>0</v>
      </c>
      <c r="M2771" s="19" t="e">
        <f>Planning[[#This Row],[Saldo]]-Planning[[#This Row],[Saldo estimado]]</f>
        <v>#REF!</v>
      </c>
      <c r="N2771" s="60" t="e">
        <f>+SUMIFS(#REF!,#REF!,Planning[[#This Row],[Proyectos]],#REF!,Planning[[#This Row],[Tipo de Tarea y especialidad]])</f>
        <v>#REF!</v>
      </c>
      <c r="O2771" s="19">
        <f t="shared" si="86"/>
        <v>10</v>
      </c>
      <c r="P2771" s="19">
        <f t="shared" si="87"/>
        <v>2024</v>
      </c>
      <c r="Q27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71" s="19" t="str">
        <f>TEXT(Planning[[#This Row],[Mes]]*29,"mmmm")</f>
        <v>October</v>
      </c>
      <c r="S27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71" s="210"/>
      <c r="U2771" s="43" t="e">
        <f>IF(Planning[[#This Row],[Horas Planificadas]]&lt;&gt;0,+K2771/Planning[[#This Row],[Horas Planificadas]],0)</f>
        <v>#REF!</v>
      </c>
      <c r="V2771" s="43" t="e">
        <f>IF(Planning[[#This Row],[Horas Planificadas]]&lt;&gt;0,Planning[[#This Row],[Horas utilizadas]]/Planning[[#This Row],[Horas Planificadas]],0)</f>
        <v>#REF!</v>
      </c>
      <c r="W2771" s="44">
        <f>Planning[[#This Row],[Horas Planificadas]]+Planning[[#This Row],[Horas ajustadas adicionales]]</f>
        <v>115</v>
      </c>
      <c r="X2771" s="142"/>
    </row>
    <row r="2772" spans="1:24" x14ac:dyDescent="0.2">
      <c r="A2772" s="7" t="s">
        <v>483</v>
      </c>
      <c r="B2772" s="7" t="s">
        <v>169</v>
      </c>
      <c r="C2772" s="3"/>
      <c r="D2772" s="3" t="s">
        <v>552</v>
      </c>
      <c r="E2772" s="4"/>
      <c r="F2772" s="3" t="s">
        <v>127</v>
      </c>
      <c r="G2772" s="9"/>
      <c r="H2772" s="9"/>
      <c r="I2772" s="12"/>
      <c r="J2772" s="5" t="e">
        <f>SUM(SUMIFS(#REF!,#REF!,Planning[[#This Row],[Tipo de Tarea y especialidad]],#REF!,Planning[[#This Row],[Proyectos Reiwa]]),SUMIFS(#REF!,#REF!,Planning[[#This Row],[Tipo de Tarea y especialidad]],#REF!,Planning[[#This Row],[Proyectos]]))</f>
        <v>#REF!</v>
      </c>
      <c r="K2772" s="5" t="e">
        <f>Planning[[#This Row],[Horas Planificadas]]+Planning[[#This Row],[Horas ajustadas adicionales]]-Planning[[#This Row],[Horas utilizadas]]</f>
        <v>#REF!</v>
      </c>
      <c r="L2772" s="7">
        <v>0</v>
      </c>
      <c r="M2772" s="19" t="e">
        <f>Planning[[#This Row],[Saldo]]-Planning[[#This Row],[Saldo estimado]]</f>
        <v>#REF!</v>
      </c>
      <c r="N2772" s="60" t="e">
        <f>+SUMIFS(#REF!,#REF!,Planning[[#This Row],[Proyectos]],#REF!,Planning[[#This Row],[Tipo de Tarea y especialidad]])</f>
        <v>#REF!</v>
      </c>
      <c r="O2772" s="19">
        <f t="shared" si="86"/>
        <v>10</v>
      </c>
      <c r="P2772" s="19">
        <f t="shared" si="87"/>
        <v>2024</v>
      </c>
      <c r="Q27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72" s="19" t="str">
        <f>TEXT(Planning[[#This Row],[Mes]]*29,"mmmm")</f>
        <v>October</v>
      </c>
      <c r="S27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72" s="210"/>
      <c r="U2772" s="43">
        <f>IF(Planning[[#This Row],[Horas Planificadas]]&lt;&gt;0,+K2772/Planning[[#This Row],[Horas Planificadas]],0)</f>
        <v>0</v>
      </c>
      <c r="V2772" s="43">
        <f>IF(Planning[[#This Row],[Horas Planificadas]]&lt;&gt;0,Planning[[#This Row],[Horas utilizadas]]/Planning[[#This Row],[Horas Planificadas]],0)</f>
        <v>0</v>
      </c>
      <c r="W2772" s="44">
        <f>Planning[[#This Row],[Horas Planificadas]]+Planning[[#This Row],[Horas ajustadas adicionales]]</f>
        <v>0</v>
      </c>
      <c r="X2772" s="142"/>
    </row>
    <row r="2773" spans="1:24" x14ac:dyDescent="0.2">
      <c r="A2773" s="7" t="s">
        <v>483</v>
      </c>
      <c r="B2773" s="7" t="s">
        <v>169</v>
      </c>
      <c r="C2773" s="3"/>
      <c r="D2773" s="3" t="s">
        <v>552</v>
      </c>
      <c r="E2773" s="4"/>
      <c r="F2773" s="3" t="s">
        <v>128</v>
      </c>
      <c r="G2773" s="9"/>
      <c r="H2773" s="9"/>
      <c r="I2773" s="12"/>
      <c r="J2773" s="5" t="e">
        <f>SUM(SUMIFS(#REF!,#REF!,Planning[[#This Row],[Tipo de Tarea y especialidad]],#REF!,Planning[[#This Row],[Proyectos Reiwa]]),SUMIFS(#REF!,#REF!,Planning[[#This Row],[Tipo de Tarea y especialidad]],#REF!,Planning[[#This Row],[Proyectos]]))</f>
        <v>#REF!</v>
      </c>
      <c r="K2773" s="5" t="e">
        <f>Planning[[#This Row],[Horas Planificadas]]+Planning[[#This Row],[Horas ajustadas adicionales]]-Planning[[#This Row],[Horas utilizadas]]</f>
        <v>#REF!</v>
      </c>
      <c r="L2773" s="7">
        <v>0</v>
      </c>
      <c r="M2773" s="19" t="e">
        <f>Planning[[#This Row],[Saldo]]-Planning[[#This Row],[Saldo estimado]]</f>
        <v>#REF!</v>
      </c>
      <c r="N2773" s="60" t="e">
        <f>+SUMIFS(#REF!,#REF!,Planning[[#This Row],[Proyectos]],#REF!,Planning[[#This Row],[Tipo de Tarea y especialidad]])</f>
        <v>#REF!</v>
      </c>
      <c r="O2773" s="19">
        <f t="shared" si="86"/>
        <v>10</v>
      </c>
      <c r="P2773" s="19">
        <f t="shared" si="87"/>
        <v>2024</v>
      </c>
      <c r="Q27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73" s="19" t="str">
        <f>TEXT(Planning[[#This Row],[Mes]]*29,"mmmm")</f>
        <v>October</v>
      </c>
      <c r="S27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73" s="210"/>
      <c r="U2773" s="43">
        <f>IF(Planning[[#This Row],[Horas Planificadas]]&lt;&gt;0,+K2773/Planning[[#This Row],[Horas Planificadas]],0)</f>
        <v>0</v>
      </c>
      <c r="V2773" s="43">
        <f>IF(Planning[[#This Row],[Horas Planificadas]]&lt;&gt;0,Planning[[#This Row],[Horas utilizadas]]/Planning[[#This Row],[Horas Planificadas]],0)</f>
        <v>0</v>
      </c>
      <c r="W2773" s="44">
        <f>Planning[[#This Row],[Horas Planificadas]]+Planning[[#This Row],[Horas ajustadas adicionales]]</f>
        <v>0</v>
      </c>
      <c r="X2773" s="142"/>
    </row>
    <row r="2774" spans="1:24" x14ac:dyDescent="0.2">
      <c r="A2774" s="7" t="s">
        <v>483</v>
      </c>
      <c r="B2774" s="7" t="s">
        <v>169</v>
      </c>
      <c r="C2774" s="3"/>
      <c r="D2774" s="3" t="s">
        <v>552</v>
      </c>
      <c r="E2774" s="4" t="s">
        <v>31</v>
      </c>
      <c r="F2774" s="3" t="s">
        <v>31</v>
      </c>
      <c r="G2774" s="9">
        <v>32</v>
      </c>
      <c r="H2774" s="17">
        <v>32</v>
      </c>
      <c r="I2774" s="18"/>
      <c r="J2774" s="14" t="e">
        <f>+SUMIFS(#REF!,#REF!,Planning[[#This Row],[Tarifa]],#REF!,Planning[[#This Row],[Proyectos]])</f>
        <v>#REF!</v>
      </c>
      <c r="K2774" s="14" t="e">
        <f>Planning[[#This Row],[Horas Planificadas]]+Planning[[#This Row],[Horas ajustadas adicionales]]-Planning[[#This Row],[Horas utilizadas]]</f>
        <v>#REF!</v>
      </c>
      <c r="L2774" s="15">
        <v>0</v>
      </c>
      <c r="M2774" s="16" t="e">
        <f>Planning[[#This Row],[Saldo]]-Planning[[#This Row],[Saldo estimado]]</f>
        <v>#REF!</v>
      </c>
      <c r="N2774" s="60" t="e">
        <f>+SUMIFS(#REF!,#REF!,Planning[[#This Row],[Proyectos]],#REF!,Planning[[#This Row],[Tipo de Tarea y especialidad]])</f>
        <v>#REF!</v>
      </c>
      <c r="O2774" s="16">
        <f t="shared" si="86"/>
        <v>10</v>
      </c>
      <c r="P2774" s="16">
        <f t="shared" si="87"/>
        <v>2024</v>
      </c>
      <c r="Q2774" s="16" t="e">
        <f>+SUMIFS(#REF!,#REF!,Planning[[#This Row],[Tarifa]],#REF!,Planning[[#This Row],[Proyectos]],#REF!,Planning[[#This Row],[Mes]],#REF!,Planning[[#This Row],[Año]])</f>
        <v>#REF!</v>
      </c>
      <c r="R2774" s="16" t="str">
        <f>TEXT(Planning[[#This Row],[Mes]]*29,"mmmm")</f>
        <v>October</v>
      </c>
      <c r="S27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74" s="210"/>
      <c r="U2774" s="43" t="e">
        <f>IF(Planning[[#This Row],[Horas Planificadas]]&lt;&gt;0,+K2774/Planning[[#This Row],[Horas Planificadas]],0)</f>
        <v>#REF!</v>
      </c>
      <c r="V2774" s="43" t="e">
        <f>IF(Planning[[#This Row],[Horas Planificadas]]&lt;&gt;0,Planning[[#This Row],[Horas utilizadas]]/Planning[[#This Row],[Horas Planificadas]],0)</f>
        <v>#REF!</v>
      </c>
      <c r="W2774" s="44">
        <f>Planning[[#This Row],[Horas Planificadas]]+Planning[[#This Row],[Horas ajustadas adicionales]]</f>
        <v>32</v>
      </c>
      <c r="X2774" s="142"/>
    </row>
    <row r="2775" spans="1:24" ht="22.5" x14ac:dyDescent="0.2">
      <c r="A2775" s="7" t="s">
        <v>483</v>
      </c>
      <c r="B2775" s="7" t="s">
        <v>169</v>
      </c>
      <c r="C2775" s="3"/>
      <c r="D2775" s="3" t="s">
        <v>552</v>
      </c>
      <c r="E2775" s="4" t="s">
        <v>32</v>
      </c>
      <c r="F2775" s="3"/>
      <c r="G2775" s="9">
        <v>80</v>
      </c>
      <c r="H2775" s="14">
        <f>SUM(H2776:H2778)</f>
        <v>80</v>
      </c>
      <c r="I2775" s="14"/>
      <c r="J2775" s="14" t="e">
        <f>SUM(J2776:J2778)</f>
        <v>#REF!</v>
      </c>
      <c r="K2775" s="15" t="e">
        <f>SUM(K2776:K2778)</f>
        <v>#REF!</v>
      </c>
      <c r="L2775" s="15">
        <f>SUM(L2776:L2778)</f>
        <v>0</v>
      </c>
      <c r="M2775" s="35" t="e">
        <f>SUM(M2776:M2778)</f>
        <v>#REF!</v>
      </c>
      <c r="N2775" s="62" t="e">
        <f>+SUMIFS(#REF!,#REF!,Planning[[#This Row],[Proyectos]],#REF!,Planning[[#This Row],[Tipo de Tarea y especialidad]])</f>
        <v>#REF!</v>
      </c>
      <c r="O2775" s="35">
        <f t="shared" si="86"/>
        <v>10</v>
      </c>
      <c r="P2775" s="35">
        <f t="shared" si="87"/>
        <v>2024</v>
      </c>
      <c r="Q2775" s="16" t="e">
        <f>SUM(Q2776:Q2778)</f>
        <v>#REF!</v>
      </c>
      <c r="R2775" s="16" t="str">
        <f>TEXT(Planning[[#This Row],[Mes]]*29,"mmmm")</f>
        <v>October</v>
      </c>
      <c r="S27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75" s="210"/>
      <c r="U2775" s="43" t="e">
        <f>IF(Planning[[#This Row],[Horas Planificadas]]&lt;&gt;0,+K2775/Planning[[#This Row],[Horas Planificadas]],0)</f>
        <v>#REF!</v>
      </c>
      <c r="V2775" s="43" t="e">
        <f>IF(Planning[[#This Row],[Horas Planificadas]]&lt;&gt;0,Planning[[#This Row],[Horas utilizadas]]/Planning[[#This Row],[Horas Planificadas]],0)</f>
        <v>#REF!</v>
      </c>
      <c r="W2775" s="44">
        <f>Planning[[#This Row],[Horas Planificadas]]+Planning[[#This Row],[Horas ajustadas adicionales]]</f>
        <v>80</v>
      </c>
      <c r="X2775" s="142"/>
    </row>
    <row r="2776" spans="1:24" x14ac:dyDescent="0.2">
      <c r="A2776" s="7" t="s">
        <v>483</v>
      </c>
      <c r="B2776" s="7" t="s">
        <v>169</v>
      </c>
      <c r="C2776" s="3"/>
      <c r="D2776" s="3" t="s">
        <v>552</v>
      </c>
      <c r="E2776" s="4"/>
      <c r="F2776" s="3" t="s">
        <v>129</v>
      </c>
      <c r="G2776" s="9"/>
      <c r="H2776" s="9">
        <v>80</v>
      </c>
      <c r="I2776" s="12"/>
      <c r="J2776" s="5" t="e">
        <f>SUM(SUMIFS(#REF!,#REF!,Planning[[#This Row],[Tipo de Tarea y especialidad]],#REF!,Planning[[#This Row],[Proyectos Reiwa]]),SUMIFS(#REF!,#REF!,Planning[[#This Row],[Tipo de Tarea y especialidad]],#REF!,Planning[[#This Row],[Proyectos]]))</f>
        <v>#REF!</v>
      </c>
      <c r="K2776" s="5" t="e">
        <f>Planning[[#This Row],[Horas Planificadas]]+Planning[[#This Row],[Horas ajustadas adicionales]]-Planning[[#This Row],[Horas utilizadas]]</f>
        <v>#REF!</v>
      </c>
      <c r="L2776" s="7">
        <v>0</v>
      </c>
      <c r="M2776" s="19" t="e">
        <f>Planning[[#This Row],[Saldo]]-Planning[[#This Row],[Saldo estimado]]</f>
        <v>#REF!</v>
      </c>
      <c r="N2776" s="60" t="e">
        <f>+SUMIFS(#REF!,#REF!,Planning[[#This Row],[Proyectos]],#REF!,Planning[[#This Row],[Tipo de Tarea y especialidad]])</f>
        <v>#REF!</v>
      </c>
      <c r="O2776" s="19">
        <f t="shared" si="86"/>
        <v>10</v>
      </c>
      <c r="P2776" s="19">
        <f t="shared" si="87"/>
        <v>2024</v>
      </c>
      <c r="Q27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76" s="19" t="str">
        <f>TEXT(Planning[[#This Row],[Mes]]*29,"mmmm")</f>
        <v>October</v>
      </c>
      <c r="S27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76" s="210"/>
      <c r="U2776" s="43" t="e">
        <f>IF(Planning[[#This Row],[Horas Planificadas]]&lt;&gt;0,+K2776/Planning[[#This Row],[Horas Planificadas]],0)</f>
        <v>#REF!</v>
      </c>
      <c r="V2776" s="43" t="e">
        <f>IF(Planning[[#This Row],[Horas Planificadas]]&lt;&gt;0,Planning[[#This Row],[Horas utilizadas]]/Planning[[#This Row],[Horas Planificadas]],0)</f>
        <v>#REF!</v>
      </c>
      <c r="W2776" s="44">
        <f>Planning[[#This Row],[Horas Planificadas]]+Planning[[#This Row],[Horas ajustadas adicionales]]</f>
        <v>80</v>
      </c>
      <c r="X2776" s="142"/>
    </row>
    <row r="2777" spans="1:24" x14ac:dyDescent="0.2">
      <c r="A2777" s="7" t="s">
        <v>483</v>
      </c>
      <c r="B2777" s="7" t="s">
        <v>169</v>
      </c>
      <c r="C2777" s="3"/>
      <c r="D2777" s="3" t="s">
        <v>552</v>
      </c>
      <c r="E2777" s="4"/>
      <c r="F2777" s="3" t="s">
        <v>130</v>
      </c>
      <c r="G2777" s="9"/>
      <c r="H2777" s="9"/>
      <c r="I2777" s="12"/>
      <c r="J2777" s="5" t="e">
        <f>SUM(SUMIFS(#REF!,#REF!,Planning[[#This Row],[Tipo de Tarea y especialidad]],#REF!,Planning[[#This Row],[Proyectos Reiwa]]),SUMIFS(#REF!,#REF!,Planning[[#This Row],[Tipo de Tarea y especialidad]],#REF!,Planning[[#This Row],[Proyectos]]))</f>
        <v>#REF!</v>
      </c>
      <c r="K2777" s="5" t="e">
        <f>Planning[[#This Row],[Horas Planificadas]]+Planning[[#This Row],[Horas ajustadas adicionales]]-Planning[[#This Row],[Horas utilizadas]]</f>
        <v>#REF!</v>
      </c>
      <c r="L2777" s="7">
        <v>0</v>
      </c>
      <c r="M2777" s="19" t="e">
        <f>Planning[[#This Row],[Saldo]]-Planning[[#This Row],[Saldo estimado]]</f>
        <v>#REF!</v>
      </c>
      <c r="N2777" s="60" t="e">
        <f>+SUMIFS(#REF!,#REF!,Planning[[#This Row],[Proyectos]],#REF!,Planning[[#This Row],[Tipo de Tarea y especialidad]])</f>
        <v>#REF!</v>
      </c>
      <c r="O2777" s="19">
        <f t="shared" si="86"/>
        <v>10</v>
      </c>
      <c r="P2777" s="19">
        <f t="shared" si="87"/>
        <v>2024</v>
      </c>
      <c r="Q27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77" s="19" t="str">
        <f>TEXT(Planning[[#This Row],[Mes]]*29,"mmmm")</f>
        <v>October</v>
      </c>
      <c r="S27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77" s="210"/>
      <c r="U2777" s="43">
        <f>IF(Planning[[#This Row],[Horas Planificadas]]&lt;&gt;0,+K2777/Planning[[#This Row],[Horas Planificadas]],0)</f>
        <v>0</v>
      </c>
      <c r="V2777" s="43">
        <f>IF(Planning[[#This Row],[Horas Planificadas]]&lt;&gt;0,Planning[[#This Row],[Horas utilizadas]]/Planning[[#This Row],[Horas Planificadas]],0)</f>
        <v>0</v>
      </c>
      <c r="W2777" s="44">
        <f>Planning[[#This Row],[Horas Planificadas]]+Planning[[#This Row],[Horas ajustadas adicionales]]</f>
        <v>0</v>
      </c>
      <c r="X2777" s="142"/>
    </row>
    <row r="2778" spans="1:24" x14ac:dyDescent="0.2">
      <c r="A2778" s="7" t="s">
        <v>483</v>
      </c>
      <c r="B2778" s="7" t="s">
        <v>169</v>
      </c>
      <c r="C2778" s="3"/>
      <c r="D2778" s="3" t="s">
        <v>552</v>
      </c>
      <c r="E2778" s="4"/>
      <c r="F2778" s="3" t="s">
        <v>131</v>
      </c>
      <c r="G2778" s="9"/>
      <c r="H2778" s="12"/>
      <c r="I2778" s="12"/>
      <c r="J2778" s="5" t="e">
        <f>SUM(SUMIFS(#REF!,#REF!,Planning[[#This Row],[Tipo de Tarea y especialidad]],#REF!,Planning[[#This Row],[Proyectos Reiwa]]),SUMIFS(#REF!,#REF!,Planning[[#This Row],[Tipo de Tarea y especialidad]],#REF!,Planning[[#This Row],[Proyectos]]))</f>
        <v>#REF!</v>
      </c>
      <c r="K2778" s="27" t="e">
        <f>Planning[[#This Row],[Horas Planificadas]]+Planning[[#This Row],[Horas ajustadas adicionales]]-Planning[[#This Row],[Horas utilizadas]]</f>
        <v>#REF!</v>
      </c>
      <c r="L2778" s="7">
        <v>0</v>
      </c>
      <c r="M2778" s="19" t="e">
        <f>Planning[[#This Row],[Saldo]]-Planning[[#This Row],[Saldo estimado]]</f>
        <v>#REF!</v>
      </c>
      <c r="N2778" s="60" t="e">
        <f>+SUMIFS(#REF!,#REF!,Planning[[#This Row],[Proyectos]],#REF!,Planning[[#This Row],[Tipo de Tarea y especialidad]])</f>
        <v>#REF!</v>
      </c>
      <c r="O2778" s="19">
        <f t="shared" si="86"/>
        <v>10</v>
      </c>
      <c r="P2778" s="19">
        <f t="shared" si="87"/>
        <v>2024</v>
      </c>
      <c r="Q27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78" s="19" t="str">
        <f>TEXT(Planning[[#This Row],[Mes]]*29,"mmmm")</f>
        <v>October</v>
      </c>
      <c r="S27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78" s="210"/>
      <c r="U2778" s="43">
        <f>IF(Planning[[#This Row],[Horas Planificadas]]&lt;&gt;0,+K2778/Planning[[#This Row],[Horas Planificadas]],0)</f>
        <v>0</v>
      </c>
      <c r="V2778" s="43">
        <f>IF(Planning[[#This Row],[Horas Planificadas]]&lt;&gt;0,Planning[[#This Row],[Horas utilizadas]]/Planning[[#This Row],[Horas Planificadas]],0)</f>
        <v>0</v>
      </c>
      <c r="W2778" s="44">
        <f>Planning[[#This Row],[Horas Planificadas]]+Planning[[#This Row],[Horas ajustadas adicionales]]</f>
        <v>0</v>
      </c>
      <c r="X2778" s="142"/>
    </row>
    <row r="2779" spans="1:24" ht="22.5" x14ac:dyDescent="0.2">
      <c r="A2779" s="7"/>
      <c r="B2779" s="7"/>
      <c r="C2779" s="3"/>
      <c r="D2779" s="3" t="s">
        <v>554</v>
      </c>
      <c r="E2779" s="4" t="s">
        <v>28</v>
      </c>
      <c r="F2779" s="3"/>
      <c r="G2779" s="9"/>
      <c r="H2779" s="9">
        <v>160</v>
      </c>
      <c r="I2779" s="12"/>
      <c r="J2779" s="5" t="e">
        <f>+SUMIFS(#REF!,#REF!,Planning[[#This Row],[Tarifa]],#REF!,Planning[[#This Row],[Proyectos]])</f>
        <v>#REF!</v>
      </c>
      <c r="K2779" s="5" t="e">
        <f>Planning[[#This Row],[Horas Planificadas]]+Planning[[#This Row],[Horas ajustadas adicionales]]-Planning[[#This Row],[Horas utilizadas]]</f>
        <v>#REF!</v>
      </c>
      <c r="L2779" s="7"/>
      <c r="M2779" s="19" t="e">
        <f>Planning[[#This Row],[Saldo]]-Planning[[#This Row],[Saldo estimado]]</f>
        <v>#REF!</v>
      </c>
      <c r="N2779" s="60" t="e">
        <f>+SUMIFS(#REF!,#REF!,Planning[[#This Row],[Proyectos]],#REF!,Planning[[#This Row],[Tipo de Tarea y especialidad]])</f>
        <v>#REF!</v>
      </c>
      <c r="O2779" s="19">
        <f t="shared" si="86"/>
        <v>10</v>
      </c>
      <c r="P2779" s="19">
        <f t="shared" si="87"/>
        <v>2024</v>
      </c>
      <c r="Q2779" s="19" t="e">
        <f>+SUMIFS(#REF!,#REF!,Planning[[#This Row],[Tarifa]],#REF!,Planning[[#This Row],[Proyectos]],#REF!,Planning[[#This Row],[Mes]],#REF!,Planning[[#This Row],[Año]])</f>
        <v>#REF!</v>
      </c>
      <c r="R2779" s="19" t="str">
        <f>TEXT(Planning[[#This Row],[Mes]]*29,"mmmm")</f>
        <v>October</v>
      </c>
      <c r="S27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79" s="228"/>
      <c r="U2779" s="43" t="e">
        <f>IF(Planning[[#This Row],[Horas Planificadas]]&lt;&gt;0,+K2779/Planning[[#This Row],[Horas Planificadas]],0)</f>
        <v>#REF!</v>
      </c>
      <c r="V2779" s="43" t="e">
        <f>IF(Planning[[#This Row],[Horas Planificadas]]&lt;&gt;0,Planning[[#This Row],[Horas utilizadas]]/Planning[[#This Row],[Horas Planificadas]],0)</f>
        <v>#REF!</v>
      </c>
      <c r="W2779" s="44">
        <f>Planning[[#This Row],[Horas Planificadas]]+Planning[[#This Row],[Horas ajustadas adicionales]]</f>
        <v>160</v>
      </c>
      <c r="X2779" s="142"/>
    </row>
    <row r="2780" spans="1:24" x14ac:dyDescent="0.2">
      <c r="A2780" s="7"/>
      <c r="B2780" s="7"/>
      <c r="C2780" s="3"/>
      <c r="D2780" s="3" t="s">
        <v>554</v>
      </c>
      <c r="E2780" s="4" t="s">
        <v>30</v>
      </c>
      <c r="F2780" s="3"/>
      <c r="G2780" s="9"/>
      <c r="H2780" s="9">
        <v>290</v>
      </c>
      <c r="I2780" s="12"/>
      <c r="J2780" s="5" t="e">
        <f>+SUMIFS(#REF!,#REF!,Planning[[#This Row],[Tarifa]],#REF!,Planning[[#This Row],[Proyectos]])</f>
        <v>#REF!</v>
      </c>
      <c r="K2780" s="5" t="e">
        <f>Planning[[#This Row],[Horas Planificadas]]+Planning[[#This Row],[Horas ajustadas adicionales]]-Planning[[#This Row],[Horas utilizadas]]</f>
        <v>#REF!</v>
      </c>
      <c r="L2780" s="7"/>
      <c r="M2780" s="19" t="e">
        <f>Planning[[#This Row],[Saldo]]-Planning[[#This Row],[Saldo estimado]]</f>
        <v>#REF!</v>
      </c>
      <c r="N2780" s="60" t="e">
        <f>+SUMIFS(#REF!,#REF!,Planning[[#This Row],[Proyectos]],#REF!,Planning[[#This Row],[Tipo de Tarea y especialidad]])</f>
        <v>#REF!</v>
      </c>
      <c r="O2780" s="19">
        <f t="shared" si="86"/>
        <v>10</v>
      </c>
      <c r="P2780" s="19">
        <f t="shared" si="87"/>
        <v>2024</v>
      </c>
      <c r="Q2780" s="19" t="e">
        <f>+SUMIFS(#REF!,#REF!,Planning[[#This Row],[Tarifa]],#REF!,Planning[[#This Row],[Proyectos]],#REF!,Planning[[#This Row],[Mes]],#REF!,Planning[[#This Row],[Año]])</f>
        <v>#REF!</v>
      </c>
      <c r="R2780" s="19" t="str">
        <f>TEXT(Planning[[#This Row],[Mes]]*29,"mmmm")</f>
        <v>October</v>
      </c>
      <c r="S27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80" s="228"/>
      <c r="U2780" s="43" t="e">
        <f>IF(Planning[[#This Row],[Horas Planificadas]]&lt;&gt;0,+K2780/Planning[[#This Row],[Horas Planificadas]],0)</f>
        <v>#REF!</v>
      </c>
      <c r="V2780" s="43" t="e">
        <f>IF(Planning[[#This Row],[Horas Planificadas]]&lt;&gt;0,Planning[[#This Row],[Horas utilizadas]]/Planning[[#This Row],[Horas Planificadas]],0)</f>
        <v>#REF!</v>
      </c>
      <c r="W2780" s="44">
        <f>Planning[[#This Row],[Horas Planificadas]]+Planning[[#This Row],[Horas ajustadas adicionales]]</f>
        <v>290</v>
      </c>
      <c r="X2780" s="142"/>
    </row>
    <row r="2781" spans="1:24" x14ac:dyDescent="0.2">
      <c r="A2781" s="7"/>
      <c r="B2781" s="7"/>
      <c r="C2781" s="3"/>
      <c r="D2781" s="3" t="s">
        <v>554</v>
      </c>
      <c r="E2781" s="4" t="s">
        <v>31</v>
      </c>
      <c r="F2781" s="3"/>
      <c r="G2781" s="9"/>
      <c r="H2781" s="9">
        <v>80</v>
      </c>
      <c r="I2781" s="12"/>
      <c r="J2781" s="5" t="e">
        <f>+SUMIFS(#REF!,#REF!,Planning[[#This Row],[Tarifa]],#REF!,Planning[[#This Row],[Proyectos]])</f>
        <v>#REF!</v>
      </c>
      <c r="K2781" s="5" t="e">
        <f>Planning[[#This Row],[Horas Planificadas]]+Planning[[#This Row],[Horas ajustadas adicionales]]-Planning[[#This Row],[Horas utilizadas]]</f>
        <v>#REF!</v>
      </c>
      <c r="L2781" s="7"/>
      <c r="M2781" s="19" t="e">
        <f>Planning[[#This Row],[Saldo]]-Planning[[#This Row],[Saldo estimado]]</f>
        <v>#REF!</v>
      </c>
      <c r="N2781" s="60" t="e">
        <f>+SUMIFS(#REF!,#REF!,Planning[[#This Row],[Proyectos]],#REF!,Planning[[#This Row],[Tipo de Tarea y especialidad]])</f>
        <v>#REF!</v>
      </c>
      <c r="O2781" s="19">
        <f t="shared" si="86"/>
        <v>10</v>
      </c>
      <c r="P2781" s="19">
        <f t="shared" si="87"/>
        <v>2024</v>
      </c>
      <c r="Q2781" s="19" t="e">
        <f>+SUMIFS(#REF!,#REF!,Planning[[#This Row],[Tarifa]],#REF!,Planning[[#This Row],[Proyectos]],#REF!,Planning[[#This Row],[Mes]],#REF!,Planning[[#This Row],[Año]])</f>
        <v>#REF!</v>
      </c>
      <c r="R2781" s="19" t="str">
        <f>TEXT(Planning[[#This Row],[Mes]]*29,"mmmm")</f>
        <v>October</v>
      </c>
      <c r="S27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81" s="228"/>
      <c r="U2781" s="43" t="e">
        <f>IF(Planning[[#This Row],[Horas Planificadas]]&lt;&gt;0,+K2781/Planning[[#This Row],[Horas Planificadas]],0)</f>
        <v>#REF!</v>
      </c>
      <c r="V2781" s="43" t="e">
        <f>IF(Planning[[#This Row],[Horas Planificadas]]&lt;&gt;0,Planning[[#This Row],[Horas utilizadas]]/Planning[[#This Row],[Horas Planificadas]],0)</f>
        <v>#REF!</v>
      </c>
      <c r="W2781" s="44">
        <f>Planning[[#This Row],[Horas Planificadas]]+Planning[[#This Row],[Horas ajustadas adicionales]]</f>
        <v>80</v>
      </c>
      <c r="X2781" s="142"/>
    </row>
    <row r="2782" spans="1:24" ht="22.5" x14ac:dyDescent="0.2">
      <c r="A2782" s="7"/>
      <c r="B2782" s="7"/>
      <c r="C2782" s="3"/>
      <c r="D2782" s="3" t="s">
        <v>554</v>
      </c>
      <c r="E2782" s="4" t="s">
        <v>32</v>
      </c>
      <c r="F2782" s="3"/>
      <c r="G2782" s="9"/>
      <c r="H2782" s="9">
        <v>150</v>
      </c>
      <c r="I2782" s="12"/>
      <c r="J2782" s="5" t="e">
        <f>+SUMIFS(#REF!,#REF!,Planning[[#This Row],[Tarifa]],#REF!,Planning[[#This Row],[Proyectos]])</f>
        <v>#REF!</v>
      </c>
      <c r="K2782" s="5" t="e">
        <f>Planning[[#This Row],[Horas Planificadas]]+Planning[[#This Row],[Horas ajustadas adicionales]]-Planning[[#This Row],[Horas utilizadas]]</f>
        <v>#REF!</v>
      </c>
      <c r="L2782" s="7"/>
      <c r="M2782" s="19" t="e">
        <f>Planning[[#This Row],[Saldo]]-Planning[[#This Row],[Saldo estimado]]</f>
        <v>#REF!</v>
      </c>
      <c r="N2782" s="60" t="e">
        <f>+SUMIFS(#REF!,#REF!,Planning[[#This Row],[Proyectos]],#REF!,Planning[[#This Row],[Tipo de Tarea y especialidad]])</f>
        <v>#REF!</v>
      </c>
      <c r="O2782" s="19">
        <f t="shared" si="86"/>
        <v>10</v>
      </c>
      <c r="P2782" s="19">
        <f t="shared" si="87"/>
        <v>2024</v>
      </c>
      <c r="Q2782" s="19" t="e">
        <f>+SUMIFS(#REF!,#REF!,Planning[[#This Row],[Tarifa]],#REF!,Planning[[#This Row],[Proyectos]],#REF!,Planning[[#This Row],[Mes]],#REF!,Planning[[#This Row],[Año]])</f>
        <v>#REF!</v>
      </c>
      <c r="R2782" s="19" t="str">
        <f>TEXT(Planning[[#This Row],[Mes]]*29,"mmmm")</f>
        <v>October</v>
      </c>
      <c r="S27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82" s="228"/>
      <c r="U2782" s="43" t="e">
        <f>IF(Planning[[#This Row],[Horas Planificadas]]&lt;&gt;0,+K2782/Planning[[#This Row],[Horas Planificadas]],0)</f>
        <v>#REF!</v>
      </c>
      <c r="V2782" s="43" t="e">
        <f>IF(Planning[[#This Row],[Horas Planificadas]]&lt;&gt;0,Planning[[#This Row],[Horas utilizadas]]/Planning[[#This Row],[Horas Planificadas]],0)</f>
        <v>#REF!</v>
      </c>
      <c r="W2782" s="44">
        <f>Planning[[#This Row],[Horas Planificadas]]+Planning[[#This Row],[Horas ajustadas adicionales]]</f>
        <v>150</v>
      </c>
      <c r="X2782" s="142"/>
    </row>
    <row r="2783" spans="1:24" ht="22.5" x14ac:dyDescent="0.2">
      <c r="A2783" s="7"/>
      <c r="B2783" s="7"/>
      <c r="C2783" s="3"/>
      <c r="D2783" s="3" t="s">
        <v>555</v>
      </c>
      <c r="E2783" s="4" t="s">
        <v>28</v>
      </c>
      <c r="F2783" s="3"/>
      <c r="G2783" s="9"/>
      <c r="H2783" s="9">
        <v>0</v>
      </c>
      <c r="I2783" s="12"/>
      <c r="J2783" s="5" t="e">
        <f>+SUMIFS(#REF!,#REF!,Planning[[#This Row],[Tarifa]],#REF!,Planning[[#This Row],[Proyectos]])</f>
        <v>#REF!</v>
      </c>
      <c r="K2783" s="5" t="e">
        <f>Planning[[#This Row],[Horas Planificadas]]+Planning[[#This Row],[Horas ajustadas adicionales]]-Planning[[#This Row],[Horas utilizadas]]</f>
        <v>#REF!</v>
      </c>
      <c r="L2783" s="7"/>
      <c r="M2783" s="19" t="e">
        <f>Planning[[#This Row],[Saldo]]-Planning[[#This Row],[Saldo estimado]]</f>
        <v>#REF!</v>
      </c>
      <c r="N2783" s="60" t="e">
        <f>+SUMIFS(#REF!,#REF!,Planning[[#This Row],[Proyectos]],#REF!,Planning[[#This Row],[Tipo de Tarea y especialidad]])</f>
        <v>#REF!</v>
      </c>
      <c r="O2783" s="19">
        <f t="shared" si="86"/>
        <v>10</v>
      </c>
      <c r="P2783" s="19">
        <f t="shared" si="87"/>
        <v>2024</v>
      </c>
      <c r="Q2783" s="19" t="e">
        <f>+SUMIFS(#REF!,#REF!,Planning[[#This Row],[Tarifa]],#REF!,Planning[[#This Row],[Proyectos]],#REF!,Planning[[#This Row],[Mes]],#REF!,Planning[[#This Row],[Año]])</f>
        <v>#REF!</v>
      </c>
      <c r="R2783" s="19" t="str">
        <f>TEXT(Planning[[#This Row],[Mes]]*29,"mmmm")</f>
        <v>October</v>
      </c>
      <c r="S27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83" s="228"/>
      <c r="U2783" s="43">
        <f>IF(Planning[[#This Row],[Horas Planificadas]]&lt;&gt;0,+K2783/Planning[[#This Row],[Horas Planificadas]],0)</f>
        <v>0</v>
      </c>
      <c r="V2783" s="43">
        <f>IF(Planning[[#This Row],[Horas Planificadas]]&lt;&gt;0,Planning[[#This Row],[Horas utilizadas]]/Planning[[#This Row],[Horas Planificadas]],0)</f>
        <v>0</v>
      </c>
      <c r="W2783" s="44">
        <f>Planning[[#This Row],[Horas Planificadas]]+Planning[[#This Row],[Horas ajustadas adicionales]]</f>
        <v>0</v>
      </c>
      <c r="X2783" s="142"/>
    </row>
    <row r="2784" spans="1:24" x14ac:dyDescent="0.2">
      <c r="A2784" s="7"/>
      <c r="B2784" s="7"/>
      <c r="C2784" s="3"/>
      <c r="D2784" s="3" t="s">
        <v>555</v>
      </c>
      <c r="E2784" s="4" t="s">
        <v>30</v>
      </c>
      <c r="F2784" s="3"/>
      <c r="G2784" s="9"/>
      <c r="H2784" s="9">
        <v>120</v>
      </c>
      <c r="I2784" s="12"/>
      <c r="J2784" s="5" t="e">
        <f>+SUMIFS(#REF!,#REF!,Planning[[#This Row],[Tarifa]],#REF!,Planning[[#This Row],[Proyectos]])</f>
        <v>#REF!</v>
      </c>
      <c r="K2784" s="5" t="e">
        <f>Planning[[#This Row],[Horas Planificadas]]+Planning[[#This Row],[Horas ajustadas adicionales]]-Planning[[#This Row],[Horas utilizadas]]</f>
        <v>#REF!</v>
      </c>
      <c r="L2784" s="7"/>
      <c r="M2784" s="19" t="e">
        <f>Planning[[#This Row],[Saldo]]-Planning[[#This Row],[Saldo estimado]]</f>
        <v>#REF!</v>
      </c>
      <c r="N2784" s="60" t="e">
        <f>+SUMIFS(#REF!,#REF!,Planning[[#This Row],[Proyectos]],#REF!,Planning[[#This Row],[Tipo de Tarea y especialidad]])</f>
        <v>#REF!</v>
      </c>
      <c r="O2784" s="19">
        <f t="shared" si="86"/>
        <v>10</v>
      </c>
      <c r="P2784" s="19">
        <f t="shared" si="87"/>
        <v>2024</v>
      </c>
      <c r="Q2784" s="19" t="e">
        <f>+SUMIFS(#REF!,#REF!,Planning[[#This Row],[Tarifa]],#REF!,Planning[[#This Row],[Proyectos]],#REF!,Planning[[#This Row],[Mes]],#REF!,Planning[[#This Row],[Año]])</f>
        <v>#REF!</v>
      </c>
      <c r="R2784" s="19" t="str">
        <f>TEXT(Planning[[#This Row],[Mes]]*29,"mmmm")</f>
        <v>October</v>
      </c>
      <c r="S27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84" s="228"/>
      <c r="U2784" s="43" t="e">
        <f>IF(Planning[[#This Row],[Horas Planificadas]]&lt;&gt;0,+K2784/Planning[[#This Row],[Horas Planificadas]],0)</f>
        <v>#REF!</v>
      </c>
      <c r="V2784" s="43" t="e">
        <f>IF(Planning[[#This Row],[Horas Planificadas]]&lt;&gt;0,Planning[[#This Row],[Horas utilizadas]]/Planning[[#This Row],[Horas Planificadas]],0)</f>
        <v>#REF!</v>
      </c>
      <c r="W2784" s="44">
        <f>Planning[[#This Row],[Horas Planificadas]]+Planning[[#This Row],[Horas ajustadas adicionales]]</f>
        <v>120</v>
      </c>
      <c r="X2784" s="142"/>
    </row>
    <row r="2785" spans="1:24" x14ac:dyDescent="0.2">
      <c r="A2785" s="7"/>
      <c r="B2785" s="7"/>
      <c r="C2785" s="3"/>
      <c r="D2785" s="3" t="s">
        <v>555</v>
      </c>
      <c r="E2785" s="4" t="s">
        <v>31</v>
      </c>
      <c r="F2785" s="3"/>
      <c r="G2785" s="9"/>
      <c r="H2785" s="9">
        <v>104</v>
      </c>
      <c r="I2785" s="12"/>
      <c r="J2785" s="5" t="e">
        <f>+SUMIFS(#REF!,#REF!,Planning[[#This Row],[Tarifa]],#REF!,Planning[[#This Row],[Proyectos]])</f>
        <v>#REF!</v>
      </c>
      <c r="K2785" s="5" t="e">
        <f>Planning[[#This Row],[Horas Planificadas]]+Planning[[#This Row],[Horas ajustadas adicionales]]-Planning[[#This Row],[Horas utilizadas]]</f>
        <v>#REF!</v>
      </c>
      <c r="L2785" s="7"/>
      <c r="M2785" s="19" t="e">
        <f>Planning[[#This Row],[Saldo]]-Planning[[#This Row],[Saldo estimado]]</f>
        <v>#REF!</v>
      </c>
      <c r="N2785" s="60" t="e">
        <f>+SUMIFS(#REF!,#REF!,Planning[[#This Row],[Proyectos]],#REF!,Planning[[#This Row],[Tipo de Tarea y especialidad]])</f>
        <v>#REF!</v>
      </c>
      <c r="O2785" s="19">
        <f t="shared" si="86"/>
        <v>10</v>
      </c>
      <c r="P2785" s="19">
        <f t="shared" si="87"/>
        <v>2024</v>
      </c>
      <c r="Q2785" s="19" t="e">
        <f>+SUMIFS(#REF!,#REF!,Planning[[#This Row],[Tarifa]],#REF!,Planning[[#This Row],[Proyectos]],#REF!,Planning[[#This Row],[Mes]],#REF!,Planning[[#This Row],[Año]])</f>
        <v>#REF!</v>
      </c>
      <c r="R2785" s="19" t="str">
        <f>TEXT(Planning[[#This Row],[Mes]]*29,"mmmm")</f>
        <v>October</v>
      </c>
      <c r="S27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85" s="228"/>
      <c r="U2785" s="43" t="e">
        <f>IF(Planning[[#This Row],[Horas Planificadas]]&lt;&gt;0,+K2785/Planning[[#This Row],[Horas Planificadas]],0)</f>
        <v>#REF!</v>
      </c>
      <c r="V2785" s="43" t="e">
        <f>IF(Planning[[#This Row],[Horas Planificadas]]&lt;&gt;0,Planning[[#This Row],[Horas utilizadas]]/Planning[[#This Row],[Horas Planificadas]],0)</f>
        <v>#REF!</v>
      </c>
      <c r="W2785" s="44">
        <f>Planning[[#This Row],[Horas Planificadas]]+Planning[[#This Row],[Horas ajustadas adicionales]]</f>
        <v>104</v>
      </c>
      <c r="X2785" s="142"/>
    </row>
    <row r="2786" spans="1:24" ht="22.5" x14ac:dyDescent="0.2">
      <c r="A2786" s="7"/>
      <c r="B2786" s="7"/>
      <c r="C2786" s="3"/>
      <c r="D2786" s="3" t="s">
        <v>555</v>
      </c>
      <c r="E2786" s="4" t="s">
        <v>32</v>
      </c>
      <c r="F2786" s="3"/>
      <c r="G2786" s="9"/>
      <c r="H2786" s="9">
        <v>0</v>
      </c>
      <c r="I2786" s="12"/>
      <c r="J2786" s="5" t="e">
        <f>+SUMIFS(#REF!,#REF!,Planning[[#This Row],[Tarifa]],#REF!,Planning[[#This Row],[Proyectos]])</f>
        <v>#REF!</v>
      </c>
      <c r="K2786" s="5" t="e">
        <f>Planning[[#This Row],[Horas Planificadas]]+Planning[[#This Row],[Horas ajustadas adicionales]]-Planning[[#This Row],[Horas utilizadas]]</f>
        <v>#REF!</v>
      </c>
      <c r="L2786" s="7"/>
      <c r="M2786" s="19" t="e">
        <f>Planning[[#This Row],[Saldo]]-Planning[[#This Row],[Saldo estimado]]</f>
        <v>#REF!</v>
      </c>
      <c r="N2786" s="60" t="e">
        <f>+SUMIFS(#REF!,#REF!,Planning[[#This Row],[Proyectos]],#REF!,Planning[[#This Row],[Tipo de Tarea y especialidad]])</f>
        <v>#REF!</v>
      </c>
      <c r="O2786" s="19">
        <f t="shared" si="86"/>
        <v>10</v>
      </c>
      <c r="P2786" s="19">
        <f t="shared" si="87"/>
        <v>2024</v>
      </c>
      <c r="Q2786" s="19" t="e">
        <f>+SUMIFS(#REF!,#REF!,Planning[[#This Row],[Tarifa]],#REF!,Planning[[#This Row],[Proyectos]],#REF!,Planning[[#This Row],[Mes]],#REF!,Planning[[#This Row],[Año]])</f>
        <v>#REF!</v>
      </c>
      <c r="R2786" s="19" t="str">
        <f>TEXT(Planning[[#This Row],[Mes]]*29,"mmmm")</f>
        <v>October</v>
      </c>
      <c r="S27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86" s="228"/>
      <c r="U2786" s="43">
        <f>IF(Planning[[#This Row],[Horas Planificadas]]&lt;&gt;0,+K2786/Planning[[#This Row],[Horas Planificadas]],0)</f>
        <v>0</v>
      </c>
      <c r="V2786" s="43">
        <f>IF(Planning[[#This Row],[Horas Planificadas]]&lt;&gt;0,Planning[[#This Row],[Horas utilizadas]]/Planning[[#This Row],[Horas Planificadas]],0)</f>
        <v>0</v>
      </c>
      <c r="W2786" s="44">
        <f>Planning[[#This Row],[Horas Planificadas]]+Planning[[#This Row],[Horas ajustadas adicionales]]</f>
        <v>0</v>
      </c>
      <c r="X2786" s="142"/>
    </row>
    <row r="2787" spans="1:24" ht="22.5" x14ac:dyDescent="0.2">
      <c r="A2787" s="7" t="s">
        <v>168</v>
      </c>
      <c r="B2787" s="7" t="s">
        <v>178</v>
      </c>
      <c r="C2787" s="3"/>
      <c r="D2787" s="3" t="s">
        <v>556</v>
      </c>
      <c r="E2787" s="4" t="s">
        <v>28</v>
      </c>
      <c r="F2787" s="3"/>
      <c r="G2787" s="9">
        <v>45</v>
      </c>
      <c r="H2787" s="14">
        <f>SUM(H2788:H2789)</f>
        <v>45</v>
      </c>
      <c r="I2787" s="14"/>
      <c r="J2787" s="14" t="e">
        <f>SUM(J2788:J2789)</f>
        <v>#REF!</v>
      </c>
      <c r="K2787" s="15" t="e">
        <f>SUM(K2788:K2789)</f>
        <v>#REF!</v>
      </c>
      <c r="L2787" s="15">
        <f>SUM(L2788:L2789)</f>
        <v>0</v>
      </c>
      <c r="M2787" s="28" t="e">
        <f>SUM(M2788:M2789)</f>
        <v>#REF!</v>
      </c>
      <c r="N2787" s="61" t="e">
        <f>+SUMIFS(#REF!,#REF!,Planning[[#This Row],[Proyectos]],#REF!,Planning[[#This Row],[Tipo de Tarea y especialidad]])</f>
        <v>#REF!</v>
      </c>
      <c r="O2787" s="28">
        <f t="shared" si="86"/>
        <v>10</v>
      </c>
      <c r="P2787" s="28">
        <f t="shared" si="87"/>
        <v>2024</v>
      </c>
      <c r="Q2787" s="28" t="e">
        <f>SUM(Q2788:Q2789)</f>
        <v>#REF!</v>
      </c>
      <c r="R2787" s="28" t="str">
        <f>TEXT(Planning[[#This Row],[Mes]]*29,"mmmm")</f>
        <v>October</v>
      </c>
      <c r="S27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87" s="192" t="s">
        <v>557</v>
      </c>
      <c r="U2787" s="43" t="e">
        <f>IF(Planning[[#This Row],[Horas Planificadas]]&lt;&gt;0,+K2787/Planning[[#This Row],[Horas Planificadas]],0)</f>
        <v>#REF!</v>
      </c>
      <c r="V2787" s="43" t="e">
        <f>IF(Planning[[#This Row],[Horas Planificadas]]&lt;&gt;0,Planning[[#This Row],[Horas utilizadas]]/Planning[[#This Row],[Horas Planificadas]],0)</f>
        <v>#REF!</v>
      </c>
      <c r="W2787" s="44">
        <f>Planning[[#This Row],[Horas Planificadas]]+Planning[[#This Row],[Horas ajustadas adicionales]]</f>
        <v>45</v>
      </c>
      <c r="X2787" s="142"/>
    </row>
    <row r="2788" spans="1:24" x14ac:dyDescent="0.2">
      <c r="A2788" s="7" t="s">
        <v>168</v>
      </c>
      <c r="B2788" s="7" t="s">
        <v>178</v>
      </c>
      <c r="C2788" s="3"/>
      <c r="D2788" s="3" t="s">
        <v>556</v>
      </c>
      <c r="E2788" s="4"/>
      <c r="F2788" s="3" t="s">
        <v>120</v>
      </c>
      <c r="G2788" s="9"/>
      <c r="H2788" s="9"/>
      <c r="I2788" s="12"/>
      <c r="J2788" s="5" t="e">
        <f>SUM(SUMIFS(#REF!,#REF!,Planning[[#This Row],[Tipo de Tarea y especialidad]],#REF!,Planning[[#This Row],[Proyectos Reiwa]]),SUMIFS(#REF!,#REF!,Planning[[#This Row],[Tipo de Tarea y especialidad]],#REF!,Planning[[#This Row],[Proyectos]]))</f>
        <v>#REF!</v>
      </c>
      <c r="K2788" s="5" t="e">
        <f>Planning[[#This Row],[Horas Planificadas]]+Planning[[#This Row],[Horas ajustadas adicionales]]-Planning[[#This Row],[Horas utilizadas]]</f>
        <v>#REF!</v>
      </c>
      <c r="L2788" s="7">
        <v>0</v>
      </c>
      <c r="M2788" s="19" t="e">
        <f>Planning[[#This Row],[Saldo]]-Planning[[#This Row],[Saldo estimado]]</f>
        <v>#REF!</v>
      </c>
      <c r="N2788" s="60" t="e">
        <f>+SUMIFS(#REF!,#REF!,Planning[[#This Row],[Proyectos]],#REF!,Planning[[#This Row],[Tipo de Tarea y especialidad]])</f>
        <v>#REF!</v>
      </c>
      <c r="O2788" s="19">
        <f t="shared" si="86"/>
        <v>10</v>
      </c>
      <c r="P2788" s="19">
        <f t="shared" si="87"/>
        <v>2024</v>
      </c>
      <c r="Q27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88" s="19" t="str">
        <f>TEXT(Planning[[#This Row],[Mes]]*29,"mmmm")</f>
        <v>October</v>
      </c>
      <c r="S27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88" s="193"/>
      <c r="U2788" s="43">
        <f>IF(Planning[[#This Row],[Horas Planificadas]]&lt;&gt;0,+K2788/Planning[[#This Row],[Horas Planificadas]],0)</f>
        <v>0</v>
      </c>
      <c r="V2788" s="43">
        <f>IF(Planning[[#This Row],[Horas Planificadas]]&lt;&gt;0,Planning[[#This Row],[Horas utilizadas]]/Planning[[#This Row],[Horas Planificadas]],0)</f>
        <v>0</v>
      </c>
      <c r="W2788" s="44">
        <f>Planning[[#This Row],[Horas Planificadas]]+Planning[[#This Row],[Horas ajustadas adicionales]]</f>
        <v>0</v>
      </c>
      <c r="X2788" s="142"/>
    </row>
    <row r="2789" spans="1:24" x14ac:dyDescent="0.2">
      <c r="A2789" s="7" t="s">
        <v>168</v>
      </c>
      <c r="B2789" s="7" t="s">
        <v>178</v>
      </c>
      <c r="C2789" s="3"/>
      <c r="D2789" s="3" t="s">
        <v>556</v>
      </c>
      <c r="E2789" s="4"/>
      <c r="F2789" s="3" t="s">
        <v>121</v>
      </c>
      <c r="G2789" s="9"/>
      <c r="H2789" s="9">
        <v>45</v>
      </c>
      <c r="I2789" s="12"/>
      <c r="J2789" s="5" t="e">
        <f>SUM(SUMIFS(#REF!,#REF!,Planning[[#This Row],[Tipo de Tarea y especialidad]],#REF!,Planning[[#This Row],[Proyectos Reiwa]]),SUMIFS(#REF!,#REF!,Planning[[#This Row],[Tipo de Tarea y especialidad]],#REF!,Planning[[#This Row],[Proyectos]]))</f>
        <v>#REF!</v>
      </c>
      <c r="K2789" s="5" t="e">
        <f>Planning[[#This Row],[Horas Planificadas]]+Planning[[#This Row],[Horas ajustadas adicionales]]-Planning[[#This Row],[Horas utilizadas]]</f>
        <v>#REF!</v>
      </c>
      <c r="L2789" s="7">
        <v>0</v>
      </c>
      <c r="M2789" s="19" t="e">
        <f>Planning[[#This Row],[Saldo]]-Planning[[#This Row],[Saldo estimado]]</f>
        <v>#REF!</v>
      </c>
      <c r="N2789" s="60" t="e">
        <f>+SUMIFS(#REF!,#REF!,Planning[[#This Row],[Proyectos]],#REF!,Planning[[#This Row],[Tipo de Tarea y especialidad]])</f>
        <v>#REF!</v>
      </c>
      <c r="O2789" s="19">
        <f t="shared" si="86"/>
        <v>10</v>
      </c>
      <c r="P2789" s="19">
        <f t="shared" si="87"/>
        <v>2024</v>
      </c>
      <c r="Q27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89" s="19" t="str">
        <f>TEXT(Planning[[#This Row],[Mes]]*29,"mmmm")</f>
        <v>October</v>
      </c>
      <c r="S27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89" s="193"/>
      <c r="U2789" s="43" t="e">
        <f>IF(Planning[[#This Row],[Horas Planificadas]]&lt;&gt;0,+K2789/Planning[[#This Row],[Horas Planificadas]],0)</f>
        <v>#REF!</v>
      </c>
      <c r="V2789" s="43" t="e">
        <f>IF(Planning[[#This Row],[Horas Planificadas]]&lt;&gt;0,Planning[[#This Row],[Horas utilizadas]]/Planning[[#This Row],[Horas Planificadas]],0)</f>
        <v>#REF!</v>
      </c>
      <c r="W2789" s="44">
        <f>Planning[[#This Row],[Horas Planificadas]]+Planning[[#This Row],[Horas ajustadas adicionales]]</f>
        <v>45</v>
      </c>
      <c r="X2789" s="142"/>
    </row>
    <row r="2790" spans="1:24" x14ac:dyDescent="0.2">
      <c r="A2790" s="7" t="s">
        <v>168</v>
      </c>
      <c r="B2790" s="7" t="s">
        <v>178</v>
      </c>
      <c r="C2790" s="3"/>
      <c r="D2790" s="3" t="s">
        <v>556</v>
      </c>
      <c r="E2790" s="4" t="s">
        <v>30</v>
      </c>
      <c r="F2790" s="3"/>
      <c r="G2790" s="9">
        <v>844</v>
      </c>
      <c r="H2790" s="25">
        <f>SUM(H2791:H2797)</f>
        <v>844</v>
      </c>
      <c r="I2790" s="14"/>
      <c r="J2790" s="14" t="e">
        <f>SUM(J2791:J2797)</f>
        <v>#REF!</v>
      </c>
      <c r="K2790" s="18" t="e">
        <f>SUM(K2791:K2797)</f>
        <v>#REF!</v>
      </c>
      <c r="L2790" s="15">
        <f>SUM(L2791:L2797)</f>
        <v>0</v>
      </c>
      <c r="M2790" s="16" t="e">
        <f>SUM(M2791:M2797)</f>
        <v>#REF!</v>
      </c>
      <c r="N2790" s="60" t="e">
        <f>+SUMIFS(#REF!,#REF!,Planning[[#This Row],[Proyectos]],#REF!,Planning[[#This Row],[Tipo de Tarea y especialidad]])</f>
        <v>#REF!</v>
      </c>
      <c r="O2790" s="16">
        <f t="shared" si="86"/>
        <v>10</v>
      </c>
      <c r="P2790" s="16">
        <f t="shared" si="87"/>
        <v>2024</v>
      </c>
      <c r="Q2790" s="16" t="e">
        <f>SUM(Q2791:Q2797)</f>
        <v>#REF!</v>
      </c>
      <c r="R2790" s="16" t="str">
        <f>TEXT(Planning[[#This Row],[Mes]]*29,"mmmm")</f>
        <v>October</v>
      </c>
      <c r="S27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90" s="193"/>
      <c r="U2790" s="43" t="e">
        <f>IF(Planning[[#This Row],[Horas Planificadas]]&lt;&gt;0,+K2790/Planning[[#This Row],[Horas Planificadas]],0)</f>
        <v>#REF!</v>
      </c>
      <c r="V2790" s="43" t="e">
        <f>IF(Planning[[#This Row],[Horas Planificadas]]&lt;&gt;0,Planning[[#This Row],[Horas utilizadas]]/Planning[[#This Row],[Horas Planificadas]],0)</f>
        <v>#REF!</v>
      </c>
      <c r="W2790" s="44">
        <f>Planning[[#This Row],[Horas Planificadas]]+Planning[[#This Row],[Horas ajustadas adicionales]]</f>
        <v>844</v>
      </c>
      <c r="X2790" s="142"/>
    </row>
    <row r="2791" spans="1:24" x14ac:dyDescent="0.2">
      <c r="A2791" s="7" t="s">
        <v>168</v>
      </c>
      <c r="B2791" s="7" t="s">
        <v>178</v>
      </c>
      <c r="C2791" s="3"/>
      <c r="D2791" s="3" t="s">
        <v>556</v>
      </c>
      <c r="E2791" s="4"/>
      <c r="F2791" s="3" t="s">
        <v>122</v>
      </c>
      <c r="G2791" s="9"/>
      <c r="H2791" s="12"/>
      <c r="I2791" s="12"/>
      <c r="J2791" s="5" t="e">
        <f>SUM(SUMIFS(#REF!,#REF!,Planning[[#This Row],[Tipo de Tarea y especialidad]],#REF!,Planning[[#This Row],[Proyectos Reiwa]]),SUMIFS(#REF!,#REF!,Planning[[#This Row],[Tipo de Tarea y especialidad]],#REF!,Planning[[#This Row],[Proyectos]]))</f>
        <v>#REF!</v>
      </c>
      <c r="K2791" s="27" t="e">
        <f>Planning[[#This Row],[Horas Planificadas]]+Planning[[#This Row],[Horas ajustadas adicionales]]-Planning[[#This Row],[Horas utilizadas]]</f>
        <v>#REF!</v>
      </c>
      <c r="L2791" s="7">
        <v>0</v>
      </c>
      <c r="M2791" s="34" t="e">
        <f>Planning[[#This Row],[Saldo]]-Planning[[#This Row],[Saldo estimado]]</f>
        <v>#REF!</v>
      </c>
      <c r="N2791" s="62" t="e">
        <f>+SUMIFS(#REF!,#REF!,Planning[[#This Row],[Proyectos]],#REF!,Planning[[#This Row],[Tipo de Tarea y especialidad]])</f>
        <v>#REF!</v>
      </c>
      <c r="O2791" s="34">
        <f t="shared" si="86"/>
        <v>10</v>
      </c>
      <c r="P2791" s="34">
        <f t="shared" si="87"/>
        <v>2024</v>
      </c>
      <c r="Q27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91" s="19" t="str">
        <f>TEXT(Planning[[#This Row],[Mes]]*29,"mmmm")</f>
        <v>October</v>
      </c>
      <c r="S27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91" s="193"/>
      <c r="U2791" s="43">
        <f>IF(Planning[[#This Row],[Horas Planificadas]]&lt;&gt;0,+K2791/Planning[[#This Row],[Horas Planificadas]],0)</f>
        <v>0</v>
      </c>
      <c r="V2791" s="43">
        <f>IF(Planning[[#This Row],[Horas Planificadas]]&lt;&gt;0,Planning[[#This Row],[Horas utilizadas]]/Planning[[#This Row],[Horas Planificadas]],0)</f>
        <v>0</v>
      </c>
      <c r="W2791" s="44">
        <f>Planning[[#This Row],[Horas Planificadas]]+Planning[[#This Row],[Horas ajustadas adicionales]]</f>
        <v>0</v>
      </c>
      <c r="X2791" s="142"/>
    </row>
    <row r="2792" spans="1:24" x14ac:dyDescent="0.2">
      <c r="A2792" s="7" t="s">
        <v>168</v>
      </c>
      <c r="B2792" s="7" t="s">
        <v>178</v>
      </c>
      <c r="C2792" s="3"/>
      <c r="D2792" s="3" t="s">
        <v>556</v>
      </c>
      <c r="E2792" s="4"/>
      <c r="F2792" s="3" t="s">
        <v>123</v>
      </c>
      <c r="G2792" s="9"/>
      <c r="H2792" s="9">
        <v>844</v>
      </c>
      <c r="I2792" s="12">
        <v>18</v>
      </c>
      <c r="J2792" s="5" t="e">
        <f>SUM(SUMIFS(#REF!,#REF!,Planning[[#This Row],[Tipo de Tarea y especialidad]],#REF!,Planning[[#This Row],[Proyectos Reiwa]]),SUMIFS(#REF!,#REF!,Planning[[#This Row],[Tipo de Tarea y especialidad]],#REF!,Planning[[#This Row],[Proyectos]]))</f>
        <v>#REF!</v>
      </c>
      <c r="K2792" s="5" t="e">
        <f>Planning[[#This Row],[Horas Planificadas]]+Planning[[#This Row],[Horas ajustadas adicionales]]-Planning[[#This Row],[Horas utilizadas]]</f>
        <v>#REF!</v>
      </c>
      <c r="L2792" s="7">
        <v>0</v>
      </c>
      <c r="M2792" s="19" t="e">
        <f>Planning[[#This Row],[Saldo]]-Planning[[#This Row],[Saldo estimado]]</f>
        <v>#REF!</v>
      </c>
      <c r="N2792" s="60" t="e">
        <f>+SUMIFS(#REF!,#REF!,Planning[[#This Row],[Proyectos]],#REF!,Planning[[#This Row],[Tipo de Tarea y especialidad]])</f>
        <v>#REF!</v>
      </c>
      <c r="O2792" s="19">
        <f t="shared" si="86"/>
        <v>10</v>
      </c>
      <c r="P2792" s="19">
        <f t="shared" si="87"/>
        <v>2024</v>
      </c>
      <c r="Q27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92" s="19" t="str">
        <f>TEXT(Planning[[#This Row],[Mes]]*29,"mmmm")</f>
        <v>October</v>
      </c>
      <c r="S27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92" s="193"/>
      <c r="U2792" s="43" t="e">
        <f>IF(Planning[[#This Row],[Horas Planificadas]]&lt;&gt;0,+K2792/Planning[[#This Row],[Horas Planificadas]],0)</f>
        <v>#REF!</v>
      </c>
      <c r="V2792" s="43" t="e">
        <f>IF(Planning[[#This Row],[Horas Planificadas]]&lt;&gt;0,Planning[[#This Row],[Horas utilizadas]]/Planning[[#This Row],[Horas Planificadas]],0)</f>
        <v>#REF!</v>
      </c>
      <c r="W2792" s="44">
        <f>Planning[[#This Row],[Horas Planificadas]]+Planning[[#This Row],[Horas ajustadas adicionales]]</f>
        <v>862</v>
      </c>
      <c r="X2792" s="142"/>
    </row>
    <row r="2793" spans="1:24" x14ac:dyDescent="0.2">
      <c r="A2793" s="7" t="s">
        <v>168</v>
      </c>
      <c r="B2793" s="7" t="s">
        <v>178</v>
      </c>
      <c r="C2793" s="3"/>
      <c r="D2793" s="3" t="s">
        <v>556</v>
      </c>
      <c r="E2793" s="4"/>
      <c r="F2793" s="3" t="s">
        <v>124</v>
      </c>
      <c r="G2793" s="9"/>
      <c r="H2793" s="9"/>
      <c r="I2793" s="12"/>
      <c r="J2793" s="5" t="e">
        <f>SUM(SUMIFS(#REF!,#REF!,Planning[[#This Row],[Tipo de Tarea y especialidad]],#REF!,Planning[[#This Row],[Proyectos Reiwa]]),SUMIFS(#REF!,#REF!,Planning[[#This Row],[Tipo de Tarea y especialidad]],#REF!,Planning[[#This Row],[Proyectos]]))</f>
        <v>#REF!</v>
      </c>
      <c r="K2793" s="5" t="e">
        <f>Planning[[#This Row],[Horas Planificadas]]+Planning[[#This Row],[Horas ajustadas adicionales]]-Planning[[#This Row],[Horas utilizadas]]</f>
        <v>#REF!</v>
      </c>
      <c r="L2793" s="7">
        <v>0</v>
      </c>
      <c r="M2793" s="19" t="e">
        <f>Planning[[#This Row],[Saldo]]-Planning[[#This Row],[Saldo estimado]]</f>
        <v>#REF!</v>
      </c>
      <c r="N2793" s="60" t="e">
        <f>+SUMIFS(#REF!,#REF!,Planning[[#This Row],[Proyectos]],#REF!,Planning[[#This Row],[Tipo de Tarea y especialidad]])</f>
        <v>#REF!</v>
      </c>
      <c r="O2793" s="19">
        <f t="shared" si="86"/>
        <v>10</v>
      </c>
      <c r="P2793" s="19">
        <f t="shared" si="87"/>
        <v>2024</v>
      </c>
      <c r="Q27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93" s="19" t="str">
        <f>TEXT(Planning[[#This Row],[Mes]]*29,"mmmm")</f>
        <v>October</v>
      </c>
      <c r="S27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93" s="193"/>
      <c r="U2793" s="43">
        <f>IF(Planning[[#This Row],[Horas Planificadas]]&lt;&gt;0,+K2793/Planning[[#This Row],[Horas Planificadas]],0)</f>
        <v>0</v>
      </c>
      <c r="V2793" s="43">
        <f>IF(Planning[[#This Row],[Horas Planificadas]]&lt;&gt;0,Planning[[#This Row],[Horas utilizadas]]/Planning[[#This Row],[Horas Planificadas]],0)</f>
        <v>0</v>
      </c>
      <c r="W2793" s="44">
        <f>Planning[[#This Row],[Horas Planificadas]]+Planning[[#This Row],[Horas ajustadas adicionales]]</f>
        <v>0</v>
      </c>
      <c r="X2793" s="142"/>
    </row>
    <row r="2794" spans="1:24" x14ac:dyDescent="0.2">
      <c r="A2794" s="7" t="s">
        <v>168</v>
      </c>
      <c r="B2794" s="7" t="s">
        <v>178</v>
      </c>
      <c r="C2794" s="3"/>
      <c r="D2794" s="3" t="s">
        <v>556</v>
      </c>
      <c r="E2794" s="4"/>
      <c r="F2794" s="3" t="s">
        <v>125</v>
      </c>
      <c r="G2794" s="9"/>
      <c r="H2794" s="12"/>
      <c r="I2794" s="12">
        <v>135</v>
      </c>
      <c r="J2794" s="5" t="e">
        <f>SUM(SUMIFS(#REF!,#REF!,Planning[[#This Row],[Tipo de Tarea y especialidad]],#REF!,Planning[[#This Row],[Proyectos Reiwa]]),SUMIFS(#REF!,#REF!,Planning[[#This Row],[Tipo de Tarea y especialidad]],#REF!,Planning[[#This Row],[Proyectos]]))</f>
        <v>#REF!</v>
      </c>
      <c r="K2794" s="27" t="e">
        <f>Planning[[#This Row],[Horas Planificadas]]+Planning[[#This Row],[Horas ajustadas adicionales]]-Planning[[#This Row],[Horas utilizadas]]</f>
        <v>#REF!</v>
      </c>
      <c r="L2794" s="7">
        <v>0</v>
      </c>
      <c r="M2794" s="19" t="e">
        <f>Planning[[#This Row],[Saldo]]-Planning[[#This Row],[Saldo estimado]]</f>
        <v>#REF!</v>
      </c>
      <c r="N2794" s="60" t="e">
        <f>+SUMIFS(#REF!,#REF!,Planning[[#This Row],[Proyectos]],#REF!,Planning[[#This Row],[Tipo de Tarea y especialidad]])</f>
        <v>#REF!</v>
      </c>
      <c r="O2794" s="19">
        <f t="shared" si="86"/>
        <v>10</v>
      </c>
      <c r="P2794" s="19">
        <f t="shared" si="87"/>
        <v>2024</v>
      </c>
      <c r="Q27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94" s="19" t="str">
        <f>TEXT(Planning[[#This Row],[Mes]]*29,"mmmm")</f>
        <v>October</v>
      </c>
      <c r="S27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94" s="193"/>
      <c r="U2794" s="43">
        <f>IF(Planning[[#This Row],[Horas Planificadas]]&lt;&gt;0,+K2794/Planning[[#This Row],[Horas Planificadas]],0)</f>
        <v>0</v>
      </c>
      <c r="V2794" s="43">
        <f>IF(Planning[[#This Row],[Horas Planificadas]]&lt;&gt;0,Planning[[#This Row],[Horas utilizadas]]/Planning[[#This Row],[Horas Planificadas]],0)</f>
        <v>0</v>
      </c>
      <c r="W2794" s="44">
        <f>Planning[[#This Row],[Horas Planificadas]]+Planning[[#This Row],[Horas ajustadas adicionales]]</f>
        <v>135</v>
      </c>
      <c r="X2794" s="142"/>
    </row>
    <row r="2795" spans="1:24" x14ac:dyDescent="0.2">
      <c r="A2795" s="7" t="s">
        <v>168</v>
      </c>
      <c r="B2795" s="7" t="s">
        <v>178</v>
      </c>
      <c r="C2795" s="3"/>
      <c r="D2795" s="3" t="s">
        <v>556</v>
      </c>
      <c r="E2795" s="4"/>
      <c r="F2795" s="3" t="s">
        <v>126</v>
      </c>
      <c r="G2795" s="9"/>
      <c r="H2795" s="9"/>
      <c r="I2795" s="12"/>
      <c r="J2795" s="5" t="e">
        <f>SUM(SUMIFS(#REF!,#REF!,Planning[[#This Row],[Tipo de Tarea y especialidad]],#REF!,Planning[[#This Row],[Proyectos Reiwa]]),SUMIFS(#REF!,#REF!,Planning[[#This Row],[Tipo de Tarea y especialidad]],#REF!,Planning[[#This Row],[Proyectos]]))</f>
        <v>#REF!</v>
      </c>
      <c r="K2795" s="5" t="e">
        <f>Planning[[#This Row],[Horas Planificadas]]+Planning[[#This Row],[Horas ajustadas adicionales]]-Planning[[#This Row],[Horas utilizadas]]</f>
        <v>#REF!</v>
      </c>
      <c r="L2795" s="7">
        <v>0</v>
      </c>
      <c r="M2795" s="19" t="e">
        <f>Planning[[#This Row],[Saldo]]-Planning[[#This Row],[Saldo estimado]]</f>
        <v>#REF!</v>
      </c>
      <c r="N2795" s="60" t="e">
        <f>+SUMIFS(#REF!,#REF!,Planning[[#This Row],[Proyectos]],#REF!,Planning[[#This Row],[Tipo de Tarea y especialidad]])</f>
        <v>#REF!</v>
      </c>
      <c r="O2795" s="19">
        <f t="shared" si="86"/>
        <v>10</v>
      </c>
      <c r="P2795" s="19">
        <f t="shared" si="87"/>
        <v>2024</v>
      </c>
      <c r="Q27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95" s="19" t="str">
        <f>TEXT(Planning[[#This Row],[Mes]]*29,"mmmm")</f>
        <v>October</v>
      </c>
      <c r="S27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95" s="193"/>
      <c r="U2795" s="43">
        <f>IF(Planning[[#This Row],[Horas Planificadas]]&lt;&gt;0,+K2795/Planning[[#This Row],[Horas Planificadas]],0)</f>
        <v>0</v>
      </c>
      <c r="V2795" s="43">
        <f>IF(Planning[[#This Row],[Horas Planificadas]]&lt;&gt;0,Planning[[#This Row],[Horas utilizadas]]/Planning[[#This Row],[Horas Planificadas]],0)</f>
        <v>0</v>
      </c>
      <c r="W2795" s="44">
        <f>Planning[[#This Row],[Horas Planificadas]]+Planning[[#This Row],[Horas ajustadas adicionales]]</f>
        <v>0</v>
      </c>
      <c r="X2795" s="142"/>
    </row>
    <row r="2796" spans="1:24" x14ac:dyDescent="0.2">
      <c r="A2796" s="7" t="s">
        <v>168</v>
      </c>
      <c r="B2796" s="7" t="s">
        <v>178</v>
      </c>
      <c r="C2796" s="3"/>
      <c r="D2796" s="3" t="s">
        <v>556</v>
      </c>
      <c r="E2796" s="4"/>
      <c r="F2796" s="3" t="s">
        <v>127</v>
      </c>
      <c r="G2796" s="9"/>
      <c r="H2796" s="9"/>
      <c r="I2796" s="12"/>
      <c r="J2796" s="5" t="e">
        <f>SUM(SUMIFS(#REF!,#REF!,Planning[[#This Row],[Tipo de Tarea y especialidad]],#REF!,Planning[[#This Row],[Proyectos Reiwa]]),SUMIFS(#REF!,#REF!,Planning[[#This Row],[Tipo de Tarea y especialidad]],#REF!,Planning[[#This Row],[Proyectos]]))</f>
        <v>#REF!</v>
      </c>
      <c r="K2796" s="5" t="e">
        <f>Planning[[#This Row],[Horas Planificadas]]+Planning[[#This Row],[Horas ajustadas adicionales]]-Planning[[#This Row],[Horas utilizadas]]</f>
        <v>#REF!</v>
      </c>
      <c r="L2796" s="7">
        <v>0</v>
      </c>
      <c r="M2796" s="19" t="e">
        <f>Planning[[#This Row],[Saldo]]-Planning[[#This Row],[Saldo estimado]]</f>
        <v>#REF!</v>
      </c>
      <c r="N2796" s="60" t="e">
        <f>+SUMIFS(#REF!,#REF!,Planning[[#This Row],[Proyectos]],#REF!,Planning[[#This Row],[Tipo de Tarea y especialidad]])</f>
        <v>#REF!</v>
      </c>
      <c r="O2796" s="19">
        <f t="shared" si="86"/>
        <v>10</v>
      </c>
      <c r="P2796" s="19">
        <f t="shared" si="87"/>
        <v>2024</v>
      </c>
      <c r="Q27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96" s="19" t="str">
        <f>TEXT(Planning[[#This Row],[Mes]]*29,"mmmm")</f>
        <v>October</v>
      </c>
      <c r="S27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96" s="193"/>
      <c r="U2796" s="43">
        <f>IF(Planning[[#This Row],[Horas Planificadas]]&lt;&gt;0,+K2796/Planning[[#This Row],[Horas Planificadas]],0)</f>
        <v>0</v>
      </c>
      <c r="V2796" s="43">
        <f>IF(Planning[[#This Row],[Horas Planificadas]]&lt;&gt;0,Planning[[#This Row],[Horas utilizadas]]/Planning[[#This Row],[Horas Planificadas]],0)</f>
        <v>0</v>
      </c>
      <c r="W2796" s="44">
        <f>Planning[[#This Row],[Horas Planificadas]]+Planning[[#This Row],[Horas ajustadas adicionales]]</f>
        <v>0</v>
      </c>
      <c r="X2796" s="142"/>
    </row>
    <row r="2797" spans="1:24" x14ac:dyDescent="0.2">
      <c r="A2797" s="7" t="s">
        <v>168</v>
      </c>
      <c r="B2797" s="7" t="s">
        <v>178</v>
      </c>
      <c r="C2797" s="3"/>
      <c r="D2797" s="3" t="s">
        <v>556</v>
      </c>
      <c r="E2797" s="4"/>
      <c r="F2797" s="3" t="s">
        <v>128</v>
      </c>
      <c r="G2797" s="9"/>
      <c r="H2797" s="9"/>
      <c r="I2797" s="12"/>
      <c r="J2797" s="5" t="e">
        <f>SUM(SUMIFS(#REF!,#REF!,Planning[[#This Row],[Tipo de Tarea y especialidad]],#REF!,Planning[[#This Row],[Proyectos Reiwa]]),SUMIFS(#REF!,#REF!,Planning[[#This Row],[Tipo de Tarea y especialidad]],#REF!,Planning[[#This Row],[Proyectos]]))</f>
        <v>#REF!</v>
      </c>
      <c r="K2797" s="5" t="e">
        <f>Planning[[#This Row],[Horas Planificadas]]+Planning[[#This Row],[Horas ajustadas adicionales]]-Planning[[#This Row],[Horas utilizadas]]</f>
        <v>#REF!</v>
      </c>
      <c r="L2797" s="7">
        <v>0</v>
      </c>
      <c r="M2797" s="19" t="e">
        <f>Planning[[#This Row],[Saldo]]-Planning[[#This Row],[Saldo estimado]]</f>
        <v>#REF!</v>
      </c>
      <c r="N2797" s="60" t="e">
        <f>+SUMIFS(#REF!,#REF!,Planning[[#This Row],[Proyectos]],#REF!,Planning[[#This Row],[Tipo de Tarea y especialidad]])</f>
        <v>#REF!</v>
      </c>
      <c r="O2797" s="19">
        <f t="shared" si="86"/>
        <v>10</v>
      </c>
      <c r="P2797" s="19">
        <f t="shared" si="87"/>
        <v>2024</v>
      </c>
      <c r="Q27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797" s="19" t="str">
        <f>TEXT(Planning[[#This Row],[Mes]]*29,"mmmm")</f>
        <v>October</v>
      </c>
      <c r="S27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97" s="193"/>
      <c r="U2797" s="43">
        <f>IF(Planning[[#This Row],[Horas Planificadas]]&lt;&gt;0,+K2797/Planning[[#This Row],[Horas Planificadas]],0)</f>
        <v>0</v>
      </c>
      <c r="V2797" s="43">
        <f>IF(Planning[[#This Row],[Horas Planificadas]]&lt;&gt;0,Planning[[#This Row],[Horas utilizadas]]/Planning[[#This Row],[Horas Planificadas]],0)</f>
        <v>0</v>
      </c>
      <c r="W2797" s="44">
        <f>Planning[[#This Row],[Horas Planificadas]]+Planning[[#This Row],[Horas ajustadas adicionales]]</f>
        <v>0</v>
      </c>
      <c r="X2797" s="142"/>
    </row>
    <row r="2798" spans="1:24" x14ac:dyDescent="0.2">
      <c r="A2798" s="7" t="s">
        <v>168</v>
      </c>
      <c r="B2798" s="7" t="s">
        <v>178</v>
      </c>
      <c r="C2798" s="3"/>
      <c r="D2798" s="3" t="s">
        <v>556</v>
      </c>
      <c r="E2798" s="4" t="s">
        <v>31</v>
      </c>
      <c r="F2798" s="3" t="s">
        <v>31</v>
      </c>
      <c r="G2798" s="9">
        <v>117</v>
      </c>
      <c r="H2798" s="17">
        <v>117</v>
      </c>
      <c r="I2798" s="18"/>
      <c r="J2798" s="14" t="e">
        <f>+SUMIFS(#REF!,#REF!,Planning[[#This Row],[Tarifa]],#REF!,Planning[[#This Row],[Proyectos]])</f>
        <v>#REF!</v>
      </c>
      <c r="K2798" s="14" t="e">
        <f>Planning[[#This Row],[Horas Planificadas]]+Planning[[#This Row],[Horas ajustadas adicionales]]-Planning[[#This Row],[Horas utilizadas]]</f>
        <v>#REF!</v>
      </c>
      <c r="L2798" s="15">
        <v>0</v>
      </c>
      <c r="M2798" s="16" t="e">
        <f>Planning[[#This Row],[Saldo]]-Planning[[#This Row],[Saldo estimado]]</f>
        <v>#REF!</v>
      </c>
      <c r="N2798" s="60" t="e">
        <f>+SUMIFS(#REF!,#REF!,Planning[[#This Row],[Proyectos]],#REF!,Planning[[#This Row],[Tipo de Tarea y especialidad]])</f>
        <v>#REF!</v>
      </c>
      <c r="O2798" s="16">
        <f t="shared" si="86"/>
        <v>10</v>
      </c>
      <c r="P2798" s="16">
        <f t="shared" si="87"/>
        <v>2024</v>
      </c>
      <c r="Q2798" s="16" t="e">
        <f>+SUMIFS(#REF!,#REF!,Planning[[#This Row],[Tarifa]],#REF!,Planning[[#This Row],[Proyectos]],#REF!,Planning[[#This Row],[Mes]],#REF!,Planning[[#This Row],[Año]])</f>
        <v>#REF!</v>
      </c>
      <c r="R2798" s="16" t="str">
        <f>TEXT(Planning[[#This Row],[Mes]]*29,"mmmm")</f>
        <v>October</v>
      </c>
      <c r="S27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98" s="193"/>
      <c r="U2798" s="43" t="e">
        <f>IF(Planning[[#This Row],[Horas Planificadas]]&lt;&gt;0,+K2798/Planning[[#This Row],[Horas Planificadas]],0)</f>
        <v>#REF!</v>
      </c>
      <c r="V2798" s="43" t="e">
        <f>IF(Planning[[#This Row],[Horas Planificadas]]&lt;&gt;0,Planning[[#This Row],[Horas utilizadas]]/Planning[[#This Row],[Horas Planificadas]],0)</f>
        <v>#REF!</v>
      </c>
      <c r="W2798" s="44">
        <f>Planning[[#This Row],[Horas Planificadas]]+Planning[[#This Row],[Horas ajustadas adicionales]]</f>
        <v>117</v>
      </c>
      <c r="X2798" s="142"/>
    </row>
    <row r="2799" spans="1:24" ht="22.5" x14ac:dyDescent="0.2">
      <c r="A2799" s="7" t="s">
        <v>168</v>
      </c>
      <c r="B2799" s="7" t="s">
        <v>178</v>
      </c>
      <c r="C2799" s="3"/>
      <c r="D2799" s="3" t="s">
        <v>556</v>
      </c>
      <c r="E2799" s="4" t="s">
        <v>32</v>
      </c>
      <c r="F2799" s="3"/>
      <c r="G2799" s="9">
        <v>670</v>
      </c>
      <c r="H2799" s="25">
        <f>SUM(H2800:H2802)</f>
        <v>670</v>
      </c>
      <c r="I2799" s="14"/>
      <c r="J2799" s="14" t="e">
        <f>SUM(J2800:J2802)</f>
        <v>#REF!</v>
      </c>
      <c r="K2799" s="18" t="e">
        <f>SUM(K2800:K2802)</f>
        <v>#REF!</v>
      </c>
      <c r="L2799" s="15">
        <f>SUM(L2800:L2802)</f>
        <v>0</v>
      </c>
      <c r="M2799" s="16" t="e">
        <f>SUM(M2800:M2802)</f>
        <v>#REF!</v>
      </c>
      <c r="N2799" s="60" t="e">
        <f>+SUMIFS(#REF!,#REF!,Planning[[#This Row],[Proyectos]],#REF!,Planning[[#This Row],[Tipo de Tarea y especialidad]])</f>
        <v>#REF!</v>
      </c>
      <c r="O2799" s="16">
        <f t="shared" si="86"/>
        <v>10</v>
      </c>
      <c r="P2799" s="16">
        <f t="shared" si="87"/>
        <v>2024</v>
      </c>
      <c r="Q2799" s="16" t="e">
        <f>SUM(Q2800:Q2802)</f>
        <v>#REF!</v>
      </c>
      <c r="R2799" s="16" t="str">
        <f>TEXT(Planning[[#This Row],[Mes]]*29,"mmmm")</f>
        <v>October</v>
      </c>
      <c r="S27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799" s="193"/>
      <c r="U2799" s="43" t="e">
        <f>IF(Planning[[#This Row],[Horas Planificadas]]&lt;&gt;0,+K2799/Planning[[#This Row],[Horas Planificadas]],0)</f>
        <v>#REF!</v>
      </c>
      <c r="V2799" s="43" t="e">
        <f>IF(Planning[[#This Row],[Horas Planificadas]]&lt;&gt;0,Planning[[#This Row],[Horas utilizadas]]/Planning[[#This Row],[Horas Planificadas]],0)</f>
        <v>#REF!</v>
      </c>
      <c r="W2799" s="44">
        <f>Planning[[#This Row],[Horas Planificadas]]+Planning[[#This Row],[Horas ajustadas adicionales]]</f>
        <v>670</v>
      </c>
      <c r="X2799" s="142"/>
    </row>
    <row r="2800" spans="1:24" x14ac:dyDescent="0.2">
      <c r="A2800" s="7" t="s">
        <v>168</v>
      </c>
      <c r="B2800" s="7" t="s">
        <v>178</v>
      </c>
      <c r="C2800" s="3"/>
      <c r="D2800" s="3" t="s">
        <v>556</v>
      </c>
      <c r="E2800" s="4"/>
      <c r="F2800" s="3" t="s">
        <v>129</v>
      </c>
      <c r="G2800" s="9"/>
      <c r="H2800" s="9"/>
      <c r="I2800" s="12"/>
      <c r="J2800" s="5" t="e">
        <f>SUM(SUMIFS(#REF!,#REF!,Planning[[#This Row],[Tipo de Tarea y especialidad]],#REF!,Planning[[#This Row],[Proyectos Reiwa]]),SUMIFS(#REF!,#REF!,Planning[[#This Row],[Tipo de Tarea y especialidad]],#REF!,Planning[[#This Row],[Proyectos]]))</f>
        <v>#REF!</v>
      </c>
      <c r="K2800" s="5" t="e">
        <f>Planning[[#This Row],[Horas Planificadas]]+Planning[[#This Row],[Horas ajustadas adicionales]]-Planning[[#This Row],[Horas utilizadas]]</f>
        <v>#REF!</v>
      </c>
      <c r="L2800" s="7">
        <v>0</v>
      </c>
      <c r="M2800" s="19" t="e">
        <f>Planning[[#This Row],[Saldo]]-Planning[[#This Row],[Saldo estimado]]</f>
        <v>#REF!</v>
      </c>
      <c r="N2800" s="60" t="e">
        <f>+SUMIFS(#REF!,#REF!,Planning[[#This Row],[Proyectos]],#REF!,Planning[[#This Row],[Tipo de Tarea y especialidad]])</f>
        <v>#REF!</v>
      </c>
      <c r="O2800" s="19">
        <f t="shared" si="86"/>
        <v>10</v>
      </c>
      <c r="P2800" s="19">
        <f t="shared" si="87"/>
        <v>2024</v>
      </c>
      <c r="Q28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00" s="19" t="str">
        <f>TEXT(Planning[[#This Row],[Mes]]*29,"mmmm")</f>
        <v>October</v>
      </c>
      <c r="S28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00" s="193"/>
      <c r="U2800" s="43">
        <f>IF(Planning[[#This Row],[Horas Planificadas]]&lt;&gt;0,+K2800/Planning[[#This Row],[Horas Planificadas]],0)</f>
        <v>0</v>
      </c>
      <c r="V2800" s="43">
        <f>IF(Planning[[#This Row],[Horas Planificadas]]&lt;&gt;0,Planning[[#This Row],[Horas utilizadas]]/Planning[[#This Row],[Horas Planificadas]],0)</f>
        <v>0</v>
      </c>
      <c r="W2800" s="44">
        <f>Planning[[#This Row],[Horas Planificadas]]+Planning[[#This Row],[Horas ajustadas adicionales]]</f>
        <v>0</v>
      </c>
      <c r="X2800" s="142"/>
    </row>
    <row r="2801" spans="1:24" x14ac:dyDescent="0.2">
      <c r="A2801" s="7" t="s">
        <v>168</v>
      </c>
      <c r="B2801" s="7" t="s">
        <v>178</v>
      </c>
      <c r="C2801" s="3"/>
      <c r="D2801" s="3" t="s">
        <v>556</v>
      </c>
      <c r="E2801" s="4"/>
      <c r="F2801" s="3" t="s">
        <v>130</v>
      </c>
      <c r="G2801" s="9"/>
      <c r="H2801" s="9">
        <v>670</v>
      </c>
      <c r="I2801" s="12">
        <v>122</v>
      </c>
      <c r="J2801" s="5" t="e">
        <f>SUM(SUMIFS(#REF!,#REF!,Planning[[#This Row],[Tipo de Tarea y especialidad]],#REF!,Planning[[#This Row],[Proyectos Reiwa]]),SUMIFS(#REF!,#REF!,Planning[[#This Row],[Tipo de Tarea y especialidad]],#REF!,Planning[[#This Row],[Proyectos]]))</f>
        <v>#REF!</v>
      </c>
      <c r="K2801" s="5" t="e">
        <f>Planning[[#This Row],[Horas Planificadas]]+Planning[[#This Row],[Horas ajustadas adicionales]]-Planning[[#This Row],[Horas utilizadas]]</f>
        <v>#REF!</v>
      </c>
      <c r="L2801" s="7">
        <v>0</v>
      </c>
      <c r="M2801" s="19" t="e">
        <f>Planning[[#This Row],[Saldo]]-Planning[[#This Row],[Saldo estimado]]</f>
        <v>#REF!</v>
      </c>
      <c r="N2801" s="60" t="e">
        <f>+SUMIFS(#REF!,#REF!,Planning[[#This Row],[Proyectos]],#REF!,Planning[[#This Row],[Tipo de Tarea y especialidad]])</f>
        <v>#REF!</v>
      </c>
      <c r="O2801" s="19">
        <f t="shared" si="86"/>
        <v>10</v>
      </c>
      <c r="P2801" s="19">
        <f t="shared" si="87"/>
        <v>2024</v>
      </c>
      <c r="Q28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01" s="19" t="str">
        <f>TEXT(Planning[[#This Row],[Mes]]*29,"mmmm")</f>
        <v>October</v>
      </c>
      <c r="S28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01" s="193"/>
      <c r="U2801" s="43" t="e">
        <f>IF(Planning[[#This Row],[Horas Planificadas]]&lt;&gt;0,+K2801/Planning[[#This Row],[Horas Planificadas]],0)</f>
        <v>#REF!</v>
      </c>
      <c r="V2801" s="43" t="e">
        <f>IF(Planning[[#This Row],[Horas Planificadas]]&lt;&gt;0,Planning[[#This Row],[Horas utilizadas]]/Planning[[#This Row],[Horas Planificadas]],0)</f>
        <v>#REF!</v>
      </c>
      <c r="W2801" s="44">
        <f>Planning[[#This Row],[Horas Planificadas]]+Planning[[#This Row],[Horas ajustadas adicionales]]</f>
        <v>792</v>
      </c>
      <c r="X2801" s="142"/>
    </row>
    <row r="2802" spans="1:24" x14ac:dyDescent="0.2">
      <c r="A2802" s="7" t="s">
        <v>168</v>
      </c>
      <c r="B2802" s="7" t="s">
        <v>178</v>
      </c>
      <c r="C2802" s="3"/>
      <c r="D2802" s="3" t="s">
        <v>556</v>
      </c>
      <c r="E2802" s="4"/>
      <c r="F2802" s="3" t="s">
        <v>131</v>
      </c>
      <c r="G2802" s="9"/>
      <c r="H2802" s="9"/>
      <c r="I2802" s="12"/>
      <c r="J2802" s="5" t="e">
        <f>SUM(SUMIFS(#REF!,#REF!,Planning[[#This Row],[Tipo de Tarea y especialidad]],#REF!,Planning[[#This Row],[Proyectos Reiwa]]),SUMIFS(#REF!,#REF!,Planning[[#This Row],[Tipo de Tarea y especialidad]],#REF!,Planning[[#This Row],[Proyectos]]))</f>
        <v>#REF!</v>
      </c>
      <c r="K2802" s="5" t="e">
        <f>Planning[[#This Row],[Horas Planificadas]]+Planning[[#This Row],[Horas ajustadas adicionales]]-Planning[[#This Row],[Horas utilizadas]]</f>
        <v>#REF!</v>
      </c>
      <c r="L2802" s="7">
        <v>0</v>
      </c>
      <c r="M2802" s="19" t="e">
        <f>Planning[[#This Row],[Saldo]]-Planning[[#This Row],[Saldo estimado]]</f>
        <v>#REF!</v>
      </c>
      <c r="N2802" s="60" t="e">
        <f>+SUMIFS(#REF!,#REF!,Planning[[#This Row],[Proyectos]],#REF!,Planning[[#This Row],[Tipo de Tarea y especialidad]])</f>
        <v>#REF!</v>
      </c>
      <c r="O2802" s="19">
        <f t="shared" si="86"/>
        <v>10</v>
      </c>
      <c r="P2802" s="19">
        <f t="shared" si="87"/>
        <v>2024</v>
      </c>
      <c r="Q28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02" s="19" t="str">
        <f>TEXT(Planning[[#This Row],[Mes]]*29,"mmmm")</f>
        <v>October</v>
      </c>
      <c r="S28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02" s="193"/>
      <c r="U2802" s="43">
        <f>IF(Planning[[#This Row],[Horas Planificadas]]&lt;&gt;0,+K2802/Planning[[#This Row],[Horas Planificadas]],0)</f>
        <v>0</v>
      </c>
      <c r="V2802" s="43">
        <f>IF(Planning[[#This Row],[Horas Planificadas]]&lt;&gt;0,Planning[[#This Row],[Horas utilizadas]]/Planning[[#This Row],[Horas Planificadas]],0)</f>
        <v>0</v>
      </c>
      <c r="W2802" s="44">
        <f>Planning[[#This Row],[Horas Planificadas]]+Planning[[#This Row],[Horas ajustadas adicionales]]</f>
        <v>0</v>
      </c>
      <c r="X2802" s="142"/>
    </row>
    <row r="2803" spans="1:24" ht="22.5" x14ac:dyDescent="0.2">
      <c r="A2803" s="7" t="s">
        <v>117</v>
      </c>
      <c r="B2803" s="7" t="s">
        <v>178</v>
      </c>
      <c r="C2803" s="3"/>
      <c r="D2803" s="3" t="s">
        <v>558</v>
      </c>
      <c r="E2803" s="4" t="s">
        <v>28</v>
      </c>
      <c r="F2803" s="3"/>
      <c r="G2803" s="9">
        <v>745</v>
      </c>
      <c r="H2803" s="14">
        <f>SUM(H2804:H2805)</f>
        <v>818</v>
      </c>
      <c r="I2803" s="14"/>
      <c r="J2803" s="14" t="e">
        <f>SUM(J2804:J2805)</f>
        <v>#REF!</v>
      </c>
      <c r="K2803" s="15" t="e">
        <f>SUM(K2804:K2805)</f>
        <v>#REF!</v>
      </c>
      <c r="L2803" s="15">
        <f>SUM(L2804:L2805)</f>
        <v>0</v>
      </c>
      <c r="M2803" s="28" t="e">
        <f>SUM(M2804:M2805)</f>
        <v>#REF!</v>
      </c>
      <c r="N2803" s="61" t="e">
        <f>+SUMIFS(#REF!,#REF!,Planning[[#This Row],[Proyectos]],#REF!,Planning[[#This Row],[Tipo de Tarea y especialidad]])</f>
        <v>#REF!</v>
      </c>
      <c r="O2803" s="28">
        <f t="shared" si="86"/>
        <v>10</v>
      </c>
      <c r="P2803" s="28">
        <f t="shared" si="87"/>
        <v>2024</v>
      </c>
      <c r="Q2803" s="28" t="e">
        <f>SUM(Q2804:Q2805)</f>
        <v>#REF!</v>
      </c>
      <c r="R2803" s="28" t="str">
        <f>TEXT(Planning[[#This Row],[Mes]]*29,"mmmm")</f>
        <v>October</v>
      </c>
      <c r="S28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03" s="192" t="s">
        <v>559</v>
      </c>
      <c r="U2803" s="43" t="e">
        <f>IF(Planning[[#This Row],[Horas Planificadas]]&lt;&gt;0,+K2803/Planning[[#This Row],[Horas Planificadas]],0)</f>
        <v>#REF!</v>
      </c>
      <c r="V2803" s="43" t="e">
        <f>IF(Planning[[#This Row],[Horas Planificadas]]&lt;&gt;0,Planning[[#This Row],[Horas utilizadas]]/Planning[[#This Row],[Horas Planificadas]],0)</f>
        <v>#REF!</v>
      </c>
      <c r="W2803" s="44">
        <f>Planning[[#This Row],[Horas Planificadas]]+Planning[[#This Row],[Horas ajustadas adicionales]]</f>
        <v>818</v>
      </c>
      <c r="X2803" s="142"/>
    </row>
    <row r="2804" spans="1:24" x14ac:dyDescent="0.2">
      <c r="A2804" s="7" t="s">
        <v>117</v>
      </c>
      <c r="B2804" s="7" t="s">
        <v>178</v>
      </c>
      <c r="C2804" s="3"/>
      <c r="D2804" s="3" t="s">
        <v>558</v>
      </c>
      <c r="E2804" s="4"/>
      <c r="F2804" s="3" t="s">
        <v>120</v>
      </c>
      <c r="G2804" s="9"/>
      <c r="H2804" s="9">
        <v>530</v>
      </c>
      <c r="I2804" s="12">
        <v>87</v>
      </c>
      <c r="J2804" s="5" t="e">
        <f>SUM(SUMIFS(#REF!,#REF!,Planning[[#This Row],[Tipo de Tarea y especialidad]],#REF!,Planning[[#This Row],[Proyectos Reiwa]]),SUMIFS(#REF!,#REF!,Planning[[#This Row],[Tipo de Tarea y especialidad]],#REF!,Planning[[#This Row],[Proyectos]]))</f>
        <v>#REF!</v>
      </c>
      <c r="K2804" s="5" t="e">
        <f>Planning[[#This Row],[Horas Planificadas]]+Planning[[#This Row],[Horas ajustadas adicionales]]-Planning[[#This Row],[Horas utilizadas]]</f>
        <v>#REF!</v>
      </c>
      <c r="L2804" s="7">
        <v>0</v>
      </c>
      <c r="M2804" s="19" t="e">
        <f>Planning[[#This Row],[Saldo]]-Planning[[#This Row],[Saldo estimado]]</f>
        <v>#REF!</v>
      </c>
      <c r="N2804" s="60" t="e">
        <f>+SUMIFS(#REF!,#REF!,Planning[[#This Row],[Proyectos]],#REF!,Planning[[#This Row],[Tipo de Tarea y especialidad]])</f>
        <v>#REF!</v>
      </c>
      <c r="O2804" s="19">
        <f t="shared" si="86"/>
        <v>10</v>
      </c>
      <c r="P2804" s="19">
        <f t="shared" si="87"/>
        <v>2024</v>
      </c>
      <c r="Q28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04" s="19" t="str">
        <f>TEXT(Planning[[#This Row],[Mes]]*29,"mmmm")</f>
        <v>October</v>
      </c>
      <c r="S28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04" s="193"/>
      <c r="U2804" s="43" t="e">
        <f>IF(Planning[[#This Row],[Horas Planificadas]]&lt;&gt;0,+K2804/Planning[[#This Row],[Horas Planificadas]],0)</f>
        <v>#REF!</v>
      </c>
      <c r="V2804" s="43" t="e">
        <f>IF(Planning[[#This Row],[Horas Planificadas]]&lt;&gt;0,Planning[[#This Row],[Horas utilizadas]]/Planning[[#This Row],[Horas Planificadas]],0)</f>
        <v>#REF!</v>
      </c>
      <c r="W2804" s="44">
        <f>Planning[[#This Row],[Horas Planificadas]]+Planning[[#This Row],[Horas ajustadas adicionales]]</f>
        <v>617</v>
      </c>
      <c r="X2804" s="142"/>
    </row>
    <row r="2805" spans="1:24" x14ac:dyDescent="0.2">
      <c r="A2805" s="7" t="s">
        <v>117</v>
      </c>
      <c r="B2805" s="7" t="s">
        <v>178</v>
      </c>
      <c r="C2805" s="3"/>
      <c r="D2805" s="3" t="s">
        <v>558</v>
      </c>
      <c r="E2805" s="4"/>
      <c r="F2805" s="3" t="s">
        <v>121</v>
      </c>
      <c r="G2805" s="9"/>
      <c r="H2805" s="9">
        <v>288</v>
      </c>
      <c r="I2805" s="12">
        <v>63</v>
      </c>
      <c r="J2805" s="5" t="e">
        <f>SUM(SUMIFS(#REF!,#REF!,Planning[[#This Row],[Tipo de Tarea y especialidad]],#REF!,Planning[[#This Row],[Proyectos Reiwa]]),SUMIFS(#REF!,#REF!,Planning[[#This Row],[Tipo de Tarea y especialidad]],#REF!,Planning[[#This Row],[Proyectos]]))</f>
        <v>#REF!</v>
      </c>
      <c r="K2805" s="5" t="e">
        <f>Planning[[#This Row],[Horas Planificadas]]+Planning[[#This Row],[Horas ajustadas adicionales]]-Planning[[#This Row],[Horas utilizadas]]</f>
        <v>#REF!</v>
      </c>
      <c r="L2805" s="7">
        <v>0</v>
      </c>
      <c r="M2805" s="19" t="e">
        <f>Planning[[#This Row],[Saldo]]-Planning[[#This Row],[Saldo estimado]]</f>
        <v>#REF!</v>
      </c>
      <c r="N2805" s="60" t="e">
        <f>+SUMIFS(#REF!,#REF!,Planning[[#This Row],[Proyectos]],#REF!,Planning[[#This Row],[Tipo de Tarea y especialidad]])</f>
        <v>#REF!</v>
      </c>
      <c r="O2805" s="19">
        <f t="shared" si="86"/>
        <v>10</v>
      </c>
      <c r="P2805" s="19">
        <f t="shared" si="87"/>
        <v>2024</v>
      </c>
      <c r="Q28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05" s="19" t="str">
        <f>TEXT(Planning[[#This Row],[Mes]]*29,"mmmm")</f>
        <v>October</v>
      </c>
      <c r="S28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05" s="193"/>
      <c r="U2805" s="43" t="e">
        <f>IF(Planning[[#This Row],[Horas Planificadas]]&lt;&gt;0,+K2805/Planning[[#This Row],[Horas Planificadas]],0)</f>
        <v>#REF!</v>
      </c>
      <c r="V2805" s="43" t="e">
        <f>IF(Planning[[#This Row],[Horas Planificadas]]&lt;&gt;0,Planning[[#This Row],[Horas utilizadas]]/Planning[[#This Row],[Horas Planificadas]],0)</f>
        <v>#REF!</v>
      </c>
      <c r="W2805" s="44">
        <f>Planning[[#This Row],[Horas Planificadas]]+Planning[[#This Row],[Horas ajustadas adicionales]]</f>
        <v>351</v>
      </c>
      <c r="X2805" s="142"/>
    </row>
    <row r="2806" spans="1:24" x14ac:dyDescent="0.2">
      <c r="A2806" s="7" t="s">
        <v>117</v>
      </c>
      <c r="B2806" s="7" t="s">
        <v>178</v>
      </c>
      <c r="C2806" s="3"/>
      <c r="D2806" s="3" t="s">
        <v>558</v>
      </c>
      <c r="E2806" s="4" t="s">
        <v>30</v>
      </c>
      <c r="F2806" s="3"/>
      <c r="G2806" s="9">
        <v>1405</v>
      </c>
      <c r="H2806" s="25">
        <f>SUM(H2807:H2813)</f>
        <v>1471</v>
      </c>
      <c r="I2806" s="14"/>
      <c r="J2806" s="14" t="e">
        <f>SUM(J2807:J2813)</f>
        <v>#REF!</v>
      </c>
      <c r="K2806" s="18" t="e">
        <f>SUM(K2807:K2813)</f>
        <v>#REF!</v>
      </c>
      <c r="L2806" s="15">
        <f>SUM(L2807:L2813)</f>
        <v>0</v>
      </c>
      <c r="M2806" s="16" t="e">
        <f>SUM(M2807:M2813)</f>
        <v>#REF!</v>
      </c>
      <c r="N2806" s="60" t="e">
        <f>+SUMIFS(#REF!,#REF!,Planning[[#This Row],[Proyectos]],#REF!,Planning[[#This Row],[Tipo de Tarea y especialidad]])</f>
        <v>#REF!</v>
      </c>
      <c r="O2806" s="16">
        <f t="shared" si="86"/>
        <v>10</v>
      </c>
      <c r="P2806" s="16">
        <f t="shared" si="87"/>
        <v>2024</v>
      </c>
      <c r="Q2806" s="16" t="e">
        <f>SUM(Q2807:Q2813)</f>
        <v>#REF!</v>
      </c>
      <c r="R2806" s="16" t="str">
        <f>TEXT(Planning[[#This Row],[Mes]]*29,"mmmm")</f>
        <v>October</v>
      </c>
      <c r="S28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06" s="193"/>
      <c r="U2806" s="43" t="e">
        <f>IF(Planning[[#This Row],[Horas Planificadas]]&lt;&gt;0,+K2806/Planning[[#This Row],[Horas Planificadas]],0)</f>
        <v>#REF!</v>
      </c>
      <c r="V2806" s="43" t="e">
        <f>IF(Planning[[#This Row],[Horas Planificadas]]&lt;&gt;0,Planning[[#This Row],[Horas utilizadas]]/Planning[[#This Row],[Horas Planificadas]],0)</f>
        <v>#REF!</v>
      </c>
      <c r="W2806" s="44">
        <f>Planning[[#This Row],[Horas Planificadas]]+Planning[[#This Row],[Horas ajustadas adicionales]]</f>
        <v>1471</v>
      </c>
      <c r="X2806" s="142"/>
    </row>
    <row r="2807" spans="1:24" x14ac:dyDescent="0.2">
      <c r="A2807" s="7" t="s">
        <v>117</v>
      </c>
      <c r="B2807" s="7" t="s">
        <v>178</v>
      </c>
      <c r="C2807" s="3"/>
      <c r="D2807" s="3" t="s">
        <v>558</v>
      </c>
      <c r="E2807" s="4"/>
      <c r="F2807" s="3" t="s">
        <v>122</v>
      </c>
      <c r="G2807" s="9"/>
      <c r="H2807" s="12"/>
      <c r="I2807" s="12"/>
      <c r="J2807" s="5" t="e">
        <f>SUM(SUMIFS(#REF!,#REF!,Planning[[#This Row],[Tipo de Tarea y especialidad]],#REF!,Planning[[#This Row],[Proyectos Reiwa]]),SUMIFS(#REF!,#REF!,Planning[[#This Row],[Tipo de Tarea y especialidad]],#REF!,Planning[[#This Row],[Proyectos]]))</f>
        <v>#REF!</v>
      </c>
      <c r="K2807" s="27" t="e">
        <f>Planning[[#This Row],[Horas Planificadas]]+Planning[[#This Row],[Horas ajustadas adicionales]]-Planning[[#This Row],[Horas utilizadas]]</f>
        <v>#REF!</v>
      </c>
      <c r="L2807" s="7">
        <v>0</v>
      </c>
      <c r="M2807" s="34" t="e">
        <f>Planning[[#This Row],[Saldo]]-Planning[[#This Row],[Saldo estimado]]</f>
        <v>#REF!</v>
      </c>
      <c r="N2807" s="62" t="e">
        <f>+SUMIFS(#REF!,#REF!,Planning[[#This Row],[Proyectos]],#REF!,Planning[[#This Row],[Tipo de Tarea y especialidad]])</f>
        <v>#REF!</v>
      </c>
      <c r="O2807" s="34">
        <f t="shared" si="86"/>
        <v>10</v>
      </c>
      <c r="P2807" s="34">
        <f t="shared" si="87"/>
        <v>2024</v>
      </c>
      <c r="Q28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07" s="19" t="str">
        <f>TEXT(Planning[[#This Row],[Mes]]*29,"mmmm")</f>
        <v>October</v>
      </c>
      <c r="S28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07" s="193"/>
      <c r="U2807" s="43">
        <f>IF(Planning[[#This Row],[Horas Planificadas]]&lt;&gt;0,+K2807/Planning[[#This Row],[Horas Planificadas]],0)</f>
        <v>0</v>
      </c>
      <c r="V2807" s="43">
        <f>IF(Planning[[#This Row],[Horas Planificadas]]&lt;&gt;0,Planning[[#This Row],[Horas utilizadas]]/Planning[[#This Row],[Horas Planificadas]],0)</f>
        <v>0</v>
      </c>
      <c r="W2807" s="44">
        <f>Planning[[#This Row],[Horas Planificadas]]+Planning[[#This Row],[Horas ajustadas adicionales]]</f>
        <v>0</v>
      </c>
      <c r="X2807" s="142"/>
    </row>
    <row r="2808" spans="1:24" x14ac:dyDescent="0.2">
      <c r="A2808" s="7" t="s">
        <v>117</v>
      </c>
      <c r="B2808" s="7" t="s">
        <v>178</v>
      </c>
      <c r="C2808" s="3"/>
      <c r="D2808" s="3" t="s">
        <v>558</v>
      </c>
      <c r="E2808" s="4"/>
      <c r="F2808" s="3" t="s">
        <v>123</v>
      </c>
      <c r="G2808" s="9"/>
      <c r="H2808" s="9">
        <v>1471</v>
      </c>
      <c r="I2808" s="12"/>
      <c r="J2808" s="5" t="e">
        <f>SUM(SUMIFS(#REF!,#REF!,Planning[[#This Row],[Tipo de Tarea y especialidad]],#REF!,Planning[[#This Row],[Proyectos Reiwa]]),SUMIFS(#REF!,#REF!,Planning[[#This Row],[Tipo de Tarea y especialidad]],#REF!,Planning[[#This Row],[Proyectos]]))</f>
        <v>#REF!</v>
      </c>
      <c r="K2808" s="5" t="e">
        <f>Planning[[#This Row],[Horas Planificadas]]+Planning[[#This Row],[Horas ajustadas adicionales]]-Planning[[#This Row],[Horas utilizadas]]</f>
        <v>#REF!</v>
      </c>
      <c r="L2808" s="7">
        <v>0</v>
      </c>
      <c r="M2808" s="19" t="e">
        <f>Planning[[#This Row],[Saldo]]-Planning[[#This Row],[Saldo estimado]]</f>
        <v>#REF!</v>
      </c>
      <c r="N2808" s="60" t="e">
        <f>+SUMIFS(#REF!,#REF!,Planning[[#This Row],[Proyectos]],#REF!,Planning[[#This Row],[Tipo de Tarea y especialidad]])</f>
        <v>#REF!</v>
      </c>
      <c r="O2808" s="19">
        <f t="shared" si="86"/>
        <v>10</v>
      </c>
      <c r="P2808" s="19">
        <f t="shared" si="87"/>
        <v>2024</v>
      </c>
      <c r="Q28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08" s="19" t="str">
        <f>TEXT(Planning[[#This Row],[Mes]]*29,"mmmm")</f>
        <v>October</v>
      </c>
      <c r="S28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08" s="193"/>
      <c r="U2808" s="43" t="e">
        <f>IF(Planning[[#This Row],[Horas Planificadas]]&lt;&gt;0,+K2808/Planning[[#This Row],[Horas Planificadas]],0)</f>
        <v>#REF!</v>
      </c>
      <c r="V2808" s="43" t="e">
        <f>IF(Planning[[#This Row],[Horas Planificadas]]&lt;&gt;0,Planning[[#This Row],[Horas utilizadas]]/Planning[[#This Row],[Horas Planificadas]],0)</f>
        <v>#REF!</v>
      </c>
      <c r="W2808" s="44">
        <f>Planning[[#This Row],[Horas Planificadas]]+Planning[[#This Row],[Horas ajustadas adicionales]]</f>
        <v>1471</v>
      </c>
      <c r="X2808" s="142"/>
    </row>
    <row r="2809" spans="1:24" x14ac:dyDescent="0.2">
      <c r="A2809" s="7" t="s">
        <v>117</v>
      </c>
      <c r="B2809" s="7" t="s">
        <v>178</v>
      </c>
      <c r="C2809" s="3"/>
      <c r="D2809" s="3" t="s">
        <v>558</v>
      </c>
      <c r="E2809" s="4"/>
      <c r="F2809" s="3" t="s">
        <v>124</v>
      </c>
      <c r="G2809" s="9"/>
      <c r="H2809" s="9"/>
      <c r="I2809" s="12"/>
      <c r="J2809" s="5" t="e">
        <f>SUM(SUMIFS(#REF!,#REF!,Planning[[#This Row],[Tipo de Tarea y especialidad]],#REF!,Planning[[#This Row],[Proyectos Reiwa]]),SUMIFS(#REF!,#REF!,Planning[[#This Row],[Tipo de Tarea y especialidad]],#REF!,Planning[[#This Row],[Proyectos]]))</f>
        <v>#REF!</v>
      </c>
      <c r="K2809" s="5" t="e">
        <f>Planning[[#This Row],[Horas Planificadas]]+Planning[[#This Row],[Horas ajustadas adicionales]]-Planning[[#This Row],[Horas utilizadas]]</f>
        <v>#REF!</v>
      </c>
      <c r="L2809" s="7">
        <v>0</v>
      </c>
      <c r="M2809" s="19" t="e">
        <f>Planning[[#This Row],[Saldo]]-Planning[[#This Row],[Saldo estimado]]</f>
        <v>#REF!</v>
      </c>
      <c r="N2809" s="60" t="e">
        <f>+SUMIFS(#REF!,#REF!,Planning[[#This Row],[Proyectos]],#REF!,Planning[[#This Row],[Tipo de Tarea y especialidad]])</f>
        <v>#REF!</v>
      </c>
      <c r="O2809" s="19">
        <f t="shared" si="86"/>
        <v>10</v>
      </c>
      <c r="P2809" s="19">
        <f t="shared" si="87"/>
        <v>2024</v>
      </c>
      <c r="Q28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09" s="19" t="str">
        <f>TEXT(Planning[[#This Row],[Mes]]*29,"mmmm")</f>
        <v>October</v>
      </c>
      <c r="S28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09" s="193"/>
      <c r="U2809" s="43">
        <f>IF(Planning[[#This Row],[Horas Planificadas]]&lt;&gt;0,+K2809/Planning[[#This Row],[Horas Planificadas]],0)</f>
        <v>0</v>
      </c>
      <c r="V2809" s="43">
        <f>IF(Planning[[#This Row],[Horas Planificadas]]&lt;&gt;0,Planning[[#This Row],[Horas utilizadas]]/Planning[[#This Row],[Horas Planificadas]],0)</f>
        <v>0</v>
      </c>
      <c r="W2809" s="44">
        <f>Planning[[#This Row],[Horas Planificadas]]+Planning[[#This Row],[Horas ajustadas adicionales]]</f>
        <v>0</v>
      </c>
      <c r="X2809" s="142"/>
    </row>
    <row r="2810" spans="1:24" x14ac:dyDescent="0.2">
      <c r="A2810" s="7" t="s">
        <v>117</v>
      </c>
      <c r="B2810" s="7" t="s">
        <v>178</v>
      </c>
      <c r="C2810" s="3"/>
      <c r="D2810" s="3" t="s">
        <v>558</v>
      </c>
      <c r="E2810" s="4"/>
      <c r="F2810" s="3" t="s">
        <v>125</v>
      </c>
      <c r="G2810" s="9"/>
      <c r="H2810" s="12"/>
      <c r="I2810" s="12">
        <v>36</v>
      </c>
      <c r="J2810" s="5" t="e">
        <f>SUM(SUMIFS(#REF!,#REF!,Planning[[#This Row],[Tipo de Tarea y especialidad]],#REF!,Planning[[#This Row],[Proyectos Reiwa]]),SUMIFS(#REF!,#REF!,Planning[[#This Row],[Tipo de Tarea y especialidad]],#REF!,Planning[[#This Row],[Proyectos]]))</f>
        <v>#REF!</v>
      </c>
      <c r="K2810" s="27" t="e">
        <f>Planning[[#This Row],[Horas Planificadas]]+Planning[[#This Row],[Horas ajustadas adicionales]]-Planning[[#This Row],[Horas utilizadas]]</f>
        <v>#REF!</v>
      </c>
      <c r="L2810" s="7">
        <v>0</v>
      </c>
      <c r="M2810" s="19" t="e">
        <f>Planning[[#This Row],[Saldo]]-Planning[[#This Row],[Saldo estimado]]</f>
        <v>#REF!</v>
      </c>
      <c r="N2810" s="60" t="e">
        <f>+SUMIFS(#REF!,#REF!,Planning[[#This Row],[Proyectos]],#REF!,Planning[[#This Row],[Tipo de Tarea y especialidad]])</f>
        <v>#REF!</v>
      </c>
      <c r="O2810" s="19">
        <f t="shared" si="86"/>
        <v>10</v>
      </c>
      <c r="P2810" s="19">
        <f t="shared" si="87"/>
        <v>2024</v>
      </c>
      <c r="Q28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10" s="19" t="str">
        <f>TEXT(Planning[[#This Row],[Mes]]*29,"mmmm")</f>
        <v>October</v>
      </c>
      <c r="S28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10" s="193"/>
      <c r="U2810" s="43">
        <f>IF(Planning[[#This Row],[Horas Planificadas]]&lt;&gt;0,+K2810/Planning[[#This Row],[Horas Planificadas]],0)</f>
        <v>0</v>
      </c>
      <c r="V2810" s="43">
        <f>IF(Planning[[#This Row],[Horas Planificadas]]&lt;&gt;0,Planning[[#This Row],[Horas utilizadas]]/Planning[[#This Row],[Horas Planificadas]],0)</f>
        <v>0</v>
      </c>
      <c r="W2810" s="44">
        <f>Planning[[#This Row],[Horas Planificadas]]+Planning[[#This Row],[Horas ajustadas adicionales]]</f>
        <v>36</v>
      </c>
      <c r="X2810" s="142"/>
    </row>
    <row r="2811" spans="1:24" x14ac:dyDescent="0.2">
      <c r="A2811" s="7" t="s">
        <v>117</v>
      </c>
      <c r="B2811" s="7" t="s">
        <v>178</v>
      </c>
      <c r="C2811" s="3"/>
      <c r="D2811" s="3" t="s">
        <v>558</v>
      </c>
      <c r="E2811" s="4"/>
      <c r="F2811" s="3" t="s">
        <v>126</v>
      </c>
      <c r="G2811" s="9"/>
      <c r="H2811" s="9"/>
      <c r="I2811" s="12"/>
      <c r="J2811" s="5" t="e">
        <f>SUM(SUMIFS(#REF!,#REF!,Planning[[#This Row],[Tipo de Tarea y especialidad]],#REF!,Planning[[#This Row],[Proyectos Reiwa]]),SUMIFS(#REF!,#REF!,Planning[[#This Row],[Tipo de Tarea y especialidad]],#REF!,Planning[[#This Row],[Proyectos]]))</f>
        <v>#REF!</v>
      </c>
      <c r="K2811" s="5" t="e">
        <f>Planning[[#This Row],[Horas Planificadas]]+Planning[[#This Row],[Horas ajustadas adicionales]]-Planning[[#This Row],[Horas utilizadas]]</f>
        <v>#REF!</v>
      </c>
      <c r="L2811" s="7">
        <v>0</v>
      </c>
      <c r="M2811" s="19" t="e">
        <f>Planning[[#This Row],[Saldo]]-Planning[[#This Row],[Saldo estimado]]</f>
        <v>#REF!</v>
      </c>
      <c r="N2811" s="60" t="e">
        <f>+SUMIFS(#REF!,#REF!,Planning[[#This Row],[Proyectos]],#REF!,Planning[[#This Row],[Tipo de Tarea y especialidad]])</f>
        <v>#REF!</v>
      </c>
      <c r="O2811" s="19">
        <f t="shared" si="86"/>
        <v>10</v>
      </c>
      <c r="P2811" s="19">
        <f t="shared" si="87"/>
        <v>2024</v>
      </c>
      <c r="Q28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11" s="19" t="str">
        <f>TEXT(Planning[[#This Row],[Mes]]*29,"mmmm")</f>
        <v>October</v>
      </c>
      <c r="S28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11" s="193"/>
      <c r="U2811" s="43">
        <f>IF(Planning[[#This Row],[Horas Planificadas]]&lt;&gt;0,+K2811/Planning[[#This Row],[Horas Planificadas]],0)</f>
        <v>0</v>
      </c>
      <c r="V2811" s="43">
        <f>IF(Planning[[#This Row],[Horas Planificadas]]&lt;&gt;0,Planning[[#This Row],[Horas utilizadas]]/Planning[[#This Row],[Horas Planificadas]],0)</f>
        <v>0</v>
      </c>
      <c r="W2811" s="44">
        <f>Planning[[#This Row],[Horas Planificadas]]+Planning[[#This Row],[Horas ajustadas adicionales]]</f>
        <v>0</v>
      </c>
      <c r="X2811" s="142"/>
    </row>
    <row r="2812" spans="1:24" x14ac:dyDescent="0.2">
      <c r="A2812" s="7" t="s">
        <v>117</v>
      </c>
      <c r="B2812" s="7" t="s">
        <v>178</v>
      </c>
      <c r="C2812" s="3"/>
      <c r="D2812" s="3" t="s">
        <v>558</v>
      </c>
      <c r="E2812" s="4"/>
      <c r="F2812" s="3" t="s">
        <v>127</v>
      </c>
      <c r="G2812" s="9"/>
      <c r="H2812" s="9"/>
      <c r="I2812" s="12">
        <v>306</v>
      </c>
      <c r="J2812" s="5" t="e">
        <f>SUM(SUMIFS(#REF!,#REF!,Planning[[#This Row],[Tipo de Tarea y especialidad]],#REF!,Planning[[#This Row],[Proyectos Reiwa]]),SUMIFS(#REF!,#REF!,Planning[[#This Row],[Tipo de Tarea y especialidad]],#REF!,Planning[[#This Row],[Proyectos]]))</f>
        <v>#REF!</v>
      </c>
      <c r="K2812" s="5" t="e">
        <f>Planning[[#This Row],[Horas Planificadas]]+Planning[[#This Row],[Horas ajustadas adicionales]]-Planning[[#This Row],[Horas utilizadas]]</f>
        <v>#REF!</v>
      </c>
      <c r="L2812" s="7">
        <v>0</v>
      </c>
      <c r="M2812" s="19" t="e">
        <f>Planning[[#This Row],[Saldo]]-Planning[[#This Row],[Saldo estimado]]</f>
        <v>#REF!</v>
      </c>
      <c r="N2812" s="60" t="e">
        <f>+SUMIFS(#REF!,#REF!,Planning[[#This Row],[Proyectos]],#REF!,Planning[[#This Row],[Tipo de Tarea y especialidad]])</f>
        <v>#REF!</v>
      </c>
      <c r="O2812" s="19">
        <f t="shared" si="86"/>
        <v>10</v>
      </c>
      <c r="P2812" s="19">
        <f t="shared" si="87"/>
        <v>2024</v>
      </c>
      <c r="Q28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12" s="19" t="str">
        <f>TEXT(Planning[[#This Row],[Mes]]*29,"mmmm")</f>
        <v>October</v>
      </c>
      <c r="S28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12" s="193"/>
      <c r="U2812" s="43">
        <f>IF(Planning[[#This Row],[Horas Planificadas]]&lt;&gt;0,+K2812/Planning[[#This Row],[Horas Planificadas]],0)</f>
        <v>0</v>
      </c>
      <c r="V2812" s="43">
        <f>IF(Planning[[#This Row],[Horas Planificadas]]&lt;&gt;0,Planning[[#This Row],[Horas utilizadas]]/Planning[[#This Row],[Horas Planificadas]],0)</f>
        <v>0</v>
      </c>
      <c r="W2812" s="44">
        <f>Planning[[#This Row],[Horas Planificadas]]+Planning[[#This Row],[Horas ajustadas adicionales]]</f>
        <v>306</v>
      </c>
      <c r="X2812" s="142"/>
    </row>
    <row r="2813" spans="1:24" x14ac:dyDescent="0.2">
      <c r="A2813" s="7" t="s">
        <v>117</v>
      </c>
      <c r="B2813" s="7" t="s">
        <v>178</v>
      </c>
      <c r="C2813" s="3"/>
      <c r="D2813" s="3" t="s">
        <v>558</v>
      </c>
      <c r="E2813" s="4"/>
      <c r="F2813" s="3" t="s">
        <v>128</v>
      </c>
      <c r="G2813" s="9"/>
      <c r="H2813" s="9"/>
      <c r="I2813" s="12"/>
      <c r="J2813" s="5" t="e">
        <f>SUM(SUMIFS(#REF!,#REF!,Planning[[#This Row],[Tipo de Tarea y especialidad]],#REF!,Planning[[#This Row],[Proyectos Reiwa]]),SUMIFS(#REF!,#REF!,Planning[[#This Row],[Tipo de Tarea y especialidad]],#REF!,Planning[[#This Row],[Proyectos]]))</f>
        <v>#REF!</v>
      </c>
      <c r="K2813" s="5" t="e">
        <f>Planning[[#This Row],[Horas Planificadas]]+Planning[[#This Row],[Horas ajustadas adicionales]]-Planning[[#This Row],[Horas utilizadas]]</f>
        <v>#REF!</v>
      </c>
      <c r="L2813" s="7">
        <v>0</v>
      </c>
      <c r="M2813" s="19" t="e">
        <f>Planning[[#This Row],[Saldo]]-Planning[[#This Row],[Saldo estimado]]</f>
        <v>#REF!</v>
      </c>
      <c r="N2813" s="60" t="e">
        <f>+SUMIFS(#REF!,#REF!,Planning[[#This Row],[Proyectos]],#REF!,Planning[[#This Row],[Tipo de Tarea y especialidad]])</f>
        <v>#REF!</v>
      </c>
      <c r="O2813" s="19">
        <f t="shared" si="86"/>
        <v>10</v>
      </c>
      <c r="P2813" s="19">
        <f t="shared" si="87"/>
        <v>2024</v>
      </c>
      <c r="Q28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13" s="19" t="str">
        <f>TEXT(Planning[[#This Row],[Mes]]*29,"mmmm")</f>
        <v>October</v>
      </c>
      <c r="S28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13" s="193"/>
      <c r="U2813" s="43">
        <f>IF(Planning[[#This Row],[Horas Planificadas]]&lt;&gt;0,+K2813/Planning[[#This Row],[Horas Planificadas]],0)</f>
        <v>0</v>
      </c>
      <c r="V2813" s="43">
        <f>IF(Planning[[#This Row],[Horas Planificadas]]&lt;&gt;0,Planning[[#This Row],[Horas utilizadas]]/Planning[[#This Row],[Horas Planificadas]],0)</f>
        <v>0</v>
      </c>
      <c r="W2813" s="44">
        <f>Planning[[#This Row],[Horas Planificadas]]+Planning[[#This Row],[Horas ajustadas adicionales]]</f>
        <v>0</v>
      </c>
      <c r="X2813" s="142"/>
    </row>
    <row r="2814" spans="1:24" x14ac:dyDescent="0.2">
      <c r="A2814" s="7" t="s">
        <v>117</v>
      </c>
      <c r="B2814" s="7" t="s">
        <v>178</v>
      </c>
      <c r="C2814" s="3"/>
      <c r="D2814" s="3" t="s">
        <v>558</v>
      </c>
      <c r="E2814" s="4" t="s">
        <v>31</v>
      </c>
      <c r="F2814" s="3" t="s">
        <v>31</v>
      </c>
      <c r="G2814" s="9">
        <v>284</v>
      </c>
      <c r="H2814" s="17">
        <v>117</v>
      </c>
      <c r="I2814" s="18"/>
      <c r="J2814" s="14" t="e">
        <f>+SUMIFS(#REF!,#REF!,Planning[[#This Row],[Tarifa]],#REF!,Planning[[#This Row],[Proyectos]])</f>
        <v>#REF!</v>
      </c>
      <c r="K2814" s="14" t="e">
        <f>Planning[[#This Row],[Horas Planificadas]]+Planning[[#This Row],[Horas ajustadas adicionales]]-Planning[[#This Row],[Horas utilizadas]]</f>
        <v>#REF!</v>
      </c>
      <c r="L2814" s="15">
        <v>0</v>
      </c>
      <c r="M2814" s="16" t="e">
        <f>Planning[[#This Row],[Saldo]]-Planning[[#This Row],[Saldo estimado]]</f>
        <v>#REF!</v>
      </c>
      <c r="N2814" s="60" t="e">
        <f>+SUMIFS(#REF!,#REF!,Planning[[#This Row],[Proyectos]],#REF!,Planning[[#This Row],[Tipo de Tarea y especialidad]])</f>
        <v>#REF!</v>
      </c>
      <c r="O2814" s="16">
        <f t="shared" si="86"/>
        <v>10</v>
      </c>
      <c r="P2814" s="16">
        <f t="shared" si="87"/>
        <v>2024</v>
      </c>
      <c r="Q2814" s="16" t="e">
        <f>+SUMIFS(#REF!,#REF!,Planning[[#This Row],[Tarifa]],#REF!,Planning[[#This Row],[Proyectos]],#REF!,Planning[[#This Row],[Mes]],#REF!,Planning[[#This Row],[Año]])</f>
        <v>#REF!</v>
      </c>
      <c r="R2814" s="16" t="str">
        <f>TEXT(Planning[[#This Row],[Mes]]*29,"mmmm")</f>
        <v>October</v>
      </c>
      <c r="S28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14" s="193"/>
      <c r="U2814" s="43" t="e">
        <f>IF(Planning[[#This Row],[Horas Planificadas]]&lt;&gt;0,+K2814/Planning[[#This Row],[Horas Planificadas]],0)</f>
        <v>#REF!</v>
      </c>
      <c r="V2814" s="43" t="e">
        <f>IF(Planning[[#This Row],[Horas Planificadas]]&lt;&gt;0,Planning[[#This Row],[Horas utilizadas]]/Planning[[#This Row],[Horas Planificadas]],0)</f>
        <v>#REF!</v>
      </c>
      <c r="W2814" s="44">
        <f>Planning[[#This Row],[Horas Planificadas]]+Planning[[#This Row],[Horas ajustadas adicionales]]</f>
        <v>117</v>
      </c>
      <c r="X2814" s="142"/>
    </row>
    <row r="2815" spans="1:24" ht="22.5" x14ac:dyDescent="0.2">
      <c r="A2815" s="7" t="s">
        <v>117</v>
      </c>
      <c r="B2815" s="7" t="s">
        <v>178</v>
      </c>
      <c r="C2815" s="3"/>
      <c r="D2815" s="3" t="s">
        <v>558</v>
      </c>
      <c r="E2815" s="4" t="s">
        <v>32</v>
      </c>
      <c r="F2815" s="3"/>
      <c r="G2815" s="9">
        <v>498</v>
      </c>
      <c r="H2815" s="25">
        <f>SUM(H2816:H2818)</f>
        <v>490</v>
      </c>
      <c r="I2815" s="14"/>
      <c r="J2815" s="14" t="e">
        <f>SUM(J2816:J2818)</f>
        <v>#REF!</v>
      </c>
      <c r="K2815" s="18" t="e">
        <f>SUM(K2816:K2818)</f>
        <v>#REF!</v>
      </c>
      <c r="L2815" s="15">
        <f>SUM(L2816:L2818)</f>
        <v>0</v>
      </c>
      <c r="M2815" s="16" t="e">
        <f>SUM(M2816:M2818)</f>
        <v>#REF!</v>
      </c>
      <c r="N2815" s="60" t="e">
        <f>+SUMIFS(#REF!,#REF!,Planning[[#This Row],[Proyectos]],#REF!,Planning[[#This Row],[Tipo de Tarea y especialidad]])</f>
        <v>#REF!</v>
      </c>
      <c r="O2815" s="16">
        <f t="shared" si="86"/>
        <v>10</v>
      </c>
      <c r="P2815" s="16">
        <f t="shared" si="87"/>
        <v>2024</v>
      </c>
      <c r="Q2815" s="16" t="e">
        <f>SUM(Q2816:Q2818)</f>
        <v>#REF!</v>
      </c>
      <c r="R2815" s="16" t="str">
        <f>TEXT(Planning[[#This Row],[Mes]]*29,"mmmm")</f>
        <v>October</v>
      </c>
      <c r="S28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15" s="193"/>
      <c r="U2815" s="43" t="e">
        <f>IF(Planning[[#This Row],[Horas Planificadas]]&lt;&gt;0,+K2815/Planning[[#This Row],[Horas Planificadas]],0)</f>
        <v>#REF!</v>
      </c>
      <c r="V2815" s="43" t="e">
        <f>IF(Planning[[#This Row],[Horas Planificadas]]&lt;&gt;0,Planning[[#This Row],[Horas utilizadas]]/Planning[[#This Row],[Horas Planificadas]],0)</f>
        <v>#REF!</v>
      </c>
      <c r="W2815" s="44">
        <f>Planning[[#This Row],[Horas Planificadas]]+Planning[[#This Row],[Horas ajustadas adicionales]]</f>
        <v>490</v>
      </c>
      <c r="X2815" s="142"/>
    </row>
    <row r="2816" spans="1:24" x14ac:dyDescent="0.2">
      <c r="A2816" s="7" t="s">
        <v>117</v>
      </c>
      <c r="B2816" s="7" t="s">
        <v>178</v>
      </c>
      <c r="C2816" s="3"/>
      <c r="D2816" s="3" t="s">
        <v>558</v>
      </c>
      <c r="E2816" s="4"/>
      <c r="F2816" s="3" t="s">
        <v>129</v>
      </c>
      <c r="G2816" s="9"/>
      <c r="H2816" s="9"/>
      <c r="I2816" s="12"/>
      <c r="J2816" s="5" t="e">
        <f>SUM(SUMIFS(#REF!,#REF!,Planning[[#This Row],[Tipo de Tarea y especialidad]],#REF!,Planning[[#This Row],[Proyectos Reiwa]]),SUMIFS(#REF!,#REF!,Planning[[#This Row],[Tipo de Tarea y especialidad]],#REF!,Planning[[#This Row],[Proyectos]]))</f>
        <v>#REF!</v>
      </c>
      <c r="K2816" s="5" t="e">
        <f>Planning[[#This Row],[Horas Planificadas]]+Planning[[#This Row],[Horas ajustadas adicionales]]-Planning[[#This Row],[Horas utilizadas]]</f>
        <v>#REF!</v>
      </c>
      <c r="L2816" s="7">
        <v>0</v>
      </c>
      <c r="M2816" s="19" t="e">
        <f>Planning[[#This Row],[Saldo]]-Planning[[#This Row],[Saldo estimado]]</f>
        <v>#REF!</v>
      </c>
      <c r="N2816" s="60" t="e">
        <f>+SUMIFS(#REF!,#REF!,Planning[[#This Row],[Proyectos]],#REF!,Planning[[#This Row],[Tipo de Tarea y especialidad]])</f>
        <v>#REF!</v>
      </c>
      <c r="O2816" s="19">
        <f t="shared" si="86"/>
        <v>10</v>
      </c>
      <c r="P2816" s="19">
        <f t="shared" si="87"/>
        <v>2024</v>
      </c>
      <c r="Q28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16" s="19" t="str">
        <f>TEXT(Planning[[#This Row],[Mes]]*29,"mmmm")</f>
        <v>October</v>
      </c>
      <c r="S28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16" s="193"/>
      <c r="U2816" s="43">
        <f>IF(Planning[[#This Row],[Horas Planificadas]]&lt;&gt;0,+K2816/Planning[[#This Row],[Horas Planificadas]],0)</f>
        <v>0</v>
      </c>
      <c r="V2816" s="43">
        <f>IF(Planning[[#This Row],[Horas Planificadas]]&lt;&gt;0,Planning[[#This Row],[Horas utilizadas]]/Planning[[#This Row],[Horas Planificadas]],0)</f>
        <v>0</v>
      </c>
      <c r="W2816" s="44">
        <f>Planning[[#This Row],[Horas Planificadas]]+Planning[[#This Row],[Horas ajustadas adicionales]]</f>
        <v>0</v>
      </c>
      <c r="X2816" s="142"/>
    </row>
    <row r="2817" spans="1:24" x14ac:dyDescent="0.2">
      <c r="A2817" s="7" t="s">
        <v>117</v>
      </c>
      <c r="B2817" s="7" t="s">
        <v>178</v>
      </c>
      <c r="C2817" s="3"/>
      <c r="D2817" s="3" t="s">
        <v>558</v>
      </c>
      <c r="E2817" s="4"/>
      <c r="F2817" s="3" t="s">
        <v>130</v>
      </c>
      <c r="G2817" s="9"/>
      <c r="H2817" s="9">
        <v>490</v>
      </c>
      <c r="I2817" s="12">
        <v>224</v>
      </c>
      <c r="J2817" s="5" t="e">
        <f>SUM(SUMIFS(#REF!,#REF!,Planning[[#This Row],[Tipo de Tarea y especialidad]],#REF!,Planning[[#This Row],[Proyectos Reiwa]]),SUMIFS(#REF!,#REF!,Planning[[#This Row],[Tipo de Tarea y especialidad]],#REF!,Planning[[#This Row],[Proyectos]]))</f>
        <v>#REF!</v>
      </c>
      <c r="K2817" s="5" t="e">
        <f>Planning[[#This Row],[Horas Planificadas]]+Planning[[#This Row],[Horas ajustadas adicionales]]-Planning[[#This Row],[Horas utilizadas]]</f>
        <v>#REF!</v>
      </c>
      <c r="L2817" s="7">
        <v>0</v>
      </c>
      <c r="M2817" s="19" t="e">
        <f>Planning[[#This Row],[Saldo]]-Planning[[#This Row],[Saldo estimado]]</f>
        <v>#REF!</v>
      </c>
      <c r="N2817" s="60" t="e">
        <f>+SUMIFS(#REF!,#REF!,Planning[[#This Row],[Proyectos]],#REF!,Planning[[#This Row],[Tipo de Tarea y especialidad]])</f>
        <v>#REF!</v>
      </c>
      <c r="O2817" s="19">
        <f t="shared" si="86"/>
        <v>10</v>
      </c>
      <c r="P2817" s="19">
        <f t="shared" si="87"/>
        <v>2024</v>
      </c>
      <c r="Q28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17" s="19" t="str">
        <f>TEXT(Planning[[#This Row],[Mes]]*29,"mmmm")</f>
        <v>October</v>
      </c>
      <c r="S28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17" s="193"/>
      <c r="U2817" s="43" t="e">
        <f>IF(Planning[[#This Row],[Horas Planificadas]]&lt;&gt;0,+K2817/Planning[[#This Row],[Horas Planificadas]],0)</f>
        <v>#REF!</v>
      </c>
      <c r="V2817" s="43" t="e">
        <f>IF(Planning[[#This Row],[Horas Planificadas]]&lt;&gt;0,Planning[[#This Row],[Horas utilizadas]]/Planning[[#This Row],[Horas Planificadas]],0)</f>
        <v>#REF!</v>
      </c>
      <c r="W2817" s="44">
        <f>Planning[[#This Row],[Horas Planificadas]]+Planning[[#This Row],[Horas ajustadas adicionales]]</f>
        <v>714</v>
      </c>
      <c r="X2817" s="142"/>
    </row>
    <row r="2818" spans="1:24" x14ac:dyDescent="0.2">
      <c r="A2818" s="7" t="s">
        <v>117</v>
      </c>
      <c r="B2818" s="7" t="s">
        <v>178</v>
      </c>
      <c r="C2818" s="3"/>
      <c r="D2818" s="3" t="s">
        <v>558</v>
      </c>
      <c r="E2818" s="4"/>
      <c r="F2818" s="3" t="s">
        <v>131</v>
      </c>
      <c r="G2818" s="9"/>
      <c r="H2818" s="9"/>
      <c r="I2818" s="12"/>
      <c r="J2818" s="5" t="e">
        <f>SUM(SUMIFS(#REF!,#REF!,Planning[[#This Row],[Tipo de Tarea y especialidad]],#REF!,Planning[[#This Row],[Proyectos Reiwa]]),SUMIFS(#REF!,#REF!,Planning[[#This Row],[Tipo de Tarea y especialidad]],#REF!,Planning[[#This Row],[Proyectos]]))</f>
        <v>#REF!</v>
      </c>
      <c r="K2818" s="5" t="e">
        <f>Planning[[#This Row],[Horas Planificadas]]+Planning[[#This Row],[Horas ajustadas adicionales]]-Planning[[#This Row],[Horas utilizadas]]</f>
        <v>#REF!</v>
      </c>
      <c r="L2818" s="7">
        <v>0</v>
      </c>
      <c r="M2818" s="19" t="e">
        <f>Planning[[#This Row],[Saldo]]-Planning[[#This Row],[Saldo estimado]]</f>
        <v>#REF!</v>
      </c>
      <c r="N2818" s="60" t="e">
        <f>+SUMIFS(#REF!,#REF!,Planning[[#This Row],[Proyectos]],#REF!,Planning[[#This Row],[Tipo de Tarea y especialidad]])</f>
        <v>#REF!</v>
      </c>
      <c r="O2818" s="19">
        <f t="shared" si="86"/>
        <v>10</v>
      </c>
      <c r="P2818" s="19">
        <f t="shared" si="87"/>
        <v>2024</v>
      </c>
      <c r="Q28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18" s="19" t="str">
        <f>TEXT(Planning[[#This Row],[Mes]]*29,"mmmm")</f>
        <v>October</v>
      </c>
      <c r="S28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18" s="193"/>
      <c r="U2818" s="43">
        <f>IF(Planning[[#This Row],[Horas Planificadas]]&lt;&gt;0,+K2818/Planning[[#This Row],[Horas Planificadas]],0)</f>
        <v>0</v>
      </c>
      <c r="V2818" s="43">
        <f>IF(Planning[[#This Row],[Horas Planificadas]]&lt;&gt;0,Planning[[#This Row],[Horas utilizadas]]/Planning[[#This Row],[Horas Planificadas]],0)</f>
        <v>0</v>
      </c>
      <c r="W2818" s="44">
        <f>Planning[[#This Row],[Horas Planificadas]]+Planning[[#This Row],[Horas ajustadas adicionales]]</f>
        <v>0</v>
      </c>
      <c r="X2818" s="142"/>
    </row>
    <row r="2819" spans="1:24" ht="22.5" x14ac:dyDescent="0.2">
      <c r="A2819" s="7" t="s">
        <v>435</v>
      </c>
      <c r="B2819" s="7" t="s">
        <v>205</v>
      </c>
      <c r="C2819" s="3"/>
      <c r="D2819" s="3" t="s">
        <v>560</v>
      </c>
      <c r="E2819" s="4" t="s">
        <v>28</v>
      </c>
      <c r="F2819" s="3"/>
      <c r="G2819" s="9">
        <v>248</v>
      </c>
      <c r="H2819" s="14">
        <f>SUM(H2820:H2821)</f>
        <v>278</v>
      </c>
      <c r="I2819" s="14"/>
      <c r="J2819" s="14" t="e">
        <f>SUM(J2820:J2821)</f>
        <v>#REF!</v>
      </c>
      <c r="K2819" s="15" t="e">
        <f>SUM(K2820:K2821)</f>
        <v>#REF!</v>
      </c>
      <c r="L2819" s="15">
        <f>SUM(L2820:L2821)</f>
        <v>0</v>
      </c>
      <c r="M2819" s="28" t="e">
        <f>SUM(M2820:M2821)</f>
        <v>#REF!</v>
      </c>
      <c r="N2819" s="61" t="e">
        <f>+SUMIFS(#REF!,#REF!,Planning[[#This Row],[Proyectos]],#REF!,Planning[[#This Row],[Tipo de Tarea y especialidad]])</f>
        <v>#REF!</v>
      </c>
      <c r="O2819" s="28">
        <f t="shared" si="86"/>
        <v>10</v>
      </c>
      <c r="P2819" s="28">
        <f t="shared" si="87"/>
        <v>2024</v>
      </c>
      <c r="Q2819" s="28" t="e">
        <f>SUM(Q2820:Q2821)</f>
        <v>#REF!</v>
      </c>
      <c r="R2819" s="28" t="str">
        <f>TEXT(Planning[[#This Row],[Mes]]*29,"mmmm")</f>
        <v>October</v>
      </c>
      <c r="S28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19" s="192" t="s">
        <v>561</v>
      </c>
      <c r="U2819" s="43" t="e">
        <f>IF(Planning[[#This Row],[Horas Planificadas]]&lt;&gt;0,+K2819/Planning[[#This Row],[Horas Planificadas]],0)</f>
        <v>#REF!</v>
      </c>
      <c r="V2819" s="43" t="e">
        <f>IF(Planning[[#This Row],[Horas Planificadas]]&lt;&gt;0,Planning[[#This Row],[Horas utilizadas]]/Planning[[#This Row],[Horas Planificadas]],0)</f>
        <v>#REF!</v>
      </c>
      <c r="W2819" s="44">
        <f>Planning[[#This Row],[Horas Planificadas]]+Planning[[#This Row],[Horas ajustadas adicionales]]</f>
        <v>278</v>
      </c>
      <c r="X2819" s="142"/>
    </row>
    <row r="2820" spans="1:24" x14ac:dyDescent="0.2">
      <c r="A2820" s="7" t="s">
        <v>435</v>
      </c>
      <c r="B2820" s="7" t="s">
        <v>205</v>
      </c>
      <c r="C2820" s="3"/>
      <c r="D2820" s="3" t="s">
        <v>560</v>
      </c>
      <c r="E2820" s="4"/>
      <c r="F2820" s="3" t="s">
        <v>120</v>
      </c>
      <c r="G2820" s="9"/>
      <c r="H2820" s="9">
        <v>170</v>
      </c>
      <c r="I2820" s="12"/>
      <c r="J2820" s="5" t="e">
        <f>SUM(SUMIFS(#REF!,#REF!,Planning[[#This Row],[Tipo de Tarea y especialidad]],#REF!,Planning[[#This Row],[Proyectos Reiwa]]),SUMIFS(#REF!,#REF!,Planning[[#This Row],[Tipo de Tarea y especialidad]],#REF!,Planning[[#This Row],[Proyectos]]))</f>
        <v>#REF!</v>
      </c>
      <c r="K2820" s="5" t="e">
        <f>Planning[[#This Row],[Horas Planificadas]]+Planning[[#This Row],[Horas ajustadas adicionales]]-Planning[[#This Row],[Horas utilizadas]]</f>
        <v>#REF!</v>
      </c>
      <c r="L2820" s="7">
        <v>0</v>
      </c>
      <c r="M2820" s="19" t="e">
        <f>Planning[[#This Row],[Saldo]]-Planning[[#This Row],[Saldo estimado]]</f>
        <v>#REF!</v>
      </c>
      <c r="N2820" s="60" t="e">
        <f>+SUMIFS(#REF!,#REF!,Planning[[#This Row],[Proyectos]],#REF!,Planning[[#This Row],[Tipo de Tarea y especialidad]])</f>
        <v>#REF!</v>
      </c>
      <c r="O2820" s="19">
        <f t="shared" si="86"/>
        <v>10</v>
      </c>
      <c r="P2820" s="19">
        <f t="shared" si="87"/>
        <v>2024</v>
      </c>
      <c r="Q28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20" s="19" t="str">
        <f>TEXT(Planning[[#This Row],[Mes]]*29,"mmmm")</f>
        <v>October</v>
      </c>
      <c r="S28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20" s="193"/>
      <c r="U2820" s="43" t="e">
        <f>IF(Planning[[#This Row],[Horas Planificadas]]&lt;&gt;0,+K2820/Planning[[#This Row],[Horas Planificadas]],0)</f>
        <v>#REF!</v>
      </c>
      <c r="V2820" s="43" t="e">
        <f>IF(Planning[[#This Row],[Horas Planificadas]]&lt;&gt;0,Planning[[#This Row],[Horas utilizadas]]/Planning[[#This Row],[Horas Planificadas]],0)</f>
        <v>#REF!</v>
      </c>
      <c r="W2820" s="44">
        <f>Planning[[#This Row],[Horas Planificadas]]+Planning[[#This Row],[Horas ajustadas adicionales]]</f>
        <v>170</v>
      </c>
      <c r="X2820" s="142"/>
    </row>
    <row r="2821" spans="1:24" x14ac:dyDescent="0.2">
      <c r="A2821" s="7" t="s">
        <v>435</v>
      </c>
      <c r="B2821" s="7" t="s">
        <v>205</v>
      </c>
      <c r="C2821" s="3"/>
      <c r="D2821" s="3" t="s">
        <v>560</v>
      </c>
      <c r="E2821" s="4"/>
      <c r="F2821" s="3" t="s">
        <v>121</v>
      </c>
      <c r="G2821" s="9"/>
      <c r="H2821" s="9">
        <v>108</v>
      </c>
      <c r="I2821" s="12"/>
      <c r="J2821" s="5" t="e">
        <f>SUM(SUMIFS(#REF!,#REF!,Planning[[#This Row],[Tipo de Tarea y especialidad]],#REF!,Planning[[#This Row],[Proyectos Reiwa]]),SUMIFS(#REF!,#REF!,Planning[[#This Row],[Tipo de Tarea y especialidad]],#REF!,Planning[[#This Row],[Proyectos]]))</f>
        <v>#REF!</v>
      </c>
      <c r="K2821" s="5" t="e">
        <f>Planning[[#This Row],[Horas Planificadas]]+Planning[[#This Row],[Horas ajustadas adicionales]]-Planning[[#This Row],[Horas utilizadas]]</f>
        <v>#REF!</v>
      </c>
      <c r="L2821" s="7">
        <v>0</v>
      </c>
      <c r="M2821" s="19" t="e">
        <f>Planning[[#This Row],[Saldo]]-Planning[[#This Row],[Saldo estimado]]</f>
        <v>#REF!</v>
      </c>
      <c r="N2821" s="60" t="e">
        <f>+SUMIFS(#REF!,#REF!,Planning[[#This Row],[Proyectos]],#REF!,Planning[[#This Row],[Tipo de Tarea y especialidad]])</f>
        <v>#REF!</v>
      </c>
      <c r="O2821" s="19">
        <f t="shared" si="86"/>
        <v>10</v>
      </c>
      <c r="P2821" s="19">
        <f t="shared" si="87"/>
        <v>2024</v>
      </c>
      <c r="Q28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21" s="19" t="str">
        <f>TEXT(Planning[[#This Row],[Mes]]*29,"mmmm")</f>
        <v>October</v>
      </c>
      <c r="S28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21" s="193"/>
      <c r="U2821" s="43" t="e">
        <f>IF(Planning[[#This Row],[Horas Planificadas]]&lt;&gt;0,+K2821/Planning[[#This Row],[Horas Planificadas]],0)</f>
        <v>#REF!</v>
      </c>
      <c r="V2821" s="43" t="e">
        <f>IF(Planning[[#This Row],[Horas Planificadas]]&lt;&gt;0,Planning[[#This Row],[Horas utilizadas]]/Planning[[#This Row],[Horas Planificadas]],0)</f>
        <v>#REF!</v>
      </c>
      <c r="W2821" s="44">
        <f>Planning[[#This Row],[Horas Planificadas]]+Planning[[#This Row],[Horas ajustadas adicionales]]</f>
        <v>108</v>
      </c>
      <c r="X2821" s="142"/>
    </row>
    <row r="2822" spans="1:24" x14ac:dyDescent="0.2">
      <c r="A2822" s="7" t="s">
        <v>435</v>
      </c>
      <c r="B2822" s="7" t="s">
        <v>205</v>
      </c>
      <c r="C2822" s="3"/>
      <c r="D2822" s="3" t="s">
        <v>560</v>
      </c>
      <c r="E2822" s="4" t="s">
        <v>30</v>
      </c>
      <c r="F2822" s="3"/>
      <c r="G2822" s="9">
        <v>459</v>
      </c>
      <c r="H2822" s="25">
        <f>SUM(H2823:H2829)</f>
        <v>459</v>
      </c>
      <c r="I2822" s="14"/>
      <c r="J2822" s="14" t="e">
        <f>SUM(J2823:J2829)</f>
        <v>#REF!</v>
      </c>
      <c r="K2822" s="18" t="e">
        <f>SUM(K2823:K2829)</f>
        <v>#REF!</v>
      </c>
      <c r="L2822" s="15">
        <f>SUM(L2823:L2829)</f>
        <v>0</v>
      </c>
      <c r="M2822" s="16" t="e">
        <f>SUM(M2823:M2829)</f>
        <v>#REF!</v>
      </c>
      <c r="N2822" s="60" t="e">
        <f>+SUMIFS(#REF!,#REF!,Planning[[#This Row],[Proyectos]],#REF!,Planning[[#This Row],[Tipo de Tarea y especialidad]])</f>
        <v>#REF!</v>
      </c>
      <c r="O2822" s="16">
        <f t="shared" si="86"/>
        <v>10</v>
      </c>
      <c r="P2822" s="16">
        <f t="shared" si="87"/>
        <v>2024</v>
      </c>
      <c r="Q2822" s="16" t="e">
        <f>SUM(Q2823:Q2829)</f>
        <v>#REF!</v>
      </c>
      <c r="R2822" s="16" t="str">
        <f>TEXT(Planning[[#This Row],[Mes]]*29,"mmmm")</f>
        <v>October</v>
      </c>
      <c r="S28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22" s="193"/>
      <c r="U2822" s="43" t="e">
        <f>IF(Planning[[#This Row],[Horas Planificadas]]&lt;&gt;0,+K2822/Planning[[#This Row],[Horas Planificadas]],0)</f>
        <v>#REF!</v>
      </c>
      <c r="V2822" s="43" t="e">
        <f>IF(Planning[[#This Row],[Horas Planificadas]]&lt;&gt;0,Planning[[#This Row],[Horas utilizadas]]/Planning[[#This Row],[Horas Planificadas]],0)</f>
        <v>#REF!</v>
      </c>
      <c r="W2822" s="44">
        <f>Planning[[#This Row],[Horas Planificadas]]+Planning[[#This Row],[Horas ajustadas adicionales]]</f>
        <v>459</v>
      </c>
      <c r="X2822" s="142"/>
    </row>
    <row r="2823" spans="1:24" x14ac:dyDescent="0.2">
      <c r="A2823" s="7" t="s">
        <v>435</v>
      </c>
      <c r="B2823" s="7" t="s">
        <v>205</v>
      </c>
      <c r="C2823" s="3"/>
      <c r="D2823" s="3" t="s">
        <v>560</v>
      </c>
      <c r="E2823" s="4"/>
      <c r="F2823" s="3" t="s">
        <v>122</v>
      </c>
      <c r="G2823" s="9"/>
      <c r="H2823" s="12"/>
      <c r="I2823" s="12"/>
      <c r="J2823" s="5" t="e">
        <f>SUM(SUMIFS(#REF!,#REF!,Planning[[#This Row],[Tipo de Tarea y especialidad]],#REF!,Planning[[#This Row],[Proyectos Reiwa]]),SUMIFS(#REF!,#REF!,Planning[[#This Row],[Tipo de Tarea y especialidad]],#REF!,Planning[[#This Row],[Proyectos]]))</f>
        <v>#REF!</v>
      </c>
      <c r="K2823" s="27" t="e">
        <f>Planning[[#This Row],[Horas Planificadas]]+Planning[[#This Row],[Horas ajustadas adicionales]]-Planning[[#This Row],[Horas utilizadas]]</f>
        <v>#REF!</v>
      </c>
      <c r="L2823" s="7"/>
      <c r="M2823" s="34" t="e">
        <f>Planning[[#This Row],[Saldo]]-Planning[[#This Row],[Saldo estimado]]</f>
        <v>#REF!</v>
      </c>
      <c r="N2823" s="62" t="e">
        <f>+SUMIFS(#REF!,#REF!,Planning[[#This Row],[Proyectos]],#REF!,Planning[[#This Row],[Tipo de Tarea y especialidad]])</f>
        <v>#REF!</v>
      </c>
      <c r="O2823" s="34">
        <f t="shared" ref="O2823:O2886" si="88">$L$4</f>
        <v>10</v>
      </c>
      <c r="P2823" s="34">
        <f t="shared" ref="P2823:P2886" si="89">$M$4</f>
        <v>2024</v>
      </c>
      <c r="Q28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23" s="19" t="str">
        <f>TEXT(Planning[[#This Row],[Mes]]*29,"mmmm")</f>
        <v>October</v>
      </c>
      <c r="S28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23" s="193"/>
      <c r="U2823" s="43">
        <f>IF(Planning[[#This Row],[Horas Planificadas]]&lt;&gt;0,+K2823/Planning[[#This Row],[Horas Planificadas]],0)</f>
        <v>0</v>
      </c>
      <c r="V2823" s="43">
        <f>IF(Planning[[#This Row],[Horas Planificadas]]&lt;&gt;0,Planning[[#This Row],[Horas utilizadas]]/Planning[[#This Row],[Horas Planificadas]],0)</f>
        <v>0</v>
      </c>
      <c r="W2823" s="44">
        <f>Planning[[#This Row],[Horas Planificadas]]+Planning[[#This Row],[Horas ajustadas adicionales]]</f>
        <v>0</v>
      </c>
      <c r="X2823" s="142"/>
    </row>
    <row r="2824" spans="1:24" x14ac:dyDescent="0.2">
      <c r="A2824" s="7" t="s">
        <v>435</v>
      </c>
      <c r="B2824" s="7" t="s">
        <v>205</v>
      </c>
      <c r="C2824" s="3"/>
      <c r="D2824" s="3" t="s">
        <v>560</v>
      </c>
      <c r="E2824" s="4"/>
      <c r="F2824" s="3" t="s">
        <v>123</v>
      </c>
      <c r="G2824" s="9"/>
      <c r="H2824" s="9">
        <v>279</v>
      </c>
      <c r="I2824" s="12"/>
      <c r="J2824" s="5" t="e">
        <f>SUM(SUMIFS(#REF!,#REF!,Planning[[#This Row],[Tipo de Tarea y especialidad]],#REF!,Planning[[#This Row],[Proyectos Reiwa]]),SUMIFS(#REF!,#REF!,Planning[[#This Row],[Tipo de Tarea y especialidad]],#REF!,Planning[[#This Row],[Proyectos]]))</f>
        <v>#REF!</v>
      </c>
      <c r="K2824" s="5" t="e">
        <f>Planning[[#This Row],[Horas Planificadas]]+Planning[[#This Row],[Horas ajustadas adicionales]]-Planning[[#This Row],[Horas utilizadas]]</f>
        <v>#REF!</v>
      </c>
      <c r="L2824" s="7">
        <v>0</v>
      </c>
      <c r="M2824" s="19" t="e">
        <f>Planning[[#This Row],[Saldo]]-Planning[[#This Row],[Saldo estimado]]</f>
        <v>#REF!</v>
      </c>
      <c r="N2824" s="60" t="e">
        <f>+SUMIFS(#REF!,#REF!,Planning[[#This Row],[Proyectos]],#REF!,Planning[[#This Row],[Tipo de Tarea y especialidad]])</f>
        <v>#REF!</v>
      </c>
      <c r="O2824" s="19">
        <f t="shared" si="88"/>
        <v>10</v>
      </c>
      <c r="P2824" s="19">
        <f t="shared" si="89"/>
        <v>2024</v>
      </c>
      <c r="Q28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24" s="19" t="str">
        <f>TEXT(Planning[[#This Row],[Mes]]*29,"mmmm")</f>
        <v>October</v>
      </c>
      <c r="S28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24" s="193"/>
      <c r="U2824" s="43" t="e">
        <f>IF(Planning[[#This Row],[Horas Planificadas]]&lt;&gt;0,+K2824/Planning[[#This Row],[Horas Planificadas]],0)</f>
        <v>#REF!</v>
      </c>
      <c r="V2824" s="43" t="e">
        <f>IF(Planning[[#This Row],[Horas Planificadas]]&lt;&gt;0,Planning[[#This Row],[Horas utilizadas]]/Planning[[#This Row],[Horas Planificadas]],0)</f>
        <v>#REF!</v>
      </c>
      <c r="W2824" s="44">
        <f>Planning[[#This Row],[Horas Planificadas]]+Planning[[#This Row],[Horas ajustadas adicionales]]</f>
        <v>279</v>
      </c>
      <c r="X2824" s="142"/>
    </row>
    <row r="2825" spans="1:24" x14ac:dyDescent="0.2">
      <c r="A2825" s="7" t="s">
        <v>435</v>
      </c>
      <c r="B2825" s="7" t="s">
        <v>205</v>
      </c>
      <c r="C2825" s="3"/>
      <c r="D2825" s="3" t="s">
        <v>560</v>
      </c>
      <c r="E2825" s="4"/>
      <c r="F2825" s="3" t="s">
        <v>124</v>
      </c>
      <c r="G2825" s="9"/>
      <c r="H2825" s="9"/>
      <c r="I2825" s="12"/>
      <c r="J2825" s="5" t="e">
        <f>SUM(SUMIFS(#REF!,#REF!,Planning[[#This Row],[Tipo de Tarea y especialidad]],#REF!,Planning[[#This Row],[Proyectos Reiwa]]),SUMIFS(#REF!,#REF!,Planning[[#This Row],[Tipo de Tarea y especialidad]],#REF!,Planning[[#This Row],[Proyectos]]))</f>
        <v>#REF!</v>
      </c>
      <c r="K2825" s="5" t="e">
        <f>Planning[[#This Row],[Horas Planificadas]]+Planning[[#This Row],[Horas ajustadas adicionales]]-Planning[[#This Row],[Horas utilizadas]]</f>
        <v>#REF!</v>
      </c>
      <c r="L2825" s="7"/>
      <c r="M2825" s="19" t="e">
        <f>Planning[[#This Row],[Saldo]]-Planning[[#This Row],[Saldo estimado]]</f>
        <v>#REF!</v>
      </c>
      <c r="N2825" s="60" t="e">
        <f>+SUMIFS(#REF!,#REF!,Planning[[#This Row],[Proyectos]],#REF!,Planning[[#This Row],[Tipo de Tarea y especialidad]])</f>
        <v>#REF!</v>
      </c>
      <c r="O2825" s="19">
        <f t="shared" si="88"/>
        <v>10</v>
      </c>
      <c r="P2825" s="19">
        <f t="shared" si="89"/>
        <v>2024</v>
      </c>
      <c r="Q28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25" s="19" t="str">
        <f>TEXT(Planning[[#This Row],[Mes]]*29,"mmmm")</f>
        <v>October</v>
      </c>
      <c r="S28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25" s="193"/>
      <c r="U2825" s="43">
        <f>IF(Planning[[#This Row],[Horas Planificadas]]&lt;&gt;0,+K2825/Planning[[#This Row],[Horas Planificadas]],0)</f>
        <v>0</v>
      </c>
      <c r="V2825" s="43">
        <f>IF(Planning[[#This Row],[Horas Planificadas]]&lt;&gt;0,Planning[[#This Row],[Horas utilizadas]]/Planning[[#This Row],[Horas Planificadas]],0)</f>
        <v>0</v>
      </c>
      <c r="W2825" s="44">
        <f>Planning[[#This Row],[Horas Planificadas]]+Planning[[#This Row],[Horas ajustadas adicionales]]</f>
        <v>0</v>
      </c>
      <c r="X2825" s="142"/>
    </row>
    <row r="2826" spans="1:24" x14ac:dyDescent="0.2">
      <c r="A2826" s="7" t="s">
        <v>435</v>
      </c>
      <c r="B2826" s="7" t="s">
        <v>205</v>
      </c>
      <c r="C2826" s="3"/>
      <c r="D2826" s="3" t="s">
        <v>560</v>
      </c>
      <c r="E2826" s="4"/>
      <c r="F2826" s="3" t="s">
        <v>125</v>
      </c>
      <c r="G2826" s="9"/>
      <c r="H2826" s="12">
        <v>108</v>
      </c>
      <c r="I2826" s="12"/>
      <c r="J2826" s="5" t="e">
        <f>SUM(SUMIFS(#REF!,#REF!,Planning[[#This Row],[Tipo de Tarea y especialidad]],#REF!,Planning[[#This Row],[Proyectos Reiwa]]),SUMIFS(#REF!,#REF!,Planning[[#This Row],[Tipo de Tarea y especialidad]],#REF!,Planning[[#This Row],[Proyectos]]))</f>
        <v>#REF!</v>
      </c>
      <c r="K2826" s="27" t="e">
        <f>Planning[[#This Row],[Horas Planificadas]]+Planning[[#This Row],[Horas ajustadas adicionales]]-Planning[[#This Row],[Horas utilizadas]]</f>
        <v>#REF!</v>
      </c>
      <c r="L2826" s="7">
        <v>0</v>
      </c>
      <c r="M2826" s="19" t="e">
        <f>Planning[[#This Row],[Saldo]]-Planning[[#This Row],[Saldo estimado]]</f>
        <v>#REF!</v>
      </c>
      <c r="N2826" s="60" t="e">
        <f>+SUMIFS(#REF!,#REF!,Planning[[#This Row],[Proyectos]],#REF!,Planning[[#This Row],[Tipo de Tarea y especialidad]])</f>
        <v>#REF!</v>
      </c>
      <c r="O2826" s="19">
        <f t="shared" si="88"/>
        <v>10</v>
      </c>
      <c r="P2826" s="19">
        <f t="shared" si="89"/>
        <v>2024</v>
      </c>
      <c r="Q28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26" s="19" t="str">
        <f>TEXT(Planning[[#This Row],[Mes]]*29,"mmmm")</f>
        <v>October</v>
      </c>
      <c r="S28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26" s="193"/>
      <c r="U2826" s="43" t="e">
        <f>IF(Planning[[#This Row],[Horas Planificadas]]&lt;&gt;0,+K2826/Planning[[#This Row],[Horas Planificadas]],0)</f>
        <v>#REF!</v>
      </c>
      <c r="V2826" s="43" t="e">
        <f>IF(Planning[[#This Row],[Horas Planificadas]]&lt;&gt;0,Planning[[#This Row],[Horas utilizadas]]/Planning[[#This Row],[Horas Planificadas]],0)</f>
        <v>#REF!</v>
      </c>
      <c r="W2826" s="44">
        <f>Planning[[#This Row],[Horas Planificadas]]+Planning[[#This Row],[Horas ajustadas adicionales]]</f>
        <v>108</v>
      </c>
      <c r="X2826" s="142"/>
    </row>
    <row r="2827" spans="1:24" x14ac:dyDescent="0.2">
      <c r="A2827" s="7" t="s">
        <v>435</v>
      </c>
      <c r="B2827" s="7" t="s">
        <v>205</v>
      </c>
      <c r="C2827" s="3"/>
      <c r="D2827" s="3" t="s">
        <v>560</v>
      </c>
      <c r="E2827" s="4"/>
      <c r="F2827" s="3" t="s">
        <v>126</v>
      </c>
      <c r="G2827" s="9"/>
      <c r="H2827" s="9"/>
      <c r="I2827" s="12"/>
      <c r="J2827" s="5" t="e">
        <f>SUM(SUMIFS(#REF!,#REF!,Planning[[#This Row],[Tipo de Tarea y especialidad]],#REF!,Planning[[#This Row],[Proyectos Reiwa]]),SUMIFS(#REF!,#REF!,Planning[[#This Row],[Tipo de Tarea y especialidad]],#REF!,Planning[[#This Row],[Proyectos]]))</f>
        <v>#REF!</v>
      </c>
      <c r="K2827" s="5" t="e">
        <f>Planning[[#This Row],[Horas Planificadas]]+Planning[[#This Row],[Horas ajustadas adicionales]]-Planning[[#This Row],[Horas utilizadas]]</f>
        <v>#REF!</v>
      </c>
      <c r="L2827" s="7"/>
      <c r="M2827" s="19" t="e">
        <f>Planning[[#This Row],[Saldo]]-Planning[[#This Row],[Saldo estimado]]</f>
        <v>#REF!</v>
      </c>
      <c r="N2827" s="60" t="e">
        <f>+SUMIFS(#REF!,#REF!,Planning[[#This Row],[Proyectos]],#REF!,Planning[[#This Row],[Tipo de Tarea y especialidad]])</f>
        <v>#REF!</v>
      </c>
      <c r="O2827" s="19">
        <f t="shared" si="88"/>
        <v>10</v>
      </c>
      <c r="P2827" s="19">
        <f t="shared" si="89"/>
        <v>2024</v>
      </c>
      <c r="Q28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27" s="19" t="str">
        <f>TEXT(Planning[[#This Row],[Mes]]*29,"mmmm")</f>
        <v>October</v>
      </c>
      <c r="S28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27" s="193"/>
      <c r="U2827" s="43">
        <f>IF(Planning[[#This Row],[Horas Planificadas]]&lt;&gt;0,+K2827/Planning[[#This Row],[Horas Planificadas]],0)</f>
        <v>0</v>
      </c>
      <c r="V2827" s="43">
        <f>IF(Planning[[#This Row],[Horas Planificadas]]&lt;&gt;0,Planning[[#This Row],[Horas utilizadas]]/Planning[[#This Row],[Horas Planificadas]],0)</f>
        <v>0</v>
      </c>
      <c r="W2827" s="44">
        <f>Planning[[#This Row],[Horas Planificadas]]+Planning[[#This Row],[Horas ajustadas adicionales]]</f>
        <v>0</v>
      </c>
      <c r="X2827" s="142"/>
    </row>
    <row r="2828" spans="1:24" x14ac:dyDescent="0.2">
      <c r="A2828" s="7" t="s">
        <v>435</v>
      </c>
      <c r="B2828" s="7" t="s">
        <v>205</v>
      </c>
      <c r="C2828" s="3"/>
      <c r="D2828" s="3" t="s">
        <v>560</v>
      </c>
      <c r="E2828" s="4"/>
      <c r="F2828" s="3" t="s">
        <v>127</v>
      </c>
      <c r="G2828" s="9"/>
      <c r="H2828" s="9">
        <v>72</v>
      </c>
      <c r="I2828" s="12"/>
      <c r="J2828" s="5" t="e">
        <f>SUM(SUMIFS(#REF!,#REF!,Planning[[#This Row],[Tipo de Tarea y especialidad]],#REF!,Planning[[#This Row],[Proyectos Reiwa]]),SUMIFS(#REF!,#REF!,Planning[[#This Row],[Tipo de Tarea y especialidad]],#REF!,Planning[[#This Row],[Proyectos]]))</f>
        <v>#REF!</v>
      </c>
      <c r="K2828" s="5" t="e">
        <f>Planning[[#This Row],[Horas Planificadas]]+Planning[[#This Row],[Horas ajustadas adicionales]]-Planning[[#This Row],[Horas utilizadas]]</f>
        <v>#REF!</v>
      </c>
      <c r="L2828" s="7">
        <v>0</v>
      </c>
      <c r="M2828" s="19" t="e">
        <f>Planning[[#This Row],[Saldo]]-Planning[[#This Row],[Saldo estimado]]</f>
        <v>#REF!</v>
      </c>
      <c r="N2828" s="60" t="e">
        <f>+SUMIFS(#REF!,#REF!,Planning[[#This Row],[Proyectos]],#REF!,Planning[[#This Row],[Tipo de Tarea y especialidad]])</f>
        <v>#REF!</v>
      </c>
      <c r="O2828" s="19">
        <f t="shared" si="88"/>
        <v>10</v>
      </c>
      <c r="P2828" s="19">
        <f t="shared" si="89"/>
        <v>2024</v>
      </c>
      <c r="Q28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28" s="19" t="str">
        <f>TEXT(Planning[[#This Row],[Mes]]*29,"mmmm")</f>
        <v>October</v>
      </c>
      <c r="S28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28" s="193"/>
      <c r="U2828" s="43" t="e">
        <f>IF(Planning[[#This Row],[Horas Planificadas]]&lt;&gt;0,+K2828/Planning[[#This Row],[Horas Planificadas]],0)</f>
        <v>#REF!</v>
      </c>
      <c r="V2828" s="43" t="e">
        <f>IF(Planning[[#This Row],[Horas Planificadas]]&lt;&gt;0,Planning[[#This Row],[Horas utilizadas]]/Planning[[#This Row],[Horas Planificadas]],0)</f>
        <v>#REF!</v>
      </c>
      <c r="W2828" s="44">
        <f>Planning[[#This Row],[Horas Planificadas]]+Planning[[#This Row],[Horas ajustadas adicionales]]</f>
        <v>72</v>
      </c>
      <c r="X2828" s="142"/>
    </row>
    <row r="2829" spans="1:24" x14ac:dyDescent="0.2">
      <c r="A2829" s="7" t="s">
        <v>435</v>
      </c>
      <c r="B2829" s="7" t="s">
        <v>205</v>
      </c>
      <c r="C2829" s="3"/>
      <c r="D2829" s="3" t="s">
        <v>560</v>
      </c>
      <c r="E2829" s="4"/>
      <c r="F2829" s="3" t="s">
        <v>128</v>
      </c>
      <c r="G2829" s="9"/>
      <c r="H2829" s="9"/>
      <c r="I2829" s="12"/>
      <c r="J2829" s="5" t="e">
        <f>SUM(SUMIFS(#REF!,#REF!,Planning[[#This Row],[Tipo de Tarea y especialidad]],#REF!,Planning[[#This Row],[Proyectos Reiwa]]),SUMIFS(#REF!,#REF!,Planning[[#This Row],[Tipo de Tarea y especialidad]],#REF!,Planning[[#This Row],[Proyectos]]))</f>
        <v>#REF!</v>
      </c>
      <c r="K2829" s="5" t="e">
        <f>Planning[[#This Row],[Horas Planificadas]]+Planning[[#This Row],[Horas ajustadas adicionales]]-Planning[[#This Row],[Horas utilizadas]]</f>
        <v>#REF!</v>
      </c>
      <c r="L2829" s="7"/>
      <c r="M2829" s="19" t="e">
        <f>Planning[[#This Row],[Saldo]]-Planning[[#This Row],[Saldo estimado]]</f>
        <v>#REF!</v>
      </c>
      <c r="N2829" s="60" t="e">
        <f>+SUMIFS(#REF!,#REF!,Planning[[#This Row],[Proyectos]],#REF!,Planning[[#This Row],[Tipo de Tarea y especialidad]])</f>
        <v>#REF!</v>
      </c>
      <c r="O2829" s="19">
        <f t="shared" si="88"/>
        <v>10</v>
      </c>
      <c r="P2829" s="19">
        <f t="shared" si="89"/>
        <v>2024</v>
      </c>
      <c r="Q28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29" s="19" t="str">
        <f>TEXT(Planning[[#This Row],[Mes]]*29,"mmmm")</f>
        <v>October</v>
      </c>
      <c r="S28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29" s="193"/>
      <c r="U2829" s="43">
        <f>IF(Planning[[#This Row],[Horas Planificadas]]&lt;&gt;0,+K2829/Planning[[#This Row],[Horas Planificadas]],0)</f>
        <v>0</v>
      </c>
      <c r="V2829" s="43">
        <f>IF(Planning[[#This Row],[Horas Planificadas]]&lt;&gt;0,Planning[[#This Row],[Horas utilizadas]]/Planning[[#This Row],[Horas Planificadas]],0)</f>
        <v>0</v>
      </c>
      <c r="W2829" s="44">
        <f>Planning[[#This Row],[Horas Planificadas]]+Planning[[#This Row],[Horas ajustadas adicionales]]</f>
        <v>0</v>
      </c>
      <c r="X2829" s="142"/>
    </row>
    <row r="2830" spans="1:24" x14ac:dyDescent="0.2">
      <c r="A2830" s="7" t="s">
        <v>435</v>
      </c>
      <c r="B2830" s="7" t="s">
        <v>205</v>
      </c>
      <c r="C2830" s="3"/>
      <c r="D2830" s="3" t="s">
        <v>560</v>
      </c>
      <c r="E2830" s="4" t="s">
        <v>31</v>
      </c>
      <c r="F2830" s="3" t="s">
        <v>31</v>
      </c>
      <c r="G2830" s="9">
        <v>126</v>
      </c>
      <c r="H2830" s="17">
        <v>126</v>
      </c>
      <c r="I2830" s="18"/>
      <c r="J2830" s="14" t="e">
        <f>+SUMIFS(#REF!,#REF!,Planning[[#This Row],[Tarifa]],#REF!,Planning[[#This Row],[Proyectos]])</f>
        <v>#REF!</v>
      </c>
      <c r="K2830" s="14" t="e">
        <f>Planning[[#This Row],[Horas Planificadas]]+Planning[[#This Row],[Horas ajustadas adicionales]]-Planning[[#This Row],[Horas utilizadas]]</f>
        <v>#REF!</v>
      </c>
      <c r="L2830" s="15" t="e">
        <f>Planning[[#This Row],[Saldo]]</f>
        <v>#REF!</v>
      </c>
      <c r="M2830" s="16" t="e">
        <f>Planning[[#This Row],[Saldo]]-Planning[[#This Row],[Saldo estimado]]</f>
        <v>#REF!</v>
      </c>
      <c r="N2830" s="60" t="e">
        <f>+SUMIFS(#REF!,#REF!,Planning[[#This Row],[Proyectos]],#REF!,Planning[[#This Row],[Tipo de Tarea y especialidad]])</f>
        <v>#REF!</v>
      </c>
      <c r="O2830" s="16">
        <f t="shared" si="88"/>
        <v>10</v>
      </c>
      <c r="P2830" s="16">
        <f t="shared" si="89"/>
        <v>2024</v>
      </c>
      <c r="Q2830" s="16" t="e">
        <f>+SUMIFS(#REF!,#REF!,Planning[[#This Row],[Tarifa]],#REF!,Planning[[#This Row],[Proyectos]],#REF!,Planning[[#This Row],[Mes]],#REF!,Planning[[#This Row],[Año]])</f>
        <v>#REF!</v>
      </c>
      <c r="R2830" s="16" t="str">
        <f>TEXT(Planning[[#This Row],[Mes]]*29,"mmmm")</f>
        <v>October</v>
      </c>
      <c r="S28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30" s="193"/>
      <c r="U2830" s="43" t="e">
        <f>IF(Planning[[#This Row],[Horas Planificadas]]&lt;&gt;0,+K2830/Planning[[#This Row],[Horas Planificadas]],0)</f>
        <v>#REF!</v>
      </c>
      <c r="V2830" s="43" t="e">
        <f>IF(Planning[[#This Row],[Horas Planificadas]]&lt;&gt;0,Planning[[#This Row],[Horas utilizadas]]/Planning[[#This Row],[Horas Planificadas]],0)</f>
        <v>#REF!</v>
      </c>
      <c r="W2830" s="44">
        <f>Planning[[#This Row],[Horas Planificadas]]+Planning[[#This Row],[Horas ajustadas adicionales]]</f>
        <v>126</v>
      </c>
      <c r="X2830" s="142"/>
    </row>
    <row r="2831" spans="1:24" ht="22.5" x14ac:dyDescent="0.2">
      <c r="A2831" s="7" t="s">
        <v>435</v>
      </c>
      <c r="B2831" s="7" t="s">
        <v>205</v>
      </c>
      <c r="C2831" s="3"/>
      <c r="D2831" s="3" t="s">
        <v>560</v>
      </c>
      <c r="E2831" s="4" t="s">
        <v>32</v>
      </c>
      <c r="F2831" s="3"/>
      <c r="G2831" s="9">
        <v>120</v>
      </c>
      <c r="H2831" s="25">
        <f>SUM(H2832:H2834)</f>
        <v>120</v>
      </c>
      <c r="I2831" s="14"/>
      <c r="J2831" s="14" t="e">
        <f>SUM(J2832:J2834)</f>
        <v>#REF!</v>
      </c>
      <c r="K2831" s="18" t="e">
        <f>SUM(K2832:K2834)</f>
        <v>#REF!</v>
      </c>
      <c r="L2831" s="15">
        <f>SUM(L2832:L2834)</f>
        <v>0</v>
      </c>
      <c r="M2831" s="16" t="e">
        <f>SUM(M2832:M2834)</f>
        <v>#REF!</v>
      </c>
      <c r="N2831" s="60" t="e">
        <f>+SUMIFS(#REF!,#REF!,Planning[[#This Row],[Proyectos]],#REF!,Planning[[#This Row],[Tipo de Tarea y especialidad]])</f>
        <v>#REF!</v>
      </c>
      <c r="O2831" s="16">
        <f t="shared" si="88"/>
        <v>10</v>
      </c>
      <c r="P2831" s="16">
        <f t="shared" si="89"/>
        <v>2024</v>
      </c>
      <c r="Q2831" s="16" t="e">
        <f>SUM(Q2832:Q2834)</f>
        <v>#REF!</v>
      </c>
      <c r="R2831" s="16" t="str">
        <f>TEXT(Planning[[#This Row],[Mes]]*29,"mmmm")</f>
        <v>October</v>
      </c>
      <c r="S28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31" s="193"/>
      <c r="U2831" s="43" t="e">
        <f>IF(Planning[[#This Row],[Horas Planificadas]]&lt;&gt;0,+K2831/Planning[[#This Row],[Horas Planificadas]],0)</f>
        <v>#REF!</v>
      </c>
      <c r="V2831" s="43" t="e">
        <f>IF(Planning[[#This Row],[Horas Planificadas]]&lt;&gt;0,Planning[[#This Row],[Horas utilizadas]]/Planning[[#This Row],[Horas Planificadas]],0)</f>
        <v>#REF!</v>
      </c>
      <c r="W2831" s="44">
        <f>Planning[[#This Row],[Horas Planificadas]]+Planning[[#This Row],[Horas ajustadas adicionales]]</f>
        <v>120</v>
      </c>
      <c r="X2831" s="142"/>
    </row>
    <row r="2832" spans="1:24" x14ac:dyDescent="0.2">
      <c r="A2832" s="7" t="s">
        <v>435</v>
      </c>
      <c r="B2832" s="7" t="s">
        <v>205</v>
      </c>
      <c r="C2832" s="3"/>
      <c r="D2832" s="3" t="s">
        <v>560</v>
      </c>
      <c r="E2832" s="4"/>
      <c r="F2832" s="3" t="s">
        <v>129</v>
      </c>
      <c r="G2832" s="9"/>
      <c r="H2832" s="9"/>
      <c r="I2832" s="12"/>
      <c r="J2832" s="5" t="e">
        <f>SUM(SUMIFS(#REF!,#REF!,Planning[[#This Row],[Tipo de Tarea y especialidad]],#REF!,Planning[[#This Row],[Proyectos Reiwa]]),SUMIFS(#REF!,#REF!,Planning[[#This Row],[Tipo de Tarea y especialidad]],#REF!,Planning[[#This Row],[Proyectos]]))</f>
        <v>#REF!</v>
      </c>
      <c r="K2832" s="5" t="e">
        <f>Planning[[#This Row],[Horas Planificadas]]+Planning[[#This Row],[Horas ajustadas adicionales]]-Planning[[#This Row],[Horas utilizadas]]</f>
        <v>#REF!</v>
      </c>
      <c r="L2832" s="7"/>
      <c r="M2832" s="19" t="e">
        <f>Planning[[#This Row],[Saldo]]-Planning[[#This Row],[Saldo estimado]]</f>
        <v>#REF!</v>
      </c>
      <c r="N2832" s="60" t="e">
        <f>+SUMIFS(#REF!,#REF!,Planning[[#This Row],[Proyectos]],#REF!,Planning[[#This Row],[Tipo de Tarea y especialidad]])</f>
        <v>#REF!</v>
      </c>
      <c r="O2832" s="19">
        <f t="shared" si="88"/>
        <v>10</v>
      </c>
      <c r="P2832" s="19">
        <f t="shared" si="89"/>
        <v>2024</v>
      </c>
      <c r="Q28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32" s="19" t="str">
        <f>TEXT(Planning[[#This Row],[Mes]]*29,"mmmm")</f>
        <v>October</v>
      </c>
      <c r="S28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32" s="193"/>
      <c r="U2832" s="43">
        <f>IF(Planning[[#This Row],[Horas Planificadas]]&lt;&gt;0,+K2832/Planning[[#This Row],[Horas Planificadas]],0)</f>
        <v>0</v>
      </c>
      <c r="V2832" s="43">
        <f>IF(Planning[[#This Row],[Horas Planificadas]]&lt;&gt;0,Planning[[#This Row],[Horas utilizadas]]/Planning[[#This Row],[Horas Planificadas]],0)</f>
        <v>0</v>
      </c>
      <c r="W2832" s="44">
        <f>Planning[[#This Row],[Horas Planificadas]]+Planning[[#This Row],[Horas ajustadas adicionales]]</f>
        <v>0</v>
      </c>
      <c r="X2832" s="142"/>
    </row>
    <row r="2833" spans="1:24" x14ac:dyDescent="0.2">
      <c r="A2833" s="7" t="s">
        <v>435</v>
      </c>
      <c r="B2833" s="7" t="s">
        <v>205</v>
      </c>
      <c r="C2833" s="3"/>
      <c r="D2833" s="3" t="s">
        <v>560</v>
      </c>
      <c r="E2833" s="4"/>
      <c r="F2833" s="3" t="s">
        <v>130</v>
      </c>
      <c r="G2833" s="9"/>
      <c r="H2833" s="9">
        <v>120</v>
      </c>
      <c r="I2833" s="12"/>
      <c r="J2833" s="5" t="e">
        <f>SUM(SUMIFS(#REF!,#REF!,Planning[[#This Row],[Tipo de Tarea y especialidad]],#REF!,Planning[[#This Row],[Proyectos Reiwa]]),SUMIFS(#REF!,#REF!,Planning[[#This Row],[Tipo de Tarea y especialidad]],#REF!,Planning[[#This Row],[Proyectos]]))</f>
        <v>#REF!</v>
      </c>
      <c r="K2833" s="5" t="e">
        <f>Planning[[#This Row],[Horas Planificadas]]+Planning[[#This Row],[Horas ajustadas adicionales]]-Planning[[#This Row],[Horas utilizadas]]</f>
        <v>#REF!</v>
      </c>
      <c r="L2833" s="7">
        <v>0</v>
      </c>
      <c r="M2833" s="19" t="e">
        <f>Planning[[#This Row],[Saldo]]-Planning[[#This Row],[Saldo estimado]]</f>
        <v>#REF!</v>
      </c>
      <c r="N2833" s="60" t="e">
        <f>+SUMIFS(#REF!,#REF!,Planning[[#This Row],[Proyectos]],#REF!,Planning[[#This Row],[Tipo de Tarea y especialidad]])</f>
        <v>#REF!</v>
      </c>
      <c r="O2833" s="19">
        <f t="shared" si="88"/>
        <v>10</v>
      </c>
      <c r="P2833" s="19">
        <f t="shared" si="89"/>
        <v>2024</v>
      </c>
      <c r="Q28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33" s="19" t="str">
        <f>TEXT(Planning[[#This Row],[Mes]]*29,"mmmm")</f>
        <v>October</v>
      </c>
      <c r="S28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33" s="193"/>
      <c r="U2833" s="43" t="e">
        <f>IF(Planning[[#This Row],[Horas Planificadas]]&lt;&gt;0,+K2833/Planning[[#This Row],[Horas Planificadas]],0)</f>
        <v>#REF!</v>
      </c>
      <c r="V2833" s="43" t="e">
        <f>IF(Planning[[#This Row],[Horas Planificadas]]&lt;&gt;0,Planning[[#This Row],[Horas utilizadas]]/Planning[[#This Row],[Horas Planificadas]],0)</f>
        <v>#REF!</v>
      </c>
      <c r="W2833" s="44">
        <f>Planning[[#This Row],[Horas Planificadas]]+Planning[[#This Row],[Horas ajustadas adicionales]]</f>
        <v>120</v>
      </c>
      <c r="X2833" s="142"/>
    </row>
    <row r="2834" spans="1:24" x14ac:dyDescent="0.2">
      <c r="A2834" s="7" t="s">
        <v>435</v>
      </c>
      <c r="B2834" s="7" t="s">
        <v>205</v>
      </c>
      <c r="C2834" s="3"/>
      <c r="D2834" s="3" t="s">
        <v>560</v>
      </c>
      <c r="E2834" s="4"/>
      <c r="F2834" s="3" t="s">
        <v>131</v>
      </c>
      <c r="G2834" s="9"/>
      <c r="H2834" s="9"/>
      <c r="I2834" s="12"/>
      <c r="J2834" s="5" t="e">
        <f>SUM(SUMIFS(#REF!,#REF!,Planning[[#This Row],[Tipo de Tarea y especialidad]],#REF!,Planning[[#This Row],[Proyectos Reiwa]]),SUMIFS(#REF!,#REF!,Planning[[#This Row],[Tipo de Tarea y especialidad]],#REF!,Planning[[#This Row],[Proyectos]]))</f>
        <v>#REF!</v>
      </c>
      <c r="K2834" s="5" t="e">
        <f>Planning[[#This Row],[Horas Planificadas]]+Planning[[#This Row],[Horas ajustadas adicionales]]-Planning[[#This Row],[Horas utilizadas]]</f>
        <v>#REF!</v>
      </c>
      <c r="L2834" s="7"/>
      <c r="M2834" s="19" t="e">
        <f>Planning[[#This Row],[Saldo]]-Planning[[#This Row],[Saldo estimado]]</f>
        <v>#REF!</v>
      </c>
      <c r="N2834" s="60" t="e">
        <f>+SUMIFS(#REF!,#REF!,Planning[[#This Row],[Proyectos]],#REF!,Planning[[#This Row],[Tipo de Tarea y especialidad]])</f>
        <v>#REF!</v>
      </c>
      <c r="O2834" s="19">
        <f t="shared" si="88"/>
        <v>10</v>
      </c>
      <c r="P2834" s="19">
        <f t="shared" si="89"/>
        <v>2024</v>
      </c>
      <c r="Q28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34" s="19" t="str">
        <f>TEXT(Planning[[#This Row],[Mes]]*29,"mmmm")</f>
        <v>October</v>
      </c>
      <c r="S28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34" s="193"/>
      <c r="U2834" s="43">
        <f>IF(Planning[[#This Row],[Horas Planificadas]]&lt;&gt;0,+K2834/Planning[[#This Row],[Horas Planificadas]],0)</f>
        <v>0</v>
      </c>
      <c r="V2834" s="43">
        <f>IF(Planning[[#This Row],[Horas Planificadas]]&lt;&gt;0,Planning[[#This Row],[Horas utilizadas]]/Planning[[#This Row],[Horas Planificadas]],0)</f>
        <v>0</v>
      </c>
      <c r="W2834" s="44">
        <f>Planning[[#This Row],[Horas Planificadas]]+Planning[[#This Row],[Horas ajustadas adicionales]]</f>
        <v>0</v>
      </c>
      <c r="X2834" s="142"/>
    </row>
    <row r="2835" spans="1:24" ht="22.5" x14ac:dyDescent="0.2">
      <c r="A2835" s="7" t="s">
        <v>204</v>
      </c>
      <c r="B2835" s="7" t="s">
        <v>393</v>
      </c>
      <c r="C2835" s="3"/>
      <c r="D2835" s="3" t="s">
        <v>562</v>
      </c>
      <c r="E2835" s="4" t="s">
        <v>28</v>
      </c>
      <c r="F2835" s="3"/>
      <c r="G2835" s="9">
        <v>8</v>
      </c>
      <c r="H2835" s="14">
        <f>SUM(H2836:H2837)</f>
        <v>8</v>
      </c>
      <c r="I2835" s="14"/>
      <c r="J2835" s="14" t="e">
        <f>SUM(J2836:J2837)</f>
        <v>#REF!</v>
      </c>
      <c r="K2835" s="15" t="e">
        <f>SUM(K2836:K2837)</f>
        <v>#REF!</v>
      </c>
      <c r="L2835" s="15">
        <f>SUM(L2836:L2837)</f>
        <v>0</v>
      </c>
      <c r="M2835" s="28" t="e">
        <f>SUM(M2836:M2837)</f>
        <v>#REF!</v>
      </c>
      <c r="N2835" s="61" t="e">
        <f>+SUMIFS(#REF!,#REF!,Planning[[#This Row],[Proyectos]],#REF!,Planning[[#This Row],[Tipo de Tarea y especialidad]])</f>
        <v>#REF!</v>
      </c>
      <c r="O2835" s="28">
        <f t="shared" si="88"/>
        <v>10</v>
      </c>
      <c r="P2835" s="28">
        <f t="shared" si="89"/>
        <v>2024</v>
      </c>
      <c r="Q2835" s="28" t="e">
        <f>SUM(Q2836:Q2837)</f>
        <v>#REF!</v>
      </c>
      <c r="R2835" s="28" t="str">
        <f>TEXT(Planning[[#This Row],[Mes]]*29,"mmmm")</f>
        <v>October</v>
      </c>
      <c r="S28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35" s="192" t="s">
        <v>563</v>
      </c>
      <c r="U2835" s="43" t="e">
        <f>IF(Planning[[#This Row],[Horas Planificadas]]&lt;&gt;0,+K2835/Planning[[#This Row],[Horas Planificadas]],0)</f>
        <v>#REF!</v>
      </c>
      <c r="V2835" s="43" t="e">
        <f>IF(Planning[[#This Row],[Horas Planificadas]]&lt;&gt;0,Planning[[#This Row],[Horas utilizadas]]/Planning[[#This Row],[Horas Planificadas]],0)</f>
        <v>#REF!</v>
      </c>
      <c r="W2835" s="44">
        <f>Planning[[#This Row],[Horas Planificadas]]+Planning[[#This Row],[Horas ajustadas adicionales]]</f>
        <v>8</v>
      </c>
      <c r="X2835" s="142"/>
    </row>
    <row r="2836" spans="1:24" x14ac:dyDescent="0.2">
      <c r="A2836" s="7" t="s">
        <v>204</v>
      </c>
      <c r="B2836" s="7" t="s">
        <v>393</v>
      </c>
      <c r="C2836" s="3"/>
      <c r="D2836" s="3" t="s">
        <v>562</v>
      </c>
      <c r="E2836" s="4"/>
      <c r="F2836" s="3" t="s">
        <v>120</v>
      </c>
      <c r="G2836" s="9"/>
      <c r="H2836" s="9">
        <v>8</v>
      </c>
      <c r="I2836" s="12"/>
      <c r="J2836" s="5" t="e">
        <f>SUM(SUMIFS(#REF!,#REF!,Planning[[#This Row],[Tipo de Tarea y especialidad]],#REF!,Planning[[#This Row],[Proyectos Reiwa]]),SUMIFS(#REF!,#REF!,Planning[[#This Row],[Tipo de Tarea y especialidad]],#REF!,Planning[[#This Row],[Proyectos]]))</f>
        <v>#REF!</v>
      </c>
      <c r="K2836" s="5" t="e">
        <f>Planning[[#This Row],[Horas Planificadas]]+Planning[[#This Row],[Horas ajustadas adicionales]]-Planning[[#This Row],[Horas utilizadas]]</f>
        <v>#REF!</v>
      </c>
      <c r="L2836" s="7">
        <v>0</v>
      </c>
      <c r="M2836" s="19" t="e">
        <f>Planning[[#This Row],[Saldo]]-Planning[[#This Row],[Saldo estimado]]</f>
        <v>#REF!</v>
      </c>
      <c r="N2836" s="60" t="e">
        <f>+SUMIFS(#REF!,#REF!,Planning[[#This Row],[Proyectos]],#REF!,Planning[[#This Row],[Tipo de Tarea y especialidad]])</f>
        <v>#REF!</v>
      </c>
      <c r="O2836" s="19">
        <f t="shared" si="88"/>
        <v>10</v>
      </c>
      <c r="P2836" s="19">
        <f t="shared" si="89"/>
        <v>2024</v>
      </c>
      <c r="Q28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36" s="19" t="str">
        <f>TEXT(Planning[[#This Row],[Mes]]*29,"mmmm")</f>
        <v>October</v>
      </c>
      <c r="S28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36" s="193"/>
      <c r="U2836" s="43" t="e">
        <f>IF(Planning[[#This Row],[Horas Planificadas]]&lt;&gt;0,+K2836/Planning[[#This Row],[Horas Planificadas]],0)</f>
        <v>#REF!</v>
      </c>
      <c r="V2836" s="43" t="e">
        <f>IF(Planning[[#This Row],[Horas Planificadas]]&lt;&gt;0,Planning[[#This Row],[Horas utilizadas]]/Planning[[#This Row],[Horas Planificadas]],0)</f>
        <v>#REF!</v>
      </c>
      <c r="W2836" s="44">
        <f>Planning[[#This Row],[Horas Planificadas]]+Planning[[#This Row],[Horas ajustadas adicionales]]</f>
        <v>8</v>
      </c>
      <c r="X2836" s="142"/>
    </row>
    <row r="2837" spans="1:24" x14ac:dyDescent="0.2">
      <c r="A2837" s="7" t="s">
        <v>204</v>
      </c>
      <c r="B2837" s="7" t="s">
        <v>393</v>
      </c>
      <c r="C2837" s="3"/>
      <c r="D2837" s="3" t="s">
        <v>562</v>
      </c>
      <c r="E2837" s="4"/>
      <c r="F2837" s="3" t="s">
        <v>121</v>
      </c>
      <c r="G2837" s="9"/>
      <c r="H2837" s="9"/>
      <c r="I2837" s="12"/>
      <c r="J2837" s="5" t="e">
        <f>SUM(SUMIFS(#REF!,#REF!,Planning[[#This Row],[Tipo de Tarea y especialidad]],#REF!,Planning[[#This Row],[Proyectos Reiwa]]),SUMIFS(#REF!,#REF!,Planning[[#This Row],[Tipo de Tarea y especialidad]],#REF!,Planning[[#This Row],[Proyectos]]))</f>
        <v>#REF!</v>
      </c>
      <c r="K2837" s="5" t="e">
        <f>Planning[[#This Row],[Horas Planificadas]]+Planning[[#This Row],[Horas ajustadas adicionales]]-Planning[[#This Row],[Horas utilizadas]]</f>
        <v>#REF!</v>
      </c>
      <c r="L2837" s="7"/>
      <c r="M2837" s="19" t="e">
        <f>Planning[[#This Row],[Saldo]]-Planning[[#This Row],[Saldo estimado]]</f>
        <v>#REF!</v>
      </c>
      <c r="N2837" s="60" t="e">
        <f>+SUMIFS(#REF!,#REF!,Planning[[#This Row],[Proyectos]],#REF!,Planning[[#This Row],[Tipo de Tarea y especialidad]])</f>
        <v>#REF!</v>
      </c>
      <c r="O2837" s="19">
        <f t="shared" si="88"/>
        <v>10</v>
      </c>
      <c r="P2837" s="19">
        <f t="shared" si="89"/>
        <v>2024</v>
      </c>
      <c r="Q28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37" s="19" t="str">
        <f>TEXT(Planning[[#This Row],[Mes]]*29,"mmmm")</f>
        <v>October</v>
      </c>
      <c r="S28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37" s="193"/>
      <c r="U2837" s="43">
        <f>IF(Planning[[#This Row],[Horas Planificadas]]&lt;&gt;0,+K2837/Planning[[#This Row],[Horas Planificadas]],0)</f>
        <v>0</v>
      </c>
      <c r="V2837" s="43">
        <f>IF(Planning[[#This Row],[Horas Planificadas]]&lt;&gt;0,Planning[[#This Row],[Horas utilizadas]]/Planning[[#This Row],[Horas Planificadas]],0)</f>
        <v>0</v>
      </c>
      <c r="W2837" s="44">
        <f>Planning[[#This Row],[Horas Planificadas]]+Planning[[#This Row],[Horas ajustadas adicionales]]</f>
        <v>0</v>
      </c>
      <c r="X2837" s="142"/>
    </row>
    <row r="2838" spans="1:24" x14ac:dyDescent="0.2">
      <c r="A2838" s="7" t="s">
        <v>204</v>
      </c>
      <c r="B2838" s="7" t="s">
        <v>393</v>
      </c>
      <c r="C2838" s="3"/>
      <c r="D2838" s="3" t="s">
        <v>562</v>
      </c>
      <c r="E2838" s="4" t="s">
        <v>30</v>
      </c>
      <c r="F2838" s="3"/>
      <c r="G2838" s="9">
        <v>67</v>
      </c>
      <c r="H2838" s="25">
        <f>SUM(H2839:H2845)</f>
        <v>67</v>
      </c>
      <c r="I2838" s="14"/>
      <c r="J2838" s="14" t="e">
        <f>SUM(J2839:J2845)</f>
        <v>#REF!</v>
      </c>
      <c r="K2838" s="18" t="e">
        <f>SUM(K2839:K2845)</f>
        <v>#REF!</v>
      </c>
      <c r="L2838" s="15">
        <f>SUM(L2839:L2845)</f>
        <v>0</v>
      </c>
      <c r="M2838" s="16" t="e">
        <f>SUM(M2839:M2845)</f>
        <v>#REF!</v>
      </c>
      <c r="N2838" s="60" t="e">
        <f>+SUMIFS(#REF!,#REF!,Planning[[#This Row],[Proyectos]],#REF!,Planning[[#This Row],[Tipo de Tarea y especialidad]])</f>
        <v>#REF!</v>
      </c>
      <c r="O2838" s="16">
        <f t="shared" si="88"/>
        <v>10</v>
      </c>
      <c r="P2838" s="16">
        <f t="shared" si="89"/>
        <v>2024</v>
      </c>
      <c r="Q2838" s="16" t="e">
        <f>SUM(Q2839:Q2845)</f>
        <v>#REF!</v>
      </c>
      <c r="R2838" s="16" t="str">
        <f>TEXT(Planning[[#This Row],[Mes]]*29,"mmmm")</f>
        <v>October</v>
      </c>
      <c r="S28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38" s="193"/>
      <c r="U2838" s="43" t="e">
        <f>IF(Planning[[#This Row],[Horas Planificadas]]&lt;&gt;0,+K2838/Planning[[#This Row],[Horas Planificadas]],0)</f>
        <v>#REF!</v>
      </c>
      <c r="V2838" s="43" t="e">
        <f>IF(Planning[[#This Row],[Horas Planificadas]]&lt;&gt;0,Planning[[#This Row],[Horas utilizadas]]/Planning[[#This Row],[Horas Planificadas]],0)</f>
        <v>#REF!</v>
      </c>
      <c r="W2838" s="44">
        <f>Planning[[#This Row],[Horas Planificadas]]+Planning[[#This Row],[Horas ajustadas adicionales]]</f>
        <v>67</v>
      </c>
      <c r="X2838" s="142"/>
    </row>
    <row r="2839" spans="1:24" x14ac:dyDescent="0.2">
      <c r="A2839" s="7" t="s">
        <v>204</v>
      </c>
      <c r="B2839" s="7" t="s">
        <v>393</v>
      </c>
      <c r="C2839" s="3"/>
      <c r="D2839" s="3" t="s">
        <v>562</v>
      </c>
      <c r="E2839" s="4"/>
      <c r="F2839" s="3" t="s">
        <v>122</v>
      </c>
      <c r="G2839" s="9"/>
      <c r="H2839" s="12"/>
      <c r="I2839" s="12"/>
      <c r="J2839" s="5" t="e">
        <f>SUM(SUMIFS(#REF!,#REF!,Planning[[#This Row],[Tipo de Tarea y especialidad]],#REF!,Planning[[#This Row],[Proyectos Reiwa]]),SUMIFS(#REF!,#REF!,Planning[[#This Row],[Tipo de Tarea y especialidad]],#REF!,Planning[[#This Row],[Proyectos]]))</f>
        <v>#REF!</v>
      </c>
      <c r="K2839" s="27" t="e">
        <f>Planning[[#This Row],[Horas Planificadas]]+Planning[[#This Row],[Horas ajustadas adicionales]]-Planning[[#This Row],[Horas utilizadas]]</f>
        <v>#REF!</v>
      </c>
      <c r="L2839" s="7"/>
      <c r="M2839" s="34" t="e">
        <f>Planning[[#This Row],[Saldo]]-Planning[[#This Row],[Saldo estimado]]</f>
        <v>#REF!</v>
      </c>
      <c r="N2839" s="62" t="e">
        <f>+SUMIFS(#REF!,#REF!,Planning[[#This Row],[Proyectos]],#REF!,Planning[[#This Row],[Tipo de Tarea y especialidad]])</f>
        <v>#REF!</v>
      </c>
      <c r="O2839" s="34">
        <f t="shared" si="88"/>
        <v>10</v>
      </c>
      <c r="P2839" s="34">
        <f t="shared" si="89"/>
        <v>2024</v>
      </c>
      <c r="Q28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39" s="19" t="str">
        <f>TEXT(Planning[[#This Row],[Mes]]*29,"mmmm")</f>
        <v>October</v>
      </c>
      <c r="S28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39" s="193"/>
      <c r="U2839" s="43">
        <f>IF(Planning[[#This Row],[Horas Planificadas]]&lt;&gt;0,+K2839/Planning[[#This Row],[Horas Planificadas]],0)</f>
        <v>0</v>
      </c>
      <c r="V2839" s="43">
        <f>IF(Planning[[#This Row],[Horas Planificadas]]&lt;&gt;0,Planning[[#This Row],[Horas utilizadas]]/Planning[[#This Row],[Horas Planificadas]],0)</f>
        <v>0</v>
      </c>
      <c r="W2839" s="44">
        <f>Planning[[#This Row],[Horas Planificadas]]+Planning[[#This Row],[Horas ajustadas adicionales]]</f>
        <v>0</v>
      </c>
      <c r="X2839" s="142"/>
    </row>
    <row r="2840" spans="1:24" x14ac:dyDescent="0.2">
      <c r="A2840" s="7" t="s">
        <v>204</v>
      </c>
      <c r="B2840" s="7" t="s">
        <v>393</v>
      </c>
      <c r="C2840" s="3"/>
      <c r="D2840" s="3" t="s">
        <v>562</v>
      </c>
      <c r="E2840" s="4"/>
      <c r="F2840" s="3" t="s">
        <v>123</v>
      </c>
      <c r="G2840" s="9"/>
      <c r="H2840" s="9"/>
      <c r="I2840" s="12"/>
      <c r="J2840" s="5" t="e">
        <f>SUM(SUMIFS(#REF!,#REF!,Planning[[#This Row],[Tipo de Tarea y especialidad]],#REF!,Planning[[#This Row],[Proyectos Reiwa]]),SUMIFS(#REF!,#REF!,Planning[[#This Row],[Tipo de Tarea y especialidad]],#REF!,Planning[[#This Row],[Proyectos]]))</f>
        <v>#REF!</v>
      </c>
      <c r="K2840" s="5" t="e">
        <f>Planning[[#This Row],[Horas Planificadas]]+Planning[[#This Row],[Horas ajustadas adicionales]]-Planning[[#This Row],[Horas utilizadas]]</f>
        <v>#REF!</v>
      </c>
      <c r="L2840" s="7"/>
      <c r="M2840" s="19" t="e">
        <f>Planning[[#This Row],[Saldo]]-Planning[[#This Row],[Saldo estimado]]</f>
        <v>#REF!</v>
      </c>
      <c r="N2840" s="60" t="e">
        <f>+SUMIFS(#REF!,#REF!,Planning[[#This Row],[Proyectos]],#REF!,Planning[[#This Row],[Tipo de Tarea y especialidad]])</f>
        <v>#REF!</v>
      </c>
      <c r="O2840" s="19">
        <f t="shared" si="88"/>
        <v>10</v>
      </c>
      <c r="P2840" s="19">
        <f t="shared" si="89"/>
        <v>2024</v>
      </c>
      <c r="Q28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40" s="19" t="str">
        <f>TEXT(Planning[[#This Row],[Mes]]*29,"mmmm")</f>
        <v>October</v>
      </c>
      <c r="S28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40" s="193"/>
      <c r="U2840" s="43">
        <f>IF(Planning[[#This Row],[Horas Planificadas]]&lt;&gt;0,+K2840/Planning[[#This Row],[Horas Planificadas]],0)</f>
        <v>0</v>
      </c>
      <c r="V2840" s="43">
        <f>IF(Planning[[#This Row],[Horas Planificadas]]&lt;&gt;0,Planning[[#This Row],[Horas utilizadas]]/Planning[[#This Row],[Horas Planificadas]],0)</f>
        <v>0</v>
      </c>
      <c r="W2840" s="44">
        <f>Planning[[#This Row],[Horas Planificadas]]+Planning[[#This Row],[Horas ajustadas adicionales]]</f>
        <v>0</v>
      </c>
      <c r="X2840" s="142"/>
    </row>
    <row r="2841" spans="1:24" x14ac:dyDescent="0.2">
      <c r="A2841" s="7" t="s">
        <v>204</v>
      </c>
      <c r="B2841" s="7" t="s">
        <v>393</v>
      </c>
      <c r="C2841" s="3"/>
      <c r="D2841" s="3" t="s">
        <v>562</v>
      </c>
      <c r="E2841" s="4"/>
      <c r="F2841" s="3" t="s">
        <v>124</v>
      </c>
      <c r="G2841" s="9"/>
      <c r="H2841" s="9">
        <v>67</v>
      </c>
      <c r="I2841" s="12"/>
      <c r="J2841" s="5" t="e">
        <f>SUM(SUMIFS(#REF!,#REF!,Planning[[#This Row],[Tipo de Tarea y especialidad]],#REF!,Planning[[#This Row],[Proyectos Reiwa]]),SUMIFS(#REF!,#REF!,Planning[[#This Row],[Tipo de Tarea y especialidad]],#REF!,Planning[[#This Row],[Proyectos]]))</f>
        <v>#REF!</v>
      </c>
      <c r="K2841" s="5" t="e">
        <f>Planning[[#This Row],[Horas Planificadas]]+Planning[[#This Row],[Horas ajustadas adicionales]]-Planning[[#This Row],[Horas utilizadas]]</f>
        <v>#REF!</v>
      </c>
      <c r="L2841" s="7">
        <v>0</v>
      </c>
      <c r="M2841" s="19" t="e">
        <f>Planning[[#This Row],[Saldo]]-Planning[[#This Row],[Saldo estimado]]</f>
        <v>#REF!</v>
      </c>
      <c r="N2841" s="60" t="e">
        <f>+SUMIFS(#REF!,#REF!,Planning[[#This Row],[Proyectos]],#REF!,Planning[[#This Row],[Tipo de Tarea y especialidad]])</f>
        <v>#REF!</v>
      </c>
      <c r="O2841" s="19">
        <f t="shared" si="88"/>
        <v>10</v>
      </c>
      <c r="P2841" s="19">
        <f t="shared" si="89"/>
        <v>2024</v>
      </c>
      <c r="Q28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41" s="19" t="str">
        <f>TEXT(Planning[[#This Row],[Mes]]*29,"mmmm")</f>
        <v>October</v>
      </c>
      <c r="S28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41" s="193"/>
      <c r="U2841" s="43" t="e">
        <f>IF(Planning[[#This Row],[Horas Planificadas]]&lt;&gt;0,+K2841/Planning[[#This Row],[Horas Planificadas]],0)</f>
        <v>#REF!</v>
      </c>
      <c r="V2841" s="43" t="e">
        <f>IF(Planning[[#This Row],[Horas Planificadas]]&lt;&gt;0,Planning[[#This Row],[Horas utilizadas]]/Planning[[#This Row],[Horas Planificadas]],0)</f>
        <v>#REF!</v>
      </c>
      <c r="W2841" s="44">
        <f>Planning[[#This Row],[Horas Planificadas]]+Planning[[#This Row],[Horas ajustadas adicionales]]</f>
        <v>67</v>
      </c>
      <c r="X2841" s="142"/>
    </row>
    <row r="2842" spans="1:24" x14ac:dyDescent="0.2">
      <c r="A2842" s="7" t="s">
        <v>204</v>
      </c>
      <c r="B2842" s="7" t="s">
        <v>393</v>
      </c>
      <c r="C2842" s="3"/>
      <c r="D2842" s="3" t="s">
        <v>562</v>
      </c>
      <c r="E2842" s="4"/>
      <c r="F2842" s="3" t="s">
        <v>125</v>
      </c>
      <c r="G2842" s="9"/>
      <c r="H2842" s="12"/>
      <c r="I2842" s="12"/>
      <c r="J2842" s="5" t="e">
        <f>SUM(SUMIFS(#REF!,#REF!,Planning[[#This Row],[Tipo de Tarea y especialidad]],#REF!,Planning[[#This Row],[Proyectos Reiwa]]),SUMIFS(#REF!,#REF!,Planning[[#This Row],[Tipo de Tarea y especialidad]],#REF!,Planning[[#This Row],[Proyectos]]))</f>
        <v>#REF!</v>
      </c>
      <c r="K2842" s="27" t="e">
        <f>Planning[[#This Row],[Horas Planificadas]]+Planning[[#This Row],[Horas ajustadas adicionales]]-Planning[[#This Row],[Horas utilizadas]]</f>
        <v>#REF!</v>
      </c>
      <c r="L2842" s="7"/>
      <c r="M2842" s="19" t="e">
        <f>Planning[[#This Row],[Saldo]]-Planning[[#This Row],[Saldo estimado]]</f>
        <v>#REF!</v>
      </c>
      <c r="N2842" s="60" t="e">
        <f>+SUMIFS(#REF!,#REF!,Planning[[#This Row],[Proyectos]],#REF!,Planning[[#This Row],[Tipo de Tarea y especialidad]])</f>
        <v>#REF!</v>
      </c>
      <c r="O2842" s="19">
        <f t="shared" si="88"/>
        <v>10</v>
      </c>
      <c r="P2842" s="19">
        <f t="shared" si="89"/>
        <v>2024</v>
      </c>
      <c r="Q28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42" s="19" t="str">
        <f>TEXT(Planning[[#This Row],[Mes]]*29,"mmmm")</f>
        <v>October</v>
      </c>
      <c r="S28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42" s="193"/>
      <c r="U2842" s="43">
        <f>IF(Planning[[#This Row],[Horas Planificadas]]&lt;&gt;0,+K2842/Planning[[#This Row],[Horas Planificadas]],0)</f>
        <v>0</v>
      </c>
      <c r="V2842" s="43">
        <f>IF(Planning[[#This Row],[Horas Planificadas]]&lt;&gt;0,Planning[[#This Row],[Horas utilizadas]]/Planning[[#This Row],[Horas Planificadas]],0)</f>
        <v>0</v>
      </c>
      <c r="W2842" s="44">
        <f>Planning[[#This Row],[Horas Planificadas]]+Planning[[#This Row],[Horas ajustadas adicionales]]</f>
        <v>0</v>
      </c>
      <c r="X2842" s="142"/>
    </row>
    <row r="2843" spans="1:24" x14ac:dyDescent="0.2">
      <c r="A2843" s="7" t="s">
        <v>204</v>
      </c>
      <c r="B2843" s="7" t="s">
        <v>393</v>
      </c>
      <c r="C2843" s="3"/>
      <c r="D2843" s="3" t="s">
        <v>562</v>
      </c>
      <c r="E2843" s="4"/>
      <c r="F2843" s="3" t="s">
        <v>126</v>
      </c>
      <c r="G2843" s="9"/>
      <c r="H2843" s="9"/>
      <c r="I2843" s="12"/>
      <c r="J2843" s="5" t="e">
        <f>SUM(SUMIFS(#REF!,#REF!,Planning[[#This Row],[Tipo de Tarea y especialidad]],#REF!,Planning[[#This Row],[Proyectos Reiwa]]),SUMIFS(#REF!,#REF!,Planning[[#This Row],[Tipo de Tarea y especialidad]],#REF!,Planning[[#This Row],[Proyectos]]))</f>
        <v>#REF!</v>
      </c>
      <c r="K2843" s="5" t="e">
        <f>Planning[[#This Row],[Horas Planificadas]]+Planning[[#This Row],[Horas ajustadas adicionales]]-Planning[[#This Row],[Horas utilizadas]]</f>
        <v>#REF!</v>
      </c>
      <c r="L2843" s="7"/>
      <c r="M2843" s="19" t="e">
        <f>Planning[[#This Row],[Saldo]]-Planning[[#This Row],[Saldo estimado]]</f>
        <v>#REF!</v>
      </c>
      <c r="N2843" s="60" t="e">
        <f>+SUMIFS(#REF!,#REF!,Planning[[#This Row],[Proyectos]],#REF!,Planning[[#This Row],[Tipo de Tarea y especialidad]])</f>
        <v>#REF!</v>
      </c>
      <c r="O2843" s="19">
        <f t="shared" si="88"/>
        <v>10</v>
      </c>
      <c r="P2843" s="19">
        <f t="shared" si="89"/>
        <v>2024</v>
      </c>
      <c r="Q28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43" s="19" t="str">
        <f>TEXT(Planning[[#This Row],[Mes]]*29,"mmmm")</f>
        <v>October</v>
      </c>
      <c r="S28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43" s="193"/>
      <c r="U2843" s="43">
        <f>IF(Planning[[#This Row],[Horas Planificadas]]&lt;&gt;0,+K2843/Planning[[#This Row],[Horas Planificadas]],0)</f>
        <v>0</v>
      </c>
      <c r="V2843" s="43">
        <f>IF(Planning[[#This Row],[Horas Planificadas]]&lt;&gt;0,Planning[[#This Row],[Horas utilizadas]]/Planning[[#This Row],[Horas Planificadas]],0)</f>
        <v>0</v>
      </c>
      <c r="W2843" s="44">
        <f>Planning[[#This Row],[Horas Planificadas]]+Planning[[#This Row],[Horas ajustadas adicionales]]</f>
        <v>0</v>
      </c>
      <c r="X2843" s="142"/>
    </row>
    <row r="2844" spans="1:24" x14ac:dyDescent="0.2">
      <c r="A2844" s="7" t="s">
        <v>204</v>
      </c>
      <c r="B2844" s="7" t="s">
        <v>393</v>
      </c>
      <c r="C2844" s="3"/>
      <c r="D2844" s="3" t="s">
        <v>562</v>
      </c>
      <c r="E2844" s="4"/>
      <c r="F2844" s="3" t="s">
        <v>127</v>
      </c>
      <c r="G2844" s="9"/>
      <c r="H2844" s="9"/>
      <c r="I2844" s="12"/>
      <c r="J2844" s="5" t="e">
        <f>SUM(SUMIFS(#REF!,#REF!,Planning[[#This Row],[Tipo de Tarea y especialidad]],#REF!,Planning[[#This Row],[Proyectos Reiwa]]),SUMIFS(#REF!,#REF!,Planning[[#This Row],[Tipo de Tarea y especialidad]],#REF!,Planning[[#This Row],[Proyectos]]))</f>
        <v>#REF!</v>
      </c>
      <c r="K2844" s="5" t="e">
        <f>Planning[[#This Row],[Horas Planificadas]]+Planning[[#This Row],[Horas ajustadas adicionales]]-Planning[[#This Row],[Horas utilizadas]]</f>
        <v>#REF!</v>
      </c>
      <c r="L2844" s="7"/>
      <c r="M2844" s="19" t="e">
        <f>Planning[[#This Row],[Saldo]]-Planning[[#This Row],[Saldo estimado]]</f>
        <v>#REF!</v>
      </c>
      <c r="N2844" s="60" t="e">
        <f>+SUMIFS(#REF!,#REF!,Planning[[#This Row],[Proyectos]],#REF!,Planning[[#This Row],[Tipo de Tarea y especialidad]])</f>
        <v>#REF!</v>
      </c>
      <c r="O2844" s="19">
        <f t="shared" si="88"/>
        <v>10</v>
      </c>
      <c r="P2844" s="19">
        <f t="shared" si="89"/>
        <v>2024</v>
      </c>
      <c r="Q28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44" s="19" t="str">
        <f>TEXT(Planning[[#This Row],[Mes]]*29,"mmmm")</f>
        <v>October</v>
      </c>
      <c r="S28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44" s="193"/>
      <c r="U2844" s="43">
        <f>IF(Planning[[#This Row],[Horas Planificadas]]&lt;&gt;0,+K2844/Planning[[#This Row],[Horas Planificadas]],0)</f>
        <v>0</v>
      </c>
      <c r="V2844" s="43">
        <f>IF(Planning[[#This Row],[Horas Planificadas]]&lt;&gt;0,Planning[[#This Row],[Horas utilizadas]]/Planning[[#This Row],[Horas Planificadas]],0)</f>
        <v>0</v>
      </c>
      <c r="W2844" s="44">
        <f>Planning[[#This Row],[Horas Planificadas]]+Planning[[#This Row],[Horas ajustadas adicionales]]</f>
        <v>0</v>
      </c>
      <c r="X2844" s="142"/>
    </row>
    <row r="2845" spans="1:24" x14ac:dyDescent="0.2">
      <c r="A2845" s="7" t="s">
        <v>204</v>
      </c>
      <c r="B2845" s="7" t="s">
        <v>393</v>
      </c>
      <c r="C2845" s="3"/>
      <c r="D2845" s="3" t="s">
        <v>562</v>
      </c>
      <c r="E2845" s="4"/>
      <c r="F2845" s="3" t="s">
        <v>128</v>
      </c>
      <c r="G2845" s="9"/>
      <c r="H2845" s="9"/>
      <c r="I2845" s="12"/>
      <c r="J2845" s="5" t="e">
        <f>SUM(SUMIFS(#REF!,#REF!,Planning[[#This Row],[Tipo de Tarea y especialidad]],#REF!,Planning[[#This Row],[Proyectos Reiwa]]),SUMIFS(#REF!,#REF!,Planning[[#This Row],[Tipo de Tarea y especialidad]],#REF!,Planning[[#This Row],[Proyectos]]))</f>
        <v>#REF!</v>
      </c>
      <c r="K2845" s="5" t="e">
        <f>Planning[[#This Row],[Horas Planificadas]]+Planning[[#This Row],[Horas ajustadas adicionales]]-Planning[[#This Row],[Horas utilizadas]]</f>
        <v>#REF!</v>
      </c>
      <c r="L2845" s="7"/>
      <c r="M2845" s="19" t="e">
        <f>Planning[[#This Row],[Saldo]]-Planning[[#This Row],[Saldo estimado]]</f>
        <v>#REF!</v>
      </c>
      <c r="N2845" s="60" t="e">
        <f>+SUMIFS(#REF!,#REF!,Planning[[#This Row],[Proyectos]],#REF!,Planning[[#This Row],[Tipo de Tarea y especialidad]])</f>
        <v>#REF!</v>
      </c>
      <c r="O2845" s="19">
        <f t="shared" si="88"/>
        <v>10</v>
      </c>
      <c r="P2845" s="19">
        <f t="shared" si="89"/>
        <v>2024</v>
      </c>
      <c r="Q28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45" s="19" t="str">
        <f>TEXT(Planning[[#This Row],[Mes]]*29,"mmmm")</f>
        <v>October</v>
      </c>
      <c r="S28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45" s="193"/>
      <c r="U2845" s="43">
        <f>IF(Planning[[#This Row],[Horas Planificadas]]&lt;&gt;0,+K2845/Planning[[#This Row],[Horas Planificadas]],0)</f>
        <v>0</v>
      </c>
      <c r="V2845" s="43">
        <f>IF(Planning[[#This Row],[Horas Planificadas]]&lt;&gt;0,Planning[[#This Row],[Horas utilizadas]]/Planning[[#This Row],[Horas Planificadas]],0)</f>
        <v>0</v>
      </c>
      <c r="W2845" s="44">
        <f>Planning[[#This Row],[Horas Planificadas]]+Planning[[#This Row],[Horas ajustadas adicionales]]</f>
        <v>0</v>
      </c>
      <c r="X2845" s="142"/>
    </row>
    <row r="2846" spans="1:24" x14ac:dyDescent="0.2">
      <c r="A2846" s="7" t="s">
        <v>204</v>
      </c>
      <c r="B2846" s="7" t="s">
        <v>393</v>
      </c>
      <c r="C2846" s="3"/>
      <c r="D2846" s="3" t="s">
        <v>562</v>
      </c>
      <c r="E2846" s="4" t="s">
        <v>31</v>
      </c>
      <c r="F2846" s="3" t="s">
        <v>31</v>
      </c>
      <c r="G2846" s="9">
        <v>90</v>
      </c>
      <c r="H2846" s="17">
        <v>90</v>
      </c>
      <c r="I2846" s="18"/>
      <c r="J2846" s="14" t="e">
        <f>+SUMIFS(#REF!,#REF!,Planning[[#This Row],[Tarifa]],#REF!,Planning[[#This Row],[Proyectos]])</f>
        <v>#REF!</v>
      </c>
      <c r="K2846" s="14" t="e">
        <f>Planning[[#This Row],[Horas Planificadas]]+Planning[[#This Row],[Horas ajustadas adicionales]]-Planning[[#This Row],[Horas utilizadas]]</f>
        <v>#REF!</v>
      </c>
      <c r="L2846" s="15">
        <v>45</v>
      </c>
      <c r="M2846" s="16" t="e">
        <f>Planning[[#This Row],[Saldo]]-Planning[[#This Row],[Saldo estimado]]</f>
        <v>#REF!</v>
      </c>
      <c r="N2846" s="60" t="e">
        <f>+SUMIFS(#REF!,#REF!,Planning[[#This Row],[Proyectos]],#REF!,Planning[[#This Row],[Tipo de Tarea y especialidad]])</f>
        <v>#REF!</v>
      </c>
      <c r="O2846" s="16">
        <f t="shared" si="88"/>
        <v>10</v>
      </c>
      <c r="P2846" s="16">
        <f t="shared" si="89"/>
        <v>2024</v>
      </c>
      <c r="Q2846" s="16" t="e">
        <f>+SUMIFS(#REF!,#REF!,Planning[[#This Row],[Tarifa]],#REF!,Planning[[#This Row],[Proyectos]],#REF!,Planning[[#This Row],[Mes]],#REF!,Planning[[#This Row],[Año]])</f>
        <v>#REF!</v>
      </c>
      <c r="R2846" s="16" t="str">
        <f>TEXT(Planning[[#This Row],[Mes]]*29,"mmmm")</f>
        <v>October</v>
      </c>
      <c r="S28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46" s="193"/>
      <c r="U2846" s="43" t="e">
        <f>IF(Planning[[#This Row],[Horas Planificadas]]&lt;&gt;0,+K2846/Planning[[#This Row],[Horas Planificadas]],0)</f>
        <v>#REF!</v>
      </c>
      <c r="V2846" s="43" t="e">
        <f>IF(Planning[[#This Row],[Horas Planificadas]]&lt;&gt;0,Planning[[#This Row],[Horas utilizadas]]/Planning[[#This Row],[Horas Planificadas]],0)</f>
        <v>#REF!</v>
      </c>
      <c r="W2846" s="44">
        <f>Planning[[#This Row],[Horas Planificadas]]+Planning[[#This Row],[Horas ajustadas adicionales]]</f>
        <v>90</v>
      </c>
      <c r="X2846" s="142"/>
    </row>
    <row r="2847" spans="1:24" ht="22.5" x14ac:dyDescent="0.2">
      <c r="A2847" s="7" t="s">
        <v>204</v>
      </c>
      <c r="B2847" s="7" t="s">
        <v>393</v>
      </c>
      <c r="C2847" s="3"/>
      <c r="D2847" s="3" t="s">
        <v>562</v>
      </c>
      <c r="E2847" s="4" t="s">
        <v>32</v>
      </c>
      <c r="F2847" s="3"/>
      <c r="G2847" s="9">
        <v>480</v>
      </c>
      <c r="H2847" s="25">
        <f>SUM(H2848:H2850)</f>
        <v>480</v>
      </c>
      <c r="I2847" s="14"/>
      <c r="J2847" s="14" t="e">
        <f>SUM(J2848:J2850)</f>
        <v>#REF!</v>
      </c>
      <c r="K2847" s="18" t="e">
        <f>SUM(K2848:K2850)</f>
        <v>#REF!</v>
      </c>
      <c r="L2847" s="15">
        <f>SUM(L2848:L2850)</f>
        <v>480</v>
      </c>
      <c r="M2847" s="16" t="e">
        <f>SUM(M2848:M2850)</f>
        <v>#REF!</v>
      </c>
      <c r="N2847" s="60" t="e">
        <f>+SUMIFS(#REF!,#REF!,Planning[[#This Row],[Proyectos]],#REF!,Planning[[#This Row],[Tipo de Tarea y especialidad]])</f>
        <v>#REF!</v>
      </c>
      <c r="O2847" s="16">
        <f t="shared" si="88"/>
        <v>10</v>
      </c>
      <c r="P2847" s="16">
        <f t="shared" si="89"/>
        <v>2024</v>
      </c>
      <c r="Q2847" s="16" t="e">
        <f>SUM(Q2848:Q2850)</f>
        <v>#REF!</v>
      </c>
      <c r="R2847" s="16" t="str">
        <f>TEXT(Planning[[#This Row],[Mes]]*29,"mmmm")</f>
        <v>October</v>
      </c>
      <c r="S28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47" s="193"/>
      <c r="U2847" s="43" t="e">
        <f>IF(Planning[[#This Row],[Horas Planificadas]]&lt;&gt;0,+K2847/Planning[[#This Row],[Horas Planificadas]],0)</f>
        <v>#REF!</v>
      </c>
      <c r="V2847" s="43" t="e">
        <f>IF(Planning[[#This Row],[Horas Planificadas]]&lt;&gt;0,Planning[[#This Row],[Horas utilizadas]]/Planning[[#This Row],[Horas Planificadas]],0)</f>
        <v>#REF!</v>
      </c>
      <c r="W2847" s="44">
        <f>Planning[[#This Row],[Horas Planificadas]]+Planning[[#This Row],[Horas ajustadas adicionales]]</f>
        <v>480</v>
      </c>
      <c r="X2847" s="142"/>
    </row>
    <row r="2848" spans="1:24" x14ac:dyDescent="0.2">
      <c r="A2848" s="7" t="s">
        <v>204</v>
      </c>
      <c r="B2848" s="7" t="s">
        <v>393</v>
      </c>
      <c r="C2848" s="3"/>
      <c r="D2848" s="3" t="s">
        <v>562</v>
      </c>
      <c r="E2848" s="4"/>
      <c r="F2848" s="3" t="s">
        <v>129</v>
      </c>
      <c r="G2848" s="9"/>
      <c r="H2848" s="9"/>
      <c r="I2848" s="12"/>
      <c r="J2848" s="5" t="e">
        <f>SUM(SUMIFS(#REF!,#REF!,Planning[[#This Row],[Tipo de Tarea y especialidad]],#REF!,Planning[[#This Row],[Proyectos Reiwa]]),SUMIFS(#REF!,#REF!,Planning[[#This Row],[Tipo de Tarea y especialidad]],#REF!,Planning[[#This Row],[Proyectos]]))</f>
        <v>#REF!</v>
      </c>
      <c r="K2848" s="5" t="e">
        <f>Planning[[#This Row],[Horas Planificadas]]+Planning[[#This Row],[Horas ajustadas adicionales]]-Planning[[#This Row],[Horas utilizadas]]</f>
        <v>#REF!</v>
      </c>
      <c r="L2848" s="7"/>
      <c r="M2848" s="19" t="e">
        <f>Planning[[#This Row],[Saldo]]-Planning[[#This Row],[Saldo estimado]]</f>
        <v>#REF!</v>
      </c>
      <c r="N2848" s="60" t="e">
        <f>+SUMIFS(#REF!,#REF!,Planning[[#This Row],[Proyectos]],#REF!,Planning[[#This Row],[Tipo de Tarea y especialidad]])</f>
        <v>#REF!</v>
      </c>
      <c r="O2848" s="19">
        <f t="shared" si="88"/>
        <v>10</v>
      </c>
      <c r="P2848" s="19">
        <f t="shared" si="89"/>
        <v>2024</v>
      </c>
      <c r="Q28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48" s="19" t="str">
        <f>TEXT(Planning[[#This Row],[Mes]]*29,"mmmm")</f>
        <v>October</v>
      </c>
      <c r="S28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48" s="193"/>
      <c r="U2848" s="43">
        <f>IF(Planning[[#This Row],[Horas Planificadas]]&lt;&gt;0,+K2848/Planning[[#This Row],[Horas Planificadas]],0)</f>
        <v>0</v>
      </c>
      <c r="V2848" s="43">
        <f>IF(Planning[[#This Row],[Horas Planificadas]]&lt;&gt;0,Planning[[#This Row],[Horas utilizadas]]/Planning[[#This Row],[Horas Planificadas]],0)</f>
        <v>0</v>
      </c>
      <c r="W2848" s="44">
        <f>Planning[[#This Row],[Horas Planificadas]]+Planning[[#This Row],[Horas ajustadas adicionales]]</f>
        <v>0</v>
      </c>
      <c r="X2848" s="142"/>
    </row>
    <row r="2849" spans="1:24" x14ac:dyDescent="0.2">
      <c r="A2849" s="7" t="s">
        <v>204</v>
      </c>
      <c r="B2849" s="7" t="s">
        <v>393</v>
      </c>
      <c r="C2849" s="3"/>
      <c r="D2849" s="3" t="s">
        <v>562</v>
      </c>
      <c r="E2849" s="4"/>
      <c r="F2849" s="3" t="s">
        <v>130</v>
      </c>
      <c r="G2849" s="9"/>
      <c r="H2849" s="9"/>
      <c r="I2849" s="12"/>
      <c r="J2849" s="5" t="e">
        <f>SUM(SUMIFS(#REF!,#REF!,Planning[[#This Row],[Tipo de Tarea y especialidad]],#REF!,Planning[[#This Row],[Proyectos Reiwa]]),SUMIFS(#REF!,#REF!,Planning[[#This Row],[Tipo de Tarea y especialidad]],#REF!,Planning[[#This Row],[Proyectos]]))</f>
        <v>#REF!</v>
      </c>
      <c r="K2849" s="5" t="e">
        <f>Planning[[#This Row],[Horas Planificadas]]+Planning[[#This Row],[Horas ajustadas adicionales]]-Planning[[#This Row],[Horas utilizadas]]</f>
        <v>#REF!</v>
      </c>
      <c r="L2849" s="7"/>
      <c r="M2849" s="19" t="e">
        <f>Planning[[#This Row],[Saldo]]-Planning[[#This Row],[Saldo estimado]]</f>
        <v>#REF!</v>
      </c>
      <c r="N2849" s="60" t="e">
        <f>+SUMIFS(#REF!,#REF!,Planning[[#This Row],[Proyectos]],#REF!,Planning[[#This Row],[Tipo de Tarea y especialidad]])</f>
        <v>#REF!</v>
      </c>
      <c r="O2849" s="19">
        <f t="shared" si="88"/>
        <v>10</v>
      </c>
      <c r="P2849" s="19">
        <f t="shared" si="89"/>
        <v>2024</v>
      </c>
      <c r="Q28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49" s="19" t="str">
        <f>TEXT(Planning[[#This Row],[Mes]]*29,"mmmm")</f>
        <v>October</v>
      </c>
      <c r="S28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49" s="193"/>
      <c r="U2849" s="43">
        <f>IF(Planning[[#This Row],[Horas Planificadas]]&lt;&gt;0,+K2849/Planning[[#This Row],[Horas Planificadas]],0)</f>
        <v>0</v>
      </c>
      <c r="V2849" s="43">
        <f>IF(Planning[[#This Row],[Horas Planificadas]]&lt;&gt;0,Planning[[#This Row],[Horas utilizadas]]/Planning[[#This Row],[Horas Planificadas]],0)</f>
        <v>0</v>
      </c>
      <c r="W2849" s="44">
        <f>Planning[[#This Row],[Horas Planificadas]]+Planning[[#This Row],[Horas ajustadas adicionales]]</f>
        <v>0</v>
      </c>
      <c r="X2849" s="142"/>
    </row>
    <row r="2850" spans="1:24" x14ac:dyDescent="0.2">
      <c r="A2850" s="7" t="s">
        <v>204</v>
      </c>
      <c r="B2850" s="7" t="s">
        <v>393</v>
      </c>
      <c r="C2850" s="3"/>
      <c r="D2850" s="3" t="s">
        <v>562</v>
      </c>
      <c r="E2850" s="4"/>
      <c r="F2850" s="3" t="s">
        <v>131</v>
      </c>
      <c r="G2850" s="9"/>
      <c r="H2850" s="9">
        <v>480</v>
      </c>
      <c r="I2850" s="12"/>
      <c r="J2850" s="5" t="e">
        <f>SUM(SUMIFS(#REF!,#REF!,Planning[[#This Row],[Tipo de Tarea y especialidad]],#REF!,Planning[[#This Row],[Proyectos Reiwa]]),SUMIFS(#REF!,#REF!,Planning[[#This Row],[Tipo de Tarea y especialidad]],#REF!,Planning[[#This Row],[Proyectos]]))</f>
        <v>#REF!</v>
      </c>
      <c r="K2850" s="5" t="e">
        <f>Planning[[#This Row],[Horas Planificadas]]+Planning[[#This Row],[Horas ajustadas adicionales]]-Planning[[#This Row],[Horas utilizadas]]</f>
        <v>#REF!</v>
      </c>
      <c r="L2850" s="7">
        <v>480</v>
      </c>
      <c r="M2850" s="19" t="e">
        <f>Planning[[#This Row],[Saldo]]-Planning[[#This Row],[Saldo estimado]]</f>
        <v>#REF!</v>
      </c>
      <c r="N2850" s="60" t="e">
        <f>+SUMIFS(#REF!,#REF!,Planning[[#This Row],[Proyectos]],#REF!,Planning[[#This Row],[Tipo de Tarea y especialidad]])</f>
        <v>#REF!</v>
      </c>
      <c r="O2850" s="19">
        <f t="shared" si="88"/>
        <v>10</v>
      </c>
      <c r="P2850" s="19">
        <f t="shared" si="89"/>
        <v>2024</v>
      </c>
      <c r="Q28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50" s="19" t="str">
        <f>TEXT(Planning[[#This Row],[Mes]]*29,"mmmm")</f>
        <v>October</v>
      </c>
      <c r="S28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50" s="193"/>
      <c r="U2850" s="43" t="e">
        <f>IF(Planning[[#This Row],[Horas Planificadas]]&lt;&gt;0,+K2850/Planning[[#This Row],[Horas Planificadas]],0)</f>
        <v>#REF!</v>
      </c>
      <c r="V2850" s="43" t="e">
        <f>IF(Planning[[#This Row],[Horas Planificadas]]&lt;&gt;0,Planning[[#This Row],[Horas utilizadas]]/Planning[[#This Row],[Horas Planificadas]],0)</f>
        <v>#REF!</v>
      </c>
      <c r="W2850" s="44">
        <f>Planning[[#This Row],[Horas Planificadas]]+Planning[[#This Row],[Horas ajustadas adicionales]]</f>
        <v>480</v>
      </c>
      <c r="X2850" s="142"/>
    </row>
    <row r="2851" spans="1:24" ht="22.5" x14ac:dyDescent="0.2">
      <c r="A2851" s="7" t="s">
        <v>204</v>
      </c>
      <c r="B2851" s="7" t="s">
        <v>393</v>
      </c>
      <c r="C2851" s="3"/>
      <c r="D2851" s="3" t="s">
        <v>564</v>
      </c>
      <c r="E2851" s="4" t="s">
        <v>28</v>
      </c>
      <c r="F2851" s="3"/>
      <c r="G2851" s="9">
        <v>170</v>
      </c>
      <c r="H2851" s="14">
        <f>SUM(H2852:H2853)</f>
        <v>190</v>
      </c>
      <c r="I2851" s="14"/>
      <c r="J2851" s="14" t="e">
        <f>SUM(J2852:J2853)</f>
        <v>#REF!</v>
      </c>
      <c r="K2851" s="15" t="e">
        <f>SUM(K2852:K2853)</f>
        <v>#REF!</v>
      </c>
      <c r="L2851" s="15">
        <f>SUM(L2852:L2853)</f>
        <v>0</v>
      </c>
      <c r="M2851" s="28" t="e">
        <f>SUM(M2852:M2853)</f>
        <v>#REF!</v>
      </c>
      <c r="N2851" s="61" t="e">
        <f>+SUMIFS(#REF!,#REF!,Planning[[#This Row],[Proyectos]],#REF!,Planning[[#This Row],[Tipo de Tarea y especialidad]])</f>
        <v>#REF!</v>
      </c>
      <c r="O2851" s="28">
        <f t="shared" si="88"/>
        <v>10</v>
      </c>
      <c r="P2851" s="28">
        <f t="shared" si="89"/>
        <v>2024</v>
      </c>
      <c r="Q2851" s="28" t="e">
        <f>SUM(Q2852:Q2853)</f>
        <v>#REF!</v>
      </c>
      <c r="R2851" s="28" t="str">
        <f>TEXT(Planning[[#This Row],[Mes]]*29,"mmmm")</f>
        <v>October</v>
      </c>
      <c r="S28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51" s="192" t="s">
        <v>565</v>
      </c>
      <c r="U2851" s="43" t="e">
        <f>IF(Planning[[#This Row],[Horas Planificadas]]&lt;&gt;0,+K2851/Planning[[#This Row],[Horas Planificadas]],0)</f>
        <v>#REF!</v>
      </c>
      <c r="V2851" s="43" t="e">
        <f>IF(Planning[[#This Row],[Horas Planificadas]]&lt;&gt;0,Planning[[#This Row],[Horas utilizadas]]/Planning[[#This Row],[Horas Planificadas]],0)</f>
        <v>#REF!</v>
      </c>
      <c r="W2851" s="44">
        <f>Planning[[#This Row],[Horas Planificadas]]+Planning[[#This Row],[Horas ajustadas adicionales]]</f>
        <v>190</v>
      </c>
      <c r="X2851" s="142"/>
    </row>
    <row r="2852" spans="1:24" x14ac:dyDescent="0.2">
      <c r="A2852" s="7" t="s">
        <v>204</v>
      </c>
      <c r="B2852" s="7" t="s">
        <v>393</v>
      </c>
      <c r="C2852" s="3"/>
      <c r="D2852" s="3" t="s">
        <v>564</v>
      </c>
      <c r="E2852" s="4"/>
      <c r="F2852" s="3" t="s">
        <v>120</v>
      </c>
      <c r="G2852" s="9"/>
      <c r="H2852" s="9">
        <v>150</v>
      </c>
      <c r="I2852" s="12"/>
      <c r="J2852" s="5" t="e">
        <f>SUM(SUMIFS(#REF!,#REF!,Planning[[#This Row],[Tipo de Tarea y especialidad]],#REF!,Planning[[#This Row],[Proyectos Reiwa]]),SUMIFS(#REF!,#REF!,Planning[[#This Row],[Tipo de Tarea y especialidad]],#REF!,Planning[[#This Row],[Proyectos]]))</f>
        <v>#REF!</v>
      </c>
      <c r="K2852" s="5" t="e">
        <f>Planning[[#This Row],[Horas Planificadas]]+Planning[[#This Row],[Horas ajustadas adicionales]]-Planning[[#This Row],[Horas utilizadas]]</f>
        <v>#REF!</v>
      </c>
      <c r="L2852" s="7">
        <v>0</v>
      </c>
      <c r="M2852" s="19" t="e">
        <f>Planning[[#This Row],[Saldo]]-Planning[[#This Row],[Saldo estimado]]</f>
        <v>#REF!</v>
      </c>
      <c r="N2852" s="60" t="e">
        <f>+SUMIFS(#REF!,#REF!,Planning[[#This Row],[Proyectos]],#REF!,Planning[[#This Row],[Tipo de Tarea y especialidad]])</f>
        <v>#REF!</v>
      </c>
      <c r="O2852" s="19">
        <f t="shared" si="88"/>
        <v>10</v>
      </c>
      <c r="P2852" s="19">
        <f t="shared" si="89"/>
        <v>2024</v>
      </c>
      <c r="Q28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52" s="19" t="str">
        <f>TEXT(Planning[[#This Row],[Mes]]*29,"mmmm")</f>
        <v>October</v>
      </c>
      <c r="S28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52" s="193"/>
      <c r="U2852" s="43" t="e">
        <f>IF(Planning[[#This Row],[Horas Planificadas]]&lt;&gt;0,+K2852/Planning[[#This Row],[Horas Planificadas]],0)</f>
        <v>#REF!</v>
      </c>
      <c r="V2852" s="43" t="e">
        <f>IF(Planning[[#This Row],[Horas Planificadas]]&lt;&gt;0,Planning[[#This Row],[Horas utilizadas]]/Planning[[#This Row],[Horas Planificadas]],0)</f>
        <v>#REF!</v>
      </c>
      <c r="W2852" s="44">
        <f>Planning[[#This Row],[Horas Planificadas]]+Planning[[#This Row],[Horas ajustadas adicionales]]</f>
        <v>150</v>
      </c>
      <c r="X2852" s="142"/>
    </row>
    <row r="2853" spans="1:24" x14ac:dyDescent="0.2">
      <c r="A2853" s="7" t="s">
        <v>204</v>
      </c>
      <c r="B2853" s="7" t="s">
        <v>393</v>
      </c>
      <c r="C2853" s="3"/>
      <c r="D2853" s="3" t="s">
        <v>564</v>
      </c>
      <c r="E2853" s="4"/>
      <c r="F2853" s="3" t="s">
        <v>121</v>
      </c>
      <c r="G2853" s="9"/>
      <c r="H2853" s="9">
        <v>40</v>
      </c>
      <c r="I2853" s="12"/>
      <c r="J2853" s="5" t="e">
        <f>SUM(SUMIFS(#REF!,#REF!,Planning[[#This Row],[Tipo de Tarea y especialidad]],#REF!,Planning[[#This Row],[Proyectos Reiwa]]),SUMIFS(#REF!,#REF!,Planning[[#This Row],[Tipo de Tarea y especialidad]],#REF!,Planning[[#This Row],[Proyectos]]))</f>
        <v>#REF!</v>
      </c>
      <c r="K2853" s="5" t="e">
        <f>Planning[[#This Row],[Horas Planificadas]]+Planning[[#This Row],[Horas ajustadas adicionales]]-Planning[[#This Row],[Horas utilizadas]]</f>
        <v>#REF!</v>
      </c>
      <c r="L2853" s="7">
        <v>0</v>
      </c>
      <c r="M2853" s="19" t="e">
        <f>Planning[[#This Row],[Saldo]]-Planning[[#This Row],[Saldo estimado]]</f>
        <v>#REF!</v>
      </c>
      <c r="N2853" s="60" t="e">
        <f>+SUMIFS(#REF!,#REF!,Planning[[#This Row],[Proyectos]],#REF!,Planning[[#This Row],[Tipo de Tarea y especialidad]])</f>
        <v>#REF!</v>
      </c>
      <c r="O2853" s="19">
        <f t="shared" si="88"/>
        <v>10</v>
      </c>
      <c r="P2853" s="19">
        <f t="shared" si="89"/>
        <v>2024</v>
      </c>
      <c r="Q28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53" s="19" t="str">
        <f>TEXT(Planning[[#This Row],[Mes]]*29,"mmmm")</f>
        <v>October</v>
      </c>
      <c r="S28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53" s="193"/>
      <c r="U2853" s="43" t="e">
        <f>IF(Planning[[#This Row],[Horas Planificadas]]&lt;&gt;0,+K2853/Planning[[#This Row],[Horas Planificadas]],0)</f>
        <v>#REF!</v>
      </c>
      <c r="V2853" s="43" t="e">
        <f>IF(Planning[[#This Row],[Horas Planificadas]]&lt;&gt;0,Planning[[#This Row],[Horas utilizadas]]/Planning[[#This Row],[Horas Planificadas]],0)</f>
        <v>#REF!</v>
      </c>
      <c r="W2853" s="44">
        <f>Planning[[#This Row],[Horas Planificadas]]+Planning[[#This Row],[Horas ajustadas adicionales]]</f>
        <v>40</v>
      </c>
      <c r="X2853" s="142"/>
    </row>
    <row r="2854" spans="1:24" x14ac:dyDescent="0.2">
      <c r="A2854" s="7" t="s">
        <v>204</v>
      </c>
      <c r="B2854" s="7" t="s">
        <v>393</v>
      </c>
      <c r="C2854" s="3"/>
      <c r="D2854" s="3" t="s">
        <v>564</v>
      </c>
      <c r="E2854" s="4" t="s">
        <v>30</v>
      </c>
      <c r="F2854" s="3"/>
      <c r="G2854" s="9">
        <v>166</v>
      </c>
      <c r="H2854" s="25">
        <f>SUM(H2855:H2861)</f>
        <v>131</v>
      </c>
      <c r="I2854" s="14"/>
      <c r="J2854" s="14" t="e">
        <f>SUM(J2855:J2861)</f>
        <v>#REF!</v>
      </c>
      <c r="K2854" s="18" t="e">
        <f>SUM(K2855:K2861)</f>
        <v>#REF!</v>
      </c>
      <c r="L2854" s="15">
        <f>SUM(L2855:L2861)</f>
        <v>0</v>
      </c>
      <c r="M2854" s="16" t="e">
        <f>SUM(M2855:M2861)</f>
        <v>#REF!</v>
      </c>
      <c r="N2854" s="60" t="e">
        <f>+SUMIFS(#REF!,#REF!,Planning[[#This Row],[Proyectos]],#REF!,Planning[[#This Row],[Tipo de Tarea y especialidad]])</f>
        <v>#REF!</v>
      </c>
      <c r="O2854" s="16">
        <f t="shared" si="88"/>
        <v>10</v>
      </c>
      <c r="P2854" s="16">
        <f t="shared" si="89"/>
        <v>2024</v>
      </c>
      <c r="Q2854" s="16" t="e">
        <f>SUM(Q2855:Q2861)</f>
        <v>#REF!</v>
      </c>
      <c r="R2854" s="16" t="str">
        <f>TEXT(Planning[[#This Row],[Mes]]*29,"mmmm")</f>
        <v>October</v>
      </c>
      <c r="S28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54" s="193"/>
      <c r="U2854" s="43" t="e">
        <f>IF(Planning[[#This Row],[Horas Planificadas]]&lt;&gt;0,+K2854/Planning[[#This Row],[Horas Planificadas]],0)</f>
        <v>#REF!</v>
      </c>
      <c r="V2854" s="43" t="e">
        <f>IF(Planning[[#This Row],[Horas Planificadas]]&lt;&gt;0,Planning[[#This Row],[Horas utilizadas]]/Planning[[#This Row],[Horas Planificadas]],0)</f>
        <v>#REF!</v>
      </c>
      <c r="W2854" s="44">
        <f>Planning[[#This Row],[Horas Planificadas]]+Planning[[#This Row],[Horas ajustadas adicionales]]</f>
        <v>131</v>
      </c>
      <c r="X2854" s="142"/>
    </row>
    <row r="2855" spans="1:24" x14ac:dyDescent="0.2">
      <c r="A2855" s="7" t="s">
        <v>204</v>
      </c>
      <c r="B2855" s="7" t="s">
        <v>393</v>
      </c>
      <c r="C2855" s="3"/>
      <c r="D2855" s="3" t="s">
        <v>564</v>
      </c>
      <c r="E2855" s="4"/>
      <c r="F2855" s="3" t="s">
        <v>122</v>
      </c>
      <c r="G2855" s="9"/>
      <c r="H2855" s="12"/>
      <c r="I2855" s="12"/>
      <c r="J2855" s="5" t="e">
        <f>SUM(SUMIFS(#REF!,#REF!,Planning[[#This Row],[Tipo de Tarea y especialidad]],#REF!,Planning[[#This Row],[Proyectos Reiwa]]),SUMIFS(#REF!,#REF!,Planning[[#This Row],[Tipo de Tarea y especialidad]],#REF!,Planning[[#This Row],[Proyectos]]))</f>
        <v>#REF!</v>
      </c>
      <c r="K2855" s="27" t="e">
        <f>Planning[[#This Row],[Horas Planificadas]]+Planning[[#This Row],[Horas ajustadas adicionales]]-Planning[[#This Row],[Horas utilizadas]]</f>
        <v>#REF!</v>
      </c>
      <c r="L2855" s="7"/>
      <c r="M2855" s="34" t="e">
        <f>Planning[[#This Row],[Saldo]]-Planning[[#This Row],[Saldo estimado]]</f>
        <v>#REF!</v>
      </c>
      <c r="N2855" s="62" t="e">
        <f>+SUMIFS(#REF!,#REF!,Planning[[#This Row],[Proyectos]],#REF!,Planning[[#This Row],[Tipo de Tarea y especialidad]])</f>
        <v>#REF!</v>
      </c>
      <c r="O2855" s="34">
        <f t="shared" si="88"/>
        <v>10</v>
      </c>
      <c r="P2855" s="34">
        <f t="shared" si="89"/>
        <v>2024</v>
      </c>
      <c r="Q28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55" s="19" t="str">
        <f>TEXT(Planning[[#This Row],[Mes]]*29,"mmmm")</f>
        <v>October</v>
      </c>
      <c r="S28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55" s="193"/>
      <c r="U2855" s="43">
        <f>IF(Planning[[#This Row],[Horas Planificadas]]&lt;&gt;0,+K2855/Planning[[#This Row],[Horas Planificadas]],0)</f>
        <v>0</v>
      </c>
      <c r="V2855" s="43">
        <f>IF(Planning[[#This Row],[Horas Planificadas]]&lt;&gt;0,Planning[[#This Row],[Horas utilizadas]]/Planning[[#This Row],[Horas Planificadas]],0)</f>
        <v>0</v>
      </c>
      <c r="W2855" s="44">
        <f>Planning[[#This Row],[Horas Planificadas]]+Planning[[#This Row],[Horas ajustadas adicionales]]</f>
        <v>0</v>
      </c>
      <c r="X2855" s="142"/>
    </row>
    <row r="2856" spans="1:24" x14ac:dyDescent="0.2">
      <c r="A2856" s="7" t="s">
        <v>204</v>
      </c>
      <c r="B2856" s="7" t="s">
        <v>393</v>
      </c>
      <c r="C2856" s="3"/>
      <c r="D2856" s="3" t="s">
        <v>564</v>
      </c>
      <c r="E2856" s="4"/>
      <c r="F2856" s="3" t="s">
        <v>123</v>
      </c>
      <c r="G2856" s="9"/>
      <c r="H2856" s="9"/>
      <c r="I2856" s="12"/>
      <c r="J2856" s="5" t="e">
        <f>SUM(SUMIFS(#REF!,#REF!,Planning[[#This Row],[Tipo de Tarea y especialidad]],#REF!,Planning[[#This Row],[Proyectos Reiwa]]),SUMIFS(#REF!,#REF!,Planning[[#This Row],[Tipo de Tarea y especialidad]],#REF!,Planning[[#This Row],[Proyectos]]))</f>
        <v>#REF!</v>
      </c>
      <c r="K2856" s="5" t="e">
        <f>Planning[[#This Row],[Horas Planificadas]]+Planning[[#This Row],[Horas ajustadas adicionales]]-Planning[[#This Row],[Horas utilizadas]]</f>
        <v>#REF!</v>
      </c>
      <c r="L2856" s="7"/>
      <c r="M2856" s="19" t="e">
        <f>Planning[[#This Row],[Saldo]]-Planning[[#This Row],[Saldo estimado]]</f>
        <v>#REF!</v>
      </c>
      <c r="N2856" s="60" t="e">
        <f>+SUMIFS(#REF!,#REF!,Planning[[#This Row],[Proyectos]],#REF!,Planning[[#This Row],[Tipo de Tarea y especialidad]])</f>
        <v>#REF!</v>
      </c>
      <c r="O2856" s="19">
        <f t="shared" si="88"/>
        <v>10</v>
      </c>
      <c r="P2856" s="19">
        <f t="shared" si="89"/>
        <v>2024</v>
      </c>
      <c r="Q28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56" s="19" t="str">
        <f>TEXT(Planning[[#This Row],[Mes]]*29,"mmmm")</f>
        <v>October</v>
      </c>
      <c r="S28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56" s="193"/>
      <c r="U2856" s="43">
        <f>IF(Planning[[#This Row],[Horas Planificadas]]&lt;&gt;0,+K2856/Planning[[#This Row],[Horas Planificadas]],0)</f>
        <v>0</v>
      </c>
      <c r="V2856" s="43">
        <f>IF(Planning[[#This Row],[Horas Planificadas]]&lt;&gt;0,Planning[[#This Row],[Horas utilizadas]]/Planning[[#This Row],[Horas Planificadas]],0)</f>
        <v>0</v>
      </c>
      <c r="W2856" s="44">
        <f>Planning[[#This Row],[Horas Planificadas]]+Planning[[#This Row],[Horas ajustadas adicionales]]</f>
        <v>0</v>
      </c>
      <c r="X2856" s="142"/>
    </row>
    <row r="2857" spans="1:24" x14ac:dyDescent="0.2">
      <c r="A2857" s="7" t="s">
        <v>204</v>
      </c>
      <c r="B2857" s="7" t="s">
        <v>393</v>
      </c>
      <c r="C2857" s="3"/>
      <c r="D2857" s="3" t="s">
        <v>564</v>
      </c>
      <c r="E2857" s="4"/>
      <c r="F2857" s="3" t="s">
        <v>124</v>
      </c>
      <c r="G2857" s="9"/>
      <c r="H2857" s="9">
        <v>131</v>
      </c>
      <c r="I2857" s="12"/>
      <c r="J2857" s="5" t="e">
        <f>SUM(SUMIFS(#REF!,#REF!,Planning[[#This Row],[Tipo de Tarea y especialidad]],#REF!,Planning[[#This Row],[Proyectos Reiwa]]),SUMIFS(#REF!,#REF!,Planning[[#This Row],[Tipo de Tarea y especialidad]],#REF!,Planning[[#This Row],[Proyectos]]))</f>
        <v>#REF!</v>
      </c>
      <c r="K2857" s="5" t="e">
        <f>Planning[[#This Row],[Horas Planificadas]]+Planning[[#This Row],[Horas ajustadas adicionales]]-Planning[[#This Row],[Horas utilizadas]]</f>
        <v>#REF!</v>
      </c>
      <c r="L2857" s="7">
        <v>0</v>
      </c>
      <c r="M2857" s="19" t="e">
        <f>Planning[[#This Row],[Saldo]]-Planning[[#This Row],[Saldo estimado]]</f>
        <v>#REF!</v>
      </c>
      <c r="N2857" s="60" t="e">
        <f>+SUMIFS(#REF!,#REF!,Planning[[#This Row],[Proyectos]],#REF!,Planning[[#This Row],[Tipo de Tarea y especialidad]])</f>
        <v>#REF!</v>
      </c>
      <c r="O2857" s="19">
        <f t="shared" si="88"/>
        <v>10</v>
      </c>
      <c r="P2857" s="19">
        <f t="shared" si="89"/>
        <v>2024</v>
      </c>
      <c r="Q28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57" s="19" t="str">
        <f>TEXT(Planning[[#This Row],[Mes]]*29,"mmmm")</f>
        <v>October</v>
      </c>
      <c r="S28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57" s="193"/>
      <c r="U2857" s="43" t="e">
        <f>IF(Planning[[#This Row],[Horas Planificadas]]&lt;&gt;0,+K2857/Planning[[#This Row],[Horas Planificadas]],0)</f>
        <v>#REF!</v>
      </c>
      <c r="V2857" s="43" t="e">
        <f>IF(Planning[[#This Row],[Horas Planificadas]]&lt;&gt;0,Planning[[#This Row],[Horas utilizadas]]/Planning[[#This Row],[Horas Planificadas]],0)</f>
        <v>#REF!</v>
      </c>
      <c r="W2857" s="44">
        <f>Planning[[#This Row],[Horas Planificadas]]+Planning[[#This Row],[Horas ajustadas adicionales]]</f>
        <v>131</v>
      </c>
      <c r="X2857" s="142"/>
    </row>
    <row r="2858" spans="1:24" x14ac:dyDescent="0.2">
      <c r="A2858" s="7" t="s">
        <v>204</v>
      </c>
      <c r="B2858" s="7" t="s">
        <v>393</v>
      </c>
      <c r="C2858" s="3"/>
      <c r="D2858" s="3" t="s">
        <v>564</v>
      </c>
      <c r="E2858" s="4"/>
      <c r="F2858" s="3" t="s">
        <v>125</v>
      </c>
      <c r="G2858" s="9"/>
      <c r="H2858" s="12"/>
      <c r="I2858" s="12"/>
      <c r="J2858" s="5" t="e">
        <f>SUM(SUMIFS(#REF!,#REF!,Planning[[#This Row],[Tipo de Tarea y especialidad]],#REF!,Planning[[#This Row],[Proyectos Reiwa]]),SUMIFS(#REF!,#REF!,Planning[[#This Row],[Tipo de Tarea y especialidad]],#REF!,Planning[[#This Row],[Proyectos]]))</f>
        <v>#REF!</v>
      </c>
      <c r="K2858" s="27" t="e">
        <f>Planning[[#This Row],[Horas Planificadas]]+Planning[[#This Row],[Horas ajustadas adicionales]]-Planning[[#This Row],[Horas utilizadas]]</f>
        <v>#REF!</v>
      </c>
      <c r="L2858" s="7"/>
      <c r="M2858" s="19" t="e">
        <f>Planning[[#This Row],[Saldo]]-Planning[[#This Row],[Saldo estimado]]</f>
        <v>#REF!</v>
      </c>
      <c r="N2858" s="60" t="e">
        <f>+SUMIFS(#REF!,#REF!,Planning[[#This Row],[Proyectos]],#REF!,Planning[[#This Row],[Tipo de Tarea y especialidad]])</f>
        <v>#REF!</v>
      </c>
      <c r="O2858" s="19">
        <f t="shared" si="88"/>
        <v>10</v>
      </c>
      <c r="P2858" s="19">
        <f t="shared" si="89"/>
        <v>2024</v>
      </c>
      <c r="Q28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58" s="19" t="str">
        <f>TEXT(Planning[[#This Row],[Mes]]*29,"mmmm")</f>
        <v>October</v>
      </c>
      <c r="S28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58" s="193"/>
      <c r="U2858" s="43">
        <f>IF(Planning[[#This Row],[Horas Planificadas]]&lt;&gt;0,+K2858/Planning[[#This Row],[Horas Planificadas]],0)</f>
        <v>0</v>
      </c>
      <c r="V2858" s="43">
        <f>IF(Planning[[#This Row],[Horas Planificadas]]&lt;&gt;0,Planning[[#This Row],[Horas utilizadas]]/Planning[[#This Row],[Horas Planificadas]],0)</f>
        <v>0</v>
      </c>
      <c r="W2858" s="44">
        <f>Planning[[#This Row],[Horas Planificadas]]+Planning[[#This Row],[Horas ajustadas adicionales]]</f>
        <v>0</v>
      </c>
      <c r="X2858" s="142"/>
    </row>
    <row r="2859" spans="1:24" x14ac:dyDescent="0.2">
      <c r="A2859" s="7" t="s">
        <v>204</v>
      </c>
      <c r="B2859" s="7" t="s">
        <v>393</v>
      </c>
      <c r="C2859" s="3"/>
      <c r="D2859" s="3" t="s">
        <v>564</v>
      </c>
      <c r="E2859" s="4"/>
      <c r="F2859" s="3" t="s">
        <v>126</v>
      </c>
      <c r="G2859" s="9"/>
      <c r="H2859" s="9"/>
      <c r="I2859" s="12"/>
      <c r="J2859" s="5" t="e">
        <f>SUM(SUMIFS(#REF!,#REF!,Planning[[#This Row],[Tipo de Tarea y especialidad]],#REF!,Planning[[#This Row],[Proyectos Reiwa]]),SUMIFS(#REF!,#REF!,Planning[[#This Row],[Tipo de Tarea y especialidad]],#REF!,Planning[[#This Row],[Proyectos]]))</f>
        <v>#REF!</v>
      </c>
      <c r="K2859" s="5" t="e">
        <f>Planning[[#This Row],[Horas Planificadas]]+Planning[[#This Row],[Horas ajustadas adicionales]]-Planning[[#This Row],[Horas utilizadas]]</f>
        <v>#REF!</v>
      </c>
      <c r="L2859" s="7"/>
      <c r="M2859" s="19" t="e">
        <f>Planning[[#This Row],[Saldo]]-Planning[[#This Row],[Saldo estimado]]</f>
        <v>#REF!</v>
      </c>
      <c r="N2859" s="60" t="e">
        <f>+SUMIFS(#REF!,#REF!,Planning[[#This Row],[Proyectos]],#REF!,Planning[[#This Row],[Tipo de Tarea y especialidad]])</f>
        <v>#REF!</v>
      </c>
      <c r="O2859" s="19">
        <f t="shared" si="88"/>
        <v>10</v>
      </c>
      <c r="P2859" s="19">
        <f t="shared" si="89"/>
        <v>2024</v>
      </c>
      <c r="Q28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59" s="19" t="str">
        <f>TEXT(Planning[[#This Row],[Mes]]*29,"mmmm")</f>
        <v>October</v>
      </c>
      <c r="S28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59" s="193"/>
      <c r="U2859" s="43">
        <f>IF(Planning[[#This Row],[Horas Planificadas]]&lt;&gt;0,+K2859/Planning[[#This Row],[Horas Planificadas]],0)</f>
        <v>0</v>
      </c>
      <c r="V2859" s="43">
        <f>IF(Planning[[#This Row],[Horas Planificadas]]&lt;&gt;0,Planning[[#This Row],[Horas utilizadas]]/Planning[[#This Row],[Horas Planificadas]],0)</f>
        <v>0</v>
      </c>
      <c r="W2859" s="44">
        <f>Planning[[#This Row],[Horas Planificadas]]+Planning[[#This Row],[Horas ajustadas adicionales]]</f>
        <v>0</v>
      </c>
      <c r="X2859" s="142"/>
    </row>
    <row r="2860" spans="1:24" x14ac:dyDescent="0.2">
      <c r="A2860" s="7" t="s">
        <v>204</v>
      </c>
      <c r="B2860" s="7" t="s">
        <v>393</v>
      </c>
      <c r="C2860" s="3"/>
      <c r="D2860" s="3" t="s">
        <v>564</v>
      </c>
      <c r="E2860" s="4"/>
      <c r="F2860" s="3" t="s">
        <v>127</v>
      </c>
      <c r="G2860" s="9"/>
      <c r="H2860" s="9"/>
      <c r="I2860" s="12"/>
      <c r="J2860" s="5" t="e">
        <f>SUM(SUMIFS(#REF!,#REF!,Planning[[#This Row],[Tipo de Tarea y especialidad]],#REF!,Planning[[#This Row],[Proyectos Reiwa]]),SUMIFS(#REF!,#REF!,Planning[[#This Row],[Tipo de Tarea y especialidad]],#REF!,Planning[[#This Row],[Proyectos]]))</f>
        <v>#REF!</v>
      </c>
      <c r="K2860" s="5" t="e">
        <f>Planning[[#This Row],[Horas Planificadas]]+Planning[[#This Row],[Horas ajustadas adicionales]]-Planning[[#This Row],[Horas utilizadas]]</f>
        <v>#REF!</v>
      </c>
      <c r="L2860" s="7"/>
      <c r="M2860" s="19" t="e">
        <f>Planning[[#This Row],[Saldo]]-Planning[[#This Row],[Saldo estimado]]</f>
        <v>#REF!</v>
      </c>
      <c r="N2860" s="60" t="e">
        <f>+SUMIFS(#REF!,#REF!,Planning[[#This Row],[Proyectos]],#REF!,Planning[[#This Row],[Tipo de Tarea y especialidad]])</f>
        <v>#REF!</v>
      </c>
      <c r="O2860" s="19">
        <f t="shared" si="88"/>
        <v>10</v>
      </c>
      <c r="P2860" s="19">
        <f t="shared" si="89"/>
        <v>2024</v>
      </c>
      <c r="Q28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60" s="19" t="str">
        <f>TEXT(Planning[[#This Row],[Mes]]*29,"mmmm")</f>
        <v>October</v>
      </c>
      <c r="S28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60" s="193"/>
      <c r="U2860" s="43">
        <f>IF(Planning[[#This Row],[Horas Planificadas]]&lt;&gt;0,+K2860/Planning[[#This Row],[Horas Planificadas]],0)</f>
        <v>0</v>
      </c>
      <c r="V2860" s="43">
        <f>IF(Planning[[#This Row],[Horas Planificadas]]&lt;&gt;0,Planning[[#This Row],[Horas utilizadas]]/Planning[[#This Row],[Horas Planificadas]],0)</f>
        <v>0</v>
      </c>
      <c r="W2860" s="44">
        <f>Planning[[#This Row],[Horas Planificadas]]+Planning[[#This Row],[Horas ajustadas adicionales]]</f>
        <v>0</v>
      </c>
      <c r="X2860" s="142"/>
    </row>
    <row r="2861" spans="1:24" x14ac:dyDescent="0.2">
      <c r="A2861" s="7" t="s">
        <v>204</v>
      </c>
      <c r="B2861" s="7" t="s">
        <v>393</v>
      </c>
      <c r="C2861" s="3"/>
      <c r="D2861" s="3" t="s">
        <v>564</v>
      </c>
      <c r="E2861" s="4"/>
      <c r="F2861" s="3" t="s">
        <v>128</v>
      </c>
      <c r="G2861" s="9"/>
      <c r="H2861" s="9"/>
      <c r="I2861" s="12"/>
      <c r="J2861" s="5" t="e">
        <f>SUM(SUMIFS(#REF!,#REF!,Planning[[#This Row],[Tipo de Tarea y especialidad]],#REF!,Planning[[#This Row],[Proyectos Reiwa]]),SUMIFS(#REF!,#REF!,Planning[[#This Row],[Tipo de Tarea y especialidad]],#REF!,Planning[[#This Row],[Proyectos]]))</f>
        <v>#REF!</v>
      </c>
      <c r="K2861" s="5" t="e">
        <f>Planning[[#This Row],[Horas Planificadas]]+Planning[[#This Row],[Horas ajustadas adicionales]]-Planning[[#This Row],[Horas utilizadas]]</f>
        <v>#REF!</v>
      </c>
      <c r="L2861" s="7"/>
      <c r="M2861" s="19" t="e">
        <f>Planning[[#This Row],[Saldo]]-Planning[[#This Row],[Saldo estimado]]</f>
        <v>#REF!</v>
      </c>
      <c r="N2861" s="60" t="e">
        <f>+SUMIFS(#REF!,#REF!,Planning[[#This Row],[Proyectos]],#REF!,Planning[[#This Row],[Tipo de Tarea y especialidad]])</f>
        <v>#REF!</v>
      </c>
      <c r="O2861" s="19">
        <f t="shared" si="88"/>
        <v>10</v>
      </c>
      <c r="P2861" s="19">
        <f t="shared" si="89"/>
        <v>2024</v>
      </c>
      <c r="Q28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61" s="19" t="str">
        <f>TEXT(Planning[[#This Row],[Mes]]*29,"mmmm")</f>
        <v>October</v>
      </c>
      <c r="S28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61" s="193"/>
      <c r="U2861" s="43">
        <f>IF(Planning[[#This Row],[Horas Planificadas]]&lt;&gt;0,+K2861/Planning[[#This Row],[Horas Planificadas]],0)</f>
        <v>0</v>
      </c>
      <c r="V2861" s="43">
        <f>IF(Planning[[#This Row],[Horas Planificadas]]&lt;&gt;0,Planning[[#This Row],[Horas utilizadas]]/Planning[[#This Row],[Horas Planificadas]],0)</f>
        <v>0</v>
      </c>
      <c r="W2861" s="44">
        <f>Planning[[#This Row],[Horas Planificadas]]+Planning[[#This Row],[Horas ajustadas adicionales]]</f>
        <v>0</v>
      </c>
      <c r="X2861" s="142"/>
    </row>
    <row r="2862" spans="1:24" x14ac:dyDescent="0.2">
      <c r="A2862" s="7" t="s">
        <v>204</v>
      </c>
      <c r="B2862" s="7" t="s">
        <v>393</v>
      </c>
      <c r="C2862" s="3"/>
      <c r="D2862" s="3" t="s">
        <v>564</v>
      </c>
      <c r="E2862" s="4" t="s">
        <v>31</v>
      </c>
      <c r="F2862" s="3" t="s">
        <v>31</v>
      </c>
      <c r="G2862" s="9">
        <v>80</v>
      </c>
      <c r="H2862" s="17">
        <v>80</v>
      </c>
      <c r="I2862" s="18"/>
      <c r="J2862" s="14" t="e">
        <f>+SUMIFS(#REF!,#REF!,Planning[[#This Row],[Tarifa]],#REF!,Planning[[#This Row],[Proyectos]])</f>
        <v>#REF!</v>
      </c>
      <c r="K2862" s="14" t="e">
        <f>Planning[[#This Row],[Horas Planificadas]]+Planning[[#This Row],[Horas ajustadas adicionales]]-Planning[[#This Row],[Horas utilizadas]]</f>
        <v>#REF!</v>
      </c>
      <c r="L2862" s="15">
        <v>0</v>
      </c>
      <c r="M2862" s="16" t="e">
        <f>Planning[[#This Row],[Saldo]]-Planning[[#This Row],[Saldo estimado]]</f>
        <v>#REF!</v>
      </c>
      <c r="N2862" s="60" t="e">
        <f>+SUMIFS(#REF!,#REF!,Planning[[#This Row],[Proyectos]],#REF!,Planning[[#This Row],[Tipo de Tarea y especialidad]])</f>
        <v>#REF!</v>
      </c>
      <c r="O2862" s="16">
        <f t="shared" si="88"/>
        <v>10</v>
      </c>
      <c r="P2862" s="16">
        <f t="shared" si="89"/>
        <v>2024</v>
      </c>
      <c r="Q2862" s="16" t="e">
        <f>+SUMIFS(#REF!,#REF!,Planning[[#This Row],[Tarifa]],#REF!,Planning[[#This Row],[Proyectos]],#REF!,Planning[[#This Row],[Mes]],#REF!,Planning[[#This Row],[Año]])</f>
        <v>#REF!</v>
      </c>
      <c r="R2862" s="16" t="str">
        <f>TEXT(Planning[[#This Row],[Mes]]*29,"mmmm")</f>
        <v>October</v>
      </c>
      <c r="S28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62" s="193"/>
      <c r="U2862" s="43" t="e">
        <f>IF(Planning[[#This Row],[Horas Planificadas]]&lt;&gt;0,+K2862/Planning[[#This Row],[Horas Planificadas]],0)</f>
        <v>#REF!</v>
      </c>
      <c r="V2862" s="43" t="e">
        <f>IF(Planning[[#This Row],[Horas Planificadas]]&lt;&gt;0,Planning[[#This Row],[Horas utilizadas]]/Planning[[#This Row],[Horas Planificadas]],0)</f>
        <v>#REF!</v>
      </c>
      <c r="W2862" s="44">
        <f>Planning[[#This Row],[Horas Planificadas]]+Planning[[#This Row],[Horas ajustadas adicionales]]</f>
        <v>80</v>
      </c>
      <c r="X2862" s="142"/>
    </row>
    <row r="2863" spans="1:24" ht="22.5" x14ac:dyDescent="0.2">
      <c r="A2863" s="7" t="s">
        <v>204</v>
      </c>
      <c r="B2863" s="7" t="s">
        <v>393</v>
      </c>
      <c r="C2863" s="3"/>
      <c r="D2863" s="3" t="s">
        <v>564</v>
      </c>
      <c r="E2863" s="4" t="s">
        <v>32</v>
      </c>
      <c r="F2863" s="3"/>
      <c r="G2863" s="9">
        <v>160</v>
      </c>
      <c r="H2863" s="25">
        <f>SUM(H2864:H2866)</f>
        <v>160</v>
      </c>
      <c r="I2863" s="14"/>
      <c r="J2863" s="14" t="e">
        <f>SUM(J2864:J2866)</f>
        <v>#REF!</v>
      </c>
      <c r="K2863" s="18" t="e">
        <f>SUM(K2864:K2866)</f>
        <v>#REF!</v>
      </c>
      <c r="L2863" s="15">
        <f>SUM(L2864:L2866)</f>
        <v>0</v>
      </c>
      <c r="M2863" s="16" t="e">
        <f>SUM(M2864:M2866)</f>
        <v>#REF!</v>
      </c>
      <c r="N2863" s="60" t="e">
        <f>+SUMIFS(#REF!,#REF!,Planning[[#This Row],[Proyectos]],#REF!,Planning[[#This Row],[Tipo de Tarea y especialidad]])</f>
        <v>#REF!</v>
      </c>
      <c r="O2863" s="16">
        <f t="shared" si="88"/>
        <v>10</v>
      </c>
      <c r="P2863" s="16">
        <f t="shared" si="89"/>
        <v>2024</v>
      </c>
      <c r="Q2863" s="16" t="e">
        <f>SUM(Q2864:Q2866)</f>
        <v>#REF!</v>
      </c>
      <c r="R2863" s="16" t="str">
        <f>TEXT(Planning[[#This Row],[Mes]]*29,"mmmm")</f>
        <v>October</v>
      </c>
      <c r="S28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63" s="193"/>
      <c r="U2863" s="43" t="e">
        <f>IF(Planning[[#This Row],[Horas Planificadas]]&lt;&gt;0,+K2863/Planning[[#This Row],[Horas Planificadas]],0)</f>
        <v>#REF!</v>
      </c>
      <c r="V2863" s="43" t="e">
        <f>IF(Planning[[#This Row],[Horas Planificadas]]&lt;&gt;0,Planning[[#This Row],[Horas utilizadas]]/Planning[[#This Row],[Horas Planificadas]],0)</f>
        <v>#REF!</v>
      </c>
      <c r="W2863" s="44">
        <f>Planning[[#This Row],[Horas Planificadas]]+Planning[[#This Row],[Horas ajustadas adicionales]]</f>
        <v>160</v>
      </c>
      <c r="X2863" s="142"/>
    </row>
    <row r="2864" spans="1:24" x14ac:dyDescent="0.2">
      <c r="A2864" s="7" t="s">
        <v>204</v>
      </c>
      <c r="B2864" s="7" t="s">
        <v>393</v>
      </c>
      <c r="C2864" s="3"/>
      <c r="D2864" s="3" t="s">
        <v>564</v>
      </c>
      <c r="E2864" s="4"/>
      <c r="F2864" s="3" t="s">
        <v>129</v>
      </c>
      <c r="G2864" s="9"/>
      <c r="H2864" s="9"/>
      <c r="I2864" s="12"/>
      <c r="J2864" s="5" t="e">
        <f>SUM(SUMIFS(#REF!,#REF!,Planning[[#This Row],[Tipo de Tarea y especialidad]],#REF!,Planning[[#This Row],[Proyectos Reiwa]]),SUMIFS(#REF!,#REF!,Planning[[#This Row],[Tipo de Tarea y especialidad]],#REF!,Planning[[#This Row],[Proyectos]]))</f>
        <v>#REF!</v>
      </c>
      <c r="K2864" s="5" t="e">
        <f>Planning[[#This Row],[Horas Planificadas]]+Planning[[#This Row],[Horas ajustadas adicionales]]-Planning[[#This Row],[Horas utilizadas]]</f>
        <v>#REF!</v>
      </c>
      <c r="L2864" s="7"/>
      <c r="M2864" s="19" t="e">
        <f>Planning[[#This Row],[Saldo]]-Planning[[#This Row],[Saldo estimado]]</f>
        <v>#REF!</v>
      </c>
      <c r="N2864" s="60" t="e">
        <f>+SUMIFS(#REF!,#REF!,Planning[[#This Row],[Proyectos]],#REF!,Planning[[#This Row],[Tipo de Tarea y especialidad]])</f>
        <v>#REF!</v>
      </c>
      <c r="O2864" s="19">
        <f t="shared" si="88"/>
        <v>10</v>
      </c>
      <c r="P2864" s="19">
        <f t="shared" si="89"/>
        <v>2024</v>
      </c>
      <c r="Q28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64" s="19" t="str">
        <f>TEXT(Planning[[#This Row],[Mes]]*29,"mmmm")</f>
        <v>October</v>
      </c>
      <c r="S28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64" s="193"/>
      <c r="U2864" s="43">
        <f>IF(Planning[[#This Row],[Horas Planificadas]]&lt;&gt;0,+K2864/Planning[[#This Row],[Horas Planificadas]],0)</f>
        <v>0</v>
      </c>
      <c r="V2864" s="43">
        <f>IF(Planning[[#This Row],[Horas Planificadas]]&lt;&gt;0,Planning[[#This Row],[Horas utilizadas]]/Planning[[#This Row],[Horas Planificadas]],0)</f>
        <v>0</v>
      </c>
      <c r="W2864" s="44">
        <f>Planning[[#This Row],[Horas Planificadas]]+Planning[[#This Row],[Horas ajustadas adicionales]]</f>
        <v>0</v>
      </c>
      <c r="X2864" s="142"/>
    </row>
    <row r="2865" spans="1:24" x14ac:dyDescent="0.2">
      <c r="A2865" s="7" t="s">
        <v>204</v>
      </c>
      <c r="B2865" s="7" t="s">
        <v>393</v>
      </c>
      <c r="C2865" s="3"/>
      <c r="D2865" s="3" t="s">
        <v>564</v>
      </c>
      <c r="E2865" s="4"/>
      <c r="F2865" s="3" t="s">
        <v>130</v>
      </c>
      <c r="G2865" s="9"/>
      <c r="H2865" s="9"/>
      <c r="I2865" s="12"/>
      <c r="J2865" s="5" t="e">
        <f>SUM(SUMIFS(#REF!,#REF!,Planning[[#This Row],[Tipo de Tarea y especialidad]],#REF!,Planning[[#This Row],[Proyectos Reiwa]]),SUMIFS(#REF!,#REF!,Planning[[#This Row],[Tipo de Tarea y especialidad]],#REF!,Planning[[#This Row],[Proyectos]]))</f>
        <v>#REF!</v>
      </c>
      <c r="K2865" s="5" t="e">
        <f>Planning[[#This Row],[Horas Planificadas]]+Planning[[#This Row],[Horas ajustadas adicionales]]-Planning[[#This Row],[Horas utilizadas]]</f>
        <v>#REF!</v>
      </c>
      <c r="L2865" s="7"/>
      <c r="M2865" s="19" t="e">
        <f>Planning[[#This Row],[Saldo]]-Planning[[#This Row],[Saldo estimado]]</f>
        <v>#REF!</v>
      </c>
      <c r="N2865" s="60" t="e">
        <f>+SUMIFS(#REF!,#REF!,Planning[[#This Row],[Proyectos]],#REF!,Planning[[#This Row],[Tipo de Tarea y especialidad]])</f>
        <v>#REF!</v>
      </c>
      <c r="O2865" s="19">
        <f t="shared" si="88"/>
        <v>10</v>
      </c>
      <c r="P2865" s="19">
        <f t="shared" si="89"/>
        <v>2024</v>
      </c>
      <c r="Q28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65" s="19" t="str">
        <f>TEXT(Planning[[#This Row],[Mes]]*29,"mmmm")</f>
        <v>October</v>
      </c>
      <c r="S28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65" s="193"/>
      <c r="U2865" s="43">
        <f>IF(Planning[[#This Row],[Horas Planificadas]]&lt;&gt;0,+K2865/Planning[[#This Row],[Horas Planificadas]],0)</f>
        <v>0</v>
      </c>
      <c r="V2865" s="43">
        <f>IF(Planning[[#This Row],[Horas Planificadas]]&lt;&gt;0,Planning[[#This Row],[Horas utilizadas]]/Planning[[#This Row],[Horas Planificadas]],0)</f>
        <v>0</v>
      </c>
      <c r="W2865" s="44">
        <f>Planning[[#This Row],[Horas Planificadas]]+Planning[[#This Row],[Horas ajustadas adicionales]]</f>
        <v>0</v>
      </c>
      <c r="X2865" s="142"/>
    </row>
    <row r="2866" spans="1:24" x14ac:dyDescent="0.2">
      <c r="A2866" s="7" t="s">
        <v>204</v>
      </c>
      <c r="B2866" s="7" t="s">
        <v>393</v>
      </c>
      <c r="C2866" s="3"/>
      <c r="D2866" s="3" t="s">
        <v>564</v>
      </c>
      <c r="E2866" s="4"/>
      <c r="F2866" s="3" t="s">
        <v>131</v>
      </c>
      <c r="G2866" s="9"/>
      <c r="H2866" s="9">
        <v>160</v>
      </c>
      <c r="I2866" s="12"/>
      <c r="J2866" s="5" t="e">
        <f>SUM(SUMIFS(#REF!,#REF!,Planning[[#This Row],[Tipo de Tarea y especialidad]],#REF!,Planning[[#This Row],[Proyectos Reiwa]]),SUMIFS(#REF!,#REF!,Planning[[#This Row],[Tipo de Tarea y especialidad]],#REF!,Planning[[#This Row],[Proyectos]]))</f>
        <v>#REF!</v>
      </c>
      <c r="K2866" s="5" t="e">
        <f>Planning[[#This Row],[Horas Planificadas]]+Planning[[#This Row],[Horas ajustadas adicionales]]-Planning[[#This Row],[Horas utilizadas]]</f>
        <v>#REF!</v>
      </c>
      <c r="L2866" s="7">
        <v>0</v>
      </c>
      <c r="M2866" s="19" t="e">
        <f>Planning[[#This Row],[Saldo]]-Planning[[#This Row],[Saldo estimado]]</f>
        <v>#REF!</v>
      </c>
      <c r="N2866" s="60" t="e">
        <f>+SUMIFS(#REF!,#REF!,Planning[[#This Row],[Proyectos]],#REF!,Planning[[#This Row],[Tipo de Tarea y especialidad]])</f>
        <v>#REF!</v>
      </c>
      <c r="O2866" s="19">
        <f t="shared" si="88"/>
        <v>10</v>
      </c>
      <c r="P2866" s="19">
        <f t="shared" si="89"/>
        <v>2024</v>
      </c>
      <c r="Q28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66" s="19" t="str">
        <f>TEXT(Planning[[#This Row],[Mes]]*29,"mmmm")</f>
        <v>October</v>
      </c>
      <c r="S28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66" s="193"/>
      <c r="U2866" s="43" t="e">
        <f>IF(Planning[[#This Row],[Horas Planificadas]]&lt;&gt;0,+K2866/Planning[[#This Row],[Horas Planificadas]],0)</f>
        <v>#REF!</v>
      </c>
      <c r="V2866" s="43" t="e">
        <f>IF(Planning[[#This Row],[Horas Planificadas]]&lt;&gt;0,Planning[[#This Row],[Horas utilizadas]]/Planning[[#This Row],[Horas Planificadas]],0)</f>
        <v>#REF!</v>
      </c>
      <c r="W2866" s="44">
        <f>Planning[[#This Row],[Horas Planificadas]]+Planning[[#This Row],[Horas ajustadas adicionales]]</f>
        <v>160</v>
      </c>
      <c r="X2866" s="142"/>
    </row>
    <row r="2867" spans="1:24" ht="12.75" customHeight="1" x14ac:dyDescent="0.2">
      <c r="A2867" s="7" t="s">
        <v>117</v>
      </c>
      <c r="B2867" s="7" t="s">
        <v>220</v>
      </c>
      <c r="C2867" s="3"/>
      <c r="D2867" s="3" t="s">
        <v>566</v>
      </c>
      <c r="E2867" s="4" t="s">
        <v>28</v>
      </c>
      <c r="F2867" s="3"/>
      <c r="G2867" s="9">
        <v>279</v>
      </c>
      <c r="H2867" s="14">
        <f>SUM(H2868:H2869)</f>
        <v>279</v>
      </c>
      <c r="I2867" s="14"/>
      <c r="J2867" s="14" t="e">
        <f>SUM(J2868:J2869)</f>
        <v>#REF!</v>
      </c>
      <c r="K2867" s="15" t="e">
        <f>SUM(K2868:K2869)</f>
        <v>#REF!</v>
      </c>
      <c r="L2867" s="15">
        <f>SUM(L2868:L2869)</f>
        <v>0</v>
      </c>
      <c r="M2867" s="28" t="e">
        <f>SUM(M2868:M2869)</f>
        <v>#REF!</v>
      </c>
      <c r="N2867" s="63" t="e">
        <f>+SUMIFS(#REF!,#REF!,Planning[[#This Row],[Proyectos]],#REF!,Planning[[#This Row],[Tipo de Tarea y especialidad]])</f>
        <v>#REF!</v>
      </c>
      <c r="O2867" s="24">
        <f t="shared" si="88"/>
        <v>10</v>
      </c>
      <c r="P2867" s="24">
        <f t="shared" si="89"/>
        <v>2024</v>
      </c>
      <c r="Q2867" s="28" t="e">
        <f>SUM(Q2868:Q2869)</f>
        <v>#REF!</v>
      </c>
      <c r="R2867" s="24" t="str">
        <f>TEXT(Planning[[#This Row],[Mes]]*29,"mmmm")</f>
        <v>October</v>
      </c>
      <c r="S286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67" s="229" t="s">
        <v>567</v>
      </c>
      <c r="U2867" s="43" t="e">
        <f>IF(Planning[[#This Row],[Horas Planificadas]]&lt;&gt;0,+K2867/Planning[[#This Row],[Horas Planificadas]],0)</f>
        <v>#REF!</v>
      </c>
      <c r="V2867" s="43" t="e">
        <f>IF(Planning[[#This Row],[Horas Planificadas]]&lt;&gt;0,Planning[[#This Row],[Horas utilizadas]]/Planning[[#This Row],[Horas Planificadas]],0)</f>
        <v>#REF!</v>
      </c>
      <c r="W2867" s="44">
        <f>Planning[[#This Row],[Horas Planificadas]]+Planning[[#This Row],[Horas ajustadas adicionales]]</f>
        <v>279</v>
      </c>
      <c r="X2867" s="142"/>
    </row>
    <row r="2868" spans="1:24" x14ac:dyDescent="0.2">
      <c r="A2868" s="7" t="s">
        <v>117</v>
      </c>
      <c r="B2868" s="7" t="s">
        <v>220</v>
      </c>
      <c r="C2868" s="3"/>
      <c r="D2868" s="3" t="s">
        <v>566</v>
      </c>
      <c r="E2868" s="4"/>
      <c r="F2868" s="3" t="s">
        <v>120</v>
      </c>
      <c r="G2868" s="9"/>
      <c r="H2868" s="9">
        <v>180</v>
      </c>
      <c r="I2868" s="12"/>
      <c r="J2868" s="5" t="e">
        <f>SUM(SUMIFS(#REF!,#REF!,Planning[[#This Row],[Tipo de Tarea y especialidad]],#REF!,Planning[[#This Row],[Proyectos Reiwa]]),SUMIFS(#REF!,#REF!,Planning[[#This Row],[Tipo de Tarea y especialidad]],#REF!,Planning[[#This Row],[Proyectos]]))</f>
        <v>#REF!</v>
      </c>
      <c r="K2868" s="5" t="e">
        <f>Planning[[#This Row],[Horas Planificadas]]+Planning[[#This Row],[Horas ajustadas adicionales]]-Planning[[#This Row],[Horas utilizadas]]</f>
        <v>#REF!</v>
      </c>
      <c r="L2868" s="7">
        <v>0</v>
      </c>
      <c r="M2868" s="19" t="e">
        <f>Planning[[#This Row],[Saldo]]-Planning[[#This Row],[Saldo estimado]]</f>
        <v>#REF!</v>
      </c>
      <c r="N2868" s="64" t="e">
        <f>+SUMIFS(#REF!,#REF!,Planning[[#This Row],[Proyectos]],#REF!,Planning[[#This Row],[Tipo de Tarea y especialidad]])</f>
        <v>#REF!</v>
      </c>
      <c r="O2868" s="49">
        <f t="shared" si="88"/>
        <v>10</v>
      </c>
      <c r="P2868" s="49">
        <f t="shared" si="89"/>
        <v>2024</v>
      </c>
      <c r="Q28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68" s="49" t="str">
        <f>TEXT(Planning[[#This Row],[Mes]]*29,"mmmm")</f>
        <v>October</v>
      </c>
      <c r="S286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68" s="213"/>
      <c r="U2868" s="43" t="e">
        <f>IF(Planning[[#This Row],[Horas Planificadas]]&lt;&gt;0,+K2868/Planning[[#This Row],[Horas Planificadas]],0)</f>
        <v>#REF!</v>
      </c>
      <c r="V2868" s="43" t="e">
        <f>IF(Planning[[#This Row],[Horas Planificadas]]&lt;&gt;0,Planning[[#This Row],[Horas utilizadas]]/Planning[[#This Row],[Horas Planificadas]],0)</f>
        <v>#REF!</v>
      </c>
      <c r="W2868" s="44">
        <f>Planning[[#This Row],[Horas Planificadas]]+Planning[[#This Row],[Horas ajustadas adicionales]]</f>
        <v>180</v>
      </c>
      <c r="X2868" s="142"/>
    </row>
    <row r="2869" spans="1:24" x14ac:dyDescent="0.2">
      <c r="A2869" s="7" t="s">
        <v>117</v>
      </c>
      <c r="B2869" s="7" t="s">
        <v>220</v>
      </c>
      <c r="C2869" s="3"/>
      <c r="D2869" s="3" t="s">
        <v>566</v>
      </c>
      <c r="E2869" s="4"/>
      <c r="F2869" s="3" t="s">
        <v>121</v>
      </c>
      <c r="G2869" s="9"/>
      <c r="H2869" s="9">
        <v>99</v>
      </c>
      <c r="I2869" s="12"/>
      <c r="J2869" s="5" t="e">
        <f>SUM(SUMIFS(#REF!,#REF!,Planning[[#This Row],[Tipo de Tarea y especialidad]],#REF!,Planning[[#This Row],[Proyectos Reiwa]]),SUMIFS(#REF!,#REF!,Planning[[#This Row],[Tipo de Tarea y especialidad]],#REF!,Planning[[#This Row],[Proyectos]]))</f>
        <v>#REF!</v>
      </c>
      <c r="K2869" s="5" t="e">
        <f>Planning[[#This Row],[Horas Planificadas]]+Planning[[#This Row],[Horas ajustadas adicionales]]-Planning[[#This Row],[Horas utilizadas]]</f>
        <v>#REF!</v>
      </c>
      <c r="L2869" s="7">
        <v>0</v>
      </c>
      <c r="M2869" s="19" t="e">
        <f>Planning[[#This Row],[Saldo]]-Planning[[#This Row],[Saldo estimado]]</f>
        <v>#REF!</v>
      </c>
      <c r="N2869" s="64" t="e">
        <f>+SUMIFS(#REF!,#REF!,Planning[[#This Row],[Proyectos]],#REF!,Planning[[#This Row],[Tipo de Tarea y especialidad]])</f>
        <v>#REF!</v>
      </c>
      <c r="O2869" s="49">
        <f t="shared" si="88"/>
        <v>10</v>
      </c>
      <c r="P2869" s="49">
        <f t="shared" si="89"/>
        <v>2024</v>
      </c>
      <c r="Q28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69" s="49" t="str">
        <f>TEXT(Planning[[#This Row],[Mes]]*29,"mmmm")</f>
        <v>October</v>
      </c>
      <c r="S286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69" s="213"/>
      <c r="U2869" s="43" t="e">
        <f>IF(Planning[[#This Row],[Horas Planificadas]]&lt;&gt;0,+K2869/Planning[[#This Row],[Horas Planificadas]],0)</f>
        <v>#REF!</v>
      </c>
      <c r="V2869" s="43" t="e">
        <f>IF(Planning[[#This Row],[Horas Planificadas]]&lt;&gt;0,Planning[[#This Row],[Horas utilizadas]]/Planning[[#This Row],[Horas Planificadas]],0)</f>
        <v>#REF!</v>
      </c>
      <c r="W2869" s="44">
        <f>Planning[[#This Row],[Horas Planificadas]]+Planning[[#This Row],[Horas ajustadas adicionales]]</f>
        <v>99</v>
      </c>
      <c r="X2869" s="142"/>
    </row>
    <row r="2870" spans="1:24" x14ac:dyDescent="0.2">
      <c r="A2870" s="7" t="s">
        <v>117</v>
      </c>
      <c r="B2870" s="7" t="s">
        <v>220</v>
      </c>
      <c r="C2870" s="3"/>
      <c r="D2870" s="3" t="s">
        <v>566</v>
      </c>
      <c r="E2870" s="4" t="s">
        <v>30</v>
      </c>
      <c r="F2870" s="3"/>
      <c r="G2870" s="9">
        <v>297</v>
      </c>
      <c r="H2870" s="25">
        <f>SUM(H2871:H2877)</f>
        <v>297</v>
      </c>
      <c r="I2870" s="14"/>
      <c r="J2870" s="14" t="e">
        <f>SUM(J2871:J2877)</f>
        <v>#REF!</v>
      </c>
      <c r="K2870" s="18" t="e">
        <f>SUM(K2871:K2877)</f>
        <v>#REF!</v>
      </c>
      <c r="L2870" s="15">
        <f>SUM(L2871:L2877)</f>
        <v>0</v>
      </c>
      <c r="M2870" s="16" t="e">
        <f>SUM(M2871:M2877)</f>
        <v>#REF!</v>
      </c>
      <c r="N2870" s="64" t="e">
        <f>+SUMIFS(#REF!,#REF!,Planning[[#This Row],[Proyectos]],#REF!,Planning[[#This Row],[Tipo de Tarea y especialidad]])</f>
        <v>#REF!</v>
      </c>
      <c r="O2870" s="50">
        <f t="shared" si="88"/>
        <v>10</v>
      </c>
      <c r="P2870" s="50">
        <f t="shared" si="89"/>
        <v>2024</v>
      </c>
      <c r="Q2870" s="16" t="e">
        <f>SUM(Q2871:Q2877)</f>
        <v>#REF!</v>
      </c>
      <c r="R2870" s="50" t="str">
        <f>TEXT(Planning[[#This Row],[Mes]]*29,"mmmm")</f>
        <v>October</v>
      </c>
      <c r="S287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70" s="213"/>
      <c r="U2870" s="43" t="e">
        <f>IF(Planning[[#This Row],[Horas Planificadas]]&lt;&gt;0,+K2870/Planning[[#This Row],[Horas Planificadas]],0)</f>
        <v>#REF!</v>
      </c>
      <c r="V2870" s="43" t="e">
        <f>IF(Planning[[#This Row],[Horas Planificadas]]&lt;&gt;0,Planning[[#This Row],[Horas utilizadas]]/Planning[[#This Row],[Horas Planificadas]],0)</f>
        <v>#REF!</v>
      </c>
      <c r="W2870" s="44">
        <f>Planning[[#This Row],[Horas Planificadas]]+Planning[[#This Row],[Horas ajustadas adicionales]]</f>
        <v>297</v>
      </c>
      <c r="X2870" s="142"/>
    </row>
    <row r="2871" spans="1:24" x14ac:dyDescent="0.2">
      <c r="A2871" s="7" t="s">
        <v>117</v>
      </c>
      <c r="B2871" s="7" t="s">
        <v>220</v>
      </c>
      <c r="C2871" s="3"/>
      <c r="D2871" s="3" t="s">
        <v>566</v>
      </c>
      <c r="E2871" s="4"/>
      <c r="F2871" s="3" t="s">
        <v>122</v>
      </c>
      <c r="G2871" s="9"/>
      <c r="H2871" s="9">
        <v>297</v>
      </c>
      <c r="I2871" s="12"/>
      <c r="J2871" s="5" t="e">
        <f>SUM(SUMIFS(#REF!,#REF!,Planning[[#This Row],[Tipo de Tarea y especialidad]],#REF!,Planning[[#This Row],[Proyectos Reiwa]]),SUMIFS(#REF!,#REF!,Planning[[#This Row],[Tipo de Tarea y especialidad]],#REF!,Planning[[#This Row],[Proyectos]]))</f>
        <v>#REF!</v>
      </c>
      <c r="K2871" s="5" t="e">
        <f>Planning[[#This Row],[Horas Planificadas]]+Planning[[#This Row],[Horas ajustadas adicionales]]-Planning[[#This Row],[Horas utilizadas]]</f>
        <v>#REF!</v>
      </c>
      <c r="L2871" s="7">
        <v>0</v>
      </c>
      <c r="M2871" s="19" t="e">
        <f>Planning[[#This Row],[Saldo]]-Planning[[#This Row],[Saldo estimado]]</f>
        <v>#REF!</v>
      </c>
      <c r="N2871" s="64" t="e">
        <f>+SUMIFS(#REF!,#REF!,Planning[[#This Row],[Proyectos]],#REF!,Planning[[#This Row],[Tipo de Tarea y especialidad]])</f>
        <v>#REF!</v>
      </c>
      <c r="O2871" s="49">
        <f t="shared" si="88"/>
        <v>10</v>
      </c>
      <c r="P2871" s="49">
        <f t="shared" si="89"/>
        <v>2024</v>
      </c>
      <c r="Q28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71" s="49" t="str">
        <f>TEXT(Planning[[#This Row],[Mes]]*29,"mmmm")</f>
        <v>October</v>
      </c>
      <c r="S287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71" s="213"/>
      <c r="U2871" s="43" t="e">
        <f>IF(Planning[[#This Row],[Horas Planificadas]]&lt;&gt;0,+K2871/Planning[[#This Row],[Horas Planificadas]],0)</f>
        <v>#REF!</v>
      </c>
      <c r="V2871" s="43" t="e">
        <f>IF(Planning[[#This Row],[Horas Planificadas]]&lt;&gt;0,Planning[[#This Row],[Horas utilizadas]]/Planning[[#This Row],[Horas Planificadas]],0)</f>
        <v>#REF!</v>
      </c>
      <c r="W2871" s="44">
        <f>Planning[[#This Row],[Horas Planificadas]]+Planning[[#This Row],[Horas ajustadas adicionales]]</f>
        <v>297</v>
      </c>
      <c r="X2871" s="142"/>
    </row>
    <row r="2872" spans="1:24" x14ac:dyDescent="0.2">
      <c r="A2872" s="7" t="s">
        <v>117</v>
      </c>
      <c r="B2872" s="7" t="s">
        <v>220</v>
      </c>
      <c r="C2872" s="3"/>
      <c r="D2872" s="3" t="s">
        <v>566</v>
      </c>
      <c r="E2872" s="4"/>
      <c r="F2872" s="3" t="s">
        <v>123</v>
      </c>
      <c r="G2872" s="9"/>
      <c r="H2872" s="9"/>
      <c r="I2872" s="12"/>
      <c r="J2872" s="5" t="e">
        <f>SUM(SUMIFS(#REF!,#REF!,Planning[[#This Row],[Tipo de Tarea y especialidad]],#REF!,Planning[[#This Row],[Proyectos Reiwa]]),SUMIFS(#REF!,#REF!,Planning[[#This Row],[Tipo de Tarea y especialidad]],#REF!,Planning[[#This Row],[Proyectos]]))</f>
        <v>#REF!</v>
      </c>
      <c r="K2872" s="5" t="e">
        <f>Planning[[#This Row],[Horas Planificadas]]+Planning[[#This Row],[Horas ajustadas adicionales]]-Planning[[#This Row],[Horas utilizadas]]</f>
        <v>#REF!</v>
      </c>
      <c r="L2872" s="7">
        <v>0</v>
      </c>
      <c r="M2872" s="19" t="e">
        <f>Planning[[#This Row],[Saldo]]-Planning[[#This Row],[Saldo estimado]]</f>
        <v>#REF!</v>
      </c>
      <c r="N2872" s="64" t="e">
        <f>+SUMIFS(#REF!,#REF!,Planning[[#This Row],[Proyectos]],#REF!,Planning[[#This Row],[Tipo de Tarea y especialidad]])</f>
        <v>#REF!</v>
      </c>
      <c r="O2872" s="49">
        <f t="shared" si="88"/>
        <v>10</v>
      </c>
      <c r="P2872" s="49">
        <f t="shared" si="89"/>
        <v>2024</v>
      </c>
      <c r="Q28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72" s="49" t="str">
        <f>TEXT(Planning[[#This Row],[Mes]]*29,"mmmm")</f>
        <v>October</v>
      </c>
      <c r="S287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72" s="213"/>
      <c r="U2872" s="43">
        <f>IF(Planning[[#This Row],[Horas Planificadas]]&lt;&gt;0,+K2872/Planning[[#This Row],[Horas Planificadas]],0)</f>
        <v>0</v>
      </c>
      <c r="V2872" s="43">
        <f>IF(Planning[[#This Row],[Horas Planificadas]]&lt;&gt;0,Planning[[#This Row],[Horas utilizadas]]/Planning[[#This Row],[Horas Planificadas]],0)</f>
        <v>0</v>
      </c>
      <c r="W2872" s="44">
        <f>Planning[[#This Row],[Horas Planificadas]]+Planning[[#This Row],[Horas ajustadas adicionales]]</f>
        <v>0</v>
      </c>
      <c r="X2872" s="142"/>
    </row>
    <row r="2873" spans="1:24" x14ac:dyDescent="0.2">
      <c r="A2873" s="7" t="s">
        <v>117</v>
      </c>
      <c r="B2873" s="7" t="s">
        <v>220</v>
      </c>
      <c r="C2873" s="3"/>
      <c r="D2873" s="3" t="s">
        <v>566</v>
      </c>
      <c r="E2873" s="4"/>
      <c r="F2873" s="3" t="s">
        <v>124</v>
      </c>
      <c r="G2873" s="9"/>
      <c r="H2873" s="9"/>
      <c r="I2873" s="12"/>
      <c r="J2873" s="5" t="e">
        <f>SUM(SUMIFS(#REF!,#REF!,Planning[[#This Row],[Tipo de Tarea y especialidad]],#REF!,Planning[[#This Row],[Proyectos Reiwa]]),SUMIFS(#REF!,#REF!,Planning[[#This Row],[Tipo de Tarea y especialidad]],#REF!,Planning[[#This Row],[Proyectos]]))</f>
        <v>#REF!</v>
      </c>
      <c r="K2873" s="5" t="e">
        <f>Planning[[#This Row],[Horas Planificadas]]+Planning[[#This Row],[Horas ajustadas adicionales]]-Planning[[#This Row],[Horas utilizadas]]</f>
        <v>#REF!</v>
      </c>
      <c r="L2873" s="7">
        <v>0</v>
      </c>
      <c r="M2873" s="19" t="e">
        <f>Planning[[#This Row],[Saldo]]-Planning[[#This Row],[Saldo estimado]]</f>
        <v>#REF!</v>
      </c>
      <c r="N2873" s="64" t="e">
        <f>+SUMIFS(#REF!,#REF!,Planning[[#This Row],[Proyectos]],#REF!,Planning[[#This Row],[Tipo de Tarea y especialidad]])</f>
        <v>#REF!</v>
      </c>
      <c r="O2873" s="49">
        <f t="shared" si="88"/>
        <v>10</v>
      </c>
      <c r="P2873" s="49">
        <f t="shared" si="89"/>
        <v>2024</v>
      </c>
      <c r="Q28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73" s="49" t="str">
        <f>TEXT(Planning[[#This Row],[Mes]]*29,"mmmm")</f>
        <v>October</v>
      </c>
      <c r="S287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73" s="213"/>
      <c r="U2873" s="43">
        <f>IF(Planning[[#This Row],[Horas Planificadas]]&lt;&gt;0,+K2873/Planning[[#This Row],[Horas Planificadas]],0)</f>
        <v>0</v>
      </c>
      <c r="V2873" s="43">
        <f>IF(Planning[[#This Row],[Horas Planificadas]]&lt;&gt;0,Planning[[#This Row],[Horas utilizadas]]/Planning[[#This Row],[Horas Planificadas]],0)</f>
        <v>0</v>
      </c>
      <c r="W2873" s="44">
        <f>Planning[[#This Row],[Horas Planificadas]]+Planning[[#This Row],[Horas ajustadas adicionales]]</f>
        <v>0</v>
      </c>
      <c r="X2873" s="142"/>
    </row>
    <row r="2874" spans="1:24" x14ac:dyDescent="0.2">
      <c r="A2874" s="7" t="s">
        <v>117</v>
      </c>
      <c r="B2874" s="7" t="s">
        <v>220</v>
      </c>
      <c r="C2874" s="3"/>
      <c r="D2874" s="3" t="s">
        <v>566</v>
      </c>
      <c r="E2874" s="4"/>
      <c r="F2874" s="3" t="s">
        <v>125</v>
      </c>
      <c r="G2874" s="9"/>
      <c r="H2874" s="9"/>
      <c r="I2874" s="12"/>
      <c r="J2874" s="5" t="e">
        <f>SUM(SUMIFS(#REF!,#REF!,Planning[[#This Row],[Tipo de Tarea y especialidad]],#REF!,Planning[[#This Row],[Proyectos Reiwa]]),SUMIFS(#REF!,#REF!,Planning[[#This Row],[Tipo de Tarea y especialidad]],#REF!,Planning[[#This Row],[Proyectos]]))</f>
        <v>#REF!</v>
      </c>
      <c r="K2874" s="5" t="e">
        <f>Planning[[#This Row],[Horas Planificadas]]+Planning[[#This Row],[Horas ajustadas adicionales]]-Planning[[#This Row],[Horas utilizadas]]</f>
        <v>#REF!</v>
      </c>
      <c r="L2874" s="7">
        <v>0</v>
      </c>
      <c r="M2874" s="19" t="e">
        <f>Planning[[#This Row],[Saldo]]-Planning[[#This Row],[Saldo estimado]]</f>
        <v>#REF!</v>
      </c>
      <c r="N2874" s="64" t="e">
        <f>+SUMIFS(#REF!,#REF!,Planning[[#This Row],[Proyectos]],#REF!,Planning[[#This Row],[Tipo de Tarea y especialidad]])</f>
        <v>#REF!</v>
      </c>
      <c r="O2874" s="49">
        <f t="shared" si="88"/>
        <v>10</v>
      </c>
      <c r="P2874" s="49">
        <f t="shared" si="89"/>
        <v>2024</v>
      </c>
      <c r="Q28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74" s="49" t="str">
        <f>TEXT(Planning[[#This Row],[Mes]]*29,"mmmm")</f>
        <v>October</v>
      </c>
      <c r="S287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74" s="213"/>
      <c r="U2874" s="43">
        <f>IF(Planning[[#This Row],[Horas Planificadas]]&lt;&gt;0,+K2874/Planning[[#This Row],[Horas Planificadas]],0)</f>
        <v>0</v>
      </c>
      <c r="V2874" s="43">
        <f>IF(Planning[[#This Row],[Horas Planificadas]]&lt;&gt;0,Planning[[#This Row],[Horas utilizadas]]/Planning[[#This Row],[Horas Planificadas]],0)</f>
        <v>0</v>
      </c>
      <c r="W2874" s="44">
        <f>Planning[[#This Row],[Horas Planificadas]]+Planning[[#This Row],[Horas ajustadas adicionales]]</f>
        <v>0</v>
      </c>
      <c r="X2874" s="142"/>
    </row>
    <row r="2875" spans="1:24" x14ac:dyDescent="0.2">
      <c r="A2875" s="7" t="s">
        <v>117</v>
      </c>
      <c r="B2875" s="7" t="s">
        <v>220</v>
      </c>
      <c r="C2875" s="3"/>
      <c r="D2875" s="3" t="s">
        <v>566</v>
      </c>
      <c r="E2875" s="4"/>
      <c r="F2875" s="3" t="s">
        <v>126</v>
      </c>
      <c r="G2875" s="9"/>
      <c r="H2875" s="9"/>
      <c r="I2875" s="12"/>
      <c r="J2875" s="5" t="e">
        <f>SUM(SUMIFS(#REF!,#REF!,Planning[[#This Row],[Tipo de Tarea y especialidad]],#REF!,Planning[[#This Row],[Proyectos Reiwa]]),SUMIFS(#REF!,#REF!,Planning[[#This Row],[Tipo de Tarea y especialidad]],#REF!,Planning[[#This Row],[Proyectos]]))</f>
        <v>#REF!</v>
      </c>
      <c r="K2875" s="5" t="e">
        <f>Planning[[#This Row],[Horas Planificadas]]+Planning[[#This Row],[Horas ajustadas adicionales]]-Planning[[#This Row],[Horas utilizadas]]</f>
        <v>#REF!</v>
      </c>
      <c r="L2875" s="7">
        <v>0</v>
      </c>
      <c r="M2875" s="19" t="e">
        <f>Planning[[#This Row],[Saldo]]-Planning[[#This Row],[Saldo estimado]]</f>
        <v>#REF!</v>
      </c>
      <c r="N2875" s="64" t="e">
        <f>+SUMIFS(#REF!,#REF!,Planning[[#This Row],[Proyectos]],#REF!,Planning[[#This Row],[Tipo de Tarea y especialidad]])</f>
        <v>#REF!</v>
      </c>
      <c r="O2875" s="49">
        <f t="shared" si="88"/>
        <v>10</v>
      </c>
      <c r="P2875" s="49">
        <f t="shared" si="89"/>
        <v>2024</v>
      </c>
      <c r="Q28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75" s="49" t="str">
        <f>TEXT(Planning[[#This Row],[Mes]]*29,"mmmm")</f>
        <v>October</v>
      </c>
      <c r="S287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75" s="213"/>
      <c r="U2875" s="43">
        <f>IF(Planning[[#This Row],[Horas Planificadas]]&lt;&gt;0,+K2875/Planning[[#This Row],[Horas Planificadas]],0)</f>
        <v>0</v>
      </c>
      <c r="V2875" s="43">
        <f>IF(Planning[[#This Row],[Horas Planificadas]]&lt;&gt;0,Planning[[#This Row],[Horas utilizadas]]/Planning[[#This Row],[Horas Planificadas]],0)</f>
        <v>0</v>
      </c>
      <c r="W2875" s="44">
        <f>Planning[[#This Row],[Horas Planificadas]]+Planning[[#This Row],[Horas ajustadas adicionales]]</f>
        <v>0</v>
      </c>
      <c r="X2875" s="142"/>
    </row>
    <row r="2876" spans="1:24" x14ac:dyDescent="0.2">
      <c r="A2876" s="7" t="s">
        <v>117</v>
      </c>
      <c r="B2876" s="7" t="s">
        <v>220</v>
      </c>
      <c r="C2876" s="3"/>
      <c r="D2876" s="3" t="s">
        <v>566</v>
      </c>
      <c r="E2876" s="4"/>
      <c r="F2876" s="3" t="s">
        <v>127</v>
      </c>
      <c r="G2876" s="9"/>
      <c r="H2876" s="9"/>
      <c r="I2876" s="12"/>
      <c r="J2876" s="5" t="e">
        <f>SUM(SUMIFS(#REF!,#REF!,Planning[[#This Row],[Tipo de Tarea y especialidad]],#REF!,Planning[[#This Row],[Proyectos Reiwa]]),SUMIFS(#REF!,#REF!,Planning[[#This Row],[Tipo de Tarea y especialidad]],#REF!,Planning[[#This Row],[Proyectos]]))</f>
        <v>#REF!</v>
      </c>
      <c r="K2876" s="5" t="e">
        <f>Planning[[#This Row],[Horas Planificadas]]+Planning[[#This Row],[Horas ajustadas adicionales]]-Planning[[#This Row],[Horas utilizadas]]</f>
        <v>#REF!</v>
      </c>
      <c r="L2876" s="7">
        <v>0</v>
      </c>
      <c r="M2876" s="19" t="e">
        <f>Planning[[#This Row],[Saldo]]-Planning[[#This Row],[Saldo estimado]]</f>
        <v>#REF!</v>
      </c>
      <c r="N2876" s="64" t="e">
        <f>+SUMIFS(#REF!,#REF!,Planning[[#This Row],[Proyectos]],#REF!,Planning[[#This Row],[Tipo de Tarea y especialidad]])</f>
        <v>#REF!</v>
      </c>
      <c r="O2876" s="49">
        <f t="shared" si="88"/>
        <v>10</v>
      </c>
      <c r="P2876" s="49">
        <f t="shared" si="89"/>
        <v>2024</v>
      </c>
      <c r="Q28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76" s="49" t="str">
        <f>TEXT(Planning[[#This Row],[Mes]]*29,"mmmm")</f>
        <v>October</v>
      </c>
      <c r="S287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76" s="213"/>
      <c r="U2876" s="43">
        <f>IF(Planning[[#This Row],[Horas Planificadas]]&lt;&gt;0,+K2876/Planning[[#This Row],[Horas Planificadas]],0)</f>
        <v>0</v>
      </c>
      <c r="V2876" s="43">
        <f>IF(Planning[[#This Row],[Horas Planificadas]]&lt;&gt;0,Planning[[#This Row],[Horas utilizadas]]/Planning[[#This Row],[Horas Planificadas]],0)</f>
        <v>0</v>
      </c>
      <c r="W2876" s="44">
        <f>Planning[[#This Row],[Horas Planificadas]]+Planning[[#This Row],[Horas ajustadas adicionales]]</f>
        <v>0</v>
      </c>
      <c r="X2876" s="142"/>
    </row>
    <row r="2877" spans="1:24" x14ac:dyDescent="0.2">
      <c r="A2877" s="7" t="s">
        <v>117</v>
      </c>
      <c r="B2877" s="7" t="s">
        <v>220</v>
      </c>
      <c r="C2877" s="3"/>
      <c r="D2877" s="3" t="s">
        <v>566</v>
      </c>
      <c r="E2877" s="4"/>
      <c r="F2877" s="3" t="s">
        <v>128</v>
      </c>
      <c r="G2877" s="9"/>
      <c r="H2877" s="9"/>
      <c r="I2877" s="12"/>
      <c r="J2877" s="5" t="e">
        <f>SUM(SUMIFS(#REF!,#REF!,Planning[[#This Row],[Tipo de Tarea y especialidad]],#REF!,Planning[[#This Row],[Proyectos Reiwa]]),SUMIFS(#REF!,#REF!,Planning[[#This Row],[Tipo de Tarea y especialidad]],#REF!,Planning[[#This Row],[Proyectos]]))</f>
        <v>#REF!</v>
      </c>
      <c r="K2877" s="5" t="e">
        <f>Planning[[#This Row],[Horas Planificadas]]+Planning[[#This Row],[Horas ajustadas adicionales]]-Planning[[#This Row],[Horas utilizadas]]</f>
        <v>#REF!</v>
      </c>
      <c r="L2877" s="7">
        <v>0</v>
      </c>
      <c r="M2877" s="19" t="e">
        <f>Planning[[#This Row],[Saldo]]-Planning[[#This Row],[Saldo estimado]]</f>
        <v>#REF!</v>
      </c>
      <c r="N2877" s="64" t="e">
        <f>+SUMIFS(#REF!,#REF!,Planning[[#This Row],[Proyectos]],#REF!,Planning[[#This Row],[Tipo de Tarea y especialidad]])</f>
        <v>#REF!</v>
      </c>
      <c r="O2877" s="49">
        <f t="shared" si="88"/>
        <v>10</v>
      </c>
      <c r="P2877" s="49">
        <f t="shared" si="89"/>
        <v>2024</v>
      </c>
      <c r="Q28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77" s="49" t="str">
        <f>TEXT(Planning[[#This Row],[Mes]]*29,"mmmm")</f>
        <v>October</v>
      </c>
      <c r="S287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77" s="213"/>
      <c r="U2877" s="43">
        <f>IF(Planning[[#This Row],[Horas Planificadas]]&lt;&gt;0,+K2877/Planning[[#This Row],[Horas Planificadas]],0)</f>
        <v>0</v>
      </c>
      <c r="V2877" s="43">
        <f>IF(Planning[[#This Row],[Horas Planificadas]]&lt;&gt;0,Planning[[#This Row],[Horas utilizadas]]/Planning[[#This Row],[Horas Planificadas]],0)</f>
        <v>0</v>
      </c>
      <c r="W2877" s="44">
        <f>Planning[[#This Row],[Horas Planificadas]]+Planning[[#This Row],[Horas ajustadas adicionales]]</f>
        <v>0</v>
      </c>
      <c r="X2877" s="142"/>
    </row>
    <row r="2878" spans="1:24" x14ac:dyDescent="0.2">
      <c r="A2878" s="7" t="s">
        <v>117</v>
      </c>
      <c r="B2878" s="7" t="s">
        <v>220</v>
      </c>
      <c r="C2878" s="3"/>
      <c r="D2878" s="3" t="s">
        <v>566</v>
      </c>
      <c r="E2878" s="4" t="s">
        <v>31</v>
      </c>
      <c r="F2878" s="3" t="s">
        <v>31</v>
      </c>
      <c r="G2878" s="9">
        <v>113</v>
      </c>
      <c r="H2878" s="17">
        <v>113</v>
      </c>
      <c r="I2878" s="18"/>
      <c r="J2878" s="14" t="e">
        <f>+SUMIFS(#REF!,#REF!,Planning[[#This Row],[Tarifa]],#REF!,Planning[[#This Row],[Proyectos]])</f>
        <v>#REF!</v>
      </c>
      <c r="K2878" s="14" t="e">
        <f>Planning[[#This Row],[Horas Planificadas]]+Planning[[#This Row],[Horas ajustadas adicionales]]-Planning[[#This Row],[Horas utilizadas]]</f>
        <v>#REF!</v>
      </c>
      <c r="L2878" s="15"/>
      <c r="M2878" s="16" t="e">
        <f>Planning[[#This Row],[Saldo]]-Planning[[#This Row],[Saldo estimado]]</f>
        <v>#REF!</v>
      </c>
      <c r="N2878" s="64" t="e">
        <f>+SUMIFS(#REF!,#REF!,Planning[[#This Row],[Proyectos]],#REF!,Planning[[#This Row],[Tipo de Tarea y especialidad]])</f>
        <v>#REF!</v>
      </c>
      <c r="O2878" s="50">
        <f t="shared" si="88"/>
        <v>10</v>
      </c>
      <c r="P2878" s="50">
        <f t="shared" si="89"/>
        <v>2024</v>
      </c>
      <c r="Q2878" s="16" t="e">
        <f>+SUMIFS(#REF!,#REF!,Planning[[#This Row],[Tarifa]],#REF!,Planning[[#This Row],[Proyectos]],#REF!,Planning[[#This Row],[Mes]],#REF!,Planning[[#This Row],[Año]])</f>
        <v>#REF!</v>
      </c>
      <c r="R2878" s="50" t="str">
        <f>TEXT(Planning[[#This Row],[Mes]]*29,"mmmm")</f>
        <v>October</v>
      </c>
      <c r="S287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78" s="213"/>
      <c r="U2878" s="43" t="e">
        <f>IF(Planning[[#This Row],[Horas Planificadas]]&lt;&gt;0,+K2878/Planning[[#This Row],[Horas Planificadas]],0)</f>
        <v>#REF!</v>
      </c>
      <c r="V2878" s="43" t="e">
        <f>IF(Planning[[#This Row],[Horas Planificadas]]&lt;&gt;0,Planning[[#This Row],[Horas utilizadas]]/Planning[[#This Row],[Horas Planificadas]],0)</f>
        <v>#REF!</v>
      </c>
      <c r="W2878" s="44">
        <f>Planning[[#This Row],[Horas Planificadas]]+Planning[[#This Row],[Horas ajustadas adicionales]]</f>
        <v>113</v>
      </c>
      <c r="X2878" s="142"/>
    </row>
    <row r="2879" spans="1:24" ht="22.5" x14ac:dyDescent="0.2">
      <c r="A2879" s="7" t="s">
        <v>117</v>
      </c>
      <c r="B2879" s="7" t="s">
        <v>220</v>
      </c>
      <c r="C2879" s="3"/>
      <c r="D2879" s="3" t="s">
        <v>566</v>
      </c>
      <c r="E2879" s="4" t="s">
        <v>32</v>
      </c>
      <c r="F2879" s="3"/>
      <c r="G2879" s="9">
        <v>128</v>
      </c>
      <c r="H2879" s="25">
        <f>SUM(H2880:H2882)</f>
        <v>128</v>
      </c>
      <c r="I2879" s="14"/>
      <c r="J2879" s="14" t="e">
        <f>SUM(J2880:J2882)</f>
        <v>#REF!</v>
      </c>
      <c r="K2879" s="18" t="e">
        <f>SUM(K2880:K2882)</f>
        <v>#REF!</v>
      </c>
      <c r="L2879" s="15">
        <f>SUM(L2880:L2882)</f>
        <v>0</v>
      </c>
      <c r="M2879" s="16" t="e">
        <f>SUM(M2880:M2882)</f>
        <v>#REF!</v>
      </c>
      <c r="N2879" s="64" t="e">
        <f>+SUMIFS(#REF!,#REF!,Planning[[#This Row],[Proyectos]],#REF!,Planning[[#This Row],[Tipo de Tarea y especialidad]])</f>
        <v>#REF!</v>
      </c>
      <c r="O2879" s="50">
        <f t="shared" si="88"/>
        <v>10</v>
      </c>
      <c r="P2879" s="50">
        <f t="shared" si="89"/>
        <v>2024</v>
      </c>
      <c r="Q2879" s="16" t="e">
        <f>SUM(Q2880:Q2882)</f>
        <v>#REF!</v>
      </c>
      <c r="R2879" s="50" t="str">
        <f>TEXT(Planning[[#This Row],[Mes]]*29,"mmmm")</f>
        <v>October</v>
      </c>
      <c r="S287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79" s="213"/>
      <c r="U2879" s="43" t="e">
        <f>IF(Planning[[#This Row],[Horas Planificadas]]&lt;&gt;0,+K2879/Planning[[#This Row],[Horas Planificadas]],0)</f>
        <v>#REF!</v>
      </c>
      <c r="V2879" s="43" t="e">
        <f>IF(Planning[[#This Row],[Horas Planificadas]]&lt;&gt;0,Planning[[#This Row],[Horas utilizadas]]/Planning[[#This Row],[Horas Planificadas]],0)</f>
        <v>#REF!</v>
      </c>
      <c r="W2879" s="44">
        <f>Planning[[#This Row],[Horas Planificadas]]+Planning[[#This Row],[Horas ajustadas adicionales]]</f>
        <v>128</v>
      </c>
      <c r="X2879" s="142"/>
    </row>
    <row r="2880" spans="1:24" x14ac:dyDescent="0.2">
      <c r="A2880" s="7" t="s">
        <v>117</v>
      </c>
      <c r="B2880" s="7" t="s">
        <v>220</v>
      </c>
      <c r="C2880" s="3"/>
      <c r="D2880" s="3" t="s">
        <v>566</v>
      </c>
      <c r="E2880" s="4"/>
      <c r="F2880" s="3" t="s">
        <v>129</v>
      </c>
      <c r="G2880" s="9"/>
      <c r="H2880" s="9">
        <v>128</v>
      </c>
      <c r="I2880" s="12"/>
      <c r="J2880" s="5" t="e">
        <f>SUM(SUMIFS(#REF!,#REF!,Planning[[#This Row],[Tipo de Tarea y especialidad]],#REF!,Planning[[#This Row],[Proyectos Reiwa]]),SUMIFS(#REF!,#REF!,Planning[[#This Row],[Tipo de Tarea y especialidad]],#REF!,Planning[[#This Row],[Proyectos]]))</f>
        <v>#REF!</v>
      </c>
      <c r="K2880" s="5" t="e">
        <f>Planning[[#This Row],[Horas Planificadas]]+Planning[[#This Row],[Horas ajustadas adicionales]]-Planning[[#This Row],[Horas utilizadas]]</f>
        <v>#REF!</v>
      </c>
      <c r="L2880" s="7">
        <v>0</v>
      </c>
      <c r="M2880" s="19" t="e">
        <f>Planning[[#This Row],[Saldo]]-Planning[[#This Row],[Saldo estimado]]</f>
        <v>#REF!</v>
      </c>
      <c r="N2880" s="64" t="e">
        <f>+SUMIFS(#REF!,#REF!,Planning[[#This Row],[Proyectos]],#REF!,Planning[[#This Row],[Tipo de Tarea y especialidad]])</f>
        <v>#REF!</v>
      </c>
      <c r="O2880" s="49">
        <f t="shared" si="88"/>
        <v>10</v>
      </c>
      <c r="P2880" s="49">
        <f t="shared" si="89"/>
        <v>2024</v>
      </c>
      <c r="Q28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80" s="49" t="str">
        <f>TEXT(Planning[[#This Row],[Mes]]*29,"mmmm")</f>
        <v>October</v>
      </c>
      <c r="S288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80" s="213"/>
      <c r="U2880" s="43" t="e">
        <f>IF(Planning[[#This Row],[Horas Planificadas]]&lt;&gt;0,+K2880/Planning[[#This Row],[Horas Planificadas]],0)</f>
        <v>#REF!</v>
      </c>
      <c r="V2880" s="43" t="e">
        <f>IF(Planning[[#This Row],[Horas Planificadas]]&lt;&gt;0,Planning[[#This Row],[Horas utilizadas]]/Planning[[#This Row],[Horas Planificadas]],0)</f>
        <v>#REF!</v>
      </c>
      <c r="W2880" s="44">
        <f>Planning[[#This Row],[Horas Planificadas]]+Planning[[#This Row],[Horas ajustadas adicionales]]</f>
        <v>128</v>
      </c>
      <c r="X2880" s="142"/>
    </row>
    <row r="2881" spans="1:24" x14ac:dyDescent="0.2">
      <c r="A2881" s="7" t="s">
        <v>117</v>
      </c>
      <c r="B2881" s="7" t="s">
        <v>220</v>
      </c>
      <c r="C2881" s="3"/>
      <c r="D2881" s="3" t="s">
        <v>566</v>
      </c>
      <c r="E2881" s="4"/>
      <c r="F2881" s="3" t="s">
        <v>130</v>
      </c>
      <c r="G2881" s="9"/>
      <c r="H2881" s="9"/>
      <c r="I2881" s="12"/>
      <c r="J2881" s="5" t="e">
        <f>SUM(SUMIFS(#REF!,#REF!,Planning[[#This Row],[Tipo de Tarea y especialidad]],#REF!,Planning[[#This Row],[Proyectos Reiwa]]),SUMIFS(#REF!,#REF!,Planning[[#This Row],[Tipo de Tarea y especialidad]],#REF!,Planning[[#This Row],[Proyectos]]))</f>
        <v>#REF!</v>
      </c>
      <c r="K2881" s="5" t="e">
        <f>Planning[[#This Row],[Horas Planificadas]]+Planning[[#This Row],[Horas ajustadas adicionales]]-Planning[[#This Row],[Horas utilizadas]]</f>
        <v>#REF!</v>
      </c>
      <c r="L2881" s="7">
        <v>0</v>
      </c>
      <c r="M2881" s="19" t="e">
        <f>Planning[[#This Row],[Saldo]]-Planning[[#This Row],[Saldo estimado]]</f>
        <v>#REF!</v>
      </c>
      <c r="N2881" s="64" t="e">
        <f>+SUMIFS(#REF!,#REF!,Planning[[#This Row],[Proyectos]],#REF!,Planning[[#This Row],[Tipo de Tarea y especialidad]])</f>
        <v>#REF!</v>
      </c>
      <c r="O2881" s="49">
        <f t="shared" si="88"/>
        <v>10</v>
      </c>
      <c r="P2881" s="49">
        <f t="shared" si="89"/>
        <v>2024</v>
      </c>
      <c r="Q28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81" s="49" t="str">
        <f>TEXT(Planning[[#This Row],[Mes]]*29,"mmmm")</f>
        <v>October</v>
      </c>
      <c r="S288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81" s="213"/>
      <c r="U2881" s="43">
        <f>IF(Planning[[#This Row],[Horas Planificadas]]&lt;&gt;0,+K2881/Planning[[#This Row],[Horas Planificadas]],0)</f>
        <v>0</v>
      </c>
      <c r="V2881" s="43">
        <f>IF(Planning[[#This Row],[Horas Planificadas]]&lt;&gt;0,Planning[[#This Row],[Horas utilizadas]]/Planning[[#This Row],[Horas Planificadas]],0)</f>
        <v>0</v>
      </c>
      <c r="W2881" s="44">
        <f>Planning[[#This Row],[Horas Planificadas]]+Planning[[#This Row],[Horas ajustadas adicionales]]</f>
        <v>0</v>
      </c>
      <c r="X2881" s="142"/>
    </row>
    <row r="2882" spans="1:24" x14ac:dyDescent="0.2">
      <c r="A2882" s="7" t="s">
        <v>117</v>
      </c>
      <c r="B2882" s="7" t="s">
        <v>220</v>
      </c>
      <c r="C2882" s="3"/>
      <c r="D2882" s="3" t="s">
        <v>566</v>
      </c>
      <c r="E2882" s="4"/>
      <c r="F2882" s="3" t="s">
        <v>131</v>
      </c>
      <c r="G2882" s="9"/>
      <c r="H2882" s="9"/>
      <c r="I2882" s="12"/>
      <c r="J2882" s="5" t="e">
        <f>SUM(SUMIFS(#REF!,#REF!,Planning[[#This Row],[Tipo de Tarea y especialidad]],#REF!,Planning[[#This Row],[Proyectos Reiwa]]),SUMIFS(#REF!,#REF!,Planning[[#This Row],[Tipo de Tarea y especialidad]],#REF!,Planning[[#This Row],[Proyectos]]))</f>
        <v>#REF!</v>
      </c>
      <c r="K2882" s="5" t="e">
        <f>Planning[[#This Row],[Horas Planificadas]]+Planning[[#This Row],[Horas ajustadas adicionales]]-Planning[[#This Row],[Horas utilizadas]]</f>
        <v>#REF!</v>
      </c>
      <c r="L2882" s="7">
        <v>0</v>
      </c>
      <c r="M2882" s="19" t="e">
        <f>Planning[[#This Row],[Saldo]]-Planning[[#This Row],[Saldo estimado]]</f>
        <v>#REF!</v>
      </c>
      <c r="N2882" s="65" t="e">
        <f>+SUMIFS(#REF!,#REF!,Planning[[#This Row],[Proyectos]],#REF!,Planning[[#This Row],[Tipo de Tarea y especialidad]])</f>
        <v>#REF!</v>
      </c>
      <c r="O2882" s="51">
        <f t="shared" si="88"/>
        <v>10</v>
      </c>
      <c r="P2882" s="51">
        <f t="shared" si="89"/>
        <v>2024</v>
      </c>
      <c r="Q28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82" s="51" t="str">
        <f>TEXT(Planning[[#This Row],[Mes]]*29,"mmmm")</f>
        <v>October</v>
      </c>
      <c r="S288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82" s="214"/>
      <c r="U2882" s="43">
        <f>IF(Planning[[#This Row],[Horas Planificadas]]&lt;&gt;0,+K2882/Planning[[#This Row],[Horas Planificadas]],0)</f>
        <v>0</v>
      </c>
      <c r="V2882" s="43">
        <f>IF(Planning[[#This Row],[Horas Planificadas]]&lt;&gt;0,Planning[[#This Row],[Horas utilizadas]]/Planning[[#This Row],[Horas Planificadas]],0)</f>
        <v>0</v>
      </c>
      <c r="W2882" s="44">
        <f>Planning[[#This Row],[Horas Planificadas]]+Planning[[#This Row],[Horas ajustadas adicionales]]</f>
        <v>0</v>
      </c>
      <c r="X2882" s="142"/>
    </row>
    <row r="2883" spans="1:24" ht="13.35" customHeight="1" x14ac:dyDescent="0.2">
      <c r="A2883" s="7" t="s">
        <v>294</v>
      </c>
      <c r="B2883" s="7" t="s">
        <v>288</v>
      </c>
      <c r="C2883" s="3"/>
      <c r="D2883" s="3" t="s">
        <v>568</v>
      </c>
      <c r="E2883" s="4" t="s">
        <v>28</v>
      </c>
      <c r="F2883" s="3"/>
      <c r="G2883" s="9">
        <v>658</v>
      </c>
      <c r="H2883" s="14">
        <f>SUM(H2884:H2885)</f>
        <v>658</v>
      </c>
      <c r="I2883" s="14"/>
      <c r="J2883" s="14" t="e">
        <f>SUM(J2884:J2885)</f>
        <v>#REF!</v>
      </c>
      <c r="K2883" s="15" t="e">
        <f>SUM(K2884:K2885)</f>
        <v>#REF!</v>
      </c>
      <c r="L2883" s="15">
        <f>SUM(L2884:L2885)</f>
        <v>9</v>
      </c>
      <c r="M2883" s="14" t="e">
        <f>SUM(M2884:M2885)</f>
        <v>#REF!</v>
      </c>
      <c r="N2883" s="66" t="e">
        <f>+SUMIFS(#REF!,#REF!,Planning[[#This Row],[Proyectos]],#REF!,Planning[[#This Row],[Tipo de Tarea y especialidad]])</f>
        <v>#REF!</v>
      </c>
      <c r="O2883" s="14">
        <f t="shared" si="88"/>
        <v>10</v>
      </c>
      <c r="P2883" s="14">
        <f t="shared" si="89"/>
        <v>2024</v>
      </c>
      <c r="Q2883" s="28" t="e">
        <f>SUM(Q2884:Q2885)</f>
        <v>#REF!</v>
      </c>
      <c r="R2883" s="28" t="str">
        <f>TEXT(Planning[[#This Row],[Mes]]*29,"mmmm")</f>
        <v>October</v>
      </c>
      <c r="S28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83" s="207" t="s">
        <v>569</v>
      </c>
      <c r="U2883" s="43" t="e">
        <f>IF(Planning[[#This Row],[Horas Planificadas]]&lt;&gt;0,+K2883/Planning[[#This Row],[Horas Planificadas]],0)</f>
        <v>#REF!</v>
      </c>
      <c r="V2883" s="43" t="e">
        <f>IF(Planning[[#This Row],[Horas Planificadas]]&lt;&gt;0,Planning[[#This Row],[Horas utilizadas]]/Planning[[#This Row],[Horas Planificadas]],0)</f>
        <v>#REF!</v>
      </c>
      <c r="W2883" s="44">
        <f>Planning[[#This Row],[Horas Planificadas]]+Planning[[#This Row],[Horas ajustadas adicionales]]</f>
        <v>658</v>
      </c>
      <c r="X2883" s="142"/>
    </row>
    <row r="2884" spans="1:24" x14ac:dyDescent="0.2">
      <c r="A2884" s="7" t="s">
        <v>294</v>
      </c>
      <c r="B2884" s="7" t="s">
        <v>288</v>
      </c>
      <c r="C2884" s="3"/>
      <c r="D2884" s="3" t="s">
        <v>568</v>
      </c>
      <c r="E2884" s="4"/>
      <c r="F2884" s="3" t="s">
        <v>120</v>
      </c>
      <c r="G2884" s="9"/>
      <c r="H2884" s="9">
        <v>445</v>
      </c>
      <c r="I2884" s="12"/>
      <c r="J2884" s="5" t="e">
        <f>SUM(SUMIFS(#REF!,#REF!,Planning[[#This Row],[Tipo de Tarea y especialidad]],#REF!,Planning[[#This Row],[Proyectos Reiwa]]),SUMIFS(#REF!,#REF!,Planning[[#This Row],[Tipo de Tarea y especialidad]],#REF!,Planning[[#This Row],[Proyectos]]))</f>
        <v>#REF!</v>
      </c>
      <c r="K2884" s="5" t="e">
        <f>Planning[[#This Row],[Horas Planificadas]]+Planning[[#This Row],[Horas ajustadas adicionales]]-Planning[[#This Row],[Horas utilizadas]]</f>
        <v>#REF!</v>
      </c>
      <c r="L2884" s="7">
        <v>0</v>
      </c>
      <c r="M2884" s="19" t="e">
        <f>Planning[[#This Row],[Saldo]]-Planning[[#This Row],[Saldo estimado]]</f>
        <v>#REF!</v>
      </c>
      <c r="N2884" s="60" t="e">
        <f>+SUMIFS(#REF!,#REF!,Planning[[#This Row],[Proyectos]],#REF!,Planning[[#This Row],[Tipo de Tarea y especialidad]])</f>
        <v>#REF!</v>
      </c>
      <c r="O2884" s="19">
        <f t="shared" si="88"/>
        <v>10</v>
      </c>
      <c r="P2884" s="19">
        <f t="shared" si="89"/>
        <v>2024</v>
      </c>
      <c r="Q28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84" s="19" t="str">
        <f>TEXT(Planning[[#This Row],[Mes]]*29,"mmmm")</f>
        <v>October</v>
      </c>
      <c r="S28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84" s="208"/>
      <c r="U2884" s="43" t="e">
        <f>IF(Planning[[#This Row],[Horas Planificadas]]&lt;&gt;0,+K2884/Planning[[#This Row],[Horas Planificadas]],0)</f>
        <v>#REF!</v>
      </c>
      <c r="V2884" s="43" t="e">
        <f>IF(Planning[[#This Row],[Horas Planificadas]]&lt;&gt;0,Planning[[#This Row],[Horas utilizadas]]/Planning[[#This Row],[Horas Planificadas]],0)</f>
        <v>#REF!</v>
      </c>
      <c r="W2884" s="44">
        <f>Planning[[#This Row],[Horas Planificadas]]+Planning[[#This Row],[Horas ajustadas adicionales]]</f>
        <v>445</v>
      </c>
      <c r="X2884" s="142"/>
    </row>
    <row r="2885" spans="1:24" x14ac:dyDescent="0.2">
      <c r="A2885" s="7" t="s">
        <v>294</v>
      </c>
      <c r="B2885" s="7" t="s">
        <v>288</v>
      </c>
      <c r="C2885" s="3"/>
      <c r="D2885" s="3" t="s">
        <v>568</v>
      </c>
      <c r="E2885" s="4"/>
      <c r="F2885" s="3" t="s">
        <v>121</v>
      </c>
      <c r="G2885" s="9"/>
      <c r="H2885" s="9">
        <v>213</v>
      </c>
      <c r="I2885" s="12"/>
      <c r="J2885" s="5" t="e">
        <f>SUM(SUMIFS(#REF!,#REF!,Planning[[#This Row],[Tipo de Tarea y especialidad]],#REF!,Planning[[#This Row],[Proyectos Reiwa]]),SUMIFS(#REF!,#REF!,Planning[[#This Row],[Tipo de Tarea y especialidad]],#REF!,Planning[[#This Row],[Proyectos]]))</f>
        <v>#REF!</v>
      </c>
      <c r="K2885" s="5" t="e">
        <f>Planning[[#This Row],[Horas Planificadas]]+Planning[[#This Row],[Horas ajustadas adicionales]]-Planning[[#This Row],[Horas utilizadas]]</f>
        <v>#REF!</v>
      </c>
      <c r="L2885" s="7">
        <v>9</v>
      </c>
      <c r="M2885" s="19" t="e">
        <f>Planning[[#This Row],[Saldo]]-Planning[[#This Row],[Saldo estimado]]</f>
        <v>#REF!</v>
      </c>
      <c r="N2885" s="60" t="e">
        <f>+SUMIFS(#REF!,#REF!,Planning[[#This Row],[Proyectos]],#REF!,Planning[[#This Row],[Tipo de Tarea y especialidad]])</f>
        <v>#REF!</v>
      </c>
      <c r="O2885" s="19">
        <f t="shared" si="88"/>
        <v>10</v>
      </c>
      <c r="P2885" s="19">
        <f t="shared" si="89"/>
        <v>2024</v>
      </c>
      <c r="Q28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85" s="19" t="str">
        <f>TEXT(Planning[[#This Row],[Mes]]*29,"mmmm")</f>
        <v>October</v>
      </c>
      <c r="S28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85" s="208"/>
      <c r="U2885" s="43" t="e">
        <f>IF(Planning[[#This Row],[Horas Planificadas]]&lt;&gt;0,+K2885/Planning[[#This Row],[Horas Planificadas]],0)</f>
        <v>#REF!</v>
      </c>
      <c r="V2885" s="43" t="e">
        <f>IF(Planning[[#This Row],[Horas Planificadas]]&lt;&gt;0,Planning[[#This Row],[Horas utilizadas]]/Planning[[#This Row],[Horas Planificadas]],0)</f>
        <v>#REF!</v>
      </c>
      <c r="W2885" s="44">
        <f>Planning[[#This Row],[Horas Planificadas]]+Planning[[#This Row],[Horas ajustadas adicionales]]</f>
        <v>213</v>
      </c>
      <c r="X2885" s="142"/>
    </row>
    <row r="2886" spans="1:24" x14ac:dyDescent="0.2">
      <c r="A2886" s="7" t="s">
        <v>294</v>
      </c>
      <c r="B2886" s="7" t="s">
        <v>288</v>
      </c>
      <c r="C2886" s="3"/>
      <c r="D2886" s="3" t="s">
        <v>568</v>
      </c>
      <c r="E2886" s="4" t="s">
        <v>30</v>
      </c>
      <c r="F2886" s="3"/>
      <c r="G2886" s="9">
        <v>749</v>
      </c>
      <c r="H2886" s="14">
        <f>SUM(H2887:H2893)</f>
        <v>749</v>
      </c>
      <c r="I2886" s="14"/>
      <c r="J2886" s="14" t="e">
        <f>SUM(J2887:J2893)</f>
        <v>#REF!</v>
      </c>
      <c r="K2886" s="15" t="e">
        <f>SUM(K2887:K2893)</f>
        <v>#REF!</v>
      </c>
      <c r="L2886" s="15">
        <f>SUM(L2887:L2893)</f>
        <v>0</v>
      </c>
      <c r="M2886" s="16" t="e">
        <f>SUM(M2887:M2893)</f>
        <v>#REF!</v>
      </c>
      <c r="N2886" s="60" t="e">
        <f>+SUMIFS(#REF!,#REF!,Planning[[#This Row],[Proyectos]],#REF!,Planning[[#This Row],[Tipo de Tarea y especialidad]])</f>
        <v>#REF!</v>
      </c>
      <c r="O2886" s="16">
        <f t="shared" si="88"/>
        <v>10</v>
      </c>
      <c r="P2886" s="16">
        <f t="shared" si="89"/>
        <v>2024</v>
      </c>
      <c r="Q2886" s="16" t="e">
        <f>SUM(Q2887:Q2893)</f>
        <v>#REF!</v>
      </c>
      <c r="R2886" s="16" t="str">
        <f>TEXT(Planning[[#This Row],[Mes]]*29,"mmmm")</f>
        <v>October</v>
      </c>
      <c r="S28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86" s="208"/>
      <c r="U2886" s="43" t="e">
        <f>IF(Planning[[#This Row],[Horas Planificadas]]&lt;&gt;0,+K2886/Planning[[#This Row],[Horas Planificadas]],0)</f>
        <v>#REF!</v>
      </c>
      <c r="V2886" s="43" t="e">
        <f>IF(Planning[[#This Row],[Horas Planificadas]]&lt;&gt;0,Planning[[#This Row],[Horas utilizadas]]/Planning[[#This Row],[Horas Planificadas]],0)</f>
        <v>#REF!</v>
      </c>
      <c r="W2886" s="44">
        <f>Planning[[#This Row],[Horas Planificadas]]+Planning[[#This Row],[Horas ajustadas adicionales]]</f>
        <v>749</v>
      </c>
      <c r="X2886" s="142"/>
    </row>
    <row r="2887" spans="1:24" x14ac:dyDescent="0.2">
      <c r="A2887" s="7" t="s">
        <v>294</v>
      </c>
      <c r="B2887" s="7" t="s">
        <v>288</v>
      </c>
      <c r="C2887" s="3"/>
      <c r="D2887" s="3" t="s">
        <v>568</v>
      </c>
      <c r="E2887" s="4"/>
      <c r="F2887" s="3" t="s">
        <v>122</v>
      </c>
      <c r="G2887" s="9"/>
      <c r="H2887" s="9"/>
      <c r="I2887" s="12"/>
      <c r="J2887" s="5" t="e">
        <f>SUM(SUMIFS(#REF!,#REF!,Planning[[#This Row],[Tipo de Tarea y especialidad]],#REF!,Planning[[#This Row],[Proyectos Reiwa]]),SUMIFS(#REF!,#REF!,Planning[[#This Row],[Tipo de Tarea y especialidad]],#REF!,Planning[[#This Row],[Proyectos]]))</f>
        <v>#REF!</v>
      </c>
      <c r="K2887" s="5" t="e">
        <f>Planning[[#This Row],[Horas Planificadas]]+Planning[[#This Row],[Horas ajustadas adicionales]]-Planning[[#This Row],[Horas utilizadas]]</f>
        <v>#REF!</v>
      </c>
      <c r="L2887" s="7"/>
      <c r="M2887" s="19" t="e">
        <f>Planning[[#This Row],[Saldo]]-Planning[[#This Row],[Saldo estimado]]</f>
        <v>#REF!</v>
      </c>
      <c r="N2887" s="60" t="e">
        <f>+SUMIFS(#REF!,#REF!,Planning[[#This Row],[Proyectos]],#REF!,Planning[[#This Row],[Tipo de Tarea y especialidad]])</f>
        <v>#REF!</v>
      </c>
      <c r="O2887" s="19">
        <f t="shared" ref="O2887:O2950" si="90">$L$4</f>
        <v>10</v>
      </c>
      <c r="P2887" s="19">
        <f t="shared" ref="P2887:P2950" si="91">$M$4</f>
        <v>2024</v>
      </c>
      <c r="Q28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87" s="19" t="str">
        <f>TEXT(Planning[[#This Row],[Mes]]*29,"mmmm")</f>
        <v>October</v>
      </c>
      <c r="S28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87" s="208"/>
      <c r="U2887" s="43">
        <f>IF(Planning[[#This Row],[Horas Planificadas]]&lt;&gt;0,+K2887/Planning[[#This Row],[Horas Planificadas]],0)</f>
        <v>0</v>
      </c>
      <c r="V2887" s="43">
        <f>IF(Planning[[#This Row],[Horas Planificadas]]&lt;&gt;0,Planning[[#This Row],[Horas utilizadas]]/Planning[[#This Row],[Horas Planificadas]],0)</f>
        <v>0</v>
      </c>
      <c r="W2887" s="44">
        <f>Planning[[#This Row],[Horas Planificadas]]+Planning[[#This Row],[Horas ajustadas adicionales]]</f>
        <v>0</v>
      </c>
      <c r="X2887" s="142"/>
    </row>
    <row r="2888" spans="1:24" x14ac:dyDescent="0.2">
      <c r="A2888" s="7" t="s">
        <v>294</v>
      </c>
      <c r="B2888" s="7" t="s">
        <v>288</v>
      </c>
      <c r="C2888" s="3"/>
      <c r="D2888" s="3" t="s">
        <v>568</v>
      </c>
      <c r="E2888" s="4"/>
      <c r="F2888" s="3" t="s">
        <v>123</v>
      </c>
      <c r="G2888" s="9"/>
      <c r="H2888" s="9">
        <v>449</v>
      </c>
      <c r="I2888" s="12"/>
      <c r="J2888" s="5" t="e">
        <f>SUM(SUMIFS(#REF!,#REF!,Planning[[#This Row],[Tipo de Tarea y especialidad]],#REF!,Planning[[#This Row],[Proyectos Reiwa]]),SUMIFS(#REF!,#REF!,Planning[[#This Row],[Tipo de Tarea y especialidad]],#REF!,Planning[[#This Row],[Proyectos]]))</f>
        <v>#REF!</v>
      </c>
      <c r="K2888" s="5" t="e">
        <f>Planning[[#This Row],[Horas Planificadas]]+Planning[[#This Row],[Horas ajustadas adicionales]]-Planning[[#This Row],[Horas utilizadas]]</f>
        <v>#REF!</v>
      </c>
      <c r="L2888" s="7">
        <v>0</v>
      </c>
      <c r="M2888" s="19" t="e">
        <f>Planning[[#This Row],[Saldo]]-Planning[[#This Row],[Saldo estimado]]</f>
        <v>#REF!</v>
      </c>
      <c r="N2888" s="60" t="e">
        <f>+SUMIFS(#REF!,#REF!,Planning[[#This Row],[Proyectos]],#REF!,Planning[[#This Row],[Tipo de Tarea y especialidad]])</f>
        <v>#REF!</v>
      </c>
      <c r="O2888" s="19">
        <f t="shared" si="90"/>
        <v>10</v>
      </c>
      <c r="P2888" s="19">
        <f t="shared" si="91"/>
        <v>2024</v>
      </c>
      <c r="Q28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88" s="19" t="str">
        <f>TEXT(Planning[[#This Row],[Mes]]*29,"mmmm")</f>
        <v>October</v>
      </c>
      <c r="S28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88" s="208"/>
      <c r="U2888" s="43" t="e">
        <f>IF(Planning[[#This Row],[Horas Planificadas]]&lt;&gt;0,+K2888/Planning[[#This Row],[Horas Planificadas]],0)</f>
        <v>#REF!</v>
      </c>
      <c r="V2888" s="43" t="e">
        <f>IF(Planning[[#This Row],[Horas Planificadas]]&lt;&gt;0,Planning[[#This Row],[Horas utilizadas]]/Planning[[#This Row],[Horas Planificadas]],0)</f>
        <v>#REF!</v>
      </c>
      <c r="W2888" s="44">
        <f>Planning[[#This Row],[Horas Planificadas]]+Planning[[#This Row],[Horas ajustadas adicionales]]</f>
        <v>449</v>
      </c>
      <c r="X2888" s="142"/>
    </row>
    <row r="2889" spans="1:24" x14ac:dyDescent="0.2">
      <c r="A2889" s="7" t="s">
        <v>294</v>
      </c>
      <c r="B2889" s="7" t="s">
        <v>288</v>
      </c>
      <c r="C2889" s="3"/>
      <c r="D2889" s="3" t="s">
        <v>568</v>
      </c>
      <c r="E2889" s="4"/>
      <c r="F2889" s="3" t="s">
        <v>124</v>
      </c>
      <c r="G2889" s="9"/>
      <c r="H2889" s="9">
        <v>300</v>
      </c>
      <c r="I2889" s="12"/>
      <c r="J2889" s="5" t="e">
        <f>SUM(SUMIFS(#REF!,#REF!,Planning[[#This Row],[Tipo de Tarea y especialidad]],#REF!,Planning[[#This Row],[Proyectos Reiwa]]),SUMIFS(#REF!,#REF!,Planning[[#This Row],[Tipo de Tarea y especialidad]],#REF!,Planning[[#This Row],[Proyectos]]))</f>
        <v>#REF!</v>
      </c>
      <c r="K2889" s="5" t="e">
        <f>Planning[[#This Row],[Horas Planificadas]]+Planning[[#This Row],[Horas ajustadas adicionales]]-Planning[[#This Row],[Horas utilizadas]]</f>
        <v>#REF!</v>
      </c>
      <c r="L2889" s="7">
        <v>0</v>
      </c>
      <c r="M2889" s="19" t="e">
        <f>Planning[[#This Row],[Saldo]]-Planning[[#This Row],[Saldo estimado]]</f>
        <v>#REF!</v>
      </c>
      <c r="N2889" s="60" t="e">
        <f>+SUMIFS(#REF!,#REF!,Planning[[#This Row],[Proyectos]],#REF!,Planning[[#This Row],[Tipo de Tarea y especialidad]])</f>
        <v>#REF!</v>
      </c>
      <c r="O2889" s="19">
        <f t="shared" si="90"/>
        <v>10</v>
      </c>
      <c r="P2889" s="19">
        <f t="shared" si="91"/>
        <v>2024</v>
      </c>
      <c r="Q28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89" s="19" t="str">
        <f>TEXT(Planning[[#This Row],[Mes]]*29,"mmmm")</f>
        <v>October</v>
      </c>
      <c r="S28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89" s="208"/>
      <c r="U2889" s="43" t="e">
        <f>IF(Planning[[#This Row],[Horas Planificadas]]&lt;&gt;0,+K2889/Planning[[#This Row],[Horas Planificadas]],0)</f>
        <v>#REF!</v>
      </c>
      <c r="V2889" s="43" t="e">
        <f>IF(Planning[[#This Row],[Horas Planificadas]]&lt;&gt;0,Planning[[#This Row],[Horas utilizadas]]/Planning[[#This Row],[Horas Planificadas]],0)</f>
        <v>#REF!</v>
      </c>
      <c r="W2889" s="44">
        <f>Planning[[#This Row],[Horas Planificadas]]+Planning[[#This Row],[Horas ajustadas adicionales]]</f>
        <v>300</v>
      </c>
      <c r="X2889" s="142"/>
    </row>
    <row r="2890" spans="1:24" x14ac:dyDescent="0.2">
      <c r="A2890" s="7" t="s">
        <v>294</v>
      </c>
      <c r="B2890" s="7" t="s">
        <v>288</v>
      </c>
      <c r="C2890" s="3"/>
      <c r="D2890" s="3" t="s">
        <v>568</v>
      </c>
      <c r="E2890" s="4"/>
      <c r="F2890" s="3" t="s">
        <v>125</v>
      </c>
      <c r="G2890" s="9"/>
      <c r="H2890" s="9"/>
      <c r="I2890" s="12"/>
      <c r="J2890" s="5" t="e">
        <f>SUM(SUMIFS(#REF!,#REF!,Planning[[#This Row],[Tipo de Tarea y especialidad]],#REF!,Planning[[#This Row],[Proyectos Reiwa]]),SUMIFS(#REF!,#REF!,Planning[[#This Row],[Tipo de Tarea y especialidad]],#REF!,Planning[[#This Row],[Proyectos]]))</f>
        <v>#REF!</v>
      </c>
      <c r="K2890" s="5" t="e">
        <f>Planning[[#This Row],[Horas Planificadas]]+Planning[[#This Row],[Horas ajustadas adicionales]]-Planning[[#This Row],[Horas utilizadas]]</f>
        <v>#REF!</v>
      </c>
      <c r="L2890" s="7">
        <v>0</v>
      </c>
      <c r="M2890" s="19" t="e">
        <f>Planning[[#This Row],[Saldo]]-Planning[[#This Row],[Saldo estimado]]</f>
        <v>#REF!</v>
      </c>
      <c r="N2890" s="60" t="e">
        <f>+SUMIFS(#REF!,#REF!,Planning[[#This Row],[Proyectos]],#REF!,Planning[[#This Row],[Tipo de Tarea y especialidad]])</f>
        <v>#REF!</v>
      </c>
      <c r="O2890" s="19">
        <f t="shared" si="90"/>
        <v>10</v>
      </c>
      <c r="P2890" s="19">
        <f t="shared" si="91"/>
        <v>2024</v>
      </c>
      <c r="Q28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90" s="19" t="str">
        <f>TEXT(Planning[[#This Row],[Mes]]*29,"mmmm")</f>
        <v>October</v>
      </c>
      <c r="S28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90" s="208"/>
      <c r="U2890" s="43">
        <f>IF(Planning[[#This Row],[Horas Planificadas]]&lt;&gt;0,+K2890/Planning[[#This Row],[Horas Planificadas]],0)</f>
        <v>0</v>
      </c>
      <c r="V2890" s="43">
        <f>IF(Planning[[#This Row],[Horas Planificadas]]&lt;&gt;0,Planning[[#This Row],[Horas utilizadas]]/Planning[[#This Row],[Horas Planificadas]],0)</f>
        <v>0</v>
      </c>
      <c r="W2890" s="44">
        <f>Planning[[#This Row],[Horas Planificadas]]+Planning[[#This Row],[Horas ajustadas adicionales]]</f>
        <v>0</v>
      </c>
      <c r="X2890" s="142"/>
    </row>
    <row r="2891" spans="1:24" x14ac:dyDescent="0.2">
      <c r="A2891" s="7" t="s">
        <v>294</v>
      </c>
      <c r="B2891" s="7" t="s">
        <v>288</v>
      </c>
      <c r="C2891" s="3"/>
      <c r="D2891" s="3" t="s">
        <v>568</v>
      </c>
      <c r="E2891" s="4"/>
      <c r="F2891" s="3" t="s">
        <v>126</v>
      </c>
      <c r="G2891" s="9"/>
      <c r="H2891" s="9"/>
      <c r="I2891" s="12"/>
      <c r="J2891" s="5" t="e">
        <f>SUM(SUMIFS(#REF!,#REF!,Planning[[#This Row],[Tipo de Tarea y especialidad]],#REF!,Planning[[#This Row],[Proyectos Reiwa]]),SUMIFS(#REF!,#REF!,Planning[[#This Row],[Tipo de Tarea y especialidad]],#REF!,Planning[[#This Row],[Proyectos]]))</f>
        <v>#REF!</v>
      </c>
      <c r="K2891" s="5" t="e">
        <f>Planning[[#This Row],[Horas Planificadas]]+Planning[[#This Row],[Horas ajustadas adicionales]]-Planning[[#This Row],[Horas utilizadas]]</f>
        <v>#REF!</v>
      </c>
      <c r="L2891" s="7"/>
      <c r="M2891" s="19" t="e">
        <f>Planning[[#This Row],[Saldo]]-Planning[[#This Row],[Saldo estimado]]</f>
        <v>#REF!</v>
      </c>
      <c r="N2891" s="60" t="e">
        <f>+SUMIFS(#REF!,#REF!,Planning[[#This Row],[Proyectos]],#REF!,Planning[[#This Row],[Tipo de Tarea y especialidad]])</f>
        <v>#REF!</v>
      </c>
      <c r="O2891" s="19">
        <f t="shared" si="90"/>
        <v>10</v>
      </c>
      <c r="P2891" s="19">
        <f t="shared" si="91"/>
        <v>2024</v>
      </c>
      <c r="Q28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91" s="19" t="str">
        <f>TEXT(Planning[[#This Row],[Mes]]*29,"mmmm")</f>
        <v>October</v>
      </c>
      <c r="S28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91" s="208"/>
      <c r="U2891" s="43">
        <f>IF(Planning[[#This Row],[Horas Planificadas]]&lt;&gt;0,+K2891/Planning[[#This Row],[Horas Planificadas]],0)</f>
        <v>0</v>
      </c>
      <c r="V2891" s="43">
        <f>IF(Planning[[#This Row],[Horas Planificadas]]&lt;&gt;0,Planning[[#This Row],[Horas utilizadas]]/Planning[[#This Row],[Horas Planificadas]],0)</f>
        <v>0</v>
      </c>
      <c r="W2891" s="44">
        <f>Planning[[#This Row],[Horas Planificadas]]+Planning[[#This Row],[Horas ajustadas adicionales]]</f>
        <v>0</v>
      </c>
      <c r="X2891" s="142"/>
    </row>
    <row r="2892" spans="1:24" x14ac:dyDescent="0.2">
      <c r="A2892" s="7" t="s">
        <v>294</v>
      </c>
      <c r="B2892" s="7" t="s">
        <v>288</v>
      </c>
      <c r="C2892" s="3"/>
      <c r="D2892" s="3" t="s">
        <v>568</v>
      </c>
      <c r="E2892" s="4"/>
      <c r="F2892" s="3" t="s">
        <v>127</v>
      </c>
      <c r="G2892" s="9"/>
      <c r="H2892" s="9"/>
      <c r="I2892" s="12"/>
      <c r="J2892" s="5" t="e">
        <f>SUM(SUMIFS(#REF!,#REF!,Planning[[#This Row],[Tipo de Tarea y especialidad]],#REF!,Planning[[#This Row],[Proyectos Reiwa]]),SUMIFS(#REF!,#REF!,Planning[[#This Row],[Tipo de Tarea y especialidad]],#REF!,Planning[[#This Row],[Proyectos]]))</f>
        <v>#REF!</v>
      </c>
      <c r="K2892" s="5" t="e">
        <f>Planning[[#This Row],[Horas Planificadas]]+Planning[[#This Row],[Horas ajustadas adicionales]]-Planning[[#This Row],[Horas utilizadas]]</f>
        <v>#REF!</v>
      </c>
      <c r="L2892" s="7"/>
      <c r="M2892" s="19" t="e">
        <f>Planning[[#This Row],[Saldo]]-Planning[[#This Row],[Saldo estimado]]</f>
        <v>#REF!</v>
      </c>
      <c r="N2892" s="60" t="e">
        <f>+SUMIFS(#REF!,#REF!,Planning[[#This Row],[Proyectos]],#REF!,Planning[[#This Row],[Tipo de Tarea y especialidad]])</f>
        <v>#REF!</v>
      </c>
      <c r="O2892" s="19">
        <f t="shared" si="90"/>
        <v>10</v>
      </c>
      <c r="P2892" s="19">
        <f t="shared" si="91"/>
        <v>2024</v>
      </c>
      <c r="Q28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92" s="19" t="str">
        <f>TEXT(Planning[[#This Row],[Mes]]*29,"mmmm")</f>
        <v>October</v>
      </c>
      <c r="S28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92" s="208"/>
      <c r="U2892" s="43">
        <f>IF(Planning[[#This Row],[Horas Planificadas]]&lt;&gt;0,+K2892/Planning[[#This Row],[Horas Planificadas]],0)</f>
        <v>0</v>
      </c>
      <c r="V2892" s="43">
        <f>IF(Planning[[#This Row],[Horas Planificadas]]&lt;&gt;0,Planning[[#This Row],[Horas utilizadas]]/Planning[[#This Row],[Horas Planificadas]],0)</f>
        <v>0</v>
      </c>
      <c r="W2892" s="44">
        <f>Planning[[#This Row],[Horas Planificadas]]+Planning[[#This Row],[Horas ajustadas adicionales]]</f>
        <v>0</v>
      </c>
      <c r="X2892" s="142"/>
    </row>
    <row r="2893" spans="1:24" x14ac:dyDescent="0.2">
      <c r="A2893" s="7" t="s">
        <v>294</v>
      </c>
      <c r="B2893" s="7" t="s">
        <v>288</v>
      </c>
      <c r="C2893" s="3"/>
      <c r="D2893" s="3" t="s">
        <v>568</v>
      </c>
      <c r="E2893" s="4"/>
      <c r="F2893" s="3" t="s">
        <v>128</v>
      </c>
      <c r="G2893" s="9"/>
      <c r="H2893" s="9"/>
      <c r="I2893" s="12"/>
      <c r="J2893" s="5" t="e">
        <f>SUM(SUMIFS(#REF!,#REF!,Planning[[#This Row],[Tipo de Tarea y especialidad]],#REF!,Planning[[#This Row],[Proyectos Reiwa]]),SUMIFS(#REF!,#REF!,Planning[[#This Row],[Tipo de Tarea y especialidad]],#REF!,Planning[[#This Row],[Proyectos]]))</f>
        <v>#REF!</v>
      </c>
      <c r="K2893" s="5" t="e">
        <f>Planning[[#This Row],[Horas Planificadas]]+Planning[[#This Row],[Horas ajustadas adicionales]]-Planning[[#This Row],[Horas utilizadas]]</f>
        <v>#REF!</v>
      </c>
      <c r="L2893" s="7"/>
      <c r="M2893" s="19" t="e">
        <f>Planning[[#This Row],[Saldo]]-Planning[[#This Row],[Saldo estimado]]</f>
        <v>#REF!</v>
      </c>
      <c r="N2893" s="60" t="e">
        <f>+SUMIFS(#REF!,#REF!,Planning[[#This Row],[Proyectos]],#REF!,Planning[[#This Row],[Tipo de Tarea y especialidad]])</f>
        <v>#REF!</v>
      </c>
      <c r="O2893" s="19">
        <f t="shared" si="90"/>
        <v>10</v>
      </c>
      <c r="P2893" s="19">
        <f t="shared" si="91"/>
        <v>2024</v>
      </c>
      <c r="Q28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93" s="19" t="str">
        <f>TEXT(Planning[[#This Row],[Mes]]*29,"mmmm")</f>
        <v>October</v>
      </c>
      <c r="S28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93" s="208"/>
      <c r="U2893" s="43">
        <f>IF(Planning[[#This Row],[Horas Planificadas]]&lt;&gt;0,+K2893/Planning[[#This Row],[Horas Planificadas]],0)</f>
        <v>0</v>
      </c>
      <c r="V2893" s="43">
        <f>IF(Planning[[#This Row],[Horas Planificadas]]&lt;&gt;0,Planning[[#This Row],[Horas utilizadas]]/Planning[[#This Row],[Horas Planificadas]],0)</f>
        <v>0</v>
      </c>
      <c r="W2893" s="44">
        <f>Planning[[#This Row],[Horas Planificadas]]+Planning[[#This Row],[Horas ajustadas adicionales]]</f>
        <v>0</v>
      </c>
      <c r="X2893" s="142"/>
    </row>
    <row r="2894" spans="1:24" x14ac:dyDescent="0.2">
      <c r="A2894" s="7" t="s">
        <v>294</v>
      </c>
      <c r="B2894" s="7" t="s">
        <v>288</v>
      </c>
      <c r="C2894" s="3"/>
      <c r="D2894" s="3" t="s">
        <v>568</v>
      </c>
      <c r="E2894" s="4" t="s">
        <v>31</v>
      </c>
      <c r="F2894" s="3" t="s">
        <v>31</v>
      </c>
      <c r="G2894" s="9">
        <v>219</v>
      </c>
      <c r="H2894" s="17">
        <v>219</v>
      </c>
      <c r="I2894" s="18"/>
      <c r="J2894" s="14" t="e">
        <f>+SUMIFS(#REF!,#REF!,Planning[[#This Row],[Tarifa]],#REF!,Planning[[#This Row],[Proyectos]])</f>
        <v>#REF!</v>
      </c>
      <c r="K2894" s="14" t="e">
        <f>Planning[[#This Row],[Horas Planificadas]]+Planning[[#This Row],[Horas ajustadas adicionales]]-Planning[[#This Row],[Horas utilizadas]]</f>
        <v>#REF!</v>
      </c>
      <c r="L2894" s="15">
        <v>0</v>
      </c>
      <c r="M2894" s="16" t="e">
        <f>Planning[[#This Row],[Saldo]]-Planning[[#This Row],[Saldo estimado]]</f>
        <v>#REF!</v>
      </c>
      <c r="N2894" s="60" t="e">
        <f>+SUMIFS(#REF!,#REF!,Planning[[#This Row],[Proyectos]],#REF!,Planning[[#This Row],[Tipo de Tarea y especialidad]])</f>
        <v>#REF!</v>
      </c>
      <c r="O2894" s="16">
        <f t="shared" si="90"/>
        <v>10</v>
      </c>
      <c r="P2894" s="16">
        <f t="shared" si="91"/>
        <v>2024</v>
      </c>
      <c r="Q2894" s="16" t="e">
        <f>+SUMIFS(#REF!,#REF!,Planning[[#This Row],[Tarifa]],#REF!,Planning[[#This Row],[Proyectos]],#REF!,Planning[[#This Row],[Mes]],#REF!,Planning[[#This Row],[Año]])</f>
        <v>#REF!</v>
      </c>
      <c r="R2894" s="16" t="str">
        <f>TEXT(Planning[[#This Row],[Mes]]*29,"mmmm")</f>
        <v>October</v>
      </c>
      <c r="S28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94" s="208"/>
      <c r="U2894" s="43" t="e">
        <f>IF(Planning[[#This Row],[Horas Planificadas]]&lt;&gt;0,+K2894/Planning[[#This Row],[Horas Planificadas]],0)</f>
        <v>#REF!</v>
      </c>
      <c r="V2894" s="43" t="e">
        <f>IF(Planning[[#This Row],[Horas Planificadas]]&lt;&gt;0,Planning[[#This Row],[Horas utilizadas]]/Planning[[#This Row],[Horas Planificadas]],0)</f>
        <v>#REF!</v>
      </c>
      <c r="W2894" s="44">
        <f>Planning[[#This Row],[Horas Planificadas]]+Planning[[#This Row],[Horas ajustadas adicionales]]</f>
        <v>219</v>
      </c>
      <c r="X2894" s="142"/>
    </row>
    <row r="2895" spans="1:24" ht="22.5" x14ac:dyDescent="0.2">
      <c r="A2895" s="7" t="s">
        <v>294</v>
      </c>
      <c r="B2895" s="7" t="s">
        <v>288</v>
      </c>
      <c r="C2895" s="3"/>
      <c r="D2895" s="3" t="s">
        <v>568</v>
      </c>
      <c r="E2895" s="4" t="s">
        <v>32</v>
      </c>
      <c r="F2895" s="3"/>
      <c r="G2895" s="9">
        <v>270</v>
      </c>
      <c r="H2895" s="14">
        <f>SUM(H2896:H2898)</f>
        <v>270</v>
      </c>
      <c r="I2895" s="14"/>
      <c r="J2895" s="14" t="e">
        <f>SUM(J2896:J2898)</f>
        <v>#REF!</v>
      </c>
      <c r="K2895" s="15" t="e">
        <f>SUM(K2896:K2898)</f>
        <v>#REF!</v>
      </c>
      <c r="L2895" s="15">
        <f>SUM(L2896:L2898)</f>
        <v>0</v>
      </c>
      <c r="M2895" s="16" t="e">
        <f>SUM(M2896:M2898)</f>
        <v>#REF!</v>
      </c>
      <c r="N2895" s="60" t="e">
        <f>+SUMIFS(#REF!,#REF!,Planning[[#This Row],[Proyectos]],#REF!,Planning[[#This Row],[Tipo de Tarea y especialidad]])</f>
        <v>#REF!</v>
      </c>
      <c r="O2895" s="16">
        <f t="shared" si="90"/>
        <v>10</v>
      </c>
      <c r="P2895" s="16">
        <f t="shared" si="91"/>
        <v>2024</v>
      </c>
      <c r="Q2895" s="16" t="e">
        <f>SUM(Q2896:Q2898)</f>
        <v>#REF!</v>
      </c>
      <c r="R2895" s="16" t="str">
        <f>TEXT(Planning[[#This Row],[Mes]]*29,"mmmm")</f>
        <v>October</v>
      </c>
      <c r="S28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95" s="208"/>
      <c r="U2895" s="43" t="e">
        <f>IF(Planning[[#This Row],[Horas Planificadas]]&lt;&gt;0,+K2895/Planning[[#This Row],[Horas Planificadas]],0)</f>
        <v>#REF!</v>
      </c>
      <c r="V2895" s="43" t="e">
        <f>IF(Planning[[#This Row],[Horas Planificadas]]&lt;&gt;0,Planning[[#This Row],[Horas utilizadas]]/Planning[[#This Row],[Horas Planificadas]],0)</f>
        <v>#REF!</v>
      </c>
      <c r="W2895" s="44">
        <f>Planning[[#This Row],[Horas Planificadas]]+Planning[[#This Row],[Horas ajustadas adicionales]]</f>
        <v>270</v>
      </c>
      <c r="X2895" s="142"/>
    </row>
    <row r="2896" spans="1:24" x14ac:dyDescent="0.2">
      <c r="A2896" s="7" t="s">
        <v>294</v>
      </c>
      <c r="B2896" s="7" t="s">
        <v>288</v>
      </c>
      <c r="C2896" s="3"/>
      <c r="D2896" s="3" t="s">
        <v>568</v>
      </c>
      <c r="E2896" s="4"/>
      <c r="F2896" s="3" t="s">
        <v>129</v>
      </c>
      <c r="G2896" s="9"/>
      <c r="H2896" s="9"/>
      <c r="I2896" s="12"/>
      <c r="J2896" s="5" t="e">
        <f>SUM(SUMIFS(#REF!,#REF!,Planning[[#This Row],[Tipo de Tarea y especialidad]],#REF!,Planning[[#This Row],[Proyectos Reiwa]]),SUMIFS(#REF!,#REF!,Planning[[#This Row],[Tipo de Tarea y especialidad]],#REF!,Planning[[#This Row],[Proyectos]]))</f>
        <v>#REF!</v>
      </c>
      <c r="K2896" s="5" t="e">
        <f>Planning[[#This Row],[Horas Planificadas]]+Planning[[#This Row],[Horas ajustadas adicionales]]-Planning[[#This Row],[Horas utilizadas]]</f>
        <v>#REF!</v>
      </c>
      <c r="L2896" s="7"/>
      <c r="M2896" s="19" t="e">
        <f>Planning[[#This Row],[Saldo]]-Planning[[#This Row],[Saldo estimado]]</f>
        <v>#REF!</v>
      </c>
      <c r="N2896" s="60" t="e">
        <f>+SUMIFS(#REF!,#REF!,Planning[[#This Row],[Proyectos]],#REF!,Planning[[#This Row],[Tipo de Tarea y especialidad]])</f>
        <v>#REF!</v>
      </c>
      <c r="O2896" s="19">
        <f t="shared" si="90"/>
        <v>10</v>
      </c>
      <c r="P2896" s="19">
        <f t="shared" si="91"/>
        <v>2024</v>
      </c>
      <c r="Q28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96" s="19" t="str">
        <f>TEXT(Planning[[#This Row],[Mes]]*29,"mmmm")</f>
        <v>October</v>
      </c>
      <c r="S28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96" s="208"/>
      <c r="U2896" s="43">
        <f>IF(Planning[[#This Row],[Horas Planificadas]]&lt;&gt;0,+K2896/Planning[[#This Row],[Horas Planificadas]],0)</f>
        <v>0</v>
      </c>
      <c r="V2896" s="43">
        <f>IF(Planning[[#This Row],[Horas Planificadas]]&lt;&gt;0,Planning[[#This Row],[Horas utilizadas]]/Planning[[#This Row],[Horas Planificadas]],0)</f>
        <v>0</v>
      </c>
      <c r="W2896" s="44">
        <f>Planning[[#This Row],[Horas Planificadas]]+Planning[[#This Row],[Horas ajustadas adicionales]]</f>
        <v>0</v>
      </c>
      <c r="X2896" s="142"/>
    </row>
    <row r="2897" spans="1:24" x14ac:dyDescent="0.2">
      <c r="A2897" s="7" t="s">
        <v>294</v>
      </c>
      <c r="B2897" s="7" t="s">
        <v>288</v>
      </c>
      <c r="C2897" s="3"/>
      <c r="D2897" s="3" t="s">
        <v>568</v>
      </c>
      <c r="E2897" s="4"/>
      <c r="F2897" s="3" t="s">
        <v>130</v>
      </c>
      <c r="G2897" s="9"/>
      <c r="H2897" s="9">
        <v>170</v>
      </c>
      <c r="I2897" s="12"/>
      <c r="J2897" s="5" t="e">
        <f>SUM(SUMIFS(#REF!,#REF!,Planning[[#This Row],[Tipo de Tarea y especialidad]],#REF!,Planning[[#This Row],[Proyectos Reiwa]]),SUMIFS(#REF!,#REF!,Planning[[#This Row],[Tipo de Tarea y especialidad]],#REF!,Planning[[#This Row],[Proyectos]]))</f>
        <v>#REF!</v>
      </c>
      <c r="K2897" s="5" t="e">
        <f>Planning[[#This Row],[Horas Planificadas]]+Planning[[#This Row],[Horas ajustadas adicionales]]-Planning[[#This Row],[Horas utilizadas]]</f>
        <v>#REF!</v>
      </c>
      <c r="L2897" s="7">
        <v>0</v>
      </c>
      <c r="M2897" s="19" t="e">
        <f>Planning[[#This Row],[Saldo]]-Planning[[#This Row],[Saldo estimado]]</f>
        <v>#REF!</v>
      </c>
      <c r="N2897" s="60" t="e">
        <f>+SUMIFS(#REF!,#REF!,Planning[[#This Row],[Proyectos]],#REF!,Planning[[#This Row],[Tipo de Tarea y especialidad]])</f>
        <v>#REF!</v>
      </c>
      <c r="O2897" s="19">
        <f t="shared" si="90"/>
        <v>10</v>
      </c>
      <c r="P2897" s="19">
        <f t="shared" si="91"/>
        <v>2024</v>
      </c>
      <c r="Q28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97" s="19" t="str">
        <f>TEXT(Planning[[#This Row],[Mes]]*29,"mmmm")</f>
        <v>October</v>
      </c>
      <c r="S28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97" s="208"/>
      <c r="U2897" s="43" t="e">
        <f>IF(Planning[[#This Row],[Horas Planificadas]]&lt;&gt;0,+K2897/Planning[[#This Row],[Horas Planificadas]],0)</f>
        <v>#REF!</v>
      </c>
      <c r="V2897" s="43" t="e">
        <f>IF(Planning[[#This Row],[Horas Planificadas]]&lt;&gt;0,Planning[[#This Row],[Horas utilizadas]]/Planning[[#This Row],[Horas Planificadas]],0)</f>
        <v>#REF!</v>
      </c>
      <c r="W2897" s="44">
        <f>Planning[[#This Row],[Horas Planificadas]]+Planning[[#This Row],[Horas ajustadas adicionales]]</f>
        <v>170</v>
      </c>
      <c r="X2897" s="142"/>
    </row>
    <row r="2898" spans="1:24" x14ac:dyDescent="0.2">
      <c r="A2898" s="7" t="s">
        <v>294</v>
      </c>
      <c r="B2898" s="7" t="s">
        <v>288</v>
      </c>
      <c r="C2898" s="3"/>
      <c r="D2898" s="3" t="s">
        <v>568</v>
      </c>
      <c r="E2898" s="4"/>
      <c r="F2898" s="3" t="s">
        <v>131</v>
      </c>
      <c r="G2898" s="9"/>
      <c r="H2898" s="9">
        <v>100</v>
      </c>
      <c r="I2898" s="12"/>
      <c r="J2898" s="5" t="e">
        <f>SUM(SUMIFS(#REF!,#REF!,Planning[[#This Row],[Tipo de Tarea y especialidad]],#REF!,Planning[[#This Row],[Proyectos Reiwa]]),SUMIFS(#REF!,#REF!,Planning[[#This Row],[Tipo de Tarea y especialidad]],#REF!,Planning[[#This Row],[Proyectos]]))</f>
        <v>#REF!</v>
      </c>
      <c r="K2898" s="5" t="e">
        <f>Planning[[#This Row],[Horas Planificadas]]+Planning[[#This Row],[Horas ajustadas adicionales]]-Planning[[#This Row],[Horas utilizadas]]</f>
        <v>#REF!</v>
      </c>
      <c r="L2898" s="7">
        <v>0</v>
      </c>
      <c r="M2898" s="19" t="e">
        <f>Planning[[#This Row],[Saldo]]-Planning[[#This Row],[Saldo estimado]]</f>
        <v>#REF!</v>
      </c>
      <c r="N2898" s="60" t="e">
        <f>+SUMIFS(#REF!,#REF!,Planning[[#This Row],[Proyectos]],#REF!,Planning[[#This Row],[Tipo de Tarea y especialidad]])</f>
        <v>#REF!</v>
      </c>
      <c r="O2898" s="19">
        <f t="shared" si="90"/>
        <v>10</v>
      </c>
      <c r="P2898" s="19">
        <f t="shared" si="91"/>
        <v>2024</v>
      </c>
      <c r="Q28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898" s="19" t="str">
        <f>TEXT(Planning[[#This Row],[Mes]]*29,"mmmm")</f>
        <v>October</v>
      </c>
      <c r="S28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98" s="208"/>
      <c r="U2898" s="43" t="e">
        <f>IF(Planning[[#This Row],[Horas Planificadas]]&lt;&gt;0,+K2898/Planning[[#This Row],[Horas Planificadas]],0)</f>
        <v>#REF!</v>
      </c>
      <c r="V2898" s="43" t="e">
        <f>IF(Planning[[#This Row],[Horas Planificadas]]&lt;&gt;0,Planning[[#This Row],[Horas utilizadas]]/Planning[[#This Row],[Horas Planificadas]],0)</f>
        <v>#REF!</v>
      </c>
      <c r="W2898" s="44">
        <f>Planning[[#This Row],[Horas Planificadas]]+Planning[[#This Row],[Horas ajustadas adicionales]]</f>
        <v>100</v>
      </c>
      <c r="X2898" s="142"/>
    </row>
    <row r="2899" spans="1:24" ht="22.5" x14ac:dyDescent="0.2">
      <c r="A2899" s="7" t="s">
        <v>389</v>
      </c>
      <c r="B2899" s="7" t="s">
        <v>178</v>
      </c>
      <c r="C2899" s="3"/>
      <c r="D2899" s="3" t="s">
        <v>570</v>
      </c>
      <c r="E2899" s="4" t="s">
        <v>28</v>
      </c>
      <c r="F2899" s="3"/>
      <c r="G2899" s="9">
        <v>185</v>
      </c>
      <c r="H2899" s="14">
        <f>SUM(H2900:H2901)</f>
        <v>185</v>
      </c>
      <c r="I2899" s="14"/>
      <c r="J2899" s="14" t="e">
        <f>SUM(J2900:J2901)</f>
        <v>#REF!</v>
      </c>
      <c r="K2899" s="15" t="e">
        <f>SUM(K2900:K2901)</f>
        <v>#REF!</v>
      </c>
      <c r="L2899" s="15">
        <f>SUM(L2900:L2901)</f>
        <v>0</v>
      </c>
      <c r="M2899" s="14" t="e">
        <f>SUM(M2900:M2901)</f>
        <v>#REF!</v>
      </c>
      <c r="N2899" s="66" t="e">
        <f>+SUMIFS(#REF!,#REF!,Planning[[#This Row],[Proyectos]],#REF!,Planning[[#This Row],[Tipo de Tarea y especialidad]])</f>
        <v>#REF!</v>
      </c>
      <c r="O2899" s="14">
        <f t="shared" si="90"/>
        <v>10</v>
      </c>
      <c r="P2899" s="14">
        <f t="shared" si="91"/>
        <v>2024</v>
      </c>
      <c r="Q2899" s="28" t="e">
        <f>SUM(Q2900:Q2901)</f>
        <v>#REF!</v>
      </c>
      <c r="R2899" s="28" t="str">
        <f>TEXT(Planning[[#This Row],[Mes]]*29,"mmmm")</f>
        <v>October</v>
      </c>
      <c r="S28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899" s="192" t="s">
        <v>571</v>
      </c>
      <c r="U2899" s="43" t="e">
        <f>IF(Planning[[#This Row],[Horas Planificadas]]&lt;&gt;0,+K2899/Planning[[#This Row],[Horas Planificadas]],0)</f>
        <v>#REF!</v>
      </c>
      <c r="V2899" s="43" t="e">
        <f>IF(Planning[[#This Row],[Horas Planificadas]]&lt;&gt;0,Planning[[#This Row],[Horas utilizadas]]/Planning[[#This Row],[Horas Planificadas]],0)</f>
        <v>#REF!</v>
      </c>
      <c r="W2899" s="44">
        <f>Planning[[#This Row],[Horas Planificadas]]+Planning[[#This Row],[Horas ajustadas adicionales]]</f>
        <v>185</v>
      </c>
      <c r="X2899" s="142"/>
    </row>
    <row r="2900" spans="1:24" x14ac:dyDescent="0.2">
      <c r="A2900" s="7" t="s">
        <v>389</v>
      </c>
      <c r="B2900" s="7" t="s">
        <v>178</v>
      </c>
      <c r="C2900" s="3"/>
      <c r="D2900" s="3" t="s">
        <v>570</v>
      </c>
      <c r="E2900" s="4"/>
      <c r="F2900" s="3" t="s">
        <v>120</v>
      </c>
      <c r="G2900" s="9"/>
      <c r="H2900" s="9">
        <v>140</v>
      </c>
      <c r="I2900" s="12"/>
      <c r="J2900" s="5" t="e">
        <f>SUM(SUMIFS(#REF!,#REF!,Planning[[#This Row],[Tipo de Tarea y especialidad]],#REF!,Planning[[#This Row],[Proyectos Reiwa]]),SUMIFS(#REF!,#REF!,Planning[[#This Row],[Tipo de Tarea y especialidad]],#REF!,Planning[[#This Row],[Proyectos]]))</f>
        <v>#REF!</v>
      </c>
      <c r="K2900" s="5" t="e">
        <f>Planning[[#This Row],[Horas Planificadas]]+Planning[[#This Row],[Horas ajustadas adicionales]]-Planning[[#This Row],[Horas utilizadas]]</f>
        <v>#REF!</v>
      </c>
      <c r="L2900" s="7">
        <v>0</v>
      </c>
      <c r="M2900" s="19" t="e">
        <f>Planning[[#This Row],[Saldo]]-Planning[[#This Row],[Saldo estimado]]</f>
        <v>#REF!</v>
      </c>
      <c r="N2900" s="60" t="e">
        <f>+SUMIFS(#REF!,#REF!,Planning[[#This Row],[Proyectos]],#REF!,Planning[[#This Row],[Tipo de Tarea y especialidad]])</f>
        <v>#REF!</v>
      </c>
      <c r="O2900" s="19">
        <f t="shared" si="90"/>
        <v>10</v>
      </c>
      <c r="P2900" s="19">
        <f t="shared" si="91"/>
        <v>2024</v>
      </c>
      <c r="Q29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00" s="19" t="str">
        <f>TEXT(Planning[[#This Row],[Mes]]*29,"mmmm")</f>
        <v>October</v>
      </c>
      <c r="S29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00" s="193"/>
      <c r="U2900" s="43" t="e">
        <f>IF(Planning[[#This Row],[Horas Planificadas]]&lt;&gt;0,+K2900/Planning[[#This Row],[Horas Planificadas]],0)</f>
        <v>#REF!</v>
      </c>
      <c r="V2900" s="43" t="e">
        <f>IF(Planning[[#This Row],[Horas Planificadas]]&lt;&gt;0,Planning[[#This Row],[Horas utilizadas]]/Planning[[#This Row],[Horas Planificadas]],0)</f>
        <v>#REF!</v>
      </c>
      <c r="W2900" s="44">
        <f>Planning[[#This Row],[Horas Planificadas]]+Planning[[#This Row],[Horas ajustadas adicionales]]</f>
        <v>140</v>
      </c>
      <c r="X2900" s="142"/>
    </row>
    <row r="2901" spans="1:24" x14ac:dyDescent="0.2">
      <c r="A2901" s="7" t="s">
        <v>389</v>
      </c>
      <c r="B2901" s="7" t="s">
        <v>178</v>
      </c>
      <c r="C2901" s="3"/>
      <c r="D2901" s="3" t="s">
        <v>570</v>
      </c>
      <c r="E2901" s="4"/>
      <c r="F2901" s="3" t="s">
        <v>121</v>
      </c>
      <c r="G2901" s="9"/>
      <c r="H2901" s="9">
        <v>45</v>
      </c>
      <c r="I2901" s="12"/>
      <c r="J2901" s="5" t="e">
        <f>SUM(SUMIFS(#REF!,#REF!,Planning[[#This Row],[Tipo de Tarea y especialidad]],#REF!,Planning[[#This Row],[Proyectos Reiwa]]),SUMIFS(#REF!,#REF!,Planning[[#This Row],[Tipo de Tarea y especialidad]],#REF!,Planning[[#This Row],[Proyectos]]))</f>
        <v>#REF!</v>
      </c>
      <c r="K2901" s="5" t="e">
        <f>Planning[[#This Row],[Horas Planificadas]]+Planning[[#This Row],[Horas ajustadas adicionales]]-Planning[[#This Row],[Horas utilizadas]]</f>
        <v>#REF!</v>
      </c>
      <c r="L2901" s="7">
        <v>0</v>
      </c>
      <c r="M2901" s="19" t="e">
        <f>Planning[[#This Row],[Saldo]]-Planning[[#This Row],[Saldo estimado]]</f>
        <v>#REF!</v>
      </c>
      <c r="N2901" s="60" t="e">
        <f>+SUMIFS(#REF!,#REF!,Planning[[#This Row],[Proyectos]],#REF!,Planning[[#This Row],[Tipo de Tarea y especialidad]])</f>
        <v>#REF!</v>
      </c>
      <c r="O2901" s="19">
        <f t="shared" si="90"/>
        <v>10</v>
      </c>
      <c r="P2901" s="19">
        <f t="shared" si="91"/>
        <v>2024</v>
      </c>
      <c r="Q29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01" s="19" t="str">
        <f>TEXT(Planning[[#This Row],[Mes]]*29,"mmmm")</f>
        <v>October</v>
      </c>
      <c r="S29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01" s="193"/>
      <c r="U2901" s="43" t="e">
        <f>IF(Planning[[#This Row],[Horas Planificadas]]&lt;&gt;0,+K2901/Planning[[#This Row],[Horas Planificadas]],0)</f>
        <v>#REF!</v>
      </c>
      <c r="V2901" s="43" t="e">
        <f>IF(Planning[[#This Row],[Horas Planificadas]]&lt;&gt;0,Planning[[#This Row],[Horas utilizadas]]/Planning[[#This Row],[Horas Planificadas]],0)</f>
        <v>#REF!</v>
      </c>
      <c r="W2901" s="44">
        <f>Planning[[#This Row],[Horas Planificadas]]+Planning[[#This Row],[Horas ajustadas adicionales]]</f>
        <v>45</v>
      </c>
      <c r="X2901" s="142"/>
    </row>
    <row r="2902" spans="1:24" x14ac:dyDescent="0.2">
      <c r="A2902" s="7" t="s">
        <v>389</v>
      </c>
      <c r="B2902" s="7" t="s">
        <v>178</v>
      </c>
      <c r="C2902" s="3"/>
      <c r="D2902" s="3" t="s">
        <v>570</v>
      </c>
      <c r="E2902" s="4" t="s">
        <v>30</v>
      </c>
      <c r="F2902" s="3"/>
      <c r="G2902" s="9">
        <v>288</v>
      </c>
      <c r="H2902" s="14">
        <f>SUM(H2903:H2909)</f>
        <v>288</v>
      </c>
      <c r="I2902" s="14"/>
      <c r="J2902" s="14" t="e">
        <f>SUM(J2903:J2909)</f>
        <v>#REF!</v>
      </c>
      <c r="K2902" s="15" t="e">
        <f>SUM(K2903:K2909)</f>
        <v>#REF!</v>
      </c>
      <c r="L2902" s="15">
        <f>SUM(L2903:L2909)</f>
        <v>0</v>
      </c>
      <c r="M2902" s="16" t="e">
        <f>SUM(M2903:M2909)</f>
        <v>#REF!</v>
      </c>
      <c r="N2902" s="60" t="e">
        <f>+SUMIFS(#REF!,#REF!,Planning[[#This Row],[Proyectos]],#REF!,Planning[[#This Row],[Tipo de Tarea y especialidad]])</f>
        <v>#REF!</v>
      </c>
      <c r="O2902" s="16">
        <f t="shared" si="90"/>
        <v>10</v>
      </c>
      <c r="P2902" s="16">
        <f t="shared" si="91"/>
        <v>2024</v>
      </c>
      <c r="Q2902" s="16" t="e">
        <f>SUM(Q2903:Q2909)</f>
        <v>#REF!</v>
      </c>
      <c r="R2902" s="16" t="str">
        <f>TEXT(Planning[[#This Row],[Mes]]*29,"mmmm")</f>
        <v>October</v>
      </c>
      <c r="S29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02" s="193"/>
      <c r="U2902" s="43" t="e">
        <f>IF(Planning[[#This Row],[Horas Planificadas]]&lt;&gt;0,+K2902/Planning[[#This Row],[Horas Planificadas]],0)</f>
        <v>#REF!</v>
      </c>
      <c r="V2902" s="43" t="e">
        <f>IF(Planning[[#This Row],[Horas Planificadas]]&lt;&gt;0,Planning[[#This Row],[Horas utilizadas]]/Planning[[#This Row],[Horas Planificadas]],0)</f>
        <v>#REF!</v>
      </c>
      <c r="W2902" s="44">
        <f>Planning[[#This Row],[Horas Planificadas]]+Planning[[#This Row],[Horas ajustadas adicionales]]</f>
        <v>288</v>
      </c>
      <c r="X2902" s="142"/>
    </row>
    <row r="2903" spans="1:24" x14ac:dyDescent="0.2">
      <c r="A2903" s="7" t="s">
        <v>389</v>
      </c>
      <c r="B2903" s="7" t="s">
        <v>178</v>
      </c>
      <c r="C2903" s="3"/>
      <c r="D2903" s="3" t="s">
        <v>570</v>
      </c>
      <c r="E2903" s="4"/>
      <c r="F2903" s="3" t="s">
        <v>122</v>
      </c>
      <c r="G2903" s="9"/>
      <c r="H2903" s="9"/>
      <c r="I2903" s="12"/>
      <c r="J2903" s="5" t="e">
        <f>SUM(SUMIFS(#REF!,#REF!,Planning[[#This Row],[Tipo de Tarea y especialidad]],#REF!,Planning[[#This Row],[Proyectos Reiwa]]),SUMIFS(#REF!,#REF!,Planning[[#This Row],[Tipo de Tarea y especialidad]],#REF!,Planning[[#This Row],[Proyectos]]))</f>
        <v>#REF!</v>
      </c>
      <c r="K2903" s="5" t="e">
        <f>Planning[[#This Row],[Horas Planificadas]]+Planning[[#This Row],[Horas ajustadas adicionales]]-Planning[[#This Row],[Horas utilizadas]]</f>
        <v>#REF!</v>
      </c>
      <c r="L2903" s="7">
        <v>0</v>
      </c>
      <c r="M2903" s="19" t="e">
        <f>Planning[[#This Row],[Saldo]]-Planning[[#This Row],[Saldo estimado]]</f>
        <v>#REF!</v>
      </c>
      <c r="N2903" s="60" t="e">
        <f>+SUMIFS(#REF!,#REF!,Planning[[#This Row],[Proyectos]],#REF!,Planning[[#This Row],[Tipo de Tarea y especialidad]])</f>
        <v>#REF!</v>
      </c>
      <c r="O2903" s="19">
        <f t="shared" si="90"/>
        <v>10</v>
      </c>
      <c r="P2903" s="19">
        <f t="shared" si="91"/>
        <v>2024</v>
      </c>
      <c r="Q29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03" s="19" t="str">
        <f>TEXT(Planning[[#This Row],[Mes]]*29,"mmmm")</f>
        <v>October</v>
      </c>
      <c r="S29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03" s="193"/>
      <c r="U2903" s="43">
        <f>IF(Planning[[#This Row],[Horas Planificadas]]&lt;&gt;0,+K2903/Planning[[#This Row],[Horas Planificadas]],0)</f>
        <v>0</v>
      </c>
      <c r="V2903" s="43">
        <f>IF(Planning[[#This Row],[Horas Planificadas]]&lt;&gt;0,Planning[[#This Row],[Horas utilizadas]]/Planning[[#This Row],[Horas Planificadas]],0)</f>
        <v>0</v>
      </c>
      <c r="W2903" s="44">
        <f>Planning[[#This Row],[Horas Planificadas]]+Planning[[#This Row],[Horas ajustadas adicionales]]</f>
        <v>0</v>
      </c>
      <c r="X2903" s="142"/>
    </row>
    <row r="2904" spans="1:24" x14ac:dyDescent="0.2">
      <c r="A2904" s="7" t="s">
        <v>389</v>
      </c>
      <c r="B2904" s="7" t="s">
        <v>178</v>
      </c>
      <c r="C2904" s="3"/>
      <c r="D2904" s="3" t="s">
        <v>570</v>
      </c>
      <c r="E2904" s="4"/>
      <c r="F2904" s="3" t="s">
        <v>123</v>
      </c>
      <c r="G2904" s="9"/>
      <c r="H2904" s="9">
        <v>288</v>
      </c>
      <c r="I2904" s="12"/>
      <c r="J2904" s="5" t="e">
        <f>SUM(SUMIFS(#REF!,#REF!,Planning[[#This Row],[Tipo de Tarea y especialidad]],#REF!,Planning[[#This Row],[Proyectos Reiwa]]),SUMIFS(#REF!,#REF!,Planning[[#This Row],[Tipo de Tarea y especialidad]],#REF!,Planning[[#This Row],[Proyectos]]))</f>
        <v>#REF!</v>
      </c>
      <c r="K2904" s="5" t="e">
        <f>Planning[[#This Row],[Horas Planificadas]]+Planning[[#This Row],[Horas ajustadas adicionales]]-Planning[[#This Row],[Horas utilizadas]]</f>
        <v>#REF!</v>
      </c>
      <c r="L2904" s="7">
        <v>0</v>
      </c>
      <c r="M2904" s="19" t="e">
        <f>Planning[[#This Row],[Saldo]]-Planning[[#This Row],[Saldo estimado]]</f>
        <v>#REF!</v>
      </c>
      <c r="N2904" s="60" t="e">
        <f>+SUMIFS(#REF!,#REF!,Planning[[#This Row],[Proyectos]],#REF!,Planning[[#This Row],[Tipo de Tarea y especialidad]])</f>
        <v>#REF!</v>
      </c>
      <c r="O2904" s="19">
        <f t="shared" si="90"/>
        <v>10</v>
      </c>
      <c r="P2904" s="19">
        <f t="shared" si="91"/>
        <v>2024</v>
      </c>
      <c r="Q29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04" s="19" t="str">
        <f>TEXT(Planning[[#This Row],[Mes]]*29,"mmmm")</f>
        <v>October</v>
      </c>
      <c r="S29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04" s="193"/>
      <c r="U2904" s="43" t="e">
        <f>IF(Planning[[#This Row],[Horas Planificadas]]&lt;&gt;0,+K2904/Planning[[#This Row],[Horas Planificadas]],0)</f>
        <v>#REF!</v>
      </c>
      <c r="V2904" s="43" t="e">
        <f>IF(Planning[[#This Row],[Horas Planificadas]]&lt;&gt;0,Planning[[#This Row],[Horas utilizadas]]/Planning[[#This Row],[Horas Planificadas]],0)</f>
        <v>#REF!</v>
      </c>
      <c r="W2904" s="44">
        <f>Planning[[#This Row],[Horas Planificadas]]+Planning[[#This Row],[Horas ajustadas adicionales]]</f>
        <v>288</v>
      </c>
      <c r="X2904" s="142"/>
    </row>
    <row r="2905" spans="1:24" x14ac:dyDescent="0.2">
      <c r="A2905" s="7" t="s">
        <v>389</v>
      </c>
      <c r="B2905" s="7" t="s">
        <v>178</v>
      </c>
      <c r="C2905" s="3"/>
      <c r="D2905" s="3" t="s">
        <v>570</v>
      </c>
      <c r="E2905" s="4"/>
      <c r="F2905" s="3" t="s">
        <v>124</v>
      </c>
      <c r="G2905" s="9"/>
      <c r="H2905" s="9"/>
      <c r="I2905" s="12"/>
      <c r="J2905" s="5" t="e">
        <f>SUM(SUMIFS(#REF!,#REF!,Planning[[#This Row],[Tipo de Tarea y especialidad]],#REF!,Planning[[#This Row],[Proyectos Reiwa]]),SUMIFS(#REF!,#REF!,Planning[[#This Row],[Tipo de Tarea y especialidad]],#REF!,Planning[[#This Row],[Proyectos]]))</f>
        <v>#REF!</v>
      </c>
      <c r="K2905" s="5" t="e">
        <f>Planning[[#This Row],[Horas Planificadas]]+Planning[[#This Row],[Horas ajustadas adicionales]]-Planning[[#This Row],[Horas utilizadas]]</f>
        <v>#REF!</v>
      </c>
      <c r="L2905" s="7">
        <v>0</v>
      </c>
      <c r="M2905" s="19" t="e">
        <f>Planning[[#This Row],[Saldo]]-Planning[[#This Row],[Saldo estimado]]</f>
        <v>#REF!</v>
      </c>
      <c r="N2905" s="60" t="e">
        <f>+SUMIFS(#REF!,#REF!,Planning[[#This Row],[Proyectos]],#REF!,Planning[[#This Row],[Tipo de Tarea y especialidad]])</f>
        <v>#REF!</v>
      </c>
      <c r="O2905" s="19">
        <f t="shared" si="90"/>
        <v>10</v>
      </c>
      <c r="P2905" s="19">
        <f t="shared" si="91"/>
        <v>2024</v>
      </c>
      <c r="Q29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05" s="19" t="str">
        <f>TEXT(Planning[[#This Row],[Mes]]*29,"mmmm")</f>
        <v>October</v>
      </c>
      <c r="S29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05" s="193"/>
      <c r="U2905" s="43">
        <f>IF(Planning[[#This Row],[Horas Planificadas]]&lt;&gt;0,+K2905/Planning[[#This Row],[Horas Planificadas]],0)</f>
        <v>0</v>
      </c>
      <c r="V2905" s="43">
        <f>IF(Planning[[#This Row],[Horas Planificadas]]&lt;&gt;0,Planning[[#This Row],[Horas utilizadas]]/Planning[[#This Row],[Horas Planificadas]],0)</f>
        <v>0</v>
      </c>
      <c r="W2905" s="44">
        <f>Planning[[#This Row],[Horas Planificadas]]+Planning[[#This Row],[Horas ajustadas adicionales]]</f>
        <v>0</v>
      </c>
      <c r="X2905" s="142"/>
    </row>
    <row r="2906" spans="1:24" x14ac:dyDescent="0.2">
      <c r="A2906" s="7" t="s">
        <v>389</v>
      </c>
      <c r="B2906" s="7" t="s">
        <v>178</v>
      </c>
      <c r="C2906" s="3"/>
      <c r="D2906" s="3" t="s">
        <v>570</v>
      </c>
      <c r="E2906" s="4"/>
      <c r="F2906" s="3" t="s">
        <v>125</v>
      </c>
      <c r="G2906" s="9"/>
      <c r="H2906" s="9"/>
      <c r="I2906" s="12"/>
      <c r="J2906" s="5" t="e">
        <f>SUM(SUMIFS(#REF!,#REF!,Planning[[#This Row],[Tipo de Tarea y especialidad]],#REF!,Planning[[#This Row],[Proyectos Reiwa]]),SUMIFS(#REF!,#REF!,Planning[[#This Row],[Tipo de Tarea y especialidad]],#REF!,Planning[[#This Row],[Proyectos]]))</f>
        <v>#REF!</v>
      </c>
      <c r="K2906" s="5" t="e">
        <f>Planning[[#This Row],[Horas Planificadas]]+Planning[[#This Row],[Horas ajustadas adicionales]]-Planning[[#This Row],[Horas utilizadas]]</f>
        <v>#REF!</v>
      </c>
      <c r="L2906" s="7">
        <v>0</v>
      </c>
      <c r="M2906" s="19" t="e">
        <f>Planning[[#This Row],[Saldo]]-Planning[[#This Row],[Saldo estimado]]</f>
        <v>#REF!</v>
      </c>
      <c r="N2906" s="60" t="e">
        <f>+SUMIFS(#REF!,#REF!,Planning[[#This Row],[Proyectos]],#REF!,Planning[[#This Row],[Tipo de Tarea y especialidad]])</f>
        <v>#REF!</v>
      </c>
      <c r="O2906" s="19">
        <f t="shared" si="90"/>
        <v>10</v>
      </c>
      <c r="P2906" s="19">
        <f t="shared" si="91"/>
        <v>2024</v>
      </c>
      <c r="Q29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06" s="19" t="str">
        <f>TEXT(Planning[[#This Row],[Mes]]*29,"mmmm")</f>
        <v>October</v>
      </c>
      <c r="S29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06" s="193"/>
      <c r="U2906" s="43">
        <f>IF(Planning[[#This Row],[Horas Planificadas]]&lt;&gt;0,+K2906/Planning[[#This Row],[Horas Planificadas]],0)</f>
        <v>0</v>
      </c>
      <c r="V2906" s="43">
        <f>IF(Planning[[#This Row],[Horas Planificadas]]&lt;&gt;0,Planning[[#This Row],[Horas utilizadas]]/Planning[[#This Row],[Horas Planificadas]],0)</f>
        <v>0</v>
      </c>
      <c r="W2906" s="44">
        <f>Planning[[#This Row],[Horas Planificadas]]+Planning[[#This Row],[Horas ajustadas adicionales]]</f>
        <v>0</v>
      </c>
      <c r="X2906" s="142"/>
    </row>
    <row r="2907" spans="1:24" x14ac:dyDescent="0.2">
      <c r="A2907" s="7" t="s">
        <v>389</v>
      </c>
      <c r="B2907" s="7" t="s">
        <v>178</v>
      </c>
      <c r="C2907" s="3"/>
      <c r="D2907" s="3" t="s">
        <v>570</v>
      </c>
      <c r="E2907" s="4"/>
      <c r="F2907" s="3" t="s">
        <v>126</v>
      </c>
      <c r="G2907" s="9"/>
      <c r="H2907" s="9"/>
      <c r="I2907" s="12"/>
      <c r="J2907" s="5" t="e">
        <f>SUM(SUMIFS(#REF!,#REF!,Planning[[#This Row],[Tipo de Tarea y especialidad]],#REF!,Planning[[#This Row],[Proyectos Reiwa]]),SUMIFS(#REF!,#REF!,Planning[[#This Row],[Tipo de Tarea y especialidad]],#REF!,Planning[[#This Row],[Proyectos]]))</f>
        <v>#REF!</v>
      </c>
      <c r="K2907" s="5" t="e">
        <f>Planning[[#This Row],[Horas Planificadas]]+Planning[[#This Row],[Horas ajustadas adicionales]]-Planning[[#This Row],[Horas utilizadas]]</f>
        <v>#REF!</v>
      </c>
      <c r="L2907" s="7">
        <v>0</v>
      </c>
      <c r="M2907" s="19" t="e">
        <f>Planning[[#This Row],[Saldo]]-Planning[[#This Row],[Saldo estimado]]</f>
        <v>#REF!</v>
      </c>
      <c r="N2907" s="60" t="e">
        <f>+SUMIFS(#REF!,#REF!,Planning[[#This Row],[Proyectos]],#REF!,Planning[[#This Row],[Tipo de Tarea y especialidad]])</f>
        <v>#REF!</v>
      </c>
      <c r="O2907" s="19">
        <f t="shared" si="90"/>
        <v>10</v>
      </c>
      <c r="P2907" s="19">
        <f t="shared" si="91"/>
        <v>2024</v>
      </c>
      <c r="Q29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07" s="19" t="str">
        <f>TEXT(Planning[[#This Row],[Mes]]*29,"mmmm")</f>
        <v>October</v>
      </c>
      <c r="S29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07" s="193"/>
      <c r="U2907" s="43">
        <f>IF(Planning[[#This Row],[Horas Planificadas]]&lt;&gt;0,+K2907/Planning[[#This Row],[Horas Planificadas]],0)</f>
        <v>0</v>
      </c>
      <c r="V2907" s="43">
        <f>IF(Planning[[#This Row],[Horas Planificadas]]&lt;&gt;0,Planning[[#This Row],[Horas utilizadas]]/Planning[[#This Row],[Horas Planificadas]],0)</f>
        <v>0</v>
      </c>
      <c r="W2907" s="44">
        <f>Planning[[#This Row],[Horas Planificadas]]+Planning[[#This Row],[Horas ajustadas adicionales]]</f>
        <v>0</v>
      </c>
      <c r="X2907" s="142"/>
    </row>
    <row r="2908" spans="1:24" x14ac:dyDescent="0.2">
      <c r="A2908" s="7" t="s">
        <v>389</v>
      </c>
      <c r="B2908" s="7" t="s">
        <v>178</v>
      </c>
      <c r="C2908" s="3"/>
      <c r="D2908" s="3" t="s">
        <v>570</v>
      </c>
      <c r="E2908" s="4"/>
      <c r="F2908" s="3" t="s">
        <v>127</v>
      </c>
      <c r="G2908" s="9"/>
      <c r="H2908" s="9"/>
      <c r="I2908" s="12"/>
      <c r="J2908" s="5" t="e">
        <f>SUM(SUMIFS(#REF!,#REF!,Planning[[#This Row],[Tipo de Tarea y especialidad]],#REF!,Planning[[#This Row],[Proyectos Reiwa]]),SUMIFS(#REF!,#REF!,Planning[[#This Row],[Tipo de Tarea y especialidad]],#REF!,Planning[[#This Row],[Proyectos]]))</f>
        <v>#REF!</v>
      </c>
      <c r="K2908" s="5" t="e">
        <f>Planning[[#This Row],[Horas Planificadas]]+Planning[[#This Row],[Horas ajustadas adicionales]]-Planning[[#This Row],[Horas utilizadas]]</f>
        <v>#REF!</v>
      </c>
      <c r="L2908" s="7">
        <v>0</v>
      </c>
      <c r="M2908" s="19" t="e">
        <f>Planning[[#This Row],[Saldo]]-Planning[[#This Row],[Saldo estimado]]</f>
        <v>#REF!</v>
      </c>
      <c r="N2908" s="60" t="e">
        <f>+SUMIFS(#REF!,#REF!,Planning[[#This Row],[Proyectos]],#REF!,Planning[[#This Row],[Tipo de Tarea y especialidad]])</f>
        <v>#REF!</v>
      </c>
      <c r="O2908" s="19">
        <f t="shared" si="90"/>
        <v>10</v>
      </c>
      <c r="P2908" s="19">
        <f t="shared" si="91"/>
        <v>2024</v>
      </c>
      <c r="Q29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08" s="19" t="str">
        <f>TEXT(Planning[[#This Row],[Mes]]*29,"mmmm")</f>
        <v>October</v>
      </c>
      <c r="S29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08" s="193"/>
      <c r="U2908" s="43">
        <f>IF(Planning[[#This Row],[Horas Planificadas]]&lt;&gt;0,+K2908/Planning[[#This Row],[Horas Planificadas]],0)</f>
        <v>0</v>
      </c>
      <c r="V2908" s="43">
        <f>IF(Planning[[#This Row],[Horas Planificadas]]&lt;&gt;0,Planning[[#This Row],[Horas utilizadas]]/Planning[[#This Row],[Horas Planificadas]],0)</f>
        <v>0</v>
      </c>
      <c r="W2908" s="44">
        <f>Planning[[#This Row],[Horas Planificadas]]+Planning[[#This Row],[Horas ajustadas adicionales]]</f>
        <v>0</v>
      </c>
      <c r="X2908" s="142"/>
    </row>
    <row r="2909" spans="1:24" x14ac:dyDescent="0.2">
      <c r="A2909" s="7" t="s">
        <v>389</v>
      </c>
      <c r="B2909" s="7" t="s">
        <v>178</v>
      </c>
      <c r="C2909" s="3"/>
      <c r="D2909" s="3" t="s">
        <v>570</v>
      </c>
      <c r="E2909" s="4"/>
      <c r="F2909" s="3" t="s">
        <v>128</v>
      </c>
      <c r="G2909" s="9"/>
      <c r="H2909" s="9"/>
      <c r="I2909" s="12"/>
      <c r="J2909" s="5" t="e">
        <f>SUM(SUMIFS(#REF!,#REF!,Planning[[#This Row],[Tipo de Tarea y especialidad]],#REF!,Planning[[#This Row],[Proyectos Reiwa]]),SUMIFS(#REF!,#REF!,Planning[[#This Row],[Tipo de Tarea y especialidad]],#REF!,Planning[[#This Row],[Proyectos]]))</f>
        <v>#REF!</v>
      </c>
      <c r="K2909" s="5" t="e">
        <f>Planning[[#This Row],[Horas Planificadas]]+Planning[[#This Row],[Horas ajustadas adicionales]]-Planning[[#This Row],[Horas utilizadas]]</f>
        <v>#REF!</v>
      </c>
      <c r="L2909" s="7">
        <v>0</v>
      </c>
      <c r="M2909" s="19" t="e">
        <f>Planning[[#This Row],[Saldo]]-Planning[[#This Row],[Saldo estimado]]</f>
        <v>#REF!</v>
      </c>
      <c r="N2909" s="60" t="e">
        <f>+SUMIFS(#REF!,#REF!,Planning[[#This Row],[Proyectos]],#REF!,Planning[[#This Row],[Tipo de Tarea y especialidad]])</f>
        <v>#REF!</v>
      </c>
      <c r="O2909" s="19">
        <f t="shared" si="90"/>
        <v>10</v>
      </c>
      <c r="P2909" s="19">
        <f t="shared" si="91"/>
        <v>2024</v>
      </c>
      <c r="Q29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09" s="19" t="str">
        <f>TEXT(Planning[[#This Row],[Mes]]*29,"mmmm")</f>
        <v>October</v>
      </c>
      <c r="S29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09" s="193"/>
      <c r="U2909" s="43">
        <f>IF(Planning[[#This Row],[Horas Planificadas]]&lt;&gt;0,+K2909/Planning[[#This Row],[Horas Planificadas]],0)</f>
        <v>0</v>
      </c>
      <c r="V2909" s="43">
        <f>IF(Planning[[#This Row],[Horas Planificadas]]&lt;&gt;0,Planning[[#This Row],[Horas utilizadas]]/Planning[[#This Row],[Horas Planificadas]],0)</f>
        <v>0</v>
      </c>
      <c r="W2909" s="44">
        <f>Planning[[#This Row],[Horas Planificadas]]+Planning[[#This Row],[Horas ajustadas adicionales]]</f>
        <v>0</v>
      </c>
      <c r="X2909" s="142"/>
    </row>
    <row r="2910" spans="1:24" x14ac:dyDescent="0.2">
      <c r="A2910" s="7" t="s">
        <v>389</v>
      </c>
      <c r="B2910" s="7" t="s">
        <v>178</v>
      </c>
      <c r="C2910" s="3"/>
      <c r="D2910" s="3" t="s">
        <v>570</v>
      </c>
      <c r="E2910" s="4" t="s">
        <v>31</v>
      </c>
      <c r="F2910" s="3" t="s">
        <v>31</v>
      </c>
      <c r="G2910" s="9">
        <v>45</v>
      </c>
      <c r="H2910" s="17">
        <v>45</v>
      </c>
      <c r="I2910" s="18"/>
      <c r="J2910" s="14" t="e">
        <f>+SUMIFS(#REF!,#REF!,Planning[[#This Row],[Tarifa]],#REF!,Planning[[#This Row],[Proyectos]])</f>
        <v>#REF!</v>
      </c>
      <c r="K2910" s="14" t="e">
        <f>Planning[[#This Row],[Horas Planificadas]]+Planning[[#This Row],[Horas ajustadas adicionales]]-Planning[[#This Row],[Horas utilizadas]]</f>
        <v>#REF!</v>
      </c>
      <c r="L2910" s="15">
        <v>0</v>
      </c>
      <c r="M2910" s="16" t="e">
        <f>Planning[[#This Row],[Saldo]]-Planning[[#This Row],[Saldo estimado]]</f>
        <v>#REF!</v>
      </c>
      <c r="N2910" s="60" t="e">
        <f>+SUMIFS(#REF!,#REF!,Planning[[#This Row],[Proyectos]],#REF!,Planning[[#This Row],[Tipo de Tarea y especialidad]])</f>
        <v>#REF!</v>
      </c>
      <c r="O2910" s="16">
        <f t="shared" si="90"/>
        <v>10</v>
      </c>
      <c r="P2910" s="16">
        <f t="shared" si="91"/>
        <v>2024</v>
      </c>
      <c r="Q2910" s="16" t="e">
        <f>+SUMIFS(#REF!,#REF!,Planning[[#This Row],[Tarifa]],#REF!,Planning[[#This Row],[Proyectos]],#REF!,Planning[[#This Row],[Mes]],#REF!,Planning[[#This Row],[Año]])</f>
        <v>#REF!</v>
      </c>
      <c r="R2910" s="16" t="str">
        <f>TEXT(Planning[[#This Row],[Mes]]*29,"mmmm")</f>
        <v>October</v>
      </c>
      <c r="S29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10" s="193"/>
      <c r="U2910" s="43" t="e">
        <f>IF(Planning[[#This Row],[Horas Planificadas]]&lt;&gt;0,+K2910/Planning[[#This Row],[Horas Planificadas]],0)</f>
        <v>#REF!</v>
      </c>
      <c r="V2910" s="43" t="e">
        <f>IF(Planning[[#This Row],[Horas Planificadas]]&lt;&gt;0,Planning[[#This Row],[Horas utilizadas]]/Planning[[#This Row],[Horas Planificadas]],0)</f>
        <v>#REF!</v>
      </c>
      <c r="W2910" s="44">
        <f>Planning[[#This Row],[Horas Planificadas]]+Planning[[#This Row],[Horas ajustadas adicionales]]</f>
        <v>45</v>
      </c>
      <c r="X2910" s="142"/>
    </row>
    <row r="2911" spans="1:24" ht="22.5" x14ac:dyDescent="0.2">
      <c r="A2911" s="7" t="s">
        <v>389</v>
      </c>
      <c r="B2911" s="7" t="s">
        <v>178</v>
      </c>
      <c r="C2911" s="3"/>
      <c r="D2911" s="3" t="s">
        <v>570</v>
      </c>
      <c r="E2911" s="4" t="s">
        <v>32</v>
      </c>
      <c r="F2911" s="3"/>
      <c r="G2911" s="9">
        <v>137</v>
      </c>
      <c r="H2911" s="14">
        <f>SUM(H2912:H2914)</f>
        <v>137</v>
      </c>
      <c r="I2911" s="14"/>
      <c r="J2911" s="14" t="e">
        <f>SUM(J2912:J2914)</f>
        <v>#REF!</v>
      </c>
      <c r="K2911" s="15" t="e">
        <f>SUM(K2912:K2914)</f>
        <v>#REF!</v>
      </c>
      <c r="L2911" s="15">
        <f>SUM(L2912:L2914)</f>
        <v>0</v>
      </c>
      <c r="M2911" s="16" t="e">
        <f>SUM(M2912:M2914)</f>
        <v>#REF!</v>
      </c>
      <c r="N2911" s="60" t="e">
        <f>+SUMIFS(#REF!,#REF!,Planning[[#This Row],[Proyectos]],#REF!,Planning[[#This Row],[Tipo de Tarea y especialidad]])</f>
        <v>#REF!</v>
      </c>
      <c r="O2911" s="16">
        <f t="shared" si="90"/>
        <v>10</v>
      </c>
      <c r="P2911" s="16">
        <f t="shared" si="91"/>
        <v>2024</v>
      </c>
      <c r="Q2911" s="16" t="e">
        <f>SUM(Q2912:Q2914)</f>
        <v>#REF!</v>
      </c>
      <c r="R2911" s="16" t="str">
        <f>TEXT(Planning[[#This Row],[Mes]]*29,"mmmm")</f>
        <v>October</v>
      </c>
      <c r="S29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11" s="193"/>
      <c r="U2911" s="43" t="e">
        <f>IF(Planning[[#This Row],[Horas Planificadas]]&lt;&gt;0,+K2911/Planning[[#This Row],[Horas Planificadas]],0)</f>
        <v>#REF!</v>
      </c>
      <c r="V2911" s="43" t="e">
        <f>IF(Planning[[#This Row],[Horas Planificadas]]&lt;&gt;0,Planning[[#This Row],[Horas utilizadas]]/Planning[[#This Row],[Horas Planificadas]],0)</f>
        <v>#REF!</v>
      </c>
      <c r="W2911" s="44">
        <f>Planning[[#This Row],[Horas Planificadas]]+Planning[[#This Row],[Horas ajustadas adicionales]]</f>
        <v>137</v>
      </c>
      <c r="X2911" s="142"/>
    </row>
    <row r="2912" spans="1:24" x14ac:dyDescent="0.2">
      <c r="A2912" s="7" t="s">
        <v>389</v>
      </c>
      <c r="B2912" s="7" t="s">
        <v>178</v>
      </c>
      <c r="C2912" s="3"/>
      <c r="D2912" s="3" t="s">
        <v>570</v>
      </c>
      <c r="E2912" s="4"/>
      <c r="F2912" s="3" t="s">
        <v>129</v>
      </c>
      <c r="G2912" s="9"/>
      <c r="H2912" s="9"/>
      <c r="I2912" s="12"/>
      <c r="J2912" s="5" t="e">
        <f>SUM(SUMIFS(#REF!,#REF!,Planning[[#This Row],[Tipo de Tarea y especialidad]],#REF!,Planning[[#This Row],[Proyectos Reiwa]]),SUMIFS(#REF!,#REF!,Planning[[#This Row],[Tipo de Tarea y especialidad]],#REF!,Planning[[#This Row],[Proyectos]]))</f>
        <v>#REF!</v>
      </c>
      <c r="K2912" s="5" t="e">
        <f>Planning[[#This Row],[Horas Planificadas]]+Planning[[#This Row],[Horas ajustadas adicionales]]-Planning[[#This Row],[Horas utilizadas]]</f>
        <v>#REF!</v>
      </c>
      <c r="L2912" s="7">
        <v>0</v>
      </c>
      <c r="M2912" s="19" t="e">
        <f>Planning[[#This Row],[Saldo]]-Planning[[#This Row],[Saldo estimado]]</f>
        <v>#REF!</v>
      </c>
      <c r="N2912" s="60" t="e">
        <f>+SUMIFS(#REF!,#REF!,Planning[[#This Row],[Proyectos]],#REF!,Planning[[#This Row],[Tipo de Tarea y especialidad]])</f>
        <v>#REF!</v>
      </c>
      <c r="O2912" s="19">
        <f t="shared" si="90"/>
        <v>10</v>
      </c>
      <c r="P2912" s="19">
        <f t="shared" si="91"/>
        <v>2024</v>
      </c>
      <c r="Q29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12" s="19" t="str">
        <f>TEXT(Planning[[#This Row],[Mes]]*29,"mmmm")</f>
        <v>October</v>
      </c>
      <c r="S29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12" s="193"/>
      <c r="U2912" s="43">
        <f>IF(Planning[[#This Row],[Horas Planificadas]]&lt;&gt;0,+K2912/Planning[[#This Row],[Horas Planificadas]],0)</f>
        <v>0</v>
      </c>
      <c r="V2912" s="43">
        <f>IF(Planning[[#This Row],[Horas Planificadas]]&lt;&gt;0,Planning[[#This Row],[Horas utilizadas]]/Planning[[#This Row],[Horas Planificadas]],0)</f>
        <v>0</v>
      </c>
      <c r="W2912" s="44">
        <f>Planning[[#This Row],[Horas Planificadas]]+Planning[[#This Row],[Horas ajustadas adicionales]]</f>
        <v>0</v>
      </c>
      <c r="X2912" s="142"/>
    </row>
    <row r="2913" spans="1:24" x14ac:dyDescent="0.2">
      <c r="A2913" s="7" t="s">
        <v>389</v>
      </c>
      <c r="B2913" s="7" t="s">
        <v>178</v>
      </c>
      <c r="C2913" s="3"/>
      <c r="D2913" s="3" t="s">
        <v>570</v>
      </c>
      <c r="E2913" s="4"/>
      <c r="F2913" s="3" t="s">
        <v>130</v>
      </c>
      <c r="G2913" s="9"/>
      <c r="H2913" s="9">
        <v>137</v>
      </c>
      <c r="I2913" s="12"/>
      <c r="J2913" s="5" t="e">
        <f>SUM(SUMIFS(#REF!,#REF!,Planning[[#This Row],[Tipo de Tarea y especialidad]],#REF!,Planning[[#This Row],[Proyectos Reiwa]]),SUMIFS(#REF!,#REF!,Planning[[#This Row],[Tipo de Tarea y especialidad]],#REF!,Planning[[#This Row],[Proyectos]]))</f>
        <v>#REF!</v>
      </c>
      <c r="K2913" s="5" t="e">
        <f>Planning[[#This Row],[Horas Planificadas]]+Planning[[#This Row],[Horas ajustadas adicionales]]-Planning[[#This Row],[Horas utilizadas]]</f>
        <v>#REF!</v>
      </c>
      <c r="L2913" s="7">
        <v>0</v>
      </c>
      <c r="M2913" s="19" t="e">
        <f>Planning[[#This Row],[Saldo]]-Planning[[#This Row],[Saldo estimado]]</f>
        <v>#REF!</v>
      </c>
      <c r="N2913" s="60" t="e">
        <f>+SUMIFS(#REF!,#REF!,Planning[[#This Row],[Proyectos]],#REF!,Planning[[#This Row],[Tipo de Tarea y especialidad]])</f>
        <v>#REF!</v>
      </c>
      <c r="O2913" s="19">
        <f t="shared" si="90"/>
        <v>10</v>
      </c>
      <c r="P2913" s="19">
        <f t="shared" si="91"/>
        <v>2024</v>
      </c>
      <c r="Q29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13" s="19" t="str">
        <f>TEXT(Planning[[#This Row],[Mes]]*29,"mmmm")</f>
        <v>October</v>
      </c>
      <c r="S29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13" s="193"/>
      <c r="U2913" s="43" t="e">
        <f>IF(Planning[[#This Row],[Horas Planificadas]]&lt;&gt;0,+K2913/Planning[[#This Row],[Horas Planificadas]],0)</f>
        <v>#REF!</v>
      </c>
      <c r="V2913" s="43" t="e">
        <f>IF(Planning[[#This Row],[Horas Planificadas]]&lt;&gt;0,Planning[[#This Row],[Horas utilizadas]]/Planning[[#This Row],[Horas Planificadas]],0)</f>
        <v>#REF!</v>
      </c>
      <c r="W2913" s="44">
        <f>Planning[[#This Row],[Horas Planificadas]]+Planning[[#This Row],[Horas ajustadas adicionales]]</f>
        <v>137</v>
      </c>
      <c r="X2913" s="142"/>
    </row>
    <row r="2914" spans="1:24" x14ac:dyDescent="0.2">
      <c r="A2914" s="7" t="s">
        <v>389</v>
      </c>
      <c r="B2914" s="7" t="s">
        <v>178</v>
      </c>
      <c r="C2914" s="3"/>
      <c r="D2914" s="3" t="s">
        <v>570</v>
      </c>
      <c r="E2914" s="4"/>
      <c r="F2914" s="3" t="s">
        <v>131</v>
      </c>
      <c r="G2914" s="9"/>
      <c r="H2914" s="9"/>
      <c r="I2914" s="12"/>
      <c r="J2914" s="5" t="e">
        <f>SUM(SUMIFS(#REF!,#REF!,Planning[[#This Row],[Tipo de Tarea y especialidad]],#REF!,Planning[[#This Row],[Proyectos Reiwa]]),SUMIFS(#REF!,#REF!,Planning[[#This Row],[Tipo de Tarea y especialidad]],#REF!,Planning[[#This Row],[Proyectos]]))</f>
        <v>#REF!</v>
      </c>
      <c r="K2914" s="5" t="e">
        <f>Planning[[#This Row],[Horas Planificadas]]+Planning[[#This Row],[Horas ajustadas adicionales]]-Planning[[#This Row],[Horas utilizadas]]</f>
        <v>#REF!</v>
      </c>
      <c r="L2914" s="7">
        <v>0</v>
      </c>
      <c r="M2914" s="19" t="e">
        <f>Planning[[#This Row],[Saldo]]-Planning[[#This Row],[Saldo estimado]]</f>
        <v>#REF!</v>
      </c>
      <c r="N2914" s="60" t="e">
        <f>+SUMIFS(#REF!,#REF!,Planning[[#This Row],[Proyectos]],#REF!,Planning[[#This Row],[Tipo de Tarea y especialidad]])</f>
        <v>#REF!</v>
      </c>
      <c r="O2914" s="19">
        <f t="shared" si="90"/>
        <v>10</v>
      </c>
      <c r="P2914" s="19">
        <f t="shared" si="91"/>
        <v>2024</v>
      </c>
      <c r="Q29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14" s="19" t="str">
        <f>TEXT(Planning[[#This Row],[Mes]]*29,"mmmm")</f>
        <v>October</v>
      </c>
      <c r="S29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14" s="193"/>
      <c r="U2914" s="43">
        <f>IF(Planning[[#This Row],[Horas Planificadas]]&lt;&gt;0,+K2914/Planning[[#This Row],[Horas Planificadas]],0)</f>
        <v>0</v>
      </c>
      <c r="V2914" s="43">
        <f>IF(Planning[[#This Row],[Horas Planificadas]]&lt;&gt;0,Planning[[#This Row],[Horas utilizadas]]/Planning[[#This Row],[Horas Planificadas]],0)</f>
        <v>0</v>
      </c>
      <c r="W2914" s="44">
        <f>Planning[[#This Row],[Horas Planificadas]]+Planning[[#This Row],[Horas ajustadas adicionales]]</f>
        <v>0</v>
      </c>
      <c r="X2914" s="142"/>
    </row>
    <row r="2915" spans="1:24" ht="12.75" customHeight="1" x14ac:dyDescent="0.2">
      <c r="A2915" s="7" t="s">
        <v>294</v>
      </c>
      <c r="B2915" s="7" t="s">
        <v>393</v>
      </c>
      <c r="C2915" s="3"/>
      <c r="D2915" s="3" t="s">
        <v>572</v>
      </c>
      <c r="E2915" s="4" t="s">
        <v>28</v>
      </c>
      <c r="F2915" s="3"/>
      <c r="G2915" s="9">
        <v>350</v>
      </c>
      <c r="H2915" s="14">
        <f>SUM(H2916:H2917)</f>
        <v>308</v>
      </c>
      <c r="I2915" s="14"/>
      <c r="J2915" s="14" t="e">
        <f>SUM(J2916:J2917)</f>
        <v>#REF!</v>
      </c>
      <c r="K2915" s="15" t="e">
        <f>SUM(K2916:K2917)</f>
        <v>#REF!</v>
      </c>
      <c r="L2915" s="15">
        <f>SUM(L2916:L2917)</f>
        <v>0</v>
      </c>
      <c r="M2915" s="14" t="e">
        <f>SUM(M2916:M2917)</f>
        <v>#REF!</v>
      </c>
      <c r="N2915" s="66" t="e">
        <f>+SUMIFS(#REF!,#REF!,Planning[[#This Row],[Proyectos]],#REF!,Planning[[#This Row],[Tipo de Tarea y especialidad]])</f>
        <v>#REF!</v>
      </c>
      <c r="O2915" s="14">
        <f t="shared" si="90"/>
        <v>10</v>
      </c>
      <c r="P2915" s="14">
        <f t="shared" si="91"/>
        <v>2024</v>
      </c>
      <c r="Q2915" s="28" t="e">
        <f>SUM(Q2916:Q2917)</f>
        <v>#REF!</v>
      </c>
      <c r="R2915" s="28" t="str">
        <f>TEXT(Planning[[#This Row],[Mes]]*29,"mmmm")</f>
        <v>October</v>
      </c>
      <c r="S29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15" s="192" t="s">
        <v>491</v>
      </c>
      <c r="U2915" s="43" t="e">
        <f>IF(Planning[[#This Row],[Horas Planificadas]]&lt;&gt;0,+K2915/Planning[[#This Row],[Horas Planificadas]],0)</f>
        <v>#REF!</v>
      </c>
      <c r="V2915" s="43" t="e">
        <f>IF(Planning[[#This Row],[Horas Planificadas]]&lt;&gt;0,Planning[[#This Row],[Horas utilizadas]]/Planning[[#This Row],[Horas Planificadas]],0)</f>
        <v>#REF!</v>
      </c>
      <c r="W2915" s="44">
        <f>Planning[[#This Row],[Horas Planificadas]]+Planning[[#This Row],[Horas ajustadas adicionales]]</f>
        <v>308</v>
      </c>
      <c r="X2915" s="142"/>
    </row>
    <row r="2916" spans="1:24" x14ac:dyDescent="0.2">
      <c r="A2916" s="7" t="s">
        <v>294</v>
      </c>
      <c r="B2916" s="7" t="s">
        <v>393</v>
      </c>
      <c r="C2916" s="3"/>
      <c r="D2916" s="3" t="s">
        <v>572</v>
      </c>
      <c r="E2916" s="4"/>
      <c r="F2916" s="3" t="s">
        <v>120</v>
      </c>
      <c r="G2916" s="7"/>
      <c r="H2916" s="9">
        <v>250</v>
      </c>
      <c r="I2916" s="12"/>
      <c r="J2916" s="5" t="e">
        <f>SUM(SUMIFS(#REF!,#REF!,Planning[[#This Row],[Tipo de Tarea y especialidad]],#REF!,Planning[[#This Row],[Proyectos Reiwa]]),SUMIFS(#REF!,#REF!,Planning[[#This Row],[Tipo de Tarea y especialidad]],#REF!,Planning[[#This Row],[Proyectos]]))</f>
        <v>#REF!</v>
      </c>
      <c r="K2916" s="5" t="e">
        <f>Planning[[#This Row],[Horas Planificadas]]+Planning[[#This Row],[Horas ajustadas adicionales]]-Planning[[#This Row],[Horas utilizadas]]</f>
        <v>#REF!</v>
      </c>
      <c r="L2916" s="7">
        <v>0</v>
      </c>
      <c r="M2916" s="19" t="e">
        <f>Planning[[#This Row],[Saldo]]-Planning[[#This Row],[Saldo estimado]]</f>
        <v>#REF!</v>
      </c>
      <c r="N2916" s="60" t="e">
        <f>+SUMIFS(#REF!,#REF!,Planning[[#This Row],[Proyectos]],#REF!,Planning[[#This Row],[Tipo de Tarea y especialidad]])</f>
        <v>#REF!</v>
      </c>
      <c r="O2916" s="19">
        <f t="shared" si="90"/>
        <v>10</v>
      </c>
      <c r="P2916" s="19">
        <f t="shared" si="91"/>
        <v>2024</v>
      </c>
      <c r="Q29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16" s="19" t="str">
        <f>TEXT(Planning[[#This Row],[Mes]]*29,"mmmm")</f>
        <v>October</v>
      </c>
      <c r="S29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16" s="193"/>
      <c r="U2916" s="43" t="e">
        <f>IF(Planning[[#This Row],[Horas Planificadas]]&lt;&gt;0,+K2916/Planning[[#This Row],[Horas Planificadas]],0)</f>
        <v>#REF!</v>
      </c>
      <c r="V2916" s="43" t="e">
        <f>IF(Planning[[#This Row],[Horas Planificadas]]&lt;&gt;0,Planning[[#This Row],[Horas utilizadas]]/Planning[[#This Row],[Horas Planificadas]],0)</f>
        <v>#REF!</v>
      </c>
      <c r="W2916" s="44">
        <f>Planning[[#This Row],[Horas Planificadas]]+Planning[[#This Row],[Horas ajustadas adicionales]]</f>
        <v>250</v>
      </c>
      <c r="X2916" s="142"/>
    </row>
    <row r="2917" spans="1:24" x14ac:dyDescent="0.2">
      <c r="A2917" s="7" t="s">
        <v>294</v>
      </c>
      <c r="B2917" s="7" t="s">
        <v>393</v>
      </c>
      <c r="C2917" s="3"/>
      <c r="D2917" s="3" t="s">
        <v>572</v>
      </c>
      <c r="E2917" s="4"/>
      <c r="F2917" s="3" t="s">
        <v>121</v>
      </c>
      <c r="G2917" s="9"/>
      <c r="H2917" s="9">
        <v>58</v>
      </c>
      <c r="I2917" s="12"/>
      <c r="J2917" s="5" t="e">
        <f>SUM(SUMIFS(#REF!,#REF!,Planning[[#This Row],[Tipo de Tarea y especialidad]],#REF!,Planning[[#This Row],[Proyectos Reiwa]]),SUMIFS(#REF!,#REF!,Planning[[#This Row],[Tipo de Tarea y especialidad]],#REF!,Planning[[#This Row],[Proyectos]]))</f>
        <v>#REF!</v>
      </c>
      <c r="K2917" s="5" t="e">
        <f>Planning[[#This Row],[Horas Planificadas]]+Planning[[#This Row],[Horas ajustadas adicionales]]-Planning[[#This Row],[Horas utilizadas]]</f>
        <v>#REF!</v>
      </c>
      <c r="L2917" s="7">
        <v>0</v>
      </c>
      <c r="M2917" s="19" t="e">
        <f>Planning[[#This Row],[Saldo]]-Planning[[#This Row],[Saldo estimado]]</f>
        <v>#REF!</v>
      </c>
      <c r="N2917" s="60" t="e">
        <f>+SUMIFS(#REF!,#REF!,Planning[[#This Row],[Proyectos]],#REF!,Planning[[#This Row],[Tipo de Tarea y especialidad]])</f>
        <v>#REF!</v>
      </c>
      <c r="O2917" s="19">
        <f t="shared" si="90"/>
        <v>10</v>
      </c>
      <c r="P2917" s="19">
        <f t="shared" si="91"/>
        <v>2024</v>
      </c>
      <c r="Q29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17" s="19" t="str">
        <f>TEXT(Planning[[#This Row],[Mes]]*29,"mmmm")</f>
        <v>October</v>
      </c>
      <c r="S29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17" s="193"/>
      <c r="U2917" s="43" t="e">
        <f>IF(Planning[[#This Row],[Horas Planificadas]]&lt;&gt;0,+K2917/Planning[[#This Row],[Horas Planificadas]],0)</f>
        <v>#REF!</v>
      </c>
      <c r="V2917" s="43" t="e">
        <f>IF(Planning[[#This Row],[Horas Planificadas]]&lt;&gt;0,Planning[[#This Row],[Horas utilizadas]]/Planning[[#This Row],[Horas Planificadas]],0)</f>
        <v>#REF!</v>
      </c>
      <c r="W2917" s="44">
        <f>Planning[[#This Row],[Horas Planificadas]]+Planning[[#This Row],[Horas ajustadas adicionales]]</f>
        <v>58</v>
      </c>
      <c r="X2917" s="142"/>
    </row>
    <row r="2918" spans="1:24" x14ac:dyDescent="0.2">
      <c r="A2918" s="7" t="s">
        <v>294</v>
      </c>
      <c r="B2918" s="7" t="s">
        <v>393</v>
      </c>
      <c r="C2918" s="3"/>
      <c r="D2918" s="3" t="s">
        <v>572</v>
      </c>
      <c r="E2918" s="4" t="s">
        <v>30</v>
      </c>
      <c r="F2918" s="3"/>
      <c r="G2918" s="7">
        <v>416</v>
      </c>
      <c r="H2918" s="14">
        <f>SUM(H2919:H2925)</f>
        <v>591</v>
      </c>
      <c r="I2918" s="14"/>
      <c r="J2918" s="14" t="e">
        <f>SUM(J2919:J2925)</f>
        <v>#REF!</v>
      </c>
      <c r="K2918" s="15" t="e">
        <f>SUM(K2919:K2925)</f>
        <v>#REF!</v>
      </c>
      <c r="L2918" s="15">
        <v>135</v>
      </c>
      <c r="M2918" s="16" t="e">
        <f>SUM(M2919:M2925)</f>
        <v>#REF!</v>
      </c>
      <c r="N2918" s="60" t="e">
        <f>+SUMIFS(#REF!,#REF!,Planning[[#This Row],[Proyectos]],#REF!,Planning[[#This Row],[Tipo de Tarea y especialidad]])</f>
        <v>#REF!</v>
      </c>
      <c r="O2918" s="16">
        <f t="shared" si="90"/>
        <v>10</v>
      </c>
      <c r="P2918" s="16">
        <f t="shared" si="91"/>
        <v>2024</v>
      </c>
      <c r="Q2918" s="16" t="e">
        <f>SUM(Q2919:Q2925)</f>
        <v>#REF!</v>
      </c>
      <c r="R2918" s="16" t="str">
        <f>TEXT(Planning[[#This Row],[Mes]]*29,"mmmm")</f>
        <v>October</v>
      </c>
      <c r="S29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18" s="193"/>
      <c r="U2918" s="43" t="e">
        <f>IF(Planning[[#This Row],[Horas Planificadas]]&lt;&gt;0,+K2918/Planning[[#This Row],[Horas Planificadas]],0)</f>
        <v>#REF!</v>
      </c>
      <c r="V2918" s="43" t="e">
        <f>IF(Planning[[#This Row],[Horas Planificadas]]&lt;&gt;0,Planning[[#This Row],[Horas utilizadas]]/Planning[[#This Row],[Horas Planificadas]],0)</f>
        <v>#REF!</v>
      </c>
      <c r="W2918" s="44">
        <f>Planning[[#This Row],[Horas Planificadas]]+Planning[[#This Row],[Horas ajustadas adicionales]]</f>
        <v>591</v>
      </c>
      <c r="X2918" s="142"/>
    </row>
    <row r="2919" spans="1:24" x14ac:dyDescent="0.2">
      <c r="A2919" s="7" t="s">
        <v>294</v>
      </c>
      <c r="B2919" s="7" t="s">
        <v>393</v>
      </c>
      <c r="C2919" s="3"/>
      <c r="D2919" s="3" t="s">
        <v>572</v>
      </c>
      <c r="E2919" s="4"/>
      <c r="F2919" s="3" t="s">
        <v>122</v>
      </c>
      <c r="G2919" s="20"/>
      <c r="H2919" s="9">
        <v>16</v>
      </c>
      <c r="I2919" s="12"/>
      <c r="J2919" s="5" t="e">
        <f>SUM(SUMIFS(#REF!,#REF!,Planning[[#This Row],[Tipo de Tarea y especialidad]],#REF!,Planning[[#This Row],[Proyectos Reiwa]]),SUMIFS(#REF!,#REF!,Planning[[#This Row],[Tipo de Tarea y especialidad]],#REF!,Planning[[#This Row],[Proyectos]]))</f>
        <v>#REF!</v>
      </c>
      <c r="K2919" s="5" t="e">
        <f>Planning[[#This Row],[Horas Planificadas]]+Planning[[#This Row],[Horas ajustadas adicionales]]-Planning[[#This Row],[Horas utilizadas]]</f>
        <v>#REF!</v>
      </c>
      <c r="L2919" s="7">
        <v>0</v>
      </c>
      <c r="M2919" s="19" t="e">
        <f>Planning[[#This Row],[Saldo]]-Planning[[#This Row],[Saldo estimado]]</f>
        <v>#REF!</v>
      </c>
      <c r="N2919" s="60" t="e">
        <f>+SUMIFS(#REF!,#REF!,Planning[[#This Row],[Proyectos]],#REF!,Planning[[#This Row],[Tipo de Tarea y especialidad]])</f>
        <v>#REF!</v>
      </c>
      <c r="O2919" s="19">
        <f t="shared" si="90"/>
        <v>10</v>
      </c>
      <c r="P2919" s="19">
        <f t="shared" si="91"/>
        <v>2024</v>
      </c>
      <c r="Q29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19" s="19" t="str">
        <f>TEXT(Planning[[#This Row],[Mes]]*29,"mmmm")</f>
        <v>October</v>
      </c>
      <c r="S29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19" s="193"/>
      <c r="U2919" s="43" t="e">
        <f>IF(Planning[[#This Row],[Horas Planificadas]]&lt;&gt;0,+K2919/Planning[[#This Row],[Horas Planificadas]],0)</f>
        <v>#REF!</v>
      </c>
      <c r="V2919" s="43" t="e">
        <f>IF(Planning[[#This Row],[Horas Planificadas]]&lt;&gt;0,Planning[[#This Row],[Horas utilizadas]]/Planning[[#This Row],[Horas Planificadas]],0)</f>
        <v>#REF!</v>
      </c>
      <c r="W2919" s="44">
        <f>Planning[[#This Row],[Horas Planificadas]]+Planning[[#This Row],[Horas ajustadas adicionales]]</f>
        <v>16</v>
      </c>
      <c r="X2919" s="142"/>
    </row>
    <row r="2920" spans="1:24" x14ac:dyDescent="0.2">
      <c r="A2920" s="7" t="s">
        <v>294</v>
      </c>
      <c r="B2920" s="7" t="s">
        <v>393</v>
      </c>
      <c r="C2920" s="3"/>
      <c r="D2920" s="3" t="s">
        <v>572</v>
      </c>
      <c r="E2920" s="4"/>
      <c r="F2920" s="3" t="s">
        <v>123</v>
      </c>
      <c r="G2920" s="20"/>
      <c r="H2920" s="9"/>
      <c r="I2920" s="12"/>
      <c r="J2920" s="5" t="e">
        <f>SUM(SUMIFS(#REF!,#REF!,Planning[[#This Row],[Tipo de Tarea y especialidad]],#REF!,Planning[[#This Row],[Proyectos Reiwa]]),SUMIFS(#REF!,#REF!,Planning[[#This Row],[Tipo de Tarea y especialidad]],#REF!,Planning[[#This Row],[Proyectos]]))</f>
        <v>#REF!</v>
      </c>
      <c r="K2920" s="5" t="e">
        <f>Planning[[#This Row],[Horas Planificadas]]+Planning[[#This Row],[Horas ajustadas adicionales]]-Planning[[#This Row],[Horas utilizadas]]</f>
        <v>#REF!</v>
      </c>
      <c r="L2920" s="7"/>
      <c r="M2920" s="19" t="e">
        <f>Planning[[#This Row],[Saldo]]-Planning[[#This Row],[Saldo estimado]]</f>
        <v>#REF!</v>
      </c>
      <c r="N2920" s="60" t="e">
        <f>+SUMIFS(#REF!,#REF!,Planning[[#This Row],[Proyectos]],#REF!,Planning[[#This Row],[Tipo de Tarea y especialidad]])</f>
        <v>#REF!</v>
      </c>
      <c r="O2920" s="19">
        <f t="shared" si="90"/>
        <v>10</v>
      </c>
      <c r="P2920" s="19">
        <f t="shared" si="91"/>
        <v>2024</v>
      </c>
      <c r="Q29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20" s="19" t="str">
        <f>TEXT(Planning[[#This Row],[Mes]]*29,"mmmm")</f>
        <v>October</v>
      </c>
      <c r="S29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20" s="193"/>
      <c r="U2920" s="43">
        <f>IF(Planning[[#This Row],[Horas Planificadas]]&lt;&gt;0,+K2920/Planning[[#This Row],[Horas Planificadas]],0)</f>
        <v>0</v>
      </c>
      <c r="V2920" s="43">
        <f>IF(Planning[[#This Row],[Horas Planificadas]]&lt;&gt;0,Planning[[#This Row],[Horas utilizadas]]/Planning[[#This Row],[Horas Planificadas]],0)</f>
        <v>0</v>
      </c>
      <c r="W2920" s="44">
        <f>Planning[[#This Row],[Horas Planificadas]]+Planning[[#This Row],[Horas ajustadas adicionales]]</f>
        <v>0</v>
      </c>
      <c r="X2920" s="142"/>
    </row>
    <row r="2921" spans="1:24" x14ac:dyDescent="0.2">
      <c r="A2921" s="7" t="s">
        <v>294</v>
      </c>
      <c r="B2921" s="7" t="s">
        <v>393</v>
      </c>
      <c r="C2921" s="3"/>
      <c r="D2921" s="3" t="s">
        <v>572</v>
      </c>
      <c r="E2921" s="4"/>
      <c r="F2921" s="3" t="s">
        <v>124</v>
      </c>
      <c r="G2921" s="20"/>
      <c r="H2921" s="9">
        <v>375</v>
      </c>
      <c r="I2921" s="12">
        <v>0</v>
      </c>
      <c r="J2921" s="5" t="e">
        <f>SUM(SUMIFS(#REF!,#REF!,Planning[[#This Row],[Tipo de Tarea y especialidad]],#REF!,Planning[[#This Row],[Proyectos Reiwa]]),SUMIFS(#REF!,#REF!,Planning[[#This Row],[Tipo de Tarea y especialidad]],#REF!,Planning[[#This Row],[Proyectos]]))</f>
        <v>#REF!</v>
      </c>
      <c r="K2921" s="5" t="e">
        <f>Planning[[#This Row],[Horas Planificadas]]+Planning[[#This Row],[Horas ajustadas adicionales]]-Planning[[#This Row],[Horas utilizadas]]</f>
        <v>#REF!</v>
      </c>
      <c r="L2921" s="7">
        <v>0</v>
      </c>
      <c r="M2921" s="19" t="e">
        <f>Planning[[#This Row],[Saldo]]-Planning[[#This Row],[Saldo estimado]]</f>
        <v>#REF!</v>
      </c>
      <c r="N2921" s="60" t="e">
        <f>+SUMIFS(#REF!,#REF!,Planning[[#This Row],[Proyectos]],#REF!,Planning[[#This Row],[Tipo de Tarea y especialidad]])</f>
        <v>#REF!</v>
      </c>
      <c r="O2921" s="19">
        <f t="shared" si="90"/>
        <v>10</v>
      </c>
      <c r="P2921" s="19">
        <f t="shared" si="91"/>
        <v>2024</v>
      </c>
      <c r="Q29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21" s="19" t="str">
        <f>TEXT(Planning[[#This Row],[Mes]]*29,"mmmm")</f>
        <v>October</v>
      </c>
      <c r="S29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21" s="193"/>
      <c r="U2921" s="43" t="e">
        <f>IF(Planning[[#This Row],[Horas Planificadas]]&lt;&gt;0,+K2921/Planning[[#This Row],[Horas Planificadas]],0)</f>
        <v>#REF!</v>
      </c>
      <c r="V2921" s="43" t="e">
        <f>IF(Planning[[#This Row],[Horas Planificadas]]&lt;&gt;0,Planning[[#This Row],[Horas utilizadas]]/Planning[[#This Row],[Horas Planificadas]],0)</f>
        <v>#REF!</v>
      </c>
      <c r="W2921" s="44">
        <f>Planning[[#This Row],[Horas Planificadas]]+Planning[[#This Row],[Horas ajustadas adicionales]]</f>
        <v>375</v>
      </c>
      <c r="X2921" s="142"/>
    </row>
    <row r="2922" spans="1:24" x14ac:dyDescent="0.2">
      <c r="A2922" s="7" t="s">
        <v>294</v>
      </c>
      <c r="B2922" s="7" t="s">
        <v>393</v>
      </c>
      <c r="C2922" s="3"/>
      <c r="D2922" s="3" t="s">
        <v>572</v>
      </c>
      <c r="E2922" s="4"/>
      <c r="F2922" s="3" t="s">
        <v>125</v>
      </c>
      <c r="G2922" s="20"/>
      <c r="H2922" s="9"/>
      <c r="I2922" s="12"/>
      <c r="J2922" s="5" t="e">
        <f>SUM(SUMIFS(#REF!,#REF!,Planning[[#This Row],[Tipo de Tarea y especialidad]],#REF!,Planning[[#This Row],[Proyectos Reiwa]]),SUMIFS(#REF!,#REF!,Planning[[#This Row],[Tipo de Tarea y especialidad]],#REF!,Planning[[#This Row],[Proyectos]]))</f>
        <v>#REF!</v>
      </c>
      <c r="K2922" s="5" t="e">
        <f>Planning[[#This Row],[Horas Planificadas]]+Planning[[#This Row],[Horas ajustadas adicionales]]-Planning[[#This Row],[Horas utilizadas]]</f>
        <v>#REF!</v>
      </c>
      <c r="L2922" s="7">
        <v>0</v>
      </c>
      <c r="M2922" s="19" t="e">
        <f>Planning[[#This Row],[Saldo]]-Planning[[#This Row],[Saldo estimado]]</f>
        <v>#REF!</v>
      </c>
      <c r="N2922" s="60" t="e">
        <f>+SUMIFS(#REF!,#REF!,Planning[[#This Row],[Proyectos]],#REF!,Planning[[#This Row],[Tipo de Tarea y especialidad]])</f>
        <v>#REF!</v>
      </c>
      <c r="O2922" s="19">
        <f t="shared" si="90"/>
        <v>10</v>
      </c>
      <c r="P2922" s="19">
        <f t="shared" si="91"/>
        <v>2024</v>
      </c>
      <c r="Q29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22" s="19" t="str">
        <f>TEXT(Planning[[#This Row],[Mes]]*29,"mmmm")</f>
        <v>October</v>
      </c>
      <c r="S29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22" s="193"/>
      <c r="U2922" s="43">
        <f>IF(Planning[[#This Row],[Horas Planificadas]]&lt;&gt;0,+K2922/Planning[[#This Row],[Horas Planificadas]],0)</f>
        <v>0</v>
      </c>
      <c r="V2922" s="43">
        <f>IF(Planning[[#This Row],[Horas Planificadas]]&lt;&gt;0,Planning[[#This Row],[Horas utilizadas]]/Planning[[#This Row],[Horas Planificadas]],0)</f>
        <v>0</v>
      </c>
      <c r="W2922" s="44">
        <f>Planning[[#This Row],[Horas Planificadas]]+Planning[[#This Row],[Horas ajustadas adicionales]]</f>
        <v>0</v>
      </c>
      <c r="X2922" s="142"/>
    </row>
    <row r="2923" spans="1:24" x14ac:dyDescent="0.2">
      <c r="A2923" s="7" t="s">
        <v>294</v>
      </c>
      <c r="B2923" s="7" t="s">
        <v>393</v>
      </c>
      <c r="C2923" s="3"/>
      <c r="D2923" s="3" t="s">
        <v>572</v>
      </c>
      <c r="E2923" s="4"/>
      <c r="F2923" s="3" t="s">
        <v>126</v>
      </c>
      <c r="G2923" s="20"/>
      <c r="H2923" s="9"/>
      <c r="I2923" s="12"/>
      <c r="J2923" s="5" t="e">
        <f>SUM(SUMIFS(#REF!,#REF!,Planning[[#This Row],[Tipo de Tarea y especialidad]],#REF!,Planning[[#This Row],[Proyectos Reiwa]]),SUMIFS(#REF!,#REF!,Planning[[#This Row],[Tipo de Tarea y especialidad]],#REF!,Planning[[#This Row],[Proyectos]]))</f>
        <v>#REF!</v>
      </c>
      <c r="K2923" s="5" t="e">
        <f>Planning[[#This Row],[Horas Planificadas]]+Planning[[#This Row],[Horas ajustadas adicionales]]-Planning[[#This Row],[Horas utilizadas]]</f>
        <v>#REF!</v>
      </c>
      <c r="L2923" s="7"/>
      <c r="M2923" s="19" t="e">
        <f>Planning[[#This Row],[Saldo]]-Planning[[#This Row],[Saldo estimado]]</f>
        <v>#REF!</v>
      </c>
      <c r="N2923" s="60" t="e">
        <f>+SUMIFS(#REF!,#REF!,Planning[[#This Row],[Proyectos]],#REF!,Planning[[#This Row],[Tipo de Tarea y especialidad]])</f>
        <v>#REF!</v>
      </c>
      <c r="O2923" s="19">
        <f t="shared" si="90"/>
        <v>10</v>
      </c>
      <c r="P2923" s="19">
        <f t="shared" si="91"/>
        <v>2024</v>
      </c>
      <c r="Q29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23" s="19" t="str">
        <f>TEXT(Planning[[#This Row],[Mes]]*29,"mmmm")</f>
        <v>October</v>
      </c>
      <c r="S29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23" s="193"/>
      <c r="U2923" s="43">
        <f>IF(Planning[[#This Row],[Horas Planificadas]]&lt;&gt;0,+K2923/Planning[[#This Row],[Horas Planificadas]],0)</f>
        <v>0</v>
      </c>
      <c r="V2923" s="43">
        <f>IF(Planning[[#This Row],[Horas Planificadas]]&lt;&gt;0,Planning[[#This Row],[Horas utilizadas]]/Planning[[#This Row],[Horas Planificadas]],0)</f>
        <v>0</v>
      </c>
      <c r="W2923" s="44">
        <f>Planning[[#This Row],[Horas Planificadas]]+Planning[[#This Row],[Horas ajustadas adicionales]]</f>
        <v>0</v>
      </c>
      <c r="X2923" s="142"/>
    </row>
    <row r="2924" spans="1:24" x14ac:dyDescent="0.2">
      <c r="A2924" s="7" t="s">
        <v>294</v>
      </c>
      <c r="B2924" s="7" t="s">
        <v>393</v>
      </c>
      <c r="C2924" s="3"/>
      <c r="D2924" s="3" t="s">
        <v>572</v>
      </c>
      <c r="E2924" s="4"/>
      <c r="F2924" s="3" t="s">
        <v>127</v>
      </c>
      <c r="G2924" s="20"/>
      <c r="H2924" s="9"/>
      <c r="I2924" s="12"/>
      <c r="J2924" s="5" t="e">
        <f>SUM(SUMIFS(#REF!,#REF!,Planning[[#This Row],[Tipo de Tarea y especialidad]],#REF!,Planning[[#This Row],[Proyectos Reiwa]]),SUMIFS(#REF!,#REF!,Planning[[#This Row],[Tipo de Tarea y especialidad]],#REF!,Planning[[#This Row],[Proyectos]]))</f>
        <v>#REF!</v>
      </c>
      <c r="K2924" s="5" t="e">
        <f>Planning[[#This Row],[Horas Planificadas]]+Planning[[#This Row],[Horas ajustadas adicionales]]-Planning[[#This Row],[Horas utilizadas]]</f>
        <v>#REF!</v>
      </c>
      <c r="L2924" s="7"/>
      <c r="M2924" s="19" t="e">
        <f>Planning[[#This Row],[Saldo]]-Planning[[#This Row],[Saldo estimado]]</f>
        <v>#REF!</v>
      </c>
      <c r="N2924" s="60" t="e">
        <f>+SUMIFS(#REF!,#REF!,Planning[[#This Row],[Proyectos]],#REF!,Planning[[#This Row],[Tipo de Tarea y especialidad]])</f>
        <v>#REF!</v>
      </c>
      <c r="O2924" s="19">
        <f t="shared" si="90"/>
        <v>10</v>
      </c>
      <c r="P2924" s="19">
        <f t="shared" si="91"/>
        <v>2024</v>
      </c>
      <c r="Q29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24" s="19" t="str">
        <f>TEXT(Planning[[#This Row],[Mes]]*29,"mmmm")</f>
        <v>October</v>
      </c>
      <c r="S29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24" s="193"/>
      <c r="U2924" s="43">
        <f>IF(Planning[[#This Row],[Horas Planificadas]]&lt;&gt;0,+K2924/Planning[[#This Row],[Horas Planificadas]],0)</f>
        <v>0</v>
      </c>
      <c r="V2924" s="43">
        <f>IF(Planning[[#This Row],[Horas Planificadas]]&lt;&gt;0,Planning[[#This Row],[Horas utilizadas]]/Planning[[#This Row],[Horas Planificadas]],0)</f>
        <v>0</v>
      </c>
      <c r="W2924" s="44">
        <f>Planning[[#This Row],[Horas Planificadas]]+Planning[[#This Row],[Horas ajustadas adicionales]]</f>
        <v>0</v>
      </c>
      <c r="X2924" s="142"/>
    </row>
    <row r="2925" spans="1:24" x14ac:dyDescent="0.2">
      <c r="A2925" s="7" t="s">
        <v>294</v>
      </c>
      <c r="B2925" s="7" t="s">
        <v>393</v>
      </c>
      <c r="C2925" s="3"/>
      <c r="D2925" s="3" t="s">
        <v>572</v>
      </c>
      <c r="E2925" s="4"/>
      <c r="F2925" s="3" t="s">
        <v>128</v>
      </c>
      <c r="G2925" s="20">
        <v>0</v>
      </c>
      <c r="H2925" s="9">
        <v>200</v>
      </c>
      <c r="I2925" s="12"/>
      <c r="J2925" s="5" t="e">
        <f>SUM(SUMIFS(#REF!,#REF!,Planning[[#This Row],[Tipo de Tarea y especialidad]],#REF!,Planning[[#This Row],[Proyectos Reiwa]]),SUMIFS(#REF!,#REF!,Planning[[#This Row],[Tipo de Tarea y especialidad]],#REF!,Planning[[#This Row],[Proyectos]]))</f>
        <v>#REF!</v>
      </c>
      <c r="K2925" s="5" t="e">
        <f>Planning[[#This Row],[Horas Planificadas]]+Planning[[#This Row],[Horas ajustadas adicionales]]-Planning[[#This Row],[Horas utilizadas]]</f>
        <v>#REF!</v>
      </c>
      <c r="L2925" s="7"/>
      <c r="M2925" s="19" t="e">
        <f>Planning[[#This Row],[Saldo]]-Planning[[#This Row],[Saldo estimado]]</f>
        <v>#REF!</v>
      </c>
      <c r="N2925" s="60" t="e">
        <f>+SUMIFS(#REF!,#REF!,Planning[[#This Row],[Proyectos]],#REF!,Planning[[#This Row],[Tipo de Tarea y especialidad]])</f>
        <v>#REF!</v>
      </c>
      <c r="O2925" s="19">
        <f t="shared" si="90"/>
        <v>10</v>
      </c>
      <c r="P2925" s="19">
        <f t="shared" si="91"/>
        <v>2024</v>
      </c>
      <c r="Q29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25" s="19" t="str">
        <f>TEXT(Planning[[#This Row],[Mes]]*29,"mmmm")</f>
        <v>October</v>
      </c>
      <c r="S29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25" s="193"/>
      <c r="U2925" s="43" t="e">
        <f>IF(Planning[[#This Row],[Horas Planificadas]]&lt;&gt;0,+K2925/Planning[[#This Row],[Horas Planificadas]],0)</f>
        <v>#REF!</v>
      </c>
      <c r="V2925" s="43" t="e">
        <f>IF(Planning[[#This Row],[Horas Planificadas]]&lt;&gt;0,Planning[[#This Row],[Horas utilizadas]]/Planning[[#This Row],[Horas Planificadas]],0)</f>
        <v>#REF!</v>
      </c>
      <c r="W2925" s="44">
        <f>Planning[[#This Row],[Horas Planificadas]]+Planning[[#This Row],[Horas ajustadas adicionales]]</f>
        <v>200</v>
      </c>
      <c r="X2925" s="142"/>
    </row>
    <row r="2926" spans="1:24" x14ac:dyDescent="0.2">
      <c r="A2926" s="7" t="s">
        <v>294</v>
      </c>
      <c r="B2926" s="7" t="s">
        <v>393</v>
      </c>
      <c r="C2926" s="3"/>
      <c r="D2926" s="3" t="s">
        <v>572</v>
      </c>
      <c r="E2926" s="4" t="s">
        <v>31</v>
      </c>
      <c r="F2926" s="3" t="s">
        <v>31</v>
      </c>
      <c r="G2926" s="9">
        <v>104</v>
      </c>
      <c r="H2926" s="17">
        <v>104</v>
      </c>
      <c r="I2926" s="18">
        <v>189</v>
      </c>
      <c r="J2926" s="14" t="e">
        <f>+SUMIFS(#REF!,#REF!,Planning[[#This Row],[Tarifa]],#REF!,Planning[[#This Row],[Proyectos]])</f>
        <v>#REF!</v>
      </c>
      <c r="K2926" s="14" t="e">
        <f>Planning[[#This Row],[Horas Planificadas]]+Planning[[#This Row],[Horas ajustadas adicionales]]-Planning[[#This Row],[Horas utilizadas]]</f>
        <v>#REF!</v>
      </c>
      <c r="L2926" s="15">
        <v>23</v>
      </c>
      <c r="M2926" s="16" t="e">
        <f>Planning[[#This Row],[Saldo]]-Planning[[#This Row],[Saldo estimado]]</f>
        <v>#REF!</v>
      </c>
      <c r="N2926" s="60" t="e">
        <f>+SUMIFS(#REF!,#REF!,Planning[[#This Row],[Proyectos]],#REF!,Planning[[#This Row],[Tipo de Tarea y especialidad]])</f>
        <v>#REF!</v>
      </c>
      <c r="O2926" s="16">
        <f t="shared" si="90"/>
        <v>10</v>
      </c>
      <c r="P2926" s="16">
        <f t="shared" si="91"/>
        <v>2024</v>
      </c>
      <c r="Q2926" s="16" t="e">
        <f>+SUMIFS(#REF!,#REF!,Planning[[#This Row],[Tarifa]],#REF!,Planning[[#This Row],[Proyectos]],#REF!,Planning[[#This Row],[Mes]],#REF!,Planning[[#This Row],[Año]])</f>
        <v>#REF!</v>
      </c>
      <c r="R2926" s="16" t="str">
        <f>TEXT(Planning[[#This Row],[Mes]]*29,"mmmm")</f>
        <v>October</v>
      </c>
      <c r="S29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26" s="193"/>
      <c r="U2926" s="43" t="e">
        <f>IF(Planning[[#This Row],[Horas Planificadas]]&lt;&gt;0,+K2926/Planning[[#This Row],[Horas Planificadas]],0)</f>
        <v>#REF!</v>
      </c>
      <c r="V2926" s="43" t="e">
        <f>IF(Planning[[#This Row],[Horas Planificadas]]&lt;&gt;0,Planning[[#This Row],[Horas utilizadas]]/Planning[[#This Row],[Horas Planificadas]],0)</f>
        <v>#REF!</v>
      </c>
      <c r="W2926" s="44">
        <f>Planning[[#This Row],[Horas Planificadas]]+Planning[[#This Row],[Horas ajustadas adicionales]]</f>
        <v>293</v>
      </c>
      <c r="X2926" s="142"/>
    </row>
    <row r="2927" spans="1:24" ht="22.5" x14ac:dyDescent="0.2">
      <c r="A2927" s="7" t="s">
        <v>294</v>
      </c>
      <c r="B2927" s="7" t="s">
        <v>393</v>
      </c>
      <c r="C2927" s="3"/>
      <c r="D2927" s="3" t="s">
        <v>572</v>
      </c>
      <c r="E2927" s="4" t="s">
        <v>32</v>
      </c>
      <c r="F2927" s="3"/>
      <c r="G2927" s="9">
        <v>300</v>
      </c>
      <c r="H2927" s="14">
        <f>+H2928+H2929+H2930</f>
        <v>260</v>
      </c>
      <c r="I2927" s="14"/>
      <c r="J2927" s="14" t="e">
        <f>SUM(J2928:J2930)</f>
        <v>#REF!</v>
      </c>
      <c r="K2927" s="15" t="e">
        <f>SUM(K2928:K2930)</f>
        <v>#REF!</v>
      </c>
      <c r="L2927" s="15">
        <f>SUM(L2928:L2930)</f>
        <v>240</v>
      </c>
      <c r="M2927" s="16" t="e">
        <f>SUM(M2928:M2930)</f>
        <v>#REF!</v>
      </c>
      <c r="N2927" s="60" t="e">
        <f>+SUMIFS(#REF!,#REF!,Planning[[#This Row],[Proyectos]],#REF!,Planning[[#This Row],[Tipo de Tarea y especialidad]])</f>
        <v>#REF!</v>
      </c>
      <c r="O2927" s="16">
        <f t="shared" si="90"/>
        <v>10</v>
      </c>
      <c r="P2927" s="16">
        <f t="shared" si="91"/>
        <v>2024</v>
      </c>
      <c r="Q2927" s="16" t="e">
        <f>SUM(Q2928:Q2930)</f>
        <v>#REF!</v>
      </c>
      <c r="R2927" s="16" t="str">
        <f>TEXT(Planning[[#This Row],[Mes]]*29,"mmmm")</f>
        <v>October</v>
      </c>
      <c r="S29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27" s="193"/>
      <c r="U2927" s="43" t="e">
        <f>IF(Planning[[#This Row],[Horas Planificadas]]&lt;&gt;0,+K2927/Planning[[#This Row],[Horas Planificadas]],0)</f>
        <v>#REF!</v>
      </c>
      <c r="V2927" s="43" t="e">
        <f>IF(Planning[[#This Row],[Horas Planificadas]]&lt;&gt;0,Planning[[#This Row],[Horas utilizadas]]/Planning[[#This Row],[Horas Planificadas]],0)</f>
        <v>#REF!</v>
      </c>
      <c r="W2927" s="44">
        <f>Planning[[#This Row],[Horas Planificadas]]+Planning[[#This Row],[Horas ajustadas adicionales]]</f>
        <v>260</v>
      </c>
      <c r="X2927" s="142"/>
    </row>
    <row r="2928" spans="1:24" x14ac:dyDescent="0.2">
      <c r="A2928" s="7" t="s">
        <v>294</v>
      </c>
      <c r="B2928" s="7" t="s">
        <v>393</v>
      </c>
      <c r="C2928" s="3"/>
      <c r="D2928" s="3" t="s">
        <v>572</v>
      </c>
      <c r="E2928" s="4"/>
      <c r="F2928" s="3" t="s">
        <v>129</v>
      </c>
      <c r="G2928" s="20"/>
      <c r="H2928" s="20"/>
      <c r="I2928" s="12"/>
      <c r="J2928" s="5" t="e">
        <f>SUM(SUMIFS(#REF!,#REF!,Planning[[#This Row],[Tipo de Tarea y especialidad]],#REF!,Planning[[#This Row],[Proyectos Reiwa]]),SUMIFS(#REF!,#REF!,Planning[[#This Row],[Tipo de Tarea y especialidad]],#REF!,Planning[[#This Row],[Proyectos]]))</f>
        <v>#REF!</v>
      </c>
      <c r="K2928" s="5" t="e">
        <f>Planning[[#This Row],[Horas Planificadas]]+Planning[[#This Row],[Horas ajustadas adicionales]]-Planning[[#This Row],[Horas utilizadas]]</f>
        <v>#REF!</v>
      </c>
      <c r="L2928" s="7"/>
      <c r="M2928" s="19" t="e">
        <f>Planning[[#This Row],[Saldo]]-Planning[[#This Row],[Saldo estimado]]</f>
        <v>#REF!</v>
      </c>
      <c r="N2928" s="60" t="e">
        <f>+SUMIFS(#REF!,#REF!,Planning[[#This Row],[Proyectos]],#REF!,Planning[[#This Row],[Tipo de Tarea y especialidad]])</f>
        <v>#REF!</v>
      </c>
      <c r="O2928" s="19">
        <f t="shared" si="90"/>
        <v>10</v>
      </c>
      <c r="P2928" s="19">
        <f t="shared" si="91"/>
        <v>2024</v>
      </c>
      <c r="Q29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28" s="19" t="str">
        <f>TEXT(Planning[[#This Row],[Mes]]*29,"mmmm")</f>
        <v>October</v>
      </c>
      <c r="S29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28" s="193"/>
      <c r="U2928" s="43">
        <f>IF(Planning[[#This Row],[Horas Planificadas]]&lt;&gt;0,+K2928/Planning[[#This Row],[Horas Planificadas]],0)</f>
        <v>0</v>
      </c>
      <c r="V2928" s="43">
        <f>IF(Planning[[#This Row],[Horas Planificadas]]&lt;&gt;0,Planning[[#This Row],[Horas utilizadas]]/Planning[[#This Row],[Horas Planificadas]],0)</f>
        <v>0</v>
      </c>
      <c r="W2928" s="44">
        <f>Planning[[#This Row],[Horas Planificadas]]+Planning[[#This Row],[Horas ajustadas adicionales]]</f>
        <v>0</v>
      </c>
      <c r="X2928" s="142"/>
    </row>
    <row r="2929" spans="1:24" x14ac:dyDescent="0.2">
      <c r="A2929" s="7" t="s">
        <v>294</v>
      </c>
      <c r="B2929" s="7" t="s">
        <v>393</v>
      </c>
      <c r="C2929" s="3"/>
      <c r="D2929" s="3" t="s">
        <v>572</v>
      </c>
      <c r="E2929" s="4"/>
      <c r="F2929" s="3" t="s">
        <v>130</v>
      </c>
      <c r="G2929" s="20"/>
      <c r="H2929" s="20"/>
      <c r="I2929" s="12"/>
      <c r="J2929" s="5" t="e">
        <f>SUM(SUMIFS(#REF!,#REF!,Planning[[#This Row],[Tipo de Tarea y especialidad]],#REF!,Planning[[#This Row],[Proyectos Reiwa]]),SUMIFS(#REF!,#REF!,Planning[[#This Row],[Tipo de Tarea y especialidad]],#REF!,Planning[[#This Row],[Proyectos]]))</f>
        <v>#REF!</v>
      </c>
      <c r="K2929" s="5" t="e">
        <f>Planning[[#This Row],[Horas Planificadas]]+Planning[[#This Row],[Horas ajustadas adicionales]]-Planning[[#This Row],[Horas utilizadas]]</f>
        <v>#REF!</v>
      </c>
      <c r="L2929" s="7"/>
      <c r="M2929" s="19" t="e">
        <f>Planning[[#This Row],[Saldo]]-Planning[[#This Row],[Saldo estimado]]</f>
        <v>#REF!</v>
      </c>
      <c r="N2929" s="60" t="e">
        <f>+SUMIFS(#REF!,#REF!,Planning[[#This Row],[Proyectos]],#REF!,Planning[[#This Row],[Tipo de Tarea y especialidad]])</f>
        <v>#REF!</v>
      </c>
      <c r="O2929" s="19">
        <f t="shared" si="90"/>
        <v>10</v>
      </c>
      <c r="P2929" s="19">
        <f t="shared" si="91"/>
        <v>2024</v>
      </c>
      <c r="Q29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29" s="19" t="str">
        <f>TEXT(Planning[[#This Row],[Mes]]*29,"mmmm")</f>
        <v>October</v>
      </c>
      <c r="S29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29" s="193"/>
      <c r="U2929" s="43">
        <f>IF(Planning[[#This Row],[Horas Planificadas]]&lt;&gt;0,+K2929/Planning[[#This Row],[Horas Planificadas]],0)</f>
        <v>0</v>
      </c>
      <c r="V2929" s="43">
        <f>IF(Planning[[#This Row],[Horas Planificadas]]&lt;&gt;0,Planning[[#This Row],[Horas utilizadas]]/Planning[[#This Row],[Horas Planificadas]],0)</f>
        <v>0</v>
      </c>
      <c r="W2929" s="44">
        <f>Planning[[#This Row],[Horas Planificadas]]+Planning[[#This Row],[Horas ajustadas adicionales]]</f>
        <v>0</v>
      </c>
      <c r="X2929" s="142"/>
    </row>
    <row r="2930" spans="1:24" x14ac:dyDescent="0.2">
      <c r="A2930" s="7" t="s">
        <v>294</v>
      </c>
      <c r="B2930" s="7" t="s">
        <v>393</v>
      </c>
      <c r="C2930" s="3"/>
      <c r="D2930" s="3" t="s">
        <v>572</v>
      </c>
      <c r="E2930" s="4"/>
      <c r="F2930" s="3" t="s">
        <v>131</v>
      </c>
      <c r="G2930" s="20">
        <v>300</v>
      </c>
      <c r="H2930" s="20">
        <v>260</v>
      </c>
      <c r="I2930" s="12"/>
      <c r="J2930" s="5" t="e">
        <f>SUM(SUMIFS(#REF!,#REF!,Planning[[#This Row],[Tipo de Tarea y especialidad]],#REF!,Planning[[#This Row],[Proyectos Reiwa]]),SUMIFS(#REF!,#REF!,Planning[[#This Row],[Tipo de Tarea y especialidad]],#REF!,Planning[[#This Row],[Proyectos]]))</f>
        <v>#REF!</v>
      </c>
      <c r="K2930" s="5" t="e">
        <f>Planning[[#This Row],[Horas Planificadas]]+Planning[[#This Row],[Horas ajustadas adicionales]]-Planning[[#This Row],[Horas utilizadas]]</f>
        <v>#REF!</v>
      </c>
      <c r="L2930" s="7">
        <v>240</v>
      </c>
      <c r="M2930" s="19" t="e">
        <f>Planning[[#This Row],[Saldo]]-Planning[[#This Row],[Saldo estimado]]</f>
        <v>#REF!</v>
      </c>
      <c r="N2930" s="60" t="e">
        <f>+SUMIFS(#REF!,#REF!,Planning[[#This Row],[Proyectos]],#REF!,Planning[[#This Row],[Tipo de Tarea y especialidad]])</f>
        <v>#REF!</v>
      </c>
      <c r="O2930" s="19">
        <f t="shared" si="90"/>
        <v>10</v>
      </c>
      <c r="P2930" s="19">
        <f t="shared" si="91"/>
        <v>2024</v>
      </c>
      <c r="Q29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30" s="19" t="str">
        <f>TEXT(Planning[[#This Row],[Mes]]*29,"mmmm")</f>
        <v>October</v>
      </c>
      <c r="S29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30" s="193"/>
      <c r="U2930" s="43" t="e">
        <f>IF(Planning[[#This Row],[Horas Planificadas]]&lt;&gt;0,+K2930/Planning[[#This Row],[Horas Planificadas]],0)</f>
        <v>#REF!</v>
      </c>
      <c r="V2930" s="43" t="e">
        <f>IF(Planning[[#This Row],[Horas Planificadas]]&lt;&gt;0,Planning[[#This Row],[Horas utilizadas]]/Planning[[#This Row],[Horas Planificadas]],0)</f>
        <v>#REF!</v>
      </c>
      <c r="W2930" s="44">
        <f>Planning[[#This Row],[Horas Planificadas]]+Planning[[#This Row],[Horas ajustadas adicionales]]</f>
        <v>260</v>
      </c>
      <c r="X2930" s="142"/>
    </row>
    <row r="2931" spans="1:24" ht="22.5" x14ac:dyDescent="0.2">
      <c r="A2931" s="7"/>
      <c r="B2931" s="7"/>
      <c r="C2931" s="3"/>
      <c r="D2931" s="3" t="s">
        <v>573</v>
      </c>
      <c r="E2931" s="4" t="s">
        <v>28</v>
      </c>
      <c r="F2931" s="3"/>
      <c r="G2931" s="9"/>
      <c r="H2931" s="12">
        <v>30</v>
      </c>
      <c r="I2931" s="12"/>
      <c r="J2931" s="5" t="e">
        <f>+SUMIFS(#REF!,#REF!,Planning[[#This Row],[Tarifa]],#REF!,Planning[[#This Row],[Proyectos]])</f>
        <v>#REF!</v>
      </c>
      <c r="K2931" s="27" t="e">
        <f>Planning[[#This Row],[Horas Planificadas]]+Planning[[#This Row],[Horas ajustadas adicionales]]-Planning[[#This Row],[Horas utilizadas]]</f>
        <v>#REF!</v>
      </c>
      <c r="L2931" s="7"/>
      <c r="M2931" s="34" t="e">
        <f>Planning[[#This Row],[Saldo]]-Planning[[#This Row],[Saldo estimado]]</f>
        <v>#REF!</v>
      </c>
      <c r="N2931" s="62" t="e">
        <f>+SUMIFS(#REF!,#REF!,Planning[[#This Row],[Proyectos]],#REF!,Planning[[#This Row],[Tipo de Tarea y especialidad]])</f>
        <v>#REF!</v>
      </c>
      <c r="O2931" s="34">
        <f t="shared" si="90"/>
        <v>10</v>
      </c>
      <c r="P2931" s="34">
        <f t="shared" si="91"/>
        <v>2024</v>
      </c>
      <c r="Q2931" s="34" t="e">
        <f>+SUMIFS(#REF!,#REF!,Planning[[#This Row],[Tarifa]],#REF!,Planning[[#This Row],[Proyectos]],#REF!,Planning[[#This Row],[Mes]],#REF!,Planning[[#This Row],[Año]])</f>
        <v>#REF!</v>
      </c>
      <c r="R2931" s="34" t="str">
        <f>TEXT(Planning[[#This Row],[Mes]]*29,"mmmm")</f>
        <v>October</v>
      </c>
      <c r="S293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31" s="228"/>
      <c r="U2931" s="43" t="e">
        <f>IF(Planning[[#This Row],[Horas Planificadas]]&lt;&gt;0,+K2931/Planning[[#This Row],[Horas Planificadas]],0)</f>
        <v>#REF!</v>
      </c>
      <c r="V2931" s="43" t="e">
        <f>IF(Planning[[#This Row],[Horas Planificadas]]&lt;&gt;0,Planning[[#This Row],[Horas utilizadas]]/Planning[[#This Row],[Horas Planificadas]],0)</f>
        <v>#REF!</v>
      </c>
      <c r="W2931" s="44">
        <f>Planning[[#This Row],[Horas Planificadas]]+Planning[[#This Row],[Horas ajustadas adicionales]]</f>
        <v>30</v>
      </c>
      <c r="X2931" s="142"/>
    </row>
    <row r="2932" spans="1:24" x14ac:dyDescent="0.2">
      <c r="A2932" s="7"/>
      <c r="B2932" s="7"/>
      <c r="C2932" s="3"/>
      <c r="D2932" s="3" t="s">
        <v>573</v>
      </c>
      <c r="E2932" s="4" t="s">
        <v>30</v>
      </c>
      <c r="F2932" s="3"/>
      <c r="G2932" s="9"/>
      <c r="H2932" s="9">
        <v>69</v>
      </c>
      <c r="I2932" s="12"/>
      <c r="J2932" s="5" t="e">
        <f>+SUMIFS(#REF!,#REF!,Planning[[#This Row],[Tarifa]],#REF!,Planning[[#This Row],[Proyectos]])</f>
        <v>#REF!</v>
      </c>
      <c r="K2932" s="5" t="e">
        <f>Planning[[#This Row],[Horas Planificadas]]+Planning[[#This Row],[Horas ajustadas adicionales]]-Planning[[#This Row],[Horas utilizadas]]</f>
        <v>#REF!</v>
      </c>
      <c r="L2932" s="7"/>
      <c r="M2932" s="19" t="e">
        <f>Planning[[#This Row],[Saldo]]-Planning[[#This Row],[Saldo estimado]]</f>
        <v>#REF!</v>
      </c>
      <c r="N2932" s="60" t="e">
        <f>+SUMIFS(#REF!,#REF!,Planning[[#This Row],[Proyectos]],#REF!,Planning[[#This Row],[Tipo de Tarea y especialidad]])</f>
        <v>#REF!</v>
      </c>
      <c r="O2932" s="19">
        <f t="shared" si="90"/>
        <v>10</v>
      </c>
      <c r="P2932" s="19">
        <f t="shared" si="91"/>
        <v>2024</v>
      </c>
      <c r="Q2932" s="19" t="e">
        <f>+SUMIFS(#REF!,#REF!,Planning[[#This Row],[Tarifa]],#REF!,Planning[[#This Row],[Proyectos]],#REF!,Planning[[#This Row],[Mes]],#REF!,Planning[[#This Row],[Año]])</f>
        <v>#REF!</v>
      </c>
      <c r="R2932" s="19" t="str">
        <f>TEXT(Planning[[#This Row],[Mes]]*29,"mmmm")</f>
        <v>October</v>
      </c>
      <c r="S29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32" s="228"/>
      <c r="U2932" s="43" t="e">
        <f>IF(Planning[[#This Row],[Horas Planificadas]]&lt;&gt;0,+K2932/Planning[[#This Row],[Horas Planificadas]],0)</f>
        <v>#REF!</v>
      </c>
      <c r="V2932" s="43" t="e">
        <f>IF(Planning[[#This Row],[Horas Planificadas]]&lt;&gt;0,Planning[[#This Row],[Horas utilizadas]]/Planning[[#This Row],[Horas Planificadas]],0)</f>
        <v>#REF!</v>
      </c>
      <c r="W2932" s="44">
        <f>Planning[[#This Row],[Horas Planificadas]]+Planning[[#This Row],[Horas ajustadas adicionales]]</f>
        <v>69</v>
      </c>
      <c r="X2932" s="142"/>
    </row>
    <row r="2933" spans="1:24" x14ac:dyDescent="0.2">
      <c r="A2933" s="7"/>
      <c r="B2933" s="7"/>
      <c r="C2933" s="3"/>
      <c r="D2933" s="3" t="s">
        <v>573</v>
      </c>
      <c r="E2933" s="4" t="s">
        <v>31</v>
      </c>
      <c r="F2933" s="3"/>
      <c r="G2933" s="9"/>
      <c r="H2933" s="9">
        <v>40</v>
      </c>
      <c r="I2933" s="12"/>
      <c r="J2933" s="5" t="e">
        <f>+SUMIFS(#REF!,#REF!,Planning[[#This Row],[Tarifa]],#REF!,Planning[[#This Row],[Proyectos]])</f>
        <v>#REF!</v>
      </c>
      <c r="K2933" s="5" t="e">
        <f>Planning[[#This Row],[Horas Planificadas]]+Planning[[#This Row],[Horas ajustadas adicionales]]-Planning[[#This Row],[Horas utilizadas]]</f>
        <v>#REF!</v>
      </c>
      <c r="L2933" s="7"/>
      <c r="M2933" s="19" t="e">
        <f>Planning[[#This Row],[Saldo]]-Planning[[#This Row],[Saldo estimado]]</f>
        <v>#REF!</v>
      </c>
      <c r="N2933" s="60" t="e">
        <f>+SUMIFS(#REF!,#REF!,Planning[[#This Row],[Proyectos]],#REF!,Planning[[#This Row],[Tipo de Tarea y especialidad]])</f>
        <v>#REF!</v>
      </c>
      <c r="O2933" s="19">
        <f t="shared" si="90"/>
        <v>10</v>
      </c>
      <c r="P2933" s="19">
        <f t="shared" si="91"/>
        <v>2024</v>
      </c>
      <c r="Q2933" s="19" t="e">
        <f>+SUMIFS(#REF!,#REF!,Planning[[#This Row],[Tarifa]],#REF!,Planning[[#This Row],[Proyectos]],#REF!,Planning[[#This Row],[Mes]],#REF!,Planning[[#This Row],[Año]])</f>
        <v>#REF!</v>
      </c>
      <c r="R2933" s="19" t="str">
        <f>TEXT(Planning[[#This Row],[Mes]]*29,"mmmm")</f>
        <v>October</v>
      </c>
      <c r="S29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33" s="228"/>
      <c r="U2933" s="43" t="e">
        <f>IF(Planning[[#This Row],[Horas Planificadas]]&lt;&gt;0,+K2933/Planning[[#This Row],[Horas Planificadas]],0)</f>
        <v>#REF!</v>
      </c>
      <c r="V2933" s="43" t="e">
        <f>IF(Planning[[#This Row],[Horas Planificadas]]&lt;&gt;0,Planning[[#This Row],[Horas utilizadas]]/Planning[[#This Row],[Horas Planificadas]],0)</f>
        <v>#REF!</v>
      </c>
      <c r="W2933" s="44">
        <f>Planning[[#This Row],[Horas Planificadas]]+Planning[[#This Row],[Horas ajustadas adicionales]]</f>
        <v>40</v>
      </c>
      <c r="X2933" s="142"/>
    </row>
    <row r="2934" spans="1:24" ht="22.5" x14ac:dyDescent="0.2">
      <c r="A2934" s="7"/>
      <c r="B2934" s="7"/>
      <c r="C2934" s="3"/>
      <c r="D2934" s="3" t="s">
        <v>573</v>
      </c>
      <c r="E2934" s="4" t="s">
        <v>32</v>
      </c>
      <c r="F2934" s="3"/>
      <c r="G2934" s="9"/>
      <c r="H2934" s="12">
        <v>120</v>
      </c>
      <c r="I2934" s="12"/>
      <c r="J2934" s="5" t="e">
        <f>+SUMIFS(#REF!,#REF!,Planning[[#This Row],[Tarifa]],#REF!,Planning[[#This Row],[Proyectos]])</f>
        <v>#REF!</v>
      </c>
      <c r="K2934" s="27" t="e">
        <f>Planning[[#This Row],[Horas Planificadas]]+Planning[[#This Row],[Horas ajustadas adicionales]]-Planning[[#This Row],[Horas utilizadas]]</f>
        <v>#REF!</v>
      </c>
      <c r="L2934" s="7"/>
      <c r="M2934" s="19" t="e">
        <f>Planning[[#This Row],[Saldo]]-Planning[[#This Row],[Saldo estimado]]</f>
        <v>#REF!</v>
      </c>
      <c r="N2934" s="60" t="e">
        <f>+SUMIFS(#REF!,#REF!,Planning[[#This Row],[Proyectos]],#REF!,Planning[[#This Row],[Tipo de Tarea y especialidad]])</f>
        <v>#REF!</v>
      </c>
      <c r="O2934" s="19">
        <f t="shared" si="90"/>
        <v>10</v>
      </c>
      <c r="P2934" s="19">
        <f t="shared" si="91"/>
        <v>2024</v>
      </c>
      <c r="Q2934" s="19" t="e">
        <f>+SUMIFS(#REF!,#REF!,Planning[[#This Row],[Tarifa]],#REF!,Planning[[#This Row],[Proyectos]],#REF!,Planning[[#This Row],[Mes]],#REF!,Planning[[#This Row],[Año]])</f>
        <v>#REF!</v>
      </c>
      <c r="R2934" s="19" t="str">
        <f>TEXT(Planning[[#This Row],[Mes]]*29,"mmmm")</f>
        <v>October</v>
      </c>
      <c r="S29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34" s="228"/>
      <c r="U2934" s="43" t="e">
        <f>IF(Planning[[#This Row],[Horas Planificadas]]&lt;&gt;0,+K2934/Planning[[#This Row],[Horas Planificadas]],0)</f>
        <v>#REF!</v>
      </c>
      <c r="V2934" s="43" t="e">
        <f>IF(Planning[[#This Row],[Horas Planificadas]]&lt;&gt;0,Planning[[#This Row],[Horas utilizadas]]/Planning[[#This Row],[Horas Planificadas]],0)</f>
        <v>#REF!</v>
      </c>
      <c r="W2934" s="44">
        <f>Planning[[#This Row],[Horas Planificadas]]+Planning[[#This Row],[Horas ajustadas adicionales]]</f>
        <v>120</v>
      </c>
      <c r="X2934" s="142"/>
    </row>
    <row r="2935" spans="1:24" ht="22.5" x14ac:dyDescent="0.2">
      <c r="A2935" s="7"/>
      <c r="B2935" s="7"/>
      <c r="C2935" s="3"/>
      <c r="D2935" s="3" t="s">
        <v>574</v>
      </c>
      <c r="E2935" s="4" t="s">
        <v>28</v>
      </c>
      <c r="F2935" s="3"/>
      <c r="G2935" s="20"/>
      <c r="H2935" s="9">
        <v>400</v>
      </c>
      <c r="I2935" s="12"/>
      <c r="J2935" s="5" t="e">
        <f>+SUMIFS(#REF!,#REF!,Planning[[#This Row],[Tarifa]],#REF!,Planning[[#This Row],[Proyectos]])</f>
        <v>#REF!</v>
      </c>
      <c r="K2935" s="5" t="e">
        <f>Planning[[#This Row],[Horas Planificadas]]+Planning[[#This Row],[Horas ajustadas adicionales]]-Planning[[#This Row],[Horas utilizadas]]</f>
        <v>#REF!</v>
      </c>
      <c r="L2935" s="7"/>
      <c r="M2935" s="19" t="e">
        <f>Planning[[#This Row],[Saldo]]-Planning[[#This Row],[Saldo estimado]]</f>
        <v>#REF!</v>
      </c>
      <c r="N2935" s="60" t="e">
        <f>+SUMIFS(#REF!,#REF!,Planning[[#This Row],[Proyectos]],#REF!,Planning[[#This Row],[Tipo de Tarea y especialidad]])</f>
        <v>#REF!</v>
      </c>
      <c r="O2935" s="19">
        <f t="shared" si="90"/>
        <v>10</v>
      </c>
      <c r="P2935" s="19">
        <f t="shared" si="91"/>
        <v>2024</v>
      </c>
      <c r="Q2935" s="19" t="e">
        <f>+SUMIFS(#REF!,#REF!,Planning[[#This Row],[Tarifa]],#REF!,Planning[[#This Row],[Proyectos]],#REF!,Planning[[#This Row],[Mes]],#REF!,Planning[[#This Row],[Año]])</f>
        <v>#REF!</v>
      </c>
      <c r="R2935" s="19" t="str">
        <f>TEXT(Planning[[#This Row],[Mes]]*29,"mmmm")</f>
        <v>October</v>
      </c>
      <c r="S29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35" s="228"/>
      <c r="U2935" s="43" t="e">
        <f>IF(Planning[[#This Row],[Horas Planificadas]]&lt;&gt;0,+K2935/Planning[[#This Row],[Horas Planificadas]],0)</f>
        <v>#REF!</v>
      </c>
      <c r="V2935" s="43" t="e">
        <f>IF(Planning[[#This Row],[Horas Planificadas]]&lt;&gt;0,Planning[[#This Row],[Horas utilizadas]]/Planning[[#This Row],[Horas Planificadas]],0)</f>
        <v>#REF!</v>
      </c>
      <c r="W2935" s="44">
        <f>Planning[[#This Row],[Horas Planificadas]]+Planning[[#This Row],[Horas ajustadas adicionales]]</f>
        <v>400</v>
      </c>
      <c r="X2935" s="142"/>
    </row>
    <row r="2936" spans="1:24" x14ac:dyDescent="0.2">
      <c r="A2936" s="7"/>
      <c r="B2936" s="7"/>
      <c r="C2936" s="3"/>
      <c r="D2936" s="3" t="s">
        <v>574</v>
      </c>
      <c r="E2936" s="4" t="s">
        <v>30</v>
      </c>
      <c r="F2936" s="3"/>
      <c r="G2936" s="20"/>
      <c r="H2936" s="9">
        <v>345</v>
      </c>
      <c r="I2936" s="12"/>
      <c r="J2936" s="5" t="e">
        <f>+SUMIFS(#REF!,#REF!,Planning[[#This Row],[Tarifa]],#REF!,Planning[[#This Row],[Proyectos]])</f>
        <v>#REF!</v>
      </c>
      <c r="K2936" s="5" t="e">
        <f>Planning[[#This Row],[Horas Planificadas]]+Planning[[#This Row],[Horas ajustadas adicionales]]-Planning[[#This Row],[Horas utilizadas]]</f>
        <v>#REF!</v>
      </c>
      <c r="L2936" s="7"/>
      <c r="M2936" s="19" t="e">
        <f>Planning[[#This Row],[Saldo]]-Planning[[#This Row],[Saldo estimado]]</f>
        <v>#REF!</v>
      </c>
      <c r="N2936" s="60" t="e">
        <f>+SUMIFS(#REF!,#REF!,Planning[[#This Row],[Proyectos]],#REF!,Planning[[#This Row],[Tipo de Tarea y especialidad]])</f>
        <v>#REF!</v>
      </c>
      <c r="O2936" s="19">
        <f t="shared" si="90"/>
        <v>10</v>
      </c>
      <c r="P2936" s="19">
        <f t="shared" si="91"/>
        <v>2024</v>
      </c>
      <c r="Q2936" s="19" t="e">
        <f>+SUMIFS(#REF!,#REF!,Planning[[#This Row],[Tarifa]],#REF!,Planning[[#This Row],[Proyectos]],#REF!,Planning[[#This Row],[Mes]],#REF!,Planning[[#This Row],[Año]])</f>
        <v>#REF!</v>
      </c>
      <c r="R2936" s="19" t="str">
        <f>TEXT(Planning[[#This Row],[Mes]]*29,"mmmm")</f>
        <v>October</v>
      </c>
      <c r="S29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36" s="228"/>
      <c r="U2936" s="43" t="e">
        <f>IF(Planning[[#This Row],[Horas Planificadas]]&lt;&gt;0,+K2936/Planning[[#This Row],[Horas Planificadas]],0)</f>
        <v>#REF!</v>
      </c>
      <c r="V2936" s="43" t="e">
        <f>IF(Planning[[#This Row],[Horas Planificadas]]&lt;&gt;0,Planning[[#This Row],[Horas utilizadas]]/Planning[[#This Row],[Horas Planificadas]],0)</f>
        <v>#REF!</v>
      </c>
      <c r="W2936" s="44">
        <f>Planning[[#This Row],[Horas Planificadas]]+Planning[[#This Row],[Horas ajustadas adicionales]]</f>
        <v>345</v>
      </c>
      <c r="X2936" s="142"/>
    </row>
    <row r="2937" spans="1:24" x14ac:dyDescent="0.2">
      <c r="A2937" s="7"/>
      <c r="B2937" s="7"/>
      <c r="C2937" s="3"/>
      <c r="D2937" s="3" t="s">
        <v>574</v>
      </c>
      <c r="E2937" s="4" t="s">
        <v>31</v>
      </c>
      <c r="F2937" s="3"/>
      <c r="G2937" s="20"/>
      <c r="H2937" s="9">
        <v>70</v>
      </c>
      <c r="I2937" s="12"/>
      <c r="J2937" s="5" t="e">
        <f>+SUMIFS(#REF!,#REF!,Planning[[#This Row],[Tarifa]],#REF!,Planning[[#This Row],[Proyectos]])</f>
        <v>#REF!</v>
      </c>
      <c r="K2937" s="5" t="e">
        <f>Planning[[#This Row],[Horas Planificadas]]+Planning[[#This Row],[Horas ajustadas adicionales]]-Planning[[#This Row],[Horas utilizadas]]</f>
        <v>#REF!</v>
      </c>
      <c r="L2937" s="7"/>
      <c r="M2937" s="19" t="e">
        <f>Planning[[#This Row],[Saldo]]-Planning[[#This Row],[Saldo estimado]]</f>
        <v>#REF!</v>
      </c>
      <c r="N2937" s="60" t="e">
        <f>+SUMIFS(#REF!,#REF!,Planning[[#This Row],[Proyectos]],#REF!,Planning[[#This Row],[Tipo de Tarea y especialidad]])</f>
        <v>#REF!</v>
      </c>
      <c r="O2937" s="19">
        <f t="shared" si="90"/>
        <v>10</v>
      </c>
      <c r="P2937" s="19">
        <f t="shared" si="91"/>
        <v>2024</v>
      </c>
      <c r="Q2937" s="19" t="e">
        <f>+SUMIFS(#REF!,#REF!,Planning[[#This Row],[Tarifa]],#REF!,Planning[[#This Row],[Proyectos]],#REF!,Planning[[#This Row],[Mes]],#REF!,Planning[[#This Row],[Año]])</f>
        <v>#REF!</v>
      </c>
      <c r="R2937" s="19" t="str">
        <f>TEXT(Planning[[#This Row],[Mes]]*29,"mmmm")</f>
        <v>October</v>
      </c>
      <c r="S29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37" s="228"/>
      <c r="U2937" s="43" t="e">
        <f>IF(Planning[[#This Row],[Horas Planificadas]]&lt;&gt;0,+K2937/Planning[[#This Row],[Horas Planificadas]],0)</f>
        <v>#REF!</v>
      </c>
      <c r="V2937" s="43" t="e">
        <f>IF(Planning[[#This Row],[Horas Planificadas]]&lt;&gt;0,Planning[[#This Row],[Horas utilizadas]]/Planning[[#This Row],[Horas Planificadas]],0)</f>
        <v>#REF!</v>
      </c>
      <c r="W2937" s="44">
        <f>Planning[[#This Row],[Horas Planificadas]]+Planning[[#This Row],[Horas ajustadas adicionales]]</f>
        <v>70</v>
      </c>
      <c r="X2937" s="142"/>
    </row>
    <row r="2938" spans="1:24" ht="22.5" x14ac:dyDescent="0.2">
      <c r="A2938" s="7"/>
      <c r="B2938" s="7"/>
      <c r="C2938" s="3"/>
      <c r="D2938" s="3" t="s">
        <v>574</v>
      </c>
      <c r="E2938" s="4" t="s">
        <v>32</v>
      </c>
      <c r="F2938" s="3"/>
      <c r="G2938" s="20"/>
      <c r="H2938" s="9">
        <v>350</v>
      </c>
      <c r="I2938" s="12"/>
      <c r="J2938" s="5" t="e">
        <f>+SUMIFS(#REF!,#REF!,Planning[[#This Row],[Tarifa]],#REF!,Planning[[#This Row],[Proyectos]])</f>
        <v>#REF!</v>
      </c>
      <c r="K2938" s="5" t="e">
        <f>Planning[[#This Row],[Horas Planificadas]]+Planning[[#This Row],[Horas ajustadas adicionales]]-Planning[[#This Row],[Horas utilizadas]]</f>
        <v>#REF!</v>
      </c>
      <c r="L2938" s="7"/>
      <c r="M2938" s="19" t="e">
        <f>Planning[[#This Row],[Saldo]]-Planning[[#This Row],[Saldo estimado]]</f>
        <v>#REF!</v>
      </c>
      <c r="N2938" s="60" t="e">
        <f>+SUMIFS(#REF!,#REF!,Planning[[#This Row],[Proyectos]],#REF!,Planning[[#This Row],[Tipo de Tarea y especialidad]])</f>
        <v>#REF!</v>
      </c>
      <c r="O2938" s="19">
        <f t="shared" si="90"/>
        <v>10</v>
      </c>
      <c r="P2938" s="19">
        <f t="shared" si="91"/>
        <v>2024</v>
      </c>
      <c r="Q2938" s="19" t="e">
        <f>+SUMIFS(#REF!,#REF!,Planning[[#This Row],[Tarifa]],#REF!,Planning[[#This Row],[Proyectos]],#REF!,Planning[[#This Row],[Mes]],#REF!,Planning[[#This Row],[Año]])</f>
        <v>#REF!</v>
      </c>
      <c r="R2938" s="19" t="str">
        <f>TEXT(Planning[[#This Row],[Mes]]*29,"mmmm")</f>
        <v>October</v>
      </c>
      <c r="S29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38" s="228"/>
      <c r="U2938" s="43" t="e">
        <f>IF(Planning[[#This Row],[Horas Planificadas]]&lt;&gt;0,+K2938/Planning[[#This Row],[Horas Planificadas]],0)</f>
        <v>#REF!</v>
      </c>
      <c r="V2938" s="43" t="e">
        <f>IF(Planning[[#This Row],[Horas Planificadas]]&lt;&gt;0,Planning[[#This Row],[Horas utilizadas]]/Planning[[#This Row],[Horas Planificadas]],0)</f>
        <v>#REF!</v>
      </c>
      <c r="W2938" s="44">
        <f>Planning[[#This Row],[Horas Planificadas]]+Planning[[#This Row],[Horas ajustadas adicionales]]</f>
        <v>350</v>
      </c>
      <c r="X2938" s="142"/>
    </row>
    <row r="2939" spans="1:24" ht="22.5" x14ac:dyDescent="0.2">
      <c r="A2939" s="7"/>
      <c r="B2939" s="7"/>
      <c r="C2939" s="3"/>
      <c r="D2939" s="3" t="s">
        <v>575</v>
      </c>
      <c r="E2939" s="4" t="s">
        <v>28</v>
      </c>
      <c r="F2939" s="3"/>
      <c r="G2939" s="20"/>
      <c r="H2939" s="9">
        <v>0</v>
      </c>
      <c r="I2939" s="12"/>
      <c r="J2939" s="5" t="e">
        <f>+SUMIFS(#REF!,#REF!,Planning[[#This Row],[Tarifa]],#REF!,Planning[[#This Row],[Proyectos]])</f>
        <v>#REF!</v>
      </c>
      <c r="K2939" s="5" t="e">
        <f>Planning[[#This Row],[Horas Planificadas]]+Planning[[#This Row],[Horas ajustadas adicionales]]-Planning[[#This Row],[Horas utilizadas]]</f>
        <v>#REF!</v>
      </c>
      <c r="L2939" s="7"/>
      <c r="M2939" s="19" t="e">
        <f>Planning[[#This Row],[Saldo]]-Planning[[#This Row],[Saldo estimado]]</f>
        <v>#REF!</v>
      </c>
      <c r="N2939" s="60" t="e">
        <f>+SUMIFS(#REF!,#REF!,Planning[[#This Row],[Proyectos]],#REF!,Planning[[#This Row],[Tipo de Tarea y especialidad]])</f>
        <v>#REF!</v>
      </c>
      <c r="O2939" s="19">
        <f t="shared" si="90"/>
        <v>10</v>
      </c>
      <c r="P2939" s="19">
        <f t="shared" si="91"/>
        <v>2024</v>
      </c>
      <c r="Q2939" s="19" t="e">
        <f>+SUMIFS(#REF!,#REF!,Planning[[#This Row],[Tarifa]],#REF!,Planning[[#This Row],[Proyectos]],#REF!,Planning[[#This Row],[Mes]],#REF!,Planning[[#This Row],[Año]])</f>
        <v>#REF!</v>
      </c>
      <c r="R2939" s="19" t="str">
        <f>TEXT(Planning[[#This Row],[Mes]]*29,"mmmm")</f>
        <v>October</v>
      </c>
      <c r="S29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39" s="228"/>
      <c r="U2939" s="43">
        <f>IF(Planning[[#This Row],[Horas Planificadas]]&lt;&gt;0,+K2939/Planning[[#This Row],[Horas Planificadas]],0)</f>
        <v>0</v>
      </c>
      <c r="V2939" s="43">
        <f>IF(Planning[[#This Row],[Horas Planificadas]]&lt;&gt;0,Planning[[#This Row],[Horas utilizadas]]/Planning[[#This Row],[Horas Planificadas]],0)</f>
        <v>0</v>
      </c>
      <c r="W2939" s="44">
        <f>Planning[[#This Row],[Horas Planificadas]]+Planning[[#This Row],[Horas ajustadas adicionales]]</f>
        <v>0</v>
      </c>
      <c r="X2939" s="142"/>
    </row>
    <row r="2940" spans="1:24" x14ac:dyDescent="0.2">
      <c r="A2940" s="7"/>
      <c r="B2940" s="7"/>
      <c r="C2940" s="3"/>
      <c r="D2940" s="3" t="s">
        <v>575</v>
      </c>
      <c r="E2940" s="4" t="s">
        <v>30</v>
      </c>
      <c r="F2940" s="3"/>
      <c r="G2940" s="20"/>
      <c r="H2940" s="9">
        <v>45</v>
      </c>
      <c r="I2940" s="12"/>
      <c r="J2940" s="5" t="e">
        <f>+SUMIFS(#REF!,#REF!,Planning[[#This Row],[Tarifa]],#REF!,Planning[[#This Row],[Proyectos]])</f>
        <v>#REF!</v>
      </c>
      <c r="K2940" s="5" t="e">
        <f>Planning[[#This Row],[Horas Planificadas]]+Planning[[#This Row],[Horas ajustadas adicionales]]-Planning[[#This Row],[Horas utilizadas]]</f>
        <v>#REF!</v>
      </c>
      <c r="L2940" s="7"/>
      <c r="M2940" s="19" t="e">
        <f>Planning[[#This Row],[Saldo]]-Planning[[#This Row],[Saldo estimado]]</f>
        <v>#REF!</v>
      </c>
      <c r="N2940" s="60" t="e">
        <f>+SUMIFS(#REF!,#REF!,Planning[[#This Row],[Proyectos]],#REF!,Planning[[#This Row],[Tipo de Tarea y especialidad]])</f>
        <v>#REF!</v>
      </c>
      <c r="O2940" s="19">
        <f t="shared" si="90"/>
        <v>10</v>
      </c>
      <c r="P2940" s="19">
        <f t="shared" si="91"/>
        <v>2024</v>
      </c>
      <c r="Q2940" s="19" t="e">
        <f>+SUMIFS(#REF!,#REF!,Planning[[#This Row],[Tarifa]],#REF!,Planning[[#This Row],[Proyectos]],#REF!,Planning[[#This Row],[Mes]],#REF!,Planning[[#This Row],[Año]])</f>
        <v>#REF!</v>
      </c>
      <c r="R2940" s="19" t="str">
        <f>TEXT(Planning[[#This Row],[Mes]]*29,"mmmm")</f>
        <v>October</v>
      </c>
      <c r="S29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40" s="228"/>
      <c r="U2940" s="43" t="e">
        <f>IF(Planning[[#This Row],[Horas Planificadas]]&lt;&gt;0,+K2940/Planning[[#This Row],[Horas Planificadas]],0)</f>
        <v>#REF!</v>
      </c>
      <c r="V2940" s="43" t="e">
        <f>IF(Planning[[#This Row],[Horas Planificadas]]&lt;&gt;0,Planning[[#This Row],[Horas utilizadas]]/Planning[[#This Row],[Horas Planificadas]],0)</f>
        <v>#REF!</v>
      </c>
      <c r="W2940" s="44">
        <f>Planning[[#This Row],[Horas Planificadas]]+Planning[[#This Row],[Horas ajustadas adicionales]]</f>
        <v>45</v>
      </c>
      <c r="X2940" s="142"/>
    </row>
    <row r="2941" spans="1:24" x14ac:dyDescent="0.2">
      <c r="A2941" s="7"/>
      <c r="B2941" s="7"/>
      <c r="C2941" s="3"/>
      <c r="D2941" s="3" t="s">
        <v>575</v>
      </c>
      <c r="E2941" s="4" t="s">
        <v>31</v>
      </c>
      <c r="F2941" s="3"/>
      <c r="G2941" s="20"/>
      <c r="H2941" s="9">
        <v>9</v>
      </c>
      <c r="I2941" s="12"/>
      <c r="J2941" s="5" t="e">
        <f>+SUMIFS(#REF!,#REF!,Planning[[#This Row],[Tarifa]],#REF!,Planning[[#This Row],[Proyectos]])</f>
        <v>#REF!</v>
      </c>
      <c r="K2941" s="5" t="e">
        <f>Planning[[#This Row],[Horas Planificadas]]+Planning[[#This Row],[Horas ajustadas adicionales]]-Planning[[#This Row],[Horas utilizadas]]</f>
        <v>#REF!</v>
      </c>
      <c r="L2941" s="7"/>
      <c r="M2941" s="19" t="e">
        <f>Planning[[#This Row],[Saldo]]-Planning[[#This Row],[Saldo estimado]]</f>
        <v>#REF!</v>
      </c>
      <c r="N2941" s="60" t="e">
        <f>+SUMIFS(#REF!,#REF!,Planning[[#This Row],[Proyectos]],#REF!,Planning[[#This Row],[Tipo de Tarea y especialidad]])</f>
        <v>#REF!</v>
      </c>
      <c r="O2941" s="19">
        <f t="shared" si="90"/>
        <v>10</v>
      </c>
      <c r="P2941" s="19">
        <f t="shared" si="91"/>
        <v>2024</v>
      </c>
      <c r="Q2941" s="19" t="e">
        <f>+SUMIFS(#REF!,#REF!,Planning[[#This Row],[Tarifa]],#REF!,Planning[[#This Row],[Proyectos]],#REF!,Planning[[#This Row],[Mes]],#REF!,Planning[[#This Row],[Año]])</f>
        <v>#REF!</v>
      </c>
      <c r="R2941" s="19" t="str">
        <f>TEXT(Planning[[#This Row],[Mes]]*29,"mmmm")</f>
        <v>October</v>
      </c>
      <c r="S29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41" s="228"/>
      <c r="U2941" s="43" t="e">
        <f>IF(Planning[[#This Row],[Horas Planificadas]]&lt;&gt;0,+K2941/Planning[[#This Row],[Horas Planificadas]],0)</f>
        <v>#REF!</v>
      </c>
      <c r="V2941" s="43" t="e">
        <f>IF(Planning[[#This Row],[Horas Planificadas]]&lt;&gt;0,Planning[[#This Row],[Horas utilizadas]]/Planning[[#This Row],[Horas Planificadas]],0)</f>
        <v>#REF!</v>
      </c>
      <c r="W2941" s="44">
        <f>Planning[[#This Row],[Horas Planificadas]]+Planning[[#This Row],[Horas ajustadas adicionales]]</f>
        <v>9</v>
      </c>
      <c r="X2941" s="142"/>
    </row>
    <row r="2942" spans="1:24" ht="22.5" x14ac:dyDescent="0.2">
      <c r="A2942" s="7"/>
      <c r="B2942" s="7"/>
      <c r="C2942" s="3"/>
      <c r="D2942" s="3" t="s">
        <v>575</v>
      </c>
      <c r="E2942" s="4" t="s">
        <v>32</v>
      </c>
      <c r="F2942" s="3"/>
      <c r="G2942" s="9"/>
      <c r="H2942" s="9">
        <v>120</v>
      </c>
      <c r="I2942" s="12"/>
      <c r="J2942" s="5" t="e">
        <f>+SUMIFS(#REF!,#REF!,Planning[[#This Row],[Tarifa]],#REF!,Planning[[#This Row],[Proyectos]])</f>
        <v>#REF!</v>
      </c>
      <c r="K2942" s="5" t="e">
        <f>Planning[[#This Row],[Horas Planificadas]]+Planning[[#This Row],[Horas ajustadas adicionales]]-Planning[[#This Row],[Horas utilizadas]]</f>
        <v>#REF!</v>
      </c>
      <c r="L2942" s="7"/>
      <c r="M2942" s="19" t="e">
        <f>Planning[[#This Row],[Saldo]]-Planning[[#This Row],[Saldo estimado]]</f>
        <v>#REF!</v>
      </c>
      <c r="N2942" s="60" t="e">
        <f>+SUMIFS(#REF!,#REF!,Planning[[#This Row],[Proyectos]],#REF!,Planning[[#This Row],[Tipo de Tarea y especialidad]])</f>
        <v>#REF!</v>
      </c>
      <c r="O2942" s="19">
        <f t="shared" si="90"/>
        <v>10</v>
      </c>
      <c r="P2942" s="19">
        <f t="shared" si="91"/>
        <v>2024</v>
      </c>
      <c r="Q2942" s="19" t="e">
        <f>+SUMIFS(#REF!,#REF!,Planning[[#This Row],[Tarifa]],#REF!,Planning[[#This Row],[Proyectos]],#REF!,Planning[[#This Row],[Mes]],#REF!,Planning[[#This Row],[Año]])</f>
        <v>#REF!</v>
      </c>
      <c r="R2942" s="19" t="str">
        <f>TEXT(Planning[[#This Row],[Mes]]*29,"mmmm")</f>
        <v>October</v>
      </c>
      <c r="S29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42" s="228"/>
      <c r="U2942" s="43" t="e">
        <f>IF(Planning[[#This Row],[Horas Planificadas]]&lt;&gt;0,+K2942/Planning[[#This Row],[Horas Planificadas]],0)</f>
        <v>#REF!</v>
      </c>
      <c r="V2942" s="43" t="e">
        <f>IF(Planning[[#This Row],[Horas Planificadas]]&lt;&gt;0,Planning[[#This Row],[Horas utilizadas]]/Planning[[#This Row],[Horas Planificadas]],0)</f>
        <v>#REF!</v>
      </c>
      <c r="W2942" s="44">
        <f>Planning[[#This Row],[Horas Planificadas]]+Planning[[#This Row],[Horas ajustadas adicionales]]</f>
        <v>120</v>
      </c>
      <c r="X2942" s="142"/>
    </row>
    <row r="2943" spans="1:24" ht="12.75" customHeight="1" x14ac:dyDescent="0.2">
      <c r="A2943" s="7" t="s">
        <v>117</v>
      </c>
      <c r="B2943" s="7" t="s">
        <v>220</v>
      </c>
      <c r="C2943" s="3"/>
      <c r="D2943" s="3" t="s">
        <v>576</v>
      </c>
      <c r="E2943" s="4" t="s">
        <v>28</v>
      </c>
      <c r="F2943" s="3"/>
      <c r="G2943" s="9">
        <v>450</v>
      </c>
      <c r="H2943" s="14">
        <f>SUM(H2944:H2945)</f>
        <v>450</v>
      </c>
      <c r="I2943" s="14"/>
      <c r="J2943" s="14" t="e">
        <f>SUM(J2944:J2945)</f>
        <v>#REF!</v>
      </c>
      <c r="K2943" s="15" t="e">
        <f>SUM(K2944:K2945)</f>
        <v>#REF!</v>
      </c>
      <c r="L2943" s="15">
        <f>SUM(L2944:L2945)</f>
        <v>0</v>
      </c>
      <c r="M2943" s="28" t="e">
        <f>SUM(M2944:M2945)</f>
        <v>#REF!</v>
      </c>
      <c r="N2943" s="61" t="e">
        <f>+SUMIFS(#REF!,#REF!,Planning[[#This Row],[Proyectos]],#REF!,Planning[[#This Row],[Tipo de Tarea y especialidad]])</f>
        <v>#REF!</v>
      </c>
      <c r="O2943" s="28">
        <f t="shared" si="90"/>
        <v>10</v>
      </c>
      <c r="P2943" s="28">
        <f t="shared" si="91"/>
        <v>2024</v>
      </c>
      <c r="Q2943" s="28" t="e">
        <f>SUM(Q2944:Q2945)</f>
        <v>#REF!</v>
      </c>
      <c r="R2943" s="24" t="str">
        <f>TEXT(Planning[[#This Row],[Mes]]*29,"mmmm")</f>
        <v>October</v>
      </c>
      <c r="S2943"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43" s="229" t="s">
        <v>577</v>
      </c>
      <c r="U2943" s="43" t="e">
        <f>IF(Planning[[#This Row],[Horas Planificadas]]&lt;&gt;0,+K2943/Planning[[#This Row],[Horas Planificadas]],0)</f>
        <v>#REF!</v>
      </c>
      <c r="V2943" s="43" t="e">
        <f>IF(Planning[[#This Row],[Horas Planificadas]]&lt;&gt;0,Planning[[#This Row],[Horas utilizadas]]/Planning[[#This Row],[Horas Planificadas]],0)</f>
        <v>#REF!</v>
      </c>
      <c r="W2943" s="44">
        <f>Planning[[#This Row],[Horas Planificadas]]+Planning[[#This Row],[Horas ajustadas adicionales]]</f>
        <v>450</v>
      </c>
      <c r="X2943" s="142"/>
    </row>
    <row r="2944" spans="1:24" x14ac:dyDescent="0.2">
      <c r="A2944" s="7" t="s">
        <v>117</v>
      </c>
      <c r="B2944" s="7" t="s">
        <v>220</v>
      </c>
      <c r="C2944" s="3"/>
      <c r="D2944" s="3" t="s">
        <v>576</v>
      </c>
      <c r="E2944" s="4"/>
      <c r="F2944" s="3" t="s">
        <v>120</v>
      </c>
      <c r="G2944" s="20"/>
      <c r="H2944" s="20">
        <v>300</v>
      </c>
      <c r="I2944" s="12"/>
      <c r="J2944" s="5" t="e">
        <f>SUM(SUMIFS(#REF!,#REF!,Planning[[#This Row],[Tipo de Tarea y especialidad]],#REF!,Planning[[#This Row],[Proyectos Reiwa]]),SUMIFS(#REF!,#REF!,Planning[[#This Row],[Tipo de Tarea y especialidad]],#REF!,Planning[[#This Row],[Proyectos]]))</f>
        <v>#REF!</v>
      </c>
      <c r="K2944" s="5" t="e">
        <f>Planning[[#This Row],[Horas Planificadas]]+Planning[[#This Row],[Horas ajustadas adicionales]]-Planning[[#This Row],[Horas utilizadas]]</f>
        <v>#REF!</v>
      </c>
      <c r="L2944" s="7">
        <v>0</v>
      </c>
      <c r="M2944" s="19" t="e">
        <f>Planning[[#This Row],[Saldo]]-Planning[[#This Row],[Saldo estimado]]</f>
        <v>#REF!</v>
      </c>
      <c r="N2944" s="60" t="e">
        <f>+SUMIFS(#REF!,#REF!,Planning[[#This Row],[Proyectos]],#REF!,Planning[[#This Row],[Tipo de Tarea y especialidad]])</f>
        <v>#REF!</v>
      </c>
      <c r="O2944" s="19">
        <f t="shared" si="90"/>
        <v>10</v>
      </c>
      <c r="P2944" s="19">
        <f t="shared" si="91"/>
        <v>2024</v>
      </c>
      <c r="Q29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44" s="49" t="str">
        <f>TEXT(Planning[[#This Row],[Mes]]*29,"mmmm")</f>
        <v>October</v>
      </c>
      <c r="S294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44" s="230"/>
      <c r="U2944" s="43" t="e">
        <f>IF(Planning[[#This Row],[Horas Planificadas]]&lt;&gt;0,+K2944/Planning[[#This Row],[Horas Planificadas]],0)</f>
        <v>#REF!</v>
      </c>
      <c r="V2944" s="43" t="e">
        <f>IF(Planning[[#This Row],[Horas Planificadas]]&lt;&gt;0,Planning[[#This Row],[Horas utilizadas]]/Planning[[#This Row],[Horas Planificadas]],0)</f>
        <v>#REF!</v>
      </c>
      <c r="W2944" s="44">
        <f>Planning[[#This Row],[Horas Planificadas]]+Planning[[#This Row],[Horas ajustadas adicionales]]</f>
        <v>300</v>
      </c>
      <c r="X2944" s="142"/>
    </row>
    <row r="2945" spans="1:24" x14ac:dyDescent="0.2">
      <c r="A2945" s="7" t="s">
        <v>117</v>
      </c>
      <c r="B2945" s="7" t="s">
        <v>220</v>
      </c>
      <c r="C2945" s="3"/>
      <c r="D2945" s="3" t="s">
        <v>576</v>
      </c>
      <c r="E2945" s="4"/>
      <c r="F2945" s="3" t="s">
        <v>121</v>
      </c>
      <c r="G2945" s="20"/>
      <c r="H2945" s="20">
        <v>150</v>
      </c>
      <c r="I2945" s="12"/>
      <c r="J2945" s="5" t="e">
        <f>SUM(SUMIFS(#REF!,#REF!,Planning[[#This Row],[Tipo de Tarea y especialidad]],#REF!,Planning[[#This Row],[Proyectos Reiwa]]),SUMIFS(#REF!,#REF!,Planning[[#This Row],[Tipo de Tarea y especialidad]],#REF!,Planning[[#This Row],[Proyectos]]))</f>
        <v>#REF!</v>
      </c>
      <c r="K2945" s="5" t="e">
        <f>Planning[[#This Row],[Horas Planificadas]]+Planning[[#This Row],[Horas ajustadas adicionales]]-Planning[[#This Row],[Horas utilizadas]]</f>
        <v>#REF!</v>
      </c>
      <c r="L2945" s="7">
        <v>0</v>
      </c>
      <c r="M2945" s="19" t="e">
        <f>Planning[[#This Row],[Saldo]]-Planning[[#This Row],[Saldo estimado]]</f>
        <v>#REF!</v>
      </c>
      <c r="N2945" s="60" t="e">
        <f>+SUMIFS(#REF!,#REF!,Planning[[#This Row],[Proyectos]],#REF!,Planning[[#This Row],[Tipo de Tarea y especialidad]])</f>
        <v>#REF!</v>
      </c>
      <c r="O2945" s="19">
        <f t="shared" si="90"/>
        <v>10</v>
      </c>
      <c r="P2945" s="19">
        <f t="shared" si="91"/>
        <v>2024</v>
      </c>
      <c r="Q29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45" s="49" t="str">
        <f>TEXT(Planning[[#This Row],[Mes]]*29,"mmmm")</f>
        <v>October</v>
      </c>
      <c r="S294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45" s="230"/>
      <c r="U2945" s="43" t="e">
        <f>IF(Planning[[#This Row],[Horas Planificadas]]&lt;&gt;0,+K2945/Planning[[#This Row],[Horas Planificadas]],0)</f>
        <v>#REF!</v>
      </c>
      <c r="V2945" s="43" t="e">
        <f>IF(Planning[[#This Row],[Horas Planificadas]]&lt;&gt;0,Planning[[#This Row],[Horas utilizadas]]/Planning[[#This Row],[Horas Planificadas]],0)</f>
        <v>#REF!</v>
      </c>
      <c r="W2945" s="44">
        <f>Planning[[#This Row],[Horas Planificadas]]+Planning[[#This Row],[Horas ajustadas adicionales]]</f>
        <v>150</v>
      </c>
      <c r="X2945" s="142"/>
    </row>
    <row r="2946" spans="1:24" x14ac:dyDescent="0.2">
      <c r="A2946" s="7" t="s">
        <v>117</v>
      </c>
      <c r="B2946" s="7" t="s">
        <v>220</v>
      </c>
      <c r="C2946" s="3"/>
      <c r="D2946" s="3" t="s">
        <v>576</v>
      </c>
      <c r="E2946" s="4" t="s">
        <v>30</v>
      </c>
      <c r="F2946" s="3"/>
      <c r="G2946" s="20">
        <v>306</v>
      </c>
      <c r="H2946" s="26">
        <f>SUM(H2947:H2953)</f>
        <v>306</v>
      </c>
      <c r="I2946" s="14"/>
      <c r="J2946" s="14" t="e">
        <f>SUM(J2947:J2953)</f>
        <v>#REF!</v>
      </c>
      <c r="K2946" s="18" t="e">
        <f>SUM(K2947:K2953)</f>
        <v>#REF!</v>
      </c>
      <c r="L2946" s="15">
        <f>SUM(L2947:L2953)</f>
        <v>0</v>
      </c>
      <c r="M2946" s="16" t="e">
        <f>SUM(M2947:M2953)</f>
        <v>#REF!</v>
      </c>
      <c r="N2946" s="60" t="e">
        <f>+SUMIFS(#REF!,#REF!,Planning[[#This Row],[Proyectos]],#REF!,Planning[[#This Row],[Tipo de Tarea y especialidad]])</f>
        <v>#REF!</v>
      </c>
      <c r="O2946" s="16">
        <f t="shared" si="90"/>
        <v>10</v>
      </c>
      <c r="P2946" s="16">
        <f t="shared" si="91"/>
        <v>2024</v>
      </c>
      <c r="Q2946" s="16" t="e">
        <f>SUM(Q2947:Q2953)</f>
        <v>#REF!</v>
      </c>
      <c r="R2946" s="50" t="str">
        <f>TEXT(Planning[[#This Row],[Mes]]*29,"mmmm")</f>
        <v>October</v>
      </c>
      <c r="S294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46" s="230"/>
      <c r="U2946" s="43" t="e">
        <f>IF(Planning[[#This Row],[Horas Planificadas]]&lt;&gt;0,+K2946/Planning[[#This Row],[Horas Planificadas]],0)</f>
        <v>#REF!</v>
      </c>
      <c r="V2946" s="43" t="e">
        <f>IF(Planning[[#This Row],[Horas Planificadas]]&lt;&gt;0,Planning[[#This Row],[Horas utilizadas]]/Planning[[#This Row],[Horas Planificadas]],0)</f>
        <v>#REF!</v>
      </c>
      <c r="W2946" s="44">
        <f>Planning[[#This Row],[Horas Planificadas]]+Planning[[#This Row],[Horas ajustadas adicionales]]</f>
        <v>306</v>
      </c>
      <c r="X2946" s="142"/>
    </row>
    <row r="2947" spans="1:24" x14ac:dyDescent="0.2">
      <c r="A2947" s="7" t="s">
        <v>117</v>
      </c>
      <c r="B2947" s="7" t="s">
        <v>220</v>
      </c>
      <c r="C2947" s="3"/>
      <c r="D2947" s="3" t="s">
        <v>576</v>
      </c>
      <c r="E2947" s="4"/>
      <c r="F2947" s="3" t="s">
        <v>122</v>
      </c>
      <c r="G2947" s="9"/>
      <c r="H2947" s="12">
        <v>45</v>
      </c>
      <c r="I2947" s="12"/>
      <c r="J2947" s="5" t="e">
        <f>SUM(SUMIFS(#REF!,#REF!,Planning[[#This Row],[Tipo de Tarea y especialidad]],#REF!,Planning[[#This Row],[Proyectos Reiwa]]),SUMIFS(#REF!,#REF!,Planning[[#This Row],[Tipo de Tarea y especialidad]],#REF!,Planning[[#This Row],[Proyectos]]))</f>
        <v>#REF!</v>
      </c>
      <c r="K2947" s="27" t="e">
        <f>Planning[[#This Row],[Horas Planificadas]]+Planning[[#This Row],[Horas ajustadas adicionales]]-Planning[[#This Row],[Horas utilizadas]]</f>
        <v>#REF!</v>
      </c>
      <c r="L2947" s="7">
        <v>0</v>
      </c>
      <c r="M2947" s="34" t="e">
        <f>Planning[[#This Row],[Saldo]]-Planning[[#This Row],[Saldo estimado]]</f>
        <v>#REF!</v>
      </c>
      <c r="N2947" s="62" t="e">
        <f>+SUMIFS(#REF!,#REF!,Planning[[#This Row],[Proyectos]],#REF!,Planning[[#This Row],[Tipo de Tarea y especialidad]])</f>
        <v>#REF!</v>
      </c>
      <c r="O2947" s="34">
        <f t="shared" si="90"/>
        <v>10</v>
      </c>
      <c r="P2947" s="34">
        <f t="shared" si="91"/>
        <v>2024</v>
      </c>
      <c r="Q29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47" s="49" t="str">
        <f>TEXT(Planning[[#This Row],[Mes]]*29,"mmmm")</f>
        <v>October</v>
      </c>
      <c r="S294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47" s="230"/>
      <c r="U2947" s="43" t="e">
        <f>IF(Planning[[#This Row],[Horas Planificadas]]&lt;&gt;0,+K2947/Planning[[#This Row],[Horas Planificadas]],0)</f>
        <v>#REF!</v>
      </c>
      <c r="V2947" s="43" t="e">
        <f>IF(Planning[[#This Row],[Horas Planificadas]]&lt;&gt;0,Planning[[#This Row],[Horas utilizadas]]/Planning[[#This Row],[Horas Planificadas]],0)</f>
        <v>#REF!</v>
      </c>
      <c r="W2947" s="44">
        <f>Planning[[#This Row],[Horas Planificadas]]+Planning[[#This Row],[Horas ajustadas adicionales]]</f>
        <v>45</v>
      </c>
      <c r="X2947" s="142"/>
    </row>
    <row r="2948" spans="1:24" x14ac:dyDescent="0.2">
      <c r="A2948" s="7" t="s">
        <v>117</v>
      </c>
      <c r="B2948" s="7" t="s">
        <v>220</v>
      </c>
      <c r="C2948" s="3"/>
      <c r="D2948" s="3" t="s">
        <v>576</v>
      </c>
      <c r="E2948" s="4"/>
      <c r="F2948" s="3" t="s">
        <v>123</v>
      </c>
      <c r="G2948" s="9"/>
      <c r="H2948" s="9">
        <v>0</v>
      </c>
      <c r="I2948" s="12"/>
      <c r="J2948" s="5" t="e">
        <f>SUM(SUMIFS(#REF!,#REF!,Planning[[#This Row],[Tipo de Tarea y especialidad]],#REF!,Planning[[#This Row],[Proyectos Reiwa]]),SUMIFS(#REF!,#REF!,Planning[[#This Row],[Tipo de Tarea y especialidad]],#REF!,Planning[[#This Row],[Proyectos]]))</f>
        <v>#REF!</v>
      </c>
      <c r="K2948" s="5" t="e">
        <f>Planning[[#This Row],[Horas Planificadas]]+Planning[[#This Row],[Horas ajustadas adicionales]]-Planning[[#This Row],[Horas utilizadas]]</f>
        <v>#REF!</v>
      </c>
      <c r="L2948" s="7">
        <v>0</v>
      </c>
      <c r="M2948" s="19" t="e">
        <f>Planning[[#This Row],[Saldo]]-Planning[[#This Row],[Saldo estimado]]</f>
        <v>#REF!</v>
      </c>
      <c r="N2948" s="60" t="e">
        <f>+SUMIFS(#REF!,#REF!,Planning[[#This Row],[Proyectos]],#REF!,Planning[[#This Row],[Tipo de Tarea y especialidad]])</f>
        <v>#REF!</v>
      </c>
      <c r="O2948" s="19">
        <f t="shared" si="90"/>
        <v>10</v>
      </c>
      <c r="P2948" s="19">
        <f t="shared" si="91"/>
        <v>2024</v>
      </c>
      <c r="Q29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48" s="49" t="str">
        <f>TEXT(Planning[[#This Row],[Mes]]*29,"mmmm")</f>
        <v>October</v>
      </c>
      <c r="S294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48" s="230"/>
      <c r="U2948" s="43">
        <f>IF(Planning[[#This Row],[Horas Planificadas]]&lt;&gt;0,+K2948/Planning[[#This Row],[Horas Planificadas]],0)</f>
        <v>0</v>
      </c>
      <c r="V2948" s="43">
        <f>IF(Planning[[#This Row],[Horas Planificadas]]&lt;&gt;0,Planning[[#This Row],[Horas utilizadas]]/Planning[[#This Row],[Horas Planificadas]],0)</f>
        <v>0</v>
      </c>
      <c r="W2948" s="44">
        <f>Planning[[#This Row],[Horas Planificadas]]+Planning[[#This Row],[Horas ajustadas adicionales]]</f>
        <v>0</v>
      </c>
      <c r="X2948" s="142"/>
    </row>
    <row r="2949" spans="1:24" x14ac:dyDescent="0.2">
      <c r="A2949" s="7" t="s">
        <v>117</v>
      </c>
      <c r="B2949" s="7" t="s">
        <v>220</v>
      </c>
      <c r="C2949" s="3"/>
      <c r="D2949" s="3" t="s">
        <v>576</v>
      </c>
      <c r="E2949" s="4"/>
      <c r="F2949" s="3" t="s">
        <v>124</v>
      </c>
      <c r="G2949" s="9"/>
      <c r="H2949" s="9">
        <v>0</v>
      </c>
      <c r="I2949" s="12"/>
      <c r="J2949" s="5" t="e">
        <f>SUM(SUMIFS(#REF!,#REF!,Planning[[#This Row],[Tipo de Tarea y especialidad]],#REF!,Planning[[#This Row],[Proyectos Reiwa]]),SUMIFS(#REF!,#REF!,Planning[[#This Row],[Tipo de Tarea y especialidad]],#REF!,Planning[[#This Row],[Proyectos]]))</f>
        <v>#REF!</v>
      </c>
      <c r="K2949" s="5" t="e">
        <f>Planning[[#This Row],[Horas Planificadas]]+Planning[[#This Row],[Horas ajustadas adicionales]]-Planning[[#This Row],[Horas utilizadas]]</f>
        <v>#REF!</v>
      </c>
      <c r="L2949" s="7">
        <v>0</v>
      </c>
      <c r="M2949" s="19" t="e">
        <f>Planning[[#This Row],[Saldo]]-Planning[[#This Row],[Saldo estimado]]</f>
        <v>#REF!</v>
      </c>
      <c r="N2949" s="60" t="e">
        <f>+SUMIFS(#REF!,#REF!,Planning[[#This Row],[Proyectos]],#REF!,Planning[[#This Row],[Tipo de Tarea y especialidad]])</f>
        <v>#REF!</v>
      </c>
      <c r="O2949" s="19">
        <f t="shared" si="90"/>
        <v>10</v>
      </c>
      <c r="P2949" s="19">
        <f t="shared" si="91"/>
        <v>2024</v>
      </c>
      <c r="Q29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49" s="49" t="str">
        <f>TEXT(Planning[[#This Row],[Mes]]*29,"mmmm")</f>
        <v>October</v>
      </c>
      <c r="S294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49" s="230"/>
      <c r="U2949" s="43">
        <f>IF(Planning[[#This Row],[Horas Planificadas]]&lt;&gt;0,+K2949/Planning[[#This Row],[Horas Planificadas]],0)</f>
        <v>0</v>
      </c>
      <c r="V2949" s="43">
        <f>IF(Planning[[#This Row],[Horas Planificadas]]&lt;&gt;0,Planning[[#This Row],[Horas utilizadas]]/Planning[[#This Row],[Horas Planificadas]],0)</f>
        <v>0</v>
      </c>
      <c r="W2949" s="44">
        <f>Planning[[#This Row],[Horas Planificadas]]+Planning[[#This Row],[Horas ajustadas adicionales]]</f>
        <v>0</v>
      </c>
      <c r="X2949" s="142"/>
    </row>
    <row r="2950" spans="1:24" x14ac:dyDescent="0.2">
      <c r="A2950" s="7" t="s">
        <v>117</v>
      </c>
      <c r="B2950" s="7" t="s">
        <v>220</v>
      </c>
      <c r="C2950" s="3"/>
      <c r="D2950" s="3" t="s">
        <v>576</v>
      </c>
      <c r="E2950" s="4"/>
      <c r="F2950" s="3" t="s">
        <v>125</v>
      </c>
      <c r="G2950" s="9"/>
      <c r="H2950" s="12">
        <f>306-171</f>
        <v>135</v>
      </c>
      <c r="I2950" s="12"/>
      <c r="J2950" s="5" t="e">
        <f>SUM(SUMIFS(#REF!,#REF!,Planning[[#This Row],[Tipo de Tarea y especialidad]],#REF!,Planning[[#This Row],[Proyectos Reiwa]]),SUMIFS(#REF!,#REF!,Planning[[#This Row],[Tipo de Tarea y especialidad]],#REF!,Planning[[#This Row],[Proyectos]]))</f>
        <v>#REF!</v>
      </c>
      <c r="K2950" s="27" t="e">
        <f>Planning[[#This Row],[Horas Planificadas]]+Planning[[#This Row],[Horas ajustadas adicionales]]-Planning[[#This Row],[Horas utilizadas]]</f>
        <v>#REF!</v>
      </c>
      <c r="L2950" s="7">
        <v>0</v>
      </c>
      <c r="M2950" s="19" t="e">
        <f>Planning[[#This Row],[Saldo]]-Planning[[#This Row],[Saldo estimado]]</f>
        <v>#REF!</v>
      </c>
      <c r="N2950" s="60" t="e">
        <f>+SUMIFS(#REF!,#REF!,Planning[[#This Row],[Proyectos]],#REF!,Planning[[#This Row],[Tipo de Tarea y especialidad]])</f>
        <v>#REF!</v>
      </c>
      <c r="O2950" s="19">
        <f t="shared" si="90"/>
        <v>10</v>
      </c>
      <c r="P2950" s="19">
        <f t="shared" si="91"/>
        <v>2024</v>
      </c>
      <c r="Q29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50" s="49" t="str">
        <f>TEXT(Planning[[#This Row],[Mes]]*29,"mmmm")</f>
        <v>October</v>
      </c>
      <c r="S295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50" s="230"/>
      <c r="U2950" s="43" t="e">
        <f>IF(Planning[[#This Row],[Horas Planificadas]]&lt;&gt;0,+K2950/Planning[[#This Row],[Horas Planificadas]],0)</f>
        <v>#REF!</v>
      </c>
      <c r="V2950" s="43" t="e">
        <f>IF(Planning[[#This Row],[Horas Planificadas]]&lt;&gt;0,Planning[[#This Row],[Horas utilizadas]]/Planning[[#This Row],[Horas Planificadas]],0)</f>
        <v>#REF!</v>
      </c>
      <c r="W2950" s="44">
        <f>Planning[[#This Row],[Horas Planificadas]]+Planning[[#This Row],[Horas ajustadas adicionales]]</f>
        <v>135</v>
      </c>
      <c r="X2950" s="142"/>
    </row>
    <row r="2951" spans="1:24" x14ac:dyDescent="0.2">
      <c r="A2951" s="7" t="s">
        <v>117</v>
      </c>
      <c r="B2951" s="7" t="s">
        <v>220</v>
      </c>
      <c r="C2951" s="3"/>
      <c r="D2951" s="3" t="s">
        <v>576</v>
      </c>
      <c r="E2951" s="4"/>
      <c r="F2951" s="3" t="s">
        <v>126</v>
      </c>
      <c r="G2951" s="20"/>
      <c r="H2951" s="9">
        <v>126</v>
      </c>
      <c r="I2951" s="12"/>
      <c r="J2951" s="5" t="e">
        <f>SUM(SUMIFS(#REF!,#REF!,Planning[[#This Row],[Tipo de Tarea y especialidad]],#REF!,Planning[[#This Row],[Proyectos Reiwa]]),SUMIFS(#REF!,#REF!,Planning[[#This Row],[Tipo de Tarea y especialidad]],#REF!,Planning[[#This Row],[Proyectos]]))</f>
        <v>#REF!</v>
      </c>
      <c r="K2951" s="5" t="e">
        <f>Planning[[#This Row],[Horas Planificadas]]+Planning[[#This Row],[Horas ajustadas adicionales]]-Planning[[#This Row],[Horas utilizadas]]</f>
        <v>#REF!</v>
      </c>
      <c r="L2951" s="7">
        <v>0</v>
      </c>
      <c r="M2951" s="19" t="e">
        <f>Planning[[#This Row],[Saldo]]-Planning[[#This Row],[Saldo estimado]]</f>
        <v>#REF!</v>
      </c>
      <c r="N2951" s="60" t="e">
        <f>+SUMIFS(#REF!,#REF!,Planning[[#This Row],[Proyectos]],#REF!,Planning[[#This Row],[Tipo de Tarea y especialidad]])</f>
        <v>#REF!</v>
      </c>
      <c r="O2951" s="19">
        <f t="shared" ref="O2951:O3014" si="92">$L$4</f>
        <v>10</v>
      </c>
      <c r="P2951" s="19">
        <f t="shared" ref="P2951:P3014" si="93">$M$4</f>
        <v>2024</v>
      </c>
      <c r="Q29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51" s="49" t="str">
        <f>TEXT(Planning[[#This Row],[Mes]]*29,"mmmm")</f>
        <v>October</v>
      </c>
      <c r="S295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51" s="230"/>
      <c r="U2951" s="43" t="e">
        <f>IF(Planning[[#This Row],[Horas Planificadas]]&lt;&gt;0,+K2951/Planning[[#This Row],[Horas Planificadas]],0)</f>
        <v>#REF!</v>
      </c>
      <c r="V2951" s="43" t="e">
        <f>IF(Planning[[#This Row],[Horas Planificadas]]&lt;&gt;0,Planning[[#This Row],[Horas utilizadas]]/Planning[[#This Row],[Horas Planificadas]],0)</f>
        <v>#REF!</v>
      </c>
      <c r="W2951" s="44">
        <f>Planning[[#This Row],[Horas Planificadas]]+Planning[[#This Row],[Horas ajustadas adicionales]]</f>
        <v>126</v>
      </c>
      <c r="X2951" s="142"/>
    </row>
    <row r="2952" spans="1:24" x14ac:dyDescent="0.2">
      <c r="A2952" s="7" t="s">
        <v>117</v>
      </c>
      <c r="B2952" s="7" t="s">
        <v>220</v>
      </c>
      <c r="C2952" s="3"/>
      <c r="D2952" s="3" t="s">
        <v>576</v>
      </c>
      <c r="E2952" s="4"/>
      <c r="F2952" s="3" t="s">
        <v>127</v>
      </c>
      <c r="G2952" s="20"/>
      <c r="H2952" s="9">
        <v>0</v>
      </c>
      <c r="I2952" s="12"/>
      <c r="J2952" s="5" t="e">
        <f>SUM(SUMIFS(#REF!,#REF!,Planning[[#This Row],[Tipo de Tarea y especialidad]],#REF!,Planning[[#This Row],[Proyectos Reiwa]]),SUMIFS(#REF!,#REF!,Planning[[#This Row],[Tipo de Tarea y especialidad]],#REF!,Planning[[#This Row],[Proyectos]]))</f>
        <v>#REF!</v>
      </c>
      <c r="K2952" s="5" t="e">
        <f>Planning[[#This Row],[Horas Planificadas]]+Planning[[#This Row],[Horas ajustadas adicionales]]-Planning[[#This Row],[Horas utilizadas]]</f>
        <v>#REF!</v>
      </c>
      <c r="L2952" s="7">
        <v>0</v>
      </c>
      <c r="M2952" s="19" t="e">
        <f>Planning[[#This Row],[Saldo]]-Planning[[#This Row],[Saldo estimado]]</f>
        <v>#REF!</v>
      </c>
      <c r="N2952" s="60" t="e">
        <f>+SUMIFS(#REF!,#REF!,Planning[[#This Row],[Proyectos]],#REF!,Planning[[#This Row],[Tipo de Tarea y especialidad]])</f>
        <v>#REF!</v>
      </c>
      <c r="O2952" s="19">
        <f t="shared" si="92"/>
        <v>10</v>
      </c>
      <c r="P2952" s="19">
        <f t="shared" si="93"/>
        <v>2024</v>
      </c>
      <c r="Q29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52" s="49" t="str">
        <f>TEXT(Planning[[#This Row],[Mes]]*29,"mmmm")</f>
        <v>October</v>
      </c>
      <c r="S295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52" s="230"/>
      <c r="U2952" s="43">
        <f>IF(Planning[[#This Row],[Horas Planificadas]]&lt;&gt;0,+K2952/Planning[[#This Row],[Horas Planificadas]],0)</f>
        <v>0</v>
      </c>
      <c r="V2952" s="43">
        <f>IF(Planning[[#This Row],[Horas Planificadas]]&lt;&gt;0,Planning[[#This Row],[Horas utilizadas]]/Planning[[#This Row],[Horas Planificadas]],0)</f>
        <v>0</v>
      </c>
      <c r="W2952" s="44">
        <f>Planning[[#This Row],[Horas Planificadas]]+Planning[[#This Row],[Horas ajustadas adicionales]]</f>
        <v>0</v>
      </c>
      <c r="X2952" s="142"/>
    </row>
    <row r="2953" spans="1:24" x14ac:dyDescent="0.2">
      <c r="A2953" s="7" t="s">
        <v>117</v>
      </c>
      <c r="B2953" s="7" t="s">
        <v>220</v>
      </c>
      <c r="C2953" s="3"/>
      <c r="D2953" s="3" t="s">
        <v>576</v>
      </c>
      <c r="E2953" s="4"/>
      <c r="F2953" s="3" t="s">
        <v>128</v>
      </c>
      <c r="G2953" s="20"/>
      <c r="H2953" s="9">
        <v>0</v>
      </c>
      <c r="I2953" s="12"/>
      <c r="J2953" s="5" t="e">
        <f>SUM(SUMIFS(#REF!,#REF!,Planning[[#This Row],[Tipo de Tarea y especialidad]],#REF!,Planning[[#This Row],[Proyectos Reiwa]]),SUMIFS(#REF!,#REF!,Planning[[#This Row],[Tipo de Tarea y especialidad]],#REF!,Planning[[#This Row],[Proyectos]]))</f>
        <v>#REF!</v>
      </c>
      <c r="K2953" s="5" t="e">
        <f>Planning[[#This Row],[Horas Planificadas]]+Planning[[#This Row],[Horas ajustadas adicionales]]-Planning[[#This Row],[Horas utilizadas]]</f>
        <v>#REF!</v>
      </c>
      <c r="L2953" s="7">
        <v>0</v>
      </c>
      <c r="M2953" s="19" t="e">
        <f>Planning[[#This Row],[Saldo]]-Planning[[#This Row],[Saldo estimado]]</f>
        <v>#REF!</v>
      </c>
      <c r="N2953" s="60" t="e">
        <f>+SUMIFS(#REF!,#REF!,Planning[[#This Row],[Proyectos]],#REF!,Planning[[#This Row],[Tipo de Tarea y especialidad]])</f>
        <v>#REF!</v>
      </c>
      <c r="O2953" s="19">
        <f t="shared" si="92"/>
        <v>10</v>
      </c>
      <c r="P2953" s="19">
        <f t="shared" si="93"/>
        <v>2024</v>
      </c>
      <c r="Q29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53" s="49" t="str">
        <f>TEXT(Planning[[#This Row],[Mes]]*29,"mmmm")</f>
        <v>October</v>
      </c>
      <c r="S295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53" s="230"/>
      <c r="U2953" s="43">
        <f>IF(Planning[[#This Row],[Horas Planificadas]]&lt;&gt;0,+K2953/Planning[[#This Row],[Horas Planificadas]],0)</f>
        <v>0</v>
      </c>
      <c r="V2953" s="43">
        <f>IF(Planning[[#This Row],[Horas Planificadas]]&lt;&gt;0,Planning[[#This Row],[Horas utilizadas]]/Planning[[#This Row],[Horas Planificadas]],0)</f>
        <v>0</v>
      </c>
      <c r="W2953" s="44">
        <f>Planning[[#This Row],[Horas Planificadas]]+Planning[[#This Row],[Horas ajustadas adicionales]]</f>
        <v>0</v>
      </c>
      <c r="X2953" s="142"/>
    </row>
    <row r="2954" spans="1:24" x14ac:dyDescent="0.2">
      <c r="A2954" s="7" t="s">
        <v>117</v>
      </c>
      <c r="B2954" s="7" t="s">
        <v>220</v>
      </c>
      <c r="C2954" s="3"/>
      <c r="D2954" s="3" t="s">
        <v>576</v>
      </c>
      <c r="E2954" s="4" t="s">
        <v>31</v>
      </c>
      <c r="F2954" s="3" t="s">
        <v>31</v>
      </c>
      <c r="G2954" s="20">
        <v>117</v>
      </c>
      <c r="H2954" s="17">
        <f>Planning[[#This Row],[Horas Precálculo]]</f>
        <v>117</v>
      </c>
      <c r="I2954" s="18"/>
      <c r="J2954" s="14" t="e">
        <f>+SUMIFS(#REF!,#REF!,Planning[[#This Row],[Tarifa]],#REF!,Planning[[#This Row],[Proyectos]])</f>
        <v>#REF!</v>
      </c>
      <c r="K2954" s="14" t="e">
        <f>Planning[[#This Row],[Horas Planificadas]]+Planning[[#This Row],[Horas ajustadas adicionales]]-Planning[[#This Row],[Horas utilizadas]]</f>
        <v>#REF!</v>
      </c>
      <c r="L2954" s="15">
        <v>0</v>
      </c>
      <c r="M2954" s="16" t="e">
        <f>Planning[[#This Row],[Saldo]]-Planning[[#This Row],[Saldo estimado]]</f>
        <v>#REF!</v>
      </c>
      <c r="N2954" s="60" t="e">
        <f>+SUMIFS(#REF!,#REF!,Planning[[#This Row],[Proyectos]],#REF!,Planning[[#This Row],[Tipo de Tarea y especialidad]])</f>
        <v>#REF!</v>
      </c>
      <c r="O2954" s="16">
        <f t="shared" si="92"/>
        <v>10</v>
      </c>
      <c r="P2954" s="16">
        <f t="shared" si="93"/>
        <v>2024</v>
      </c>
      <c r="Q2954" s="16" t="e">
        <f>+SUMIFS(#REF!,#REF!,Planning[[#This Row],[Tarifa]],#REF!,Planning[[#This Row],[Proyectos]],#REF!,Planning[[#This Row],[Mes]],#REF!,Planning[[#This Row],[Año]])</f>
        <v>#REF!</v>
      </c>
      <c r="R2954" s="50" t="str">
        <f>TEXT(Planning[[#This Row],[Mes]]*29,"mmmm")</f>
        <v>October</v>
      </c>
      <c r="S295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54" s="230"/>
      <c r="U2954" s="43" t="e">
        <f>IF(Planning[[#This Row],[Horas Planificadas]]&lt;&gt;0,+K2954/Planning[[#This Row],[Horas Planificadas]],0)</f>
        <v>#REF!</v>
      </c>
      <c r="V2954" s="43" t="e">
        <f>IF(Planning[[#This Row],[Horas Planificadas]]&lt;&gt;0,Planning[[#This Row],[Horas utilizadas]]/Planning[[#This Row],[Horas Planificadas]],0)</f>
        <v>#REF!</v>
      </c>
      <c r="W2954" s="44">
        <f>Planning[[#This Row],[Horas Planificadas]]+Planning[[#This Row],[Horas ajustadas adicionales]]</f>
        <v>117</v>
      </c>
      <c r="X2954" s="142"/>
    </row>
    <row r="2955" spans="1:24" ht="22.5" x14ac:dyDescent="0.2">
      <c r="A2955" s="7" t="s">
        <v>117</v>
      </c>
      <c r="B2955" s="7" t="s">
        <v>220</v>
      </c>
      <c r="C2955" s="3"/>
      <c r="D2955" s="3" t="s">
        <v>576</v>
      </c>
      <c r="E2955" s="4" t="s">
        <v>32</v>
      </c>
      <c r="F2955" s="3"/>
      <c r="G2955" s="20">
        <v>50</v>
      </c>
      <c r="H2955" s="25">
        <f>SUM(H2956:H2958)</f>
        <v>50</v>
      </c>
      <c r="I2955" s="14"/>
      <c r="J2955" s="14" t="e">
        <f>SUM(J2956:J2958)</f>
        <v>#REF!</v>
      </c>
      <c r="K2955" s="18" t="e">
        <f>SUM(K2956:K2958)</f>
        <v>#REF!</v>
      </c>
      <c r="L2955" s="15">
        <f>SUM(L2956:L2958)</f>
        <v>0</v>
      </c>
      <c r="M2955" s="16" t="e">
        <f>SUM(M2956:M2958)</f>
        <v>#REF!</v>
      </c>
      <c r="N2955" s="60" t="e">
        <f>+SUMIFS(#REF!,#REF!,Planning[[#This Row],[Proyectos]],#REF!,Planning[[#This Row],[Tipo de Tarea y especialidad]])</f>
        <v>#REF!</v>
      </c>
      <c r="O2955" s="16">
        <f t="shared" si="92"/>
        <v>10</v>
      </c>
      <c r="P2955" s="16">
        <f t="shared" si="93"/>
        <v>2024</v>
      </c>
      <c r="Q2955" s="16" t="e">
        <f>SUM(Q2956:Q2958)</f>
        <v>#REF!</v>
      </c>
      <c r="R2955" s="50" t="str">
        <f>TEXT(Planning[[#This Row],[Mes]]*29,"mmmm")</f>
        <v>October</v>
      </c>
      <c r="S295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55" s="230"/>
      <c r="U2955" s="43" t="e">
        <f>IF(Planning[[#This Row],[Horas Planificadas]]&lt;&gt;0,+K2955/Planning[[#This Row],[Horas Planificadas]],0)</f>
        <v>#REF!</v>
      </c>
      <c r="V2955" s="43" t="e">
        <f>IF(Planning[[#This Row],[Horas Planificadas]]&lt;&gt;0,Planning[[#This Row],[Horas utilizadas]]/Planning[[#This Row],[Horas Planificadas]],0)</f>
        <v>#REF!</v>
      </c>
      <c r="W2955" s="44">
        <f>Planning[[#This Row],[Horas Planificadas]]+Planning[[#This Row],[Horas ajustadas adicionales]]</f>
        <v>50</v>
      </c>
      <c r="X2955" s="142"/>
    </row>
    <row r="2956" spans="1:24" x14ac:dyDescent="0.2">
      <c r="A2956" s="7" t="s">
        <v>117</v>
      </c>
      <c r="B2956" s="7" t="s">
        <v>220</v>
      </c>
      <c r="C2956" s="3"/>
      <c r="D2956" s="3" t="s">
        <v>576</v>
      </c>
      <c r="E2956" s="4"/>
      <c r="F2956" s="3" t="s">
        <v>129</v>
      </c>
      <c r="G2956" s="20"/>
      <c r="H2956" s="9">
        <v>50</v>
      </c>
      <c r="I2956" s="12"/>
      <c r="J2956" s="5" t="e">
        <f>SUM(SUMIFS(#REF!,#REF!,Planning[[#This Row],[Tipo de Tarea y especialidad]],#REF!,Planning[[#This Row],[Proyectos Reiwa]]),SUMIFS(#REF!,#REF!,Planning[[#This Row],[Tipo de Tarea y especialidad]],#REF!,Planning[[#This Row],[Proyectos]]))</f>
        <v>#REF!</v>
      </c>
      <c r="K2956" s="5" t="e">
        <f>Planning[[#This Row],[Horas Planificadas]]+Planning[[#This Row],[Horas ajustadas adicionales]]-Planning[[#This Row],[Horas utilizadas]]</f>
        <v>#REF!</v>
      </c>
      <c r="L2956" s="7">
        <v>0</v>
      </c>
      <c r="M2956" s="19" t="e">
        <f>Planning[[#This Row],[Saldo]]-Planning[[#This Row],[Saldo estimado]]</f>
        <v>#REF!</v>
      </c>
      <c r="N2956" s="60" t="e">
        <f>+SUMIFS(#REF!,#REF!,Planning[[#This Row],[Proyectos]],#REF!,Planning[[#This Row],[Tipo de Tarea y especialidad]])</f>
        <v>#REF!</v>
      </c>
      <c r="O2956" s="19">
        <f t="shared" si="92"/>
        <v>10</v>
      </c>
      <c r="P2956" s="19">
        <f t="shared" si="93"/>
        <v>2024</v>
      </c>
      <c r="Q29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56" s="49" t="str">
        <f>TEXT(Planning[[#This Row],[Mes]]*29,"mmmm")</f>
        <v>October</v>
      </c>
      <c r="S295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56" s="230"/>
      <c r="U2956" s="43" t="e">
        <f>IF(Planning[[#This Row],[Horas Planificadas]]&lt;&gt;0,+K2956/Planning[[#This Row],[Horas Planificadas]],0)</f>
        <v>#REF!</v>
      </c>
      <c r="V2956" s="43" t="e">
        <f>IF(Planning[[#This Row],[Horas Planificadas]]&lt;&gt;0,Planning[[#This Row],[Horas utilizadas]]/Planning[[#This Row],[Horas Planificadas]],0)</f>
        <v>#REF!</v>
      </c>
      <c r="W2956" s="44">
        <f>Planning[[#This Row],[Horas Planificadas]]+Planning[[#This Row],[Horas ajustadas adicionales]]</f>
        <v>50</v>
      </c>
      <c r="X2956" s="142"/>
    </row>
    <row r="2957" spans="1:24" x14ac:dyDescent="0.2">
      <c r="A2957" s="7" t="s">
        <v>117</v>
      </c>
      <c r="B2957" s="7" t="s">
        <v>220</v>
      </c>
      <c r="C2957" s="3"/>
      <c r="D2957" s="3" t="s">
        <v>576</v>
      </c>
      <c r="E2957" s="4"/>
      <c r="F2957" s="3" t="s">
        <v>130</v>
      </c>
      <c r="G2957" s="20"/>
      <c r="H2957" s="9">
        <v>0</v>
      </c>
      <c r="I2957" s="12"/>
      <c r="J2957" s="5" t="e">
        <f>SUM(SUMIFS(#REF!,#REF!,Planning[[#This Row],[Tipo de Tarea y especialidad]],#REF!,Planning[[#This Row],[Proyectos Reiwa]]),SUMIFS(#REF!,#REF!,Planning[[#This Row],[Tipo de Tarea y especialidad]],#REF!,Planning[[#This Row],[Proyectos]]))</f>
        <v>#REF!</v>
      </c>
      <c r="K2957" s="5" t="e">
        <f>Planning[[#This Row],[Horas Planificadas]]+Planning[[#This Row],[Horas ajustadas adicionales]]-Planning[[#This Row],[Horas utilizadas]]</f>
        <v>#REF!</v>
      </c>
      <c r="L2957" s="7">
        <v>0</v>
      </c>
      <c r="M2957" s="19" t="e">
        <f>Planning[[#This Row],[Saldo]]-Planning[[#This Row],[Saldo estimado]]</f>
        <v>#REF!</v>
      </c>
      <c r="N2957" s="60" t="e">
        <f>+SUMIFS(#REF!,#REF!,Planning[[#This Row],[Proyectos]],#REF!,Planning[[#This Row],[Tipo de Tarea y especialidad]])</f>
        <v>#REF!</v>
      </c>
      <c r="O2957" s="19">
        <f t="shared" si="92"/>
        <v>10</v>
      </c>
      <c r="P2957" s="19">
        <f t="shared" si="93"/>
        <v>2024</v>
      </c>
      <c r="Q29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57" s="49" t="str">
        <f>TEXT(Planning[[#This Row],[Mes]]*29,"mmmm")</f>
        <v>October</v>
      </c>
      <c r="S295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57" s="230"/>
      <c r="U2957" s="43">
        <f>IF(Planning[[#This Row],[Horas Planificadas]]&lt;&gt;0,+K2957/Planning[[#This Row],[Horas Planificadas]],0)</f>
        <v>0</v>
      </c>
      <c r="V2957" s="43">
        <f>IF(Planning[[#This Row],[Horas Planificadas]]&lt;&gt;0,Planning[[#This Row],[Horas utilizadas]]/Planning[[#This Row],[Horas Planificadas]],0)</f>
        <v>0</v>
      </c>
      <c r="W2957" s="44">
        <f>Planning[[#This Row],[Horas Planificadas]]+Planning[[#This Row],[Horas ajustadas adicionales]]</f>
        <v>0</v>
      </c>
      <c r="X2957" s="142"/>
    </row>
    <row r="2958" spans="1:24" x14ac:dyDescent="0.2">
      <c r="A2958" s="7" t="s">
        <v>117</v>
      </c>
      <c r="B2958" s="7" t="s">
        <v>220</v>
      </c>
      <c r="C2958" s="3"/>
      <c r="D2958" s="3" t="s">
        <v>576</v>
      </c>
      <c r="E2958" s="4"/>
      <c r="F2958" s="3" t="s">
        <v>131</v>
      </c>
      <c r="G2958" s="9"/>
      <c r="H2958" s="9">
        <v>0</v>
      </c>
      <c r="I2958" s="12"/>
      <c r="J2958" s="5" t="e">
        <f>SUM(SUMIFS(#REF!,#REF!,Planning[[#This Row],[Tipo de Tarea y especialidad]],#REF!,Planning[[#This Row],[Proyectos Reiwa]]),SUMIFS(#REF!,#REF!,Planning[[#This Row],[Tipo de Tarea y especialidad]],#REF!,Planning[[#This Row],[Proyectos]]))</f>
        <v>#REF!</v>
      </c>
      <c r="K2958" s="5" t="e">
        <f>Planning[[#This Row],[Horas Planificadas]]+Planning[[#This Row],[Horas ajustadas adicionales]]-Planning[[#This Row],[Horas utilizadas]]</f>
        <v>#REF!</v>
      </c>
      <c r="L2958" s="7">
        <v>0</v>
      </c>
      <c r="M2958" s="19" t="e">
        <f>Planning[[#This Row],[Saldo]]-Planning[[#This Row],[Saldo estimado]]</f>
        <v>#REF!</v>
      </c>
      <c r="N2958" s="60" t="e">
        <f>+SUMIFS(#REF!,#REF!,Planning[[#This Row],[Proyectos]],#REF!,Planning[[#This Row],[Tipo de Tarea y especialidad]])</f>
        <v>#REF!</v>
      </c>
      <c r="O2958" s="19">
        <f t="shared" si="92"/>
        <v>10</v>
      </c>
      <c r="P2958" s="19">
        <f t="shared" si="93"/>
        <v>2024</v>
      </c>
      <c r="Q29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58" s="51" t="str">
        <f>TEXT(Planning[[#This Row],[Mes]]*29,"mmmm")</f>
        <v>October</v>
      </c>
      <c r="S2958"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58" s="231"/>
      <c r="U2958" s="43">
        <f>IF(Planning[[#This Row],[Horas Planificadas]]&lt;&gt;0,+K2958/Planning[[#This Row],[Horas Planificadas]],0)</f>
        <v>0</v>
      </c>
      <c r="V2958" s="43">
        <f>IF(Planning[[#This Row],[Horas Planificadas]]&lt;&gt;0,Planning[[#This Row],[Horas utilizadas]]/Planning[[#This Row],[Horas Planificadas]],0)</f>
        <v>0</v>
      </c>
      <c r="W2958" s="44">
        <f>Planning[[#This Row],[Horas Planificadas]]+Planning[[#This Row],[Horas ajustadas adicionales]]</f>
        <v>0</v>
      </c>
      <c r="X2958" s="142"/>
    </row>
    <row r="2959" spans="1:24" ht="22.5" x14ac:dyDescent="0.2">
      <c r="A2959" s="7"/>
      <c r="B2959" s="7" t="s">
        <v>205</v>
      </c>
      <c r="C2959" s="3"/>
      <c r="D2959" s="3" t="s">
        <v>578</v>
      </c>
      <c r="E2959" s="4" t="s">
        <v>28</v>
      </c>
      <c r="F2959" s="3"/>
      <c r="G2959" s="9"/>
      <c r="H2959" s="12">
        <v>3721</v>
      </c>
      <c r="I2959" s="12"/>
      <c r="J2959" s="5" t="e">
        <f>+SUMIFS(#REF!,#REF!,Planning[[#This Row],[Tarifa]],#REF!,Planning[[#This Row],[Proyectos]])</f>
        <v>#REF!</v>
      </c>
      <c r="K2959" s="27" t="e">
        <f>Planning[[#This Row],[Horas Planificadas]]+Planning[[#This Row],[Horas ajustadas adicionales]]-Planning[[#This Row],[Horas utilizadas]]</f>
        <v>#REF!</v>
      </c>
      <c r="L2959" s="7"/>
      <c r="M2959" s="19" t="e">
        <f>Planning[[#This Row],[Saldo]]-Planning[[#This Row],[Saldo estimado]]</f>
        <v>#REF!</v>
      </c>
      <c r="N2959" s="60" t="e">
        <f>+SUMIFS(#REF!,#REF!,Planning[[#This Row],[Proyectos]],#REF!,Planning[[#This Row],[Tipo de Tarea y especialidad]])</f>
        <v>#REF!</v>
      </c>
      <c r="O2959" s="19">
        <f t="shared" si="92"/>
        <v>10</v>
      </c>
      <c r="P2959" s="19">
        <f t="shared" si="93"/>
        <v>2024</v>
      </c>
      <c r="Q2959" s="19" t="e">
        <f>+SUMIFS(#REF!,#REF!,Planning[[#This Row],[Tarifa]],#REF!,Planning[[#This Row],[Proyectos]],#REF!,Planning[[#This Row],[Mes]],#REF!,Planning[[#This Row],[Año]])</f>
        <v>#REF!</v>
      </c>
      <c r="R2959" s="19" t="str">
        <f>TEXT(Planning[[#This Row],[Mes]]*29,"mmmm")</f>
        <v>October</v>
      </c>
      <c r="S29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59" s="228"/>
      <c r="U2959" s="43" t="e">
        <f>IF(Planning[[#This Row],[Horas Planificadas]]&lt;&gt;0,+K2959/Planning[[#This Row],[Horas Planificadas]],0)</f>
        <v>#REF!</v>
      </c>
      <c r="V2959" s="43" t="e">
        <f>IF(Planning[[#This Row],[Horas Planificadas]]&lt;&gt;0,Planning[[#This Row],[Horas utilizadas]]/Planning[[#This Row],[Horas Planificadas]],0)</f>
        <v>#REF!</v>
      </c>
      <c r="W2959" s="44">
        <f>Planning[[#This Row],[Horas Planificadas]]+Planning[[#This Row],[Horas ajustadas adicionales]]</f>
        <v>3721</v>
      </c>
      <c r="X2959" s="142"/>
    </row>
    <row r="2960" spans="1:24" x14ac:dyDescent="0.2">
      <c r="A2960" s="7"/>
      <c r="B2960" s="7" t="s">
        <v>205</v>
      </c>
      <c r="C2960" s="3"/>
      <c r="D2960" s="3" t="s">
        <v>578</v>
      </c>
      <c r="E2960" s="4" t="s">
        <v>30</v>
      </c>
      <c r="F2960" s="3"/>
      <c r="G2960" s="9"/>
      <c r="H2960" s="20">
        <v>126</v>
      </c>
      <c r="I2960" s="12"/>
      <c r="J2960" s="5" t="e">
        <f>+SUMIFS(#REF!,#REF!,Planning[[#This Row],[Tarifa]],#REF!,Planning[[#This Row],[Proyectos]])</f>
        <v>#REF!</v>
      </c>
      <c r="K2960" s="5" t="e">
        <f>Planning[[#This Row],[Horas Planificadas]]+Planning[[#This Row],[Horas ajustadas adicionales]]-Planning[[#This Row],[Horas utilizadas]]</f>
        <v>#REF!</v>
      </c>
      <c r="L2960" s="7"/>
      <c r="M2960" s="19" t="e">
        <f>Planning[[#This Row],[Saldo]]-Planning[[#This Row],[Saldo estimado]]</f>
        <v>#REF!</v>
      </c>
      <c r="N2960" s="60" t="e">
        <f>+SUMIFS(#REF!,#REF!,Planning[[#This Row],[Proyectos]],#REF!,Planning[[#This Row],[Tipo de Tarea y especialidad]])</f>
        <v>#REF!</v>
      </c>
      <c r="O2960" s="19">
        <f t="shared" si="92"/>
        <v>10</v>
      </c>
      <c r="P2960" s="19">
        <f t="shared" si="93"/>
        <v>2024</v>
      </c>
      <c r="Q2960" s="19" t="e">
        <f>+SUMIFS(#REF!,#REF!,Planning[[#This Row],[Tarifa]],#REF!,Planning[[#This Row],[Proyectos]],#REF!,Planning[[#This Row],[Mes]],#REF!,Planning[[#This Row],[Año]])</f>
        <v>#REF!</v>
      </c>
      <c r="R2960" s="19" t="str">
        <f>TEXT(Planning[[#This Row],[Mes]]*29,"mmmm")</f>
        <v>October</v>
      </c>
      <c r="S29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60" s="228"/>
      <c r="U2960" s="43" t="e">
        <f>IF(Planning[[#This Row],[Horas Planificadas]]&lt;&gt;0,+K2960/Planning[[#This Row],[Horas Planificadas]],0)</f>
        <v>#REF!</v>
      </c>
      <c r="V2960" s="43" t="e">
        <f>IF(Planning[[#This Row],[Horas Planificadas]]&lt;&gt;0,Planning[[#This Row],[Horas utilizadas]]/Planning[[#This Row],[Horas Planificadas]],0)</f>
        <v>#REF!</v>
      </c>
      <c r="W2960" s="44">
        <f>Planning[[#This Row],[Horas Planificadas]]+Planning[[#This Row],[Horas ajustadas adicionales]]</f>
        <v>126</v>
      </c>
      <c r="X2960" s="142"/>
    </row>
    <row r="2961" spans="1:24" x14ac:dyDescent="0.2">
      <c r="A2961" s="7"/>
      <c r="B2961" s="7" t="s">
        <v>205</v>
      </c>
      <c r="C2961" s="3"/>
      <c r="D2961" s="3" t="s">
        <v>578</v>
      </c>
      <c r="E2961" s="4" t="s">
        <v>31</v>
      </c>
      <c r="F2961" s="3"/>
      <c r="G2961" s="9"/>
      <c r="H2961" s="20">
        <v>0</v>
      </c>
      <c r="I2961" s="12"/>
      <c r="J2961" s="5" t="e">
        <f>+SUMIFS(#REF!,#REF!,Planning[[#This Row],[Tarifa]],#REF!,Planning[[#This Row],[Proyectos]])</f>
        <v>#REF!</v>
      </c>
      <c r="K2961" s="5" t="e">
        <f>Planning[[#This Row],[Horas Planificadas]]+Planning[[#This Row],[Horas ajustadas adicionales]]-Planning[[#This Row],[Horas utilizadas]]</f>
        <v>#REF!</v>
      </c>
      <c r="L2961" s="7"/>
      <c r="M2961" s="19" t="e">
        <f>Planning[[#This Row],[Saldo]]-Planning[[#This Row],[Saldo estimado]]</f>
        <v>#REF!</v>
      </c>
      <c r="N2961" s="60" t="e">
        <f>+SUMIFS(#REF!,#REF!,Planning[[#This Row],[Proyectos]],#REF!,Planning[[#This Row],[Tipo de Tarea y especialidad]])</f>
        <v>#REF!</v>
      </c>
      <c r="O2961" s="19">
        <f t="shared" si="92"/>
        <v>10</v>
      </c>
      <c r="P2961" s="19">
        <f t="shared" si="93"/>
        <v>2024</v>
      </c>
      <c r="Q2961" s="19" t="e">
        <f>+SUMIFS(#REF!,#REF!,Planning[[#This Row],[Tarifa]],#REF!,Planning[[#This Row],[Proyectos]],#REF!,Planning[[#This Row],[Mes]],#REF!,Planning[[#This Row],[Año]])</f>
        <v>#REF!</v>
      </c>
      <c r="R2961" s="19" t="str">
        <f>TEXT(Planning[[#This Row],[Mes]]*29,"mmmm")</f>
        <v>October</v>
      </c>
      <c r="S29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61" s="228"/>
      <c r="U2961" s="43">
        <f>IF(Planning[[#This Row],[Horas Planificadas]]&lt;&gt;0,+K2961/Planning[[#This Row],[Horas Planificadas]],0)</f>
        <v>0</v>
      </c>
      <c r="V2961" s="43">
        <f>IF(Planning[[#This Row],[Horas Planificadas]]&lt;&gt;0,Planning[[#This Row],[Horas utilizadas]]/Planning[[#This Row],[Horas Planificadas]],0)</f>
        <v>0</v>
      </c>
      <c r="W2961" s="44">
        <f>Planning[[#This Row],[Horas Planificadas]]+Planning[[#This Row],[Horas ajustadas adicionales]]</f>
        <v>0</v>
      </c>
      <c r="X2961" s="142"/>
    </row>
    <row r="2962" spans="1:24" ht="22.5" x14ac:dyDescent="0.2">
      <c r="A2962" s="7"/>
      <c r="B2962" s="7" t="s">
        <v>205</v>
      </c>
      <c r="C2962" s="3"/>
      <c r="D2962" s="3" t="s">
        <v>578</v>
      </c>
      <c r="E2962" s="4" t="s">
        <v>32</v>
      </c>
      <c r="F2962" s="3"/>
      <c r="G2962" s="9"/>
      <c r="H2962" s="20">
        <v>0</v>
      </c>
      <c r="I2962" s="12"/>
      <c r="J2962" s="5" t="e">
        <f>+SUMIFS(#REF!,#REF!,Planning[[#This Row],[Tarifa]],#REF!,Planning[[#This Row],[Proyectos]])</f>
        <v>#REF!</v>
      </c>
      <c r="K2962" s="5" t="e">
        <f>Planning[[#This Row],[Horas Planificadas]]+Planning[[#This Row],[Horas ajustadas adicionales]]-Planning[[#This Row],[Horas utilizadas]]</f>
        <v>#REF!</v>
      </c>
      <c r="L2962" s="7"/>
      <c r="M2962" s="19" t="e">
        <f>Planning[[#This Row],[Saldo]]-Planning[[#This Row],[Saldo estimado]]</f>
        <v>#REF!</v>
      </c>
      <c r="N2962" s="60" t="e">
        <f>+SUMIFS(#REF!,#REF!,Planning[[#This Row],[Proyectos]],#REF!,Planning[[#This Row],[Tipo de Tarea y especialidad]])</f>
        <v>#REF!</v>
      </c>
      <c r="O2962" s="19">
        <f t="shared" si="92"/>
        <v>10</v>
      </c>
      <c r="P2962" s="19">
        <f t="shared" si="93"/>
        <v>2024</v>
      </c>
      <c r="Q2962" s="19" t="e">
        <f>+SUMIFS(#REF!,#REF!,Planning[[#This Row],[Tarifa]],#REF!,Planning[[#This Row],[Proyectos]],#REF!,Planning[[#This Row],[Mes]],#REF!,Planning[[#This Row],[Año]])</f>
        <v>#REF!</v>
      </c>
      <c r="R2962" s="19" t="str">
        <f>TEXT(Planning[[#This Row],[Mes]]*29,"mmmm")</f>
        <v>October</v>
      </c>
      <c r="S29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62" s="228"/>
      <c r="U2962" s="43">
        <f>IF(Planning[[#This Row],[Horas Planificadas]]&lt;&gt;0,+K2962/Planning[[#This Row],[Horas Planificadas]],0)</f>
        <v>0</v>
      </c>
      <c r="V2962" s="43">
        <f>IF(Planning[[#This Row],[Horas Planificadas]]&lt;&gt;0,Planning[[#This Row],[Horas utilizadas]]/Planning[[#This Row],[Horas Planificadas]],0)</f>
        <v>0</v>
      </c>
      <c r="W2962" s="44">
        <f>Planning[[#This Row],[Horas Planificadas]]+Planning[[#This Row],[Horas ajustadas adicionales]]</f>
        <v>0</v>
      </c>
      <c r="X2962" s="142"/>
    </row>
    <row r="2963" spans="1:24" ht="22.5" x14ac:dyDescent="0.2">
      <c r="A2963" s="7"/>
      <c r="B2963" s="7"/>
      <c r="C2963" s="3"/>
      <c r="D2963" s="3" t="s">
        <v>579</v>
      </c>
      <c r="E2963" s="4" t="s">
        <v>28</v>
      </c>
      <c r="F2963" s="3"/>
      <c r="G2963" s="9">
        <v>0</v>
      </c>
      <c r="H2963" s="14">
        <v>0</v>
      </c>
      <c r="I2963" s="14"/>
      <c r="J2963" s="14" t="e">
        <f>SUM(J2964:J2965)</f>
        <v>#REF!</v>
      </c>
      <c r="K2963" s="15" t="e">
        <f>SUM(K2964:K2965)</f>
        <v>#REF!</v>
      </c>
      <c r="L2963" s="15">
        <f>SUM(L2964:L2965)</f>
        <v>0</v>
      </c>
      <c r="M2963" s="14" t="e">
        <f>SUM(M2964:M2965)</f>
        <v>#REF!</v>
      </c>
      <c r="N2963" s="66" t="e">
        <f>+SUMIFS(#REF!,#REF!,Planning[[#This Row],[Proyectos]],#REF!,Planning[[#This Row],[Tipo de Tarea y especialidad]])</f>
        <v>#REF!</v>
      </c>
      <c r="O2963" s="14">
        <f t="shared" si="92"/>
        <v>10</v>
      </c>
      <c r="P2963" s="14">
        <f t="shared" si="93"/>
        <v>2024</v>
      </c>
      <c r="Q2963" s="28" t="e">
        <f>SUM(Q2964:Q2965)</f>
        <v>#REF!</v>
      </c>
      <c r="R2963" s="25" t="str">
        <f>TEXT(Planning[[#This Row],[Mes]]*29,"mmmm")</f>
        <v>October</v>
      </c>
      <c r="S296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63" s="101"/>
      <c r="U2963" s="43">
        <f>IF(Planning[[#This Row],[Horas Planificadas]]&lt;&gt;0,+K2963/Planning[[#This Row],[Horas Planificadas]],0)</f>
        <v>0</v>
      </c>
      <c r="V2963" s="43">
        <f>IF(Planning[[#This Row],[Horas Planificadas]]&lt;&gt;0,Planning[[#This Row],[Horas utilizadas]]/Planning[[#This Row],[Horas Planificadas]],0)</f>
        <v>0</v>
      </c>
      <c r="W2963" s="44">
        <f>Planning[[#This Row],[Horas Planificadas]]+Planning[[#This Row],[Horas ajustadas adicionales]]</f>
        <v>0</v>
      </c>
      <c r="X2963" s="142"/>
    </row>
    <row r="2964" spans="1:24" x14ac:dyDescent="0.2">
      <c r="A2964" s="7"/>
      <c r="B2964" s="7"/>
      <c r="C2964" s="3"/>
      <c r="D2964" s="3" t="s">
        <v>579</v>
      </c>
      <c r="E2964" s="4"/>
      <c r="F2964" s="3" t="s">
        <v>120</v>
      </c>
      <c r="G2964" s="9"/>
      <c r="H2964" s="9"/>
      <c r="I2964" s="12"/>
      <c r="J2964" s="5" t="e">
        <f>SUM(SUMIFS(#REF!,#REF!,Planning[[#This Row],[Tipo de Tarea y especialidad]],#REF!,Planning[[#This Row],[Proyectos Reiwa]]),SUMIFS(#REF!,#REF!,Planning[[#This Row],[Tipo de Tarea y especialidad]],#REF!,Planning[[#This Row],[Proyectos]]))</f>
        <v>#REF!</v>
      </c>
      <c r="K2964" s="5" t="e">
        <f>Planning[[#This Row],[Horas Planificadas]]+Planning[[#This Row],[Horas ajustadas adicionales]]-Planning[[#This Row],[Horas utilizadas]]</f>
        <v>#REF!</v>
      </c>
      <c r="L2964" s="7"/>
      <c r="M2964" s="19" t="e">
        <f>Planning[[#This Row],[Saldo]]-Planning[[#This Row],[Saldo estimado]]</f>
        <v>#REF!</v>
      </c>
      <c r="N2964" s="64" t="e">
        <f>+SUMIFS(#REF!,#REF!,Planning[[#This Row],[Proyectos]],#REF!,Planning[[#This Row],[Tipo de Tarea y especialidad]])</f>
        <v>#REF!</v>
      </c>
      <c r="O2964" s="49">
        <f t="shared" si="92"/>
        <v>10</v>
      </c>
      <c r="P2964" s="49">
        <f t="shared" si="93"/>
        <v>2024</v>
      </c>
      <c r="Q29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64" s="49" t="str">
        <f>TEXT(Planning[[#This Row],[Mes]]*29,"mmmm")</f>
        <v>October</v>
      </c>
      <c r="S296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64" s="101"/>
      <c r="U2964" s="43">
        <f>IF(Planning[[#This Row],[Horas Planificadas]]&lt;&gt;0,+K2964/Planning[[#This Row],[Horas Planificadas]],0)</f>
        <v>0</v>
      </c>
      <c r="V2964" s="43">
        <f>IF(Planning[[#This Row],[Horas Planificadas]]&lt;&gt;0,Planning[[#This Row],[Horas utilizadas]]/Planning[[#This Row],[Horas Planificadas]],0)</f>
        <v>0</v>
      </c>
      <c r="W2964" s="44">
        <f>Planning[[#This Row],[Horas Planificadas]]+Planning[[#This Row],[Horas ajustadas adicionales]]</f>
        <v>0</v>
      </c>
      <c r="X2964" s="142"/>
    </row>
    <row r="2965" spans="1:24" x14ac:dyDescent="0.2">
      <c r="A2965" s="7"/>
      <c r="B2965" s="7"/>
      <c r="C2965" s="3"/>
      <c r="D2965" s="3" t="s">
        <v>579</v>
      </c>
      <c r="E2965" s="4"/>
      <c r="F2965" s="3" t="s">
        <v>121</v>
      </c>
      <c r="G2965" s="9"/>
      <c r="H2965" s="9"/>
      <c r="I2965" s="12"/>
      <c r="J2965" s="5" t="e">
        <f>SUM(SUMIFS(#REF!,#REF!,Planning[[#This Row],[Tipo de Tarea y especialidad]],#REF!,Planning[[#This Row],[Proyectos Reiwa]]),SUMIFS(#REF!,#REF!,Planning[[#This Row],[Tipo de Tarea y especialidad]],#REF!,Planning[[#This Row],[Proyectos]]))</f>
        <v>#REF!</v>
      </c>
      <c r="K2965" s="5" t="e">
        <f>Planning[[#This Row],[Horas Planificadas]]+Planning[[#This Row],[Horas ajustadas adicionales]]-Planning[[#This Row],[Horas utilizadas]]</f>
        <v>#REF!</v>
      </c>
      <c r="L2965" s="7"/>
      <c r="M2965" s="19" t="e">
        <f>Planning[[#This Row],[Saldo]]-Planning[[#This Row],[Saldo estimado]]</f>
        <v>#REF!</v>
      </c>
      <c r="N2965" s="64" t="e">
        <f>+SUMIFS(#REF!,#REF!,Planning[[#This Row],[Proyectos]],#REF!,Planning[[#This Row],[Tipo de Tarea y especialidad]])</f>
        <v>#REF!</v>
      </c>
      <c r="O2965" s="49">
        <f t="shared" si="92"/>
        <v>10</v>
      </c>
      <c r="P2965" s="49">
        <f t="shared" si="93"/>
        <v>2024</v>
      </c>
      <c r="Q29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65" s="49" t="str">
        <f>TEXT(Planning[[#This Row],[Mes]]*29,"mmmm")</f>
        <v>October</v>
      </c>
      <c r="S296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65" s="254"/>
      <c r="U2965" s="43">
        <f>IF(Planning[[#This Row],[Horas Planificadas]]&lt;&gt;0,+K2965/Planning[[#This Row],[Horas Planificadas]],0)</f>
        <v>0</v>
      </c>
      <c r="V2965" s="43">
        <f>IF(Planning[[#This Row],[Horas Planificadas]]&lt;&gt;0,Planning[[#This Row],[Horas utilizadas]]/Planning[[#This Row],[Horas Planificadas]],0)</f>
        <v>0</v>
      </c>
      <c r="W2965" s="44">
        <f>Planning[[#This Row],[Horas Planificadas]]+Planning[[#This Row],[Horas ajustadas adicionales]]</f>
        <v>0</v>
      </c>
      <c r="X2965" s="142"/>
    </row>
    <row r="2966" spans="1:24" x14ac:dyDescent="0.2">
      <c r="A2966" s="7"/>
      <c r="B2966" s="7"/>
      <c r="C2966" s="3"/>
      <c r="D2966" s="3" t="s">
        <v>579</v>
      </c>
      <c r="E2966" s="4" t="s">
        <v>30</v>
      </c>
      <c r="F2966" s="3"/>
      <c r="G2966" s="9">
        <v>2</v>
      </c>
      <c r="H2966" s="14">
        <v>2</v>
      </c>
      <c r="I2966" s="14"/>
      <c r="J2966" s="14" t="e">
        <f>SUM(J2967:J2973)</f>
        <v>#REF!</v>
      </c>
      <c r="K2966" s="15" t="e">
        <f>SUM(K2967:K2973)</f>
        <v>#REF!</v>
      </c>
      <c r="L2966" s="15">
        <f>SUM(L2967:L2973)</f>
        <v>0</v>
      </c>
      <c r="M2966" s="16" t="e">
        <f>SUM(M2967:M2973)</f>
        <v>#REF!</v>
      </c>
      <c r="N2966" s="64" t="e">
        <f>+SUMIFS(#REF!,#REF!,Planning[[#This Row],[Proyectos]],#REF!,Planning[[#This Row],[Tipo de Tarea y especialidad]])</f>
        <v>#REF!</v>
      </c>
      <c r="O2966" s="50">
        <f t="shared" si="92"/>
        <v>10</v>
      </c>
      <c r="P2966" s="50">
        <f t="shared" si="93"/>
        <v>2024</v>
      </c>
      <c r="Q2966" s="16" t="e">
        <f>SUM(Q2967:Q2973)</f>
        <v>#REF!</v>
      </c>
      <c r="R2966" s="50" t="str">
        <f>TEXT(Planning[[#This Row],[Mes]]*29,"mmmm")</f>
        <v>October</v>
      </c>
      <c r="S296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66" s="254"/>
      <c r="U2966" s="43" t="e">
        <f>IF(Planning[[#This Row],[Horas Planificadas]]&lt;&gt;0,+K2966/Planning[[#This Row],[Horas Planificadas]],0)</f>
        <v>#REF!</v>
      </c>
      <c r="V2966" s="43" t="e">
        <f>IF(Planning[[#This Row],[Horas Planificadas]]&lt;&gt;0,Planning[[#This Row],[Horas utilizadas]]/Planning[[#This Row],[Horas Planificadas]],0)</f>
        <v>#REF!</v>
      </c>
      <c r="W2966" s="44">
        <f>Planning[[#This Row],[Horas Planificadas]]+Planning[[#This Row],[Horas ajustadas adicionales]]</f>
        <v>2</v>
      </c>
      <c r="X2966" s="142"/>
    </row>
    <row r="2967" spans="1:24" x14ac:dyDescent="0.2">
      <c r="A2967" s="7"/>
      <c r="B2967" s="7"/>
      <c r="C2967" s="3"/>
      <c r="D2967" s="3" t="s">
        <v>579</v>
      </c>
      <c r="E2967" s="4"/>
      <c r="F2967" s="3" t="s">
        <v>122</v>
      </c>
      <c r="G2967" s="9"/>
      <c r="H2967" s="9"/>
      <c r="I2967" s="12"/>
      <c r="J2967" s="5" t="e">
        <f>SUM(SUMIFS(#REF!,#REF!,Planning[[#This Row],[Tipo de Tarea y especialidad]],#REF!,Planning[[#This Row],[Proyectos Reiwa]]),SUMIFS(#REF!,#REF!,Planning[[#This Row],[Tipo de Tarea y especialidad]],#REF!,Planning[[#This Row],[Proyectos]]))</f>
        <v>#REF!</v>
      </c>
      <c r="K2967" s="5" t="e">
        <f>Planning[[#This Row],[Horas Planificadas]]+Planning[[#This Row],[Horas ajustadas adicionales]]-Planning[[#This Row],[Horas utilizadas]]</f>
        <v>#REF!</v>
      </c>
      <c r="L2967" s="7"/>
      <c r="M2967" s="19" t="e">
        <f>Planning[[#This Row],[Saldo]]-Planning[[#This Row],[Saldo estimado]]</f>
        <v>#REF!</v>
      </c>
      <c r="N2967" s="64" t="e">
        <f>+SUMIFS(#REF!,#REF!,Planning[[#This Row],[Proyectos]],#REF!,Planning[[#This Row],[Tipo de Tarea y especialidad]])</f>
        <v>#REF!</v>
      </c>
      <c r="O2967" s="49">
        <f t="shared" si="92"/>
        <v>10</v>
      </c>
      <c r="P2967" s="49">
        <f t="shared" si="93"/>
        <v>2024</v>
      </c>
      <c r="Q29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67" s="49" t="str">
        <f>TEXT(Planning[[#This Row],[Mes]]*29,"mmmm")</f>
        <v>October</v>
      </c>
      <c r="S296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67" s="254"/>
      <c r="U2967" s="43">
        <f>IF(Planning[[#This Row],[Horas Planificadas]]&lt;&gt;0,+K2967/Planning[[#This Row],[Horas Planificadas]],0)</f>
        <v>0</v>
      </c>
      <c r="V2967" s="43">
        <f>IF(Planning[[#This Row],[Horas Planificadas]]&lt;&gt;0,Planning[[#This Row],[Horas utilizadas]]/Planning[[#This Row],[Horas Planificadas]],0)</f>
        <v>0</v>
      </c>
      <c r="W2967" s="44">
        <f>Planning[[#This Row],[Horas Planificadas]]+Planning[[#This Row],[Horas ajustadas adicionales]]</f>
        <v>0</v>
      </c>
      <c r="X2967" s="142"/>
    </row>
    <row r="2968" spans="1:24" x14ac:dyDescent="0.2">
      <c r="A2968" s="7"/>
      <c r="B2968" s="7"/>
      <c r="C2968" s="3"/>
      <c r="D2968" s="3" t="s">
        <v>579</v>
      </c>
      <c r="E2968" s="4"/>
      <c r="F2968" s="3" t="s">
        <v>123</v>
      </c>
      <c r="G2968" s="9"/>
      <c r="H2968" s="9"/>
      <c r="I2968" s="12"/>
      <c r="J2968" s="5" t="e">
        <f>SUM(SUMIFS(#REF!,#REF!,Planning[[#This Row],[Tipo de Tarea y especialidad]],#REF!,Planning[[#This Row],[Proyectos Reiwa]]),SUMIFS(#REF!,#REF!,Planning[[#This Row],[Tipo de Tarea y especialidad]],#REF!,Planning[[#This Row],[Proyectos]]))</f>
        <v>#REF!</v>
      </c>
      <c r="K2968" s="5" t="e">
        <f>Planning[[#This Row],[Horas Planificadas]]+Planning[[#This Row],[Horas ajustadas adicionales]]-Planning[[#This Row],[Horas utilizadas]]</f>
        <v>#REF!</v>
      </c>
      <c r="L2968" s="7"/>
      <c r="M2968" s="19" t="e">
        <f>Planning[[#This Row],[Saldo]]-Planning[[#This Row],[Saldo estimado]]</f>
        <v>#REF!</v>
      </c>
      <c r="N2968" s="64" t="e">
        <f>+SUMIFS(#REF!,#REF!,Planning[[#This Row],[Proyectos]],#REF!,Planning[[#This Row],[Tipo de Tarea y especialidad]])</f>
        <v>#REF!</v>
      </c>
      <c r="O2968" s="49">
        <f t="shared" si="92"/>
        <v>10</v>
      </c>
      <c r="P2968" s="49">
        <f t="shared" si="93"/>
        <v>2024</v>
      </c>
      <c r="Q29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68" s="49" t="str">
        <f>TEXT(Planning[[#This Row],[Mes]]*29,"mmmm")</f>
        <v>October</v>
      </c>
      <c r="S296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68" s="254"/>
      <c r="U2968" s="43">
        <f>IF(Planning[[#This Row],[Horas Planificadas]]&lt;&gt;0,+K2968/Planning[[#This Row],[Horas Planificadas]],0)</f>
        <v>0</v>
      </c>
      <c r="V2968" s="43">
        <f>IF(Planning[[#This Row],[Horas Planificadas]]&lt;&gt;0,Planning[[#This Row],[Horas utilizadas]]/Planning[[#This Row],[Horas Planificadas]],0)</f>
        <v>0</v>
      </c>
      <c r="W2968" s="44">
        <f>Planning[[#This Row],[Horas Planificadas]]+Planning[[#This Row],[Horas ajustadas adicionales]]</f>
        <v>0</v>
      </c>
      <c r="X2968" s="142"/>
    </row>
    <row r="2969" spans="1:24" x14ac:dyDescent="0.2">
      <c r="A2969" s="7"/>
      <c r="B2969" s="7"/>
      <c r="C2969" s="3"/>
      <c r="D2969" s="3" t="s">
        <v>579</v>
      </c>
      <c r="E2969" s="4"/>
      <c r="F2969" s="3" t="s">
        <v>124</v>
      </c>
      <c r="G2969" s="9"/>
      <c r="H2969" s="9"/>
      <c r="I2969" s="12"/>
      <c r="J2969" s="5" t="e">
        <f>SUM(SUMIFS(#REF!,#REF!,Planning[[#This Row],[Tipo de Tarea y especialidad]],#REF!,Planning[[#This Row],[Proyectos Reiwa]]),SUMIFS(#REF!,#REF!,Planning[[#This Row],[Tipo de Tarea y especialidad]],#REF!,Planning[[#This Row],[Proyectos]]))</f>
        <v>#REF!</v>
      </c>
      <c r="K2969" s="5" t="e">
        <f>Planning[[#This Row],[Horas Planificadas]]+Planning[[#This Row],[Horas ajustadas adicionales]]-Planning[[#This Row],[Horas utilizadas]]</f>
        <v>#REF!</v>
      </c>
      <c r="L2969" s="7"/>
      <c r="M2969" s="19" t="e">
        <f>Planning[[#This Row],[Saldo]]-Planning[[#This Row],[Saldo estimado]]</f>
        <v>#REF!</v>
      </c>
      <c r="N2969" s="64" t="e">
        <f>+SUMIFS(#REF!,#REF!,Planning[[#This Row],[Proyectos]],#REF!,Planning[[#This Row],[Tipo de Tarea y especialidad]])</f>
        <v>#REF!</v>
      </c>
      <c r="O2969" s="49">
        <f t="shared" si="92"/>
        <v>10</v>
      </c>
      <c r="P2969" s="49">
        <f t="shared" si="93"/>
        <v>2024</v>
      </c>
      <c r="Q29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69" s="49" t="str">
        <f>TEXT(Planning[[#This Row],[Mes]]*29,"mmmm")</f>
        <v>October</v>
      </c>
      <c r="S296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69" s="254"/>
      <c r="U2969" s="43">
        <f>IF(Planning[[#This Row],[Horas Planificadas]]&lt;&gt;0,+K2969/Planning[[#This Row],[Horas Planificadas]],0)</f>
        <v>0</v>
      </c>
      <c r="V2969" s="43">
        <f>IF(Planning[[#This Row],[Horas Planificadas]]&lt;&gt;0,Planning[[#This Row],[Horas utilizadas]]/Planning[[#This Row],[Horas Planificadas]],0)</f>
        <v>0</v>
      </c>
      <c r="W2969" s="44">
        <f>Planning[[#This Row],[Horas Planificadas]]+Planning[[#This Row],[Horas ajustadas adicionales]]</f>
        <v>0</v>
      </c>
      <c r="X2969" s="142"/>
    </row>
    <row r="2970" spans="1:24" x14ac:dyDescent="0.2">
      <c r="A2970" s="7"/>
      <c r="B2970" s="7"/>
      <c r="C2970" s="3"/>
      <c r="D2970" s="3" t="s">
        <v>579</v>
      </c>
      <c r="E2970" s="4"/>
      <c r="F2970" s="3" t="s">
        <v>125</v>
      </c>
      <c r="G2970" s="9"/>
      <c r="H2970" s="9"/>
      <c r="I2970" s="12"/>
      <c r="J2970" s="5" t="e">
        <f>SUM(SUMIFS(#REF!,#REF!,Planning[[#This Row],[Tipo de Tarea y especialidad]],#REF!,Planning[[#This Row],[Proyectos Reiwa]]),SUMIFS(#REF!,#REF!,Planning[[#This Row],[Tipo de Tarea y especialidad]],#REF!,Planning[[#This Row],[Proyectos]]))</f>
        <v>#REF!</v>
      </c>
      <c r="K2970" s="5" t="e">
        <f>Planning[[#This Row],[Horas Planificadas]]+Planning[[#This Row],[Horas ajustadas adicionales]]-Planning[[#This Row],[Horas utilizadas]]</f>
        <v>#REF!</v>
      </c>
      <c r="L2970" s="7"/>
      <c r="M2970" s="19" t="e">
        <f>Planning[[#This Row],[Saldo]]-Planning[[#This Row],[Saldo estimado]]</f>
        <v>#REF!</v>
      </c>
      <c r="N2970" s="64" t="e">
        <f>+SUMIFS(#REF!,#REF!,Planning[[#This Row],[Proyectos]],#REF!,Planning[[#This Row],[Tipo de Tarea y especialidad]])</f>
        <v>#REF!</v>
      </c>
      <c r="O2970" s="49">
        <f t="shared" si="92"/>
        <v>10</v>
      </c>
      <c r="P2970" s="49">
        <f t="shared" si="93"/>
        <v>2024</v>
      </c>
      <c r="Q29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70" s="49" t="str">
        <f>TEXT(Planning[[#This Row],[Mes]]*29,"mmmm")</f>
        <v>October</v>
      </c>
      <c r="S297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70" s="254"/>
      <c r="U2970" s="43">
        <f>IF(Planning[[#This Row],[Horas Planificadas]]&lt;&gt;0,+K2970/Planning[[#This Row],[Horas Planificadas]],0)</f>
        <v>0</v>
      </c>
      <c r="V2970" s="43">
        <f>IF(Planning[[#This Row],[Horas Planificadas]]&lt;&gt;0,Planning[[#This Row],[Horas utilizadas]]/Planning[[#This Row],[Horas Planificadas]],0)</f>
        <v>0</v>
      </c>
      <c r="W2970" s="44">
        <f>Planning[[#This Row],[Horas Planificadas]]+Planning[[#This Row],[Horas ajustadas adicionales]]</f>
        <v>0</v>
      </c>
      <c r="X2970" s="142"/>
    </row>
    <row r="2971" spans="1:24" x14ac:dyDescent="0.2">
      <c r="A2971" s="7"/>
      <c r="B2971" s="7"/>
      <c r="C2971" s="3"/>
      <c r="D2971" s="3" t="s">
        <v>579</v>
      </c>
      <c r="E2971" s="4"/>
      <c r="F2971" s="3" t="s">
        <v>126</v>
      </c>
      <c r="G2971" s="9"/>
      <c r="H2971" s="9"/>
      <c r="I2971" s="12"/>
      <c r="J2971" s="5" t="e">
        <f>SUM(SUMIFS(#REF!,#REF!,Planning[[#This Row],[Tipo de Tarea y especialidad]],#REF!,Planning[[#This Row],[Proyectos Reiwa]]),SUMIFS(#REF!,#REF!,Planning[[#This Row],[Tipo de Tarea y especialidad]],#REF!,Planning[[#This Row],[Proyectos]]))</f>
        <v>#REF!</v>
      </c>
      <c r="K2971" s="5" t="e">
        <f>Planning[[#This Row],[Horas Planificadas]]+Planning[[#This Row],[Horas ajustadas adicionales]]-Planning[[#This Row],[Horas utilizadas]]</f>
        <v>#REF!</v>
      </c>
      <c r="L2971" s="7"/>
      <c r="M2971" s="19" t="e">
        <f>Planning[[#This Row],[Saldo]]-Planning[[#This Row],[Saldo estimado]]</f>
        <v>#REF!</v>
      </c>
      <c r="N2971" s="64" t="e">
        <f>+SUMIFS(#REF!,#REF!,Planning[[#This Row],[Proyectos]],#REF!,Planning[[#This Row],[Tipo de Tarea y especialidad]])</f>
        <v>#REF!</v>
      </c>
      <c r="O2971" s="49">
        <f t="shared" si="92"/>
        <v>10</v>
      </c>
      <c r="P2971" s="49">
        <f t="shared" si="93"/>
        <v>2024</v>
      </c>
      <c r="Q29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71" s="49" t="str">
        <f>TEXT(Planning[[#This Row],[Mes]]*29,"mmmm")</f>
        <v>October</v>
      </c>
      <c r="S297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71" s="254"/>
      <c r="U2971" s="43">
        <f>IF(Planning[[#This Row],[Horas Planificadas]]&lt;&gt;0,+K2971/Planning[[#This Row],[Horas Planificadas]],0)</f>
        <v>0</v>
      </c>
      <c r="V2971" s="43">
        <f>IF(Planning[[#This Row],[Horas Planificadas]]&lt;&gt;0,Planning[[#This Row],[Horas utilizadas]]/Planning[[#This Row],[Horas Planificadas]],0)</f>
        <v>0</v>
      </c>
      <c r="W2971" s="44">
        <f>Planning[[#This Row],[Horas Planificadas]]+Planning[[#This Row],[Horas ajustadas adicionales]]</f>
        <v>0</v>
      </c>
      <c r="X2971" s="142"/>
    </row>
    <row r="2972" spans="1:24" x14ac:dyDescent="0.2">
      <c r="A2972" s="7"/>
      <c r="B2972" s="7"/>
      <c r="C2972" s="3"/>
      <c r="D2972" s="3" t="s">
        <v>579</v>
      </c>
      <c r="E2972" s="4"/>
      <c r="F2972" s="3" t="s">
        <v>127</v>
      </c>
      <c r="G2972" s="9"/>
      <c r="H2972" s="9"/>
      <c r="I2972" s="12"/>
      <c r="J2972" s="5" t="e">
        <f>SUM(SUMIFS(#REF!,#REF!,Planning[[#This Row],[Tipo de Tarea y especialidad]],#REF!,Planning[[#This Row],[Proyectos Reiwa]]),SUMIFS(#REF!,#REF!,Planning[[#This Row],[Tipo de Tarea y especialidad]],#REF!,Planning[[#This Row],[Proyectos]]))</f>
        <v>#REF!</v>
      </c>
      <c r="K2972" s="5" t="e">
        <f>Planning[[#This Row],[Horas Planificadas]]+Planning[[#This Row],[Horas ajustadas adicionales]]-Planning[[#This Row],[Horas utilizadas]]</f>
        <v>#REF!</v>
      </c>
      <c r="L2972" s="7"/>
      <c r="M2972" s="19" t="e">
        <f>Planning[[#This Row],[Saldo]]-Planning[[#This Row],[Saldo estimado]]</f>
        <v>#REF!</v>
      </c>
      <c r="N2972" s="64" t="e">
        <f>+SUMIFS(#REF!,#REF!,Planning[[#This Row],[Proyectos]],#REF!,Planning[[#This Row],[Tipo de Tarea y especialidad]])</f>
        <v>#REF!</v>
      </c>
      <c r="O2972" s="49">
        <f t="shared" si="92"/>
        <v>10</v>
      </c>
      <c r="P2972" s="49">
        <f t="shared" si="93"/>
        <v>2024</v>
      </c>
      <c r="Q29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72" s="49" t="str">
        <f>TEXT(Planning[[#This Row],[Mes]]*29,"mmmm")</f>
        <v>October</v>
      </c>
      <c r="S297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72" s="254"/>
      <c r="U2972" s="43">
        <f>IF(Planning[[#This Row],[Horas Planificadas]]&lt;&gt;0,+K2972/Planning[[#This Row],[Horas Planificadas]],0)</f>
        <v>0</v>
      </c>
      <c r="V2972" s="43">
        <f>IF(Planning[[#This Row],[Horas Planificadas]]&lt;&gt;0,Planning[[#This Row],[Horas utilizadas]]/Planning[[#This Row],[Horas Planificadas]],0)</f>
        <v>0</v>
      </c>
      <c r="W2972" s="44">
        <f>Planning[[#This Row],[Horas Planificadas]]+Planning[[#This Row],[Horas ajustadas adicionales]]</f>
        <v>0</v>
      </c>
      <c r="X2972" s="142"/>
    </row>
    <row r="2973" spans="1:24" x14ac:dyDescent="0.2">
      <c r="A2973" s="7"/>
      <c r="B2973" s="7"/>
      <c r="C2973" s="3"/>
      <c r="D2973" s="3" t="s">
        <v>579</v>
      </c>
      <c r="E2973" s="4"/>
      <c r="F2973" s="3" t="s">
        <v>128</v>
      </c>
      <c r="G2973" s="9"/>
      <c r="H2973" s="9"/>
      <c r="I2973" s="12"/>
      <c r="J2973" s="5" t="e">
        <f>SUM(SUMIFS(#REF!,#REF!,Planning[[#This Row],[Tipo de Tarea y especialidad]],#REF!,Planning[[#This Row],[Proyectos Reiwa]]),SUMIFS(#REF!,#REF!,Planning[[#This Row],[Tipo de Tarea y especialidad]],#REF!,Planning[[#This Row],[Proyectos]]))</f>
        <v>#REF!</v>
      </c>
      <c r="K2973" s="5" t="e">
        <f>Planning[[#This Row],[Horas Planificadas]]+Planning[[#This Row],[Horas ajustadas adicionales]]-Planning[[#This Row],[Horas utilizadas]]</f>
        <v>#REF!</v>
      </c>
      <c r="L2973" s="7"/>
      <c r="M2973" s="19" t="e">
        <f>Planning[[#This Row],[Saldo]]-Planning[[#This Row],[Saldo estimado]]</f>
        <v>#REF!</v>
      </c>
      <c r="N2973" s="64" t="e">
        <f>+SUMIFS(#REF!,#REF!,Planning[[#This Row],[Proyectos]],#REF!,Planning[[#This Row],[Tipo de Tarea y especialidad]])</f>
        <v>#REF!</v>
      </c>
      <c r="O2973" s="49">
        <f t="shared" si="92"/>
        <v>10</v>
      </c>
      <c r="P2973" s="49">
        <f t="shared" si="93"/>
        <v>2024</v>
      </c>
      <c r="Q29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73" s="49" t="str">
        <f>TEXT(Planning[[#This Row],[Mes]]*29,"mmmm")</f>
        <v>October</v>
      </c>
      <c r="S297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73" s="254"/>
      <c r="U2973" s="43">
        <f>IF(Planning[[#This Row],[Horas Planificadas]]&lt;&gt;0,+K2973/Planning[[#This Row],[Horas Planificadas]],0)</f>
        <v>0</v>
      </c>
      <c r="V2973" s="43">
        <f>IF(Planning[[#This Row],[Horas Planificadas]]&lt;&gt;0,Planning[[#This Row],[Horas utilizadas]]/Planning[[#This Row],[Horas Planificadas]],0)</f>
        <v>0</v>
      </c>
      <c r="W2973" s="44">
        <f>Planning[[#This Row],[Horas Planificadas]]+Planning[[#This Row],[Horas ajustadas adicionales]]</f>
        <v>0</v>
      </c>
      <c r="X2973" s="142"/>
    </row>
    <row r="2974" spans="1:24" x14ac:dyDescent="0.2">
      <c r="A2974" s="7"/>
      <c r="B2974" s="7"/>
      <c r="C2974" s="3"/>
      <c r="D2974" s="3" t="s">
        <v>579</v>
      </c>
      <c r="E2974" s="4" t="s">
        <v>31</v>
      </c>
      <c r="F2974" s="3" t="s">
        <v>31</v>
      </c>
      <c r="G2974" s="9">
        <v>2.1</v>
      </c>
      <c r="H2974" s="17">
        <v>2.1</v>
      </c>
      <c r="I2974" s="18"/>
      <c r="J2974" s="14" t="e">
        <f>+SUMIFS(#REF!,#REF!,Planning[[#This Row],[Tarifa]],#REF!,Planning[[#This Row],[Proyectos]])</f>
        <v>#REF!</v>
      </c>
      <c r="K2974" s="14" t="e">
        <f>Planning[[#This Row],[Horas Planificadas]]+Planning[[#This Row],[Horas ajustadas adicionales]]-Planning[[#This Row],[Horas utilizadas]]</f>
        <v>#REF!</v>
      </c>
      <c r="L2974" s="15"/>
      <c r="M2974" s="16" t="e">
        <f>Planning[[#This Row],[Saldo]]-Planning[[#This Row],[Saldo estimado]]</f>
        <v>#REF!</v>
      </c>
      <c r="N2974" s="64" t="e">
        <f>+SUMIFS(#REF!,#REF!,Planning[[#This Row],[Proyectos]],#REF!,Planning[[#This Row],[Tipo de Tarea y especialidad]])</f>
        <v>#REF!</v>
      </c>
      <c r="O2974" s="50">
        <f t="shared" si="92"/>
        <v>10</v>
      </c>
      <c r="P2974" s="50">
        <f t="shared" si="93"/>
        <v>2024</v>
      </c>
      <c r="Q2974" s="16" t="e">
        <f>+SUMIFS(#REF!,#REF!,Planning[[#This Row],[Tarifa]],#REF!,Planning[[#This Row],[Proyectos]],#REF!,Planning[[#This Row],[Mes]],#REF!,Planning[[#This Row],[Año]])</f>
        <v>#REF!</v>
      </c>
      <c r="R2974" s="50" t="str">
        <f>TEXT(Planning[[#This Row],[Mes]]*29,"mmmm")</f>
        <v>October</v>
      </c>
      <c r="S297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74" s="254"/>
      <c r="U2974" s="43" t="e">
        <f>IF(Planning[[#This Row],[Horas Planificadas]]&lt;&gt;0,+K2974/Planning[[#This Row],[Horas Planificadas]],0)</f>
        <v>#REF!</v>
      </c>
      <c r="V2974" s="43" t="e">
        <f>IF(Planning[[#This Row],[Horas Planificadas]]&lt;&gt;0,Planning[[#This Row],[Horas utilizadas]]/Planning[[#This Row],[Horas Planificadas]],0)</f>
        <v>#REF!</v>
      </c>
      <c r="W2974" s="44">
        <f>Planning[[#This Row],[Horas Planificadas]]+Planning[[#This Row],[Horas ajustadas adicionales]]</f>
        <v>2.1</v>
      </c>
      <c r="X2974" s="142"/>
    </row>
    <row r="2975" spans="1:24" ht="22.5" x14ac:dyDescent="0.2">
      <c r="A2975" s="7"/>
      <c r="B2975" s="7"/>
      <c r="C2975" s="3"/>
      <c r="D2975" s="3" t="s">
        <v>579</v>
      </c>
      <c r="E2975" s="4" t="s">
        <v>32</v>
      </c>
      <c r="F2975" s="3"/>
      <c r="G2975" s="9">
        <v>18</v>
      </c>
      <c r="H2975" s="14">
        <v>18</v>
      </c>
      <c r="I2975" s="14"/>
      <c r="J2975" s="14" t="e">
        <f>SUM(J2976:J2978)</f>
        <v>#REF!</v>
      </c>
      <c r="K2975" s="15" t="e">
        <f>SUM(K2976:K2978)</f>
        <v>#REF!</v>
      </c>
      <c r="L2975" s="15">
        <f>SUM(L2976:L2978)</f>
        <v>0</v>
      </c>
      <c r="M2975" s="16" t="e">
        <f>SUM(M2976:M2978)</f>
        <v>#REF!</v>
      </c>
      <c r="N2975" s="64" t="e">
        <f>+SUMIFS(#REF!,#REF!,Planning[[#This Row],[Proyectos]],#REF!,Planning[[#This Row],[Tipo de Tarea y especialidad]])</f>
        <v>#REF!</v>
      </c>
      <c r="O2975" s="50">
        <f t="shared" si="92"/>
        <v>10</v>
      </c>
      <c r="P2975" s="50">
        <f t="shared" si="93"/>
        <v>2024</v>
      </c>
      <c r="Q2975" s="16" t="e">
        <f>SUM(Q2976:Q2978)</f>
        <v>#REF!</v>
      </c>
      <c r="R2975" s="50" t="str">
        <f>TEXT(Planning[[#This Row],[Mes]]*29,"mmmm")</f>
        <v>October</v>
      </c>
      <c r="S297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75" s="254"/>
      <c r="U2975" s="43" t="e">
        <f>IF(Planning[[#This Row],[Horas Planificadas]]&lt;&gt;0,+K2975/Planning[[#This Row],[Horas Planificadas]],0)</f>
        <v>#REF!</v>
      </c>
      <c r="V2975" s="43" t="e">
        <f>IF(Planning[[#This Row],[Horas Planificadas]]&lt;&gt;0,Planning[[#This Row],[Horas utilizadas]]/Planning[[#This Row],[Horas Planificadas]],0)</f>
        <v>#REF!</v>
      </c>
      <c r="W2975" s="44">
        <f>Planning[[#This Row],[Horas Planificadas]]+Planning[[#This Row],[Horas ajustadas adicionales]]</f>
        <v>18</v>
      </c>
      <c r="X2975" s="142"/>
    </row>
    <row r="2976" spans="1:24" x14ac:dyDescent="0.2">
      <c r="A2976" s="7"/>
      <c r="B2976" s="7"/>
      <c r="C2976" s="3"/>
      <c r="D2976" s="3" t="s">
        <v>579</v>
      </c>
      <c r="E2976" s="4"/>
      <c r="F2976" s="3" t="s">
        <v>129</v>
      </c>
      <c r="G2976" s="9"/>
      <c r="H2976" s="9"/>
      <c r="I2976" s="12"/>
      <c r="J2976" s="5" t="e">
        <f>SUM(SUMIFS(#REF!,#REF!,Planning[[#This Row],[Tipo de Tarea y especialidad]],#REF!,Planning[[#This Row],[Proyectos Reiwa]]),SUMIFS(#REF!,#REF!,Planning[[#This Row],[Tipo de Tarea y especialidad]],#REF!,Planning[[#This Row],[Proyectos]]))</f>
        <v>#REF!</v>
      </c>
      <c r="K2976" s="5" t="e">
        <f>Planning[[#This Row],[Horas Planificadas]]+Planning[[#This Row],[Horas ajustadas adicionales]]-Planning[[#This Row],[Horas utilizadas]]</f>
        <v>#REF!</v>
      </c>
      <c r="L2976" s="7"/>
      <c r="M2976" s="19" t="e">
        <f>Planning[[#This Row],[Saldo]]-Planning[[#This Row],[Saldo estimado]]</f>
        <v>#REF!</v>
      </c>
      <c r="N2976" s="64" t="e">
        <f>+SUMIFS(#REF!,#REF!,Planning[[#This Row],[Proyectos]],#REF!,Planning[[#This Row],[Tipo de Tarea y especialidad]])</f>
        <v>#REF!</v>
      </c>
      <c r="O2976" s="49">
        <f t="shared" si="92"/>
        <v>10</v>
      </c>
      <c r="P2976" s="49">
        <f t="shared" si="93"/>
        <v>2024</v>
      </c>
      <c r="Q29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76" s="49" t="str">
        <f>TEXT(Planning[[#This Row],[Mes]]*29,"mmmm")</f>
        <v>October</v>
      </c>
      <c r="S297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76" s="254"/>
      <c r="U2976" s="43">
        <f>IF(Planning[[#This Row],[Horas Planificadas]]&lt;&gt;0,+K2976/Planning[[#This Row],[Horas Planificadas]],0)</f>
        <v>0</v>
      </c>
      <c r="V2976" s="43">
        <f>IF(Planning[[#This Row],[Horas Planificadas]]&lt;&gt;0,Planning[[#This Row],[Horas utilizadas]]/Planning[[#This Row],[Horas Planificadas]],0)</f>
        <v>0</v>
      </c>
      <c r="W2976" s="44">
        <f>Planning[[#This Row],[Horas Planificadas]]+Planning[[#This Row],[Horas ajustadas adicionales]]</f>
        <v>0</v>
      </c>
      <c r="X2976" s="142"/>
    </row>
    <row r="2977" spans="1:24" x14ac:dyDescent="0.2">
      <c r="A2977" s="7"/>
      <c r="B2977" s="7"/>
      <c r="C2977" s="3"/>
      <c r="D2977" s="3" t="s">
        <v>579</v>
      </c>
      <c r="E2977" s="4"/>
      <c r="F2977" s="3" t="s">
        <v>130</v>
      </c>
      <c r="G2977" s="9"/>
      <c r="H2977" s="9"/>
      <c r="I2977" s="12"/>
      <c r="J2977" s="5" t="e">
        <f>SUM(SUMIFS(#REF!,#REF!,Planning[[#This Row],[Tipo de Tarea y especialidad]],#REF!,Planning[[#This Row],[Proyectos Reiwa]]),SUMIFS(#REF!,#REF!,Planning[[#This Row],[Tipo de Tarea y especialidad]],#REF!,Planning[[#This Row],[Proyectos]]))</f>
        <v>#REF!</v>
      </c>
      <c r="K2977" s="5" t="e">
        <f>Planning[[#This Row],[Horas Planificadas]]+Planning[[#This Row],[Horas ajustadas adicionales]]-Planning[[#This Row],[Horas utilizadas]]</f>
        <v>#REF!</v>
      </c>
      <c r="L2977" s="7"/>
      <c r="M2977" s="19" t="e">
        <f>Planning[[#This Row],[Saldo]]-Planning[[#This Row],[Saldo estimado]]</f>
        <v>#REF!</v>
      </c>
      <c r="N2977" s="64" t="e">
        <f>+SUMIFS(#REF!,#REF!,Planning[[#This Row],[Proyectos]],#REF!,Planning[[#This Row],[Tipo de Tarea y especialidad]])</f>
        <v>#REF!</v>
      </c>
      <c r="O2977" s="49">
        <f t="shared" si="92"/>
        <v>10</v>
      </c>
      <c r="P2977" s="49">
        <f t="shared" si="93"/>
        <v>2024</v>
      </c>
      <c r="Q29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77" s="49" t="str">
        <f>TEXT(Planning[[#This Row],[Mes]]*29,"mmmm")</f>
        <v>October</v>
      </c>
      <c r="S297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77" s="254"/>
      <c r="U2977" s="43">
        <f>IF(Planning[[#This Row],[Horas Planificadas]]&lt;&gt;0,+K2977/Planning[[#This Row],[Horas Planificadas]],0)</f>
        <v>0</v>
      </c>
      <c r="V2977" s="43">
        <f>IF(Planning[[#This Row],[Horas Planificadas]]&lt;&gt;0,Planning[[#This Row],[Horas utilizadas]]/Planning[[#This Row],[Horas Planificadas]],0)</f>
        <v>0</v>
      </c>
      <c r="W2977" s="44">
        <f>Planning[[#This Row],[Horas Planificadas]]+Planning[[#This Row],[Horas ajustadas adicionales]]</f>
        <v>0</v>
      </c>
      <c r="X2977" s="142"/>
    </row>
    <row r="2978" spans="1:24" x14ac:dyDescent="0.2">
      <c r="A2978" s="7"/>
      <c r="B2978" s="7"/>
      <c r="C2978" s="3"/>
      <c r="D2978" s="3" t="s">
        <v>579</v>
      </c>
      <c r="E2978" s="4"/>
      <c r="F2978" s="3" t="s">
        <v>131</v>
      </c>
      <c r="G2978" s="9"/>
      <c r="H2978" s="9"/>
      <c r="I2978" s="12"/>
      <c r="J2978" s="5" t="e">
        <f>SUM(SUMIFS(#REF!,#REF!,Planning[[#This Row],[Tipo de Tarea y especialidad]],#REF!,Planning[[#This Row],[Proyectos Reiwa]]),SUMIFS(#REF!,#REF!,Planning[[#This Row],[Tipo de Tarea y especialidad]],#REF!,Planning[[#This Row],[Proyectos]]))</f>
        <v>#REF!</v>
      </c>
      <c r="K2978" s="5" t="e">
        <f>Planning[[#This Row],[Horas Planificadas]]+Planning[[#This Row],[Horas ajustadas adicionales]]-Planning[[#This Row],[Horas utilizadas]]</f>
        <v>#REF!</v>
      </c>
      <c r="L2978" s="7"/>
      <c r="M2978" s="19" t="e">
        <f>Planning[[#This Row],[Saldo]]-Planning[[#This Row],[Saldo estimado]]</f>
        <v>#REF!</v>
      </c>
      <c r="N2978" s="65" t="e">
        <f>+SUMIFS(#REF!,#REF!,Planning[[#This Row],[Proyectos]],#REF!,Planning[[#This Row],[Tipo de Tarea y especialidad]])</f>
        <v>#REF!</v>
      </c>
      <c r="O2978" s="51">
        <f t="shared" si="92"/>
        <v>10</v>
      </c>
      <c r="P2978" s="51">
        <f t="shared" si="93"/>
        <v>2024</v>
      </c>
      <c r="Q29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78" s="51" t="str">
        <f>TEXT(Planning[[#This Row],[Mes]]*29,"mmmm")</f>
        <v>October</v>
      </c>
      <c r="S2978"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78" s="255"/>
      <c r="U2978" s="43">
        <f>IF(Planning[[#This Row],[Horas Planificadas]]&lt;&gt;0,+K2978/Planning[[#This Row],[Horas Planificadas]],0)</f>
        <v>0</v>
      </c>
      <c r="V2978" s="43">
        <f>IF(Planning[[#This Row],[Horas Planificadas]]&lt;&gt;0,Planning[[#This Row],[Horas utilizadas]]/Planning[[#This Row],[Horas Planificadas]],0)</f>
        <v>0</v>
      </c>
      <c r="W2978" s="44">
        <f>Planning[[#This Row],[Horas Planificadas]]+Planning[[#This Row],[Horas ajustadas adicionales]]</f>
        <v>0</v>
      </c>
      <c r="X2978" s="142"/>
    </row>
    <row r="2979" spans="1:24" ht="12.75" customHeight="1" x14ac:dyDescent="0.2">
      <c r="A2979" s="7" t="s">
        <v>483</v>
      </c>
      <c r="B2979" s="7" t="s">
        <v>169</v>
      </c>
      <c r="C2979" s="3"/>
      <c r="D2979" s="3" t="s">
        <v>580</v>
      </c>
      <c r="E2979" s="4" t="s">
        <v>28</v>
      </c>
      <c r="F2979" s="3"/>
      <c r="G2979" s="9">
        <v>0</v>
      </c>
      <c r="H2979" s="14">
        <f>SUM(H2980:H2981)</f>
        <v>0</v>
      </c>
      <c r="I2979" s="14"/>
      <c r="J2979" s="14" t="e">
        <f>SUM(J2980:J2981)</f>
        <v>#REF!</v>
      </c>
      <c r="K2979" s="15" t="e">
        <f>SUM(K2980:K2981)</f>
        <v>#REF!</v>
      </c>
      <c r="L2979" s="15">
        <f>SUM(L2980:L2981)</f>
        <v>0</v>
      </c>
      <c r="M2979" s="14" t="e">
        <f>SUM(M2980:M2981)</f>
        <v>#REF!</v>
      </c>
      <c r="N2979" s="66" t="e">
        <f>+SUMIFS(#REF!,#REF!,Planning[[#This Row],[Proyectos]],#REF!,Planning[[#This Row],[Tipo de Tarea y especialidad]])</f>
        <v>#REF!</v>
      </c>
      <c r="O2979" s="14">
        <f t="shared" si="92"/>
        <v>10</v>
      </c>
      <c r="P2979" s="14">
        <f t="shared" si="93"/>
        <v>2024</v>
      </c>
      <c r="Q2979" s="28" t="e">
        <f>SUM(Q2980:Q2981)</f>
        <v>#REF!</v>
      </c>
      <c r="R2979" s="14" t="str">
        <f>TEXT(Planning[[#This Row],[Mes]]*29,"mmmm")</f>
        <v>October</v>
      </c>
      <c r="S297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79" s="251" t="s">
        <v>581</v>
      </c>
      <c r="U2979" s="43">
        <f>IF(Planning[[#This Row],[Horas Planificadas]]&lt;&gt;0,+K2979/Planning[[#This Row],[Horas Planificadas]],0)</f>
        <v>0</v>
      </c>
      <c r="V2979" s="43">
        <f>IF(Planning[[#This Row],[Horas Planificadas]]&lt;&gt;0,Planning[[#This Row],[Horas utilizadas]]/Planning[[#This Row],[Horas Planificadas]],0)</f>
        <v>0</v>
      </c>
      <c r="W2979" s="44">
        <f>Planning[[#This Row],[Horas Planificadas]]+Planning[[#This Row],[Horas ajustadas adicionales]]</f>
        <v>0</v>
      </c>
      <c r="X2979" s="142"/>
    </row>
    <row r="2980" spans="1:24" x14ac:dyDescent="0.2">
      <c r="A2980" s="7" t="s">
        <v>483</v>
      </c>
      <c r="B2980" s="7" t="s">
        <v>169</v>
      </c>
      <c r="C2980" s="3"/>
      <c r="D2980" s="3" t="s">
        <v>580</v>
      </c>
      <c r="E2980" s="4"/>
      <c r="F2980" s="3" t="s">
        <v>120</v>
      </c>
      <c r="G2980" s="9"/>
      <c r="H2980" s="9">
        <v>0</v>
      </c>
      <c r="I2980" s="12"/>
      <c r="J2980" s="5" t="e">
        <f>SUM(SUMIFS(#REF!,#REF!,Planning[[#This Row],[Tipo de Tarea y especialidad]],#REF!,Planning[[#This Row],[Proyectos Reiwa]]),SUMIFS(#REF!,#REF!,Planning[[#This Row],[Tipo de Tarea y especialidad]],#REF!,Planning[[#This Row],[Proyectos]]))</f>
        <v>#REF!</v>
      </c>
      <c r="K2980" s="5" t="e">
        <f>Planning[[#This Row],[Horas Planificadas]]+Planning[[#This Row],[Horas ajustadas adicionales]]-Planning[[#This Row],[Horas utilizadas]]</f>
        <v>#REF!</v>
      </c>
      <c r="L2980" s="7">
        <v>0</v>
      </c>
      <c r="M2980" s="19" t="e">
        <f>Planning[[#This Row],[Saldo]]-Planning[[#This Row],[Saldo estimado]]</f>
        <v>#REF!</v>
      </c>
      <c r="N2980" s="64" t="e">
        <f>+SUMIFS(#REF!,#REF!,Planning[[#This Row],[Proyectos]],#REF!,Planning[[#This Row],[Tipo de Tarea y especialidad]])</f>
        <v>#REF!</v>
      </c>
      <c r="O2980" s="49">
        <f t="shared" si="92"/>
        <v>10</v>
      </c>
      <c r="P2980" s="49">
        <f t="shared" si="93"/>
        <v>2024</v>
      </c>
      <c r="Q29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80" s="34" t="str">
        <f>TEXT(Planning[[#This Row],[Mes]]*29,"mmmm")</f>
        <v>October</v>
      </c>
      <c r="S298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80" s="252"/>
      <c r="U2980" s="43">
        <f>IF(Planning[[#This Row],[Horas Planificadas]]&lt;&gt;0,+K2980/Planning[[#This Row],[Horas Planificadas]],0)</f>
        <v>0</v>
      </c>
      <c r="V2980" s="43">
        <f>IF(Planning[[#This Row],[Horas Planificadas]]&lt;&gt;0,Planning[[#This Row],[Horas utilizadas]]/Planning[[#This Row],[Horas Planificadas]],0)</f>
        <v>0</v>
      </c>
      <c r="W2980" s="44">
        <f>Planning[[#This Row],[Horas Planificadas]]+Planning[[#This Row],[Horas ajustadas adicionales]]</f>
        <v>0</v>
      </c>
      <c r="X2980" s="142"/>
    </row>
    <row r="2981" spans="1:24" x14ac:dyDescent="0.2">
      <c r="A2981" s="7" t="s">
        <v>483</v>
      </c>
      <c r="B2981" s="7" t="s">
        <v>169</v>
      </c>
      <c r="C2981" s="3"/>
      <c r="D2981" s="3" t="s">
        <v>580</v>
      </c>
      <c r="E2981" s="4"/>
      <c r="F2981" s="3" t="s">
        <v>121</v>
      </c>
      <c r="G2981" s="9"/>
      <c r="H2981" s="9">
        <v>0</v>
      </c>
      <c r="I2981" s="12"/>
      <c r="J2981" s="5" t="e">
        <f>SUM(SUMIFS(#REF!,#REF!,Planning[[#This Row],[Tipo de Tarea y especialidad]],#REF!,Planning[[#This Row],[Proyectos Reiwa]]),SUMIFS(#REF!,#REF!,Planning[[#This Row],[Tipo de Tarea y especialidad]],#REF!,Planning[[#This Row],[Proyectos]]))</f>
        <v>#REF!</v>
      </c>
      <c r="K2981" s="5" t="e">
        <f>Planning[[#This Row],[Horas Planificadas]]+Planning[[#This Row],[Horas ajustadas adicionales]]-Planning[[#This Row],[Horas utilizadas]]</f>
        <v>#REF!</v>
      </c>
      <c r="L2981" s="7">
        <v>0</v>
      </c>
      <c r="M2981" s="19" t="e">
        <f>Planning[[#This Row],[Saldo]]-Planning[[#This Row],[Saldo estimado]]</f>
        <v>#REF!</v>
      </c>
      <c r="N2981" s="64" t="e">
        <f>+SUMIFS(#REF!,#REF!,Planning[[#This Row],[Proyectos]],#REF!,Planning[[#This Row],[Tipo de Tarea y especialidad]])</f>
        <v>#REF!</v>
      </c>
      <c r="O2981" s="49">
        <f t="shared" si="92"/>
        <v>10</v>
      </c>
      <c r="P2981" s="49">
        <f t="shared" si="93"/>
        <v>2024</v>
      </c>
      <c r="Q29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81" s="34" t="str">
        <f>TEXT(Planning[[#This Row],[Mes]]*29,"mmmm")</f>
        <v>October</v>
      </c>
      <c r="S298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81" s="252"/>
      <c r="U2981" s="43">
        <f>IF(Planning[[#This Row],[Horas Planificadas]]&lt;&gt;0,+K2981/Planning[[#This Row],[Horas Planificadas]],0)</f>
        <v>0</v>
      </c>
      <c r="V2981" s="43">
        <f>IF(Planning[[#This Row],[Horas Planificadas]]&lt;&gt;0,Planning[[#This Row],[Horas utilizadas]]/Planning[[#This Row],[Horas Planificadas]],0)</f>
        <v>0</v>
      </c>
      <c r="W2981" s="44">
        <f>Planning[[#This Row],[Horas Planificadas]]+Planning[[#This Row],[Horas ajustadas adicionales]]</f>
        <v>0</v>
      </c>
      <c r="X2981" s="142"/>
    </row>
    <row r="2982" spans="1:24" x14ac:dyDescent="0.2">
      <c r="A2982" s="7" t="s">
        <v>483</v>
      </c>
      <c r="B2982" s="7" t="s">
        <v>169</v>
      </c>
      <c r="C2982" s="3"/>
      <c r="D2982" s="3" t="s">
        <v>580</v>
      </c>
      <c r="E2982" s="4" t="s">
        <v>30</v>
      </c>
      <c r="F2982" s="3"/>
      <c r="G2982" s="9">
        <v>52</v>
      </c>
      <c r="H2982" s="14">
        <f>SUM(H2983:H2989)</f>
        <v>52</v>
      </c>
      <c r="I2982" s="14"/>
      <c r="J2982" s="14" t="e">
        <f>SUM(J2983:J2989)</f>
        <v>#REF!</v>
      </c>
      <c r="K2982" s="15" t="e">
        <f>SUM(K2983:K2989)</f>
        <v>#REF!</v>
      </c>
      <c r="L2982" s="15">
        <f>SUM(L2983:L2989)</f>
        <v>0</v>
      </c>
      <c r="M2982" s="16" t="e">
        <f>SUM(M2983:M2989)</f>
        <v>#REF!</v>
      </c>
      <c r="N2982" s="64" t="e">
        <f>+SUMIFS(#REF!,#REF!,Planning[[#This Row],[Proyectos]],#REF!,Planning[[#This Row],[Tipo de Tarea y especialidad]])</f>
        <v>#REF!</v>
      </c>
      <c r="O2982" s="50">
        <f t="shared" si="92"/>
        <v>10</v>
      </c>
      <c r="P2982" s="50">
        <f t="shared" si="93"/>
        <v>2024</v>
      </c>
      <c r="Q2982" s="16" t="e">
        <f>SUM(Q2983:Q2989)</f>
        <v>#REF!</v>
      </c>
      <c r="R2982" s="35" t="str">
        <f>TEXT(Planning[[#This Row],[Mes]]*29,"mmmm")</f>
        <v>October</v>
      </c>
      <c r="S298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82" s="252"/>
      <c r="U2982" s="43" t="e">
        <f>IF(Planning[[#This Row],[Horas Planificadas]]&lt;&gt;0,+K2982/Planning[[#This Row],[Horas Planificadas]],0)</f>
        <v>#REF!</v>
      </c>
      <c r="V2982" s="43" t="e">
        <f>IF(Planning[[#This Row],[Horas Planificadas]]&lt;&gt;0,Planning[[#This Row],[Horas utilizadas]]/Planning[[#This Row],[Horas Planificadas]],0)</f>
        <v>#REF!</v>
      </c>
      <c r="W2982" s="44">
        <f>Planning[[#This Row],[Horas Planificadas]]+Planning[[#This Row],[Horas ajustadas adicionales]]</f>
        <v>52</v>
      </c>
      <c r="X2982" s="142"/>
    </row>
    <row r="2983" spans="1:24" x14ac:dyDescent="0.2">
      <c r="A2983" s="7" t="s">
        <v>483</v>
      </c>
      <c r="B2983" s="7" t="s">
        <v>169</v>
      </c>
      <c r="C2983" s="3"/>
      <c r="D2983" s="3" t="s">
        <v>580</v>
      </c>
      <c r="E2983" s="4"/>
      <c r="F2983" s="3" t="s">
        <v>122</v>
      </c>
      <c r="G2983" s="9"/>
      <c r="H2983" s="9"/>
      <c r="I2983" s="12"/>
      <c r="J2983" s="5" t="e">
        <f>SUM(SUMIFS(#REF!,#REF!,Planning[[#This Row],[Tipo de Tarea y especialidad]],#REF!,Planning[[#This Row],[Proyectos Reiwa]]),SUMIFS(#REF!,#REF!,Planning[[#This Row],[Tipo de Tarea y especialidad]],#REF!,Planning[[#This Row],[Proyectos]]))</f>
        <v>#REF!</v>
      </c>
      <c r="K2983" s="5" t="e">
        <f>Planning[[#This Row],[Horas Planificadas]]+Planning[[#This Row],[Horas ajustadas adicionales]]-Planning[[#This Row],[Horas utilizadas]]</f>
        <v>#REF!</v>
      </c>
      <c r="L2983" s="7">
        <v>0</v>
      </c>
      <c r="M2983" s="19" t="e">
        <f>Planning[[#This Row],[Saldo]]-Planning[[#This Row],[Saldo estimado]]</f>
        <v>#REF!</v>
      </c>
      <c r="N2983" s="64" t="e">
        <f>+SUMIFS(#REF!,#REF!,Planning[[#This Row],[Proyectos]],#REF!,Planning[[#This Row],[Tipo de Tarea y especialidad]])</f>
        <v>#REF!</v>
      </c>
      <c r="O2983" s="49">
        <f t="shared" si="92"/>
        <v>10</v>
      </c>
      <c r="P2983" s="49">
        <f t="shared" si="93"/>
        <v>2024</v>
      </c>
      <c r="Q29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83" s="34" t="str">
        <f>TEXT(Planning[[#This Row],[Mes]]*29,"mmmm")</f>
        <v>October</v>
      </c>
      <c r="S298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83" s="252"/>
      <c r="U2983" s="43">
        <f>IF(Planning[[#This Row],[Horas Planificadas]]&lt;&gt;0,+K2983/Planning[[#This Row],[Horas Planificadas]],0)</f>
        <v>0</v>
      </c>
      <c r="V2983" s="43">
        <f>IF(Planning[[#This Row],[Horas Planificadas]]&lt;&gt;0,Planning[[#This Row],[Horas utilizadas]]/Planning[[#This Row],[Horas Planificadas]],0)</f>
        <v>0</v>
      </c>
      <c r="W2983" s="44">
        <f>Planning[[#This Row],[Horas Planificadas]]+Planning[[#This Row],[Horas ajustadas adicionales]]</f>
        <v>0</v>
      </c>
      <c r="X2983" s="142"/>
    </row>
    <row r="2984" spans="1:24" x14ac:dyDescent="0.2">
      <c r="A2984" s="7" t="s">
        <v>483</v>
      </c>
      <c r="B2984" s="7" t="s">
        <v>169</v>
      </c>
      <c r="C2984" s="3"/>
      <c r="D2984" s="3" t="s">
        <v>580</v>
      </c>
      <c r="E2984" s="4"/>
      <c r="F2984" s="3" t="s">
        <v>123</v>
      </c>
      <c r="G2984" s="9"/>
      <c r="H2984" s="9">
        <v>52</v>
      </c>
      <c r="I2984" s="12"/>
      <c r="J2984" s="5" t="e">
        <f>SUM(SUMIFS(#REF!,#REF!,Planning[[#This Row],[Tipo de Tarea y especialidad]],#REF!,Planning[[#This Row],[Proyectos Reiwa]]),SUMIFS(#REF!,#REF!,Planning[[#This Row],[Tipo de Tarea y especialidad]],#REF!,Planning[[#This Row],[Proyectos]]))</f>
        <v>#REF!</v>
      </c>
      <c r="K2984" s="5" t="e">
        <f>Planning[[#This Row],[Horas Planificadas]]+Planning[[#This Row],[Horas ajustadas adicionales]]-Planning[[#This Row],[Horas utilizadas]]</f>
        <v>#REF!</v>
      </c>
      <c r="L2984" s="7">
        <v>0</v>
      </c>
      <c r="M2984" s="19" t="e">
        <f>Planning[[#This Row],[Saldo]]-Planning[[#This Row],[Saldo estimado]]</f>
        <v>#REF!</v>
      </c>
      <c r="N2984" s="64" t="e">
        <f>+SUMIFS(#REF!,#REF!,Planning[[#This Row],[Proyectos]],#REF!,Planning[[#This Row],[Tipo de Tarea y especialidad]])</f>
        <v>#REF!</v>
      </c>
      <c r="O2984" s="49">
        <f t="shared" si="92"/>
        <v>10</v>
      </c>
      <c r="P2984" s="49">
        <f t="shared" si="93"/>
        <v>2024</v>
      </c>
      <c r="Q29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84" s="34" t="str">
        <f>TEXT(Planning[[#This Row],[Mes]]*29,"mmmm")</f>
        <v>October</v>
      </c>
      <c r="S298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84" s="252"/>
      <c r="U2984" s="43" t="e">
        <f>IF(Planning[[#This Row],[Horas Planificadas]]&lt;&gt;0,+K2984/Planning[[#This Row],[Horas Planificadas]],0)</f>
        <v>#REF!</v>
      </c>
      <c r="V2984" s="43" t="e">
        <f>IF(Planning[[#This Row],[Horas Planificadas]]&lt;&gt;0,Planning[[#This Row],[Horas utilizadas]]/Planning[[#This Row],[Horas Planificadas]],0)</f>
        <v>#REF!</v>
      </c>
      <c r="W2984" s="44">
        <f>Planning[[#This Row],[Horas Planificadas]]+Planning[[#This Row],[Horas ajustadas adicionales]]</f>
        <v>52</v>
      </c>
      <c r="X2984" s="142"/>
    </row>
    <row r="2985" spans="1:24" x14ac:dyDescent="0.2">
      <c r="A2985" s="7" t="s">
        <v>483</v>
      </c>
      <c r="B2985" s="7" t="s">
        <v>169</v>
      </c>
      <c r="C2985" s="3"/>
      <c r="D2985" s="3" t="s">
        <v>580</v>
      </c>
      <c r="E2985" s="4"/>
      <c r="F2985" s="3" t="s">
        <v>124</v>
      </c>
      <c r="G2985" s="9"/>
      <c r="H2985" s="9"/>
      <c r="I2985" s="12"/>
      <c r="J2985" s="5" t="e">
        <f>SUM(SUMIFS(#REF!,#REF!,Planning[[#This Row],[Tipo de Tarea y especialidad]],#REF!,Planning[[#This Row],[Proyectos Reiwa]]),SUMIFS(#REF!,#REF!,Planning[[#This Row],[Tipo de Tarea y especialidad]],#REF!,Planning[[#This Row],[Proyectos]]))</f>
        <v>#REF!</v>
      </c>
      <c r="K2985" s="5" t="e">
        <f>Planning[[#This Row],[Horas Planificadas]]+Planning[[#This Row],[Horas ajustadas adicionales]]-Planning[[#This Row],[Horas utilizadas]]</f>
        <v>#REF!</v>
      </c>
      <c r="L2985" s="7">
        <v>0</v>
      </c>
      <c r="M2985" s="19" t="e">
        <f>Planning[[#This Row],[Saldo]]-Planning[[#This Row],[Saldo estimado]]</f>
        <v>#REF!</v>
      </c>
      <c r="N2985" s="64" t="e">
        <f>+SUMIFS(#REF!,#REF!,Planning[[#This Row],[Proyectos]],#REF!,Planning[[#This Row],[Tipo de Tarea y especialidad]])</f>
        <v>#REF!</v>
      </c>
      <c r="O2985" s="49">
        <f t="shared" si="92"/>
        <v>10</v>
      </c>
      <c r="P2985" s="49">
        <f t="shared" si="93"/>
        <v>2024</v>
      </c>
      <c r="Q29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85" s="34" t="str">
        <f>TEXT(Planning[[#This Row],[Mes]]*29,"mmmm")</f>
        <v>October</v>
      </c>
      <c r="S298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85" s="252"/>
      <c r="U2985" s="43">
        <f>IF(Planning[[#This Row],[Horas Planificadas]]&lt;&gt;0,+K2985/Planning[[#This Row],[Horas Planificadas]],0)</f>
        <v>0</v>
      </c>
      <c r="V2985" s="43">
        <f>IF(Planning[[#This Row],[Horas Planificadas]]&lt;&gt;0,Planning[[#This Row],[Horas utilizadas]]/Planning[[#This Row],[Horas Planificadas]],0)</f>
        <v>0</v>
      </c>
      <c r="W2985" s="44">
        <f>Planning[[#This Row],[Horas Planificadas]]+Planning[[#This Row],[Horas ajustadas adicionales]]</f>
        <v>0</v>
      </c>
      <c r="X2985" s="142"/>
    </row>
    <row r="2986" spans="1:24" x14ac:dyDescent="0.2">
      <c r="A2986" s="7" t="s">
        <v>483</v>
      </c>
      <c r="B2986" s="7" t="s">
        <v>169</v>
      </c>
      <c r="C2986" s="3"/>
      <c r="D2986" s="3" t="s">
        <v>580</v>
      </c>
      <c r="E2986" s="4"/>
      <c r="F2986" s="3" t="s">
        <v>125</v>
      </c>
      <c r="G2986" s="9"/>
      <c r="H2986" s="9"/>
      <c r="I2986" s="12"/>
      <c r="J2986" s="5" t="e">
        <f>SUM(SUMIFS(#REF!,#REF!,Planning[[#This Row],[Tipo de Tarea y especialidad]],#REF!,Planning[[#This Row],[Proyectos Reiwa]]),SUMIFS(#REF!,#REF!,Planning[[#This Row],[Tipo de Tarea y especialidad]],#REF!,Planning[[#This Row],[Proyectos]]))</f>
        <v>#REF!</v>
      </c>
      <c r="K2986" s="5" t="e">
        <f>Planning[[#This Row],[Horas Planificadas]]+Planning[[#This Row],[Horas ajustadas adicionales]]-Planning[[#This Row],[Horas utilizadas]]</f>
        <v>#REF!</v>
      </c>
      <c r="L2986" s="7">
        <v>0</v>
      </c>
      <c r="M2986" s="19" t="e">
        <f>Planning[[#This Row],[Saldo]]-Planning[[#This Row],[Saldo estimado]]</f>
        <v>#REF!</v>
      </c>
      <c r="N2986" s="64" t="e">
        <f>+SUMIFS(#REF!,#REF!,Planning[[#This Row],[Proyectos]],#REF!,Planning[[#This Row],[Tipo de Tarea y especialidad]])</f>
        <v>#REF!</v>
      </c>
      <c r="O2986" s="49">
        <f t="shared" si="92"/>
        <v>10</v>
      </c>
      <c r="P2986" s="49">
        <f t="shared" si="93"/>
        <v>2024</v>
      </c>
      <c r="Q29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86" s="34" t="str">
        <f>TEXT(Planning[[#This Row],[Mes]]*29,"mmmm")</f>
        <v>October</v>
      </c>
      <c r="S298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86" s="252"/>
      <c r="U2986" s="43">
        <f>IF(Planning[[#This Row],[Horas Planificadas]]&lt;&gt;0,+K2986/Planning[[#This Row],[Horas Planificadas]],0)</f>
        <v>0</v>
      </c>
      <c r="V2986" s="43">
        <f>IF(Planning[[#This Row],[Horas Planificadas]]&lt;&gt;0,Planning[[#This Row],[Horas utilizadas]]/Planning[[#This Row],[Horas Planificadas]],0)</f>
        <v>0</v>
      </c>
      <c r="W2986" s="44">
        <f>Planning[[#This Row],[Horas Planificadas]]+Planning[[#This Row],[Horas ajustadas adicionales]]</f>
        <v>0</v>
      </c>
      <c r="X2986" s="142"/>
    </row>
    <row r="2987" spans="1:24" x14ac:dyDescent="0.2">
      <c r="A2987" s="7" t="s">
        <v>483</v>
      </c>
      <c r="B2987" s="7" t="s">
        <v>169</v>
      </c>
      <c r="C2987" s="3"/>
      <c r="D2987" s="3" t="s">
        <v>580</v>
      </c>
      <c r="E2987" s="4"/>
      <c r="F2987" s="3" t="s">
        <v>126</v>
      </c>
      <c r="G2987" s="9"/>
      <c r="H2987" s="9"/>
      <c r="I2987" s="12"/>
      <c r="J2987" s="5" t="e">
        <f>SUM(SUMIFS(#REF!,#REF!,Planning[[#This Row],[Tipo de Tarea y especialidad]],#REF!,Planning[[#This Row],[Proyectos Reiwa]]),SUMIFS(#REF!,#REF!,Planning[[#This Row],[Tipo de Tarea y especialidad]],#REF!,Planning[[#This Row],[Proyectos]]))</f>
        <v>#REF!</v>
      </c>
      <c r="K2987" s="5" t="e">
        <f>Planning[[#This Row],[Horas Planificadas]]+Planning[[#This Row],[Horas ajustadas adicionales]]-Planning[[#This Row],[Horas utilizadas]]</f>
        <v>#REF!</v>
      </c>
      <c r="L2987" s="7">
        <v>0</v>
      </c>
      <c r="M2987" s="19" t="e">
        <f>Planning[[#This Row],[Saldo]]-Planning[[#This Row],[Saldo estimado]]</f>
        <v>#REF!</v>
      </c>
      <c r="N2987" s="64" t="e">
        <f>+SUMIFS(#REF!,#REF!,Planning[[#This Row],[Proyectos]],#REF!,Planning[[#This Row],[Tipo de Tarea y especialidad]])</f>
        <v>#REF!</v>
      </c>
      <c r="O2987" s="49">
        <f t="shared" si="92"/>
        <v>10</v>
      </c>
      <c r="P2987" s="49">
        <f t="shared" si="93"/>
        <v>2024</v>
      </c>
      <c r="Q29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87" s="34" t="str">
        <f>TEXT(Planning[[#This Row],[Mes]]*29,"mmmm")</f>
        <v>October</v>
      </c>
      <c r="S298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87" s="252"/>
      <c r="U2987" s="43">
        <f>IF(Planning[[#This Row],[Horas Planificadas]]&lt;&gt;0,+K2987/Planning[[#This Row],[Horas Planificadas]],0)</f>
        <v>0</v>
      </c>
      <c r="V2987" s="43">
        <f>IF(Planning[[#This Row],[Horas Planificadas]]&lt;&gt;0,Planning[[#This Row],[Horas utilizadas]]/Planning[[#This Row],[Horas Planificadas]],0)</f>
        <v>0</v>
      </c>
      <c r="W2987" s="44">
        <f>Planning[[#This Row],[Horas Planificadas]]+Planning[[#This Row],[Horas ajustadas adicionales]]</f>
        <v>0</v>
      </c>
      <c r="X2987" s="142"/>
    </row>
    <row r="2988" spans="1:24" x14ac:dyDescent="0.2">
      <c r="A2988" s="7" t="s">
        <v>483</v>
      </c>
      <c r="B2988" s="7" t="s">
        <v>169</v>
      </c>
      <c r="C2988" s="3"/>
      <c r="D2988" s="3" t="s">
        <v>580</v>
      </c>
      <c r="E2988" s="4"/>
      <c r="F2988" s="3" t="s">
        <v>127</v>
      </c>
      <c r="G2988" s="9"/>
      <c r="H2988" s="9"/>
      <c r="I2988" s="12"/>
      <c r="J2988" s="5" t="e">
        <f>SUM(SUMIFS(#REF!,#REF!,Planning[[#This Row],[Tipo de Tarea y especialidad]],#REF!,Planning[[#This Row],[Proyectos Reiwa]]),SUMIFS(#REF!,#REF!,Planning[[#This Row],[Tipo de Tarea y especialidad]],#REF!,Planning[[#This Row],[Proyectos]]))</f>
        <v>#REF!</v>
      </c>
      <c r="K2988" s="5" t="e">
        <f>Planning[[#This Row],[Horas Planificadas]]+Planning[[#This Row],[Horas ajustadas adicionales]]-Planning[[#This Row],[Horas utilizadas]]</f>
        <v>#REF!</v>
      </c>
      <c r="L2988" s="7">
        <v>0</v>
      </c>
      <c r="M2988" s="19" t="e">
        <f>Planning[[#This Row],[Saldo]]-Planning[[#This Row],[Saldo estimado]]</f>
        <v>#REF!</v>
      </c>
      <c r="N2988" s="64" t="e">
        <f>+SUMIFS(#REF!,#REF!,Planning[[#This Row],[Proyectos]],#REF!,Planning[[#This Row],[Tipo de Tarea y especialidad]])</f>
        <v>#REF!</v>
      </c>
      <c r="O2988" s="49">
        <f t="shared" si="92"/>
        <v>10</v>
      </c>
      <c r="P2988" s="49">
        <f t="shared" si="93"/>
        <v>2024</v>
      </c>
      <c r="Q29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88" s="34" t="str">
        <f>TEXT(Planning[[#This Row],[Mes]]*29,"mmmm")</f>
        <v>October</v>
      </c>
      <c r="S298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88" s="252"/>
      <c r="U2988" s="43">
        <f>IF(Planning[[#This Row],[Horas Planificadas]]&lt;&gt;0,+K2988/Planning[[#This Row],[Horas Planificadas]],0)</f>
        <v>0</v>
      </c>
      <c r="V2988" s="43">
        <f>IF(Planning[[#This Row],[Horas Planificadas]]&lt;&gt;0,Planning[[#This Row],[Horas utilizadas]]/Planning[[#This Row],[Horas Planificadas]],0)</f>
        <v>0</v>
      </c>
      <c r="W2988" s="44">
        <f>Planning[[#This Row],[Horas Planificadas]]+Planning[[#This Row],[Horas ajustadas adicionales]]</f>
        <v>0</v>
      </c>
      <c r="X2988" s="142"/>
    </row>
    <row r="2989" spans="1:24" x14ac:dyDescent="0.2">
      <c r="A2989" s="7" t="s">
        <v>483</v>
      </c>
      <c r="B2989" s="7" t="s">
        <v>169</v>
      </c>
      <c r="C2989" s="3"/>
      <c r="D2989" s="3" t="s">
        <v>580</v>
      </c>
      <c r="E2989" s="4"/>
      <c r="F2989" s="3" t="s">
        <v>128</v>
      </c>
      <c r="G2989" s="9"/>
      <c r="H2989" s="9"/>
      <c r="I2989" s="12"/>
      <c r="J2989" s="5" t="e">
        <f>SUM(SUMIFS(#REF!,#REF!,Planning[[#This Row],[Tipo de Tarea y especialidad]],#REF!,Planning[[#This Row],[Proyectos Reiwa]]),SUMIFS(#REF!,#REF!,Planning[[#This Row],[Tipo de Tarea y especialidad]],#REF!,Planning[[#This Row],[Proyectos]]))</f>
        <v>#REF!</v>
      </c>
      <c r="K2989" s="5" t="e">
        <f>Planning[[#This Row],[Horas Planificadas]]+Planning[[#This Row],[Horas ajustadas adicionales]]-Planning[[#This Row],[Horas utilizadas]]</f>
        <v>#REF!</v>
      </c>
      <c r="L2989" s="7">
        <v>0</v>
      </c>
      <c r="M2989" s="19" t="e">
        <f>Planning[[#This Row],[Saldo]]-Planning[[#This Row],[Saldo estimado]]</f>
        <v>#REF!</v>
      </c>
      <c r="N2989" s="64" t="e">
        <f>+SUMIFS(#REF!,#REF!,Planning[[#This Row],[Proyectos]],#REF!,Planning[[#This Row],[Tipo de Tarea y especialidad]])</f>
        <v>#REF!</v>
      </c>
      <c r="O2989" s="49">
        <f t="shared" si="92"/>
        <v>10</v>
      </c>
      <c r="P2989" s="49">
        <f t="shared" si="93"/>
        <v>2024</v>
      </c>
      <c r="Q29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89" s="34" t="str">
        <f>TEXT(Planning[[#This Row],[Mes]]*29,"mmmm")</f>
        <v>October</v>
      </c>
      <c r="S298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89" s="252"/>
      <c r="U2989" s="43">
        <f>IF(Planning[[#This Row],[Horas Planificadas]]&lt;&gt;0,+K2989/Planning[[#This Row],[Horas Planificadas]],0)</f>
        <v>0</v>
      </c>
      <c r="V2989" s="43">
        <f>IF(Planning[[#This Row],[Horas Planificadas]]&lt;&gt;0,Planning[[#This Row],[Horas utilizadas]]/Planning[[#This Row],[Horas Planificadas]],0)</f>
        <v>0</v>
      </c>
      <c r="W2989" s="44">
        <f>Planning[[#This Row],[Horas Planificadas]]+Planning[[#This Row],[Horas ajustadas adicionales]]</f>
        <v>0</v>
      </c>
      <c r="X2989" s="142"/>
    </row>
    <row r="2990" spans="1:24" x14ac:dyDescent="0.2">
      <c r="A2990" s="7" t="s">
        <v>483</v>
      </c>
      <c r="B2990" s="7" t="s">
        <v>169</v>
      </c>
      <c r="C2990" s="3"/>
      <c r="D2990" s="3" t="s">
        <v>580</v>
      </c>
      <c r="E2990" s="4" t="s">
        <v>31</v>
      </c>
      <c r="F2990" s="3" t="s">
        <v>31</v>
      </c>
      <c r="G2990" s="9">
        <v>12</v>
      </c>
      <c r="H2990" s="17">
        <v>12</v>
      </c>
      <c r="I2990" s="18"/>
      <c r="J2990" s="14" t="e">
        <f>+SUMIFS(#REF!,#REF!,Planning[[#This Row],[Tarifa]],#REF!,Planning[[#This Row],[Proyectos]])</f>
        <v>#REF!</v>
      </c>
      <c r="K2990" s="14" t="e">
        <f>Planning[[#This Row],[Horas Planificadas]]+Planning[[#This Row],[Horas ajustadas adicionales]]-Planning[[#This Row],[Horas utilizadas]]</f>
        <v>#REF!</v>
      </c>
      <c r="L2990" s="15">
        <v>0</v>
      </c>
      <c r="M2990" s="16" t="e">
        <f>Planning[[#This Row],[Saldo]]-Planning[[#This Row],[Saldo estimado]]</f>
        <v>#REF!</v>
      </c>
      <c r="N2990" s="64" t="e">
        <f>+SUMIFS(#REF!,#REF!,Planning[[#This Row],[Proyectos]],#REF!,Planning[[#This Row],[Tipo de Tarea y especialidad]])</f>
        <v>#REF!</v>
      </c>
      <c r="O2990" s="50">
        <f t="shared" si="92"/>
        <v>10</v>
      </c>
      <c r="P2990" s="50">
        <f t="shared" si="93"/>
        <v>2024</v>
      </c>
      <c r="Q2990" s="16" t="e">
        <f>+SUMIFS(#REF!,#REF!,Planning[[#This Row],[Tarifa]],#REF!,Planning[[#This Row],[Proyectos]],#REF!,Planning[[#This Row],[Mes]],#REF!,Planning[[#This Row],[Año]])</f>
        <v>#REF!</v>
      </c>
      <c r="R2990" s="35" t="str">
        <f>TEXT(Planning[[#This Row],[Mes]]*29,"mmmm")</f>
        <v>October</v>
      </c>
      <c r="S299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90" s="252"/>
      <c r="U2990" s="43" t="e">
        <f>IF(Planning[[#This Row],[Horas Planificadas]]&lt;&gt;0,+K2990/Planning[[#This Row],[Horas Planificadas]],0)</f>
        <v>#REF!</v>
      </c>
      <c r="V2990" s="43" t="e">
        <f>IF(Planning[[#This Row],[Horas Planificadas]]&lt;&gt;0,Planning[[#This Row],[Horas utilizadas]]/Planning[[#This Row],[Horas Planificadas]],0)</f>
        <v>#REF!</v>
      </c>
      <c r="W2990" s="44">
        <f>Planning[[#This Row],[Horas Planificadas]]+Planning[[#This Row],[Horas ajustadas adicionales]]</f>
        <v>12</v>
      </c>
      <c r="X2990" s="142"/>
    </row>
    <row r="2991" spans="1:24" ht="22.5" x14ac:dyDescent="0.2">
      <c r="A2991" s="7" t="s">
        <v>483</v>
      </c>
      <c r="B2991" s="7" t="s">
        <v>169</v>
      </c>
      <c r="C2991" s="3"/>
      <c r="D2991" s="3" t="s">
        <v>580</v>
      </c>
      <c r="E2991" s="4" t="s">
        <v>32</v>
      </c>
      <c r="F2991" s="3"/>
      <c r="G2991" s="9">
        <v>28</v>
      </c>
      <c r="H2991" s="14">
        <f>SUM(H2992:H2994)</f>
        <v>28</v>
      </c>
      <c r="I2991" s="14"/>
      <c r="J2991" s="14" t="e">
        <f>SUM(J2992:J2994)</f>
        <v>#REF!</v>
      </c>
      <c r="K2991" s="15" t="e">
        <f>SUM(K2992:K2994)</f>
        <v>#REF!</v>
      </c>
      <c r="L2991" s="15">
        <f>SUM(L2992:L2994)</f>
        <v>0</v>
      </c>
      <c r="M2991" s="16" t="e">
        <f>SUM(M2992:M2994)</f>
        <v>#REF!</v>
      </c>
      <c r="N2991" s="64" t="e">
        <f>+SUMIFS(#REF!,#REF!,Planning[[#This Row],[Proyectos]],#REF!,Planning[[#This Row],[Tipo de Tarea y especialidad]])</f>
        <v>#REF!</v>
      </c>
      <c r="O2991" s="50">
        <f t="shared" si="92"/>
        <v>10</v>
      </c>
      <c r="P2991" s="50">
        <f t="shared" si="93"/>
        <v>2024</v>
      </c>
      <c r="Q2991" s="16" t="e">
        <f>SUM(Q2992:Q2994)</f>
        <v>#REF!</v>
      </c>
      <c r="R2991" s="35" t="str">
        <f>TEXT(Planning[[#This Row],[Mes]]*29,"mmmm")</f>
        <v>October</v>
      </c>
      <c r="S299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91" s="252"/>
      <c r="U2991" s="43" t="e">
        <f>IF(Planning[[#This Row],[Horas Planificadas]]&lt;&gt;0,+K2991/Planning[[#This Row],[Horas Planificadas]],0)</f>
        <v>#REF!</v>
      </c>
      <c r="V2991" s="43" t="e">
        <f>IF(Planning[[#This Row],[Horas Planificadas]]&lt;&gt;0,Planning[[#This Row],[Horas utilizadas]]/Planning[[#This Row],[Horas Planificadas]],0)</f>
        <v>#REF!</v>
      </c>
      <c r="W2991" s="44">
        <f>Planning[[#This Row],[Horas Planificadas]]+Planning[[#This Row],[Horas ajustadas adicionales]]</f>
        <v>28</v>
      </c>
      <c r="X2991" s="142"/>
    </row>
    <row r="2992" spans="1:24" x14ac:dyDescent="0.2">
      <c r="A2992" s="7" t="s">
        <v>483</v>
      </c>
      <c r="B2992" s="7" t="s">
        <v>169</v>
      </c>
      <c r="C2992" s="3"/>
      <c r="D2992" s="3" t="s">
        <v>580</v>
      </c>
      <c r="E2992" s="4"/>
      <c r="F2992" s="3" t="s">
        <v>129</v>
      </c>
      <c r="G2992" s="9"/>
      <c r="H2992" s="20"/>
      <c r="I2992" s="12"/>
      <c r="J2992" s="5" t="e">
        <f>SUM(SUMIFS(#REF!,#REF!,Planning[[#This Row],[Tipo de Tarea y especialidad]],#REF!,Planning[[#This Row],[Proyectos Reiwa]]),SUMIFS(#REF!,#REF!,Planning[[#This Row],[Tipo de Tarea y especialidad]],#REF!,Planning[[#This Row],[Proyectos]]))</f>
        <v>#REF!</v>
      </c>
      <c r="K2992" s="5" t="e">
        <f>Planning[[#This Row],[Horas Planificadas]]+Planning[[#This Row],[Horas ajustadas adicionales]]-Planning[[#This Row],[Horas utilizadas]]</f>
        <v>#REF!</v>
      </c>
      <c r="L2992" s="7">
        <v>0</v>
      </c>
      <c r="M2992" s="19" t="e">
        <f>Planning[[#This Row],[Saldo]]-Planning[[#This Row],[Saldo estimado]]</f>
        <v>#REF!</v>
      </c>
      <c r="N2992" s="64" t="e">
        <f>+SUMIFS(#REF!,#REF!,Planning[[#This Row],[Proyectos]],#REF!,Planning[[#This Row],[Tipo de Tarea y especialidad]])</f>
        <v>#REF!</v>
      </c>
      <c r="O2992" s="49">
        <f t="shared" si="92"/>
        <v>10</v>
      </c>
      <c r="P2992" s="49">
        <f t="shared" si="93"/>
        <v>2024</v>
      </c>
      <c r="Q29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92" s="34" t="str">
        <f>TEXT(Planning[[#This Row],[Mes]]*29,"mmmm")</f>
        <v>October</v>
      </c>
      <c r="S299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92" s="252"/>
      <c r="U2992" s="43">
        <f>IF(Planning[[#This Row],[Horas Planificadas]]&lt;&gt;0,+K2992/Planning[[#This Row],[Horas Planificadas]],0)</f>
        <v>0</v>
      </c>
      <c r="V2992" s="43">
        <f>IF(Planning[[#This Row],[Horas Planificadas]]&lt;&gt;0,Planning[[#This Row],[Horas utilizadas]]/Planning[[#This Row],[Horas Planificadas]],0)</f>
        <v>0</v>
      </c>
      <c r="W2992" s="44">
        <f>Planning[[#This Row],[Horas Planificadas]]+Planning[[#This Row],[Horas ajustadas adicionales]]</f>
        <v>0</v>
      </c>
      <c r="X2992" s="142"/>
    </row>
    <row r="2993" spans="1:24" x14ac:dyDescent="0.2">
      <c r="A2993" s="7" t="s">
        <v>483</v>
      </c>
      <c r="B2993" s="7" t="s">
        <v>169</v>
      </c>
      <c r="C2993" s="3"/>
      <c r="D2993" s="3" t="s">
        <v>580</v>
      </c>
      <c r="E2993" s="4"/>
      <c r="F2993" s="3" t="s">
        <v>130</v>
      </c>
      <c r="G2993" s="9"/>
      <c r="H2993" s="20">
        <v>28</v>
      </c>
      <c r="I2993" s="12"/>
      <c r="J2993" s="5" t="e">
        <f>SUM(SUMIFS(#REF!,#REF!,Planning[[#This Row],[Tipo de Tarea y especialidad]],#REF!,Planning[[#This Row],[Proyectos Reiwa]]),SUMIFS(#REF!,#REF!,Planning[[#This Row],[Tipo de Tarea y especialidad]],#REF!,Planning[[#This Row],[Proyectos]]))</f>
        <v>#REF!</v>
      </c>
      <c r="K2993" s="5" t="e">
        <f>Planning[[#This Row],[Horas Planificadas]]+Planning[[#This Row],[Horas ajustadas adicionales]]-Planning[[#This Row],[Horas utilizadas]]</f>
        <v>#REF!</v>
      </c>
      <c r="L2993" s="7">
        <v>0</v>
      </c>
      <c r="M2993" s="19" t="e">
        <f>Planning[[#This Row],[Saldo]]-Planning[[#This Row],[Saldo estimado]]</f>
        <v>#REF!</v>
      </c>
      <c r="N2993" s="64" t="e">
        <f>+SUMIFS(#REF!,#REF!,Planning[[#This Row],[Proyectos]],#REF!,Planning[[#This Row],[Tipo de Tarea y especialidad]])</f>
        <v>#REF!</v>
      </c>
      <c r="O2993" s="49">
        <f t="shared" si="92"/>
        <v>10</v>
      </c>
      <c r="P2993" s="49">
        <f t="shared" si="93"/>
        <v>2024</v>
      </c>
      <c r="Q29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93" s="34" t="str">
        <f>TEXT(Planning[[#This Row],[Mes]]*29,"mmmm")</f>
        <v>October</v>
      </c>
      <c r="S299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93" s="252"/>
      <c r="U2993" s="43" t="e">
        <f>IF(Planning[[#This Row],[Horas Planificadas]]&lt;&gt;0,+K2993/Planning[[#This Row],[Horas Planificadas]],0)</f>
        <v>#REF!</v>
      </c>
      <c r="V2993" s="43" t="e">
        <f>IF(Planning[[#This Row],[Horas Planificadas]]&lt;&gt;0,Planning[[#This Row],[Horas utilizadas]]/Planning[[#This Row],[Horas Planificadas]],0)</f>
        <v>#REF!</v>
      </c>
      <c r="W2993" s="44">
        <f>Planning[[#This Row],[Horas Planificadas]]+Planning[[#This Row],[Horas ajustadas adicionales]]</f>
        <v>28</v>
      </c>
      <c r="X2993" s="142"/>
    </row>
    <row r="2994" spans="1:24" x14ac:dyDescent="0.2">
      <c r="A2994" s="7" t="s">
        <v>483</v>
      </c>
      <c r="B2994" s="7" t="s">
        <v>169</v>
      </c>
      <c r="C2994" s="3"/>
      <c r="D2994" s="3" t="s">
        <v>580</v>
      </c>
      <c r="E2994" s="4"/>
      <c r="F2994" s="3" t="s">
        <v>131</v>
      </c>
      <c r="G2994" s="9"/>
      <c r="H2994" s="20"/>
      <c r="I2994" s="12"/>
      <c r="J2994" s="5" t="e">
        <f>SUM(SUMIFS(#REF!,#REF!,Planning[[#This Row],[Tipo de Tarea y especialidad]],#REF!,Planning[[#This Row],[Proyectos Reiwa]]),SUMIFS(#REF!,#REF!,Planning[[#This Row],[Tipo de Tarea y especialidad]],#REF!,Planning[[#This Row],[Proyectos]]))</f>
        <v>#REF!</v>
      </c>
      <c r="K2994" s="5" t="e">
        <f>Planning[[#This Row],[Horas Planificadas]]+Planning[[#This Row],[Horas ajustadas adicionales]]-Planning[[#This Row],[Horas utilizadas]]</f>
        <v>#REF!</v>
      </c>
      <c r="L2994" s="7">
        <v>0</v>
      </c>
      <c r="M2994" s="19" t="e">
        <f>Planning[[#This Row],[Saldo]]-Planning[[#This Row],[Saldo estimado]]</f>
        <v>#REF!</v>
      </c>
      <c r="N2994" s="65" t="e">
        <f>+SUMIFS(#REF!,#REF!,Planning[[#This Row],[Proyectos]],#REF!,Planning[[#This Row],[Tipo de Tarea y especialidad]])</f>
        <v>#REF!</v>
      </c>
      <c r="O2994" s="51">
        <f t="shared" si="92"/>
        <v>10</v>
      </c>
      <c r="P2994" s="51">
        <f t="shared" si="93"/>
        <v>2024</v>
      </c>
      <c r="Q29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94" s="34" t="str">
        <f>TEXT(Planning[[#This Row],[Mes]]*29,"mmmm")</f>
        <v>October</v>
      </c>
      <c r="S299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94" s="253"/>
      <c r="U2994" s="43">
        <f>IF(Planning[[#This Row],[Horas Planificadas]]&lt;&gt;0,+K2994/Planning[[#This Row],[Horas Planificadas]],0)</f>
        <v>0</v>
      </c>
      <c r="V2994" s="43">
        <f>IF(Planning[[#This Row],[Horas Planificadas]]&lt;&gt;0,Planning[[#This Row],[Horas utilizadas]]/Planning[[#This Row],[Horas Planificadas]],0)</f>
        <v>0</v>
      </c>
      <c r="W2994" s="44">
        <f>Planning[[#This Row],[Horas Planificadas]]+Planning[[#This Row],[Horas ajustadas adicionales]]</f>
        <v>0</v>
      </c>
      <c r="X2994" s="142"/>
    </row>
    <row r="2995" spans="1:24" ht="12.75" customHeight="1" x14ac:dyDescent="0.2">
      <c r="A2995" s="7" t="s">
        <v>177</v>
      </c>
      <c r="B2995" s="7" t="s">
        <v>582</v>
      </c>
      <c r="C2995" s="129">
        <v>116873</v>
      </c>
      <c r="D2995" s="3" t="s">
        <v>583</v>
      </c>
      <c r="E2995" s="4" t="s">
        <v>28</v>
      </c>
      <c r="F2995" s="3"/>
      <c r="G2995" s="9">
        <v>185</v>
      </c>
      <c r="H2995" s="14">
        <f>SUM(H2996:H2997)</f>
        <v>185</v>
      </c>
      <c r="I2995" s="14"/>
      <c r="J2995" s="14" t="e">
        <f>SUM(J2996:J2997)</f>
        <v>#REF!</v>
      </c>
      <c r="K2995" s="15" t="e">
        <f>SUM(K2996:K2997)</f>
        <v>#REF!</v>
      </c>
      <c r="L2995" s="15">
        <f>SUM(L2996:L2997)</f>
        <v>114</v>
      </c>
      <c r="M2995" s="14" t="e">
        <f>SUM(M2996:M2997)</f>
        <v>#REF!</v>
      </c>
      <c r="N2995" s="66" t="e">
        <f>+SUMIFS(#REF!,#REF!,Planning[[#This Row],[Proyectos]],#REF!,Planning[[#This Row],[Tipo de Tarea y especialidad]])</f>
        <v>#REF!</v>
      </c>
      <c r="O2995" s="14">
        <f t="shared" si="92"/>
        <v>10</v>
      </c>
      <c r="P2995" s="14">
        <f t="shared" si="93"/>
        <v>2024</v>
      </c>
      <c r="Q2995" s="28" t="e">
        <f>SUM(Q2996:Q2997)</f>
        <v>#REF!</v>
      </c>
      <c r="R2995" s="28" t="str">
        <f>TEXT(Planning[[#This Row],[Mes]]*29,"mmmm")</f>
        <v>October</v>
      </c>
      <c r="S29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95" s="192" t="s">
        <v>584</v>
      </c>
      <c r="U2995" s="43" t="e">
        <f>IF(Planning[[#This Row],[Horas Planificadas]]&lt;&gt;0,+K2995/Planning[[#This Row],[Horas Planificadas]],0)</f>
        <v>#REF!</v>
      </c>
      <c r="V2995" s="43" t="e">
        <f>IF(Planning[[#This Row],[Horas Planificadas]]&lt;&gt;0,Planning[[#This Row],[Horas utilizadas]]/Planning[[#This Row],[Horas Planificadas]],0)</f>
        <v>#REF!</v>
      </c>
      <c r="W2995" s="44">
        <f>Planning[[#This Row],[Horas Planificadas]]+Planning[[#This Row],[Horas ajustadas adicionales]]</f>
        <v>185</v>
      </c>
      <c r="X2995" s="142"/>
    </row>
    <row r="2996" spans="1:24" x14ac:dyDescent="0.2">
      <c r="A2996" s="7" t="s">
        <v>177</v>
      </c>
      <c r="B2996" s="7" t="s">
        <v>582</v>
      </c>
      <c r="C2996" s="128">
        <v>116873</v>
      </c>
      <c r="D2996" s="3" t="s">
        <v>583</v>
      </c>
      <c r="E2996" s="4"/>
      <c r="F2996" s="3" t="s">
        <v>120</v>
      </c>
      <c r="G2996" s="9"/>
      <c r="H2996" s="9">
        <v>140</v>
      </c>
      <c r="I2996" s="12"/>
      <c r="J2996" s="5" t="e">
        <f>SUM(SUMIFS(#REF!,#REF!,Planning[[#This Row],[Tipo de Tarea y especialidad]],#REF!,Planning[[#This Row],[Proyectos Reiwa]]),SUMIFS(#REF!,#REF!,Planning[[#This Row],[Tipo de Tarea y especialidad]],#REF!,Planning[[#This Row],[Proyectos]]))</f>
        <v>#REF!</v>
      </c>
      <c r="K2996" s="5" t="e">
        <f>Planning[[#This Row],[Horas Planificadas]]+Planning[[#This Row],[Horas ajustadas adicionales]]-Planning[[#This Row],[Horas utilizadas]]</f>
        <v>#REF!</v>
      </c>
      <c r="L2996" s="7">
        <v>105</v>
      </c>
      <c r="M2996" s="19" t="e">
        <f>Planning[[#This Row],[Saldo]]-Planning[[#This Row],[Saldo estimado]]</f>
        <v>#REF!</v>
      </c>
      <c r="N2996" s="60" t="e">
        <f>+SUMIFS(#REF!,#REF!,Planning[[#This Row],[Proyectos]],#REF!,Planning[[#This Row],[Tipo de Tarea y especialidad]])</f>
        <v>#REF!</v>
      </c>
      <c r="O2996" s="19">
        <f t="shared" si="92"/>
        <v>10</v>
      </c>
      <c r="P2996" s="19">
        <f t="shared" si="93"/>
        <v>2024</v>
      </c>
      <c r="Q29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96" s="19" t="str">
        <f>TEXT(Planning[[#This Row],[Mes]]*29,"mmmm")</f>
        <v>October</v>
      </c>
      <c r="S29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96" s="193"/>
      <c r="U2996" s="43" t="e">
        <f>IF(Planning[[#This Row],[Horas Planificadas]]&lt;&gt;0,+K2996/Planning[[#This Row],[Horas Planificadas]],0)</f>
        <v>#REF!</v>
      </c>
      <c r="V2996" s="43" t="e">
        <f>IF(Planning[[#This Row],[Horas Planificadas]]&lt;&gt;0,Planning[[#This Row],[Horas utilizadas]]/Planning[[#This Row],[Horas Planificadas]],0)</f>
        <v>#REF!</v>
      </c>
      <c r="W2996" s="44">
        <f>Planning[[#This Row],[Horas Planificadas]]+Planning[[#This Row],[Horas ajustadas adicionales]]</f>
        <v>140</v>
      </c>
      <c r="X2996" s="142"/>
    </row>
    <row r="2997" spans="1:24" x14ac:dyDescent="0.2">
      <c r="A2997" s="7" t="s">
        <v>177</v>
      </c>
      <c r="B2997" s="7" t="s">
        <v>582</v>
      </c>
      <c r="C2997" s="129">
        <v>116873</v>
      </c>
      <c r="D2997" s="3" t="s">
        <v>583</v>
      </c>
      <c r="E2997" s="4"/>
      <c r="F2997" s="3" t="s">
        <v>121</v>
      </c>
      <c r="G2997" s="9"/>
      <c r="H2997" s="9">
        <v>45</v>
      </c>
      <c r="I2997" s="12"/>
      <c r="J2997" s="5" t="e">
        <f>SUM(SUMIFS(#REF!,#REF!,Planning[[#This Row],[Tipo de Tarea y especialidad]],#REF!,Planning[[#This Row],[Proyectos Reiwa]]),SUMIFS(#REF!,#REF!,Planning[[#This Row],[Tipo de Tarea y especialidad]],#REF!,Planning[[#This Row],[Proyectos]]))</f>
        <v>#REF!</v>
      </c>
      <c r="K2997" s="5" t="e">
        <f>Planning[[#This Row],[Horas Planificadas]]+Planning[[#This Row],[Horas ajustadas adicionales]]-Planning[[#This Row],[Horas utilizadas]]</f>
        <v>#REF!</v>
      </c>
      <c r="L2997" s="7">
        <v>9</v>
      </c>
      <c r="M2997" s="19" t="e">
        <f>Planning[[#This Row],[Saldo]]-Planning[[#This Row],[Saldo estimado]]</f>
        <v>#REF!</v>
      </c>
      <c r="N2997" s="60" t="e">
        <f>+SUMIFS(#REF!,#REF!,Planning[[#This Row],[Proyectos]],#REF!,Planning[[#This Row],[Tipo de Tarea y especialidad]])</f>
        <v>#REF!</v>
      </c>
      <c r="O2997" s="19">
        <f t="shared" si="92"/>
        <v>10</v>
      </c>
      <c r="P2997" s="19">
        <f t="shared" si="93"/>
        <v>2024</v>
      </c>
      <c r="Q29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97" s="19" t="str">
        <f>TEXT(Planning[[#This Row],[Mes]]*29,"mmmm")</f>
        <v>October</v>
      </c>
      <c r="S29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97" s="193"/>
      <c r="U2997" s="43" t="e">
        <f>IF(Planning[[#This Row],[Horas Planificadas]]&lt;&gt;0,+K2997/Planning[[#This Row],[Horas Planificadas]],0)</f>
        <v>#REF!</v>
      </c>
      <c r="V2997" s="43" t="e">
        <f>IF(Planning[[#This Row],[Horas Planificadas]]&lt;&gt;0,Planning[[#This Row],[Horas utilizadas]]/Planning[[#This Row],[Horas Planificadas]],0)</f>
        <v>#REF!</v>
      </c>
      <c r="W2997" s="44">
        <f>Planning[[#This Row],[Horas Planificadas]]+Planning[[#This Row],[Horas ajustadas adicionales]]</f>
        <v>45</v>
      </c>
      <c r="X2997" s="142"/>
    </row>
    <row r="2998" spans="1:24" x14ac:dyDescent="0.2">
      <c r="A2998" s="7" t="s">
        <v>177</v>
      </c>
      <c r="B2998" s="7" t="s">
        <v>582</v>
      </c>
      <c r="C2998" s="128">
        <v>116873</v>
      </c>
      <c r="D2998" s="3" t="s">
        <v>583</v>
      </c>
      <c r="E2998" s="4" t="s">
        <v>30</v>
      </c>
      <c r="F2998" s="3"/>
      <c r="G2998" s="9">
        <v>307</v>
      </c>
      <c r="H2998" s="14">
        <f>SUM(H2999:H3005)</f>
        <v>351</v>
      </c>
      <c r="I2998" s="14"/>
      <c r="J2998" s="14" t="e">
        <f>SUM(J2999:J3005)</f>
        <v>#REF!</v>
      </c>
      <c r="K2998" s="15" t="e">
        <f>SUM(K2999:K3005)</f>
        <v>#REF!</v>
      </c>
      <c r="L2998" s="15">
        <f>SUM(L2999:L3005)</f>
        <v>288</v>
      </c>
      <c r="M2998" s="16" t="e">
        <f>SUM(M2999:M3005)</f>
        <v>#REF!</v>
      </c>
      <c r="N2998" s="60" t="e">
        <f>+SUMIFS(#REF!,#REF!,Planning[[#This Row],[Proyectos]],#REF!,Planning[[#This Row],[Tipo de Tarea y especialidad]])</f>
        <v>#REF!</v>
      </c>
      <c r="O2998" s="16">
        <f t="shared" si="92"/>
        <v>10</v>
      </c>
      <c r="P2998" s="16">
        <f t="shared" si="93"/>
        <v>2024</v>
      </c>
      <c r="Q2998" s="16" t="e">
        <f>SUM(Q2999:Q3005)</f>
        <v>#REF!</v>
      </c>
      <c r="R2998" s="16" t="str">
        <f>TEXT(Planning[[#This Row],[Mes]]*29,"mmmm")</f>
        <v>October</v>
      </c>
      <c r="S29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98" s="193"/>
      <c r="U2998" s="43" t="e">
        <f>IF(Planning[[#This Row],[Horas Planificadas]]&lt;&gt;0,+K2998/Planning[[#This Row],[Horas Planificadas]],0)</f>
        <v>#REF!</v>
      </c>
      <c r="V2998" s="43" t="e">
        <f>IF(Planning[[#This Row],[Horas Planificadas]]&lt;&gt;0,Planning[[#This Row],[Horas utilizadas]]/Planning[[#This Row],[Horas Planificadas]],0)</f>
        <v>#REF!</v>
      </c>
      <c r="W2998" s="44">
        <f>Planning[[#This Row],[Horas Planificadas]]+Planning[[#This Row],[Horas ajustadas adicionales]]</f>
        <v>351</v>
      </c>
      <c r="X2998" s="142"/>
    </row>
    <row r="2999" spans="1:24" x14ac:dyDescent="0.2">
      <c r="A2999" s="7" t="s">
        <v>177</v>
      </c>
      <c r="B2999" s="7" t="s">
        <v>582</v>
      </c>
      <c r="C2999" s="129">
        <v>116873</v>
      </c>
      <c r="D2999" s="3" t="s">
        <v>583</v>
      </c>
      <c r="E2999" s="4"/>
      <c r="F2999" s="3" t="s">
        <v>122</v>
      </c>
      <c r="G2999" s="20"/>
      <c r="H2999" s="9">
        <v>72</v>
      </c>
      <c r="I2999" s="12"/>
      <c r="J2999" s="5" t="e">
        <f>SUM(SUMIFS(#REF!,#REF!,Planning[[#This Row],[Tipo de Tarea y especialidad]],#REF!,Planning[[#This Row],[Proyectos Reiwa]]),SUMIFS(#REF!,#REF!,Planning[[#This Row],[Tipo de Tarea y especialidad]],#REF!,Planning[[#This Row],[Proyectos]]))</f>
        <v>#REF!</v>
      </c>
      <c r="K2999" s="5" t="e">
        <f>Planning[[#This Row],[Horas Planificadas]]+Planning[[#This Row],[Horas ajustadas adicionales]]-Planning[[#This Row],[Horas utilizadas]]</f>
        <v>#REF!</v>
      </c>
      <c r="L2999" s="7">
        <v>72</v>
      </c>
      <c r="M2999" s="19" t="e">
        <f>Planning[[#This Row],[Saldo]]-Planning[[#This Row],[Saldo estimado]]</f>
        <v>#REF!</v>
      </c>
      <c r="N2999" s="60" t="e">
        <f>+SUMIFS(#REF!,#REF!,Planning[[#This Row],[Proyectos]],#REF!,Planning[[#This Row],[Tipo de Tarea y especialidad]])</f>
        <v>#REF!</v>
      </c>
      <c r="O2999" s="19">
        <f t="shared" si="92"/>
        <v>10</v>
      </c>
      <c r="P2999" s="19">
        <f t="shared" si="93"/>
        <v>2024</v>
      </c>
      <c r="Q29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2999" s="19" t="str">
        <f>TEXT(Planning[[#This Row],[Mes]]*29,"mmmm")</f>
        <v>October</v>
      </c>
      <c r="S29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2999" s="193"/>
      <c r="U2999" s="43" t="e">
        <f>IF(Planning[[#This Row],[Horas Planificadas]]&lt;&gt;0,+K2999/Planning[[#This Row],[Horas Planificadas]],0)</f>
        <v>#REF!</v>
      </c>
      <c r="V2999" s="43" t="e">
        <f>IF(Planning[[#This Row],[Horas Planificadas]]&lt;&gt;0,Planning[[#This Row],[Horas utilizadas]]/Planning[[#This Row],[Horas Planificadas]],0)</f>
        <v>#REF!</v>
      </c>
      <c r="W2999" s="44">
        <f>Planning[[#This Row],[Horas Planificadas]]+Planning[[#This Row],[Horas ajustadas adicionales]]</f>
        <v>72</v>
      </c>
      <c r="X2999" s="142"/>
    </row>
    <row r="3000" spans="1:24" x14ac:dyDescent="0.2">
      <c r="A3000" s="7" t="s">
        <v>177</v>
      </c>
      <c r="B3000" s="7" t="s">
        <v>582</v>
      </c>
      <c r="C3000" s="128">
        <v>116873</v>
      </c>
      <c r="D3000" s="3" t="s">
        <v>583</v>
      </c>
      <c r="E3000" s="4"/>
      <c r="F3000" s="3" t="s">
        <v>123</v>
      </c>
      <c r="G3000" s="20"/>
      <c r="H3000" s="9">
        <v>279</v>
      </c>
      <c r="I3000" s="12"/>
      <c r="J3000" s="5" t="e">
        <f>SUM(SUMIFS(#REF!,#REF!,Planning[[#This Row],[Tipo de Tarea y especialidad]],#REF!,Planning[[#This Row],[Proyectos Reiwa]]),SUMIFS(#REF!,#REF!,Planning[[#This Row],[Tipo de Tarea y especialidad]],#REF!,Planning[[#This Row],[Proyectos]]))</f>
        <v>#REF!</v>
      </c>
      <c r="K3000" s="5" t="e">
        <f>Planning[[#This Row],[Horas Planificadas]]+Planning[[#This Row],[Horas ajustadas adicionales]]-Planning[[#This Row],[Horas utilizadas]]</f>
        <v>#REF!</v>
      </c>
      <c r="L3000" s="7">
        <v>116</v>
      </c>
      <c r="M3000" s="19" t="e">
        <f>Planning[[#This Row],[Saldo]]-Planning[[#This Row],[Saldo estimado]]</f>
        <v>#REF!</v>
      </c>
      <c r="N3000" s="60" t="e">
        <f>+SUMIFS(#REF!,#REF!,Planning[[#This Row],[Proyectos]],#REF!,Planning[[#This Row],[Tipo de Tarea y especialidad]])</f>
        <v>#REF!</v>
      </c>
      <c r="O3000" s="19">
        <f t="shared" si="92"/>
        <v>10</v>
      </c>
      <c r="P3000" s="19">
        <f t="shared" si="93"/>
        <v>2024</v>
      </c>
      <c r="Q30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00" s="19" t="str">
        <f>TEXT(Planning[[#This Row],[Mes]]*29,"mmmm")</f>
        <v>October</v>
      </c>
      <c r="S30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00" s="193"/>
      <c r="U3000" s="43" t="e">
        <f>IF(Planning[[#This Row],[Horas Planificadas]]&lt;&gt;0,+K3000/Planning[[#This Row],[Horas Planificadas]],0)</f>
        <v>#REF!</v>
      </c>
      <c r="V3000" s="43" t="e">
        <f>IF(Planning[[#This Row],[Horas Planificadas]]&lt;&gt;0,Planning[[#This Row],[Horas utilizadas]]/Planning[[#This Row],[Horas Planificadas]],0)</f>
        <v>#REF!</v>
      </c>
      <c r="W3000" s="44">
        <f>Planning[[#This Row],[Horas Planificadas]]+Planning[[#This Row],[Horas ajustadas adicionales]]</f>
        <v>279</v>
      </c>
      <c r="X3000" s="142"/>
    </row>
    <row r="3001" spans="1:24" x14ac:dyDescent="0.2">
      <c r="A3001" s="7" t="s">
        <v>177</v>
      </c>
      <c r="B3001" s="7" t="s">
        <v>582</v>
      </c>
      <c r="C3001" s="129">
        <v>116873</v>
      </c>
      <c r="D3001" s="3" t="s">
        <v>583</v>
      </c>
      <c r="E3001" s="4"/>
      <c r="F3001" s="3" t="s">
        <v>124</v>
      </c>
      <c r="G3001" s="20"/>
      <c r="H3001" s="9"/>
      <c r="I3001" s="12"/>
      <c r="J3001" s="5" t="e">
        <f>SUM(SUMIFS(#REF!,#REF!,Planning[[#This Row],[Tipo de Tarea y especialidad]],#REF!,Planning[[#This Row],[Proyectos Reiwa]]),SUMIFS(#REF!,#REF!,Planning[[#This Row],[Tipo de Tarea y especialidad]],#REF!,Planning[[#This Row],[Proyectos]]))</f>
        <v>#REF!</v>
      </c>
      <c r="K3001" s="5" t="e">
        <f>Planning[[#This Row],[Horas Planificadas]]+Planning[[#This Row],[Horas ajustadas adicionales]]-Planning[[#This Row],[Horas utilizadas]]</f>
        <v>#REF!</v>
      </c>
      <c r="L3001" s="7">
        <v>0</v>
      </c>
      <c r="M3001" s="19" t="e">
        <f>Planning[[#This Row],[Saldo]]-Planning[[#This Row],[Saldo estimado]]</f>
        <v>#REF!</v>
      </c>
      <c r="N3001" s="60" t="e">
        <f>+SUMIFS(#REF!,#REF!,Planning[[#This Row],[Proyectos]],#REF!,Planning[[#This Row],[Tipo de Tarea y especialidad]])</f>
        <v>#REF!</v>
      </c>
      <c r="O3001" s="19">
        <f t="shared" si="92"/>
        <v>10</v>
      </c>
      <c r="P3001" s="19">
        <f t="shared" si="93"/>
        <v>2024</v>
      </c>
      <c r="Q30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01" s="19" t="str">
        <f>TEXT(Planning[[#This Row],[Mes]]*29,"mmmm")</f>
        <v>October</v>
      </c>
      <c r="S30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01" s="193"/>
      <c r="U3001" s="43">
        <f>IF(Planning[[#This Row],[Horas Planificadas]]&lt;&gt;0,+K3001/Planning[[#This Row],[Horas Planificadas]],0)</f>
        <v>0</v>
      </c>
      <c r="V3001" s="43">
        <f>IF(Planning[[#This Row],[Horas Planificadas]]&lt;&gt;0,Planning[[#This Row],[Horas utilizadas]]/Planning[[#This Row],[Horas Planificadas]],0)</f>
        <v>0</v>
      </c>
      <c r="W3001" s="44">
        <f>Planning[[#This Row],[Horas Planificadas]]+Planning[[#This Row],[Horas ajustadas adicionales]]</f>
        <v>0</v>
      </c>
      <c r="X3001" s="142"/>
    </row>
    <row r="3002" spans="1:24" x14ac:dyDescent="0.2">
      <c r="A3002" s="7" t="s">
        <v>177</v>
      </c>
      <c r="B3002" s="7" t="s">
        <v>582</v>
      </c>
      <c r="C3002" s="128">
        <v>116873</v>
      </c>
      <c r="D3002" s="3" t="s">
        <v>583</v>
      </c>
      <c r="E3002" s="4"/>
      <c r="F3002" s="3" t="s">
        <v>125</v>
      </c>
      <c r="G3002" s="20"/>
      <c r="H3002" s="9"/>
      <c r="I3002" s="12"/>
      <c r="J3002" s="5" t="e">
        <f>SUM(SUMIFS(#REF!,#REF!,Planning[[#This Row],[Tipo de Tarea y especialidad]],#REF!,Planning[[#This Row],[Proyectos Reiwa]]),SUMIFS(#REF!,#REF!,Planning[[#This Row],[Tipo de Tarea y especialidad]],#REF!,Planning[[#This Row],[Proyectos]]))</f>
        <v>#REF!</v>
      </c>
      <c r="K3002" s="5" t="e">
        <f>Planning[[#This Row],[Horas Planificadas]]+Planning[[#This Row],[Horas ajustadas adicionales]]-Planning[[#This Row],[Horas utilizadas]]</f>
        <v>#REF!</v>
      </c>
      <c r="L3002" s="7">
        <v>100</v>
      </c>
      <c r="M3002" s="19" t="e">
        <f>Planning[[#This Row],[Saldo]]-Planning[[#This Row],[Saldo estimado]]</f>
        <v>#REF!</v>
      </c>
      <c r="N3002" s="60" t="e">
        <f>+SUMIFS(#REF!,#REF!,Planning[[#This Row],[Proyectos]],#REF!,Planning[[#This Row],[Tipo de Tarea y especialidad]])</f>
        <v>#REF!</v>
      </c>
      <c r="O3002" s="19">
        <f t="shared" si="92"/>
        <v>10</v>
      </c>
      <c r="P3002" s="19">
        <f t="shared" si="93"/>
        <v>2024</v>
      </c>
      <c r="Q30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02" s="19" t="str">
        <f>TEXT(Planning[[#This Row],[Mes]]*29,"mmmm")</f>
        <v>October</v>
      </c>
      <c r="S30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02" s="193"/>
      <c r="U3002" s="43">
        <f>IF(Planning[[#This Row],[Horas Planificadas]]&lt;&gt;0,+K3002/Planning[[#This Row],[Horas Planificadas]],0)</f>
        <v>0</v>
      </c>
      <c r="V3002" s="43">
        <f>IF(Planning[[#This Row],[Horas Planificadas]]&lt;&gt;0,Planning[[#This Row],[Horas utilizadas]]/Planning[[#This Row],[Horas Planificadas]],0)</f>
        <v>0</v>
      </c>
      <c r="W3002" s="44">
        <f>Planning[[#This Row],[Horas Planificadas]]+Planning[[#This Row],[Horas ajustadas adicionales]]</f>
        <v>0</v>
      </c>
      <c r="X3002" s="142"/>
    </row>
    <row r="3003" spans="1:24" x14ac:dyDescent="0.2">
      <c r="A3003" s="7" t="s">
        <v>177</v>
      </c>
      <c r="B3003" s="7" t="s">
        <v>582</v>
      </c>
      <c r="C3003" s="129">
        <v>116873</v>
      </c>
      <c r="D3003" s="3" t="s">
        <v>583</v>
      </c>
      <c r="E3003" s="4"/>
      <c r="F3003" s="3" t="s">
        <v>126</v>
      </c>
      <c r="G3003" s="20"/>
      <c r="H3003" s="9"/>
      <c r="I3003" s="12"/>
      <c r="J3003" s="5" t="e">
        <f>SUM(SUMIFS(#REF!,#REF!,Planning[[#This Row],[Tipo de Tarea y especialidad]],#REF!,Planning[[#This Row],[Proyectos Reiwa]]),SUMIFS(#REF!,#REF!,Planning[[#This Row],[Tipo de Tarea y especialidad]],#REF!,Planning[[#This Row],[Proyectos]]))</f>
        <v>#REF!</v>
      </c>
      <c r="K3003" s="5" t="e">
        <f>Planning[[#This Row],[Horas Planificadas]]+Planning[[#This Row],[Horas ajustadas adicionales]]-Planning[[#This Row],[Horas utilizadas]]</f>
        <v>#REF!</v>
      </c>
      <c r="L3003" s="7">
        <v>0</v>
      </c>
      <c r="M3003" s="19" t="e">
        <f>Planning[[#This Row],[Saldo]]-Planning[[#This Row],[Saldo estimado]]</f>
        <v>#REF!</v>
      </c>
      <c r="N3003" s="60" t="e">
        <f>+SUMIFS(#REF!,#REF!,Planning[[#This Row],[Proyectos]],#REF!,Planning[[#This Row],[Tipo de Tarea y especialidad]])</f>
        <v>#REF!</v>
      </c>
      <c r="O3003" s="19">
        <f t="shared" si="92"/>
        <v>10</v>
      </c>
      <c r="P3003" s="19">
        <f t="shared" si="93"/>
        <v>2024</v>
      </c>
      <c r="Q30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03" s="19" t="str">
        <f>TEXT(Planning[[#This Row],[Mes]]*29,"mmmm")</f>
        <v>October</v>
      </c>
      <c r="S30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03" s="193"/>
      <c r="U3003" s="43">
        <f>IF(Planning[[#This Row],[Horas Planificadas]]&lt;&gt;0,+K3003/Planning[[#This Row],[Horas Planificadas]],0)</f>
        <v>0</v>
      </c>
      <c r="V3003" s="43">
        <f>IF(Planning[[#This Row],[Horas Planificadas]]&lt;&gt;0,Planning[[#This Row],[Horas utilizadas]]/Planning[[#This Row],[Horas Planificadas]],0)</f>
        <v>0</v>
      </c>
      <c r="W3003" s="44">
        <f>Planning[[#This Row],[Horas Planificadas]]+Planning[[#This Row],[Horas ajustadas adicionales]]</f>
        <v>0</v>
      </c>
      <c r="X3003" s="142"/>
    </row>
    <row r="3004" spans="1:24" x14ac:dyDescent="0.2">
      <c r="A3004" s="7" t="s">
        <v>177</v>
      </c>
      <c r="B3004" s="7" t="s">
        <v>582</v>
      </c>
      <c r="C3004" s="128">
        <v>116873</v>
      </c>
      <c r="D3004" s="3" t="s">
        <v>583</v>
      </c>
      <c r="E3004" s="4"/>
      <c r="F3004" s="3" t="s">
        <v>127</v>
      </c>
      <c r="G3004" s="20"/>
      <c r="H3004" s="9"/>
      <c r="I3004" s="12"/>
      <c r="J3004" s="5" t="e">
        <f>SUM(SUMIFS(#REF!,#REF!,Planning[[#This Row],[Tipo de Tarea y especialidad]],#REF!,Planning[[#This Row],[Proyectos Reiwa]]),SUMIFS(#REF!,#REF!,Planning[[#This Row],[Tipo de Tarea y especialidad]],#REF!,Planning[[#This Row],[Proyectos]]))</f>
        <v>#REF!</v>
      </c>
      <c r="K3004" s="5" t="e">
        <f>Planning[[#This Row],[Horas Planificadas]]+Planning[[#This Row],[Horas ajustadas adicionales]]-Planning[[#This Row],[Horas utilizadas]]</f>
        <v>#REF!</v>
      </c>
      <c r="L3004" s="7">
        <v>0</v>
      </c>
      <c r="M3004" s="19" t="e">
        <f>Planning[[#This Row],[Saldo]]-Planning[[#This Row],[Saldo estimado]]</f>
        <v>#REF!</v>
      </c>
      <c r="N3004" s="60" t="e">
        <f>+SUMIFS(#REF!,#REF!,Planning[[#This Row],[Proyectos]],#REF!,Planning[[#This Row],[Tipo de Tarea y especialidad]])</f>
        <v>#REF!</v>
      </c>
      <c r="O3004" s="19">
        <f t="shared" si="92"/>
        <v>10</v>
      </c>
      <c r="P3004" s="19">
        <f t="shared" si="93"/>
        <v>2024</v>
      </c>
      <c r="Q30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04" s="19" t="str">
        <f>TEXT(Planning[[#This Row],[Mes]]*29,"mmmm")</f>
        <v>October</v>
      </c>
      <c r="S30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04" s="193"/>
      <c r="U3004" s="43">
        <f>IF(Planning[[#This Row],[Horas Planificadas]]&lt;&gt;0,+K3004/Planning[[#This Row],[Horas Planificadas]],0)</f>
        <v>0</v>
      </c>
      <c r="V3004" s="43">
        <f>IF(Planning[[#This Row],[Horas Planificadas]]&lt;&gt;0,Planning[[#This Row],[Horas utilizadas]]/Planning[[#This Row],[Horas Planificadas]],0)</f>
        <v>0</v>
      </c>
      <c r="W3004" s="44">
        <f>Planning[[#This Row],[Horas Planificadas]]+Planning[[#This Row],[Horas ajustadas adicionales]]</f>
        <v>0</v>
      </c>
      <c r="X3004" s="142"/>
    </row>
    <row r="3005" spans="1:24" x14ac:dyDescent="0.2">
      <c r="A3005" s="7" t="s">
        <v>177</v>
      </c>
      <c r="B3005" s="7" t="s">
        <v>582</v>
      </c>
      <c r="C3005" s="129">
        <v>116873</v>
      </c>
      <c r="D3005" s="3" t="s">
        <v>583</v>
      </c>
      <c r="E3005" s="4"/>
      <c r="F3005" s="3" t="s">
        <v>128</v>
      </c>
      <c r="G3005" s="20"/>
      <c r="H3005" s="9"/>
      <c r="I3005" s="12"/>
      <c r="J3005" s="5" t="e">
        <f>SUM(SUMIFS(#REF!,#REF!,Planning[[#This Row],[Tipo de Tarea y especialidad]],#REF!,Planning[[#This Row],[Proyectos Reiwa]]),SUMIFS(#REF!,#REF!,Planning[[#This Row],[Tipo de Tarea y especialidad]],#REF!,Planning[[#This Row],[Proyectos]]))</f>
        <v>#REF!</v>
      </c>
      <c r="K3005" s="5" t="e">
        <f>Planning[[#This Row],[Horas Planificadas]]+Planning[[#This Row],[Horas ajustadas adicionales]]-Planning[[#This Row],[Horas utilizadas]]</f>
        <v>#REF!</v>
      </c>
      <c r="L3005" s="7">
        <v>0</v>
      </c>
      <c r="M3005" s="19" t="e">
        <f>Planning[[#This Row],[Saldo]]-Planning[[#This Row],[Saldo estimado]]</f>
        <v>#REF!</v>
      </c>
      <c r="N3005" s="60" t="e">
        <f>+SUMIFS(#REF!,#REF!,Planning[[#This Row],[Proyectos]],#REF!,Planning[[#This Row],[Tipo de Tarea y especialidad]])</f>
        <v>#REF!</v>
      </c>
      <c r="O3005" s="19">
        <f t="shared" si="92"/>
        <v>10</v>
      </c>
      <c r="P3005" s="19">
        <f t="shared" si="93"/>
        <v>2024</v>
      </c>
      <c r="Q30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05" s="19" t="str">
        <f>TEXT(Planning[[#This Row],[Mes]]*29,"mmmm")</f>
        <v>October</v>
      </c>
      <c r="S30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05" s="193"/>
      <c r="U3005" s="43">
        <f>IF(Planning[[#This Row],[Horas Planificadas]]&lt;&gt;0,+K3005/Planning[[#This Row],[Horas Planificadas]],0)</f>
        <v>0</v>
      </c>
      <c r="V3005" s="43">
        <f>IF(Planning[[#This Row],[Horas Planificadas]]&lt;&gt;0,Planning[[#This Row],[Horas utilizadas]]/Planning[[#This Row],[Horas Planificadas]],0)</f>
        <v>0</v>
      </c>
      <c r="W3005" s="44">
        <f>Planning[[#This Row],[Horas Planificadas]]+Planning[[#This Row],[Horas ajustadas adicionales]]</f>
        <v>0</v>
      </c>
      <c r="X3005" s="142"/>
    </row>
    <row r="3006" spans="1:24" x14ac:dyDescent="0.2">
      <c r="A3006" s="7" t="s">
        <v>177</v>
      </c>
      <c r="B3006" s="7" t="s">
        <v>582</v>
      </c>
      <c r="C3006" s="128">
        <v>116873</v>
      </c>
      <c r="D3006" s="3" t="s">
        <v>583</v>
      </c>
      <c r="E3006" s="4" t="s">
        <v>31</v>
      </c>
      <c r="F3006" s="3" t="s">
        <v>31</v>
      </c>
      <c r="G3006" s="9">
        <v>90</v>
      </c>
      <c r="H3006" s="17">
        <v>90</v>
      </c>
      <c r="I3006" s="18"/>
      <c r="J3006" s="14" t="e">
        <f>+SUMIFS(#REF!,#REF!,Planning[[#This Row],[Tarifa]],#REF!,Planning[[#This Row],[Proyectos]])</f>
        <v>#REF!</v>
      </c>
      <c r="K3006" s="14" t="e">
        <f>Planning[[#This Row],[Horas Planificadas]]+Planning[[#This Row],[Horas ajustadas adicionales]]-Planning[[#This Row],[Horas utilizadas]]</f>
        <v>#REF!</v>
      </c>
      <c r="L3006" s="15">
        <v>0</v>
      </c>
      <c r="M3006" s="16" t="e">
        <f>Planning[[#This Row],[Saldo]]-Planning[[#This Row],[Saldo estimado]]</f>
        <v>#REF!</v>
      </c>
      <c r="N3006" s="60" t="e">
        <f>+SUMIFS(#REF!,#REF!,Planning[[#This Row],[Proyectos]],#REF!,Planning[[#This Row],[Tipo de Tarea y especialidad]])</f>
        <v>#REF!</v>
      </c>
      <c r="O3006" s="16">
        <f t="shared" si="92"/>
        <v>10</v>
      </c>
      <c r="P3006" s="16">
        <f t="shared" si="93"/>
        <v>2024</v>
      </c>
      <c r="Q3006" s="16" t="e">
        <f>+SUMIFS(#REF!,#REF!,Planning[[#This Row],[Tarifa]],#REF!,Planning[[#This Row],[Proyectos]],#REF!,Planning[[#This Row],[Mes]],#REF!,Planning[[#This Row],[Año]])</f>
        <v>#REF!</v>
      </c>
      <c r="R3006" s="16" t="str">
        <f>TEXT(Planning[[#This Row],[Mes]]*29,"mmmm")</f>
        <v>October</v>
      </c>
      <c r="S30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06" s="193"/>
      <c r="U3006" s="43" t="e">
        <f>IF(Planning[[#This Row],[Horas Planificadas]]&lt;&gt;0,+K3006/Planning[[#This Row],[Horas Planificadas]],0)</f>
        <v>#REF!</v>
      </c>
      <c r="V3006" s="43" t="e">
        <f>IF(Planning[[#This Row],[Horas Planificadas]]&lt;&gt;0,Planning[[#This Row],[Horas utilizadas]]/Planning[[#This Row],[Horas Planificadas]],0)</f>
        <v>#REF!</v>
      </c>
      <c r="W3006" s="44">
        <f>Planning[[#This Row],[Horas Planificadas]]+Planning[[#This Row],[Horas ajustadas adicionales]]</f>
        <v>90</v>
      </c>
      <c r="X3006" s="142"/>
    </row>
    <row r="3007" spans="1:24" ht="22.5" x14ac:dyDescent="0.2">
      <c r="A3007" s="7" t="s">
        <v>177</v>
      </c>
      <c r="B3007" s="7" t="s">
        <v>582</v>
      </c>
      <c r="C3007" s="129">
        <v>116873</v>
      </c>
      <c r="D3007" s="3" t="s">
        <v>583</v>
      </c>
      <c r="E3007" s="4" t="s">
        <v>32</v>
      </c>
      <c r="F3007" s="3"/>
      <c r="G3007" s="9">
        <v>177</v>
      </c>
      <c r="H3007" s="14">
        <f>SUM(H3008:H3010)</f>
        <v>160</v>
      </c>
      <c r="I3007" s="14"/>
      <c r="J3007" s="14" t="e">
        <f>SUM(J3008:J3010)</f>
        <v>#REF!</v>
      </c>
      <c r="K3007" s="15" t="e">
        <f>SUM(K3008:K3010)</f>
        <v>#REF!</v>
      </c>
      <c r="L3007" s="15">
        <f>SUM(L3008:L3010)</f>
        <v>150</v>
      </c>
      <c r="M3007" s="16" t="e">
        <f>SUM(M3008:M3010)</f>
        <v>#REF!</v>
      </c>
      <c r="N3007" s="60" t="e">
        <f>+SUMIFS(#REF!,#REF!,Planning[[#This Row],[Proyectos]],#REF!,Planning[[#This Row],[Tipo de Tarea y especialidad]])</f>
        <v>#REF!</v>
      </c>
      <c r="O3007" s="16">
        <f t="shared" si="92"/>
        <v>10</v>
      </c>
      <c r="P3007" s="16">
        <f t="shared" si="93"/>
        <v>2024</v>
      </c>
      <c r="Q3007" s="16" t="e">
        <f>SUM(Q3008:Q3010)</f>
        <v>#REF!</v>
      </c>
      <c r="R3007" s="16" t="str">
        <f>TEXT(Planning[[#This Row],[Mes]]*29,"mmmm")</f>
        <v>October</v>
      </c>
      <c r="S30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07" s="193"/>
      <c r="U3007" s="43" t="e">
        <f>IF(Planning[[#This Row],[Horas Planificadas]]&lt;&gt;0,+K3007/Planning[[#This Row],[Horas Planificadas]],0)</f>
        <v>#REF!</v>
      </c>
      <c r="V3007" s="43" t="e">
        <f>IF(Planning[[#This Row],[Horas Planificadas]]&lt;&gt;0,Planning[[#This Row],[Horas utilizadas]]/Planning[[#This Row],[Horas Planificadas]],0)</f>
        <v>#REF!</v>
      </c>
      <c r="W3007" s="44">
        <f>Planning[[#This Row],[Horas Planificadas]]+Planning[[#This Row],[Horas ajustadas adicionales]]</f>
        <v>160</v>
      </c>
      <c r="X3007" s="142"/>
    </row>
    <row r="3008" spans="1:24" x14ac:dyDescent="0.2">
      <c r="A3008" s="7" t="s">
        <v>177</v>
      </c>
      <c r="B3008" s="7" t="s">
        <v>582</v>
      </c>
      <c r="C3008" s="128">
        <v>116873</v>
      </c>
      <c r="D3008" s="3" t="s">
        <v>583</v>
      </c>
      <c r="E3008" s="4"/>
      <c r="F3008" s="3" t="s">
        <v>129</v>
      </c>
      <c r="G3008" s="20"/>
      <c r="H3008" s="20">
        <v>50</v>
      </c>
      <c r="I3008" s="12"/>
      <c r="J3008" s="5" t="e">
        <f>SUM(SUMIFS(#REF!,#REF!,Planning[[#This Row],[Tipo de Tarea y especialidad]],#REF!,Planning[[#This Row],[Proyectos Reiwa]]),SUMIFS(#REF!,#REF!,Planning[[#This Row],[Tipo de Tarea y especialidad]],#REF!,Planning[[#This Row],[Proyectos]]))</f>
        <v>#REF!</v>
      </c>
      <c r="K3008" s="5" t="e">
        <f>Planning[[#This Row],[Horas Planificadas]]+Planning[[#This Row],[Horas ajustadas adicionales]]-Planning[[#This Row],[Horas utilizadas]]</f>
        <v>#REF!</v>
      </c>
      <c r="L3008" s="7">
        <v>50</v>
      </c>
      <c r="M3008" s="19" t="e">
        <f>Planning[[#This Row],[Saldo]]-Planning[[#This Row],[Saldo estimado]]</f>
        <v>#REF!</v>
      </c>
      <c r="N3008" s="60" t="e">
        <f>+SUMIFS(#REF!,#REF!,Planning[[#This Row],[Proyectos]],#REF!,Planning[[#This Row],[Tipo de Tarea y especialidad]])</f>
        <v>#REF!</v>
      </c>
      <c r="O3008" s="19">
        <f t="shared" si="92"/>
        <v>10</v>
      </c>
      <c r="P3008" s="19">
        <f t="shared" si="93"/>
        <v>2024</v>
      </c>
      <c r="Q30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08" s="19" t="str">
        <f>TEXT(Planning[[#This Row],[Mes]]*29,"mmmm")</f>
        <v>October</v>
      </c>
      <c r="S30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08" s="193"/>
      <c r="U3008" s="43" t="e">
        <f>IF(Planning[[#This Row],[Horas Planificadas]]&lt;&gt;0,+K3008/Planning[[#This Row],[Horas Planificadas]],0)</f>
        <v>#REF!</v>
      </c>
      <c r="V3008" s="43" t="e">
        <f>IF(Planning[[#This Row],[Horas Planificadas]]&lt;&gt;0,Planning[[#This Row],[Horas utilizadas]]/Planning[[#This Row],[Horas Planificadas]],0)</f>
        <v>#REF!</v>
      </c>
      <c r="W3008" s="44">
        <f>Planning[[#This Row],[Horas Planificadas]]+Planning[[#This Row],[Horas ajustadas adicionales]]</f>
        <v>50</v>
      </c>
      <c r="X3008" s="142"/>
    </row>
    <row r="3009" spans="1:24" x14ac:dyDescent="0.2">
      <c r="A3009" s="7" t="s">
        <v>177</v>
      </c>
      <c r="B3009" s="7" t="s">
        <v>582</v>
      </c>
      <c r="C3009" s="129">
        <v>116873</v>
      </c>
      <c r="D3009" s="3" t="s">
        <v>583</v>
      </c>
      <c r="E3009" s="4"/>
      <c r="F3009" s="3" t="s">
        <v>130</v>
      </c>
      <c r="G3009" s="20"/>
      <c r="H3009" s="20">
        <v>110</v>
      </c>
      <c r="I3009" s="12"/>
      <c r="J3009" s="5" t="e">
        <f>SUM(SUMIFS(#REF!,#REF!,Planning[[#This Row],[Tipo de Tarea y especialidad]],#REF!,Planning[[#This Row],[Proyectos Reiwa]]),SUMIFS(#REF!,#REF!,Planning[[#This Row],[Tipo de Tarea y especialidad]],#REF!,Planning[[#This Row],[Proyectos]]))</f>
        <v>#REF!</v>
      </c>
      <c r="K3009" s="5" t="e">
        <f>Planning[[#This Row],[Horas Planificadas]]+Planning[[#This Row],[Horas ajustadas adicionales]]-Planning[[#This Row],[Horas utilizadas]]</f>
        <v>#REF!</v>
      </c>
      <c r="L3009" s="7">
        <v>100</v>
      </c>
      <c r="M3009" s="19" t="e">
        <f>Planning[[#This Row],[Saldo]]-Planning[[#This Row],[Saldo estimado]]</f>
        <v>#REF!</v>
      </c>
      <c r="N3009" s="60" t="e">
        <f>+SUMIFS(#REF!,#REF!,Planning[[#This Row],[Proyectos]],#REF!,Planning[[#This Row],[Tipo de Tarea y especialidad]])</f>
        <v>#REF!</v>
      </c>
      <c r="O3009" s="19">
        <f t="shared" si="92"/>
        <v>10</v>
      </c>
      <c r="P3009" s="19">
        <f t="shared" si="93"/>
        <v>2024</v>
      </c>
      <c r="Q30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09" s="19" t="str">
        <f>TEXT(Planning[[#This Row],[Mes]]*29,"mmmm")</f>
        <v>October</v>
      </c>
      <c r="S30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09" s="193"/>
      <c r="U3009" s="43" t="e">
        <f>IF(Planning[[#This Row],[Horas Planificadas]]&lt;&gt;0,+K3009/Planning[[#This Row],[Horas Planificadas]],0)</f>
        <v>#REF!</v>
      </c>
      <c r="V3009" s="43" t="e">
        <f>IF(Planning[[#This Row],[Horas Planificadas]]&lt;&gt;0,Planning[[#This Row],[Horas utilizadas]]/Planning[[#This Row],[Horas Planificadas]],0)</f>
        <v>#REF!</v>
      </c>
      <c r="W3009" s="44">
        <f>Planning[[#This Row],[Horas Planificadas]]+Planning[[#This Row],[Horas ajustadas adicionales]]</f>
        <v>110</v>
      </c>
      <c r="X3009" s="142"/>
    </row>
    <row r="3010" spans="1:24" x14ac:dyDescent="0.2">
      <c r="A3010" s="7" t="s">
        <v>177</v>
      </c>
      <c r="B3010" s="7" t="s">
        <v>582</v>
      </c>
      <c r="C3010" s="128">
        <v>116873</v>
      </c>
      <c r="D3010" s="3" t="s">
        <v>583</v>
      </c>
      <c r="E3010" s="4"/>
      <c r="F3010" s="3" t="s">
        <v>131</v>
      </c>
      <c r="G3010" s="20"/>
      <c r="H3010" s="20"/>
      <c r="I3010" s="12"/>
      <c r="J3010" s="5" t="e">
        <f>SUM(SUMIFS(#REF!,#REF!,Planning[[#This Row],[Tipo de Tarea y especialidad]],#REF!,Planning[[#This Row],[Proyectos Reiwa]]),SUMIFS(#REF!,#REF!,Planning[[#This Row],[Tipo de Tarea y especialidad]],#REF!,Planning[[#This Row],[Proyectos]]))</f>
        <v>#REF!</v>
      </c>
      <c r="K3010" s="5" t="e">
        <f>Planning[[#This Row],[Horas Planificadas]]+Planning[[#This Row],[Horas ajustadas adicionales]]-Planning[[#This Row],[Horas utilizadas]]</f>
        <v>#REF!</v>
      </c>
      <c r="L3010" s="7">
        <v>0</v>
      </c>
      <c r="M3010" s="19" t="e">
        <f>Planning[[#This Row],[Saldo]]-Planning[[#This Row],[Saldo estimado]]</f>
        <v>#REF!</v>
      </c>
      <c r="N3010" s="60" t="e">
        <f>+SUMIFS(#REF!,#REF!,Planning[[#This Row],[Proyectos]],#REF!,Planning[[#This Row],[Tipo de Tarea y especialidad]])</f>
        <v>#REF!</v>
      </c>
      <c r="O3010" s="19">
        <f t="shared" si="92"/>
        <v>10</v>
      </c>
      <c r="P3010" s="19">
        <f t="shared" si="93"/>
        <v>2024</v>
      </c>
      <c r="Q30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10" s="19" t="str">
        <f>TEXT(Planning[[#This Row],[Mes]]*29,"mmmm")</f>
        <v>October</v>
      </c>
      <c r="S30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10" s="193"/>
      <c r="U3010" s="43">
        <f>IF(Planning[[#This Row],[Horas Planificadas]]&lt;&gt;0,+K3010/Planning[[#This Row],[Horas Planificadas]],0)</f>
        <v>0</v>
      </c>
      <c r="V3010" s="43">
        <f>IF(Planning[[#This Row],[Horas Planificadas]]&lt;&gt;0,Planning[[#This Row],[Horas utilizadas]]/Planning[[#This Row],[Horas Planificadas]],0)</f>
        <v>0</v>
      </c>
      <c r="W3010" s="44">
        <f>Planning[[#This Row],[Horas Planificadas]]+Planning[[#This Row],[Horas ajustadas adicionales]]</f>
        <v>0</v>
      </c>
      <c r="X3010" s="142"/>
    </row>
    <row r="3011" spans="1:24" ht="22.5" x14ac:dyDescent="0.2">
      <c r="A3011" s="7" t="s">
        <v>177</v>
      </c>
      <c r="B3011" s="7" t="s">
        <v>393</v>
      </c>
      <c r="C3011" s="3"/>
      <c r="D3011" s="3" t="s">
        <v>585</v>
      </c>
      <c r="E3011" s="4" t="s">
        <v>28</v>
      </c>
      <c r="F3011" s="3"/>
      <c r="G3011" s="9">
        <v>300</v>
      </c>
      <c r="H3011" s="14">
        <f>SUM(H3012:H3013)</f>
        <v>300</v>
      </c>
      <c r="I3011" s="14"/>
      <c r="J3011" s="14" t="e">
        <f>SUM(J3012:J3013)</f>
        <v>#REF!</v>
      </c>
      <c r="K3011" s="15" t="e">
        <f>SUM(K3012:K3013)</f>
        <v>#REF!</v>
      </c>
      <c r="L3011" s="15">
        <f>SUM(L3012:L3013)</f>
        <v>0</v>
      </c>
      <c r="M3011" s="14" t="e">
        <f>SUM(M3012:M3013)</f>
        <v>#REF!</v>
      </c>
      <c r="N3011" s="66" t="e">
        <f>+SUMIFS(#REF!,#REF!,Planning[[#This Row],[Proyectos]],#REF!,Planning[[#This Row],[Tipo de Tarea y especialidad]])</f>
        <v>#REF!</v>
      </c>
      <c r="O3011" s="14">
        <f t="shared" si="92"/>
        <v>10</v>
      </c>
      <c r="P3011" s="14">
        <f t="shared" si="93"/>
        <v>2024</v>
      </c>
      <c r="Q3011" s="28" t="e">
        <f>SUM(Q3012:Q3013)</f>
        <v>#REF!</v>
      </c>
      <c r="R3011" s="28" t="str">
        <f>TEXT(Planning[[#This Row],[Mes]]*29,"mmmm")</f>
        <v>October</v>
      </c>
      <c r="S30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11" s="192" t="s">
        <v>586</v>
      </c>
      <c r="U3011" s="43" t="e">
        <f>IF(Planning[[#This Row],[Horas Planificadas]]&lt;&gt;0,+K3011/Planning[[#This Row],[Horas Planificadas]],0)</f>
        <v>#REF!</v>
      </c>
      <c r="V3011" s="43" t="e">
        <f>IF(Planning[[#This Row],[Horas Planificadas]]&lt;&gt;0,Planning[[#This Row],[Horas utilizadas]]/Planning[[#This Row],[Horas Planificadas]],0)</f>
        <v>#REF!</v>
      </c>
      <c r="W3011" s="44">
        <f>Planning[[#This Row],[Horas Planificadas]]+Planning[[#This Row],[Horas ajustadas adicionales]]</f>
        <v>300</v>
      </c>
      <c r="X3011" s="142"/>
    </row>
    <row r="3012" spans="1:24" x14ac:dyDescent="0.2">
      <c r="A3012" s="7" t="s">
        <v>177</v>
      </c>
      <c r="B3012" s="7" t="s">
        <v>393</v>
      </c>
      <c r="C3012" s="3"/>
      <c r="D3012" s="3" t="s">
        <v>585</v>
      </c>
      <c r="E3012" s="4"/>
      <c r="F3012" s="3" t="s">
        <v>120</v>
      </c>
      <c r="G3012" s="9"/>
      <c r="H3012" s="9">
        <v>250</v>
      </c>
      <c r="I3012" s="12"/>
      <c r="J3012" s="5" t="e">
        <f>SUM(SUMIFS(#REF!,#REF!,Planning[[#This Row],[Tipo de Tarea y especialidad]],#REF!,Planning[[#This Row],[Proyectos Reiwa]]),SUMIFS(#REF!,#REF!,Planning[[#This Row],[Tipo de Tarea y especialidad]],#REF!,Planning[[#This Row],[Proyectos]]))</f>
        <v>#REF!</v>
      </c>
      <c r="K3012" s="5" t="e">
        <f>Planning[[#This Row],[Horas Planificadas]]+Planning[[#This Row],[Horas ajustadas adicionales]]-Planning[[#This Row],[Horas utilizadas]]</f>
        <v>#REF!</v>
      </c>
      <c r="L3012" s="7"/>
      <c r="M3012" s="19" t="e">
        <f>Planning[[#This Row],[Saldo]]-Planning[[#This Row],[Saldo estimado]]</f>
        <v>#REF!</v>
      </c>
      <c r="N3012" s="60" t="e">
        <f>+SUMIFS(#REF!,#REF!,Planning[[#This Row],[Proyectos]],#REF!,Planning[[#This Row],[Tipo de Tarea y especialidad]])</f>
        <v>#REF!</v>
      </c>
      <c r="O3012" s="19">
        <f t="shared" si="92"/>
        <v>10</v>
      </c>
      <c r="P3012" s="19">
        <f t="shared" si="93"/>
        <v>2024</v>
      </c>
      <c r="Q30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12" s="19" t="str">
        <f>TEXT(Planning[[#This Row],[Mes]]*29,"mmmm")</f>
        <v>October</v>
      </c>
      <c r="S30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12" s="193"/>
      <c r="U3012" s="43" t="e">
        <f>IF(Planning[[#This Row],[Horas Planificadas]]&lt;&gt;0,+K3012/Planning[[#This Row],[Horas Planificadas]],0)</f>
        <v>#REF!</v>
      </c>
      <c r="V3012" s="43" t="e">
        <f>IF(Planning[[#This Row],[Horas Planificadas]]&lt;&gt;0,Planning[[#This Row],[Horas utilizadas]]/Planning[[#This Row],[Horas Planificadas]],0)</f>
        <v>#REF!</v>
      </c>
      <c r="W3012" s="44">
        <f>Planning[[#This Row],[Horas Planificadas]]+Planning[[#This Row],[Horas ajustadas adicionales]]</f>
        <v>250</v>
      </c>
      <c r="X3012" s="142"/>
    </row>
    <row r="3013" spans="1:24" x14ac:dyDescent="0.2">
      <c r="A3013" s="7" t="s">
        <v>177</v>
      </c>
      <c r="B3013" s="7" t="s">
        <v>393</v>
      </c>
      <c r="C3013" s="3"/>
      <c r="D3013" s="3" t="s">
        <v>585</v>
      </c>
      <c r="E3013" s="4"/>
      <c r="F3013" s="3" t="s">
        <v>121</v>
      </c>
      <c r="G3013" s="9"/>
      <c r="H3013" s="9">
        <v>50</v>
      </c>
      <c r="I3013" s="12"/>
      <c r="J3013" s="5" t="e">
        <f>SUM(SUMIFS(#REF!,#REF!,Planning[[#This Row],[Tipo de Tarea y especialidad]],#REF!,Planning[[#This Row],[Proyectos Reiwa]]),SUMIFS(#REF!,#REF!,Planning[[#This Row],[Tipo de Tarea y especialidad]],#REF!,Planning[[#This Row],[Proyectos]]))</f>
        <v>#REF!</v>
      </c>
      <c r="K3013" s="5" t="e">
        <f>Planning[[#This Row],[Horas Planificadas]]+Planning[[#This Row],[Horas ajustadas adicionales]]-Planning[[#This Row],[Horas utilizadas]]</f>
        <v>#REF!</v>
      </c>
      <c r="L3013" s="7"/>
      <c r="M3013" s="19" t="e">
        <f>Planning[[#This Row],[Saldo]]-Planning[[#This Row],[Saldo estimado]]</f>
        <v>#REF!</v>
      </c>
      <c r="N3013" s="60" t="e">
        <f>+SUMIFS(#REF!,#REF!,Planning[[#This Row],[Proyectos]],#REF!,Planning[[#This Row],[Tipo de Tarea y especialidad]])</f>
        <v>#REF!</v>
      </c>
      <c r="O3013" s="19">
        <f t="shared" si="92"/>
        <v>10</v>
      </c>
      <c r="P3013" s="19">
        <f t="shared" si="93"/>
        <v>2024</v>
      </c>
      <c r="Q30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13" s="19" t="str">
        <f>TEXT(Planning[[#This Row],[Mes]]*29,"mmmm")</f>
        <v>October</v>
      </c>
      <c r="S30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13" s="193"/>
      <c r="U3013" s="43" t="e">
        <f>IF(Planning[[#This Row],[Horas Planificadas]]&lt;&gt;0,+K3013/Planning[[#This Row],[Horas Planificadas]],0)</f>
        <v>#REF!</v>
      </c>
      <c r="V3013" s="43" t="e">
        <f>IF(Planning[[#This Row],[Horas Planificadas]]&lt;&gt;0,Planning[[#This Row],[Horas utilizadas]]/Planning[[#This Row],[Horas Planificadas]],0)</f>
        <v>#REF!</v>
      </c>
      <c r="W3013" s="44">
        <f>Planning[[#This Row],[Horas Planificadas]]+Planning[[#This Row],[Horas ajustadas adicionales]]</f>
        <v>50</v>
      </c>
      <c r="X3013" s="142"/>
    </row>
    <row r="3014" spans="1:24" x14ac:dyDescent="0.2">
      <c r="A3014" s="7" t="s">
        <v>177</v>
      </c>
      <c r="B3014" s="7" t="s">
        <v>393</v>
      </c>
      <c r="C3014" s="3"/>
      <c r="D3014" s="3" t="s">
        <v>585</v>
      </c>
      <c r="E3014" s="4" t="s">
        <v>30</v>
      </c>
      <c r="F3014" s="3"/>
      <c r="G3014" s="9">
        <v>290</v>
      </c>
      <c r="H3014" s="14">
        <f>SUM(H3015:H3021)</f>
        <v>290</v>
      </c>
      <c r="I3014" s="14"/>
      <c r="J3014" s="14" t="e">
        <f>SUM(J3015:J3021)</f>
        <v>#REF!</v>
      </c>
      <c r="K3014" s="15" t="e">
        <f>SUM(K3015:K3021)</f>
        <v>#REF!</v>
      </c>
      <c r="L3014" s="15">
        <f>SUM(L3015:L3021)</f>
        <v>0</v>
      </c>
      <c r="M3014" s="16" t="e">
        <f>SUM(M3015:M3021)</f>
        <v>#REF!</v>
      </c>
      <c r="N3014" s="60" t="e">
        <f>+SUMIFS(#REF!,#REF!,Planning[[#This Row],[Proyectos]],#REF!,Planning[[#This Row],[Tipo de Tarea y especialidad]])</f>
        <v>#REF!</v>
      </c>
      <c r="O3014" s="16">
        <f t="shared" si="92"/>
        <v>10</v>
      </c>
      <c r="P3014" s="16">
        <f t="shared" si="93"/>
        <v>2024</v>
      </c>
      <c r="Q3014" s="16" t="e">
        <f>SUM(Q3015:Q3021)</f>
        <v>#REF!</v>
      </c>
      <c r="R3014" s="16" t="str">
        <f>TEXT(Planning[[#This Row],[Mes]]*29,"mmmm")</f>
        <v>October</v>
      </c>
      <c r="S30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14" s="193"/>
      <c r="U3014" s="43" t="e">
        <f>IF(Planning[[#This Row],[Horas Planificadas]]&lt;&gt;0,+K3014/Planning[[#This Row],[Horas Planificadas]],0)</f>
        <v>#REF!</v>
      </c>
      <c r="V3014" s="43" t="e">
        <f>IF(Planning[[#This Row],[Horas Planificadas]]&lt;&gt;0,Planning[[#This Row],[Horas utilizadas]]/Planning[[#This Row],[Horas Planificadas]],0)</f>
        <v>#REF!</v>
      </c>
      <c r="W3014" s="44">
        <f>Planning[[#This Row],[Horas Planificadas]]+Planning[[#This Row],[Horas ajustadas adicionales]]</f>
        <v>290</v>
      </c>
      <c r="X3014" s="142"/>
    </row>
    <row r="3015" spans="1:24" x14ac:dyDescent="0.2">
      <c r="A3015" s="7" t="s">
        <v>177</v>
      </c>
      <c r="B3015" s="7" t="s">
        <v>393</v>
      </c>
      <c r="C3015" s="3"/>
      <c r="D3015" s="3" t="s">
        <v>585</v>
      </c>
      <c r="E3015" s="4"/>
      <c r="F3015" s="3" t="s">
        <v>122</v>
      </c>
      <c r="G3015" s="20"/>
      <c r="H3015" s="9"/>
      <c r="I3015" s="12"/>
      <c r="J3015" s="5" t="e">
        <f>SUM(SUMIFS(#REF!,#REF!,Planning[[#This Row],[Tipo de Tarea y especialidad]],#REF!,Planning[[#This Row],[Proyectos Reiwa]]),SUMIFS(#REF!,#REF!,Planning[[#This Row],[Tipo de Tarea y especialidad]],#REF!,Planning[[#This Row],[Proyectos]]))</f>
        <v>#REF!</v>
      </c>
      <c r="K3015" s="5" t="e">
        <f>Planning[[#This Row],[Horas Planificadas]]+Planning[[#This Row],[Horas ajustadas adicionales]]-Planning[[#This Row],[Horas utilizadas]]</f>
        <v>#REF!</v>
      </c>
      <c r="L3015" s="7"/>
      <c r="M3015" s="19" t="e">
        <f>Planning[[#This Row],[Saldo]]-Planning[[#This Row],[Saldo estimado]]</f>
        <v>#REF!</v>
      </c>
      <c r="N3015" s="60" t="e">
        <f>+SUMIFS(#REF!,#REF!,Planning[[#This Row],[Proyectos]],#REF!,Planning[[#This Row],[Tipo de Tarea y especialidad]])</f>
        <v>#REF!</v>
      </c>
      <c r="O3015" s="19">
        <f t="shared" ref="O3015:O3078" si="94">$L$4</f>
        <v>10</v>
      </c>
      <c r="P3015" s="19">
        <f t="shared" ref="P3015:P3078" si="95">$M$4</f>
        <v>2024</v>
      </c>
      <c r="Q30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15" s="19" t="str">
        <f>TEXT(Planning[[#This Row],[Mes]]*29,"mmmm")</f>
        <v>October</v>
      </c>
      <c r="S30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15" s="193"/>
      <c r="U3015" s="43">
        <f>IF(Planning[[#This Row],[Horas Planificadas]]&lt;&gt;0,+K3015/Planning[[#This Row],[Horas Planificadas]],0)</f>
        <v>0</v>
      </c>
      <c r="V3015" s="43">
        <f>IF(Planning[[#This Row],[Horas Planificadas]]&lt;&gt;0,Planning[[#This Row],[Horas utilizadas]]/Planning[[#This Row],[Horas Planificadas]],0)</f>
        <v>0</v>
      </c>
      <c r="W3015" s="44">
        <f>Planning[[#This Row],[Horas Planificadas]]+Planning[[#This Row],[Horas ajustadas adicionales]]</f>
        <v>0</v>
      </c>
      <c r="X3015" s="142"/>
    </row>
    <row r="3016" spans="1:24" x14ac:dyDescent="0.2">
      <c r="A3016" s="7" t="s">
        <v>177</v>
      </c>
      <c r="B3016" s="7" t="s">
        <v>393</v>
      </c>
      <c r="C3016" s="3"/>
      <c r="D3016" s="3" t="s">
        <v>585</v>
      </c>
      <c r="E3016" s="4"/>
      <c r="F3016" s="3" t="s">
        <v>123</v>
      </c>
      <c r="G3016" s="20"/>
      <c r="H3016" s="9"/>
      <c r="I3016" s="12"/>
      <c r="J3016" s="5" t="e">
        <f>SUM(SUMIFS(#REF!,#REF!,Planning[[#This Row],[Tipo de Tarea y especialidad]],#REF!,Planning[[#This Row],[Proyectos Reiwa]]),SUMIFS(#REF!,#REF!,Planning[[#This Row],[Tipo de Tarea y especialidad]],#REF!,Planning[[#This Row],[Proyectos]]))</f>
        <v>#REF!</v>
      </c>
      <c r="K3016" s="5" t="e">
        <f>Planning[[#This Row],[Horas Planificadas]]+Planning[[#This Row],[Horas ajustadas adicionales]]-Planning[[#This Row],[Horas utilizadas]]</f>
        <v>#REF!</v>
      </c>
      <c r="L3016" s="7"/>
      <c r="M3016" s="19" t="e">
        <f>Planning[[#This Row],[Saldo]]-Planning[[#This Row],[Saldo estimado]]</f>
        <v>#REF!</v>
      </c>
      <c r="N3016" s="60" t="e">
        <f>+SUMIFS(#REF!,#REF!,Planning[[#This Row],[Proyectos]],#REF!,Planning[[#This Row],[Tipo de Tarea y especialidad]])</f>
        <v>#REF!</v>
      </c>
      <c r="O3016" s="19">
        <f t="shared" si="94"/>
        <v>10</v>
      </c>
      <c r="P3016" s="19">
        <f t="shared" si="95"/>
        <v>2024</v>
      </c>
      <c r="Q30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16" s="19" t="str">
        <f>TEXT(Planning[[#This Row],[Mes]]*29,"mmmm")</f>
        <v>October</v>
      </c>
      <c r="S30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16" s="193"/>
      <c r="U3016" s="43">
        <f>IF(Planning[[#This Row],[Horas Planificadas]]&lt;&gt;0,+K3016/Planning[[#This Row],[Horas Planificadas]],0)</f>
        <v>0</v>
      </c>
      <c r="V3016" s="43">
        <f>IF(Planning[[#This Row],[Horas Planificadas]]&lt;&gt;0,Planning[[#This Row],[Horas utilizadas]]/Planning[[#This Row],[Horas Planificadas]],0)</f>
        <v>0</v>
      </c>
      <c r="W3016" s="44">
        <f>Planning[[#This Row],[Horas Planificadas]]+Planning[[#This Row],[Horas ajustadas adicionales]]</f>
        <v>0</v>
      </c>
      <c r="X3016" s="142"/>
    </row>
    <row r="3017" spans="1:24" x14ac:dyDescent="0.2">
      <c r="A3017" s="7" t="s">
        <v>177</v>
      </c>
      <c r="B3017" s="7" t="s">
        <v>393</v>
      </c>
      <c r="C3017" s="3"/>
      <c r="D3017" s="3" t="s">
        <v>585</v>
      </c>
      <c r="E3017" s="4"/>
      <c r="F3017" s="3" t="s">
        <v>124</v>
      </c>
      <c r="G3017" s="20"/>
      <c r="H3017" s="9">
        <v>290</v>
      </c>
      <c r="I3017" s="12"/>
      <c r="J3017" s="5" t="e">
        <f>SUM(SUMIFS(#REF!,#REF!,Planning[[#This Row],[Tipo de Tarea y especialidad]],#REF!,Planning[[#This Row],[Proyectos Reiwa]]),SUMIFS(#REF!,#REF!,Planning[[#This Row],[Tipo de Tarea y especialidad]],#REF!,Planning[[#This Row],[Proyectos]]))</f>
        <v>#REF!</v>
      </c>
      <c r="K3017" s="5" t="e">
        <f>Planning[[#This Row],[Horas Planificadas]]+Planning[[#This Row],[Horas ajustadas adicionales]]-Planning[[#This Row],[Horas utilizadas]]</f>
        <v>#REF!</v>
      </c>
      <c r="L3017" s="7"/>
      <c r="M3017" s="19" t="e">
        <f>Planning[[#This Row],[Saldo]]-Planning[[#This Row],[Saldo estimado]]</f>
        <v>#REF!</v>
      </c>
      <c r="N3017" s="60" t="e">
        <f>+SUMIFS(#REF!,#REF!,Planning[[#This Row],[Proyectos]],#REF!,Planning[[#This Row],[Tipo de Tarea y especialidad]])</f>
        <v>#REF!</v>
      </c>
      <c r="O3017" s="19">
        <f t="shared" si="94"/>
        <v>10</v>
      </c>
      <c r="P3017" s="19">
        <f t="shared" si="95"/>
        <v>2024</v>
      </c>
      <c r="Q30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17" s="19" t="str">
        <f>TEXT(Planning[[#This Row],[Mes]]*29,"mmmm")</f>
        <v>October</v>
      </c>
      <c r="S30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17" s="193"/>
      <c r="U3017" s="43" t="e">
        <f>IF(Planning[[#This Row],[Horas Planificadas]]&lt;&gt;0,+K3017/Planning[[#This Row],[Horas Planificadas]],0)</f>
        <v>#REF!</v>
      </c>
      <c r="V3017" s="43" t="e">
        <f>IF(Planning[[#This Row],[Horas Planificadas]]&lt;&gt;0,Planning[[#This Row],[Horas utilizadas]]/Planning[[#This Row],[Horas Planificadas]],0)</f>
        <v>#REF!</v>
      </c>
      <c r="W3017" s="44">
        <f>Planning[[#This Row],[Horas Planificadas]]+Planning[[#This Row],[Horas ajustadas adicionales]]</f>
        <v>290</v>
      </c>
      <c r="X3017" s="142"/>
    </row>
    <row r="3018" spans="1:24" x14ac:dyDescent="0.2">
      <c r="A3018" s="7" t="s">
        <v>177</v>
      </c>
      <c r="B3018" s="7" t="s">
        <v>393</v>
      </c>
      <c r="C3018" s="3"/>
      <c r="D3018" s="3" t="s">
        <v>585</v>
      </c>
      <c r="E3018" s="4"/>
      <c r="F3018" s="3" t="s">
        <v>125</v>
      </c>
      <c r="G3018" s="20"/>
      <c r="H3018" s="9"/>
      <c r="I3018" s="12"/>
      <c r="J3018" s="5" t="e">
        <f>SUM(SUMIFS(#REF!,#REF!,Planning[[#This Row],[Tipo de Tarea y especialidad]],#REF!,Planning[[#This Row],[Proyectos Reiwa]]),SUMIFS(#REF!,#REF!,Planning[[#This Row],[Tipo de Tarea y especialidad]],#REF!,Planning[[#This Row],[Proyectos]]))</f>
        <v>#REF!</v>
      </c>
      <c r="K3018" s="5" t="e">
        <f>Planning[[#This Row],[Horas Planificadas]]+Planning[[#This Row],[Horas ajustadas adicionales]]-Planning[[#This Row],[Horas utilizadas]]</f>
        <v>#REF!</v>
      </c>
      <c r="L3018" s="7"/>
      <c r="M3018" s="19" t="e">
        <f>Planning[[#This Row],[Saldo]]-Planning[[#This Row],[Saldo estimado]]</f>
        <v>#REF!</v>
      </c>
      <c r="N3018" s="60" t="e">
        <f>+SUMIFS(#REF!,#REF!,Planning[[#This Row],[Proyectos]],#REF!,Planning[[#This Row],[Tipo de Tarea y especialidad]])</f>
        <v>#REF!</v>
      </c>
      <c r="O3018" s="19">
        <f t="shared" si="94"/>
        <v>10</v>
      </c>
      <c r="P3018" s="19">
        <f t="shared" si="95"/>
        <v>2024</v>
      </c>
      <c r="Q30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18" s="19" t="str">
        <f>TEXT(Planning[[#This Row],[Mes]]*29,"mmmm")</f>
        <v>October</v>
      </c>
      <c r="S30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18" s="193"/>
      <c r="U3018" s="43">
        <f>IF(Planning[[#This Row],[Horas Planificadas]]&lt;&gt;0,+K3018/Planning[[#This Row],[Horas Planificadas]],0)</f>
        <v>0</v>
      </c>
      <c r="V3018" s="43">
        <f>IF(Planning[[#This Row],[Horas Planificadas]]&lt;&gt;0,Planning[[#This Row],[Horas utilizadas]]/Planning[[#This Row],[Horas Planificadas]],0)</f>
        <v>0</v>
      </c>
      <c r="W3018" s="44">
        <f>Planning[[#This Row],[Horas Planificadas]]+Planning[[#This Row],[Horas ajustadas adicionales]]</f>
        <v>0</v>
      </c>
      <c r="X3018" s="142"/>
    </row>
    <row r="3019" spans="1:24" x14ac:dyDescent="0.2">
      <c r="A3019" s="7" t="s">
        <v>177</v>
      </c>
      <c r="B3019" s="7" t="s">
        <v>393</v>
      </c>
      <c r="C3019" s="3"/>
      <c r="D3019" s="3" t="s">
        <v>585</v>
      </c>
      <c r="E3019" s="4"/>
      <c r="F3019" s="3" t="s">
        <v>126</v>
      </c>
      <c r="G3019" s="20"/>
      <c r="H3019" s="9"/>
      <c r="I3019" s="12"/>
      <c r="J3019" s="5" t="e">
        <f>SUM(SUMIFS(#REF!,#REF!,Planning[[#This Row],[Tipo de Tarea y especialidad]],#REF!,Planning[[#This Row],[Proyectos Reiwa]]),SUMIFS(#REF!,#REF!,Planning[[#This Row],[Tipo de Tarea y especialidad]],#REF!,Planning[[#This Row],[Proyectos]]))</f>
        <v>#REF!</v>
      </c>
      <c r="K3019" s="5" t="e">
        <f>Planning[[#This Row],[Horas Planificadas]]+Planning[[#This Row],[Horas ajustadas adicionales]]-Planning[[#This Row],[Horas utilizadas]]</f>
        <v>#REF!</v>
      </c>
      <c r="L3019" s="7"/>
      <c r="M3019" s="19" t="e">
        <f>Planning[[#This Row],[Saldo]]-Planning[[#This Row],[Saldo estimado]]</f>
        <v>#REF!</v>
      </c>
      <c r="N3019" s="60" t="e">
        <f>+SUMIFS(#REF!,#REF!,Planning[[#This Row],[Proyectos]],#REF!,Planning[[#This Row],[Tipo de Tarea y especialidad]])</f>
        <v>#REF!</v>
      </c>
      <c r="O3019" s="19">
        <f t="shared" si="94"/>
        <v>10</v>
      </c>
      <c r="P3019" s="19">
        <f t="shared" si="95"/>
        <v>2024</v>
      </c>
      <c r="Q30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19" s="19" t="str">
        <f>TEXT(Planning[[#This Row],[Mes]]*29,"mmmm")</f>
        <v>October</v>
      </c>
      <c r="S30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19" s="193"/>
      <c r="U3019" s="43">
        <f>IF(Planning[[#This Row],[Horas Planificadas]]&lt;&gt;0,+K3019/Planning[[#This Row],[Horas Planificadas]],0)</f>
        <v>0</v>
      </c>
      <c r="V3019" s="43">
        <f>IF(Planning[[#This Row],[Horas Planificadas]]&lt;&gt;0,Planning[[#This Row],[Horas utilizadas]]/Planning[[#This Row],[Horas Planificadas]],0)</f>
        <v>0</v>
      </c>
      <c r="W3019" s="44">
        <f>Planning[[#This Row],[Horas Planificadas]]+Planning[[#This Row],[Horas ajustadas adicionales]]</f>
        <v>0</v>
      </c>
      <c r="X3019" s="142"/>
    </row>
    <row r="3020" spans="1:24" x14ac:dyDescent="0.2">
      <c r="A3020" s="7" t="s">
        <v>177</v>
      </c>
      <c r="B3020" s="7" t="s">
        <v>393</v>
      </c>
      <c r="C3020" s="3"/>
      <c r="D3020" s="3" t="s">
        <v>585</v>
      </c>
      <c r="E3020" s="4"/>
      <c r="F3020" s="3" t="s">
        <v>127</v>
      </c>
      <c r="G3020" s="20"/>
      <c r="H3020" s="9"/>
      <c r="I3020" s="12"/>
      <c r="J3020" s="5" t="e">
        <f>SUM(SUMIFS(#REF!,#REF!,Planning[[#This Row],[Tipo de Tarea y especialidad]],#REF!,Planning[[#This Row],[Proyectos Reiwa]]),SUMIFS(#REF!,#REF!,Planning[[#This Row],[Tipo de Tarea y especialidad]],#REF!,Planning[[#This Row],[Proyectos]]))</f>
        <v>#REF!</v>
      </c>
      <c r="K3020" s="5" t="e">
        <f>Planning[[#This Row],[Horas Planificadas]]+Planning[[#This Row],[Horas ajustadas adicionales]]-Planning[[#This Row],[Horas utilizadas]]</f>
        <v>#REF!</v>
      </c>
      <c r="L3020" s="7"/>
      <c r="M3020" s="19" t="e">
        <f>Planning[[#This Row],[Saldo]]-Planning[[#This Row],[Saldo estimado]]</f>
        <v>#REF!</v>
      </c>
      <c r="N3020" s="60" t="e">
        <f>+SUMIFS(#REF!,#REF!,Planning[[#This Row],[Proyectos]],#REF!,Planning[[#This Row],[Tipo de Tarea y especialidad]])</f>
        <v>#REF!</v>
      </c>
      <c r="O3020" s="19">
        <f t="shared" si="94"/>
        <v>10</v>
      </c>
      <c r="P3020" s="19">
        <f t="shared" si="95"/>
        <v>2024</v>
      </c>
      <c r="Q30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20" s="19" t="str">
        <f>TEXT(Planning[[#This Row],[Mes]]*29,"mmmm")</f>
        <v>October</v>
      </c>
      <c r="S30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20" s="193"/>
      <c r="U3020" s="43">
        <f>IF(Planning[[#This Row],[Horas Planificadas]]&lt;&gt;0,+K3020/Planning[[#This Row],[Horas Planificadas]],0)</f>
        <v>0</v>
      </c>
      <c r="V3020" s="43">
        <f>IF(Planning[[#This Row],[Horas Planificadas]]&lt;&gt;0,Planning[[#This Row],[Horas utilizadas]]/Planning[[#This Row],[Horas Planificadas]],0)</f>
        <v>0</v>
      </c>
      <c r="W3020" s="44">
        <f>Planning[[#This Row],[Horas Planificadas]]+Planning[[#This Row],[Horas ajustadas adicionales]]</f>
        <v>0</v>
      </c>
      <c r="X3020" s="142"/>
    </row>
    <row r="3021" spans="1:24" x14ac:dyDescent="0.2">
      <c r="A3021" s="7" t="s">
        <v>177</v>
      </c>
      <c r="B3021" s="7" t="s">
        <v>393</v>
      </c>
      <c r="C3021" s="3"/>
      <c r="D3021" s="3" t="s">
        <v>585</v>
      </c>
      <c r="E3021" s="4"/>
      <c r="F3021" s="3" t="s">
        <v>128</v>
      </c>
      <c r="G3021" s="20"/>
      <c r="H3021" s="9"/>
      <c r="I3021" s="12"/>
      <c r="J3021" s="5" t="e">
        <f>SUM(SUMIFS(#REF!,#REF!,Planning[[#This Row],[Tipo de Tarea y especialidad]],#REF!,Planning[[#This Row],[Proyectos Reiwa]]),SUMIFS(#REF!,#REF!,Planning[[#This Row],[Tipo de Tarea y especialidad]],#REF!,Planning[[#This Row],[Proyectos]]))</f>
        <v>#REF!</v>
      </c>
      <c r="K3021" s="5" t="e">
        <f>Planning[[#This Row],[Horas Planificadas]]+Planning[[#This Row],[Horas ajustadas adicionales]]-Planning[[#This Row],[Horas utilizadas]]</f>
        <v>#REF!</v>
      </c>
      <c r="L3021" s="7"/>
      <c r="M3021" s="19" t="e">
        <f>Planning[[#This Row],[Saldo]]-Planning[[#This Row],[Saldo estimado]]</f>
        <v>#REF!</v>
      </c>
      <c r="N3021" s="60" t="e">
        <f>+SUMIFS(#REF!,#REF!,Planning[[#This Row],[Proyectos]],#REF!,Planning[[#This Row],[Tipo de Tarea y especialidad]])</f>
        <v>#REF!</v>
      </c>
      <c r="O3021" s="19">
        <f t="shared" si="94"/>
        <v>10</v>
      </c>
      <c r="P3021" s="19">
        <f t="shared" si="95"/>
        <v>2024</v>
      </c>
      <c r="Q30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21" s="19" t="str">
        <f>TEXT(Planning[[#This Row],[Mes]]*29,"mmmm")</f>
        <v>October</v>
      </c>
      <c r="S30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21" s="193"/>
      <c r="U3021" s="43">
        <f>IF(Planning[[#This Row],[Horas Planificadas]]&lt;&gt;0,+K3021/Planning[[#This Row],[Horas Planificadas]],0)</f>
        <v>0</v>
      </c>
      <c r="V3021" s="43">
        <f>IF(Planning[[#This Row],[Horas Planificadas]]&lt;&gt;0,Planning[[#This Row],[Horas utilizadas]]/Planning[[#This Row],[Horas Planificadas]],0)</f>
        <v>0</v>
      </c>
      <c r="W3021" s="44">
        <f>Planning[[#This Row],[Horas Planificadas]]+Planning[[#This Row],[Horas ajustadas adicionales]]</f>
        <v>0</v>
      </c>
      <c r="X3021" s="142"/>
    </row>
    <row r="3022" spans="1:24" x14ac:dyDescent="0.2">
      <c r="A3022" s="7" t="s">
        <v>177</v>
      </c>
      <c r="B3022" s="7" t="s">
        <v>393</v>
      </c>
      <c r="C3022" s="3"/>
      <c r="D3022" s="3" t="s">
        <v>585</v>
      </c>
      <c r="E3022" s="4" t="s">
        <v>31</v>
      </c>
      <c r="F3022" s="3" t="s">
        <v>31</v>
      </c>
      <c r="G3022" s="9">
        <v>120</v>
      </c>
      <c r="H3022" s="17">
        <v>120</v>
      </c>
      <c r="I3022" s="18"/>
      <c r="J3022" s="14" t="e">
        <f>+SUMIFS(#REF!,#REF!,Planning[[#This Row],[Tarifa]],#REF!,Planning[[#This Row],[Proyectos]])</f>
        <v>#REF!</v>
      </c>
      <c r="K3022" s="14" t="e">
        <f>Planning[[#This Row],[Horas Planificadas]]+Planning[[#This Row],[Horas ajustadas adicionales]]-Planning[[#This Row],[Horas utilizadas]]</f>
        <v>#REF!</v>
      </c>
      <c r="L3022" s="15">
        <v>93</v>
      </c>
      <c r="M3022" s="16" t="e">
        <f>Planning[[#This Row],[Saldo]]-Planning[[#This Row],[Saldo estimado]]</f>
        <v>#REF!</v>
      </c>
      <c r="N3022" s="60" t="e">
        <f>+SUMIFS(#REF!,#REF!,Planning[[#This Row],[Proyectos]],#REF!,Planning[[#This Row],[Tipo de Tarea y especialidad]])</f>
        <v>#REF!</v>
      </c>
      <c r="O3022" s="16">
        <f t="shared" si="94"/>
        <v>10</v>
      </c>
      <c r="P3022" s="16">
        <f t="shared" si="95"/>
        <v>2024</v>
      </c>
      <c r="Q3022" s="16" t="e">
        <f>+SUMIFS(#REF!,#REF!,Planning[[#This Row],[Tarifa]],#REF!,Planning[[#This Row],[Proyectos]],#REF!,Planning[[#This Row],[Mes]],#REF!,Planning[[#This Row],[Año]])</f>
        <v>#REF!</v>
      </c>
      <c r="R3022" s="16" t="str">
        <f>TEXT(Planning[[#This Row],[Mes]]*29,"mmmm")</f>
        <v>October</v>
      </c>
      <c r="S30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22" s="193"/>
      <c r="U3022" s="43" t="e">
        <f>IF(Planning[[#This Row],[Horas Planificadas]]&lt;&gt;0,+K3022/Planning[[#This Row],[Horas Planificadas]],0)</f>
        <v>#REF!</v>
      </c>
      <c r="V3022" s="43" t="e">
        <f>IF(Planning[[#This Row],[Horas Planificadas]]&lt;&gt;0,Planning[[#This Row],[Horas utilizadas]]/Planning[[#This Row],[Horas Planificadas]],0)</f>
        <v>#REF!</v>
      </c>
      <c r="W3022" s="44">
        <f>Planning[[#This Row],[Horas Planificadas]]+Planning[[#This Row],[Horas ajustadas adicionales]]</f>
        <v>120</v>
      </c>
      <c r="X3022" s="142"/>
    </row>
    <row r="3023" spans="1:24" ht="22.5" x14ac:dyDescent="0.2">
      <c r="A3023" s="7" t="s">
        <v>177</v>
      </c>
      <c r="B3023" s="7" t="s">
        <v>393</v>
      </c>
      <c r="C3023" s="3"/>
      <c r="D3023" s="3" t="s">
        <v>585</v>
      </c>
      <c r="E3023" s="4" t="s">
        <v>32</v>
      </c>
      <c r="F3023" s="3"/>
      <c r="G3023" s="9">
        <v>430</v>
      </c>
      <c r="H3023" s="14">
        <f>SUM(H3024:H3026)</f>
        <v>430</v>
      </c>
      <c r="I3023" s="14"/>
      <c r="J3023" s="14" t="e">
        <f>SUM(J3024:J3026)</f>
        <v>#REF!</v>
      </c>
      <c r="K3023" s="15" t="e">
        <f>SUM(K3024:K3026)</f>
        <v>#REF!</v>
      </c>
      <c r="L3023" s="15">
        <f>SUM(L3024:L3026)</f>
        <v>430</v>
      </c>
      <c r="M3023" s="16" t="e">
        <f>SUM(M3024:M3026)</f>
        <v>#REF!</v>
      </c>
      <c r="N3023" s="60" t="e">
        <f>+SUMIFS(#REF!,#REF!,Planning[[#This Row],[Proyectos]],#REF!,Planning[[#This Row],[Tipo de Tarea y especialidad]])</f>
        <v>#REF!</v>
      </c>
      <c r="O3023" s="16">
        <f t="shared" si="94"/>
        <v>10</v>
      </c>
      <c r="P3023" s="16">
        <f t="shared" si="95"/>
        <v>2024</v>
      </c>
      <c r="Q3023" s="16" t="e">
        <f>SUM(Q3024:Q3026)</f>
        <v>#REF!</v>
      </c>
      <c r="R3023" s="16" t="str">
        <f>TEXT(Planning[[#This Row],[Mes]]*29,"mmmm")</f>
        <v>October</v>
      </c>
      <c r="S30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23" s="193"/>
      <c r="U3023" s="43" t="e">
        <f>IF(Planning[[#This Row],[Horas Planificadas]]&lt;&gt;0,+K3023/Planning[[#This Row],[Horas Planificadas]],0)</f>
        <v>#REF!</v>
      </c>
      <c r="V3023" s="43" t="e">
        <f>IF(Planning[[#This Row],[Horas Planificadas]]&lt;&gt;0,Planning[[#This Row],[Horas utilizadas]]/Planning[[#This Row],[Horas Planificadas]],0)</f>
        <v>#REF!</v>
      </c>
      <c r="W3023" s="44">
        <f>Planning[[#This Row],[Horas Planificadas]]+Planning[[#This Row],[Horas ajustadas adicionales]]</f>
        <v>430</v>
      </c>
      <c r="X3023" s="142"/>
    </row>
    <row r="3024" spans="1:24" x14ac:dyDescent="0.2">
      <c r="A3024" s="7" t="s">
        <v>177</v>
      </c>
      <c r="B3024" s="7" t="s">
        <v>393</v>
      </c>
      <c r="C3024" s="3"/>
      <c r="D3024" s="3" t="s">
        <v>585</v>
      </c>
      <c r="E3024" s="4"/>
      <c r="F3024" s="3" t="s">
        <v>129</v>
      </c>
      <c r="G3024" s="23"/>
      <c r="H3024" s="20"/>
      <c r="I3024" s="12"/>
      <c r="J3024" s="5" t="e">
        <f>SUM(SUMIFS(#REF!,#REF!,Planning[[#This Row],[Tipo de Tarea y especialidad]],#REF!,Planning[[#This Row],[Proyectos Reiwa]]),SUMIFS(#REF!,#REF!,Planning[[#This Row],[Tipo de Tarea y especialidad]],#REF!,Planning[[#This Row],[Proyectos]]))</f>
        <v>#REF!</v>
      </c>
      <c r="K3024" s="5" t="e">
        <f>Planning[[#This Row],[Horas Planificadas]]+Planning[[#This Row],[Horas ajustadas adicionales]]-Planning[[#This Row],[Horas utilizadas]]</f>
        <v>#REF!</v>
      </c>
      <c r="L3024" s="7"/>
      <c r="M3024" s="19" t="e">
        <f>Planning[[#This Row],[Saldo]]-Planning[[#This Row],[Saldo estimado]]</f>
        <v>#REF!</v>
      </c>
      <c r="N3024" s="60" t="e">
        <f>+SUMIFS(#REF!,#REF!,Planning[[#This Row],[Proyectos]],#REF!,Planning[[#This Row],[Tipo de Tarea y especialidad]])</f>
        <v>#REF!</v>
      </c>
      <c r="O3024" s="19">
        <f t="shared" si="94"/>
        <v>10</v>
      </c>
      <c r="P3024" s="19">
        <f t="shared" si="95"/>
        <v>2024</v>
      </c>
      <c r="Q30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24" s="19" t="str">
        <f>TEXT(Planning[[#This Row],[Mes]]*29,"mmmm")</f>
        <v>October</v>
      </c>
      <c r="S30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24" s="193"/>
      <c r="U3024" s="43">
        <f>IF(Planning[[#This Row],[Horas Planificadas]]&lt;&gt;0,+K3024/Planning[[#This Row],[Horas Planificadas]],0)</f>
        <v>0</v>
      </c>
      <c r="V3024" s="43">
        <f>IF(Planning[[#This Row],[Horas Planificadas]]&lt;&gt;0,Planning[[#This Row],[Horas utilizadas]]/Planning[[#This Row],[Horas Planificadas]],0)</f>
        <v>0</v>
      </c>
      <c r="W3024" s="44">
        <f>Planning[[#This Row],[Horas Planificadas]]+Planning[[#This Row],[Horas ajustadas adicionales]]</f>
        <v>0</v>
      </c>
      <c r="X3024" s="142"/>
    </row>
    <row r="3025" spans="1:24" x14ac:dyDescent="0.2">
      <c r="A3025" s="7" t="s">
        <v>177</v>
      </c>
      <c r="B3025" s="7" t="s">
        <v>393</v>
      </c>
      <c r="C3025" s="3"/>
      <c r="D3025" s="3" t="s">
        <v>585</v>
      </c>
      <c r="E3025" s="4"/>
      <c r="F3025" s="3" t="s">
        <v>130</v>
      </c>
      <c r="G3025" s="23"/>
      <c r="H3025" s="20"/>
      <c r="I3025" s="12"/>
      <c r="J3025" s="5" t="e">
        <f>SUM(SUMIFS(#REF!,#REF!,Planning[[#This Row],[Tipo de Tarea y especialidad]],#REF!,Planning[[#This Row],[Proyectos Reiwa]]),SUMIFS(#REF!,#REF!,Planning[[#This Row],[Tipo de Tarea y especialidad]],#REF!,Planning[[#This Row],[Proyectos]]))</f>
        <v>#REF!</v>
      </c>
      <c r="K3025" s="5" t="e">
        <f>Planning[[#This Row],[Horas Planificadas]]+Planning[[#This Row],[Horas ajustadas adicionales]]-Planning[[#This Row],[Horas utilizadas]]</f>
        <v>#REF!</v>
      </c>
      <c r="L3025" s="7"/>
      <c r="M3025" s="19" t="e">
        <f>Planning[[#This Row],[Saldo]]-Planning[[#This Row],[Saldo estimado]]</f>
        <v>#REF!</v>
      </c>
      <c r="N3025" s="60" t="e">
        <f>+SUMIFS(#REF!,#REF!,Planning[[#This Row],[Proyectos]],#REF!,Planning[[#This Row],[Tipo de Tarea y especialidad]])</f>
        <v>#REF!</v>
      </c>
      <c r="O3025" s="19">
        <f t="shared" si="94"/>
        <v>10</v>
      </c>
      <c r="P3025" s="19">
        <f t="shared" si="95"/>
        <v>2024</v>
      </c>
      <c r="Q30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25" s="19" t="str">
        <f>TEXT(Planning[[#This Row],[Mes]]*29,"mmmm")</f>
        <v>October</v>
      </c>
      <c r="S30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25" s="193"/>
      <c r="U3025" s="43">
        <f>IF(Planning[[#This Row],[Horas Planificadas]]&lt;&gt;0,+K3025/Planning[[#This Row],[Horas Planificadas]],0)</f>
        <v>0</v>
      </c>
      <c r="V3025" s="43">
        <f>IF(Planning[[#This Row],[Horas Planificadas]]&lt;&gt;0,Planning[[#This Row],[Horas utilizadas]]/Planning[[#This Row],[Horas Planificadas]],0)</f>
        <v>0</v>
      </c>
      <c r="W3025" s="44">
        <f>Planning[[#This Row],[Horas Planificadas]]+Planning[[#This Row],[Horas ajustadas adicionales]]</f>
        <v>0</v>
      </c>
      <c r="X3025" s="142"/>
    </row>
    <row r="3026" spans="1:24" x14ac:dyDescent="0.2">
      <c r="A3026" s="7" t="s">
        <v>177</v>
      </c>
      <c r="B3026" s="7" t="s">
        <v>393</v>
      </c>
      <c r="C3026" s="3"/>
      <c r="D3026" s="3" t="s">
        <v>585</v>
      </c>
      <c r="E3026" s="4"/>
      <c r="F3026" s="3" t="s">
        <v>131</v>
      </c>
      <c r="G3026" s="23"/>
      <c r="H3026" s="20">
        <v>430</v>
      </c>
      <c r="I3026" s="12"/>
      <c r="J3026" s="5" t="e">
        <f>SUM(SUMIFS(#REF!,#REF!,Planning[[#This Row],[Tipo de Tarea y especialidad]],#REF!,Planning[[#This Row],[Proyectos Reiwa]]),SUMIFS(#REF!,#REF!,Planning[[#This Row],[Tipo de Tarea y especialidad]],#REF!,Planning[[#This Row],[Proyectos]]))</f>
        <v>#REF!</v>
      </c>
      <c r="K3026" s="5" t="e">
        <f>Planning[[#This Row],[Horas Planificadas]]+Planning[[#This Row],[Horas ajustadas adicionales]]-Planning[[#This Row],[Horas utilizadas]]</f>
        <v>#REF!</v>
      </c>
      <c r="L3026" s="7">
        <v>430</v>
      </c>
      <c r="M3026" s="19" t="e">
        <f>Planning[[#This Row],[Saldo]]-Planning[[#This Row],[Saldo estimado]]</f>
        <v>#REF!</v>
      </c>
      <c r="N3026" s="60" t="e">
        <f>+SUMIFS(#REF!,#REF!,Planning[[#This Row],[Proyectos]],#REF!,Planning[[#This Row],[Tipo de Tarea y especialidad]])</f>
        <v>#REF!</v>
      </c>
      <c r="O3026" s="19">
        <f t="shared" si="94"/>
        <v>10</v>
      </c>
      <c r="P3026" s="19">
        <f t="shared" si="95"/>
        <v>2024</v>
      </c>
      <c r="Q30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26" s="19" t="str">
        <f>TEXT(Planning[[#This Row],[Mes]]*29,"mmmm")</f>
        <v>October</v>
      </c>
      <c r="S30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26" s="193"/>
      <c r="U3026" s="43" t="e">
        <f>IF(Planning[[#This Row],[Horas Planificadas]]&lt;&gt;0,+K3026/Planning[[#This Row],[Horas Planificadas]],0)</f>
        <v>#REF!</v>
      </c>
      <c r="V3026" s="43" t="e">
        <f>IF(Planning[[#This Row],[Horas Planificadas]]&lt;&gt;0,Planning[[#This Row],[Horas utilizadas]]/Planning[[#This Row],[Horas Planificadas]],0)</f>
        <v>#REF!</v>
      </c>
      <c r="W3026" s="44">
        <f>Planning[[#This Row],[Horas Planificadas]]+Planning[[#This Row],[Horas ajustadas adicionales]]</f>
        <v>430</v>
      </c>
      <c r="X3026" s="142"/>
    </row>
    <row r="3027" spans="1:24" ht="22.5" x14ac:dyDescent="0.2">
      <c r="A3027" s="7"/>
      <c r="B3027" s="7"/>
      <c r="C3027" s="3"/>
      <c r="D3027" s="3" t="s">
        <v>587</v>
      </c>
      <c r="E3027" s="4" t="s">
        <v>28</v>
      </c>
      <c r="F3027" s="3"/>
      <c r="G3027" s="9">
        <v>0</v>
      </c>
      <c r="H3027" s="14">
        <v>0</v>
      </c>
      <c r="I3027" s="14"/>
      <c r="J3027" s="14" t="e">
        <f>SUM(J3028:J3029)</f>
        <v>#REF!</v>
      </c>
      <c r="K3027" s="15" t="e">
        <f>SUM(K3028:K3029)</f>
        <v>#REF!</v>
      </c>
      <c r="L3027" s="15">
        <f>SUM(L3028:L3029)</f>
        <v>0</v>
      </c>
      <c r="M3027" s="14" t="e">
        <f>SUM(M3028:M3029)</f>
        <v>#REF!</v>
      </c>
      <c r="N3027" s="66" t="e">
        <f>+SUMIFS(#REF!,#REF!,Planning[[#This Row],[Proyectos]],#REF!,Planning[[#This Row],[Tipo de Tarea y especialidad]])</f>
        <v>#REF!</v>
      </c>
      <c r="O3027" s="14">
        <f t="shared" si="94"/>
        <v>10</v>
      </c>
      <c r="P3027" s="14">
        <f t="shared" si="95"/>
        <v>2024</v>
      </c>
      <c r="Q3027" s="28" t="e">
        <f>SUM(Q3028:Q3029)</f>
        <v>#REF!</v>
      </c>
      <c r="R3027" s="28" t="str">
        <f>TEXT(Planning[[#This Row],[Mes]]*29,"mmmm")</f>
        <v>October</v>
      </c>
      <c r="S30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27" s="228"/>
      <c r="U3027" s="43">
        <f>IF(Planning[[#This Row],[Horas Planificadas]]&lt;&gt;0,+K3027/Planning[[#This Row],[Horas Planificadas]],0)</f>
        <v>0</v>
      </c>
      <c r="V3027" s="43">
        <f>IF(Planning[[#This Row],[Horas Planificadas]]&lt;&gt;0,Planning[[#This Row],[Horas utilizadas]]/Planning[[#This Row],[Horas Planificadas]],0)</f>
        <v>0</v>
      </c>
      <c r="W3027" s="44">
        <f>Planning[[#This Row],[Horas Planificadas]]+Planning[[#This Row],[Horas ajustadas adicionales]]</f>
        <v>0</v>
      </c>
      <c r="X3027" s="142"/>
    </row>
    <row r="3028" spans="1:24" x14ac:dyDescent="0.2">
      <c r="A3028" s="7"/>
      <c r="B3028" s="7"/>
      <c r="C3028" s="3"/>
      <c r="D3028" s="3" t="s">
        <v>587</v>
      </c>
      <c r="E3028" s="4"/>
      <c r="F3028" s="3" t="s">
        <v>120</v>
      </c>
      <c r="G3028" s="9"/>
      <c r="H3028" s="9"/>
      <c r="I3028" s="12"/>
      <c r="J3028" s="5" t="e">
        <f>SUM(SUMIFS(#REF!,#REF!,Planning[[#This Row],[Tipo de Tarea y especialidad]],#REF!,Planning[[#This Row],[Proyectos Reiwa]]),SUMIFS(#REF!,#REF!,Planning[[#This Row],[Tipo de Tarea y especialidad]],#REF!,Planning[[#This Row],[Proyectos]]))</f>
        <v>#REF!</v>
      </c>
      <c r="K3028" s="5" t="e">
        <f>Planning[[#This Row],[Horas Planificadas]]+Planning[[#This Row],[Horas ajustadas adicionales]]-Planning[[#This Row],[Horas utilizadas]]</f>
        <v>#REF!</v>
      </c>
      <c r="L3028" s="7"/>
      <c r="M3028" s="19" t="e">
        <f>Planning[[#This Row],[Saldo]]-Planning[[#This Row],[Saldo estimado]]</f>
        <v>#REF!</v>
      </c>
      <c r="N3028" s="60" t="e">
        <f>+SUMIFS(#REF!,#REF!,Planning[[#This Row],[Proyectos]],#REF!,Planning[[#This Row],[Tipo de Tarea y especialidad]])</f>
        <v>#REF!</v>
      </c>
      <c r="O3028" s="19">
        <f t="shared" si="94"/>
        <v>10</v>
      </c>
      <c r="P3028" s="19">
        <f t="shared" si="95"/>
        <v>2024</v>
      </c>
      <c r="Q30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28" s="19" t="str">
        <f>TEXT(Planning[[#This Row],[Mes]]*29,"mmmm")</f>
        <v>October</v>
      </c>
      <c r="S30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28" s="228"/>
      <c r="U3028" s="43">
        <f>IF(Planning[[#This Row],[Horas Planificadas]]&lt;&gt;0,+K3028/Planning[[#This Row],[Horas Planificadas]],0)</f>
        <v>0</v>
      </c>
      <c r="V3028" s="43">
        <f>IF(Planning[[#This Row],[Horas Planificadas]]&lt;&gt;0,Planning[[#This Row],[Horas utilizadas]]/Planning[[#This Row],[Horas Planificadas]],0)</f>
        <v>0</v>
      </c>
      <c r="W3028" s="44">
        <f>Planning[[#This Row],[Horas Planificadas]]+Planning[[#This Row],[Horas ajustadas adicionales]]</f>
        <v>0</v>
      </c>
      <c r="X3028" s="142"/>
    </row>
    <row r="3029" spans="1:24" x14ac:dyDescent="0.2">
      <c r="A3029" s="7"/>
      <c r="B3029" s="7"/>
      <c r="C3029" s="3"/>
      <c r="D3029" s="3" t="s">
        <v>587</v>
      </c>
      <c r="E3029" s="4"/>
      <c r="F3029" s="3" t="s">
        <v>121</v>
      </c>
      <c r="G3029" s="9"/>
      <c r="H3029" s="9"/>
      <c r="I3029" s="12"/>
      <c r="J3029" s="5" t="e">
        <f>SUM(SUMIFS(#REF!,#REF!,Planning[[#This Row],[Tipo de Tarea y especialidad]],#REF!,Planning[[#This Row],[Proyectos Reiwa]]),SUMIFS(#REF!,#REF!,Planning[[#This Row],[Tipo de Tarea y especialidad]],#REF!,Planning[[#This Row],[Proyectos]]))</f>
        <v>#REF!</v>
      </c>
      <c r="K3029" s="5" t="e">
        <f>Planning[[#This Row],[Horas Planificadas]]+Planning[[#This Row],[Horas ajustadas adicionales]]-Planning[[#This Row],[Horas utilizadas]]</f>
        <v>#REF!</v>
      </c>
      <c r="L3029" s="7"/>
      <c r="M3029" s="19" t="e">
        <f>Planning[[#This Row],[Saldo]]-Planning[[#This Row],[Saldo estimado]]</f>
        <v>#REF!</v>
      </c>
      <c r="N3029" s="60" t="e">
        <f>+SUMIFS(#REF!,#REF!,Planning[[#This Row],[Proyectos]],#REF!,Planning[[#This Row],[Tipo de Tarea y especialidad]])</f>
        <v>#REF!</v>
      </c>
      <c r="O3029" s="19">
        <f t="shared" si="94"/>
        <v>10</v>
      </c>
      <c r="P3029" s="19">
        <f t="shared" si="95"/>
        <v>2024</v>
      </c>
      <c r="Q30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29" s="19" t="str">
        <f>TEXT(Planning[[#This Row],[Mes]]*29,"mmmm")</f>
        <v>October</v>
      </c>
      <c r="S30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29" s="228"/>
      <c r="U3029" s="43">
        <f>IF(Planning[[#This Row],[Horas Planificadas]]&lt;&gt;0,+K3029/Planning[[#This Row],[Horas Planificadas]],0)</f>
        <v>0</v>
      </c>
      <c r="V3029" s="43">
        <f>IF(Planning[[#This Row],[Horas Planificadas]]&lt;&gt;0,Planning[[#This Row],[Horas utilizadas]]/Planning[[#This Row],[Horas Planificadas]],0)</f>
        <v>0</v>
      </c>
      <c r="W3029" s="44">
        <f>Planning[[#This Row],[Horas Planificadas]]+Planning[[#This Row],[Horas ajustadas adicionales]]</f>
        <v>0</v>
      </c>
      <c r="X3029" s="142"/>
    </row>
    <row r="3030" spans="1:24" x14ac:dyDescent="0.2">
      <c r="A3030" s="7"/>
      <c r="B3030" s="7"/>
      <c r="C3030" s="3"/>
      <c r="D3030" s="3" t="s">
        <v>587</v>
      </c>
      <c r="E3030" s="4" t="s">
        <v>30</v>
      </c>
      <c r="F3030" s="3"/>
      <c r="G3030" s="9">
        <v>4</v>
      </c>
      <c r="H3030" s="14">
        <v>4</v>
      </c>
      <c r="I3030" s="14"/>
      <c r="J3030" s="14" t="e">
        <f>SUM(J3031:J3037)</f>
        <v>#REF!</v>
      </c>
      <c r="K3030" s="15" t="e">
        <f>SUM(K3031:K3037)</f>
        <v>#REF!</v>
      </c>
      <c r="L3030" s="15">
        <f>SUM(L3031:L3037)</f>
        <v>0</v>
      </c>
      <c r="M3030" s="16" t="e">
        <f>SUM(M3031:M3037)</f>
        <v>#REF!</v>
      </c>
      <c r="N3030" s="60" t="e">
        <f>+SUMIFS(#REF!,#REF!,Planning[[#This Row],[Proyectos]],#REF!,Planning[[#This Row],[Tipo de Tarea y especialidad]])</f>
        <v>#REF!</v>
      </c>
      <c r="O3030" s="16">
        <f t="shared" si="94"/>
        <v>10</v>
      </c>
      <c r="P3030" s="16">
        <f t="shared" si="95"/>
        <v>2024</v>
      </c>
      <c r="Q3030" s="16" t="e">
        <f>SUM(Q3031:Q3037)</f>
        <v>#REF!</v>
      </c>
      <c r="R3030" s="16" t="str">
        <f>TEXT(Planning[[#This Row],[Mes]]*29,"mmmm")</f>
        <v>October</v>
      </c>
      <c r="S30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30" s="228"/>
      <c r="U3030" s="43" t="e">
        <f>IF(Planning[[#This Row],[Horas Planificadas]]&lt;&gt;0,+K3030/Planning[[#This Row],[Horas Planificadas]],0)</f>
        <v>#REF!</v>
      </c>
      <c r="V3030" s="43" t="e">
        <f>IF(Planning[[#This Row],[Horas Planificadas]]&lt;&gt;0,Planning[[#This Row],[Horas utilizadas]]/Planning[[#This Row],[Horas Planificadas]],0)</f>
        <v>#REF!</v>
      </c>
      <c r="W3030" s="44">
        <f>Planning[[#This Row],[Horas Planificadas]]+Planning[[#This Row],[Horas ajustadas adicionales]]</f>
        <v>4</v>
      </c>
      <c r="X3030" s="142"/>
    </row>
    <row r="3031" spans="1:24" x14ac:dyDescent="0.2">
      <c r="A3031" s="7"/>
      <c r="B3031" s="7"/>
      <c r="C3031" s="3"/>
      <c r="D3031" s="3" t="s">
        <v>587</v>
      </c>
      <c r="E3031" s="4"/>
      <c r="F3031" s="3" t="s">
        <v>122</v>
      </c>
      <c r="G3031" s="20"/>
      <c r="H3031" s="9"/>
      <c r="I3031" s="12"/>
      <c r="J3031" s="5" t="e">
        <f>SUM(SUMIFS(#REF!,#REF!,Planning[[#This Row],[Tipo de Tarea y especialidad]],#REF!,Planning[[#This Row],[Proyectos Reiwa]]),SUMIFS(#REF!,#REF!,Planning[[#This Row],[Tipo de Tarea y especialidad]],#REF!,Planning[[#This Row],[Proyectos]]))</f>
        <v>#REF!</v>
      </c>
      <c r="K3031" s="5" t="e">
        <f>Planning[[#This Row],[Horas Planificadas]]+Planning[[#This Row],[Horas ajustadas adicionales]]-Planning[[#This Row],[Horas utilizadas]]</f>
        <v>#REF!</v>
      </c>
      <c r="L3031" s="7"/>
      <c r="M3031" s="19" t="e">
        <f>Planning[[#This Row],[Saldo]]-Planning[[#This Row],[Saldo estimado]]</f>
        <v>#REF!</v>
      </c>
      <c r="N3031" s="60" t="e">
        <f>+SUMIFS(#REF!,#REF!,Planning[[#This Row],[Proyectos]],#REF!,Planning[[#This Row],[Tipo de Tarea y especialidad]])</f>
        <v>#REF!</v>
      </c>
      <c r="O3031" s="19">
        <f t="shared" si="94"/>
        <v>10</v>
      </c>
      <c r="P3031" s="19">
        <f t="shared" si="95"/>
        <v>2024</v>
      </c>
      <c r="Q30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31" s="19" t="str">
        <f>TEXT(Planning[[#This Row],[Mes]]*29,"mmmm")</f>
        <v>October</v>
      </c>
      <c r="S30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31" s="228"/>
      <c r="U3031" s="43">
        <f>IF(Planning[[#This Row],[Horas Planificadas]]&lt;&gt;0,+K3031/Planning[[#This Row],[Horas Planificadas]],0)</f>
        <v>0</v>
      </c>
      <c r="V3031" s="43">
        <f>IF(Planning[[#This Row],[Horas Planificadas]]&lt;&gt;0,Planning[[#This Row],[Horas utilizadas]]/Planning[[#This Row],[Horas Planificadas]],0)</f>
        <v>0</v>
      </c>
      <c r="W3031" s="44">
        <f>Planning[[#This Row],[Horas Planificadas]]+Planning[[#This Row],[Horas ajustadas adicionales]]</f>
        <v>0</v>
      </c>
      <c r="X3031" s="142"/>
    </row>
    <row r="3032" spans="1:24" x14ac:dyDescent="0.2">
      <c r="A3032" s="7"/>
      <c r="B3032" s="7"/>
      <c r="C3032" s="3"/>
      <c r="D3032" s="3" t="s">
        <v>587</v>
      </c>
      <c r="E3032" s="4"/>
      <c r="F3032" s="3" t="s">
        <v>123</v>
      </c>
      <c r="G3032" s="20"/>
      <c r="H3032" s="9"/>
      <c r="I3032" s="12"/>
      <c r="J3032" s="5" t="e">
        <f>SUM(SUMIFS(#REF!,#REF!,Planning[[#This Row],[Tipo de Tarea y especialidad]],#REF!,Planning[[#This Row],[Proyectos Reiwa]]),SUMIFS(#REF!,#REF!,Planning[[#This Row],[Tipo de Tarea y especialidad]],#REF!,Planning[[#This Row],[Proyectos]]))</f>
        <v>#REF!</v>
      </c>
      <c r="K3032" s="5" t="e">
        <f>Planning[[#This Row],[Horas Planificadas]]+Planning[[#This Row],[Horas ajustadas adicionales]]-Planning[[#This Row],[Horas utilizadas]]</f>
        <v>#REF!</v>
      </c>
      <c r="L3032" s="7"/>
      <c r="M3032" s="19" t="e">
        <f>Planning[[#This Row],[Saldo]]-Planning[[#This Row],[Saldo estimado]]</f>
        <v>#REF!</v>
      </c>
      <c r="N3032" s="60" t="e">
        <f>+SUMIFS(#REF!,#REF!,Planning[[#This Row],[Proyectos]],#REF!,Planning[[#This Row],[Tipo de Tarea y especialidad]])</f>
        <v>#REF!</v>
      </c>
      <c r="O3032" s="19">
        <f t="shared" si="94"/>
        <v>10</v>
      </c>
      <c r="P3032" s="19">
        <f t="shared" si="95"/>
        <v>2024</v>
      </c>
      <c r="Q30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32" s="19" t="str">
        <f>TEXT(Planning[[#This Row],[Mes]]*29,"mmmm")</f>
        <v>October</v>
      </c>
      <c r="S30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32" s="228"/>
      <c r="U3032" s="43">
        <f>IF(Planning[[#This Row],[Horas Planificadas]]&lt;&gt;0,+K3032/Planning[[#This Row],[Horas Planificadas]],0)</f>
        <v>0</v>
      </c>
      <c r="V3032" s="43">
        <f>IF(Planning[[#This Row],[Horas Planificadas]]&lt;&gt;0,Planning[[#This Row],[Horas utilizadas]]/Planning[[#This Row],[Horas Planificadas]],0)</f>
        <v>0</v>
      </c>
      <c r="W3032" s="44">
        <f>Planning[[#This Row],[Horas Planificadas]]+Planning[[#This Row],[Horas ajustadas adicionales]]</f>
        <v>0</v>
      </c>
      <c r="X3032" s="142"/>
    </row>
    <row r="3033" spans="1:24" x14ac:dyDescent="0.2">
      <c r="A3033" s="7"/>
      <c r="B3033" s="7"/>
      <c r="C3033" s="3"/>
      <c r="D3033" s="3" t="s">
        <v>587</v>
      </c>
      <c r="E3033" s="4"/>
      <c r="F3033" s="3" t="s">
        <v>124</v>
      </c>
      <c r="G3033" s="20"/>
      <c r="H3033" s="9"/>
      <c r="I3033" s="12"/>
      <c r="J3033" s="5" t="e">
        <f>SUM(SUMIFS(#REF!,#REF!,Planning[[#This Row],[Tipo de Tarea y especialidad]],#REF!,Planning[[#This Row],[Proyectos Reiwa]]),SUMIFS(#REF!,#REF!,Planning[[#This Row],[Tipo de Tarea y especialidad]],#REF!,Planning[[#This Row],[Proyectos]]))</f>
        <v>#REF!</v>
      </c>
      <c r="K3033" s="5" t="e">
        <f>Planning[[#This Row],[Horas Planificadas]]+Planning[[#This Row],[Horas ajustadas adicionales]]-Planning[[#This Row],[Horas utilizadas]]</f>
        <v>#REF!</v>
      </c>
      <c r="L3033" s="7"/>
      <c r="M3033" s="19" t="e">
        <f>Planning[[#This Row],[Saldo]]-Planning[[#This Row],[Saldo estimado]]</f>
        <v>#REF!</v>
      </c>
      <c r="N3033" s="60" t="e">
        <f>+SUMIFS(#REF!,#REF!,Planning[[#This Row],[Proyectos]],#REF!,Planning[[#This Row],[Tipo de Tarea y especialidad]])</f>
        <v>#REF!</v>
      </c>
      <c r="O3033" s="19">
        <f t="shared" si="94"/>
        <v>10</v>
      </c>
      <c r="P3033" s="19">
        <f t="shared" si="95"/>
        <v>2024</v>
      </c>
      <c r="Q30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33" s="19" t="str">
        <f>TEXT(Planning[[#This Row],[Mes]]*29,"mmmm")</f>
        <v>October</v>
      </c>
      <c r="S30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33" s="228"/>
      <c r="U3033" s="43">
        <f>IF(Planning[[#This Row],[Horas Planificadas]]&lt;&gt;0,+K3033/Planning[[#This Row],[Horas Planificadas]],0)</f>
        <v>0</v>
      </c>
      <c r="V3033" s="43">
        <f>IF(Planning[[#This Row],[Horas Planificadas]]&lt;&gt;0,Planning[[#This Row],[Horas utilizadas]]/Planning[[#This Row],[Horas Planificadas]],0)</f>
        <v>0</v>
      </c>
      <c r="W3033" s="44">
        <f>Planning[[#This Row],[Horas Planificadas]]+Planning[[#This Row],[Horas ajustadas adicionales]]</f>
        <v>0</v>
      </c>
      <c r="X3033" s="142"/>
    </row>
    <row r="3034" spans="1:24" x14ac:dyDescent="0.2">
      <c r="A3034" s="7"/>
      <c r="B3034" s="7"/>
      <c r="C3034" s="3"/>
      <c r="D3034" s="3" t="s">
        <v>587</v>
      </c>
      <c r="E3034" s="4"/>
      <c r="F3034" s="3" t="s">
        <v>125</v>
      </c>
      <c r="G3034" s="20"/>
      <c r="H3034" s="9"/>
      <c r="I3034" s="12"/>
      <c r="J3034" s="5" t="e">
        <f>SUM(SUMIFS(#REF!,#REF!,Planning[[#This Row],[Tipo de Tarea y especialidad]],#REF!,Planning[[#This Row],[Proyectos Reiwa]]),SUMIFS(#REF!,#REF!,Planning[[#This Row],[Tipo de Tarea y especialidad]],#REF!,Planning[[#This Row],[Proyectos]]))</f>
        <v>#REF!</v>
      </c>
      <c r="K3034" s="5" t="e">
        <f>Planning[[#This Row],[Horas Planificadas]]+Planning[[#This Row],[Horas ajustadas adicionales]]-Planning[[#This Row],[Horas utilizadas]]</f>
        <v>#REF!</v>
      </c>
      <c r="L3034" s="7"/>
      <c r="M3034" s="19" t="e">
        <f>Planning[[#This Row],[Saldo]]-Planning[[#This Row],[Saldo estimado]]</f>
        <v>#REF!</v>
      </c>
      <c r="N3034" s="60" t="e">
        <f>+SUMIFS(#REF!,#REF!,Planning[[#This Row],[Proyectos]],#REF!,Planning[[#This Row],[Tipo de Tarea y especialidad]])</f>
        <v>#REF!</v>
      </c>
      <c r="O3034" s="19">
        <f t="shared" si="94"/>
        <v>10</v>
      </c>
      <c r="P3034" s="19">
        <f t="shared" si="95"/>
        <v>2024</v>
      </c>
      <c r="Q30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34" s="19" t="str">
        <f>TEXT(Planning[[#This Row],[Mes]]*29,"mmmm")</f>
        <v>October</v>
      </c>
      <c r="S30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34" s="228"/>
      <c r="U3034" s="43">
        <f>IF(Planning[[#This Row],[Horas Planificadas]]&lt;&gt;0,+K3034/Planning[[#This Row],[Horas Planificadas]],0)</f>
        <v>0</v>
      </c>
      <c r="V3034" s="43">
        <f>IF(Planning[[#This Row],[Horas Planificadas]]&lt;&gt;0,Planning[[#This Row],[Horas utilizadas]]/Planning[[#This Row],[Horas Planificadas]],0)</f>
        <v>0</v>
      </c>
      <c r="W3034" s="44">
        <f>Planning[[#This Row],[Horas Planificadas]]+Planning[[#This Row],[Horas ajustadas adicionales]]</f>
        <v>0</v>
      </c>
      <c r="X3034" s="142"/>
    </row>
    <row r="3035" spans="1:24" x14ac:dyDescent="0.2">
      <c r="A3035" s="7"/>
      <c r="B3035" s="7"/>
      <c r="C3035" s="3"/>
      <c r="D3035" s="3" t="s">
        <v>587</v>
      </c>
      <c r="E3035" s="4"/>
      <c r="F3035" s="3" t="s">
        <v>126</v>
      </c>
      <c r="G3035" s="20"/>
      <c r="H3035" s="9"/>
      <c r="I3035" s="12"/>
      <c r="J3035" s="5" t="e">
        <f>SUM(SUMIFS(#REF!,#REF!,Planning[[#This Row],[Tipo de Tarea y especialidad]],#REF!,Planning[[#This Row],[Proyectos Reiwa]]),SUMIFS(#REF!,#REF!,Planning[[#This Row],[Tipo de Tarea y especialidad]],#REF!,Planning[[#This Row],[Proyectos]]))</f>
        <v>#REF!</v>
      </c>
      <c r="K3035" s="5" t="e">
        <f>Planning[[#This Row],[Horas Planificadas]]+Planning[[#This Row],[Horas ajustadas adicionales]]-Planning[[#This Row],[Horas utilizadas]]</f>
        <v>#REF!</v>
      </c>
      <c r="L3035" s="7"/>
      <c r="M3035" s="19" t="e">
        <f>Planning[[#This Row],[Saldo]]-Planning[[#This Row],[Saldo estimado]]</f>
        <v>#REF!</v>
      </c>
      <c r="N3035" s="60" t="e">
        <f>+SUMIFS(#REF!,#REF!,Planning[[#This Row],[Proyectos]],#REF!,Planning[[#This Row],[Tipo de Tarea y especialidad]])</f>
        <v>#REF!</v>
      </c>
      <c r="O3035" s="19">
        <f t="shared" si="94"/>
        <v>10</v>
      </c>
      <c r="P3035" s="19">
        <f t="shared" si="95"/>
        <v>2024</v>
      </c>
      <c r="Q30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35" s="19" t="str">
        <f>TEXT(Planning[[#This Row],[Mes]]*29,"mmmm")</f>
        <v>October</v>
      </c>
      <c r="S30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35" s="228"/>
      <c r="U3035" s="43">
        <f>IF(Planning[[#This Row],[Horas Planificadas]]&lt;&gt;0,+K3035/Planning[[#This Row],[Horas Planificadas]],0)</f>
        <v>0</v>
      </c>
      <c r="V3035" s="43">
        <f>IF(Planning[[#This Row],[Horas Planificadas]]&lt;&gt;0,Planning[[#This Row],[Horas utilizadas]]/Planning[[#This Row],[Horas Planificadas]],0)</f>
        <v>0</v>
      </c>
      <c r="W3035" s="44">
        <f>Planning[[#This Row],[Horas Planificadas]]+Planning[[#This Row],[Horas ajustadas adicionales]]</f>
        <v>0</v>
      </c>
      <c r="X3035" s="142"/>
    </row>
    <row r="3036" spans="1:24" x14ac:dyDescent="0.2">
      <c r="A3036" s="7"/>
      <c r="B3036" s="7"/>
      <c r="C3036" s="3"/>
      <c r="D3036" s="3" t="s">
        <v>587</v>
      </c>
      <c r="E3036" s="4"/>
      <c r="F3036" s="3" t="s">
        <v>127</v>
      </c>
      <c r="G3036" s="20"/>
      <c r="H3036" s="9"/>
      <c r="I3036" s="12"/>
      <c r="J3036" s="5" t="e">
        <f>SUM(SUMIFS(#REF!,#REF!,Planning[[#This Row],[Tipo de Tarea y especialidad]],#REF!,Planning[[#This Row],[Proyectos Reiwa]]),SUMIFS(#REF!,#REF!,Planning[[#This Row],[Tipo de Tarea y especialidad]],#REF!,Planning[[#This Row],[Proyectos]]))</f>
        <v>#REF!</v>
      </c>
      <c r="K3036" s="5" t="e">
        <f>Planning[[#This Row],[Horas Planificadas]]+Planning[[#This Row],[Horas ajustadas adicionales]]-Planning[[#This Row],[Horas utilizadas]]</f>
        <v>#REF!</v>
      </c>
      <c r="L3036" s="7"/>
      <c r="M3036" s="19" t="e">
        <f>Planning[[#This Row],[Saldo]]-Planning[[#This Row],[Saldo estimado]]</f>
        <v>#REF!</v>
      </c>
      <c r="N3036" s="60" t="e">
        <f>+SUMIFS(#REF!,#REF!,Planning[[#This Row],[Proyectos]],#REF!,Planning[[#This Row],[Tipo de Tarea y especialidad]])</f>
        <v>#REF!</v>
      </c>
      <c r="O3036" s="19">
        <f t="shared" si="94"/>
        <v>10</v>
      </c>
      <c r="P3036" s="19">
        <f t="shared" si="95"/>
        <v>2024</v>
      </c>
      <c r="Q30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36" s="19" t="str">
        <f>TEXT(Planning[[#This Row],[Mes]]*29,"mmmm")</f>
        <v>October</v>
      </c>
      <c r="S30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36" s="228"/>
      <c r="U3036" s="43">
        <f>IF(Planning[[#This Row],[Horas Planificadas]]&lt;&gt;0,+K3036/Planning[[#This Row],[Horas Planificadas]],0)</f>
        <v>0</v>
      </c>
      <c r="V3036" s="43">
        <f>IF(Planning[[#This Row],[Horas Planificadas]]&lt;&gt;0,Planning[[#This Row],[Horas utilizadas]]/Planning[[#This Row],[Horas Planificadas]],0)</f>
        <v>0</v>
      </c>
      <c r="W3036" s="44">
        <f>Planning[[#This Row],[Horas Planificadas]]+Planning[[#This Row],[Horas ajustadas adicionales]]</f>
        <v>0</v>
      </c>
      <c r="X3036" s="142"/>
    </row>
    <row r="3037" spans="1:24" x14ac:dyDescent="0.2">
      <c r="A3037" s="7"/>
      <c r="B3037" s="7"/>
      <c r="C3037" s="3"/>
      <c r="D3037" s="3" t="s">
        <v>587</v>
      </c>
      <c r="E3037" s="4"/>
      <c r="F3037" s="3" t="s">
        <v>128</v>
      </c>
      <c r="G3037" s="20"/>
      <c r="H3037" s="9"/>
      <c r="I3037" s="12"/>
      <c r="J3037" s="5" t="e">
        <f>SUM(SUMIFS(#REF!,#REF!,Planning[[#This Row],[Tipo de Tarea y especialidad]],#REF!,Planning[[#This Row],[Proyectos Reiwa]]),SUMIFS(#REF!,#REF!,Planning[[#This Row],[Tipo de Tarea y especialidad]],#REF!,Planning[[#This Row],[Proyectos]]))</f>
        <v>#REF!</v>
      </c>
      <c r="K3037" s="5" t="e">
        <f>Planning[[#This Row],[Horas Planificadas]]+Planning[[#This Row],[Horas ajustadas adicionales]]-Planning[[#This Row],[Horas utilizadas]]</f>
        <v>#REF!</v>
      </c>
      <c r="L3037" s="7"/>
      <c r="M3037" s="19" t="e">
        <f>Planning[[#This Row],[Saldo]]-Planning[[#This Row],[Saldo estimado]]</f>
        <v>#REF!</v>
      </c>
      <c r="N3037" s="60" t="e">
        <f>+SUMIFS(#REF!,#REF!,Planning[[#This Row],[Proyectos]],#REF!,Planning[[#This Row],[Tipo de Tarea y especialidad]])</f>
        <v>#REF!</v>
      </c>
      <c r="O3037" s="19">
        <f t="shared" si="94"/>
        <v>10</v>
      </c>
      <c r="P3037" s="19">
        <f t="shared" si="95"/>
        <v>2024</v>
      </c>
      <c r="Q30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37" s="19" t="str">
        <f>TEXT(Planning[[#This Row],[Mes]]*29,"mmmm")</f>
        <v>October</v>
      </c>
      <c r="S30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37" s="228"/>
      <c r="U3037" s="43">
        <f>IF(Planning[[#This Row],[Horas Planificadas]]&lt;&gt;0,+K3037/Planning[[#This Row],[Horas Planificadas]],0)</f>
        <v>0</v>
      </c>
      <c r="V3037" s="43">
        <f>IF(Planning[[#This Row],[Horas Planificadas]]&lt;&gt;0,Planning[[#This Row],[Horas utilizadas]]/Planning[[#This Row],[Horas Planificadas]],0)</f>
        <v>0</v>
      </c>
      <c r="W3037" s="44">
        <f>Planning[[#This Row],[Horas Planificadas]]+Planning[[#This Row],[Horas ajustadas adicionales]]</f>
        <v>0</v>
      </c>
      <c r="X3037" s="142"/>
    </row>
    <row r="3038" spans="1:24" x14ac:dyDescent="0.2">
      <c r="A3038" s="7"/>
      <c r="B3038" s="7"/>
      <c r="C3038" s="3"/>
      <c r="D3038" s="3" t="s">
        <v>587</v>
      </c>
      <c r="E3038" s="4" t="s">
        <v>31</v>
      </c>
      <c r="F3038" s="3" t="s">
        <v>31</v>
      </c>
      <c r="G3038" s="9">
        <v>4</v>
      </c>
      <c r="H3038" s="17">
        <v>4</v>
      </c>
      <c r="I3038" s="18"/>
      <c r="J3038" s="14" t="e">
        <f>+SUMIFS(#REF!,#REF!,Planning[[#This Row],[Tarifa]],#REF!,Planning[[#This Row],[Proyectos]])</f>
        <v>#REF!</v>
      </c>
      <c r="K3038" s="14" t="e">
        <f>Planning[[#This Row],[Horas Planificadas]]+Planning[[#This Row],[Horas ajustadas adicionales]]-Planning[[#This Row],[Horas utilizadas]]</f>
        <v>#REF!</v>
      </c>
      <c r="L3038" s="15"/>
      <c r="M3038" s="16" t="e">
        <f>Planning[[#This Row],[Saldo]]-Planning[[#This Row],[Saldo estimado]]</f>
        <v>#REF!</v>
      </c>
      <c r="N3038" s="60" t="e">
        <f>+SUMIFS(#REF!,#REF!,Planning[[#This Row],[Proyectos]],#REF!,Planning[[#This Row],[Tipo de Tarea y especialidad]])</f>
        <v>#REF!</v>
      </c>
      <c r="O3038" s="16">
        <f t="shared" si="94"/>
        <v>10</v>
      </c>
      <c r="P3038" s="16">
        <f t="shared" si="95"/>
        <v>2024</v>
      </c>
      <c r="Q3038" s="16" t="e">
        <f>+SUMIFS(#REF!,#REF!,Planning[[#This Row],[Tarifa]],#REF!,Planning[[#This Row],[Proyectos]],#REF!,Planning[[#This Row],[Mes]],#REF!,Planning[[#This Row],[Año]])</f>
        <v>#REF!</v>
      </c>
      <c r="R3038" s="16" t="str">
        <f>TEXT(Planning[[#This Row],[Mes]]*29,"mmmm")</f>
        <v>October</v>
      </c>
      <c r="S30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38" s="228"/>
      <c r="U3038" s="43" t="e">
        <f>IF(Planning[[#This Row],[Horas Planificadas]]&lt;&gt;0,+K3038/Planning[[#This Row],[Horas Planificadas]],0)</f>
        <v>#REF!</v>
      </c>
      <c r="V3038" s="43" t="e">
        <f>IF(Planning[[#This Row],[Horas Planificadas]]&lt;&gt;0,Planning[[#This Row],[Horas utilizadas]]/Planning[[#This Row],[Horas Planificadas]],0)</f>
        <v>#REF!</v>
      </c>
      <c r="W3038" s="44">
        <f>Planning[[#This Row],[Horas Planificadas]]+Planning[[#This Row],[Horas ajustadas adicionales]]</f>
        <v>4</v>
      </c>
      <c r="X3038" s="142"/>
    </row>
    <row r="3039" spans="1:24" ht="22.5" x14ac:dyDescent="0.2">
      <c r="A3039" s="7"/>
      <c r="B3039" s="7"/>
      <c r="C3039" s="3"/>
      <c r="D3039" s="3" t="s">
        <v>587</v>
      </c>
      <c r="E3039" s="4" t="s">
        <v>32</v>
      </c>
      <c r="F3039" s="3"/>
      <c r="G3039" s="9">
        <v>20</v>
      </c>
      <c r="H3039" s="14">
        <v>20</v>
      </c>
      <c r="I3039" s="14"/>
      <c r="J3039" s="14" t="e">
        <f>SUM(J3040:J3042)</f>
        <v>#REF!</v>
      </c>
      <c r="K3039" s="15" t="e">
        <f>SUM(K3040:K3042)</f>
        <v>#REF!</v>
      </c>
      <c r="L3039" s="15">
        <f>SUM(L3040:L3042)</f>
        <v>0</v>
      </c>
      <c r="M3039" s="16" t="e">
        <f>SUM(M3040:M3042)</f>
        <v>#REF!</v>
      </c>
      <c r="N3039" s="60" t="e">
        <f>+SUMIFS(#REF!,#REF!,Planning[[#This Row],[Proyectos]],#REF!,Planning[[#This Row],[Tipo de Tarea y especialidad]])</f>
        <v>#REF!</v>
      </c>
      <c r="O3039" s="16">
        <f t="shared" si="94"/>
        <v>10</v>
      </c>
      <c r="P3039" s="16">
        <f t="shared" si="95"/>
        <v>2024</v>
      </c>
      <c r="Q3039" s="16" t="e">
        <f>SUM(Q3040:Q3042)</f>
        <v>#REF!</v>
      </c>
      <c r="R3039" s="16" t="str">
        <f>TEXT(Planning[[#This Row],[Mes]]*29,"mmmm")</f>
        <v>October</v>
      </c>
      <c r="S30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39" s="228"/>
      <c r="U3039" s="43" t="e">
        <f>IF(Planning[[#This Row],[Horas Planificadas]]&lt;&gt;0,+K3039/Planning[[#This Row],[Horas Planificadas]],0)</f>
        <v>#REF!</v>
      </c>
      <c r="V3039" s="43" t="e">
        <f>IF(Planning[[#This Row],[Horas Planificadas]]&lt;&gt;0,Planning[[#This Row],[Horas utilizadas]]/Planning[[#This Row],[Horas Planificadas]],0)</f>
        <v>#REF!</v>
      </c>
      <c r="W3039" s="44">
        <f>Planning[[#This Row],[Horas Planificadas]]+Planning[[#This Row],[Horas ajustadas adicionales]]</f>
        <v>20</v>
      </c>
      <c r="X3039" s="142"/>
    </row>
    <row r="3040" spans="1:24" x14ac:dyDescent="0.2">
      <c r="A3040" s="7"/>
      <c r="B3040" s="7"/>
      <c r="C3040" s="3"/>
      <c r="D3040" s="3" t="s">
        <v>587</v>
      </c>
      <c r="E3040" s="4"/>
      <c r="F3040" s="3" t="s">
        <v>129</v>
      </c>
      <c r="G3040" s="9"/>
      <c r="H3040" s="20"/>
      <c r="I3040" s="12"/>
      <c r="J3040" s="5" t="e">
        <f>SUM(SUMIFS(#REF!,#REF!,Planning[[#This Row],[Tipo de Tarea y especialidad]],#REF!,Planning[[#This Row],[Proyectos Reiwa]]),SUMIFS(#REF!,#REF!,Planning[[#This Row],[Tipo de Tarea y especialidad]],#REF!,Planning[[#This Row],[Proyectos]]))</f>
        <v>#REF!</v>
      </c>
      <c r="K3040" s="5" t="e">
        <f>Planning[[#This Row],[Horas Planificadas]]+Planning[[#This Row],[Horas ajustadas adicionales]]-Planning[[#This Row],[Horas utilizadas]]</f>
        <v>#REF!</v>
      </c>
      <c r="L3040" s="7"/>
      <c r="M3040" s="19" t="e">
        <f>Planning[[#This Row],[Saldo]]-Planning[[#This Row],[Saldo estimado]]</f>
        <v>#REF!</v>
      </c>
      <c r="N3040" s="60" t="e">
        <f>+SUMIFS(#REF!,#REF!,Planning[[#This Row],[Proyectos]],#REF!,Planning[[#This Row],[Tipo de Tarea y especialidad]])</f>
        <v>#REF!</v>
      </c>
      <c r="O3040" s="19">
        <f t="shared" si="94"/>
        <v>10</v>
      </c>
      <c r="P3040" s="19">
        <f t="shared" si="95"/>
        <v>2024</v>
      </c>
      <c r="Q30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40" s="19" t="str">
        <f>TEXT(Planning[[#This Row],[Mes]]*29,"mmmm")</f>
        <v>October</v>
      </c>
      <c r="S30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40" s="228"/>
      <c r="U3040" s="43">
        <f>IF(Planning[[#This Row],[Horas Planificadas]]&lt;&gt;0,+K3040/Planning[[#This Row],[Horas Planificadas]],0)</f>
        <v>0</v>
      </c>
      <c r="V3040" s="43">
        <f>IF(Planning[[#This Row],[Horas Planificadas]]&lt;&gt;0,Planning[[#This Row],[Horas utilizadas]]/Planning[[#This Row],[Horas Planificadas]],0)</f>
        <v>0</v>
      </c>
      <c r="W3040" s="44">
        <f>Planning[[#This Row],[Horas Planificadas]]+Planning[[#This Row],[Horas ajustadas adicionales]]</f>
        <v>0</v>
      </c>
      <c r="X3040" s="142"/>
    </row>
    <row r="3041" spans="1:24" x14ac:dyDescent="0.2">
      <c r="A3041" s="7"/>
      <c r="B3041" s="7"/>
      <c r="C3041" s="3"/>
      <c r="D3041" s="3" t="s">
        <v>587</v>
      </c>
      <c r="E3041" s="4"/>
      <c r="F3041" s="3" t="s">
        <v>130</v>
      </c>
      <c r="G3041" s="9"/>
      <c r="H3041" s="20"/>
      <c r="I3041" s="12"/>
      <c r="J3041" s="5" t="e">
        <f>SUM(SUMIFS(#REF!,#REF!,Planning[[#This Row],[Tipo de Tarea y especialidad]],#REF!,Planning[[#This Row],[Proyectos Reiwa]]),SUMIFS(#REF!,#REF!,Planning[[#This Row],[Tipo de Tarea y especialidad]],#REF!,Planning[[#This Row],[Proyectos]]))</f>
        <v>#REF!</v>
      </c>
      <c r="K3041" s="5" t="e">
        <f>Planning[[#This Row],[Horas Planificadas]]+Planning[[#This Row],[Horas ajustadas adicionales]]-Planning[[#This Row],[Horas utilizadas]]</f>
        <v>#REF!</v>
      </c>
      <c r="L3041" s="7"/>
      <c r="M3041" s="19" t="e">
        <f>Planning[[#This Row],[Saldo]]-Planning[[#This Row],[Saldo estimado]]</f>
        <v>#REF!</v>
      </c>
      <c r="N3041" s="60" t="e">
        <f>+SUMIFS(#REF!,#REF!,Planning[[#This Row],[Proyectos]],#REF!,Planning[[#This Row],[Tipo de Tarea y especialidad]])</f>
        <v>#REF!</v>
      </c>
      <c r="O3041" s="19">
        <f t="shared" si="94"/>
        <v>10</v>
      </c>
      <c r="P3041" s="19">
        <f t="shared" si="95"/>
        <v>2024</v>
      </c>
      <c r="Q30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41" s="19" t="str">
        <f>TEXT(Planning[[#This Row],[Mes]]*29,"mmmm")</f>
        <v>October</v>
      </c>
      <c r="S30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41" s="228"/>
      <c r="U3041" s="43">
        <f>IF(Planning[[#This Row],[Horas Planificadas]]&lt;&gt;0,+K3041/Planning[[#This Row],[Horas Planificadas]],0)</f>
        <v>0</v>
      </c>
      <c r="V3041" s="43">
        <f>IF(Planning[[#This Row],[Horas Planificadas]]&lt;&gt;0,Planning[[#This Row],[Horas utilizadas]]/Planning[[#This Row],[Horas Planificadas]],0)</f>
        <v>0</v>
      </c>
      <c r="W3041" s="44">
        <f>Planning[[#This Row],[Horas Planificadas]]+Planning[[#This Row],[Horas ajustadas adicionales]]</f>
        <v>0</v>
      </c>
      <c r="X3041" s="142"/>
    </row>
    <row r="3042" spans="1:24" x14ac:dyDescent="0.2">
      <c r="A3042" s="7"/>
      <c r="B3042" s="7"/>
      <c r="C3042" s="3"/>
      <c r="D3042" s="3" t="s">
        <v>587</v>
      </c>
      <c r="E3042" s="4"/>
      <c r="F3042" s="3" t="s">
        <v>131</v>
      </c>
      <c r="G3042" s="9"/>
      <c r="H3042" s="20"/>
      <c r="I3042" s="12"/>
      <c r="J3042" s="5" t="e">
        <f>SUM(SUMIFS(#REF!,#REF!,Planning[[#This Row],[Tipo de Tarea y especialidad]],#REF!,Planning[[#This Row],[Proyectos Reiwa]]),SUMIFS(#REF!,#REF!,Planning[[#This Row],[Tipo de Tarea y especialidad]],#REF!,Planning[[#This Row],[Proyectos]]))</f>
        <v>#REF!</v>
      </c>
      <c r="K3042" s="5" t="e">
        <f>Planning[[#This Row],[Horas Planificadas]]+Planning[[#This Row],[Horas ajustadas adicionales]]-Planning[[#This Row],[Horas utilizadas]]</f>
        <v>#REF!</v>
      </c>
      <c r="L3042" s="7"/>
      <c r="M3042" s="19" t="e">
        <f>Planning[[#This Row],[Saldo]]-Planning[[#This Row],[Saldo estimado]]</f>
        <v>#REF!</v>
      </c>
      <c r="N3042" s="60" t="e">
        <f>+SUMIFS(#REF!,#REF!,Planning[[#This Row],[Proyectos]],#REF!,Planning[[#This Row],[Tipo de Tarea y especialidad]])</f>
        <v>#REF!</v>
      </c>
      <c r="O3042" s="19">
        <f t="shared" si="94"/>
        <v>10</v>
      </c>
      <c r="P3042" s="19">
        <f t="shared" si="95"/>
        <v>2024</v>
      </c>
      <c r="Q30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42" s="19" t="str">
        <f>TEXT(Planning[[#This Row],[Mes]]*29,"mmmm")</f>
        <v>October</v>
      </c>
      <c r="S30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42" s="228"/>
      <c r="U3042" s="43">
        <f>IF(Planning[[#This Row],[Horas Planificadas]]&lt;&gt;0,+K3042/Planning[[#This Row],[Horas Planificadas]],0)</f>
        <v>0</v>
      </c>
      <c r="V3042" s="43">
        <f>IF(Planning[[#This Row],[Horas Planificadas]]&lt;&gt;0,Planning[[#This Row],[Horas utilizadas]]/Planning[[#This Row],[Horas Planificadas]],0)</f>
        <v>0</v>
      </c>
      <c r="W3042" s="44">
        <f>Planning[[#This Row],[Horas Planificadas]]+Planning[[#This Row],[Horas ajustadas adicionales]]</f>
        <v>0</v>
      </c>
      <c r="X3042" s="142"/>
    </row>
    <row r="3043" spans="1:24" ht="22.5" x14ac:dyDescent="0.2">
      <c r="A3043" s="7" t="s">
        <v>294</v>
      </c>
      <c r="B3043" s="7" t="s">
        <v>178</v>
      </c>
      <c r="C3043" s="3"/>
      <c r="D3043" s="3" t="s">
        <v>588</v>
      </c>
      <c r="E3043" s="4" t="s">
        <v>28</v>
      </c>
      <c r="F3043" s="3"/>
      <c r="G3043" s="9">
        <v>0</v>
      </c>
      <c r="H3043" s="14">
        <f>SUM(H3044:H3045)</f>
        <v>0</v>
      </c>
      <c r="I3043" s="14"/>
      <c r="J3043" s="14" t="e">
        <f>SUM(J3044:J3045)</f>
        <v>#REF!</v>
      </c>
      <c r="K3043" s="15" t="e">
        <f>SUM(K3044:K3045)</f>
        <v>#REF!</v>
      </c>
      <c r="L3043" s="15">
        <f>SUM(L3044:L3045)</f>
        <v>0</v>
      </c>
      <c r="M3043" s="14" t="e">
        <f>SUM(M3044:M3045)</f>
        <v>#REF!</v>
      </c>
      <c r="N3043" s="66" t="e">
        <f>+SUMIFS(#REF!,#REF!,Planning[[#This Row],[Proyectos]],#REF!,Planning[[#This Row],[Tipo de Tarea y especialidad]])</f>
        <v>#REF!</v>
      </c>
      <c r="O3043" s="14">
        <f t="shared" si="94"/>
        <v>10</v>
      </c>
      <c r="P3043" s="14">
        <f t="shared" si="95"/>
        <v>2024</v>
      </c>
      <c r="Q3043" s="28" t="e">
        <f>SUM(Q3044:Q3045)</f>
        <v>#REF!</v>
      </c>
      <c r="R3043" s="28" t="str">
        <f>TEXT(Planning[[#This Row],[Mes]]*29,"mmmm")</f>
        <v>October</v>
      </c>
      <c r="S30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43" s="192" t="s">
        <v>589</v>
      </c>
      <c r="U3043" s="43">
        <f>IF(Planning[[#This Row],[Horas Planificadas]]&lt;&gt;0,+K3043/Planning[[#This Row],[Horas Planificadas]],0)</f>
        <v>0</v>
      </c>
      <c r="V3043" s="43">
        <f>IF(Planning[[#This Row],[Horas Planificadas]]&lt;&gt;0,Planning[[#This Row],[Horas utilizadas]]/Planning[[#This Row],[Horas Planificadas]],0)</f>
        <v>0</v>
      </c>
      <c r="W3043" s="44">
        <f>Planning[[#This Row],[Horas Planificadas]]+Planning[[#This Row],[Horas ajustadas adicionales]]</f>
        <v>0</v>
      </c>
      <c r="X3043" s="142"/>
    </row>
    <row r="3044" spans="1:24" x14ac:dyDescent="0.2">
      <c r="A3044" s="7" t="s">
        <v>294</v>
      </c>
      <c r="B3044" s="7" t="s">
        <v>178</v>
      </c>
      <c r="C3044" s="3"/>
      <c r="D3044" s="3" t="s">
        <v>588</v>
      </c>
      <c r="E3044" s="4"/>
      <c r="F3044" s="3" t="s">
        <v>120</v>
      </c>
      <c r="G3044" s="9"/>
      <c r="H3044" s="9">
        <v>0</v>
      </c>
      <c r="I3044" s="12"/>
      <c r="J3044" s="5" t="e">
        <f>SUM(SUMIFS(#REF!,#REF!,Planning[[#This Row],[Tipo de Tarea y especialidad]],#REF!,Planning[[#This Row],[Proyectos Reiwa]]),SUMIFS(#REF!,#REF!,Planning[[#This Row],[Tipo de Tarea y especialidad]],#REF!,Planning[[#This Row],[Proyectos]]))</f>
        <v>#REF!</v>
      </c>
      <c r="K3044" s="5" t="e">
        <f>Planning[[#This Row],[Horas Planificadas]]+Planning[[#This Row],[Horas ajustadas adicionales]]-Planning[[#This Row],[Horas utilizadas]]</f>
        <v>#REF!</v>
      </c>
      <c r="L3044" s="7"/>
      <c r="M3044" s="19" t="e">
        <f>Planning[[#This Row],[Saldo]]-Planning[[#This Row],[Saldo estimado]]</f>
        <v>#REF!</v>
      </c>
      <c r="N3044" s="60" t="e">
        <f>+SUMIFS(#REF!,#REF!,Planning[[#This Row],[Proyectos]],#REF!,Planning[[#This Row],[Tipo de Tarea y especialidad]])</f>
        <v>#REF!</v>
      </c>
      <c r="O3044" s="19">
        <f t="shared" si="94"/>
        <v>10</v>
      </c>
      <c r="P3044" s="19">
        <f t="shared" si="95"/>
        <v>2024</v>
      </c>
      <c r="Q30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44" s="19" t="str">
        <f>TEXT(Planning[[#This Row],[Mes]]*29,"mmmm")</f>
        <v>October</v>
      </c>
      <c r="S30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44" s="193"/>
      <c r="U3044" s="43">
        <f>IF(Planning[[#This Row],[Horas Planificadas]]&lt;&gt;0,+K3044/Planning[[#This Row],[Horas Planificadas]],0)</f>
        <v>0</v>
      </c>
      <c r="V3044" s="43">
        <f>IF(Planning[[#This Row],[Horas Planificadas]]&lt;&gt;0,Planning[[#This Row],[Horas utilizadas]]/Planning[[#This Row],[Horas Planificadas]],0)</f>
        <v>0</v>
      </c>
      <c r="W3044" s="44">
        <f>Planning[[#This Row],[Horas Planificadas]]+Planning[[#This Row],[Horas ajustadas adicionales]]</f>
        <v>0</v>
      </c>
      <c r="X3044" s="142"/>
    </row>
    <row r="3045" spans="1:24" x14ac:dyDescent="0.2">
      <c r="A3045" s="7" t="s">
        <v>294</v>
      </c>
      <c r="B3045" s="7" t="s">
        <v>178</v>
      </c>
      <c r="C3045" s="3"/>
      <c r="D3045" s="3" t="s">
        <v>588</v>
      </c>
      <c r="E3045" s="4"/>
      <c r="F3045" s="3" t="s">
        <v>121</v>
      </c>
      <c r="G3045" s="9"/>
      <c r="H3045" s="9">
        <v>0</v>
      </c>
      <c r="I3045" s="12"/>
      <c r="J3045" s="5" t="e">
        <f>SUM(SUMIFS(#REF!,#REF!,Planning[[#This Row],[Tipo de Tarea y especialidad]],#REF!,Planning[[#This Row],[Proyectos Reiwa]]),SUMIFS(#REF!,#REF!,Planning[[#This Row],[Tipo de Tarea y especialidad]],#REF!,Planning[[#This Row],[Proyectos]]))</f>
        <v>#REF!</v>
      </c>
      <c r="K3045" s="5" t="e">
        <f>Planning[[#This Row],[Horas Planificadas]]+Planning[[#This Row],[Horas ajustadas adicionales]]-Planning[[#This Row],[Horas utilizadas]]</f>
        <v>#REF!</v>
      </c>
      <c r="L3045" s="7"/>
      <c r="M3045" s="19" t="e">
        <f>Planning[[#This Row],[Saldo]]-Planning[[#This Row],[Saldo estimado]]</f>
        <v>#REF!</v>
      </c>
      <c r="N3045" s="60" t="e">
        <f>+SUMIFS(#REF!,#REF!,Planning[[#This Row],[Proyectos]],#REF!,Planning[[#This Row],[Tipo de Tarea y especialidad]])</f>
        <v>#REF!</v>
      </c>
      <c r="O3045" s="19">
        <f t="shared" si="94"/>
        <v>10</v>
      </c>
      <c r="P3045" s="19">
        <f t="shared" si="95"/>
        <v>2024</v>
      </c>
      <c r="Q30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45" s="19" t="str">
        <f>TEXT(Planning[[#This Row],[Mes]]*29,"mmmm")</f>
        <v>October</v>
      </c>
      <c r="S30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45" s="193"/>
      <c r="U3045" s="43">
        <f>IF(Planning[[#This Row],[Horas Planificadas]]&lt;&gt;0,+K3045/Planning[[#This Row],[Horas Planificadas]],0)</f>
        <v>0</v>
      </c>
      <c r="V3045" s="43">
        <f>IF(Planning[[#This Row],[Horas Planificadas]]&lt;&gt;0,Planning[[#This Row],[Horas utilizadas]]/Planning[[#This Row],[Horas Planificadas]],0)</f>
        <v>0</v>
      </c>
      <c r="W3045" s="44">
        <f>Planning[[#This Row],[Horas Planificadas]]+Planning[[#This Row],[Horas ajustadas adicionales]]</f>
        <v>0</v>
      </c>
      <c r="X3045" s="142"/>
    </row>
    <row r="3046" spans="1:24" x14ac:dyDescent="0.2">
      <c r="A3046" s="7" t="s">
        <v>294</v>
      </c>
      <c r="B3046" s="7" t="s">
        <v>178</v>
      </c>
      <c r="C3046" s="3"/>
      <c r="D3046" s="3" t="s">
        <v>588</v>
      </c>
      <c r="E3046" s="4" t="s">
        <v>30</v>
      </c>
      <c r="F3046" s="3"/>
      <c r="G3046" s="9">
        <v>9</v>
      </c>
      <c r="H3046" s="14">
        <f>SUM(H3047:H3053)</f>
        <v>27</v>
      </c>
      <c r="I3046" s="14"/>
      <c r="J3046" s="14" t="e">
        <f>SUM(J3047:J3053)</f>
        <v>#REF!</v>
      </c>
      <c r="K3046" s="15" t="e">
        <f>SUM(K3047:K3053)</f>
        <v>#REF!</v>
      </c>
      <c r="L3046" s="15">
        <f>SUM(L3047:L3053)</f>
        <v>0</v>
      </c>
      <c r="M3046" s="16" t="e">
        <f>SUM(M3047:M3053)</f>
        <v>#REF!</v>
      </c>
      <c r="N3046" s="60" t="e">
        <f>+SUMIFS(#REF!,#REF!,Planning[[#This Row],[Proyectos]],#REF!,Planning[[#This Row],[Tipo de Tarea y especialidad]])</f>
        <v>#REF!</v>
      </c>
      <c r="O3046" s="16">
        <f t="shared" si="94"/>
        <v>10</v>
      </c>
      <c r="P3046" s="16">
        <f t="shared" si="95"/>
        <v>2024</v>
      </c>
      <c r="Q3046" s="16" t="e">
        <f>SUM(Q3047:Q3053)</f>
        <v>#REF!</v>
      </c>
      <c r="R3046" s="16" t="str">
        <f>TEXT(Planning[[#This Row],[Mes]]*29,"mmmm")</f>
        <v>October</v>
      </c>
      <c r="S30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46" s="193"/>
      <c r="U3046" s="43" t="e">
        <f>IF(Planning[[#This Row],[Horas Planificadas]]&lt;&gt;0,+K3046/Planning[[#This Row],[Horas Planificadas]],0)</f>
        <v>#REF!</v>
      </c>
      <c r="V3046" s="43" t="e">
        <f>IF(Planning[[#This Row],[Horas Planificadas]]&lt;&gt;0,Planning[[#This Row],[Horas utilizadas]]/Planning[[#This Row],[Horas Planificadas]],0)</f>
        <v>#REF!</v>
      </c>
      <c r="W3046" s="44">
        <f>Planning[[#This Row],[Horas Planificadas]]+Planning[[#This Row],[Horas ajustadas adicionales]]</f>
        <v>27</v>
      </c>
      <c r="X3046" s="142"/>
    </row>
    <row r="3047" spans="1:24" x14ac:dyDescent="0.2">
      <c r="A3047" s="7" t="s">
        <v>294</v>
      </c>
      <c r="B3047" s="7" t="s">
        <v>178</v>
      </c>
      <c r="C3047" s="3"/>
      <c r="D3047" s="3" t="s">
        <v>588</v>
      </c>
      <c r="E3047" s="4"/>
      <c r="F3047" s="3" t="s">
        <v>122</v>
      </c>
      <c r="G3047" s="20"/>
      <c r="H3047" s="9"/>
      <c r="I3047" s="12"/>
      <c r="J3047" s="5" t="e">
        <f>SUM(SUMIFS(#REF!,#REF!,Planning[[#This Row],[Tipo de Tarea y especialidad]],#REF!,Planning[[#This Row],[Proyectos Reiwa]]),SUMIFS(#REF!,#REF!,Planning[[#This Row],[Tipo de Tarea y especialidad]],#REF!,Planning[[#This Row],[Proyectos]]))</f>
        <v>#REF!</v>
      </c>
      <c r="K3047" s="5" t="e">
        <f>Planning[[#This Row],[Horas Planificadas]]+Planning[[#This Row],[Horas ajustadas adicionales]]-Planning[[#This Row],[Horas utilizadas]]</f>
        <v>#REF!</v>
      </c>
      <c r="L3047" s="7"/>
      <c r="M3047" s="19" t="e">
        <f>Planning[[#This Row],[Saldo]]-Planning[[#This Row],[Saldo estimado]]</f>
        <v>#REF!</v>
      </c>
      <c r="N3047" s="60" t="e">
        <f>+SUMIFS(#REF!,#REF!,Planning[[#This Row],[Proyectos]],#REF!,Planning[[#This Row],[Tipo de Tarea y especialidad]])</f>
        <v>#REF!</v>
      </c>
      <c r="O3047" s="19">
        <f t="shared" si="94"/>
        <v>10</v>
      </c>
      <c r="P3047" s="19">
        <f t="shared" si="95"/>
        <v>2024</v>
      </c>
      <c r="Q30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47" s="19" t="str">
        <f>TEXT(Planning[[#This Row],[Mes]]*29,"mmmm")</f>
        <v>October</v>
      </c>
      <c r="S30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47" s="193"/>
      <c r="U3047" s="43">
        <f>IF(Planning[[#This Row],[Horas Planificadas]]&lt;&gt;0,+K3047/Planning[[#This Row],[Horas Planificadas]],0)</f>
        <v>0</v>
      </c>
      <c r="V3047" s="43">
        <f>IF(Planning[[#This Row],[Horas Planificadas]]&lt;&gt;0,Planning[[#This Row],[Horas utilizadas]]/Planning[[#This Row],[Horas Planificadas]],0)</f>
        <v>0</v>
      </c>
      <c r="W3047" s="44">
        <f>Planning[[#This Row],[Horas Planificadas]]+Planning[[#This Row],[Horas ajustadas adicionales]]</f>
        <v>0</v>
      </c>
      <c r="X3047" s="142"/>
    </row>
    <row r="3048" spans="1:24" x14ac:dyDescent="0.2">
      <c r="A3048" s="7" t="s">
        <v>294</v>
      </c>
      <c r="B3048" s="7" t="s">
        <v>178</v>
      </c>
      <c r="C3048" s="3"/>
      <c r="D3048" s="3" t="s">
        <v>588</v>
      </c>
      <c r="E3048" s="4"/>
      <c r="F3048" s="3" t="s">
        <v>123</v>
      </c>
      <c r="G3048" s="20"/>
      <c r="H3048" s="9">
        <v>27</v>
      </c>
      <c r="I3048" s="12"/>
      <c r="J3048" s="5" t="e">
        <f>SUM(SUMIFS(#REF!,#REF!,Planning[[#This Row],[Tipo de Tarea y especialidad]],#REF!,Planning[[#This Row],[Proyectos Reiwa]]),SUMIFS(#REF!,#REF!,Planning[[#This Row],[Tipo de Tarea y especialidad]],#REF!,Planning[[#This Row],[Proyectos]]))</f>
        <v>#REF!</v>
      </c>
      <c r="K3048" s="5" t="e">
        <f>Planning[[#This Row],[Horas Planificadas]]+Planning[[#This Row],[Horas ajustadas adicionales]]-Planning[[#This Row],[Horas utilizadas]]</f>
        <v>#REF!</v>
      </c>
      <c r="L3048" s="7">
        <v>0</v>
      </c>
      <c r="M3048" s="19" t="e">
        <f>Planning[[#This Row],[Saldo]]-Planning[[#This Row],[Saldo estimado]]</f>
        <v>#REF!</v>
      </c>
      <c r="N3048" s="60" t="e">
        <f>+SUMIFS(#REF!,#REF!,Planning[[#This Row],[Proyectos]],#REF!,Planning[[#This Row],[Tipo de Tarea y especialidad]])</f>
        <v>#REF!</v>
      </c>
      <c r="O3048" s="19">
        <f t="shared" si="94"/>
        <v>10</v>
      </c>
      <c r="P3048" s="19">
        <f t="shared" si="95"/>
        <v>2024</v>
      </c>
      <c r="Q30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48" s="19" t="str">
        <f>TEXT(Planning[[#This Row],[Mes]]*29,"mmmm")</f>
        <v>October</v>
      </c>
      <c r="S30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48" s="193"/>
      <c r="U3048" s="43" t="e">
        <f>IF(Planning[[#This Row],[Horas Planificadas]]&lt;&gt;0,+K3048/Planning[[#This Row],[Horas Planificadas]],0)</f>
        <v>#REF!</v>
      </c>
      <c r="V3048" s="43" t="e">
        <f>IF(Planning[[#This Row],[Horas Planificadas]]&lt;&gt;0,Planning[[#This Row],[Horas utilizadas]]/Planning[[#This Row],[Horas Planificadas]],0)</f>
        <v>#REF!</v>
      </c>
      <c r="W3048" s="44">
        <f>Planning[[#This Row],[Horas Planificadas]]+Planning[[#This Row],[Horas ajustadas adicionales]]</f>
        <v>27</v>
      </c>
      <c r="X3048" s="142"/>
    </row>
    <row r="3049" spans="1:24" x14ac:dyDescent="0.2">
      <c r="A3049" s="7" t="s">
        <v>294</v>
      </c>
      <c r="B3049" s="7" t="s">
        <v>178</v>
      </c>
      <c r="C3049" s="3"/>
      <c r="D3049" s="3" t="s">
        <v>588</v>
      </c>
      <c r="E3049" s="4"/>
      <c r="F3049" s="3" t="s">
        <v>124</v>
      </c>
      <c r="G3049" s="20"/>
      <c r="H3049" s="9"/>
      <c r="I3049" s="12"/>
      <c r="J3049" s="5" t="e">
        <f>SUM(SUMIFS(#REF!,#REF!,Planning[[#This Row],[Tipo de Tarea y especialidad]],#REF!,Planning[[#This Row],[Proyectos Reiwa]]),SUMIFS(#REF!,#REF!,Planning[[#This Row],[Tipo de Tarea y especialidad]],#REF!,Planning[[#This Row],[Proyectos]]))</f>
        <v>#REF!</v>
      </c>
      <c r="K3049" s="5" t="e">
        <f>Planning[[#This Row],[Horas Planificadas]]+Planning[[#This Row],[Horas ajustadas adicionales]]-Planning[[#This Row],[Horas utilizadas]]</f>
        <v>#REF!</v>
      </c>
      <c r="L3049" s="7"/>
      <c r="M3049" s="19" t="e">
        <f>Planning[[#This Row],[Saldo]]-Planning[[#This Row],[Saldo estimado]]</f>
        <v>#REF!</v>
      </c>
      <c r="N3049" s="60" t="e">
        <f>+SUMIFS(#REF!,#REF!,Planning[[#This Row],[Proyectos]],#REF!,Planning[[#This Row],[Tipo de Tarea y especialidad]])</f>
        <v>#REF!</v>
      </c>
      <c r="O3049" s="19">
        <f t="shared" si="94"/>
        <v>10</v>
      </c>
      <c r="P3049" s="19">
        <f t="shared" si="95"/>
        <v>2024</v>
      </c>
      <c r="Q30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49" s="19" t="str">
        <f>TEXT(Planning[[#This Row],[Mes]]*29,"mmmm")</f>
        <v>October</v>
      </c>
      <c r="S30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49" s="193"/>
      <c r="U3049" s="43">
        <f>IF(Planning[[#This Row],[Horas Planificadas]]&lt;&gt;0,+K3049/Planning[[#This Row],[Horas Planificadas]],0)</f>
        <v>0</v>
      </c>
      <c r="V3049" s="43">
        <f>IF(Planning[[#This Row],[Horas Planificadas]]&lt;&gt;0,Planning[[#This Row],[Horas utilizadas]]/Planning[[#This Row],[Horas Planificadas]],0)</f>
        <v>0</v>
      </c>
      <c r="W3049" s="44">
        <f>Planning[[#This Row],[Horas Planificadas]]+Planning[[#This Row],[Horas ajustadas adicionales]]</f>
        <v>0</v>
      </c>
      <c r="X3049" s="142"/>
    </row>
    <row r="3050" spans="1:24" x14ac:dyDescent="0.2">
      <c r="A3050" s="7" t="s">
        <v>294</v>
      </c>
      <c r="B3050" s="7" t="s">
        <v>178</v>
      </c>
      <c r="C3050" s="3"/>
      <c r="D3050" s="3" t="s">
        <v>588</v>
      </c>
      <c r="E3050" s="4"/>
      <c r="F3050" s="3" t="s">
        <v>125</v>
      </c>
      <c r="G3050" s="20"/>
      <c r="H3050" s="9"/>
      <c r="I3050" s="12"/>
      <c r="J3050" s="5" t="e">
        <f>SUM(SUMIFS(#REF!,#REF!,Planning[[#This Row],[Tipo de Tarea y especialidad]],#REF!,Planning[[#This Row],[Proyectos Reiwa]]),SUMIFS(#REF!,#REF!,Planning[[#This Row],[Tipo de Tarea y especialidad]],#REF!,Planning[[#This Row],[Proyectos]]))</f>
        <v>#REF!</v>
      </c>
      <c r="K3050" s="5" t="e">
        <f>Planning[[#This Row],[Horas Planificadas]]+Planning[[#This Row],[Horas ajustadas adicionales]]-Planning[[#This Row],[Horas utilizadas]]</f>
        <v>#REF!</v>
      </c>
      <c r="L3050" s="7"/>
      <c r="M3050" s="19" t="e">
        <f>Planning[[#This Row],[Saldo]]-Planning[[#This Row],[Saldo estimado]]</f>
        <v>#REF!</v>
      </c>
      <c r="N3050" s="60" t="e">
        <f>+SUMIFS(#REF!,#REF!,Planning[[#This Row],[Proyectos]],#REF!,Planning[[#This Row],[Tipo de Tarea y especialidad]])</f>
        <v>#REF!</v>
      </c>
      <c r="O3050" s="19">
        <f t="shared" si="94"/>
        <v>10</v>
      </c>
      <c r="P3050" s="19">
        <f t="shared" si="95"/>
        <v>2024</v>
      </c>
      <c r="Q30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50" s="19" t="str">
        <f>TEXT(Planning[[#This Row],[Mes]]*29,"mmmm")</f>
        <v>October</v>
      </c>
      <c r="S30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50" s="193"/>
      <c r="U3050" s="43">
        <f>IF(Planning[[#This Row],[Horas Planificadas]]&lt;&gt;0,+K3050/Planning[[#This Row],[Horas Planificadas]],0)</f>
        <v>0</v>
      </c>
      <c r="V3050" s="43">
        <f>IF(Planning[[#This Row],[Horas Planificadas]]&lt;&gt;0,Planning[[#This Row],[Horas utilizadas]]/Planning[[#This Row],[Horas Planificadas]],0)</f>
        <v>0</v>
      </c>
      <c r="W3050" s="44">
        <f>Planning[[#This Row],[Horas Planificadas]]+Planning[[#This Row],[Horas ajustadas adicionales]]</f>
        <v>0</v>
      </c>
      <c r="X3050" s="142"/>
    </row>
    <row r="3051" spans="1:24" x14ac:dyDescent="0.2">
      <c r="A3051" s="7" t="s">
        <v>294</v>
      </c>
      <c r="B3051" s="7" t="s">
        <v>178</v>
      </c>
      <c r="C3051" s="3"/>
      <c r="D3051" s="3" t="s">
        <v>588</v>
      </c>
      <c r="E3051" s="4"/>
      <c r="F3051" s="3" t="s">
        <v>126</v>
      </c>
      <c r="G3051" s="20"/>
      <c r="H3051" s="9"/>
      <c r="I3051" s="12"/>
      <c r="J3051" s="5" t="e">
        <f>SUM(SUMIFS(#REF!,#REF!,Planning[[#This Row],[Tipo de Tarea y especialidad]],#REF!,Planning[[#This Row],[Proyectos Reiwa]]),SUMIFS(#REF!,#REF!,Planning[[#This Row],[Tipo de Tarea y especialidad]],#REF!,Planning[[#This Row],[Proyectos]]))</f>
        <v>#REF!</v>
      </c>
      <c r="K3051" s="5" t="e">
        <f>Planning[[#This Row],[Horas Planificadas]]+Planning[[#This Row],[Horas ajustadas adicionales]]-Planning[[#This Row],[Horas utilizadas]]</f>
        <v>#REF!</v>
      </c>
      <c r="L3051" s="7"/>
      <c r="M3051" s="19" t="e">
        <f>Planning[[#This Row],[Saldo]]-Planning[[#This Row],[Saldo estimado]]</f>
        <v>#REF!</v>
      </c>
      <c r="N3051" s="60" t="e">
        <f>+SUMIFS(#REF!,#REF!,Planning[[#This Row],[Proyectos]],#REF!,Planning[[#This Row],[Tipo de Tarea y especialidad]])</f>
        <v>#REF!</v>
      </c>
      <c r="O3051" s="19">
        <f t="shared" si="94"/>
        <v>10</v>
      </c>
      <c r="P3051" s="19">
        <f t="shared" si="95"/>
        <v>2024</v>
      </c>
      <c r="Q30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51" s="19" t="str">
        <f>TEXT(Planning[[#This Row],[Mes]]*29,"mmmm")</f>
        <v>October</v>
      </c>
      <c r="S30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51" s="193"/>
      <c r="U3051" s="43">
        <f>IF(Planning[[#This Row],[Horas Planificadas]]&lt;&gt;0,+K3051/Planning[[#This Row],[Horas Planificadas]],0)</f>
        <v>0</v>
      </c>
      <c r="V3051" s="43">
        <f>IF(Planning[[#This Row],[Horas Planificadas]]&lt;&gt;0,Planning[[#This Row],[Horas utilizadas]]/Planning[[#This Row],[Horas Planificadas]],0)</f>
        <v>0</v>
      </c>
      <c r="W3051" s="44">
        <f>Planning[[#This Row],[Horas Planificadas]]+Planning[[#This Row],[Horas ajustadas adicionales]]</f>
        <v>0</v>
      </c>
      <c r="X3051" s="142"/>
    </row>
    <row r="3052" spans="1:24" x14ac:dyDescent="0.2">
      <c r="A3052" s="7" t="s">
        <v>294</v>
      </c>
      <c r="B3052" s="7" t="s">
        <v>178</v>
      </c>
      <c r="C3052" s="3"/>
      <c r="D3052" s="3" t="s">
        <v>588</v>
      </c>
      <c r="E3052" s="4"/>
      <c r="F3052" s="3" t="s">
        <v>127</v>
      </c>
      <c r="G3052" s="20"/>
      <c r="H3052" s="9"/>
      <c r="I3052" s="12"/>
      <c r="J3052" s="5" t="e">
        <f>SUM(SUMIFS(#REF!,#REF!,Planning[[#This Row],[Tipo de Tarea y especialidad]],#REF!,Planning[[#This Row],[Proyectos Reiwa]]),SUMIFS(#REF!,#REF!,Planning[[#This Row],[Tipo de Tarea y especialidad]],#REF!,Planning[[#This Row],[Proyectos]]))</f>
        <v>#REF!</v>
      </c>
      <c r="K3052" s="5" t="e">
        <f>Planning[[#This Row],[Horas Planificadas]]+Planning[[#This Row],[Horas ajustadas adicionales]]-Planning[[#This Row],[Horas utilizadas]]</f>
        <v>#REF!</v>
      </c>
      <c r="L3052" s="7"/>
      <c r="M3052" s="19" t="e">
        <f>Planning[[#This Row],[Saldo]]-Planning[[#This Row],[Saldo estimado]]</f>
        <v>#REF!</v>
      </c>
      <c r="N3052" s="60" t="e">
        <f>+SUMIFS(#REF!,#REF!,Planning[[#This Row],[Proyectos]],#REF!,Planning[[#This Row],[Tipo de Tarea y especialidad]])</f>
        <v>#REF!</v>
      </c>
      <c r="O3052" s="19">
        <f t="shared" si="94"/>
        <v>10</v>
      </c>
      <c r="P3052" s="19">
        <f t="shared" si="95"/>
        <v>2024</v>
      </c>
      <c r="Q30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52" s="19" t="str">
        <f>TEXT(Planning[[#This Row],[Mes]]*29,"mmmm")</f>
        <v>October</v>
      </c>
      <c r="S30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52" s="193"/>
      <c r="U3052" s="43">
        <f>IF(Planning[[#This Row],[Horas Planificadas]]&lt;&gt;0,+K3052/Planning[[#This Row],[Horas Planificadas]],0)</f>
        <v>0</v>
      </c>
      <c r="V3052" s="43">
        <f>IF(Planning[[#This Row],[Horas Planificadas]]&lt;&gt;0,Planning[[#This Row],[Horas utilizadas]]/Planning[[#This Row],[Horas Planificadas]],0)</f>
        <v>0</v>
      </c>
      <c r="W3052" s="44">
        <f>Planning[[#This Row],[Horas Planificadas]]+Planning[[#This Row],[Horas ajustadas adicionales]]</f>
        <v>0</v>
      </c>
      <c r="X3052" s="142"/>
    </row>
    <row r="3053" spans="1:24" x14ac:dyDescent="0.2">
      <c r="A3053" s="7" t="s">
        <v>294</v>
      </c>
      <c r="B3053" s="7" t="s">
        <v>178</v>
      </c>
      <c r="C3053" s="3"/>
      <c r="D3053" s="3" t="s">
        <v>588</v>
      </c>
      <c r="E3053" s="4"/>
      <c r="F3053" s="3" t="s">
        <v>128</v>
      </c>
      <c r="G3053" s="20"/>
      <c r="H3053" s="9"/>
      <c r="I3053" s="12"/>
      <c r="J3053" s="5" t="e">
        <f>SUM(SUMIFS(#REF!,#REF!,Planning[[#This Row],[Tipo de Tarea y especialidad]],#REF!,Planning[[#This Row],[Proyectos Reiwa]]),SUMIFS(#REF!,#REF!,Planning[[#This Row],[Tipo de Tarea y especialidad]],#REF!,Planning[[#This Row],[Proyectos]]))</f>
        <v>#REF!</v>
      </c>
      <c r="K3053" s="5" t="e">
        <f>Planning[[#This Row],[Horas Planificadas]]+Planning[[#This Row],[Horas ajustadas adicionales]]-Planning[[#This Row],[Horas utilizadas]]</f>
        <v>#REF!</v>
      </c>
      <c r="L3053" s="7"/>
      <c r="M3053" s="19" t="e">
        <f>Planning[[#This Row],[Saldo]]-Planning[[#This Row],[Saldo estimado]]</f>
        <v>#REF!</v>
      </c>
      <c r="N3053" s="60" t="e">
        <f>+SUMIFS(#REF!,#REF!,Planning[[#This Row],[Proyectos]],#REF!,Planning[[#This Row],[Tipo de Tarea y especialidad]])</f>
        <v>#REF!</v>
      </c>
      <c r="O3053" s="19">
        <f t="shared" si="94"/>
        <v>10</v>
      </c>
      <c r="P3053" s="19">
        <f t="shared" si="95"/>
        <v>2024</v>
      </c>
      <c r="Q30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53" s="19" t="str">
        <f>TEXT(Planning[[#This Row],[Mes]]*29,"mmmm")</f>
        <v>October</v>
      </c>
      <c r="S30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53" s="193"/>
      <c r="U3053" s="43">
        <f>IF(Planning[[#This Row],[Horas Planificadas]]&lt;&gt;0,+K3053/Planning[[#This Row],[Horas Planificadas]],0)</f>
        <v>0</v>
      </c>
      <c r="V3053" s="43">
        <f>IF(Planning[[#This Row],[Horas Planificadas]]&lt;&gt;0,Planning[[#This Row],[Horas utilizadas]]/Planning[[#This Row],[Horas Planificadas]],0)</f>
        <v>0</v>
      </c>
      <c r="W3053" s="44">
        <f>Planning[[#This Row],[Horas Planificadas]]+Planning[[#This Row],[Horas ajustadas adicionales]]</f>
        <v>0</v>
      </c>
      <c r="X3053" s="142"/>
    </row>
    <row r="3054" spans="1:24" x14ac:dyDescent="0.2">
      <c r="A3054" s="7" t="s">
        <v>294</v>
      </c>
      <c r="B3054" s="7" t="s">
        <v>178</v>
      </c>
      <c r="C3054" s="3"/>
      <c r="D3054" s="3" t="s">
        <v>588</v>
      </c>
      <c r="E3054" s="4" t="s">
        <v>31</v>
      </c>
      <c r="F3054" s="3" t="s">
        <v>31</v>
      </c>
      <c r="G3054" s="9">
        <v>0</v>
      </c>
      <c r="H3054" s="17">
        <v>0</v>
      </c>
      <c r="I3054" s="18"/>
      <c r="J3054" s="14" t="e">
        <f>+SUMIFS(#REF!,#REF!,Planning[[#This Row],[Tarifa]],#REF!,Planning[[#This Row],[Proyectos]])</f>
        <v>#REF!</v>
      </c>
      <c r="K3054" s="14" t="e">
        <f>Planning[[#This Row],[Horas Planificadas]]+Planning[[#This Row],[Horas ajustadas adicionales]]-Planning[[#This Row],[Horas utilizadas]]</f>
        <v>#REF!</v>
      </c>
      <c r="L3054" s="15">
        <v>0</v>
      </c>
      <c r="M3054" s="16" t="e">
        <f>Planning[[#This Row],[Saldo]]-Planning[[#This Row],[Saldo estimado]]</f>
        <v>#REF!</v>
      </c>
      <c r="N3054" s="60" t="e">
        <f>+SUMIFS(#REF!,#REF!,Planning[[#This Row],[Proyectos]],#REF!,Planning[[#This Row],[Tipo de Tarea y especialidad]])</f>
        <v>#REF!</v>
      </c>
      <c r="O3054" s="16">
        <f t="shared" si="94"/>
        <v>10</v>
      </c>
      <c r="P3054" s="16">
        <f t="shared" si="95"/>
        <v>2024</v>
      </c>
      <c r="Q3054" s="16" t="e">
        <f>+SUMIFS(#REF!,#REF!,Planning[[#This Row],[Tarifa]],#REF!,Planning[[#This Row],[Proyectos]],#REF!,Planning[[#This Row],[Mes]],#REF!,Planning[[#This Row],[Año]])</f>
        <v>#REF!</v>
      </c>
      <c r="R3054" s="16" t="str">
        <f>TEXT(Planning[[#This Row],[Mes]]*29,"mmmm")</f>
        <v>October</v>
      </c>
      <c r="S30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54" s="193"/>
      <c r="U3054" s="43">
        <f>IF(Planning[[#This Row],[Horas Planificadas]]&lt;&gt;0,+K3054/Planning[[#This Row],[Horas Planificadas]],0)</f>
        <v>0</v>
      </c>
      <c r="V3054" s="43">
        <f>IF(Planning[[#This Row],[Horas Planificadas]]&lt;&gt;0,Planning[[#This Row],[Horas utilizadas]]/Planning[[#This Row],[Horas Planificadas]],0)</f>
        <v>0</v>
      </c>
      <c r="W3054" s="44">
        <f>Planning[[#This Row],[Horas Planificadas]]+Planning[[#This Row],[Horas ajustadas adicionales]]</f>
        <v>0</v>
      </c>
      <c r="X3054" s="142"/>
    </row>
    <row r="3055" spans="1:24" ht="22.5" x14ac:dyDescent="0.2">
      <c r="A3055" s="7" t="s">
        <v>294</v>
      </c>
      <c r="B3055" s="7" t="s">
        <v>178</v>
      </c>
      <c r="C3055" s="3"/>
      <c r="D3055" s="3" t="s">
        <v>588</v>
      </c>
      <c r="E3055" s="4" t="s">
        <v>32</v>
      </c>
      <c r="F3055" s="3"/>
      <c r="G3055" s="9">
        <v>40</v>
      </c>
      <c r="H3055" s="14">
        <f>SUM(H3056:H3058)</f>
        <v>40</v>
      </c>
      <c r="I3055" s="14"/>
      <c r="J3055" s="14" t="e">
        <f>SUM(J3056:J3058)</f>
        <v>#REF!</v>
      </c>
      <c r="K3055" s="15" t="e">
        <f>SUM(K3056:K3058)</f>
        <v>#REF!</v>
      </c>
      <c r="L3055" s="15">
        <f>SUM(L3056:L3058)</f>
        <v>0</v>
      </c>
      <c r="M3055" s="16" t="e">
        <f>SUM(M3056:M3058)</f>
        <v>#REF!</v>
      </c>
      <c r="N3055" s="60" t="e">
        <f>+SUMIFS(#REF!,#REF!,Planning[[#This Row],[Proyectos]],#REF!,Planning[[#This Row],[Tipo de Tarea y especialidad]])</f>
        <v>#REF!</v>
      </c>
      <c r="O3055" s="16">
        <f t="shared" si="94"/>
        <v>10</v>
      </c>
      <c r="P3055" s="16">
        <f t="shared" si="95"/>
        <v>2024</v>
      </c>
      <c r="Q3055" s="16" t="e">
        <f>SUM(Q3056:Q3058)</f>
        <v>#REF!</v>
      </c>
      <c r="R3055" s="16" t="str">
        <f>TEXT(Planning[[#This Row],[Mes]]*29,"mmmm")</f>
        <v>October</v>
      </c>
      <c r="S30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55" s="193"/>
      <c r="U3055" s="43" t="e">
        <f>IF(Planning[[#This Row],[Horas Planificadas]]&lt;&gt;0,+K3055/Planning[[#This Row],[Horas Planificadas]],0)</f>
        <v>#REF!</v>
      </c>
      <c r="V3055" s="43" t="e">
        <f>IF(Planning[[#This Row],[Horas Planificadas]]&lt;&gt;0,Planning[[#This Row],[Horas utilizadas]]/Planning[[#This Row],[Horas Planificadas]],0)</f>
        <v>#REF!</v>
      </c>
      <c r="W3055" s="44">
        <f>Planning[[#This Row],[Horas Planificadas]]+Planning[[#This Row],[Horas ajustadas adicionales]]</f>
        <v>40</v>
      </c>
      <c r="X3055" s="142"/>
    </row>
    <row r="3056" spans="1:24" x14ac:dyDescent="0.2">
      <c r="A3056" s="7" t="s">
        <v>294</v>
      </c>
      <c r="B3056" s="7" t="s">
        <v>178</v>
      </c>
      <c r="C3056" s="3"/>
      <c r="D3056" s="3" t="s">
        <v>588</v>
      </c>
      <c r="E3056" s="4"/>
      <c r="F3056" s="3" t="s">
        <v>129</v>
      </c>
      <c r="G3056" s="11"/>
      <c r="H3056" s="20"/>
      <c r="I3056" s="12"/>
      <c r="J3056" s="5" t="e">
        <f>SUM(SUMIFS(#REF!,#REF!,Planning[[#This Row],[Tipo de Tarea y especialidad]],#REF!,Planning[[#This Row],[Proyectos Reiwa]]),SUMIFS(#REF!,#REF!,Planning[[#This Row],[Tipo de Tarea y especialidad]],#REF!,Planning[[#This Row],[Proyectos]]))</f>
        <v>#REF!</v>
      </c>
      <c r="K3056" s="5" t="e">
        <f>Planning[[#This Row],[Horas Planificadas]]+Planning[[#This Row],[Horas ajustadas adicionales]]-Planning[[#This Row],[Horas utilizadas]]</f>
        <v>#REF!</v>
      </c>
      <c r="L3056" s="7"/>
      <c r="M3056" s="19" t="e">
        <f>Planning[[#This Row],[Saldo]]-Planning[[#This Row],[Saldo estimado]]</f>
        <v>#REF!</v>
      </c>
      <c r="N3056" s="60" t="e">
        <f>+SUMIFS(#REF!,#REF!,Planning[[#This Row],[Proyectos]],#REF!,Planning[[#This Row],[Tipo de Tarea y especialidad]])</f>
        <v>#REF!</v>
      </c>
      <c r="O3056" s="19">
        <f t="shared" si="94"/>
        <v>10</v>
      </c>
      <c r="P3056" s="19">
        <f t="shared" si="95"/>
        <v>2024</v>
      </c>
      <c r="Q30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56" s="19" t="str">
        <f>TEXT(Planning[[#This Row],[Mes]]*29,"mmmm")</f>
        <v>October</v>
      </c>
      <c r="S30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56" s="193"/>
      <c r="U3056" s="43">
        <f>IF(Planning[[#This Row],[Horas Planificadas]]&lt;&gt;0,+K3056/Planning[[#This Row],[Horas Planificadas]],0)</f>
        <v>0</v>
      </c>
      <c r="V3056" s="43">
        <f>IF(Planning[[#This Row],[Horas Planificadas]]&lt;&gt;0,Planning[[#This Row],[Horas utilizadas]]/Planning[[#This Row],[Horas Planificadas]],0)</f>
        <v>0</v>
      </c>
      <c r="W3056" s="44">
        <f>Planning[[#This Row],[Horas Planificadas]]+Planning[[#This Row],[Horas ajustadas adicionales]]</f>
        <v>0</v>
      </c>
      <c r="X3056" s="142"/>
    </row>
    <row r="3057" spans="1:24" x14ac:dyDescent="0.2">
      <c r="A3057" s="7" t="s">
        <v>294</v>
      </c>
      <c r="B3057" s="7" t="s">
        <v>178</v>
      </c>
      <c r="C3057" s="3"/>
      <c r="D3057" s="3" t="s">
        <v>588</v>
      </c>
      <c r="E3057" s="4"/>
      <c r="F3057" s="3" t="s">
        <v>130</v>
      </c>
      <c r="G3057" s="11"/>
      <c r="H3057" s="20">
        <v>40</v>
      </c>
      <c r="I3057" s="12"/>
      <c r="J3057" s="5" t="e">
        <f>SUM(SUMIFS(#REF!,#REF!,Planning[[#This Row],[Tipo de Tarea y especialidad]],#REF!,Planning[[#This Row],[Proyectos Reiwa]]),SUMIFS(#REF!,#REF!,Planning[[#This Row],[Tipo de Tarea y especialidad]],#REF!,Planning[[#This Row],[Proyectos]]))</f>
        <v>#REF!</v>
      </c>
      <c r="K3057" s="5" t="e">
        <f>Planning[[#This Row],[Horas Planificadas]]+Planning[[#This Row],[Horas ajustadas adicionales]]-Planning[[#This Row],[Horas utilizadas]]</f>
        <v>#REF!</v>
      </c>
      <c r="L3057" s="7"/>
      <c r="M3057" s="19" t="e">
        <f>Planning[[#This Row],[Saldo]]-Planning[[#This Row],[Saldo estimado]]</f>
        <v>#REF!</v>
      </c>
      <c r="N3057" s="60" t="e">
        <f>+SUMIFS(#REF!,#REF!,Planning[[#This Row],[Proyectos]],#REF!,Planning[[#This Row],[Tipo de Tarea y especialidad]])</f>
        <v>#REF!</v>
      </c>
      <c r="O3057" s="19">
        <f t="shared" si="94"/>
        <v>10</v>
      </c>
      <c r="P3057" s="19">
        <f t="shared" si="95"/>
        <v>2024</v>
      </c>
      <c r="Q30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57" s="19" t="str">
        <f>TEXT(Planning[[#This Row],[Mes]]*29,"mmmm")</f>
        <v>October</v>
      </c>
      <c r="S30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57" s="193"/>
      <c r="U3057" s="43" t="e">
        <f>IF(Planning[[#This Row],[Horas Planificadas]]&lt;&gt;0,+K3057/Planning[[#This Row],[Horas Planificadas]],0)</f>
        <v>#REF!</v>
      </c>
      <c r="V3057" s="43" t="e">
        <f>IF(Planning[[#This Row],[Horas Planificadas]]&lt;&gt;0,Planning[[#This Row],[Horas utilizadas]]/Planning[[#This Row],[Horas Planificadas]],0)</f>
        <v>#REF!</v>
      </c>
      <c r="W3057" s="44">
        <f>Planning[[#This Row],[Horas Planificadas]]+Planning[[#This Row],[Horas ajustadas adicionales]]</f>
        <v>40</v>
      </c>
      <c r="X3057" s="142"/>
    </row>
    <row r="3058" spans="1:24" x14ac:dyDescent="0.2">
      <c r="A3058" s="7" t="s">
        <v>294</v>
      </c>
      <c r="B3058" s="7" t="s">
        <v>178</v>
      </c>
      <c r="C3058" s="3"/>
      <c r="D3058" s="3" t="s">
        <v>588</v>
      </c>
      <c r="E3058" s="4"/>
      <c r="F3058" s="3" t="s">
        <v>131</v>
      </c>
      <c r="G3058" s="11"/>
      <c r="H3058" s="20"/>
      <c r="I3058" s="12"/>
      <c r="J3058" s="5" t="e">
        <f>SUM(SUMIFS(#REF!,#REF!,Planning[[#This Row],[Tipo de Tarea y especialidad]],#REF!,Planning[[#This Row],[Proyectos Reiwa]]),SUMIFS(#REF!,#REF!,Planning[[#This Row],[Tipo de Tarea y especialidad]],#REF!,Planning[[#This Row],[Proyectos]]))</f>
        <v>#REF!</v>
      </c>
      <c r="K3058" s="5" t="e">
        <f>Planning[[#This Row],[Horas Planificadas]]+Planning[[#This Row],[Horas ajustadas adicionales]]-Planning[[#This Row],[Horas utilizadas]]</f>
        <v>#REF!</v>
      </c>
      <c r="L3058" s="7"/>
      <c r="M3058" s="19" t="e">
        <f>Planning[[#This Row],[Saldo]]-Planning[[#This Row],[Saldo estimado]]</f>
        <v>#REF!</v>
      </c>
      <c r="N3058" s="60" t="e">
        <f>+SUMIFS(#REF!,#REF!,Planning[[#This Row],[Proyectos]],#REF!,Planning[[#This Row],[Tipo de Tarea y especialidad]])</f>
        <v>#REF!</v>
      </c>
      <c r="O3058" s="19">
        <f t="shared" si="94"/>
        <v>10</v>
      </c>
      <c r="P3058" s="19">
        <f t="shared" si="95"/>
        <v>2024</v>
      </c>
      <c r="Q30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58" s="19" t="str">
        <f>TEXT(Planning[[#This Row],[Mes]]*29,"mmmm")</f>
        <v>October</v>
      </c>
      <c r="S30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58" s="193"/>
      <c r="U3058" s="43">
        <f>IF(Planning[[#This Row],[Horas Planificadas]]&lt;&gt;0,+K3058/Planning[[#This Row],[Horas Planificadas]],0)</f>
        <v>0</v>
      </c>
      <c r="V3058" s="43">
        <f>IF(Planning[[#This Row],[Horas Planificadas]]&lt;&gt;0,Planning[[#This Row],[Horas utilizadas]]/Planning[[#This Row],[Horas Planificadas]],0)</f>
        <v>0</v>
      </c>
      <c r="W3058" s="44">
        <f>Planning[[#This Row],[Horas Planificadas]]+Planning[[#This Row],[Horas ajustadas adicionales]]</f>
        <v>0</v>
      </c>
      <c r="X3058" s="142"/>
    </row>
    <row r="3059" spans="1:24" ht="13.35" customHeight="1" x14ac:dyDescent="0.2">
      <c r="A3059" s="7" t="s">
        <v>204</v>
      </c>
      <c r="B3059" s="7" t="s">
        <v>288</v>
      </c>
      <c r="C3059" s="3"/>
      <c r="D3059" s="3" t="s">
        <v>590</v>
      </c>
      <c r="E3059" s="4" t="s">
        <v>28</v>
      </c>
      <c r="F3059" s="3"/>
      <c r="G3059" s="9">
        <v>399</v>
      </c>
      <c r="H3059" s="14">
        <f>SUM(H3060:H3061)</f>
        <v>399</v>
      </c>
      <c r="I3059" s="14"/>
      <c r="J3059" s="14" t="e">
        <f>SUM(J3060:J3061)</f>
        <v>#REF!</v>
      </c>
      <c r="K3059" s="15" t="e">
        <f>SUM(K3060:K3061)</f>
        <v>#REF!</v>
      </c>
      <c r="L3059" s="15">
        <f>SUM(L3060:L3061)</f>
        <v>0</v>
      </c>
      <c r="M3059" s="14" t="e">
        <f>SUM(M3060:M3061)</f>
        <v>#REF!</v>
      </c>
      <c r="N3059" s="66" t="e">
        <f>+SUMIFS(#REF!,#REF!,Planning[[#This Row],[Proyectos]],#REF!,Planning[[#This Row],[Tipo de Tarea y especialidad]])</f>
        <v>#REF!</v>
      </c>
      <c r="O3059" s="14">
        <f t="shared" si="94"/>
        <v>10</v>
      </c>
      <c r="P3059" s="14">
        <f t="shared" si="95"/>
        <v>2024</v>
      </c>
      <c r="Q3059" s="28" t="e">
        <f>SUM(Q3060:Q3061)</f>
        <v>#REF!</v>
      </c>
      <c r="R3059" s="28" t="str">
        <f>TEXT(Planning[[#This Row],[Mes]]*29,"mmmm")</f>
        <v>October</v>
      </c>
      <c r="S30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59" s="207" t="s">
        <v>591</v>
      </c>
      <c r="U3059" s="43" t="e">
        <f>IF(Planning[[#This Row],[Horas Planificadas]]&lt;&gt;0,+K3059/Planning[[#This Row],[Horas Planificadas]],0)</f>
        <v>#REF!</v>
      </c>
      <c r="V3059" s="43" t="e">
        <f>IF(Planning[[#This Row],[Horas Planificadas]]&lt;&gt;0,Planning[[#This Row],[Horas utilizadas]]/Planning[[#This Row],[Horas Planificadas]],0)</f>
        <v>#REF!</v>
      </c>
      <c r="W3059" s="44">
        <f>Planning[[#This Row],[Horas Planificadas]]+Planning[[#This Row],[Horas ajustadas adicionales]]</f>
        <v>399</v>
      </c>
      <c r="X3059" s="142"/>
    </row>
    <row r="3060" spans="1:24" x14ac:dyDescent="0.2">
      <c r="A3060" s="7" t="s">
        <v>204</v>
      </c>
      <c r="B3060" s="7" t="s">
        <v>288</v>
      </c>
      <c r="C3060" s="3"/>
      <c r="D3060" s="3" t="s">
        <v>590</v>
      </c>
      <c r="E3060" s="4"/>
      <c r="F3060" s="3" t="s">
        <v>120</v>
      </c>
      <c r="G3060" s="9"/>
      <c r="H3060" s="9">
        <v>350</v>
      </c>
      <c r="I3060" s="12"/>
      <c r="J3060" s="5" t="e">
        <f>SUM(SUMIFS(#REF!,#REF!,Planning[[#This Row],[Tipo de Tarea y especialidad]],#REF!,Planning[[#This Row],[Proyectos Reiwa]]),SUMIFS(#REF!,#REF!,Planning[[#This Row],[Tipo de Tarea y especialidad]],#REF!,Planning[[#This Row],[Proyectos]]))</f>
        <v>#REF!</v>
      </c>
      <c r="K3060" s="5" t="e">
        <f>Planning[[#This Row],[Horas Planificadas]]+Planning[[#This Row],[Horas ajustadas adicionales]]-Planning[[#This Row],[Horas utilizadas]]</f>
        <v>#REF!</v>
      </c>
      <c r="L3060" s="7">
        <v>0</v>
      </c>
      <c r="M3060" s="19" t="e">
        <f>Planning[[#This Row],[Saldo]]-Planning[[#This Row],[Saldo estimado]]</f>
        <v>#REF!</v>
      </c>
      <c r="N3060" s="60" t="e">
        <f>+SUMIFS(#REF!,#REF!,Planning[[#This Row],[Proyectos]],#REF!,Planning[[#This Row],[Tipo de Tarea y especialidad]])</f>
        <v>#REF!</v>
      </c>
      <c r="O3060" s="19">
        <f t="shared" si="94"/>
        <v>10</v>
      </c>
      <c r="P3060" s="19">
        <f t="shared" si="95"/>
        <v>2024</v>
      </c>
      <c r="Q30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60" s="19" t="str">
        <f>TEXT(Planning[[#This Row],[Mes]]*29,"mmmm")</f>
        <v>October</v>
      </c>
      <c r="S30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60" s="208"/>
      <c r="U3060" s="43" t="e">
        <f>IF(Planning[[#This Row],[Horas Planificadas]]&lt;&gt;0,+K3060/Planning[[#This Row],[Horas Planificadas]],0)</f>
        <v>#REF!</v>
      </c>
      <c r="V3060" s="43" t="e">
        <f>IF(Planning[[#This Row],[Horas Planificadas]]&lt;&gt;0,Planning[[#This Row],[Horas utilizadas]]/Planning[[#This Row],[Horas Planificadas]],0)</f>
        <v>#REF!</v>
      </c>
      <c r="W3060" s="44">
        <f>Planning[[#This Row],[Horas Planificadas]]+Planning[[#This Row],[Horas ajustadas adicionales]]</f>
        <v>350</v>
      </c>
      <c r="X3060" s="142"/>
    </row>
    <row r="3061" spans="1:24" x14ac:dyDescent="0.2">
      <c r="A3061" s="7" t="s">
        <v>204</v>
      </c>
      <c r="B3061" s="7" t="s">
        <v>288</v>
      </c>
      <c r="C3061" s="3"/>
      <c r="D3061" s="3" t="s">
        <v>590</v>
      </c>
      <c r="E3061" s="4"/>
      <c r="F3061" s="3" t="s">
        <v>121</v>
      </c>
      <c r="G3061" s="9"/>
      <c r="H3061" s="9">
        <v>49</v>
      </c>
      <c r="I3061" s="12"/>
      <c r="J3061" s="5" t="e">
        <f>SUM(SUMIFS(#REF!,#REF!,Planning[[#This Row],[Tipo de Tarea y especialidad]],#REF!,Planning[[#This Row],[Proyectos Reiwa]]),SUMIFS(#REF!,#REF!,Planning[[#This Row],[Tipo de Tarea y especialidad]],#REF!,Planning[[#This Row],[Proyectos]]))</f>
        <v>#REF!</v>
      </c>
      <c r="K3061" s="5" t="e">
        <f>Planning[[#This Row],[Horas Planificadas]]+Planning[[#This Row],[Horas ajustadas adicionales]]-Planning[[#This Row],[Horas utilizadas]]</f>
        <v>#REF!</v>
      </c>
      <c r="L3061" s="7">
        <v>0</v>
      </c>
      <c r="M3061" s="19" t="e">
        <f>Planning[[#This Row],[Saldo]]-Planning[[#This Row],[Saldo estimado]]</f>
        <v>#REF!</v>
      </c>
      <c r="N3061" s="60" t="e">
        <f>+SUMIFS(#REF!,#REF!,Planning[[#This Row],[Proyectos]],#REF!,Planning[[#This Row],[Tipo de Tarea y especialidad]])</f>
        <v>#REF!</v>
      </c>
      <c r="O3061" s="19">
        <f t="shared" si="94"/>
        <v>10</v>
      </c>
      <c r="P3061" s="19">
        <f t="shared" si="95"/>
        <v>2024</v>
      </c>
      <c r="Q30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61" s="19" t="str">
        <f>TEXT(Planning[[#This Row],[Mes]]*29,"mmmm")</f>
        <v>October</v>
      </c>
      <c r="S30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61" s="208"/>
      <c r="U3061" s="43" t="e">
        <f>IF(Planning[[#This Row],[Horas Planificadas]]&lt;&gt;0,+K3061/Planning[[#This Row],[Horas Planificadas]],0)</f>
        <v>#REF!</v>
      </c>
      <c r="V3061" s="43" t="e">
        <f>IF(Planning[[#This Row],[Horas Planificadas]]&lt;&gt;0,Planning[[#This Row],[Horas utilizadas]]/Planning[[#This Row],[Horas Planificadas]],0)</f>
        <v>#REF!</v>
      </c>
      <c r="W3061" s="44">
        <f>Planning[[#This Row],[Horas Planificadas]]+Planning[[#This Row],[Horas ajustadas adicionales]]</f>
        <v>49</v>
      </c>
      <c r="X3061" s="142"/>
    </row>
    <row r="3062" spans="1:24" x14ac:dyDescent="0.2">
      <c r="A3062" s="7" t="s">
        <v>204</v>
      </c>
      <c r="B3062" s="7" t="s">
        <v>288</v>
      </c>
      <c r="C3062" s="3"/>
      <c r="D3062" s="3" t="s">
        <v>590</v>
      </c>
      <c r="E3062" s="4" t="s">
        <v>30</v>
      </c>
      <c r="F3062" s="3"/>
      <c r="G3062" s="9">
        <v>378</v>
      </c>
      <c r="H3062" s="14">
        <f>SUM(H3063:H3069)</f>
        <v>378</v>
      </c>
      <c r="I3062" s="14"/>
      <c r="J3062" s="14" t="e">
        <f>SUM(J3063:J3069)</f>
        <v>#REF!</v>
      </c>
      <c r="K3062" s="15" t="e">
        <f>SUM(K3063:K3069)</f>
        <v>#REF!</v>
      </c>
      <c r="L3062" s="15">
        <f>SUM(L3063:L3069)</f>
        <v>0</v>
      </c>
      <c r="M3062" s="16" t="e">
        <f>SUM(M3063:M3069)</f>
        <v>#REF!</v>
      </c>
      <c r="N3062" s="60" t="e">
        <f>+SUMIFS(#REF!,#REF!,Planning[[#This Row],[Proyectos]],#REF!,Planning[[#This Row],[Tipo de Tarea y especialidad]])</f>
        <v>#REF!</v>
      </c>
      <c r="O3062" s="16">
        <f t="shared" si="94"/>
        <v>10</v>
      </c>
      <c r="P3062" s="16">
        <f t="shared" si="95"/>
        <v>2024</v>
      </c>
      <c r="Q3062" s="16" t="e">
        <f>SUM(Q3063:Q3069)</f>
        <v>#REF!</v>
      </c>
      <c r="R3062" s="16" t="str">
        <f>TEXT(Planning[[#This Row],[Mes]]*29,"mmmm")</f>
        <v>October</v>
      </c>
      <c r="S30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62" s="208"/>
      <c r="U3062" s="43" t="e">
        <f>IF(Planning[[#This Row],[Horas Planificadas]]&lt;&gt;0,+K3062/Planning[[#This Row],[Horas Planificadas]],0)</f>
        <v>#REF!</v>
      </c>
      <c r="V3062" s="43" t="e">
        <f>IF(Planning[[#This Row],[Horas Planificadas]]&lt;&gt;0,Planning[[#This Row],[Horas utilizadas]]/Planning[[#This Row],[Horas Planificadas]],0)</f>
        <v>#REF!</v>
      </c>
      <c r="W3062" s="44">
        <f>Planning[[#This Row],[Horas Planificadas]]+Planning[[#This Row],[Horas ajustadas adicionales]]</f>
        <v>378</v>
      </c>
      <c r="X3062" s="142"/>
    </row>
    <row r="3063" spans="1:24" x14ac:dyDescent="0.2">
      <c r="A3063" s="7" t="s">
        <v>204</v>
      </c>
      <c r="B3063" s="7" t="s">
        <v>288</v>
      </c>
      <c r="C3063" s="3"/>
      <c r="D3063" s="3" t="s">
        <v>590</v>
      </c>
      <c r="E3063" s="4"/>
      <c r="F3063" s="3" t="s">
        <v>122</v>
      </c>
      <c r="G3063" s="20"/>
      <c r="H3063" s="9"/>
      <c r="I3063" s="12"/>
      <c r="J3063" s="5" t="e">
        <f>SUM(SUMIFS(#REF!,#REF!,Planning[[#This Row],[Tipo de Tarea y especialidad]],#REF!,Planning[[#This Row],[Proyectos Reiwa]]),SUMIFS(#REF!,#REF!,Planning[[#This Row],[Tipo de Tarea y especialidad]],#REF!,Planning[[#This Row],[Proyectos]]))</f>
        <v>#REF!</v>
      </c>
      <c r="K3063" s="5" t="e">
        <f>Planning[[#This Row],[Horas Planificadas]]+Planning[[#This Row],[Horas ajustadas adicionales]]-Planning[[#This Row],[Horas utilizadas]]</f>
        <v>#REF!</v>
      </c>
      <c r="L3063" s="7"/>
      <c r="M3063" s="19" t="e">
        <f>Planning[[#This Row],[Saldo]]-Planning[[#This Row],[Saldo estimado]]</f>
        <v>#REF!</v>
      </c>
      <c r="N3063" s="60" t="e">
        <f>+SUMIFS(#REF!,#REF!,Planning[[#This Row],[Proyectos]],#REF!,Planning[[#This Row],[Tipo de Tarea y especialidad]])</f>
        <v>#REF!</v>
      </c>
      <c r="O3063" s="19">
        <f t="shared" si="94"/>
        <v>10</v>
      </c>
      <c r="P3063" s="19">
        <f t="shared" si="95"/>
        <v>2024</v>
      </c>
      <c r="Q30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63" s="19" t="str">
        <f>TEXT(Planning[[#This Row],[Mes]]*29,"mmmm")</f>
        <v>October</v>
      </c>
      <c r="S30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63" s="208"/>
      <c r="U3063" s="43">
        <f>IF(Planning[[#This Row],[Horas Planificadas]]&lt;&gt;0,+K3063/Planning[[#This Row],[Horas Planificadas]],0)</f>
        <v>0</v>
      </c>
      <c r="V3063" s="43">
        <f>IF(Planning[[#This Row],[Horas Planificadas]]&lt;&gt;0,Planning[[#This Row],[Horas utilizadas]]/Planning[[#This Row],[Horas Planificadas]],0)</f>
        <v>0</v>
      </c>
      <c r="W3063" s="44">
        <f>Planning[[#This Row],[Horas Planificadas]]+Planning[[#This Row],[Horas ajustadas adicionales]]</f>
        <v>0</v>
      </c>
      <c r="X3063" s="142"/>
    </row>
    <row r="3064" spans="1:24" x14ac:dyDescent="0.2">
      <c r="A3064" s="7" t="s">
        <v>204</v>
      </c>
      <c r="B3064" s="7" t="s">
        <v>288</v>
      </c>
      <c r="C3064" s="3"/>
      <c r="D3064" s="3" t="s">
        <v>590</v>
      </c>
      <c r="E3064" s="4"/>
      <c r="F3064" s="3" t="s">
        <v>123</v>
      </c>
      <c r="G3064" s="20"/>
      <c r="H3064" s="9"/>
      <c r="I3064" s="12"/>
      <c r="J3064" s="5" t="e">
        <f>SUM(SUMIFS(#REF!,#REF!,Planning[[#This Row],[Tipo de Tarea y especialidad]],#REF!,Planning[[#This Row],[Proyectos Reiwa]]),SUMIFS(#REF!,#REF!,Planning[[#This Row],[Tipo de Tarea y especialidad]],#REF!,Planning[[#This Row],[Proyectos]]))</f>
        <v>#REF!</v>
      </c>
      <c r="K3064" s="5" t="e">
        <f>Planning[[#This Row],[Horas Planificadas]]+Planning[[#This Row],[Horas ajustadas adicionales]]-Planning[[#This Row],[Horas utilizadas]]</f>
        <v>#REF!</v>
      </c>
      <c r="L3064" s="7"/>
      <c r="M3064" s="19" t="e">
        <f>Planning[[#This Row],[Saldo]]-Planning[[#This Row],[Saldo estimado]]</f>
        <v>#REF!</v>
      </c>
      <c r="N3064" s="60" t="e">
        <f>+SUMIFS(#REF!,#REF!,Planning[[#This Row],[Proyectos]],#REF!,Planning[[#This Row],[Tipo de Tarea y especialidad]])</f>
        <v>#REF!</v>
      </c>
      <c r="O3064" s="19">
        <f t="shared" si="94"/>
        <v>10</v>
      </c>
      <c r="P3064" s="19">
        <f t="shared" si="95"/>
        <v>2024</v>
      </c>
      <c r="Q30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64" s="19" t="str">
        <f>TEXT(Planning[[#This Row],[Mes]]*29,"mmmm")</f>
        <v>October</v>
      </c>
      <c r="S30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64" s="208"/>
      <c r="U3064" s="43">
        <f>IF(Planning[[#This Row],[Horas Planificadas]]&lt;&gt;0,+K3064/Planning[[#This Row],[Horas Planificadas]],0)</f>
        <v>0</v>
      </c>
      <c r="V3064" s="43">
        <f>IF(Planning[[#This Row],[Horas Planificadas]]&lt;&gt;0,Planning[[#This Row],[Horas utilizadas]]/Planning[[#This Row],[Horas Planificadas]],0)</f>
        <v>0</v>
      </c>
      <c r="W3064" s="44">
        <f>Planning[[#This Row],[Horas Planificadas]]+Planning[[#This Row],[Horas ajustadas adicionales]]</f>
        <v>0</v>
      </c>
      <c r="X3064" s="142"/>
    </row>
    <row r="3065" spans="1:24" x14ac:dyDescent="0.2">
      <c r="A3065" s="7" t="s">
        <v>204</v>
      </c>
      <c r="B3065" s="7" t="s">
        <v>288</v>
      </c>
      <c r="C3065" s="3"/>
      <c r="D3065" s="3" t="s">
        <v>590</v>
      </c>
      <c r="E3065" s="4"/>
      <c r="F3065" s="3" t="s">
        <v>124</v>
      </c>
      <c r="G3065" s="20"/>
      <c r="H3065" s="9">
        <v>378</v>
      </c>
      <c r="I3065" s="12"/>
      <c r="J3065" s="5" t="e">
        <f>SUM(SUMIFS(#REF!,#REF!,Planning[[#This Row],[Tipo de Tarea y especialidad]],#REF!,Planning[[#This Row],[Proyectos Reiwa]]),SUMIFS(#REF!,#REF!,Planning[[#This Row],[Tipo de Tarea y especialidad]],#REF!,Planning[[#This Row],[Proyectos]]))</f>
        <v>#REF!</v>
      </c>
      <c r="K3065" s="5" t="e">
        <f>Planning[[#This Row],[Horas Planificadas]]+Planning[[#This Row],[Horas ajustadas adicionales]]-Planning[[#This Row],[Horas utilizadas]]</f>
        <v>#REF!</v>
      </c>
      <c r="L3065" s="7">
        <v>0</v>
      </c>
      <c r="M3065" s="19" t="e">
        <f>Planning[[#This Row],[Saldo]]-Planning[[#This Row],[Saldo estimado]]</f>
        <v>#REF!</v>
      </c>
      <c r="N3065" s="60" t="e">
        <f>+SUMIFS(#REF!,#REF!,Planning[[#This Row],[Proyectos]],#REF!,Planning[[#This Row],[Tipo de Tarea y especialidad]])</f>
        <v>#REF!</v>
      </c>
      <c r="O3065" s="19">
        <f t="shared" si="94"/>
        <v>10</v>
      </c>
      <c r="P3065" s="19">
        <f t="shared" si="95"/>
        <v>2024</v>
      </c>
      <c r="Q30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65" s="19" t="str">
        <f>TEXT(Planning[[#This Row],[Mes]]*29,"mmmm")</f>
        <v>October</v>
      </c>
      <c r="S30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65" s="208"/>
      <c r="U3065" s="43" t="e">
        <f>IF(Planning[[#This Row],[Horas Planificadas]]&lt;&gt;0,+K3065/Planning[[#This Row],[Horas Planificadas]],0)</f>
        <v>#REF!</v>
      </c>
      <c r="V3065" s="43" t="e">
        <f>IF(Planning[[#This Row],[Horas Planificadas]]&lt;&gt;0,Planning[[#This Row],[Horas utilizadas]]/Planning[[#This Row],[Horas Planificadas]],0)</f>
        <v>#REF!</v>
      </c>
      <c r="W3065" s="44">
        <f>Planning[[#This Row],[Horas Planificadas]]+Planning[[#This Row],[Horas ajustadas adicionales]]</f>
        <v>378</v>
      </c>
      <c r="X3065" s="142"/>
    </row>
    <row r="3066" spans="1:24" x14ac:dyDescent="0.2">
      <c r="A3066" s="7" t="s">
        <v>204</v>
      </c>
      <c r="B3066" s="7" t="s">
        <v>288</v>
      </c>
      <c r="C3066" s="3"/>
      <c r="D3066" s="3" t="s">
        <v>590</v>
      </c>
      <c r="E3066" s="4"/>
      <c r="F3066" s="3" t="s">
        <v>125</v>
      </c>
      <c r="G3066" s="20"/>
      <c r="H3066" s="9"/>
      <c r="I3066" s="12"/>
      <c r="J3066" s="5" t="e">
        <f>SUM(SUMIFS(#REF!,#REF!,Planning[[#This Row],[Tipo de Tarea y especialidad]],#REF!,Planning[[#This Row],[Proyectos Reiwa]]),SUMIFS(#REF!,#REF!,Planning[[#This Row],[Tipo de Tarea y especialidad]],#REF!,Planning[[#This Row],[Proyectos]]))</f>
        <v>#REF!</v>
      </c>
      <c r="K3066" s="5" t="e">
        <f>Planning[[#This Row],[Horas Planificadas]]+Planning[[#This Row],[Horas ajustadas adicionales]]-Planning[[#This Row],[Horas utilizadas]]</f>
        <v>#REF!</v>
      </c>
      <c r="L3066" s="7"/>
      <c r="M3066" s="19" t="e">
        <f>Planning[[#This Row],[Saldo]]-Planning[[#This Row],[Saldo estimado]]</f>
        <v>#REF!</v>
      </c>
      <c r="N3066" s="60" t="e">
        <f>+SUMIFS(#REF!,#REF!,Planning[[#This Row],[Proyectos]],#REF!,Planning[[#This Row],[Tipo de Tarea y especialidad]])</f>
        <v>#REF!</v>
      </c>
      <c r="O3066" s="19">
        <f t="shared" si="94"/>
        <v>10</v>
      </c>
      <c r="P3066" s="19">
        <f t="shared" si="95"/>
        <v>2024</v>
      </c>
      <c r="Q30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66" s="19" t="str">
        <f>TEXT(Planning[[#This Row],[Mes]]*29,"mmmm")</f>
        <v>October</v>
      </c>
      <c r="S30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66" s="208"/>
      <c r="U3066" s="43">
        <f>IF(Planning[[#This Row],[Horas Planificadas]]&lt;&gt;0,+K3066/Planning[[#This Row],[Horas Planificadas]],0)</f>
        <v>0</v>
      </c>
      <c r="V3066" s="43">
        <f>IF(Planning[[#This Row],[Horas Planificadas]]&lt;&gt;0,Planning[[#This Row],[Horas utilizadas]]/Planning[[#This Row],[Horas Planificadas]],0)</f>
        <v>0</v>
      </c>
      <c r="W3066" s="44">
        <f>Planning[[#This Row],[Horas Planificadas]]+Planning[[#This Row],[Horas ajustadas adicionales]]</f>
        <v>0</v>
      </c>
      <c r="X3066" s="142"/>
    </row>
    <row r="3067" spans="1:24" x14ac:dyDescent="0.2">
      <c r="A3067" s="7" t="s">
        <v>204</v>
      </c>
      <c r="B3067" s="7" t="s">
        <v>288</v>
      </c>
      <c r="C3067" s="3"/>
      <c r="D3067" s="3" t="s">
        <v>590</v>
      </c>
      <c r="E3067" s="4"/>
      <c r="F3067" s="3" t="s">
        <v>126</v>
      </c>
      <c r="G3067" s="20"/>
      <c r="H3067" s="9"/>
      <c r="I3067" s="12"/>
      <c r="J3067" s="5" t="e">
        <f>SUM(SUMIFS(#REF!,#REF!,Planning[[#This Row],[Tipo de Tarea y especialidad]],#REF!,Planning[[#This Row],[Proyectos Reiwa]]),SUMIFS(#REF!,#REF!,Planning[[#This Row],[Tipo de Tarea y especialidad]],#REF!,Planning[[#This Row],[Proyectos]]))</f>
        <v>#REF!</v>
      </c>
      <c r="K3067" s="5" t="e">
        <f>Planning[[#This Row],[Horas Planificadas]]+Planning[[#This Row],[Horas ajustadas adicionales]]-Planning[[#This Row],[Horas utilizadas]]</f>
        <v>#REF!</v>
      </c>
      <c r="L3067" s="7"/>
      <c r="M3067" s="19" t="e">
        <f>Planning[[#This Row],[Saldo]]-Planning[[#This Row],[Saldo estimado]]</f>
        <v>#REF!</v>
      </c>
      <c r="N3067" s="60" t="e">
        <f>+SUMIFS(#REF!,#REF!,Planning[[#This Row],[Proyectos]],#REF!,Planning[[#This Row],[Tipo de Tarea y especialidad]])</f>
        <v>#REF!</v>
      </c>
      <c r="O3067" s="19">
        <f t="shared" si="94"/>
        <v>10</v>
      </c>
      <c r="P3067" s="19">
        <f t="shared" si="95"/>
        <v>2024</v>
      </c>
      <c r="Q30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67" s="19" t="str">
        <f>TEXT(Planning[[#This Row],[Mes]]*29,"mmmm")</f>
        <v>October</v>
      </c>
      <c r="S30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67" s="208"/>
      <c r="U3067" s="43">
        <f>IF(Planning[[#This Row],[Horas Planificadas]]&lt;&gt;0,+K3067/Planning[[#This Row],[Horas Planificadas]],0)</f>
        <v>0</v>
      </c>
      <c r="V3067" s="43">
        <f>IF(Planning[[#This Row],[Horas Planificadas]]&lt;&gt;0,Planning[[#This Row],[Horas utilizadas]]/Planning[[#This Row],[Horas Planificadas]],0)</f>
        <v>0</v>
      </c>
      <c r="W3067" s="44">
        <f>Planning[[#This Row],[Horas Planificadas]]+Planning[[#This Row],[Horas ajustadas adicionales]]</f>
        <v>0</v>
      </c>
      <c r="X3067" s="142"/>
    </row>
    <row r="3068" spans="1:24" x14ac:dyDescent="0.2">
      <c r="A3068" s="7" t="s">
        <v>204</v>
      </c>
      <c r="B3068" s="7" t="s">
        <v>288</v>
      </c>
      <c r="C3068" s="3"/>
      <c r="D3068" s="3" t="s">
        <v>590</v>
      </c>
      <c r="E3068" s="4"/>
      <c r="F3068" s="3" t="s">
        <v>127</v>
      </c>
      <c r="G3068" s="20"/>
      <c r="H3068" s="9"/>
      <c r="I3068" s="12"/>
      <c r="J3068" s="5" t="e">
        <f>SUM(SUMIFS(#REF!,#REF!,Planning[[#This Row],[Tipo de Tarea y especialidad]],#REF!,Planning[[#This Row],[Proyectos Reiwa]]),SUMIFS(#REF!,#REF!,Planning[[#This Row],[Tipo de Tarea y especialidad]],#REF!,Planning[[#This Row],[Proyectos]]))</f>
        <v>#REF!</v>
      </c>
      <c r="K3068" s="5" t="e">
        <f>Planning[[#This Row],[Horas Planificadas]]+Planning[[#This Row],[Horas ajustadas adicionales]]-Planning[[#This Row],[Horas utilizadas]]</f>
        <v>#REF!</v>
      </c>
      <c r="L3068" s="7"/>
      <c r="M3068" s="19" t="e">
        <f>Planning[[#This Row],[Saldo]]-Planning[[#This Row],[Saldo estimado]]</f>
        <v>#REF!</v>
      </c>
      <c r="N3068" s="60" t="e">
        <f>+SUMIFS(#REF!,#REF!,Planning[[#This Row],[Proyectos]],#REF!,Planning[[#This Row],[Tipo de Tarea y especialidad]])</f>
        <v>#REF!</v>
      </c>
      <c r="O3068" s="19">
        <f t="shared" si="94"/>
        <v>10</v>
      </c>
      <c r="P3068" s="19">
        <f t="shared" si="95"/>
        <v>2024</v>
      </c>
      <c r="Q30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68" s="19" t="str">
        <f>TEXT(Planning[[#This Row],[Mes]]*29,"mmmm")</f>
        <v>October</v>
      </c>
      <c r="S30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68" s="208"/>
      <c r="U3068" s="43">
        <f>IF(Planning[[#This Row],[Horas Planificadas]]&lt;&gt;0,+K3068/Planning[[#This Row],[Horas Planificadas]],0)</f>
        <v>0</v>
      </c>
      <c r="V3068" s="43">
        <f>IF(Planning[[#This Row],[Horas Planificadas]]&lt;&gt;0,Planning[[#This Row],[Horas utilizadas]]/Planning[[#This Row],[Horas Planificadas]],0)</f>
        <v>0</v>
      </c>
      <c r="W3068" s="44">
        <f>Planning[[#This Row],[Horas Planificadas]]+Planning[[#This Row],[Horas ajustadas adicionales]]</f>
        <v>0</v>
      </c>
      <c r="X3068" s="142"/>
    </row>
    <row r="3069" spans="1:24" x14ac:dyDescent="0.2">
      <c r="A3069" s="7" t="s">
        <v>204</v>
      </c>
      <c r="B3069" s="7" t="s">
        <v>288</v>
      </c>
      <c r="C3069" s="3"/>
      <c r="D3069" s="3" t="s">
        <v>590</v>
      </c>
      <c r="E3069" s="4"/>
      <c r="F3069" s="3" t="s">
        <v>128</v>
      </c>
      <c r="G3069" s="20"/>
      <c r="H3069" s="9"/>
      <c r="I3069" s="12"/>
      <c r="J3069" s="5" t="e">
        <f>SUM(SUMIFS(#REF!,#REF!,Planning[[#This Row],[Tipo de Tarea y especialidad]],#REF!,Planning[[#This Row],[Proyectos Reiwa]]),SUMIFS(#REF!,#REF!,Planning[[#This Row],[Tipo de Tarea y especialidad]],#REF!,Planning[[#This Row],[Proyectos]]))</f>
        <v>#REF!</v>
      </c>
      <c r="K3069" s="5" t="e">
        <f>Planning[[#This Row],[Horas Planificadas]]+Planning[[#This Row],[Horas ajustadas adicionales]]-Planning[[#This Row],[Horas utilizadas]]</f>
        <v>#REF!</v>
      </c>
      <c r="L3069" s="7">
        <v>0</v>
      </c>
      <c r="M3069" s="19" t="e">
        <f>Planning[[#This Row],[Saldo]]-Planning[[#This Row],[Saldo estimado]]</f>
        <v>#REF!</v>
      </c>
      <c r="N3069" s="60" t="e">
        <f>+SUMIFS(#REF!,#REF!,Planning[[#This Row],[Proyectos]],#REF!,Planning[[#This Row],[Tipo de Tarea y especialidad]])</f>
        <v>#REF!</v>
      </c>
      <c r="O3069" s="19">
        <f t="shared" si="94"/>
        <v>10</v>
      </c>
      <c r="P3069" s="19">
        <f t="shared" si="95"/>
        <v>2024</v>
      </c>
      <c r="Q30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69" s="19" t="str">
        <f>TEXT(Planning[[#This Row],[Mes]]*29,"mmmm")</f>
        <v>October</v>
      </c>
      <c r="S30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69" s="208"/>
      <c r="U3069" s="43">
        <f>IF(Planning[[#This Row],[Horas Planificadas]]&lt;&gt;0,+K3069/Planning[[#This Row],[Horas Planificadas]],0)</f>
        <v>0</v>
      </c>
      <c r="V3069" s="43">
        <f>IF(Planning[[#This Row],[Horas Planificadas]]&lt;&gt;0,Planning[[#This Row],[Horas utilizadas]]/Planning[[#This Row],[Horas Planificadas]],0)</f>
        <v>0</v>
      </c>
      <c r="W3069" s="44">
        <f>Planning[[#This Row],[Horas Planificadas]]+Planning[[#This Row],[Horas ajustadas adicionales]]</f>
        <v>0</v>
      </c>
      <c r="X3069" s="142"/>
    </row>
    <row r="3070" spans="1:24" x14ac:dyDescent="0.2">
      <c r="A3070" s="7" t="s">
        <v>204</v>
      </c>
      <c r="B3070" s="7" t="s">
        <v>288</v>
      </c>
      <c r="C3070" s="3"/>
      <c r="D3070" s="3" t="s">
        <v>590</v>
      </c>
      <c r="E3070" s="4" t="s">
        <v>31</v>
      </c>
      <c r="F3070" s="3" t="s">
        <v>31</v>
      </c>
      <c r="G3070" s="9">
        <v>80</v>
      </c>
      <c r="H3070" s="17">
        <v>80</v>
      </c>
      <c r="I3070" s="18"/>
      <c r="J3070" s="14" t="e">
        <f>+SUMIFS(#REF!,#REF!,Planning[[#This Row],[Tarifa]],#REF!,Planning[[#This Row],[Proyectos]])</f>
        <v>#REF!</v>
      </c>
      <c r="K3070" s="14" t="e">
        <f>Planning[[#This Row],[Horas Planificadas]]+Planning[[#This Row],[Horas ajustadas adicionales]]-Planning[[#This Row],[Horas utilizadas]]</f>
        <v>#REF!</v>
      </c>
      <c r="L3070" s="15">
        <v>0</v>
      </c>
      <c r="M3070" s="16" t="e">
        <f>Planning[[#This Row],[Saldo]]-Planning[[#This Row],[Saldo estimado]]</f>
        <v>#REF!</v>
      </c>
      <c r="N3070" s="60" t="e">
        <f>+SUMIFS(#REF!,#REF!,Planning[[#This Row],[Proyectos]],#REF!,Planning[[#This Row],[Tipo de Tarea y especialidad]])</f>
        <v>#REF!</v>
      </c>
      <c r="O3070" s="16">
        <f t="shared" si="94"/>
        <v>10</v>
      </c>
      <c r="P3070" s="16">
        <f t="shared" si="95"/>
        <v>2024</v>
      </c>
      <c r="Q3070" s="16" t="e">
        <f>+SUMIFS(#REF!,#REF!,Planning[[#This Row],[Tarifa]],#REF!,Planning[[#This Row],[Proyectos]],#REF!,Planning[[#This Row],[Mes]],#REF!,Planning[[#This Row],[Año]])</f>
        <v>#REF!</v>
      </c>
      <c r="R3070" s="16" t="str">
        <f>TEXT(Planning[[#This Row],[Mes]]*29,"mmmm")</f>
        <v>October</v>
      </c>
      <c r="S30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70" s="208"/>
      <c r="U3070" s="43" t="e">
        <f>IF(Planning[[#This Row],[Horas Planificadas]]&lt;&gt;0,+K3070/Planning[[#This Row],[Horas Planificadas]],0)</f>
        <v>#REF!</v>
      </c>
      <c r="V3070" s="43" t="e">
        <f>IF(Planning[[#This Row],[Horas Planificadas]]&lt;&gt;0,Planning[[#This Row],[Horas utilizadas]]/Planning[[#This Row],[Horas Planificadas]],0)</f>
        <v>#REF!</v>
      </c>
      <c r="W3070" s="44">
        <f>Planning[[#This Row],[Horas Planificadas]]+Planning[[#This Row],[Horas ajustadas adicionales]]</f>
        <v>80</v>
      </c>
      <c r="X3070" s="142"/>
    </row>
    <row r="3071" spans="1:24" ht="22.5" x14ac:dyDescent="0.2">
      <c r="A3071" s="7" t="s">
        <v>204</v>
      </c>
      <c r="B3071" s="7" t="s">
        <v>288</v>
      </c>
      <c r="C3071" s="3"/>
      <c r="D3071" s="3" t="s">
        <v>590</v>
      </c>
      <c r="E3071" s="4" t="s">
        <v>32</v>
      </c>
      <c r="F3071" s="3"/>
      <c r="G3071" s="9">
        <v>240</v>
      </c>
      <c r="H3071" s="14">
        <f>SUM(H3072:H3074)</f>
        <v>240</v>
      </c>
      <c r="I3071" s="14"/>
      <c r="J3071" s="14" t="e">
        <f>SUM(J3072:J3074)</f>
        <v>#REF!</v>
      </c>
      <c r="K3071" s="15" t="e">
        <f>SUM(K3072:K3074)</f>
        <v>#REF!</v>
      </c>
      <c r="L3071" s="15">
        <f>SUM(L3072:L3074)</f>
        <v>0</v>
      </c>
      <c r="M3071" s="16" t="e">
        <f>SUM(M3072:M3074)</f>
        <v>#REF!</v>
      </c>
      <c r="N3071" s="60" t="e">
        <f>+SUMIFS(#REF!,#REF!,Planning[[#This Row],[Proyectos]],#REF!,Planning[[#This Row],[Tipo de Tarea y especialidad]])</f>
        <v>#REF!</v>
      </c>
      <c r="O3071" s="16">
        <f t="shared" si="94"/>
        <v>10</v>
      </c>
      <c r="P3071" s="16">
        <f t="shared" si="95"/>
        <v>2024</v>
      </c>
      <c r="Q3071" s="16" t="e">
        <f>SUM(Q3072:Q3074)</f>
        <v>#REF!</v>
      </c>
      <c r="R3071" s="16" t="str">
        <f>TEXT(Planning[[#This Row],[Mes]]*29,"mmmm")</f>
        <v>October</v>
      </c>
      <c r="S30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71" s="208"/>
      <c r="U3071" s="43" t="e">
        <f>IF(Planning[[#This Row],[Horas Planificadas]]&lt;&gt;0,+K3071/Planning[[#This Row],[Horas Planificadas]],0)</f>
        <v>#REF!</v>
      </c>
      <c r="V3071" s="43" t="e">
        <f>IF(Planning[[#This Row],[Horas Planificadas]]&lt;&gt;0,Planning[[#This Row],[Horas utilizadas]]/Planning[[#This Row],[Horas Planificadas]],0)</f>
        <v>#REF!</v>
      </c>
      <c r="W3071" s="44">
        <f>Planning[[#This Row],[Horas Planificadas]]+Planning[[#This Row],[Horas ajustadas adicionales]]</f>
        <v>240</v>
      </c>
      <c r="X3071" s="142"/>
    </row>
    <row r="3072" spans="1:24" x14ac:dyDescent="0.2">
      <c r="A3072" s="7" t="s">
        <v>204</v>
      </c>
      <c r="B3072" s="7" t="s">
        <v>288</v>
      </c>
      <c r="C3072" s="3"/>
      <c r="D3072" s="3" t="s">
        <v>590</v>
      </c>
      <c r="E3072" s="4"/>
      <c r="F3072" s="3" t="s">
        <v>129</v>
      </c>
      <c r="G3072" s="9"/>
      <c r="H3072" s="20"/>
      <c r="I3072" s="12"/>
      <c r="J3072" s="5" t="e">
        <f>SUM(SUMIFS(#REF!,#REF!,Planning[[#This Row],[Tipo de Tarea y especialidad]],#REF!,Planning[[#This Row],[Proyectos Reiwa]]),SUMIFS(#REF!,#REF!,Planning[[#This Row],[Tipo de Tarea y especialidad]],#REF!,Planning[[#This Row],[Proyectos]]))</f>
        <v>#REF!</v>
      </c>
      <c r="K3072" s="5" t="e">
        <f>Planning[[#This Row],[Horas Planificadas]]+Planning[[#This Row],[Horas ajustadas adicionales]]-Planning[[#This Row],[Horas utilizadas]]</f>
        <v>#REF!</v>
      </c>
      <c r="L3072" s="7"/>
      <c r="M3072" s="19" t="e">
        <f>Planning[[#This Row],[Saldo]]-Planning[[#This Row],[Saldo estimado]]</f>
        <v>#REF!</v>
      </c>
      <c r="N3072" s="60" t="e">
        <f>+SUMIFS(#REF!,#REF!,Planning[[#This Row],[Proyectos]],#REF!,Planning[[#This Row],[Tipo de Tarea y especialidad]])</f>
        <v>#REF!</v>
      </c>
      <c r="O3072" s="19">
        <f t="shared" si="94"/>
        <v>10</v>
      </c>
      <c r="P3072" s="19">
        <f t="shared" si="95"/>
        <v>2024</v>
      </c>
      <c r="Q30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72" s="19" t="str">
        <f>TEXT(Planning[[#This Row],[Mes]]*29,"mmmm")</f>
        <v>October</v>
      </c>
      <c r="S30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72" s="208"/>
      <c r="U3072" s="43">
        <f>IF(Planning[[#This Row],[Horas Planificadas]]&lt;&gt;0,+K3072/Planning[[#This Row],[Horas Planificadas]],0)</f>
        <v>0</v>
      </c>
      <c r="V3072" s="43">
        <f>IF(Planning[[#This Row],[Horas Planificadas]]&lt;&gt;0,Planning[[#This Row],[Horas utilizadas]]/Planning[[#This Row],[Horas Planificadas]],0)</f>
        <v>0</v>
      </c>
      <c r="W3072" s="44">
        <f>Planning[[#This Row],[Horas Planificadas]]+Planning[[#This Row],[Horas ajustadas adicionales]]</f>
        <v>0</v>
      </c>
      <c r="X3072" s="142"/>
    </row>
    <row r="3073" spans="1:24" x14ac:dyDescent="0.2">
      <c r="A3073" s="7" t="s">
        <v>204</v>
      </c>
      <c r="B3073" s="7" t="s">
        <v>288</v>
      </c>
      <c r="C3073" s="3"/>
      <c r="D3073" s="3" t="s">
        <v>590</v>
      </c>
      <c r="E3073" s="4"/>
      <c r="F3073" s="3" t="s">
        <v>130</v>
      </c>
      <c r="G3073" s="9"/>
      <c r="H3073" s="9"/>
      <c r="I3073" s="12"/>
      <c r="J3073" s="5" t="e">
        <f>SUM(SUMIFS(#REF!,#REF!,Planning[[#This Row],[Tipo de Tarea y especialidad]],#REF!,Planning[[#This Row],[Proyectos Reiwa]]),SUMIFS(#REF!,#REF!,Planning[[#This Row],[Tipo de Tarea y especialidad]],#REF!,Planning[[#This Row],[Proyectos]]))</f>
        <v>#REF!</v>
      </c>
      <c r="K3073" s="5" t="e">
        <f>Planning[[#This Row],[Horas Planificadas]]+Planning[[#This Row],[Horas ajustadas adicionales]]-Planning[[#This Row],[Horas utilizadas]]</f>
        <v>#REF!</v>
      </c>
      <c r="L3073" s="7"/>
      <c r="M3073" s="19" t="e">
        <f>Planning[[#This Row],[Saldo]]-Planning[[#This Row],[Saldo estimado]]</f>
        <v>#REF!</v>
      </c>
      <c r="N3073" s="60" t="e">
        <f>+SUMIFS(#REF!,#REF!,Planning[[#This Row],[Proyectos]],#REF!,Planning[[#This Row],[Tipo de Tarea y especialidad]])</f>
        <v>#REF!</v>
      </c>
      <c r="O3073" s="19">
        <f t="shared" si="94"/>
        <v>10</v>
      </c>
      <c r="P3073" s="19">
        <f t="shared" si="95"/>
        <v>2024</v>
      </c>
      <c r="Q30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73" s="19" t="str">
        <f>TEXT(Planning[[#This Row],[Mes]]*29,"mmmm")</f>
        <v>October</v>
      </c>
      <c r="S30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73" s="208"/>
      <c r="U3073" s="43">
        <f>IF(Planning[[#This Row],[Horas Planificadas]]&lt;&gt;0,+K3073/Planning[[#This Row],[Horas Planificadas]],0)</f>
        <v>0</v>
      </c>
      <c r="V3073" s="43">
        <f>IF(Planning[[#This Row],[Horas Planificadas]]&lt;&gt;0,Planning[[#This Row],[Horas utilizadas]]/Planning[[#This Row],[Horas Planificadas]],0)</f>
        <v>0</v>
      </c>
      <c r="W3073" s="44">
        <f>Planning[[#This Row],[Horas Planificadas]]+Planning[[#This Row],[Horas ajustadas adicionales]]</f>
        <v>0</v>
      </c>
      <c r="X3073" s="142"/>
    </row>
    <row r="3074" spans="1:24" x14ac:dyDescent="0.2">
      <c r="A3074" s="7" t="s">
        <v>204</v>
      </c>
      <c r="B3074" s="7" t="s">
        <v>288</v>
      </c>
      <c r="C3074" s="3"/>
      <c r="D3074" s="3" t="s">
        <v>590</v>
      </c>
      <c r="E3074" s="4"/>
      <c r="F3074" s="3" t="s">
        <v>131</v>
      </c>
      <c r="G3074" s="9"/>
      <c r="H3074" s="9">
        <v>240</v>
      </c>
      <c r="I3074" s="12"/>
      <c r="J3074" s="5" t="e">
        <f>SUM(SUMIFS(#REF!,#REF!,Planning[[#This Row],[Tipo de Tarea y especialidad]],#REF!,Planning[[#This Row],[Proyectos Reiwa]]),SUMIFS(#REF!,#REF!,Planning[[#This Row],[Tipo de Tarea y especialidad]],#REF!,Planning[[#This Row],[Proyectos]]))</f>
        <v>#REF!</v>
      </c>
      <c r="K3074" s="5" t="e">
        <f>Planning[[#This Row],[Horas Planificadas]]+Planning[[#This Row],[Horas ajustadas adicionales]]-Planning[[#This Row],[Horas utilizadas]]</f>
        <v>#REF!</v>
      </c>
      <c r="L3074" s="7">
        <v>0</v>
      </c>
      <c r="M3074" s="19" t="e">
        <f>Planning[[#This Row],[Saldo]]-Planning[[#This Row],[Saldo estimado]]</f>
        <v>#REF!</v>
      </c>
      <c r="N3074" s="60" t="e">
        <f>+SUMIFS(#REF!,#REF!,Planning[[#This Row],[Proyectos]],#REF!,Planning[[#This Row],[Tipo de Tarea y especialidad]])</f>
        <v>#REF!</v>
      </c>
      <c r="O3074" s="19">
        <f t="shared" si="94"/>
        <v>10</v>
      </c>
      <c r="P3074" s="19">
        <f t="shared" si="95"/>
        <v>2024</v>
      </c>
      <c r="Q30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74" s="19" t="str">
        <f>TEXT(Planning[[#This Row],[Mes]]*29,"mmmm")</f>
        <v>October</v>
      </c>
      <c r="S30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74" s="208"/>
      <c r="U3074" s="43" t="e">
        <f>IF(Planning[[#This Row],[Horas Planificadas]]&lt;&gt;0,+K3074/Planning[[#This Row],[Horas Planificadas]],0)</f>
        <v>#REF!</v>
      </c>
      <c r="V3074" s="43" t="e">
        <f>IF(Planning[[#This Row],[Horas Planificadas]]&lt;&gt;0,Planning[[#This Row],[Horas utilizadas]]/Planning[[#This Row],[Horas Planificadas]],0)</f>
        <v>#REF!</v>
      </c>
      <c r="W3074" s="44">
        <f>Planning[[#This Row],[Horas Planificadas]]+Planning[[#This Row],[Horas ajustadas adicionales]]</f>
        <v>240</v>
      </c>
      <c r="X3074" s="142"/>
    </row>
    <row r="3075" spans="1:24" ht="22.5" x14ac:dyDescent="0.2">
      <c r="A3075" s="7"/>
      <c r="B3075" s="7"/>
      <c r="C3075" s="3"/>
      <c r="D3075" s="3" t="s">
        <v>592</v>
      </c>
      <c r="E3075" s="4" t="s">
        <v>28</v>
      </c>
      <c r="F3075" s="3"/>
      <c r="G3075" s="9">
        <v>0</v>
      </c>
      <c r="H3075" s="14">
        <v>0</v>
      </c>
      <c r="I3075" s="14"/>
      <c r="J3075" s="14" t="e">
        <f>SUM(J3076:J3077)</f>
        <v>#REF!</v>
      </c>
      <c r="K3075" s="15" t="e">
        <f>SUM(K3076:K3077)</f>
        <v>#REF!</v>
      </c>
      <c r="L3075" s="15">
        <f>SUM(L3076:L3077)</f>
        <v>0</v>
      </c>
      <c r="M3075" s="14" t="e">
        <f>SUM(M3076:M3077)</f>
        <v>#REF!</v>
      </c>
      <c r="N3075" s="66" t="e">
        <f>+SUMIFS(#REF!,#REF!,Planning[[#This Row],[Proyectos]],#REF!,Planning[[#This Row],[Tipo de Tarea y especialidad]])</f>
        <v>#REF!</v>
      </c>
      <c r="O3075" s="14">
        <f t="shared" si="94"/>
        <v>10</v>
      </c>
      <c r="P3075" s="14">
        <f t="shared" si="95"/>
        <v>2024</v>
      </c>
      <c r="Q3075" s="28" t="e">
        <f>SUM(Q3076:Q3077)</f>
        <v>#REF!</v>
      </c>
      <c r="R3075" s="28" t="str">
        <f>TEXT(Planning[[#This Row],[Mes]]*29,"mmmm")</f>
        <v>October</v>
      </c>
      <c r="S30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75" s="228"/>
      <c r="U3075" s="43">
        <f>IF(Planning[[#This Row],[Horas Planificadas]]&lt;&gt;0,+K3075/Planning[[#This Row],[Horas Planificadas]],0)</f>
        <v>0</v>
      </c>
      <c r="V3075" s="43">
        <f>IF(Planning[[#This Row],[Horas Planificadas]]&lt;&gt;0,Planning[[#This Row],[Horas utilizadas]]/Planning[[#This Row],[Horas Planificadas]],0)</f>
        <v>0</v>
      </c>
      <c r="W3075" s="44">
        <f>Planning[[#This Row],[Horas Planificadas]]+Planning[[#This Row],[Horas ajustadas adicionales]]</f>
        <v>0</v>
      </c>
      <c r="X3075" s="142"/>
    </row>
    <row r="3076" spans="1:24" x14ac:dyDescent="0.2">
      <c r="A3076" s="7"/>
      <c r="B3076" s="7"/>
      <c r="C3076" s="3"/>
      <c r="D3076" s="3" t="s">
        <v>592</v>
      </c>
      <c r="E3076" s="4"/>
      <c r="F3076" s="3" t="s">
        <v>120</v>
      </c>
      <c r="G3076" s="9"/>
      <c r="H3076" s="9"/>
      <c r="I3076" s="12"/>
      <c r="J3076" s="5" t="e">
        <f>SUM(SUMIFS(#REF!,#REF!,Planning[[#This Row],[Tipo de Tarea y especialidad]],#REF!,Planning[[#This Row],[Proyectos Reiwa]]),SUMIFS(#REF!,#REF!,Planning[[#This Row],[Tipo de Tarea y especialidad]],#REF!,Planning[[#This Row],[Proyectos]]))</f>
        <v>#REF!</v>
      </c>
      <c r="K3076" s="5" t="e">
        <f>Planning[[#This Row],[Horas Planificadas]]+Planning[[#This Row],[Horas ajustadas adicionales]]-Planning[[#This Row],[Horas utilizadas]]</f>
        <v>#REF!</v>
      </c>
      <c r="L3076" s="7"/>
      <c r="M3076" s="19" t="e">
        <f>Planning[[#This Row],[Saldo]]-Planning[[#This Row],[Saldo estimado]]</f>
        <v>#REF!</v>
      </c>
      <c r="N3076" s="60" t="e">
        <f>+SUMIFS(#REF!,#REF!,Planning[[#This Row],[Proyectos]],#REF!,Planning[[#This Row],[Tipo de Tarea y especialidad]])</f>
        <v>#REF!</v>
      </c>
      <c r="O3076" s="19">
        <f t="shared" si="94"/>
        <v>10</v>
      </c>
      <c r="P3076" s="19">
        <f t="shared" si="95"/>
        <v>2024</v>
      </c>
      <c r="Q30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76" s="19" t="str">
        <f>TEXT(Planning[[#This Row],[Mes]]*29,"mmmm")</f>
        <v>October</v>
      </c>
      <c r="S30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76" s="228"/>
      <c r="U3076" s="43">
        <f>IF(Planning[[#This Row],[Horas Planificadas]]&lt;&gt;0,+K3076/Planning[[#This Row],[Horas Planificadas]],0)</f>
        <v>0</v>
      </c>
      <c r="V3076" s="43">
        <f>IF(Planning[[#This Row],[Horas Planificadas]]&lt;&gt;0,Planning[[#This Row],[Horas utilizadas]]/Planning[[#This Row],[Horas Planificadas]],0)</f>
        <v>0</v>
      </c>
      <c r="W3076" s="44">
        <f>Planning[[#This Row],[Horas Planificadas]]+Planning[[#This Row],[Horas ajustadas adicionales]]</f>
        <v>0</v>
      </c>
      <c r="X3076" s="142"/>
    </row>
    <row r="3077" spans="1:24" x14ac:dyDescent="0.2">
      <c r="A3077" s="7"/>
      <c r="B3077" s="7"/>
      <c r="C3077" s="3"/>
      <c r="D3077" s="3" t="s">
        <v>592</v>
      </c>
      <c r="E3077" s="4"/>
      <c r="F3077" s="3" t="s">
        <v>121</v>
      </c>
      <c r="G3077" s="9"/>
      <c r="H3077" s="9"/>
      <c r="I3077" s="12"/>
      <c r="J3077" s="5" t="e">
        <f>SUM(SUMIFS(#REF!,#REF!,Planning[[#This Row],[Tipo de Tarea y especialidad]],#REF!,Planning[[#This Row],[Proyectos Reiwa]]),SUMIFS(#REF!,#REF!,Planning[[#This Row],[Tipo de Tarea y especialidad]],#REF!,Planning[[#This Row],[Proyectos]]))</f>
        <v>#REF!</v>
      </c>
      <c r="K3077" s="5" t="e">
        <f>Planning[[#This Row],[Horas Planificadas]]+Planning[[#This Row],[Horas ajustadas adicionales]]-Planning[[#This Row],[Horas utilizadas]]</f>
        <v>#REF!</v>
      </c>
      <c r="L3077" s="7"/>
      <c r="M3077" s="19" t="e">
        <f>Planning[[#This Row],[Saldo]]-Planning[[#This Row],[Saldo estimado]]</f>
        <v>#REF!</v>
      </c>
      <c r="N3077" s="60" t="e">
        <f>+SUMIFS(#REF!,#REF!,Planning[[#This Row],[Proyectos]],#REF!,Planning[[#This Row],[Tipo de Tarea y especialidad]])</f>
        <v>#REF!</v>
      </c>
      <c r="O3077" s="19">
        <f t="shared" si="94"/>
        <v>10</v>
      </c>
      <c r="P3077" s="19">
        <f t="shared" si="95"/>
        <v>2024</v>
      </c>
      <c r="Q30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77" s="19" t="str">
        <f>TEXT(Planning[[#This Row],[Mes]]*29,"mmmm")</f>
        <v>October</v>
      </c>
      <c r="S30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77" s="228"/>
      <c r="U3077" s="43">
        <f>IF(Planning[[#This Row],[Horas Planificadas]]&lt;&gt;0,+K3077/Planning[[#This Row],[Horas Planificadas]],0)</f>
        <v>0</v>
      </c>
      <c r="V3077" s="43">
        <f>IF(Planning[[#This Row],[Horas Planificadas]]&lt;&gt;0,Planning[[#This Row],[Horas utilizadas]]/Planning[[#This Row],[Horas Planificadas]],0)</f>
        <v>0</v>
      </c>
      <c r="W3077" s="44">
        <f>Planning[[#This Row],[Horas Planificadas]]+Planning[[#This Row],[Horas ajustadas adicionales]]</f>
        <v>0</v>
      </c>
      <c r="X3077" s="142"/>
    </row>
    <row r="3078" spans="1:24" x14ac:dyDescent="0.2">
      <c r="A3078" s="7"/>
      <c r="B3078" s="7"/>
      <c r="C3078" s="3"/>
      <c r="D3078" s="3" t="s">
        <v>592</v>
      </c>
      <c r="E3078" s="4" t="s">
        <v>30</v>
      </c>
      <c r="F3078" s="3"/>
      <c r="G3078" s="9">
        <v>34</v>
      </c>
      <c r="H3078" s="14">
        <v>34</v>
      </c>
      <c r="I3078" s="14"/>
      <c r="J3078" s="14" t="e">
        <f>SUM(J3079:J3085)</f>
        <v>#REF!</v>
      </c>
      <c r="K3078" s="15" t="e">
        <f>SUM(K3079:K3085)</f>
        <v>#REF!</v>
      </c>
      <c r="L3078" s="15">
        <f>SUM(L3079:L3085)</f>
        <v>0</v>
      </c>
      <c r="M3078" s="16" t="e">
        <f>SUM(M3079:M3085)</f>
        <v>#REF!</v>
      </c>
      <c r="N3078" s="60" t="e">
        <f>+SUMIFS(#REF!,#REF!,Planning[[#This Row],[Proyectos]],#REF!,Planning[[#This Row],[Tipo de Tarea y especialidad]])</f>
        <v>#REF!</v>
      </c>
      <c r="O3078" s="16">
        <f t="shared" si="94"/>
        <v>10</v>
      </c>
      <c r="P3078" s="16">
        <f t="shared" si="95"/>
        <v>2024</v>
      </c>
      <c r="Q3078" s="16" t="e">
        <f>SUM(Q3079:Q3085)</f>
        <v>#REF!</v>
      </c>
      <c r="R3078" s="16" t="str">
        <f>TEXT(Planning[[#This Row],[Mes]]*29,"mmmm")</f>
        <v>October</v>
      </c>
      <c r="S30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78" s="228"/>
      <c r="U3078" s="43" t="e">
        <f>IF(Planning[[#This Row],[Horas Planificadas]]&lt;&gt;0,+K3078/Planning[[#This Row],[Horas Planificadas]],0)</f>
        <v>#REF!</v>
      </c>
      <c r="V3078" s="43" t="e">
        <f>IF(Planning[[#This Row],[Horas Planificadas]]&lt;&gt;0,Planning[[#This Row],[Horas utilizadas]]/Planning[[#This Row],[Horas Planificadas]],0)</f>
        <v>#REF!</v>
      </c>
      <c r="W3078" s="44">
        <f>Planning[[#This Row],[Horas Planificadas]]+Planning[[#This Row],[Horas ajustadas adicionales]]</f>
        <v>34</v>
      </c>
      <c r="X3078" s="142"/>
    </row>
    <row r="3079" spans="1:24" x14ac:dyDescent="0.2">
      <c r="A3079" s="7"/>
      <c r="B3079" s="7"/>
      <c r="C3079" s="3"/>
      <c r="D3079" s="3" t="s">
        <v>592</v>
      </c>
      <c r="E3079" s="4"/>
      <c r="F3079" s="3" t="s">
        <v>122</v>
      </c>
      <c r="G3079" s="20"/>
      <c r="H3079" s="9"/>
      <c r="I3079" s="12"/>
      <c r="J3079" s="5" t="e">
        <f>SUM(SUMIFS(#REF!,#REF!,Planning[[#This Row],[Tipo de Tarea y especialidad]],#REF!,Planning[[#This Row],[Proyectos Reiwa]]),SUMIFS(#REF!,#REF!,Planning[[#This Row],[Tipo de Tarea y especialidad]],#REF!,Planning[[#This Row],[Proyectos]]))</f>
        <v>#REF!</v>
      </c>
      <c r="K3079" s="5" t="e">
        <f>Planning[[#This Row],[Horas Planificadas]]+Planning[[#This Row],[Horas ajustadas adicionales]]-Planning[[#This Row],[Horas utilizadas]]</f>
        <v>#REF!</v>
      </c>
      <c r="L3079" s="7"/>
      <c r="M3079" s="19" t="e">
        <f>Planning[[#This Row],[Saldo]]-Planning[[#This Row],[Saldo estimado]]</f>
        <v>#REF!</v>
      </c>
      <c r="N3079" s="60" t="e">
        <f>+SUMIFS(#REF!,#REF!,Planning[[#This Row],[Proyectos]],#REF!,Planning[[#This Row],[Tipo de Tarea y especialidad]])</f>
        <v>#REF!</v>
      </c>
      <c r="O3079" s="19">
        <f t="shared" ref="O3079:O3142" si="96">$L$4</f>
        <v>10</v>
      </c>
      <c r="P3079" s="19">
        <f t="shared" ref="P3079:P3142" si="97">$M$4</f>
        <v>2024</v>
      </c>
      <c r="Q30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79" s="19" t="str">
        <f>TEXT(Planning[[#This Row],[Mes]]*29,"mmmm")</f>
        <v>October</v>
      </c>
      <c r="S30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79" s="228"/>
      <c r="U3079" s="43">
        <f>IF(Planning[[#This Row],[Horas Planificadas]]&lt;&gt;0,+K3079/Planning[[#This Row],[Horas Planificadas]],0)</f>
        <v>0</v>
      </c>
      <c r="V3079" s="43">
        <f>IF(Planning[[#This Row],[Horas Planificadas]]&lt;&gt;0,Planning[[#This Row],[Horas utilizadas]]/Planning[[#This Row],[Horas Planificadas]],0)</f>
        <v>0</v>
      </c>
      <c r="W3079" s="44">
        <f>Planning[[#This Row],[Horas Planificadas]]+Planning[[#This Row],[Horas ajustadas adicionales]]</f>
        <v>0</v>
      </c>
      <c r="X3079" s="142"/>
    </row>
    <row r="3080" spans="1:24" x14ac:dyDescent="0.2">
      <c r="A3080" s="7"/>
      <c r="B3080" s="7"/>
      <c r="C3080" s="3"/>
      <c r="D3080" s="3" t="s">
        <v>592</v>
      </c>
      <c r="E3080" s="4"/>
      <c r="F3080" s="3" t="s">
        <v>123</v>
      </c>
      <c r="G3080" s="20"/>
      <c r="H3080" s="9"/>
      <c r="I3080" s="12"/>
      <c r="J3080" s="5" t="e">
        <f>SUM(SUMIFS(#REF!,#REF!,Planning[[#This Row],[Tipo de Tarea y especialidad]],#REF!,Planning[[#This Row],[Proyectos Reiwa]]),SUMIFS(#REF!,#REF!,Planning[[#This Row],[Tipo de Tarea y especialidad]],#REF!,Planning[[#This Row],[Proyectos]]))</f>
        <v>#REF!</v>
      </c>
      <c r="K3080" s="5" t="e">
        <f>Planning[[#This Row],[Horas Planificadas]]+Planning[[#This Row],[Horas ajustadas adicionales]]-Planning[[#This Row],[Horas utilizadas]]</f>
        <v>#REF!</v>
      </c>
      <c r="L3080" s="7"/>
      <c r="M3080" s="19" t="e">
        <f>Planning[[#This Row],[Saldo]]-Planning[[#This Row],[Saldo estimado]]</f>
        <v>#REF!</v>
      </c>
      <c r="N3080" s="60" t="e">
        <f>+SUMIFS(#REF!,#REF!,Planning[[#This Row],[Proyectos]],#REF!,Planning[[#This Row],[Tipo de Tarea y especialidad]])</f>
        <v>#REF!</v>
      </c>
      <c r="O3080" s="19">
        <f t="shared" si="96"/>
        <v>10</v>
      </c>
      <c r="P3080" s="19">
        <f t="shared" si="97"/>
        <v>2024</v>
      </c>
      <c r="Q30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80" s="19" t="str">
        <f>TEXT(Planning[[#This Row],[Mes]]*29,"mmmm")</f>
        <v>October</v>
      </c>
      <c r="S30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80" s="228"/>
      <c r="U3080" s="43">
        <f>IF(Planning[[#This Row],[Horas Planificadas]]&lt;&gt;0,+K3080/Planning[[#This Row],[Horas Planificadas]],0)</f>
        <v>0</v>
      </c>
      <c r="V3080" s="43">
        <f>IF(Planning[[#This Row],[Horas Planificadas]]&lt;&gt;0,Planning[[#This Row],[Horas utilizadas]]/Planning[[#This Row],[Horas Planificadas]],0)</f>
        <v>0</v>
      </c>
      <c r="W3080" s="44">
        <f>Planning[[#This Row],[Horas Planificadas]]+Planning[[#This Row],[Horas ajustadas adicionales]]</f>
        <v>0</v>
      </c>
      <c r="X3080" s="142"/>
    </row>
    <row r="3081" spans="1:24" x14ac:dyDescent="0.2">
      <c r="A3081" s="7"/>
      <c r="B3081" s="7"/>
      <c r="C3081" s="3"/>
      <c r="D3081" s="3" t="s">
        <v>592</v>
      </c>
      <c r="E3081" s="4"/>
      <c r="F3081" s="3" t="s">
        <v>124</v>
      </c>
      <c r="G3081" s="20"/>
      <c r="H3081" s="9"/>
      <c r="I3081" s="12"/>
      <c r="J3081" s="5" t="e">
        <f>SUM(SUMIFS(#REF!,#REF!,Planning[[#This Row],[Tipo de Tarea y especialidad]],#REF!,Planning[[#This Row],[Proyectos Reiwa]]),SUMIFS(#REF!,#REF!,Planning[[#This Row],[Tipo de Tarea y especialidad]],#REF!,Planning[[#This Row],[Proyectos]]))</f>
        <v>#REF!</v>
      </c>
      <c r="K3081" s="5" t="e">
        <f>Planning[[#This Row],[Horas Planificadas]]+Planning[[#This Row],[Horas ajustadas adicionales]]-Planning[[#This Row],[Horas utilizadas]]</f>
        <v>#REF!</v>
      </c>
      <c r="L3081" s="7"/>
      <c r="M3081" s="19" t="e">
        <f>Planning[[#This Row],[Saldo]]-Planning[[#This Row],[Saldo estimado]]</f>
        <v>#REF!</v>
      </c>
      <c r="N3081" s="60" t="e">
        <f>+SUMIFS(#REF!,#REF!,Planning[[#This Row],[Proyectos]],#REF!,Planning[[#This Row],[Tipo de Tarea y especialidad]])</f>
        <v>#REF!</v>
      </c>
      <c r="O3081" s="19">
        <f t="shared" si="96"/>
        <v>10</v>
      </c>
      <c r="P3081" s="19">
        <f t="shared" si="97"/>
        <v>2024</v>
      </c>
      <c r="Q30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81" s="19" t="str">
        <f>TEXT(Planning[[#This Row],[Mes]]*29,"mmmm")</f>
        <v>October</v>
      </c>
      <c r="S30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81" s="228"/>
      <c r="U3081" s="43">
        <f>IF(Planning[[#This Row],[Horas Planificadas]]&lt;&gt;0,+K3081/Planning[[#This Row],[Horas Planificadas]],0)</f>
        <v>0</v>
      </c>
      <c r="V3081" s="43">
        <f>IF(Planning[[#This Row],[Horas Planificadas]]&lt;&gt;0,Planning[[#This Row],[Horas utilizadas]]/Planning[[#This Row],[Horas Planificadas]],0)</f>
        <v>0</v>
      </c>
      <c r="W3081" s="44">
        <f>Planning[[#This Row],[Horas Planificadas]]+Planning[[#This Row],[Horas ajustadas adicionales]]</f>
        <v>0</v>
      </c>
      <c r="X3081" s="142"/>
    </row>
    <row r="3082" spans="1:24" x14ac:dyDescent="0.2">
      <c r="A3082" s="7"/>
      <c r="B3082" s="7"/>
      <c r="C3082" s="3"/>
      <c r="D3082" s="3" t="s">
        <v>592</v>
      </c>
      <c r="E3082" s="4"/>
      <c r="F3082" s="3" t="s">
        <v>125</v>
      </c>
      <c r="G3082" s="20"/>
      <c r="H3082" s="9"/>
      <c r="I3082" s="12"/>
      <c r="J3082" s="5" t="e">
        <f>SUM(SUMIFS(#REF!,#REF!,Planning[[#This Row],[Tipo de Tarea y especialidad]],#REF!,Planning[[#This Row],[Proyectos Reiwa]]),SUMIFS(#REF!,#REF!,Planning[[#This Row],[Tipo de Tarea y especialidad]],#REF!,Planning[[#This Row],[Proyectos]]))</f>
        <v>#REF!</v>
      </c>
      <c r="K3082" s="5" t="e">
        <f>Planning[[#This Row],[Horas Planificadas]]+Planning[[#This Row],[Horas ajustadas adicionales]]-Planning[[#This Row],[Horas utilizadas]]</f>
        <v>#REF!</v>
      </c>
      <c r="L3082" s="7"/>
      <c r="M3082" s="19" t="e">
        <f>Planning[[#This Row],[Saldo]]-Planning[[#This Row],[Saldo estimado]]</f>
        <v>#REF!</v>
      </c>
      <c r="N3082" s="60" t="e">
        <f>+SUMIFS(#REF!,#REF!,Planning[[#This Row],[Proyectos]],#REF!,Planning[[#This Row],[Tipo de Tarea y especialidad]])</f>
        <v>#REF!</v>
      </c>
      <c r="O3082" s="19">
        <f t="shared" si="96"/>
        <v>10</v>
      </c>
      <c r="P3082" s="19">
        <f t="shared" si="97"/>
        <v>2024</v>
      </c>
      <c r="Q30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82" s="19" t="str">
        <f>TEXT(Planning[[#This Row],[Mes]]*29,"mmmm")</f>
        <v>October</v>
      </c>
      <c r="S30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82" s="228"/>
      <c r="U3082" s="43">
        <f>IF(Planning[[#This Row],[Horas Planificadas]]&lt;&gt;0,+K3082/Planning[[#This Row],[Horas Planificadas]],0)</f>
        <v>0</v>
      </c>
      <c r="V3082" s="43">
        <f>IF(Planning[[#This Row],[Horas Planificadas]]&lt;&gt;0,Planning[[#This Row],[Horas utilizadas]]/Planning[[#This Row],[Horas Planificadas]],0)</f>
        <v>0</v>
      </c>
      <c r="W3082" s="44">
        <f>Planning[[#This Row],[Horas Planificadas]]+Planning[[#This Row],[Horas ajustadas adicionales]]</f>
        <v>0</v>
      </c>
      <c r="X3082" s="142"/>
    </row>
    <row r="3083" spans="1:24" x14ac:dyDescent="0.2">
      <c r="A3083" s="7"/>
      <c r="B3083" s="7"/>
      <c r="C3083" s="3"/>
      <c r="D3083" s="3" t="s">
        <v>592</v>
      </c>
      <c r="E3083" s="4"/>
      <c r="F3083" s="3" t="s">
        <v>126</v>
      </c>
      <c r="G3083" s="20"/>
      <c r="H3083" s="9"/>
      <c r="I3083" s="12"/>
      <c r="J3083" s="5" t="e">
        <f>SUM(SUMIFS(#REF!,#REF!,Planning[[#This Row],[Tipo de Tarea y especialidad]],#REF!,Planning[[#This Row],[Proyectos Reiwa]]),SUMIFS(#REF!,#REF!,Planning[[#This Row],[Tipo de Tarea y especialidad]],#REF!,Planning[[#This Row],[Proyectos]]))</f>
        <v>#REF!</v>
      </c>
      <c r="K3083" s="5" t="e">
        <f>Planning[[#This Row],[Horas Planificadas]]+Planning[[#This Row],[Horas ajustadas adicionales]]-Planning[[#This Row],[Horas utilizadas]]</f>
        <v>#REF!</v>
      </c>
      <c r="L3083" s="7"/>
      <c r="M3083" s="19" t="e">
        <f>Planning[[#This Row],[Saldo]]-Planning[[#This Row],[Saldo estimado]]</f>
        <v>#REF!</v>
      </c>
      <c r="N3083" s="60" t="e">
        <f>+SUMIFS(#REF!,#REF!,Planning[[#This Row],[Proyectos]],#REF!,Planning[[#This Row],[Tipo de Tarea y especialidad]])</f>
        <v>#REF!</v>
      </c>
      <c r="O3083" s="19">
        <f t="shared" si="96"/>
        <v>10</v>
      </c>
      <c r="P3083" s="19">
        <f t="shared" si="97"/>
        <v>2024</v>
      </c>
      <c r="Q30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83" s="19" t="str">
        <f>TEXT(Planning[[#This Row],[Mes]]*29,"mmmm")</f>
        <v>October</v>
      </c>
      <c r="S30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83" s="228"/>
      <c r="U3083" s="43">
        <f>IF(Planning[[#This Row],[Horas Planificadas]]&lt;&gt;0,+K3083/Planning[[#This Row],[Horas Planificadas]],0)</f>
        <v>0</v>
      </c>
      <c r="V3083" s="43">
        <f>IF(Planning[[#This Row],[Horas Planificadas]]&lt;&gt;0,Planning[[#This Row],[Horas utilizadas]]/Planning[[#This Row],[Horas Planificadas]],0)</f>
        <v>0</v>
      </c>
      <c r="W3083" s="44">
        <f>Planning[[#This Row],[Horas Planificadas]]+Planning[[#This Row],[Horas ajustadas adicionales]]</f>
        <v>0</v>
      </c>
      <c r="X3083" s="142"/>
    </row>
    <row r="3084" spans="1:24" x14ac:dyDescent="0.2">
      <c r="A3084" s="7"/>
      <c r="B3084" s="7"/>
      <c r="C3084" s="3"/>
      <c r="D3084" s="3" t="s">
        <v>592</v>
      </c>
      <c r="E3084" s="4"/>
      <c r="F3084" s="3" t="s">
        <v>127</v>
      </c>
      <c r="G3084" s="20"/>
      <c r="H3084" s="9"/>
      <c r="I3084" s="12"/>
      <c r="J3084" s="5" t="e">
        <f>SUM(SUMIFS(#REF!,#REF!,Planning[[#This Row],[Tipo de Tarea y especialidad]],#REF!,Planning[[#This Row],[Proyectos Reiwa]]),SUMIFS(#REF!,#REF!,Planning[[#This Row],[Tipo de Tarea y especialidad]],#REF!,Planning[[#This Row],[Proyectos]]))</f>
        <v>#REF!</v>
      </c>
      <c r="K3084" s="5" t="e">
        <f>Planning[[#This Row],[Horas Planificadas]]+Planning[[#This Row],[Horas ajustadas adicionales]]-Planning[[#This Row],[Horas utilizadas]]</f>
        <v>#REF!</v>
      </c>
      <c r="L3084" s="7"/>
      <c r="M3084" s="19" t="e">
        <f>Planning[[#This Row],[Saldo]]-Planning[[#This Row],[Saldo estimado]]</f>
        <v>#REF!</v>
      </c>
      <c r="N3084" s="60" t="e">
        <f>+SUMIFS(#REF!,#REF!,Planning[[#This Row],[Proyectos]],#REF!,Planning[[#This Row],[Tipo de Tarea y especialidad]])</f>
        <v>#REF!</v>
      </c>
      <c r="O3084" s="19">
        <f t="shared" si="96"/>
        <v>10</v>
      </c>
      <c r="P3084" s="19">
        <f t="shared" si="97"/>
        <v>2024</v>
      </c>
      <c r="Q30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84" s="19" t="str">
        <f>TEXT(Planning[[#This Row],[Mes]]*29,"mmmm")</f>
        <v>October</v>
      </c>
      <c r="S30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84" s="228"/>
      <c r="U3084" s="43">
        <f>IF(Planning[[#This Row],[Horas Planificadas]]&lt;&gt;0,+K3084/Planning[[#This Row],[Horas Planificadas]],0)</f>
        <v>0</v>
      </c>
      <c r="V3084" s="43">
        <f>IF(Planning[[#This Row],[Horas Planificadas]]&lt;&gt;0,Planning[[#This Row],[Horas utilizadas]]/Planning[[#This Row],[Horas Planificadas]],0)</f>
        <v>0</v>
      </c>
      <c r="W3084" s="44">
        <f>Planning[[#This Row],[Horas Planificadas]]+Planning[[#This Row],[Horas ajustadas adicionales]]</f>
        <v>0</v>
      </c>
      <c r="X3084" s="142"/>
    </row>
    <row r="3085" spans="1:24" x14ac:dyDescent="0.2">
      <c r="A3085" s="7"/>
      <c r="B3085" s="7"/>
      <c r="C3085" s="3"/>
      <c r="D3085" s="3" t="s">
        <v>592</v>
      </c>
      <c r="E3085" s="4"/>
      <c r="F3085" s="3" t="s">
        <v>128</v>
      </c>
      <c r="G3085" s="20"/>
      <c r="H3085" s="9"/>
      <c r="I3085" s="12"/>
      <c r="J3085" s="5" t="e">
        <f>SUM(SUMIFS(#REF!,#REF!,Planning[[#This Row],[Tipo de Tarea y especialidad]],#REF!,Planning[[#This Row],[Proyectos Reiwa]]),SUMIFS(#REF!,#REF!,Planning[[#This Row],[Tipo de Tarea y especialidad]],#REF!,Planning[[#This Row],[Proyectos]]))</f>
        <v>#REF!</v>
      </c>
      <c r="K3085" s="5" t="e">
        <f>Planning[[#This Row],[Horas Planificadas]]+Planning[[#This Row],[Horas ajustadas adicionales]]-Planning[[#This Row],[Horas utilizadas]]</f>
        <v>#REF!</v>
      </c>
      <c r="L3085" s="7"/>
      <c r="M3085" s="19" t="e">
        <f>Planning[[#This Row],[Saldo]]-Planning[[#This Row],[Saldo estimado]]</f>
        <v>#REF!</v>
      </c>
      <c r="N3085" s="60" t="e">
        <f>+SUMIFS(#REF!,#REF!,Planning[[#This Row],[Proyectos]],#REF!,Planning[[#This Row],[Tipo de Tarea y especialidad]])</f>
        <v>#REF!</v>
      </c>
      <c r="O3085" s="19">
        <f t="shared" si="96"/>
        <v>10</v>
      </c>
      <c r="P3085" s="19">
        <f t="shared" si="97"/>
        <v>2024</v>
      </c>
      <c r="Q30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85" s="19" t="str">
        <f>TEXT(Planning[[#This Row],[Mes]]*29,"mmmm")</f>
        <v>October</v>
      </c>
      <c r="S30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85" s="228"/>
      <c r="U3085" s="43">
        <f>IF(Planning[[#This Row],[Horas Planificadas]]&lt;&gt;0,+K3085/Planning[[#This Row],[Horas Planificadas]],0)</f>
        <v>0</v>
      </c>
      <c r="V3085" s="43">
        <f>IF(Planning[[#This Row],[Horas Planificadas]]&lt;&gt;0,Planning[[#This Row],[Horas utilizadas]]/Planning[[#This Row],[Horas Planificadas]],0)</f>
        <v>0</v>
      </c>
      <c r="W3085" s="44">
        <f>Planning[[#This Row],[Horas Planificadas]]+Planning[[#This Row],[Horas ajustadas adicionales]]</f>
        <v>0</v>
      </c>
      <c r="X3085" s="142"/>
    </row>
    <row r="3086" spans="1:24" x14ac:dyDescent="0.2">
      <c r="A3086" s="7"/>
      <c r="B3086" s="7"/>
      <c r="C3086" s="3"/>
      <c r="D3086" s="3" t="s">
        <v>592</v>
      </c>
      <c r="E3086" s="4" t="s">
        <v>31</v>
      </c>
      <c r="F3086" s="3" t="s">
        <v>31</v>
      </c>
      <c r="G3086" s="9">
        <v>4</v>
      </c>
      <c r="H3086" s="17">
        <v>4</v>
      </c>
      <c r="I3086" s="18"/>
      <c r="J3086" s="14" t="e">
        <f>+SUMIFS(#REF!,#REF!,Planning[[#This Row],[Tarifa]],#REF!,Planning[[#This Row],[Proyectos]])</f>
        <v>#REF!</v>
      </c>
      <c r="K3086" s="14" t="e">
        <f>Planning[[#This Row],[Horas Planificadas]]+Planning[[#This Row],[Horas ajustadas adicionales]]-Planning[[#This Row],[Horas utilizadas]]</f>
        <v>#REF!</v>
      </c>
      <c r="L3086" s="15"/>
      <c r="M3086" s="16" t="e">
        <f>Planning[[#This Row],[Saldo]]-Planning[[#This Row],[Saldo estimado]]</f>
        <v>#REF!</v>
      </c>
      <c r="N3086" s="60" t="e">
        <f>+SUMIFS(#REF!,#REF!,Planning[[#This Row],[Proyectos]],#REF!,Planning[[#This Row],[Tipo de Tarea y especialidad]])</f>
        <v>#REF!</v>
      </c>
      <c r="O3086" s="16">
        <f t="shared" si="96"/>
        <v>10</v>
      </c>
      <c r="P3086" s="16">
        <f t="shared" si="97"/>
        <v>2024</v>
      </c>
      <c r="Q3086" s="16" t="e">
        <f>+SUMIFS(#REF!,#REF!,Planning[[#This Row],[Tarifa]],#REF!,Planning[[#This Row],[Proyectos]],#REF!,Planning[[#This Row],[Mes]],#REF!,Planning[[#This Row],[Año]])</f>
        <v>#REF!</v>
      </c>
      <c r="R3086" s="16" t="str">
        <f>TEXT(Planning[[#This Row],[Mes]]*29,"mmmm")</f>
        <v>October</v>
      </c>
      <c r="S30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86" s="228"/>
      <c r="U3086" s="43" t="e">
        <f>IF(Planning[[#This Row],[Horas Planificadas]]&lt;&gt;0,+K3086/Planning[[#This Row],[Horas Planificadas]],0)</f>
        <v>#REF!</v>
      </c>
      <c r="V3086" s="43" t="e">
        <f>IF(Planning[[#This Row],[Horas Planificadas]]&lt;&gt;0,Planning[[#This Row],[Horas utilizadas]]/Planning[[#This Row],[Horas Planificadas]],0)</f>
        <v>#REF!</v>
      </c>
      <c r="W3086" s="44">
        <f>Planning[[#This Row],[Horas Planificadas]]+Planning[[#This Row],[Horas ajustadas adicionales]]</f>
        <v>4</v>
      </c>
      <c r="X3086" s="142"/>
    </row>
    <row r="3087" spans="1:24" ht="22.5" x14ac:dyDescent="0.2">
      <c r="A3087" s="7"/>
      <c r="B3087" s="7"/>
      <c r="C3087" s="3"/>
      <c r="D3087" s="3" t="s">
        <v>592</v>
      </c>
      <c r="E3087" s="4" t="s">
        <v>32</v>
      </c>
      <c r="F3087" s="3"/>
      <c r="G3087" s="9">
        <v>48</v>
      </c>
      <c r="H3087" s="14">
        <v>48</v>
      </c>
      <c r="I3087" s="14"/>
      <c r="J3087" s="14" t="e">
        <f>SUM(J3088:J3090)</f>
        <v>#REF!</v>
      </c>
      <c r="K3087" s="15" t="e">
        <f>SUM(K3088:K3090)</f>
        <v>#REF!</v>
      </c>
      <c r="L3087" s="15">
        <f>SUM(L3088:L3090)</f>
        <v>0</v>
      </c>
      <c r="M3087" s="16" t="e">
        <f>SUM(M3088:M3090)</f>
        <v>#REF!</v>
      </c>
      <c r="N3087" s="60" t="e">
        <f>+SUMIFS(#REF!,#REF!,Planning[[#This Row],[Proyectos]],#REF!,Planning[[#This Row],[Tipo de Tarea y especialidad]])</f>
        <v>#REF!</v>
      </c>
      <c r="O3087" s="16">
        <f t="shared" si="96"/>
        <v>10</v>
      </c>
      <c r="P3087" s="16">
        <f t="shared" si="97"/>
        <v>2024</v>
      </c>
      <c r="Q3087" s="16" t="e">
        <f>SUM(Q3088:Q3090)</f>
        <v>#REF!</v>
      </c>
      <c r="R3087" s="16" t="str">
        <f>TEXT(Planning[[#This Row],[Mes]]*29,"mmmm")</f>
        <v>October</v>
      </c>
      <c r="S30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87" s="228"/>
      <c r="U3087" s="43" t="e">
        <f>IF(Planning[[#This Row],[Horas Planificadas]]&lt;&gt;0,+K3087/Planning[[#This Row],[Horas Planificadas]],0)</f>
        <v>#REF!</v>
      </c>
      <c r="V3087" s="43" t="e">
        <f>IF(Planning[[#This Row],[Horas Planificadas]]&lt;&gt;0,Planning[[#This Row],[Horas utilizadas]]/Planning[[#This Row],[Horas Planificadas]],0)</f>
        <v>#REF!</v>
      </c>
      <c r="W3087" s="44">
        <f>Planning[[#This Row],[Horas Planificadas]]+Planning[[#This Row],[Horas ajustadas adicionales]]</f>
        <v>48</v>
      </c>
      <c r="X3087" s="142"/>
    </row>
    <row r="3088" spans="1:24" x14ac:dyDescent="0.2">
      <c r="A3088" s="7"/>
      <c r="B3088" s="7"/>
      <c r="C3088" s="3"/>
      <c r="D3088" s="3" t="s">
        <v>592</v>
      </c>
      <c r="E3088" s="4"/>
      <c r="F3088" s="3" t="s">
        <v>129</v>
      </c>
      <c r="G3088" s="9"/>
      <c r="H3088" s="20"/>
      <c r="I3088" s="12"/>
      <c r="J3088" s="5" t="e">
        <f>SUM(SUMIFS(#REF!,#REF!,Planning[[#This Row],[Tipo de Tarea y especialidad]],#REF!,Planning[[#This Row],[Proyectos Reiwa]]),SUMIFS(#REF!,#REF!,Planning[[#This Row],[Tipo de Tarea y especialidad]],#REF!,Planning[[#This Row],[Proyectos]]))</f>
        <v>#REF!</v>
      </c>
      <c r="K3088" s="5" t="e">
        <f>Planning[[#This Row],[Horas Planificadas]]+Planning[[#This Row],[Horas ajustadas adicionales]]-Planning[[#This Row],[Horas utilizadas]]</f>
        <v>#REF!</v>
      </c>
      <c r="L3088" s="7"/>
      <c r="M3088" s="19" t="e">
        <f>Planning[[#This Row],[Saldo]]-Planning[[#This Row],[Saldo estimado]]</f>
        <v>#REF!</v>
      </c>
      <c r="N3088" s="60" t="e">
        <f>+SUMIFS(#REF!,#REF!,Planning[[#This Row],[Proyectos]],#REF!,Planning[[#This Row],[Tipo de Tarea y especialidad]])</f>
        <v>#REF!</v>
      </c>
      <c r="O3088" s="19">
        <f t="shared" si="96"/>
        <v>10</v>
      </c>
      <c r="P3088" s="19">
        <f t="shared" si="97"/>
        <v>2024</v>
      </c>
      <c r="Q30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88" s="19" t="str">
        <f>TEXT(Planning[[#This Row],[Mes]]*29,"mmmm")</f>
        <v>October</v>
      </c>
      <c r="S30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88" s="228"/>
      <c r="U3088" s="43">
        <f>IF(Planning[[#This Row],[Horas Planificadas]]&lt;&gt;0,+K3088/Planning[[#This Row],[Horas Planificadas]],0)</f>
        <v>0</v>
      </c>
      <c r="V3088" s="43">
        <f>IF(Planning[[#This Row],[Horas Planificadas]]&lt;&gt;0,Planning[[#This Row],[Horas utilizadas]]/Planning[[#This Row],[Horas Planificadas]],0)</f>
        <v>0</v>
      </c>
      <c r="W3088" s="44">
        <f>Planning[[#This Row],[Horas Planificadas]]+Planning[[#This Row],[Horas ajustadas adicionales]]</f>
        <v>0</v>
      </c>
      <c r="X3088" s="142"/>
    </row>
    <row r="3089" spans="1:24" x14ac:dyDescent="0.2">
      <c r="A3089" s="7"/>
      <c r="B3089" s="7"/>
      <c r="C3089" s="3"/>
      <c r="D3089" s="3" t="s">
        <v>592</v>
      </c>
      <c r="E3089" s="4"/>
      <c r="F3089" s="3" t="s">
        <v>130</v>
      </c>
      <c r="G3089" s="9"/>
      <c r="H3089" s="20"/>
      <c r="I3089" s="12"/>
      <c r="J3089" s="5" t="e">
        <f>SUM(SUMIFS(#REF!,#REF!,Planning[[#This Row],[Tipo de Tarea y especialidad]],#REF!,Planning[[#This Row],[Proyectos Reiwa]]),SUMIFS(#REF!,#REF!,Planning[[#This Row],[Tipo de Tarea y especialidad]],#REF!,Planning[[#This Row],[Proyectos]]))</f>
        <v>#REF!</v>
      </c>
      <c r="K3089" s="5" t="e">
        <f>Planning[[#This Row],[Horas Planificadas]]+Planning[[#This Row],[Horas ajustadas adicionales]]-Planning[[#This Row],[Horas utilizadas]]</f>
        <v>#REF!</v>
      </c>
      <c r="L3089" s="7"/>
      <c r="M3089" s="19" t="e">
        <f>Planning[[#This Row],[Saldo]]-Planning[[#This Row],[Saldo estimado]]</f>
        <v>#REF!</v>
      </c>
      <c r="N3089" s="60" t="e">
        <f>+SUMIFS(#REF!,#REF!,Planning[[#This Row],[Proyectos]],#REF!,Planning[[#This Row],[Tipo de Tarea y especialidad]])</f>
        <v>#REF!</v>
      </c>
      <c r="O3089" s="19">
        <f t="shared" si="96"/>
        <v>10</v>
      </c>
      <c r="P3089" s="19">
        <f t="shared" si="97"/>
        <v>2024</v>
      </c>
      <c r="Q30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89" s="19" t="str">
        <f>TEXT(Planning[[#This Row],[Mes]]*29,"mmmm")</f>
        <v>October</v>
      </c>
      <c r="S30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89" s="228"/>
      <c r="U3089" s="43">
        <f>IF(Planning[[#This Row],[Horas Planificadas]]&lt;&gt;0,+K3089/Planning[[#This Row],[Horas Planificadas]],0)</f>
        <v>0</v>
      </c>
      <c r="V3089" s="43">
        <f>IF(Planning[[#This Row],[Horas Planificadas]]&lt;&gt;0,Planning[[#This Row],[Horas utilizadas]]/Planning[[#This Row],[Horas Planificadas]],0)</f>
        <v>0</v>
      </c>
      <c r="W3089" s="44">
        <f>Planning[[#This Row],[Horas Planificadas]]+Planning[[#This Row],[Horas ajustadas adicionales]]</f>
        <v>0</v>
      </c>
      <c r="X3089" s="142"/>
    </row>
    <row r="3090" spans="1:24" x14ac:dyDescent="0.2">
      <c r="A3090" s="7"/>
      <c r="B3090" s="7"/>
      <c r="C3090" s="3"/>
      <c r="D3090" s="3" t="s">
        <v>592</v>
      </c>
      <c r="E3090" s="4"/>
      <c r="F3090" s="3" t="s">
        <v>131</v>
      </c>
      <c r="G3090" s="9"/>
      <c r="H3090" s="20"/>
      <c r="I3090" s="12"/>
      <c r="J3090" s="5" t="e">
        <f>SUM(SUMIFS(#REF!,#REF!,Planning[[#This Row],[Tipo de Tarea y especialidad]],#REF!,Planning[[#This Row],[Proyectos Reiwa]]),SUMIFS(#REF!,#REF!,Planning[[#This Row],[Tipo de Tarea y especialidad]],#REF!,Planning[[#This Row],[Proyectos]]))</f>
        <v>#REF!</v>
      </c>
      <c r="K3090" s="5" t="e">
        <f>Planning[[#This Row],[Horas Planificadas]]+Planning[[#This Row],[Horas ajustadas adicionales]]-Planning[[#This Row],[Horas utilizadas]]</f>
        <v>#REF!</v>
      </c>
      <c r="L3090" s="7"/>
      <c r="M3090" s="19" t="e">
        <f>Planning[[#This Row],[Saldo]]-Planning[[#This Row],[Saldo estimado]]</f>
        <v>#REF!</v>
      </c>
      <c r="N3090" s="60" t="e">
        <f>+SUMIFS(#REF!,#REF!,Planning[[#This Row],[Proyectos]],#REF!,Planning[[#This Row],[Tipo de Tarea y especialidad]])</f>
        <v>#REF!</v>
      </c>
      <c r="O3090" s="19">
        <f t="shared" si="96"/>
        <v>10</v>
      </c>
      <c r="P3090" s="19">
        <f t="shared" si="97"/>
        <v>2024</v>
      </c>
      <c r="Q30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90" s="19" t="str">
        <f>TEXT(Planning[[#This Row],[Mes]]*29,"mmmm")</f>
        <v>October</v>
      </c>
      <c r="S30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90" s="228"/>
      <c r="U3090" s="43">
        <f>IF(Planning[[#This Row],[Horas Planificadas]]&lt;&gt;0,+K3090/Planning[[#This Row],[Horas Planificadas]],0)</f>
        <v>0</v>
      </c>
      <c r="V3090" s="43">
        <f>IF(Planning[[#This Row],[Horas Planificadas]]&lt;&gt;0,Planning[[#This Row],[Horas utilizadas]]/Planning[[#This Row],[Horas Planificadas]],0)</f>
        <v>0</v>
      </c>
      <c r="W3090" s="44">
        <f>Planning[[#This Row],[Horas Planificadas]]+Planning[[#This Row],[Horas ajustadas adicionales]]</f>
        <v>0</v>
      </c>
      <c r="X3090" s="142"/>
    </row>
    <row r="3091" spans="1:24" ht="22.5" x14ac:dyDescent="0.2">
      <c r="A3091" s="7" t="s">
        <v>204</v>
      </c>
      <c r="B3091" s="7" t="s">
        <v>178</v>
      </c>
      <c r="C3091" s="3"/>
      <c r="D3091" s="3" t="s">
        <v>593</v>
      </c>
      <c r="E3091" s="4" t="s">
        <v>28</v>
      </c>
      <c r="F3091" s="3"/>
      <c r="G3091" s="9">
        <v>205</v>
      </c>
      <c r="H3091" s="14">
        <f>SUM(H3092:H3093)</f>
        <v>205</v>
      </c>
      <c r="I3091" s="14"/>
      <c r="J3091" s="14" t="e">
        <f>SUM(J3092:J3093)</f>
        <v>#REF!</v>
      </c>
      <c r="K3091" s="15" t="e">
        <f>SUM(K3092:K3093)</f>
        <v>#REF!</v>
      </c>
      <c r="L3091" s="15">
        <f>SUM(L3092:L3093)</f>
        <v>0</v>
      </c>
      <c r="M3091" s="14" t="e">
        <f>SUM(M3092:M3093)</f>
        <v>#REF!</v>
      </c>
      <c r="N3091" s="66" t="e">
        <f>+SUMIFS(#REF!,#REF!,Planning[[#This Row],[Proyectos]],#REF!,Planning[[#This Row],[Tipo de Tarea y especialidad]])</f>
        <v>#REF!</v>
      </c>
      <c r="O3091" s="14">
        <f t="shared" si="96"/>
        <v>10</v>
      </c>
      <c r="P3091" s="14">
        <f t="shared" si="97"/>
        <v>2024</v>
      </c>
      <c r="Q3091" s="28" t="e">
        <f>SUM(Q3092:Q3093)</f>
        <v>#REF!</v>
      </c>
      <c r="R3091" s="28" t="str">
        <f>TEXT(Planning[[#This Row],[Mes]]*29,"mmmm")</f>
        <v>October</v>
      </c>
      <c r="S30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91" s="192" t="s">
        <v>594</v>
      </c>
      <c r="U3091" s="43" t="e">
        <f>IF(Planning[[#This Row],[Horas Planificadas]]&lt;&gt;0,+K3091/Planning[[#This Row],[Horas Planificadas]],0)</f>
        <v>#REF!</v>
      </c>
      <c r="V3091" s="43" t="e">
        <f>IF(Planning[[#This Row],[Horas Planificadas]]&lt;&gt;0,Planning[[#This Row],[Horas utilizadas]]/Planning[[#This Row],[Horas Planificadas]],0)</f>
        <v>#REF!</v>
      </c>
      <c r="W3091" s="44">
        <f>Planning[[#This Row],[Horas Planificadas]]+Planning[[#This Row],[Horas ajustadas adicionales]]</f>
        <v>205</v>
      </c>
      <c r="X3091" s="142"/>
    </row>
    <row r="3092" spans="1:24" x14ac:dyDescent="0.2">
      <c r="A3092" s="7" t="s">
        <v>204</v>
      </c>
      <c r="B3092" s="7" t="s">
        <v>178</v>
      </c>
      <c r="C3092" s="3"/>
      <c r="D3092" s="3" t="s">
        <v>593</v>
      </c>
      <c r="E3092" s="4"/>
      <c r="F3092" s="3" t="s">
        <v>120</v>
      </c>
      <c r="G3092" s="9"/>
      <c r="H3092" s="9">
        <v>160</v>
      </c>
      <c r="I3092" s="12"/>
      <c r="J3092" s="5" t="e">
        <f>SUM(SUMIFS(#REF!,#REF!,Planning[[#This Row],[Tipo de Tarea y especialidad]],#REF!,Planning[[#This Row],[Proyectos Reiwa]]),SUMIFS(#REF!,#REF!,Planning[[#This Row],[Tipo de Tarea y especialidad]],#REF!,Planning[[#This Row],[Proyectos]]))</f>
        <v>#REF!</v>
      </c>
      <c r="K3092" s="5" t="e">
        <f>Planning[[#This Row],[Horas Planificadas]]+Planning[[#This Row],[Horas ajustadas adicionales]]-Planning[[#This Row],[Horas utilizadas]]</f>
        <v>#REF!</v>
      </c>
      <c r="L3092" s="7">
        <v>0</v>
      </c>
      <c r="M3092" s="19" t="e">
        <f>Planning[[#This Row],[Saldo]]-Planning[[#This Row],[Saldo estimado]]</f>
        <v>#REF!</v>
      </c>
      <c r="N3092" s="60" t="e">
        <f>+SUMIFS(#REF!,#REF!,Planning[[#This Row],[Proyectos]],#REF!,Planning[[#This Row],[Tipo de Tarea y especialidad]])</f>
        <v>#REF!</v>
      </c>
      <c r="O3092" s="19">
        <f t="shared" si="96"/>
        <v>10</v>
      </c>
      <c r="P3092" s="19">
        <f t="shared" si="97"/>
        <v>2024</v>
      </c>
      <c r="Q30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92" s="19" t="str">
        <f>TEXT(Planning[[#This Row],[Mes]]*29,"mmmm")</f>
        <v>October</v>
      </c>
      <c r="S30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92" s="193"/>
      <c r="U3092" s="43" t="e">
        <f>IF(Planning[[#This Row],[Horas Planificadas]]&lt;&gt;0,+K3092/Planning[[#This Row],[Horas Planificadas]],0)</f>
        <v>#REF!</v>
      </c>
      <c r="V3092" s="43" t="e">
        <f>IF(Planning[[#This Row],[Horas Planificadas]]&lt;&gt;0,Planning[[#This Row],[Horas utilizadas]]/Planning[[#This Row],[Horas Planificadas]],0)</f>
        <v>#REF!</v>
      </c>
      <c r="W3092" s="44">
        <f>Planning[[#This Row],[Horas Planificadas]]+Planning[[#This Row],[Horas ajustadas adicionales]]</f>
        <v>160</v>
      </c>
      <c r="X3092" s="142"/>
    </row>
    <row r="3093" spans="1:24" x14ac:dyDescent="0.2">
      <c r="A3093" s="7" t="s">
        <v>204</v>
      </c>
      <c r="B3093" s="7" t="s">
        <v>178</v>
      </c>
      <c r="C3093" s="3"/>
      <c r="D3093" s="3" t="s">
        <v>593</v>
      </c>
      <c r="E3093" s="4"/>
      <c r="F3093" s="3" t="s">
        <v>121</v>
      </c>
      <c r="G3093" s="9"/>
      <c r="H3093" s="9">
        <v>45</v>
      </c>
      <c r="I3093" s="12"/>
      <c r="J3093" s="5" t="e">
        <f>SUM(SUMIFS(#REF!,#REF!,Planning[[#This Row],[Tipo de Tarea y especialidad]],#REF!,Planning[[#This Row],[Proyectos Reiwa]]),SUMIFS(#REF!,#REF!,Planning[[#This Row],[Tipo de Tarea y especialidad]],#REF!,Planning[[#This Row],[Proyectos]]))</f>
        <v>#REF!</v>
      </c>
      <c r="K3093" s="5" t="e">
        <f>Planning[[#This Row],[Horas Planificadas]]+Planning[[#This Row],[Horas ajustadas adicionales]]-Planning[[#This Row],[Horas utilizadas]]</f>
        <v>#REF!</v>
      </c>
      <c r="L3093" s="7">
        <v>0</v>
      </c>
      <c r="M3093" s="19" t="e">
        <f>Planning[[#This Row],[Saldo]]-Planning[[#This Row],[Saldo estimado]]</f>
        <v>#REF!</v>
      </c>
      <c r="N3093" s="60" t="e">
        <f>+SUMIFS(#REF!,#REF!,Planning[[#This Row],[Proyectos]],#REF!,Planning[[#This Row],[Tipo de Tarea y especialidad]])</f>
        <v>#REF!</v>
      </c>
      <c r="O3093" s="19">
        <f t="shared" si="96"/>
        <v>10</v>
      </c>
      <c r="P3093" s="19">
        <f t="shared" si="97"/>
        <v>2024</v>
      </c>
      <c r="Q30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93" s="19" t="str">
        <f>TEXT(Planning[[#This Row],[Mes]]*29,"mmmm")</f>
        <v>October</v>
      </c>
      <c r="S30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93" s="193"/>
      <c r="U3093" s="43" t="e">
        <f>IF(Planning[[#This Row],[Horas Planificadas]]&lt;&gt;0,+K3093/Planning[[#This Row],[Horas Planificadas]],0)</f>
        <v>#REF!</v>
      </c>
      <c r="V3093" s="43" t="e">
        <f>IF(Planning[[#This Row],[Horas Planificadas]]&lt;&gt;0,Planning[[#This Row],[Horas utilizadas]]/Planning[[#This Row],[Horas Planificadas]],0)</f>
        <v>#REF!</v>
      </c>
      <c r="W3093" s="44">
        <f>Planning[[#This Row],[Horas Planificadas]]+Planning[[#This Row],[Horas ajustadas adicionales]]</f>
        <v>45</v>
      </c>
      <c r="X3093" s="142"/>
    </row>
    <row r="3094" spans="1:24" x14ac:dyDescent="0.2">
      <c r="A3094" s="7" t="s">
        <v>204</v>
      </c>
      <c r="B3094" s="7" t="s">
        <v>178</v>
      </c>
      <c r="C3094" s="3"/>
      <c r="D3094" s="3" t="s">
        <v>593</v>
      </c>
      <c r="E3094" s="4" t="s">
        <v>30</v>
      </c>
      <c r="F3094" s="3"/>
      <c r="G3094" s="9">
        <v>234</v>
      </c>
      <c r="H3094" s="14">
        <f>SUM(H3095:H3101)</f>
        <v>234</v>
      </c>
      <c r="I3094" s="14"/>
      <c r="J3094" s="14" t="e">
        <f>SUM(J3095:J3101)</f>
        <v>#REF!</v>
      </c>
      <c r="K3094" s="15" t="e">
        <f>SUM(K3095:K3101)</f>
        <v>#REF!</v>
      </c>
      <c r="L3094" s="15">
        <f>SUM(L3095:L3101)</f>
        <v>0</v>
      </c>
      <c r="M3094" s="16" t="e">
        <f>SUM(M3095:M3101)</f>
        <v>#REF!</v>
      </c>
      <c r="N3094" s="60" t="e">
        <f>+SUMIFS(#REF!,#REF!,Planning[[#This Row],[Proyectos]],#REF!,Planning[[#This Row],[Tipo de Tarea y especialidad]])</f>
        <v>#REF!</v>
      </c>
      <c r="O3094" s="16">
        <f t="shared" si="96"/>
        <v>10</v>
      </c>
      <c r="P3094" s="16">
        <f t="shared" si="97"/>
        <v>2024</v>
      </c>
      <c r="Q3094" s="16" t="e">
        <f>SUM(Q3095:Q3101)</f>
        <v>#REF!</v>
      </c>
      <c r="R3094" s="16" t="str">
        <f>TEXT(Planning[[#This Row],[Mes]]*29,"mmmm")</f>
        <v>October</v>
      </c>
      <c r="S30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94" s="193"/>
      <c r="U3094" s="43" t="e">
        <f>IF(Planning[[#This Row],[Horas Planificadas]]&lt;&gt;0,+K3094/Planning[[#This Row],[Horas Planificadas]],0)</f>
        <v>#REF!</v>
      </c>
      <c r="V3094" s="43" t="e">
        <f>IF(Planning[[#This Row],[Horas Planificadas]]&lt;&gt;0,Planning[[#This Row],[Horas utilizadas]]/Planning[[#This Row],[Horas Planificadas]],0)</f>
        <v>#REF!</v>
      </c>
      <c r="W3094" s="44">
        <f>Planning[[#This Row],[Horas Planificadas]]+Planning[[#This Row],[Horas ajustadas adicionales]]</f>
        <v>234</v>
      </c>
      <c r="X3094" s="142"/>
    </row>
    <row r="3095" spans="1:24" x14ac:dyDescent="0.2">
      <c r="A3095" s="7" t="s">
        <v>204</v>
      </c>
      <c r="B3095" s="7" t="s">
        <v>178</v>
      </c>
      <c r="C3095" s="3"/>
      <c r="D3095" s="3" t="s">
        <v>593</v>
      </c>
      <c r="E3095" s="4"/>
      <c r="F3095" s="3" t="s">
        <v>122</v>
      </c>
      <c r="G3095" s="20"/>
      <c r="H3095" s="9"/>
      <c r="I3095" s="12"/>
      <c r="J3095" s="5" t="e">
        <f>SUM(SUMIFS(#REF!,#REF!,Planning[[#This Row],[Tipo de Tarea y especialidad]],#REF!,Planning[[#This Row],[Proyectos Reiwa]]),SUMIFS(#REF!,#REF!,Planning[[#This Row],[Tipo de Tarea y especialidad]],#REF!,Planning[[#This Row],[Proyectos]]))</f>
        <v>#REF!</v>
      </c>
      <c r="K3095" s="5" t="e">
        <f>Planning[[#This Row],[Horas Planificadas]]+Planning[[#This Row],[Horas ajustadas adicionales]]-Planning[[#This Row],[Horas utilizadas]]</f>
        <v>#REF!</v>
      </c>
      <c r="L3095" s="7"/>
      <c r="M3095" s="19" t="e">
        <f>Planning[[#This Row],[Saldo]]-Planning[[#This Row],[Saldo estimado]]</f>
        <v>#REF!</v>
      </c>
      <c r="N3095" s="60" t="e">
        <f>+SUMIFS(#REF!,#REF!,Planning[[#This Row],[Proyectos]],#REF!,Planning[[#This Row],[Tipo de Tarea y especialidad]])</f>
        <v>#REF!</v>
      </c>
      <c r="O3095" s="19">
        <f t="shared" si="96"/>
        <v>10</v>
      </c>
      <c r="P3095" s="19">
        <f t="shared" si="97"/>
        <v>2024</v>
      </c>
      <c r="Q30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95" s="19" t="str">
        <f>TEXT(Planning[[#This Row],[Mes]]*29,"mmmm")</f>
        <v>October</v>
      </c>
      <c r="S30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95" s="193"/>
      <c r="U3095" s="43">
        <f>IF(Planning[[#This Row],[Horas Planificadas]]&lt;&gt;0,+K3095/Planning[[#This Row],[Horas Planificadas]],0)</f>
        <v>0</v>
      </c>
      <c r="V3095" s="43">
        <f>IF(Planning[[#This Row],[Horas Planificadas]]&lt;&gt;0,Planning[[#This Row],[Horas utilizadas]]/Planning[[#This Row],[Horas Planificadas]],0)</f>
        <v>0</v>
      </c>
      <c r="W3095" s="44">
        <f>Planning[[#This Row],[Horas Planificadas]]+Planning[[#This Row],[Horas ajustadas adicionales]]</f>
        <v>0</v>
      </c>
      <c r="X3095" s="142"/>
    </row>
    <row r="3096" spans="1:24" x14ac:dyDescent="0.2">
      <c r="A3096" s="7" t="s">
        <v>204</v>
      </c>
      <c r="B3096" s="7" t="s">
        <v>178</v>
      </c>
      <c r="C3096" s="3"/>
      <c r="D3096" s="3" t="s">
        <v>593</v>
      </c>
      <c r="E3096" s="4"/>
      <c r="F3096" s="3" t="s">
        <v>123</v>
      </c>
      <c r="G3096" s="20"/>
      <c r="H3096" s="9">
        <v>234</v>
      </c>
      <c r="I3096" s="12"/>
      <c r="J3096" s="5" t="e">
        <f>SUM(SUMIFS(#REF!,#REF!,Planning[[#This Row],[Tipo de Tarea y especialidad]],#REF!,Planning[[#This Row],[Proyectos Reiwa]]),SUMIFS(#REF!,#REF!,Planning[[#This Row],[Tipo de Tarea y especialidad]],#REF!,Planning[[#This Row],[Proyectos]]))</f>
        <v>#REF!</v>
      </c>
      <c r="K3096" s="5" t="e">
        <f>Planning[[#This Row],[Horas Planificadas]]+Planning[[#This Row],[Horas ajustadas adicionales]]-Planning[[#This Row],[Horas utilizadas]]</f>
        <v>#REF!</v>
      </c>
      <c r="L3096" s="7">
        <v>0</v>
      </c>
      <c r="M3096" s="19" t="e">
        <f>Planning[[#This Row],[Saldo]]-Planning[[#This Row],[Saldo estimado]]</f>
        <v>#REF!</v>
      </c>
      <c r="N3096" s="60" t="e">
        <f>+SUMIFS(#REF!,#REF!,Planning[[#This Row],[Proyectos]],#REF!,Planning[[#This Row],[Tipo de Tarea y especialidad]])</f>
        <v>#REF!</v>
      </c>
      <c r="O3096" s="19">
        <f t="shared" si="96"/>
        <v>10</v>
      </c>
      <c r="P3096" s="19">
        <f t="shared" si="97"/>
        <v>2024</v>
      </c>
      <c r="Q30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96" s="19" t="str">
        <f>TEXT(Planning[[#This Row],[Mes]]*29,"mmmm")</f>
        <v>October</v>
      </c>
      <c r="S30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96" s="193"/>
      <c r="U3096" s="43" t="e">
        <f>IF(Planning[[#This Row],[Horas Planificadas]]&lt;&gt;0,+K3096/Planning[[#This Row],[Horas Planificadas]],0)</f>
        <v>#REF!</v>
      </c>
      <c r="V3096" s="43" t="e">
        <f>IF(Planning[[#This Row],[Horas Planificadas]]&lt;&gt;0,Planning[[#This Row],[Horas utilizadas]]/Planning[[#This Row],[Horas Planificadas]],0)</f>
        <v>#REF!</v>
      </c>
      <c r="W3096" s="44">
        <f>Planning[[#This Row],[Horas Planificadas]]+Planning[[#This Row],[Horas ajustadas adicionales]]</f>
        <v>234</v>
      </c>
      <c r="X3096" s="142"/>
    </row>
    <row r="3097" spans="1:24" x14ac:dyDescent="0.2">
      <c r="A3097" s="7" t="s">
        <v>204</v>
      </c>
      <c r="B3097" s="7" t="s">
        <v>178</v>
      </c>
      <c r="C3097" s="3"/>
      <c r="D3097" s="3" t="s">
        <v>593</v>
      </c>
      <c r="E3097" s="4"/>
      <c r="F3097" s="3" t="s">
        <v>124</v>
      </c>
      <c r="G3097" s="20"/>
      <c r="H3097" s="9"/>
      <c r="I3097" s="12"/>
      <c r="J3097" s="5" t="e">
        <f>SUM(SUMIFS(#REF!,#REF!,Planning[[#This Row],[Tipo de Tarea y especialidad]],#REF!,Planning[[#This Row],[Proyectos Reiwa]]),SUMIFS(#REF!,#REF!,Planning[[#This Row],[Tipo de Tarea y especialidad]],#REF!,Planning[[#This Row],[Proyectos]]))</f>
        <v>#REF!</v>
      </c>
      <c r="K3097" s="5" t="e">
        <f>Planning[[#This Row],[Horas Planificadas]]+Planning[[#This Row],[Horas ajustadas adicionales]]-Planning[[#This Row],[Horas utilizadas]]</f>
        <v>#REF!</v>
      </c>
      <c r="L3097" s="7"/>
      <c r="M3097" s="19" t="e">
        <f>Planning[[#This Row],[Saldo]]-Planning[[#This Row],[Saldo estimado]]</f>
        <v>#REF!</v>
      </c>
      <c r="N3097" s="60" t="e">
        <f>+SUMIFS(#REF!,#REF!,Planning[[#This Row],[Proyectos]],#REF!,Planning[[#This Row],[Tipo de Tarea y especialidad]])</f>
        <v>#REF!</v>
      </c>
      <c r="O3097" s="19">
        <f t="shared" si="96"/>
        <v>10</v>
      </c>
      <c r="P3097" s="19">
        <f t="shared" si="97"/>
        <v>2024</v>
      </c>
      <c r="Q30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97" s="19" t="str">
        <f>TEXT(Planning[[#This Row],[Mes]]*29,"mmmm")</f>
        <v>October</v>
      </c>
      <c r="S30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97" s="193"/>
      <c r="U3097" s="43">
        <f>IF(Planning[[#This Row],[Horas Planificadas]]&lt;&gt;0,+K3097/Planning[[#This Row],[Horas Planificadas]],0)</f>
        <v>0</v>
      </c>
      <c r="V3097" s="43">
        <f>IF(Planning[[#This Row],[Horas Planificadas]]&lt;&gt;0,Planning[[#This Row],[Horas utilizadas]]/Planning[[#This Row],[Horas Planificadas]],0)</f>
        <v>0</v>
      </c>
      <c r="W3097" s="44">
        <f>Planning[[#This Row],[Horas Planificadas]]+Planning[[#This Row],[Horas ajustadas adicionales]]</f>
        <v>0</v>
      </c>
      <c r="X3097" s="142"/>
    </row>
    <row r="3098" spans="1:24" x14ac:dyDescent="0.2">
      <c r="A3098" s="7" t="s">
        <v>204</v>
      </c>
      <c r="B3098" s="7" t="s">
        <v>178</v>
      </c>
      <c r="C3098" s="3"/>
      <c r="D3098" s="3" t="s">
        <v>593</v>
      </c>
      <c r="E3098" s="4"/>
      <c r="F3098" s="3" t="s">
        <v>125</v>
      </c>
      <c r="G3098" s="20"/>
      <c r="H3098" s="9"/>
      <c r="I3098" s="12"/>
      <c r="J3098" s="5" t="e">
        <f>SUM(SUMIFS(#REF!,#REF!,Planning[[#This Row],[Tipo de Tarea y especialidad]],#REF!,Planning[[#This Row],[Proyectos Reiwa]]),SUMIFS(#REF!,#REF!,Planning[[#This Row],[Tipo de Tarea y especialidad]],#REF!,Planning[[#This Row],[Proyectos]]))</f>
        <v>#REF!</v>
      </c>
      <c r="K3098" s="5" t="e">
        <f>Planning[[#This Row],[Horas Planificadas]]+Planning[[#This Row],[Horas ajustadas adicionales]]-Planning[[#This Row],[Horas utilizadas]]</f>
        <v>#REF!</v>
      </c>
      <c r="L3098" s="7">
        <v>0</v>
      </c>
      <c r="M3098" s="19" t="e">
        <f>Planning[[#This Row],[Saldo]]-Planning[[#This Row],[Saldo estimado]]</f>
        <v>#REF!</v>
      </c>
      <c r="N3098" s="60" t="e">
        <f>+SUMIFS(#REF!,#REF!,Planning[[#This Row],[Proyectos]],#REF!,Planning[[#This Row],[Tipo de Tarea y especialidad]])</f>
        <v>#REF!</v>
      </c>
      <c r="O3098" s="19">
        <f t="shared" si="96"/>
        <v>10</v>
      </c>
      <c r="P3098" s="19">
        <f t="shared" si="97"/>
        <v>2024</v>
      </c>
      <c r="Q30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98" s="19" t="str">
        <f>TEXT(Planning[[#This Row],[Mes]]*29,"mmmm")</f>
        <v>October</v>
      </c>
      <c r="S30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98" s="193"/>
      <c r="U3098" s="43">
        <f>IF(Planning[[#This Row],[Horas Planificadas]]&lt;&gt;0,+K3098/Planning[[#This Row],[Horas Planificadas]],0)</f>
        <v>0</v>
      </c>
      <c r="V3098" s="43">
        <f>IF(Planning[[#This Row],[Horas Planificadas]]&lt;&gt;0,Planning[[#This Row],[Horas utilizadas]]/Planning[[#This Row],[Horas Planificadas]],0)</f>
        <v>0</v>
      </c>
      <c r="W3098" s="44">
        <f>Planning[[#This Row],[Horas Planificadas]]+Planning[[#This Row],[Horas ajustadas adicionales]]</f>
        <v>0</v>
      </c>
      <c r="X3098" s="142"/>
    </row>
    <row r="3099" spans="1:24" x14ac:dyDescent="0.2">
      <c r="A3099" s="7" t="s">
        <v>204</v>
      </c>
      <c r="B3099" s="7" t="s">
        <v>178</v>
      </c>
      <c r="C3099" s="3"/>
      <c r="D3099" s="3" t="s">
        <v>593</v>
      </c>
      <c r="E3099" s="4"/>
      <c r="F3099" s="3" t="s">
        <v>126</v>
      </c>
      <c r="G3099" s="20"/>
      <c r="H3099" s="9"/>
      <c r="I3099" s="12"/>
      <c r="J3099" s="5" t="e">
        <f>SUM(SUMIFS(#REF!,#REF!,Planning[[#This Row],[Tipo de Tarea y especialidad]],#REF!,Planning[[#This Row],[Proyectos Reiwa]]),SUMIFS(#REF!,#REF!,Planning[[#This Row],[Tipo de Tarea y especialidad]],#REF!,Planning[[#This Row],[Proyectos]]))</f>
        <v>#REF!</v>
      </c>
      <c r="K3099" s="5" t="e">
        <f>Planning[[#This Row],[Horas Planificadas]]+Planning[[#This Row],[Horas ajustadas adicionales]]-Planning[[#This Row],[Horas utilizadas]]</f>
        <v>#REF!</v>
      </c>
      <c r="L3099" s="7"/>
      <c r="M3099" s="19" t="e">
        <f>Planning[[#This Row],[Saldo]]-Planning[[#This Row],[Saldo estimado]]</f>
        <v>#REF!</v>
      </c>
      <c r="N3099" s="60" t="e">
        <f>+SUMIFS(#REF!,#REF!,Planning[[#This Row],[Proyectos]],#REF!,Planning[[#This Row],[Tipo de Tarea y especialidad]])</f>
        <v>#REF!</v>
      </c>
      <c r="O3099" s="19">
        <f t="shared" si="96"/>
        <v>10</v>
      </c>
      <c r="P3099" s="19">
        <f t="shared" si="97"/>
        <v>2024</v>
      </c>
      <c r="Q30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099" s="19" t="str">
        <f>TEXT(Planning[[#This Row],[Mes]]*29,"mmmm")</f>
        <v>October</v>
      </c>
      <c r="S30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099" s="193"/>
      <c r="U3099" s="43">
        <f>IF(Planning[[#This Row],[Horas Planificadas]]&lt;&gt;0,+K3099/Planning[[#This Row],[Horas Planificadas]],0)</f>
        <v>0</v>
      </c>
      <c r="V3099" s="43">
        <f>IF(Planning[[#This Row],[Horas Planificadas]]&lt;&gt;0,Planning[[#This Row],[Horas utilizadas]]/Planning[[#This Row],[Horas Planificadas]],0)</f>
        <v>0</v>
      </c>
      <c r="W3099" s="44">
        <f>Planning[[#This Row],[Horas Planificadas]]+Planning[[#This Row],[Horas ajustadas adicionales]]</f>
        <v>0</v>
      </c>
      <c r="X3099" s="142"/>
    </row>
    <row r="3100" spans="1:24" x14ac:dyDescent="0.2">
      <c r="A3100" s="7" t="s">
        <v>204</v>
      </c>
      <c r="B3100" s="7" t="s">
        <v>178</v>
      </c>
      <c r="C3100" s="3"/>
      <c r="D3100" s="3" t="s">
        <v>593</v>
      </c>
      <c r="E3100" s="4"/>
      <c r="F3100" s="3" t="s">
        <v>127</v>
      </c>
      <c r="G3100" s="20"/>
      <c r="H3100" s="9"/>
      <c r="I3100" s="12"/>
      <c r="J3100" s="5" t="e">
        <f>SUM(SUMIFS(#REF!,#REF!,Planning[[#This Row],[Tipo de Tarea y especialidad]],#REF!,Planning[[#This Row],[Proyectos Reiwa]]),SUMIFS(#REF!,#REF!,Planning[[#This Row],[Tipo de Tarea y especialidad]],#REF!,Planning[[#This Row],[Proyectos]]))</f>
        <v>#REF!</v>
      </c>
      <c r="K3100" s="5" t="e">
        <f>Planning[[#This Row],[Horas Planificadas]]+Planning[[#This Row],[Horas ajustadas adicionales]]-Planning[[#This Row],[Horas utilizadas]]</f>
        <v>#REF!</v>
      </c>
      <c r="L3100" s="7"/>
      <c r="M3100" s="19" t="e">
        <f>Planning[[#This Row],[Saldo]]-Planning[[#This Row],[Saldo estimado]]</f>
        <v>#REF!</v>
      </c>
      <c r="N3100" s="60" t="e">
        <f>+SUMIFS(#REF!,#REF!,Planning[[#This Row],[Proyectos]],#REF!,Planning[[#This Row],[Tipo de Tarea y especialidad]])</f>
        <v>#REF!</v>
      </c>
      <c r="O3100" s="19">
        <f t="shared" si="96"/>
        <v>10</v>
      </c>
      <c r="P3100" s="19">
        <f t="shared" si="97"/>
        <v>2024</v>
      </c>
      <c r="Q31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00" s="19" t="str">
        <f>TEXT(Planning[[#This Row],[Mes]]*29,"mmmm")</f>
        <v>October</v>
      </c>
      <c r="S31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00" s="193"/>
      <c r="U3100" s="43">
        <f>IF(Planning[[#This Row],[Horas Planificadas]]&lt;&gt;0,+K3100/Planning[[#This Row],[Horas Planificadas]],0)</f>
        <v>0</v>
      </c>
      <c r="V3100" s="43">
        <f>IF(Planning[[#This Row],[Horas Planificadas]]&lt;&gt;0,Planning[[#This Row],[Horas utilizadas]]/Planning[[#This Row],[Horas Planificadas]],0)</f>
        <v>0</v>
      </c>
      <c r="W3100" s="44">
        <f>Planning[[#This Row],[Horas Planificadas]]+Planning[[#This Row],[Horas ajustadas adicionales]]</f>
        <v>0</v>
      </c>
      <c r="X3100" s="142"/>
    </row>
    <row r="3101" spans="1:24" x14ac:dyDescent="0.2">
      <c r="A3101" s="7" t="s">
        <v>204</v>
      </c>
      <c r="B3101" s="7" t="s">
        <v>178</v>
      </c>
      <c r="C3101" s="3"/>
      <c r="D3101" s="3" t="s">
        <v>593</v>
      </c>
      <c r="E3101" s="4"/>
      <c r="F3101" s="3" t="s">
        <v>128</v>
      </c>
      <c r="G3101" s="20"/>
      <c r="H3101" s="9"/>
      <c r="I3101" s="12"/>
      <c r="J3101" s="5" t="e">
        <f>SUM(SUMIFS(#REF!,#REF!,Planning[[#This Row],[Tipo de Tarea y especialidad]],#REF!,Planning[[#This Row],[Proyectos Reiwa]]),SUMIFS(#REF!,#REF!,Planning[[#This Row],[Tipo de Tarea y especialidad]],#REF!,Planning[[#This Row],[Proyectos]]))</f>
        <v>#REF!</v>
      </c>
      <c r="K3101" s="5" t="e">
        <f>Planning[[#This Row],[Horas Planificadas]]+Planning[[#This Row],[Horas ajustadas adicionales]]-Planning[[#This Row],[Horas utilizadas]]</f>
        <v>#REF!</v>
      </c>
      <c r="L3101" s="7"/>
      <c r="M3101" s="19" t="e">
        <f>Planning[[#This Row],[Saldo]]-Planning[[#This Row],[Saldo estimado]]</f>
        <v>#REF!</v>
      </c>
      <c r="N3101" s="60" t="e">
        <f>+SUMIFS(#REF!,#REF!,Planning[[#This Row],[Proyectos]],#REF!,Planning[[#This Row],[Tipo de Tarea y especialidad]])</f>
        <v>#REF!</v>
      </c>
      <c r="O3101" s="19">
        <f t="shared" si="96"/>
        <v>10</v>
      </c>
      <c r="P3101" s="19">
        <f t="shared" si="97"/>
        <v>2024</v>
      </c>
      <c r="Q31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01" s="19" t="str">
        <f>TEXT(Planning[[#This Row],[Mes]]*29,"mmmm")</f>
        <v>October</v>
      </c>
      <c r="S31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01" s="193"/>
      <c r="U3101" s="43">
        <f>IF(Planning[[#This Row],[Horas Planificadas]]&lt;&gt;0,+K3101/Planning[[#This Row],[Horas Planificadas]],0)</f>
        <v>0</v>
      </c>
      <c r="V3101" s="43">
        <f>IF(Planning[[#This Row],[Horas Planificadas]]&lt;&gt;0,Planning[[#This Row],[Horas utilizadas]]/Planning[[#This Row],[Horas Planificadas]],0)</f>
        <v>0</v>
      </c>
      <c r="W3101" s="44">
        <f>Planning[[#This Row],[Horas Planificadas]]+Planning[[#This Row],[Horas ajustadas adicionales]]</f>
        <v>0</v>
      </c>
      <c r="X3101" s="142"/>
    </row>
    <row r="3102" spans="1:24" x14ac:dyDescent="0.2">
      <c r="A3102" s="7" t="s">
        <v>204</v>
      </c>
      <c r="B3102" s="7" t="s">
        <v>178</v>
      </c>
      <c r="C3102" s="3"/>
      <c r="D3102" s="3" t="s">
        <v>593</v>
      </c>
      <c r="E3102" s="4" t="s">
        <v>31</v>
      </c>
      <c r="F3102" s="3" t="s">
        <v>31</v>
      </c>
      <c r="G3102" s="9">
        <v>99</v>
      </c>
      <c r="H3102" s="17">
        <v>99</v>
      </c>
      <c r="I3102" s="18"/>
      <c r="J3102" s="14" t="e">
        <f>+SUMIFS(#REF!,#REF!,Planning[[#This Row],[Tarifa]],#REF!,Planning[[#This Row],[Proyectos]])</f>
        <v>#REF!</v>
      </c>
      <c r="K3102" s="14" t="e">
        <f>Planning[[#This Row],[Horas Planificadas]]+Planning[[#This Row],[Horas ajustadas adicionales]]-Planning[[#This Row],[Horas utilizadas]]</f>
        <v>#REF!</v>
      </c>
      <c r="L3102" s="15">
        <v>0</v>
      </c>
      <c r="M3102" s="16" t="e">
        <f>Planning[[#This Row],[Saldo]]-Planning[[#This Row],[Saldo estimado]]</f>
        <v>#REF!</v>
      </c>
      <c r="N3102" s="60" t="e">
        <f>+SUMIFS(#REF!,#REF!,Planning[[#This Row],[Proyectos]],#REF!,Planning[[#This Row],[Tipo de Tarea y especialidad]])</f>
        <v>#REF!</v>
      </c>
      <c r="O3102" s="16">
        <f t="shared" si="96"/>
        <v>10</v>
      </c>
      <c r="P3102" s="16">
        <f t="shared" si="97"/>
        <v>2024</v>
      </c>
      <c r="Q3102" s="16" t="e">
        <f>+SUMIFS(#REF!,#REF!,Planning[[#This Row],[Tarifa]],#REF!,Planning[[#This Row],[Proyectos]],#REF!,Planning[[#This Row],[Mes]],#REF!,Planning[[#This Row],[Año]])</f>
        <v>#REF!</v>
      </c>
      <c r="R3102" s="16" t="str">
        <f>TEXT(Planning[[#This Row],[Mes]]*29,"mmmm")</f>
        <v>October</v>
      </c>
      <c r="S31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02" s="193"/>
      <c r="U3102" s="43" t="e">
        <f>IF(Planning[[#This Row],[Horas Planificadas]]&lt;&gt;0,+K3102/Planning[[#This Row],[Horas Planificadas]],0)</f>
        <v>#REF!</v>
      </c>
      <c r="V3102" s="43" t="e">
        <f>IF(Planning[[#This Row],[Horas Planificadas]]&lt;&gt;0,Planning[[#This Row],[Horas utilizadas]]/Planning[[#This Row],[Horas Planificadas]],0)</f>
        <v>#REF!</v>
      </c>
      <c r="W3102" s="44">
        <f>Planning[[#This Row],[Horas Planificadas]]+Planning[[#This Row],[Horas ajustadas adicionales]]</f>
        <v>99</v>
      </c>
      <c r="X3102" s="142"/>
    </row>
    <row r="3103" spans="1:24" ht="22.5" x14ac:dyDescent="0.2">
      <c r="A3103" s="7" t="s">
        <v>204</v>
      </c>
      <c r="B3103" s="7" t="s">
        <v>178</v>
      </c>
      <c r="C3103" s="3"/>
      <c r="D3103" s="3" t="s">
        <v>593</v>
      </c>
      <c r="E3103" s="4" t="s">
        <v>32</v>
      </c>
      <c r="F3103" s="3"/>
      <c r="G3103" s="9">
        <v>50</v>
      </c>
      <c r="H3103" s="14">
        <f>SUM(H3104:H3106)</f>
        <v>50</v>
      </c>
      <c r="I3103" s="14"/>
      <c r="J3103" s="14" t="e">
        <f>SUM(J3104:J3106)</f>
        <v>#REF!</v>
      </c>
      <c r="K3103" s="15" t="e">
        <f>SUM(K3104:K3106)</f>
        <v>#REF!</v>
      </c>
      <c r="L3103" s="15">
        <f>SUM(L3104:L3106)</f>
        <v>0</v>
      </c>
      <c r="M3103" s="16" t="e">
        <f>SUM(M3104:M3106)</f>
        <v>#REF!</v>
      </c>
      <c r="N3103" s="60" t="e">
        <f>+SUMIFS(#REF!,#REF!,Planning[[#This Row],[Proyectos]],#REF!,Planning[[#This Row],[Tipo de Tarea y especialidad]])</f>
        <v>#REF!</v>
      </c>
      <c r="O3103" s="16">
        <f t="shared" si="96"/>
        <v>10</v>
      </c>
      <c r="P3103" s="16">
        <f t="shared" si="97"/>
        <v>2024</v>
      </c>
      <c r="Q3103" s="16" t="e">
        <f>SUM(Q3104:Q3106)</f>
        <v>#REF!</v>
      </c>
      <c r="R3103" s="16" t="str">
        <f>TEXT(Planning[[#This Row],[Mes]]*29,"mmmm")</f>
        <v>October</v>
      </c>
      <c r="S31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03" s="193"/>
      <c r="U3103" s="43" t="e">
        <f>IF(Planning[[#This Row],[Horas Planificadas]]&lt;&gt;0,+K3103/Planning[[#This Row],[Horas Planificadas]],0)</f>
        <v>#REF!</v>
      </c>
      <c r="V3103" s="43" t="e">
        <f>IF(Planning[[#This Row],[Horas Planificadas]]&lt;&gt;0,Planning[[#This Row],[Horas utilizadas]]/Planning[[#This Row],[Horas Planificadas]],0)</f>
        <v>#REF!</v>
      </c>
      <c r="W3103" s="44">
        <f>Planning[[#This Row],[Horas Planificadas]]+Planning[[#This Row],[Horas ajustadas adicionales]]</f>
        <v>50</v>
      </c>
      <c r="X3103" s="142"/>
    </row>
    <row r="3104" spans="1:24" x14ac:dyDescent="0.2">
      <c r="A3104" s="7" t="s">
        <v>204</v>
      </c>
      <c r="B3104" s="7" t="s">
        <v>178</v>
      </c>
      <c r="C3104" s="3"/>
      <c r="D3104" s="3" t="s">
        <v>593</v>
      </c>
      <c r="E3104" s="4"/>
      <c r="F3104" s="3" t="s">
        <v>129</v>
      </c>
      <c r="G3104" s="11"/>
      <c r="H3104" s="20"/>
      <c r="I3104" s="12"/>
      <c r="J3104" s="5" t="e">
        <f>SUM(SUMIFS(#REF!,#REF!,Planning[[#This Row],[Tipo de Tarea y especialidad]],#REF!,Planning[[#This Row],[Proyectos Reiwa]]),SUMIFS(#REF!,#REF!,Planning[[#This Row],[Tipo de Tarea y especialidad]],#REF!,Planning[[#This Row],[Proyectos]]))</f>
        <v>#REF!</v>
      </c>
      <c r="K3104" s="5" t="e">
        <f>Planning[[#This Row],[Horas Planificadas]]+Planning[[#This Row],[Horas ajustadas adicionales]]-Planning[[#This Row],[Horas utilizadas]]</f>
        <v>#REF!</v>
      </c>
      <c r="L3104" s="7"/>
      <c r="M3104" s="19" t="e">
        <f>Planning[[#This Row],[Saldo]]-Planning[[#This Row],[Saldo estimado]]</f>
        <v>#REF!</v>
      </c>
      <c r="N3104" s="60" t="e">
        <f>+SUMIFS(#REF!,#REF!,Planning[[#This Row],[Proyectos]],#REF!,Planning[[#This Row],[Tipo de Tarea y especialidad]])</f>
        <v>#REF!</v>
      </c>
      <c r="O3104" s="19">
        <f t="shared" si="96"/>
        <v>10</v>
      </c>
      <c r="P3104" s="19">
        <f t="shared" si="97"/>
        <v>2024</v>
      </c>
      <c r="Q31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04" s="19" t="str">
        <f>TEXT(Planning[[#This Row],[Mes]]*29,"mmmm")</f>
        <v>October</v>
      </c>
      <c r="S31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04" s="193"/>
      <c r="U3104" s="43">
        <f>IF(Planning[[#This Row],[Horas Planificadas]]&lt;&gt;0,+K3104/Planning[[#This Row],[Horas Planificadas]],0)</f>
        <v>0</v>
      </c>
      <c r="V3104" s="43">
        <f>IF(Planning[[#This Row],[Horas Planificadas]]&lt;&gt;0,Planning[[#This Row],[Horas utilizadas]]/Planning[[#This Row],[Horas Planificadas]],0)</f>
        <v>0</v>
      </c>
      <c r="W3104" s="44">
        <f>Planning[[#This Row],[Horas Planificadas]]+Planning[[#This Row],[Horas ajustadas adicionales]]</f>
        <v>0</v>
      </c>
      <c r="X3104" s="142"/>
    </row>
    <row r="3105" spans="1:24" x14ac:dyDescent="0.2">
      <c r="A3105" s="7" t="s">
        <v>204</v>
      </c>
      <c r="B3105" s="7" t="s">
        <v>178</v>
      </c>
      <c r="C3105" s="3"/>
      <c r="D3105" s="3" t="s">
        <v>593</v>
      </c>
      <c r="E3105" s="4"/>
      <c r="F3105" s="3" t="s">
        <v>130</v>
      </c>
      <c r="G3105" s="11"/>
      <c r="H3105" s="20">
        <v>50</v>
      </c>
      <c r="I3105" s="12"/>
      <c r="J3105" s="5" t="e">
        <f>SUM(SUMIFS(#REF!,#REF!,Planning[[#This Row],[Tipo de Tarea y especialidad]],#REF!,Planning[[#This Row],[Proyectos Reiwa]]),SUMIFS(#REF!,#REF!,Planning[[#This Row],[Tipo de Tarea y especialidad]],#REF!,Planning[[#This Row],[Proyectos]]))</f>
        <v>#REF!</v>
      </c>
      <c r="K3105" s="5" t="e">
        <f>Planning[[#This Row],[Horas Planificadas]]+Planning[[#This Row],[Horas ajustadas adicionales]]-Planning[[#This Row],[Horas utilizadas]]</f>
        <v>#REF!</v>
      </c>
      <c r="L3105" s="7">
        <v>0</v>
      </c>
      <c r="M3105" s="19" t="e">
        <f>Planning[[#This Row],[Saldo]]-Planning[[#This Row],[Saldo estimado]]</f>
        <v>#REF!</v>
      </c>
      <c r="N3105" s="60" t="e">
        <f>+SUMIFS(#REF!,#REF!,Planning[[#This Row],[Proyectos]],#REF!,Planning[[#This Row],[Tipo de Tarea y especialidad]])</f>
        <v>#REF!</v>
      </c>
      <c r="O3105" s="19">
        <f t="shared" si="96"/>
        <v>10</v>
      </c>
      <c r="P3105" s="19">
        <f t="shared" si="97"/>
        <v>2024</v>
      </c>
      <c r="Q31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05" s="19" t="str">
        <f>TEXT(Planning[[#This Row],[Mes]]*29,"mmmm")</f>
        <v>October</v>
      </c>
      <c r="S31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05" s="193"/>
      <c r="U3105" s="43" t="e">
        <f>IF(Planning[[#This Row],[Horas Planificadas]]&lt;&gt;0,+K3105/Planning[[#This Row],[Horas Planificadas]],0)</f>
        <v>#REF!</v>
      </c>
      <c r="V3105" s="43" t="e">
        <f>IF(Planning[[#This Row],[Horas Planificadas]]&lt;&gt;0,Planning[[#This Row],[Horas utilizadas]]/Planning[[#This Row],[Horas Planificadas]],0)</f>
        <v>#REF!</v>
      </c>
      <c r="W3105" s="44">
        <f>Planning[[#This Row],[Horas Planificadas]]+Planning[[#This Row],[Horas ajustadas adicionales]]</f>
        <v>50</v>
      </c>
      <c r="X3105" s="142"/>
    </row>
    <row r="3106" spans="1:24" x14ac:dyDescent="0.2">
      <c r="A3106" s="7" t="s">
        <v>204</v>
      </c>
      <c r="B3106" s="7" t="s">
        <v>178</v>
      </c>
      <c r="C3106" s="3"/>
      <c r="D3106" s="3" t="s">
        <v>593</v>
      </c>
      <c r="E3106" s="4"/>
      <c r="F3106" s="3" t="s">
        <v>131</v>
      </c>
      <c r="G3106" s="11"/>
      <c r="H3106" s="20"/>
      <c r="I3106" s="12"/>
      <c r="J3106" s="5" t="e">
        <f>SUM(SUMIFS(#REF!,#REF!,Planning[[#This Row],[Tipo de Tarea y especialidad]],#REF!,Planning[[#This Row],[Proyectos Reiwa]]),SUMIFS(#REF!,#REF!,Planning[[#This Row],[Tipo de Tarea y especialidad]],#REF!,Planning[[#This Row],[Proyectos]]))</f>
        <v>#REF!</v>
      </c>
      <c r="K3106" s="5" t="e">
        <f>Planning[[#This Row],[Horas Planificadas]]+Planning[[#This Row],[Horas ajustadas adicionales]]-Planning[[#This Row],[Horas utilizadas]]</f>
        <v>#REF!</v>
      </c>
      <c r="L3106" s="7"/>
      <c r="M3106" s="19" t="e">
        <f>Planning[[#This Row],[Saldo]]-Planning[[#This Row],[Saldo estimado]]</f>
        <v>#REF!</v>
      </c>
      <c r="N3106" s="60" t="e">
        <f>+SUMIFS(#REF!,#REF!,Planning[[#This Row],[Proyectos]],#REF!,Planning[[#This Row],[Tipo de Tarea y especialidad]])</f>
        <v>#REF!</v>
      </c>
      <c r="O3106" s="19">
        <f t="shared" si="96"/>
        <v>10</v>
      </c>
      <c r="P3106" s="19">
        <f t="shared" si="97"/>
        <v>2024</v>
      </c>
      <c r="Q31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06" s="19" t="str">
        <f>TEXT(Planning[[#This Row],[Mes]]*29,"mmmm")</f>
        <v>October</v>
      </c>
      <c r="S31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06" s="193"/>
      <c r="U3106" s="43">
        <f>IF(Planning[[#This Row],[Horas Planificadas]]&lt;&gt;0,+K3106/Planning[[#This Row],[Horas Planificadas]],0)</f>
        <v>0</v>
      </c>
      <c r="V3106" s="43">
        <f>IF(Planning[[#This Row],[Horas Planificadas]]&lt;&gt;0,Planning[[#This Row],[Horas utilizadas]]/Planning[[#This Row],[Horas Planificadas]],0)</f>
        <v>0</v>
      </c>
      <c r="W3106" s="44">
        <f>Planning[[#This Row],[Horas Planificadas]]+Planning[[#This Row],[Horas ajustadas adicionales]]</f>
        <v>0</v>
      </c>
      <c r="X3106" s="142"/>
    </row>
    <row r="3107" spans="1:24" ht="22.5" x14ac:dyDescent="0.2">
      <c r="A3107" s="7" t="s">
        <v>177</v>
      </c>
      <c r="B3107" s="7" t="s">
        <v>178</v>
      </c>
      <c r="C3107" s="3"/>
      <c r="D3107" s="3" t="s">
        <v>595</v>
      </c>
      <c r="E3107" s="4" t="s">
        <v>28</v>
      </c>
      <c r="F3107" s="3"/>
      <c r="G3107" s="9">
        <v>0</v>
      </c>
      <c r="H3107" s="14">
        <f>SUM(H3108:H3109)</f>
        <v>0</v>
      </c>
      <c r="I3107" s="14"/>
      <c r="J3107" s="14" t="e">
        <f>SUM(J3108:J3109)</f>
        <v>#REF!</v>
      </c>
      <c r="K3107" s="15" t="e">
        <f>SUM(K3108:K3109)</f>
        <v>#REF!</v>
      </c>
      <c r="L3107" s="15">
        <f>SUM(L3108:L3109)</f>
        <v>0</v>
      </c>
      <c r="M3107" s="14" t="e">
        <f>SUM(M3108:M3109)</f>
        <v>#REF!</v>
      </c>
      <c r="N3107" s="66" t="e">
        <f>+SUMIFS(#REF!,#REF!,Planning[[#This Row],[Proyectos]],#REF!,Planning[[#This Row],[Tipo de Tarea y especialidad]])</f>
        <v>#REF!</v>
      </c>
      <c r="O3107" s="14">
        <f t="shared" si="96"/>
        <v>10</v>
      </c>
      <c r="P3107" s="14">
        <f t="shared" si="97"/>
        <v>2024</v>
      </c>
      <c r="Q3107" s="28" t="e">
        <f>SUM(Q3108:Q3109)</f>
        <v>#REF!</v>
      </c>
      <c r="R3107" s="28" t="str">
        <f>TEXT(Planning[[#This Row],[Mes]]*29,"mmmm")</f>
        <v>October</v>
      </c>
      <c r="S31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07" s="192" t="s">
        <v>596</v>
      </c>
      <c r="U3107" s="43">
        <f>IF(Planning[[#This Row],[Horas Planificadas]]&lt;&gt;0,+K3107/Planning[[#This Row],[Horas Planificadas]],0)</f>
        <v>0</v>
      </c>
      <c r="V3107" s="43">
        <f>IF(Planning[[#This Row],[Horas Planificadas]]&lt;&gt;0,Planning[[#This Row],[Horas utilizadas]]/Planning[[#This Row],[Horas Planificadas]],0)</f>
        <v>0</v>
      </c>
      <c r="W3107" s="44">
        <f>Planning[[#This Row],[Horas Planificadas]]+Planning[[#This Row],[Horas ajustadas adicionales]]</f>
        <v>0</v>
      </c>
      <c r="X3107" s="142"/>
    </row>
    <row r="3108" spans="1:24" x14ac:dyDescent="0.2">
      <c r="A3108" s="7" t="s">
        <v>177</v>
      </c>
      <c r="B3108" s="7" t="s">
        <v>178</v>
      </c>
      <c r="C3108" s="3"/>
      <c r="D3108" s="3" t="s">
        <v>595</v>
      </c>
      <c r="E3108" s="4"/>
      <c r="F3108" s="3" t="s">
        <v>120</v>
      </c>
      <c r="G3108" s="9"/>
      <c r="H3108" s="9"/>
      <c r="I3108" s="12"/>
      <c r="J3108" s="5" t="e">
        <f>SUM(SUMIFS(#REF!,#REF!,Planning[[#This Row],[Tipo de Tarea y especialidad]],#REF!,Planning[[#This Row],[Proyectos Reiwa]]),SUMIFS(#REF!,#REF!,Planning[[#This Row],[Tipo de Tarea y especialidad]],#REF!,Planning[[#This Row],[Proyectos]]))</f>
        <v>#REF!</v>
      </c>
      <c r="K3108" s="5" t="e">
        <f>Planning[[#This Row],[Horas Planificadas]]+Planning[[#This Row],[Horas ajustadas adicionales]]-Planning[[#This Row],[Horas utilizadas]]</f>
        <v>#REF!</v>
      </c>
      <c r="L3108" s="7"/>
      <c r="M3108" s="19" t="e">
        <f>Planning[[#This Row],[Saldo]]-Planning[[#This Row],[Saldo estimado]]</f>
        <v>#REF!</v>
      </c>
      <c r="N3108" s="60" t="e">
        <f>+SUMIFS(#REF!,#REF!,Planning[[#This Row],[Proyectos]],#REF!,Planning[[#This Row],[Tipo de Tarea y especialidad]])</f>
        <v>#REF!</v>
      </c>
      <c r="O3108" s="19">
        <f t="shared" si="96"/>
        <v>10</v>
      </c>
      <c r="P3108" s="19">
        <f t="shared" si="97"/>
        <v>2024</v>
      </c>
      <c r="Q31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08" s="19" t="str">
        <f>TEXT(Planning[[#This Row],[Mes]]*29,"mmmm")</f>
        <v>October</v>
      </c>
      <c r="S31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08" s="193"/>
      <c r="U3108" s="43">
        <f>IF(Planning[[#This Row],[Horas Planificadas]]&lt;&gt;0,+K3108/Planning[[#This Row],[Horas Planificadas]],0)</f>
        <v>0</v>
      </c>
      <c r="V3108" s="43">
        <f>IF(Planning[[#This Row],[Horas Planificadas]]&lt;&gt;0,Planning[[#This Row],[Horas utilizadas]]/Planning[[#This Row],[Horas Planificadas]],0)</f>
        <v>0</v>
      </c>
      <c r="W3108" s="44">
        <f>Planning[[#This Row],[Horas Planificadas]]+Planning[[#This Row],[Horas ajustadas adicionales]]</f>
        <v>0</v>
      </c>
      <c r="X3108" s="142"/>
    </row>
    <row r="3109" spans="1:24" x14ac:dyDescent="0.2">
      <c r="A3109" s="7" t="s">
        <v>177</v>
      </c>
      <c r="B3109" s="7" t="s">
        <v>178</v>
      </c>
      <c r="C3109" s="3"/>
      <c r="D3109" s="3" t="s">
        <v>595</v>
      </c>
      <c r="E3109" s="4"/>
      <c r="F3109" s="3" t="s">
        <v>121</v>
      </c>
      <c r="G3109" s="20"/>
      <c r="H3109" s="9"/>
      <c r="I3109" s="12"/>
      <c r="J3109" s="5" t="e">
        <f>SUM(SUMIFS(#REF!,#REF!,Planning[[#This Row],[Tipo de Tarea y especialidad]],#REF!,Planning[[#This Row],[Proyectos Reiwa]]),SUMIFS(#REF!,#REF!,Planning[[#This Row],[Tipo de Tarea y especialidad]],#REF!,Planning[[#This Row],[Proyectos]]))</f>
        <v>#REF!</v>
      </c>
      <c r="K3109" s="5" t="e">
        <f>Planning[[#This Row],[Horas Planificadas]]+Planning[[#This Row],[Horas ajustadas adicionales]]-Planning[[#This Row],[Horas utilizadas]]</f>
        <v>#REF!</v>
      </c>
      <c r="L3109" s="7"/>
      <c r="M3109" s="19" t="e">
        <f>Planning[[#This Row],[Saldo]]-Planning[[#This Row],[Saldo estimado]]</f>
        <v>#REF!</v>
      </c>
      <c r="N3109" s="60" t="e">
        <f>+SUMIFS(#REF!,#REF!,Planning[[#This Row],[Proyectos]],#REF!,Planning[[#This Row],[Tipo de Tarea y especialidad]])</f>
        <v>#REF!</v>
      </c>
      <c r="O3109" s="19">
        <f t="shared" si="96"/>
        <v>10</v>
      </c>
      <c r="P3109" s="19">
        <f t="shared" si="97"/>
        <v>2024</v>
      </c>
      <c r="Q31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09" s="19" t="str">
        <f>TEXT(Planning[[#This Row],[Mes]]*29,"mmmm")</f>
        <v>October</v>
      </c>
      <c r="S31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09" s="193"/>
      <c r="U3109" s="43">
        <f>IF(Planning[[#This Row],[Horas Planificadas]]&lt;&gt;0,+K3109/Planning[[#This Row],[Horas Planificadas]],0)</f>
        <v>0</v>
      </c>
      <c r="V3109" s="43">
        <f>IF(Planning[[#This Row],[Horas Planificadas]]&lt;&gt;0,Planning[[#This Row],[Horas utilizadas]]/Planning[[#This Row],[Horas Planificadas]],0)</f>
        <v>0</v>
      </c>
      <c r="W3109" s="44">
        <f>Planning[[#This Row],[Horas Planificadas]]+Planning[[#This Row],[Horas ajustadas adicionales]]</f>
        <v>0</v>
      </c>
      <c r="X3109" s="142"/>
    </row>
    <row r="3110" spans="1:24" x14ac:dyDescent="0.2">
      <c r="A3110" s="7" t="s">
        <v>177</v>
      </c>
      <c r="B3110" s="7" t="s">
        <v>178</v>
      </c>
      <c r="C3110" s="3"/>
      <c r="D3110" s="3" t="s">
        <v>595</v>
      </c>
      <c r="E3110" s="4" t="s">
        <v>30</v>
      </c>
      <c r="F3110" s="3"/>
      <c r="G3110" s="9">
        <v>9</v>
      </c>
      <c r="H3110" s="14">
        <f>SUM(H3111:H3117)</f>
        <v>27</v>
      </c>
      <c r="I3110" s="14"/>
      <c r="J3110" s="14" t="e">
        <f>SUM(J3111:J3117)</f>
        <v>#REF!</v>
      </c>
      <c r="K3110" s="15" t="e">
        <f>SUM(K3111:K3117)</f>
        <v>#REF!</v>
      </c>
      <c r="L3110" s="15">
        <f>SUM(L3111:L3117)</f>
        <v>0</v>
      </c>
      <c r="M3110" s="16" t="e">
        <f>SUM(M3111:M3117)</f>
        <v>#REF!</v>
      </c>
      <c r="N3110" s="60" t="e">
        <f>+SUMIFS(#REF!,#REF!,Planning[[#This Row],[Proyectos]],#REF!,Planning[[#This Row],[Tipo de Tarea y especialidad]])</f>
        <v>#REF!</v>
      </c>
      <c r="O3110" s="16">
        <f t="shared" si="96"/>
        <v>10</v>
      </c>
      <c r="P3110" s="16">
        <f t="shared" si="97"/>
        <v>2024</v>
      </c>
      <c r="Q3110" s="16" t="e">
        <f>SUM(Q3111:Q3117)</f>
        <v>#REF!</v>
      </c>
      <c r="R3110" s="16" t="str">
        <f>TEXT(Planning[[#This Row],[Mes]]*29,"mmmm")</f>
        <v>October</v>
      </c>
      <c r="S31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10" s="193"/>
      <c r="U3110" s="43" t="e">
        <f>IF(Planning[[#This Row],[Horas Planificadas]]&lt;&gt;0,+K3110/Planning[[#This Row],[Horas Planificadas]],0)</f>
        <v>#REF!</v>
      </c>
      <c r="V3110" s="43" t="e">
        <f>IF(Planning[[#This Row],[Horas Planificadas]]&lt;&gt;0,Planning[[#This Row],[Horas utilizadas]]/Planning[[#This Row],[Horas Planificadas]],0)</f>
        <v>#REF!</v>
      </c>
      <c r="W3110" s="44">
        <f>Planning[[#This Row],[Horas Planificadas]]+Planning[[#This Row],[Horas ajustadas adicionales]]</f>
        <v>27</v>
      </c>
      <c r="X3110" s="142"/>
    </row>
    <row r="3111" spans="1:24" x14ac:dyDescent="0.2">
      <c r="A3111" s="7" t="s">
        <v>177</v>
      </c>
      <c r="B3111" s="7" t="s">
        <v>178</v>
      </c>
      <c r="C3111" s="3"/>
      <c r="D3111" s="3" t="s">
        <v>595</v>
      </c>
      <c r="E3111" s="4"/>
      <c r="F3111" s="3" t="s">
        <v>122</v>
      </c>
      <c r="G3111" s="20"/>
      <c r="H3111" s="9"/>
      <c r="I3111" s="12"/>
      <c r="J3111" s="5" t="e">
        <f>SUM(SUMIFS(#REF!,#REF!,Planning[[#This Row],[Tipo de Tarea y especialidad]],#REF!,Planning[[#This Row],[Proyectos Reiwa]]),SUMIFS(#REF!,#REF!,Planning[[#This Row],[Tipo de Tarea y especialidad]],#REF!,Planning[[#This Row],[Proyectos]]))</f>
        <v>#REF!</v>
      </c>
      <c r="K3111" s="5" t="e">
        <f>Planning[[#This Row],[Horas Planificadas]]+Planning[[#This Row],[Horas ajustadas adicionales]]-Planning[[#This Row],[Horas utilizadas]]</f>
        <v>#REF!</v>
      </c>
      <c r="L3111" s="7"/>
      <c r="M3111" s="19" t="e">
        <f>Planning[[#This Row],[Saldo]]-Planning[[#This Row],[Saldo estimado]]</f>
        <v>#REF!</v>
      </c>
      <c r="N3111" s="60" t="e">
        <f>+SUMIFS(#REF!,#REF!,Planning[[#This Row],[Proyectos]],#REF!,Planning[[#This Row],[Tipo de Tarea y especialidad]])</f>
        <v>#REF!</v>
      </c>
      <c r="O3111" s="19">
        <f t="shared" si="96"/>
        <v>10</v>
      </c>
      <c r="P3111" s="19">
        <f t="shared" si="97"/>
        <v>2024</v>
      </c>
      <c r="Q31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11" s="19" t="str">
        <f>TEXT(Planning[[#This Row],[Mes]]*29,"mmmm")</f>
        <v>October</v>
      </c>
      <c r="S31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11" s="193"/>
      <c r="U3111" s="43">
        <f>IF(Planning[[#This Row],[Horas Planificadas]]&lt;&gt;0,+K3111/Planning[[#This Row],[Horas Planificadas]],0)</f>
        <v>0</v>
      </c>
      <c r="V3111" s="43">
        <f>IF(Planning[[#This Row],[Horas Planificadas]]&lt;&gt;0,Planning[[#This Row],[Horas utilizadas]]/Planning[[#This Row],[Horas Planificadas]],0)</f>
        <v>0</v>
      </c>
      <c r="W3111" s="44">
        <f>Planning[[#This Row],[Horas Planificadas]]+Planning[[#This Row],[Horas ajustadas adicionales]]</f>
        <v>0</v>
      </c>
      <c r="X3111" s="142"/>
    </row>
    <row r="3112" spans="1:24" x14ac:dyDescent="0.2">
      <c r="A3112" s="7" t="s">
        <v>177</v>
      </c>
      <c r="B3112" s="7" t="s">
        <v>178</v>
      </c>
      <c r="C3112" s="3"/>
      <c r="D3112" s="3" t="s">
        <v>595</v>
      </c>
      <c r="E3112" s="4"/>
      <c r="F3112" s="3" t="s">
        <v>123</v>
      </c>
      <c r="G3112" s="20"/>
      <c r="H3112" s="9">
        <v>27</v>
      </c>
      <c r="I3112" s="12"/>
      <c r="J3112" s="5" t="e">
        <f>SUM(SUMIFS(#REF!,#REF!,Planning[[#This Row],[Tipo de Tarea y especialidad]],#REF!,Planning[[#This Row],[Proyectos Reiwa]]),SUMIFS(#REF!,#REF!,Planning[[#This Row],[Tipo de Tarea y especialidad]],#REF!,Planning[[#This Row],[Proyectos]]))</f>
        <v>#REF!</v>
      </c>
      <c r="K3112" s="5" t="e">
        <f>Planning[[#This Row],[Horas Planificadas]]+Planning[[#This Row],[Horas ajustadas adicionales]]-Planning[[#This Row],[Horas utilizadas]]</f>
        <v>#REF!</v>
      </c>
      <c r="L3112" s="7"/>
      <c r="M3112" s="19" t="e">
        <f>Planning[[#This Row],[Saldo]]-Planning[[#This Row],[Saldo estimado]]</f>
        <v>#REF!</v>
      </c>
      <c r="N3112" s="60" t="e">
        <f>+SUMIFS(#REF!,#REF!,Planning[[#This Row],[Proyectos]],#REF!,Planning[[#This Row],[Tipo de Tarea y especialidad]])</f>
        <v>#REF!</v>
      </c>
      <c r="O3112" s="19">
        <f t="shared" si="96"/>
        <v>10</v>
      </c>
      <c r="P3112" s="19">
        <f t="shared" si="97"/>
        <v>2024</v>
      </c>
      <c r="Q31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12" s="19" t="str">
        <f>TEXT(Planning[[#This Row],[Mes]]*29,"mmmm")</f>
        <v>October</v>
      </c>
      <c r="S31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12" s="193"/>
      <c r="U3112" s="43" t="e">
        <f>IF(Planning[[#This Row],[Horas Planificadas]]&lt;&gt;0,+K3112/Planning[[#This Row],[Horas Planificadas]],0)</f>
        <v>#REF!</v>
      </c>
      <c r="V3112" s="43" t="e">
        <f>IF(Planning[[#This Row],[Horas Planificadas]]&lt;&gt;0,Planning[[#This Row],[Horas utilizadas]]/Planning[[#This Row],[Horas Planificadas]],0)</f>
        <v>#REF!</v>
      </c>
      <c r="W3112" s="44">
        <f>Planning[[#This Row],[Horas Planificadas]]+Planning[[#This Row],[Horas ajustadas adicionales]]</f>
        <v>27</v>
      </c>
      <c r="X3112" s="142"/>
    </row>
    <row r="3113" spans="1:24" x14ac:dyDescent="0.2">
      <c r="A3113" s="7" t="s">
        <v>177</v>
      </c>
      <c r="B3113" s="7" t="s">
        <v>178</v>
      </c>
      <c r="C3113" s="3"/>
      <c r="D3113" s="3" t="s">
        <v>595</v>
      </c>
      <c r="E3113" s="4"/>
      <c r="F3113" s="3" t="s">
        <v>124</v>
      </c>
      <c r="G3113" s="20"/>
      <c r="H3113" s="9"/>
      <c r="I3113" s="12"/>
      <c r="J3113" s="5" t="e">
        <f>SUM(SUMIFS(#REF!,#REF!,Planning[[#This Row],[Tipo de Tarea y especialidad]],#REF!,Planning[[#This Row],[Proyectos Reiwa]]),SUMIFS(#REF!,#REF!,Planning[[#This Row],[Tipo de Tarea y especialidad]],#REF!,Planning[[#This Row],[Proyectos]]))</f>
        <v>#REF!</v>
      </c>
      <c r="K3113" s="5" t="e">
        <f>Planning[[#This Row],[Horas Planificadas]]+Planning[[#This Row],[Horas ajustadas adicionales]]-Planning[[#This Row],[Horas utilizadas]]</f>
        <v>#REF!</v>
      </c>
      <c r="L3113" s="7"/>
      <c r="M3113" s="19" t="e">
        <f>Planning[[#This Row],[Saldo]]-Planning[[#This Row],[Saldo estimado]]</f>
        <v>#REF!</v>
      </c>
      <c r="N3113" s="60" t="e">
        <f>+SUMIFS(#REF!,#REF!,Planning[[#This Row],[Proyectos]],#REF!,Planning[[#This Row],[Tipo de Tarea y especialidad]])</f>
        <v>#REF!</v>
      </c>
      <c r="O3113" s="19">
        <f t="shared" si="96"/>
        <v>10</v>
      </c>
      <c r="P3113" s="19">
        <f t="shared" si="97"/>
        <v>2024</v>
      </c>
      <c r="Q31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13" s="19" t="str">
        <f>TEXT(Planning[[#This Row],[Mes]]*29,"mmmm")</f>
        <v>October</v>
      </c>
      <c r="S31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13" s="193"/>
      <c r="U3113" s="43">
        <f>IF(Planning[[#This Row],[Horas Planificadas]]&lt;&gt;0,+K3113/Planning[[#This Row],[Horas Planificadas]],0)</f>
        <v>0</v>
      </c>
      <c r="V3113" s="43">
        <f>IF(Planning[[#This Row],[Horas Planificadas]]&lt;&gt;0,Planning[[#This Row],[Horas utilizadas]]/Planning[[#This Row],[Horas Planificadas]],0)</f>
        <v>0</v>
      </c>
      <c r="W3113" s="44">
        <f>Planning[[#This Row],[Horas Planificadas]]+Planning[[#This Row],[Horas ajustadas adicionales]]</f>
        <v>0</v>
      </c>
      <c r="X3113" s="142"/>
    </row>
    <row r="3114" spans="1:24" x14ac:dyDescent="0.2">
      <c r="A3114" s="7" t="s">
        <v>177</v>
      </c>
      <c r="B3114" s="7" t="s">
        <v>178</v>
      </c>
      <c r="C3114" s="3"/>
      <c r="D3114" s="3" t="s">
        <v>595</v>
      </c>
      <c r="E3114" s="4"/>
      <c r="F3114" s="3" t="s">
        <v>125</v>
      </c>
      <c r="G3114" s="20"/>
      <c r="H3114" s="9"/>
      <c r="I3114" s="12"/>
      <c r="J3114" s="5" t="e">
        <f>SUM(SUMIFS(#REF!,#REF!,Planning[[#This Row],[Tipo de Tarea y especialidad]],#REF!,Planning[[#This Row],[Proyectos Reiwa]]),SUMIFS(#REF!,#REF!,Planning[[#This Row],[Tipo de Tarea y especialidad]],#REF!,Planning[[#This Row],[Proyectos]]))</f>
        <v>#REF!</v>
      </c>
      <c r="K3114" s="5" t="e">
        <f>Planning[[#This Row],[Horas Planificadas]]+Planning[[#This Row],[Horas ajustadas adicionales]]-Planning[[#This Row],[Horas utilizadas]]</f>
        <v>#REF!</v>
      </c>
      <c r="L3114" s="7"/>
      <c r="M3114" s="19" t="e">
        <f>Planning[[#This Row],[Saldo]]-Planning[[#This Row],[Saldo estimado]]</f>
        <v>#REF!</v>
      </c>
      <c r="N3114" s="60" t="e">
        <f>+SUMIFS(#REF!,#REF!,Planning[[#This Row],[Proyectos]],#REF!,Planning[[#This Row],[Tipo de Tarea y especialidad]])</f>
        <v>#REF!</v>
      </c>
      <c r="O3114" s="19">
        <f t="shared" si="96"/>
        <v>10</v>
      </c>
      <c r="P3114" s="19">
        <f t="shared" si="97"/>
        <v>2024</v>
      </c>
      <c r="Q31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14" s="19" t="str">
        <f>TEXT(Planning[[#This Row],[Mes]]*29,"mmmm")</f>
        <v>October</v>
      </c>
      <c r="S31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14" s="193"/>
      <c r="U3114" s="43">
        <f>IF(Planning[[#This Row],[Horas Planificadas]]&lt;&gt;0,+K3114/Planning[[#This Row],[Horas Planificadas]],0)</f>
        <v>0</v>
      </c>
      <c r="V3114" s="43">
        <f>IF(Planning[[#This Row],[Horas Planificadas]]&lt;&gt;0,Planning[[#This Row],[Horas utilizadas]]/Planning[[#This Row],[Horas Planificadas]],0)</f>
        <v>0</v>
      </c>
      <c r="W3114" s="44">
        <f>Planning[[#This Row],[Horas Planificadas]]+Planning[[#This Row],[Horas ajustadas adicionales]]</f>
        <v>0</v>
      </c>
      <c r="X3114" s="142"/>
    </row>
    <row r="3115" spans="1:24" x14ac:dyDescent="0.2">
      <c r="A3115" s="7" t="s">
        <v>177</v>
      </c>
      <c r="B3115" s="7" t="s">
        <v>178</v>
      </c>
      <c r="C3115" s="3"/>
      <c r="D3115" s="3" t="s">
        <v>595</v>
      </c>
      <c r="E3115" s="4"/>
      <c r="F3115" s="3" t="s">
        <v>126</v>
      </c>
      <c r="G3115" s="20"/>
      <c r="H3115" s="9"/>
      <c r="I3115" s="12"/>
      <c r="J3115" s="5" t="e">
        <f>SUM(SUMIFS(#REF!,#REF!,Planning[[#This Row],[Tipo de Tarea y especialidad]],#REF!,Planning[[#This Row],[Proyectos Reiwa]]),SUMIFS(#REF!,#REF!,Planning[[#This Row],[Tipo de Tarea y especialidad]],#REF!,Planning[[#This Row],[Proyectos]]))</f>
        <v>#REF!</v>
      </c>
      <c r="K3115" s="5" t="e">
        <f>Planning[[#This Row],[Horas Planificadas]]+Planning[[#This Row],[Horas ajustadas adicionales]]-Planning[[#This Row],[Horas utilizadas]]</f>
        <v>#REF!</v>
      </c>
      <c r="L3115" s="7"/>
      <c r="M3115" s="19" t="e">
        <f>Planning[[#This Row],[Saldo]]-Planning[[#This Row],[Saldo estimado]]</f>
        <v>#REF!</v>
      </c>
      <c r="N3115" s="60" t="e">
        <f>+SUMIFS(#REF!,#REF!,Planning[[#This Row],[Proyectos]],#REF!,Planning[[#This Row],[Tipo de Tarea y especialidad]])</f>
        <v>#REF!</v>
      </c>
      <c r="O3115" s="19">
        <f t="shared" si="96"/>
        <v>10</v>
      </c>
      <c r="P3115" s="19">
        <f t="shared" si="97"/>
        <v>2024</v>
      </c>
      <c r="Q31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15" s="19" t="str">
        <f>TEXT(Planning[[#This Row],[Mes]]*29,"mmmm")</f>
        <v>October</v>
      </c>
      <c r="S31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15" s="193"/>
      <c r="U3115" s="43">
        <f>IF(Planning[[#This Row],[Horas Planificadas]]&lt;&gt;0,+K3115/Planning[[#This Row],[Horas Planificadas]],0)</f>
        <v>0</v>
      </c>
      <c r="V3115" s="43">
        <f>IF(Planning[[#This Row],[Horas Planificadas]]&lt;&gt;0,Planning[[#This Row],[Horas utilizadas]]/Planning[[#This Row],[Horas Planificadas]],0)</f>
        <v>0</v>
      </c>
      <c r="W3115" s="44">
        <f>Planning[[#This Row],[Horas Planificadas]]+Planning[[#This Row],[Horas ajustadas adicionales]]</f>
        <v>0</v>
      </c>
      <c r="X3115" s="142"/>
    </row>
    <row r="3116" spans="1:24" x14ac:dyDescent="0.2">
      <c r="A3116" s="7" t="s">
        <v>177</v>
      </c>
      <c r="B3116" s="7" t="s">
        <v>178</v>
      </c>
      <c r="C3116" s="3"/>
      <c r="D3116" s="3" t="s">
        <v>595</v>
      </c>
      <c r="E3116" s="4"/>
      <c r="F3116" s="3" t="s">
        <v>127</v>
      </c>
      <c r="G3116" s="20"/>
      <c r="H3116" s="9"/>
      <c r="I3116" s="12"/>
      <c r="J3116" s="5" t="e">
        <f>SUM(SUMIFS(#REF!,#REF!,Planning[[#This Row],[Tipo de Tarea y especialidad]],#REF!,Planning[[#This Row],[Proyectos Reiwa]]),SUMIFS(#REF!,#REF!,Planning[[#This Row],[Tipo de Tarea y especialidad]],#REF!,Planning[[#This Row],[Proyectos]]))</f>
        <v>#REF!</v>
      </c>
      <c r="K3116" s="5" t="e">
        <f>Planning[[#This Row],[Horas Planificadas]]+Planning[[#This Row],[Horas ajustadas adicionales]]-Planning[[#This Row],[Horas utilizadas]]</f>
        <v>#REF!</v>
      </c>
      <c r="L3116" s="7"/>
      <c r="M3116" s="19" t="e">
        <f>Planning[[#This Row],[Saldo]]-Planning[[#This Row],[Saldo estimado]]</f>
        <v>#REF!</v>
      </c>
      <c r="N3116" s="60" t="e">
        <f>+SUMIFS(#REF!,#REF!,Planning[[#This Row],[Proyectos]],#REF!,Planning[[#This Row],[Tipo de Tarea y especialidad]])</f>
        <v>#REF!</v>
      </c>
      <c r="O3116" s="19">
        <f t="shared" si="96"/>
        <v>10</v>
      </c>
      <c r="P3116" s="19">
        <f t="shared" si="97"/>
        <v>2024</v>
      </c>
      <c r="Q31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16" s="19" t="str">
        <f>TEXT(Planning[[#This Row],[Mes]]*29,"mmmm")</f>
        <v>October</v>
      </c>
      <c r="S31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16" s="193"/>
      <c r="U3116" s="43">
        <f>IF(Planning[[#This Row],[Horas Planificadas]]&lt;&gt;0,+K3116/Planning[[#This Row],[Horas Planificadas]],0)</f>
        <v>0</v>
      </c>
      <c r="V3116" s="43">
        <f>IF(Planning[[#This Row],[Horas Planificadas]]&lt;&gt;0,Planning[[#This Row],[Horas utilizadas]]/Planning[[#This Row],[Horas Planificadas]],0)</f>
        <v>0</v>
      </c>
      <c r="W3116" s="44">
        <f>Planning[[#This Row],[Horas Planificadas]]+Planning[[#This Row],[Horas ajustadas adicionales]]</f>
        <v>0</v>
      </c>
      <c r="X3116" s="142"/>
    </row>
    <row r="3117" spans="1:24" x14ac:dyDescent="0.2">
      <c r="A3117" s="7" t="s">
        <v>177</v>
      </c>
      <c r="B3117" s="7" t="s">
        <v>178</v>
      </c>
      <c r="C3117" s="3"/>
      <c r="D3117" s="3" t="s">
        <v>595</v>
      </c>
      <c r="E3117" s="4"/>
      <c r="F3117" s="3" t="s">
        <v>128</v>
      </c>
      <c r="G3117" s="20"/>
      <c r="H3117" s="9"/>
      <c r="I3117" s="12"/>
      <c r="J3117" s="5" t="e">
        <f>SUM(SUMIFS(#REF!,#REF!,Planning[[#This Row],[Tipo de Tarea y especialidad]],#REF!,Planning[[#This Row],[Proyectos Reiwa]]),SUMIFS(#REF!,#REF!,Planning[[#This Row],[Tipo de Tarea y especialidad]],#REF!,Planning[[#This Row],[Proyectos]]))</f>
        <v>#REF!</v>
      </c>
      <c r="K3117" s="5" t="e">
        <f>Planning[[#This Row],[Horas Planificadas]]+Planning[[#This Row],[Horas ajustadas adicionales]]-Planning[[#This Row],[Horas utilizadas]]</f>
        <v>#REF!</v>
      </c>
      <c r="L3117" s="7"/>
      <c r="M3117" s="19" t="e">
        <f>Planning[[#This Row],[Saldo]]-Planning[[#This Row],[Saldo estimado]]</f>
        <v>#REF!</v>
      </c>
      <c r="N3117" s="60" t="e">
        <f>+SUMIFS(#REF!,#REF!,Planning[[#This Row],[Proyectos]],#REF!,Planning[[#This Row],[Tipo de Tarea y especialidad]])</f>
        <v>#REF!</v>
      </c>
      <c r="O3117" s="19">
        <f t="shared" si="96"/>
        <v>10</v>
      </c>
      <c r="P3117" s="19">
        <f t="shared" si="97"/>
        <v>2024</v>
      </c>
      <c r="Q31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17" s="19" t="str">
        <f>TEXT(Planning[[#This Row],[Mes]]*29,"mmmm")</f>
        <v>October</v>
      </c>
      <c r="S31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17" s="193"/>
      <c r="U3117" s="43">
        <f>IF(Planning[[#This Row],[Horas Planificadas]]&lt;&gt;0,+K3117/Planning[[#This Row],[Horas Planificadas]],0)</f>
        <v>0</v>
      </c>
      <c r="V3117" s="43">
        <f>IF(Planning[[#This Row],[Horas Planificadas]]&lt;&gt;0,Planning[[#This Row],[Horas utilizadas]]/Planning[[#This Row],[Horas Planificadas]],0)</f>
        <v>0</v>
      </c>
      <c r="W3117" s="44">
        <f>Planning[[#This Row],[Horas Planificadas]]+Planning[[#This Row],[Horas ajustadas adicionales]]</f>
        <v>0</v>
      </c>
      <c r="X3117" s="142"/>
    </row>
    <row r="3118" spans="1:24" x14ac:dyDescent="0.2">
      <c r="A3118" s="7" t="s">
        <v>177</v>
      </c>
      <c r="B3118" s="7" t="s">
        <v>178</v>
      </c>
      <c r="C3118" s="3"/>
      <c r="D3118" s="3" t="s">
        <v>595</v>
      </c>
      <c r="E3118" s="4" t="s">
        <v>31</v>
      </c>
      <c r="F3118" s="3" t="s">
        <v>31</v>
      </c>
      <c r="G3118" s="9">
        <v>9</v>
      </c>
      <c r="H3118" s="17">
        <v>9</v>
      </c>
      <c r="I3118" s="18"/>
      <c r="J3118" s="14" t="e">
        <f>+SUMIFS(#REF!,#REF!,Planning[[#This Row],[Tarifa]],#REF!,Planning[[#This Row],[Proyectos]])</f>
        <v>#REF!</v>
      </c>
      <c r="K3118" s="14" t="e">
        <f>Planning[[#This Row],[Horas Planificadas]]+Planning[[#This Row],[Horas ajustadas adicionales]]-Planning[[#This Row],[Horas utilizadas]]</f>
        <v>#REF!</v>
      </c>
      <c r="L3118" s="15"/>
      <c r="M3118" s="16" t="e">
        <f>Planning[[#This Row],[Saldo]]-Planning[[#This Row],[Saldo estimado]]</f>
        <v>#REF!</v>
      </c>
      <c r="N3118" s="60" t="e">
        <f>+SUMIFS(#REF!,#REF!,Planning[[#This Row],[Proyectos]],#REF!,Planning[[#This Row],[Tipo de Tarea y especialidad]])</f>
        <v>#REF!</v>
      </c>
      <c r="O3118" s="16">
        <f t="shared" si="96"/>
        <v>10</v>
      </c>
      <c r="P3118" s="16">
        <f t="shared" si="97"/>
        <v>2024</v>
      </c>
      <c r="Q3118" s="16" t="e">
        <f>+SUMIFS(#REF!,#REF!,Planning[[#This Row],[Tarifa]],#REF!,Planning[[#This Row],[Proyectos]],#REF!,Planning[[#This Row],[Mes]],#REF!,Planning[[#This Row],[Año]])</f>
        <v>#REF!</v>
      </c>
      <c r="R3118" s="16" t="str">
        <f>TEXT(Planning[[#This Row],[Mes]]*29,"mmmm")</f>
        <v>October</v>
      </c>
      <c r="S31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18" s="193"/>
      <c r="U3118" s="43" t="e">
        <f>IF(Planning[[#This Row],[Horas Planificadas]]&lt;&gt;0,+K3118/Planning[[#This Row],[Horas Planificadas]],0)</f>
        <v>#REF!</v>
      </c>
      <c r="V3118" s="43" t="e">
        <f>IF(Planning[[#This Row],[Horas Planificadas]]&lt;&gt;0,Planning[[#This Row],[Horas utilizadas]]/Planning[[#This Row],[Horas Planificadas]],0)</f>
        <v>#REF!</v>
      </c>
      <c r="W3118" s="44">
        <f>Planning[[#This Row],[Horas Planificadas]]+Planning[[#This Row],[Horas ajustadas adicionales]]</f>
        <v>9</v>
      </c>
      <c r="X3118" s="142"/>
    </row>
    <row r="3119" spans="1:24" ht="22.5" x14ac:dyDescent="0.2">
      <c r="A3119" s="7" t="s">
        <v>177</v>
      </c>
      <c r="B3119" s="7" t="s">
        <v>178</v>
      </c>
      <c r="C3119" s="3"/>
      <c r="D3119" s="3" t="s">
        <v>595</v>
      </c>
      <c r="E3119" s="4" t="s">
        <v>32</v>
      </c>
      <c r="F3119" s="3"/>
      <c r="G3119" s="9">
        <v>40</v>
      </c>
      <c r="H3119" s="14">
        <f>SUM(H3120:H3122)</f>
        <v>40</v>
      </c>
      <c r="I3119" s="14"/>
      <c r="J3119" s="14" t="e">
        <f>SUM(J3120:J3122)</f>
        <v>#REF!</v>
      </c>
      <c r="K3119" s="15" t="e">
        <f>SUM(K3120:K3122)</f>
        <v>#REF!</v>
      </c>
      <c r="L3119" s="15">
        <f>SUM(L3120:L3122)</f>
        <v>0</v>
      </c>
      <c r="M3119" s="16" t="e">
        <f>SUM(M3120:M3122)</f>
        <v>#REF!</v>
      </c>
      <c r="N3119" s="60" t="e">
        <f>+SUMIFS(#REF!,#REF!,Planning[[#This Row],[Proyectos]],#REF!,Planning[[#This Row],[Tipo de Tarea y especialidad]])</f>
        <v>#REF!</v>
      </c>
      <c r="O3119" s="16">
        <f t="shared" si="96"/>
        <v>10</v>
      </c>
      <c r="P3119" s="16">
        <f t="shared" si="97"/>
        <v>2024</v>
      </c>
      <c r="Q3119" s="16" t="e">
        <f>SUM(Q3120:Q3122)</f>
        <v>#REF!</v>
      </c>
      <c r="R3119" s="16" t="str">
        <f>TEXT(Planning[[#This Row],[Mes]]*29,"mmmm")</f>
        <v>October</v>
      </c>
      <c r="S31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19" s="193"/>
      <c r="U3119" s="43" t="e">
        <f>IF(Planning[[#This Row],[Horas Planificadas]]&lt;&gt;0,+K3119/Planning[[#This Row],[Horas Planificadas]],0)</f>
        <v>#REF!</v>
      </c>
      <c r="V3119" s="43" t="e">
        <f>IF(Planning[[#This Row],[Horas Planificadas]]&lt;&gt;0,Planning[[#This Row],[Horas utilizadas]]/Planning[[#This Row],[Horas Planificadas]],0)</f>
        <v>#REF!</v>
      </c>
      <c r="W3119" s="44">
        <f>Planning[[#This Row],[Horas Planificadas]]+Planning[[#This Row],[Horas ajustadas adicionales]]</f>
        <v>40</v>
      </c>
      <c r="X3119" s="142"/>
    </row>
    <row r="3120" spans="1:24" x14ac:dyDescent="0.2">
      <c r="A3120" s="7" t="s">
        <v>177</v>
      </c>
      <c r="B3120" s="7" t="s">
        <v>178</v>
      </c>
      <c r="C3120" s="3"/>
      <c r="D3120" s="3" t="s">
        <v>595</v>
      </c>
      <c r="E3120" s="4"/>
      <c r="F3120" s="3" t="s">
        <v>129</v>
      </c>
      <c r="G3120" s="11"/>
      <c r="H3120" s="9"/>
      <c r="I3120" s="12"/>
      <c r="J3120" s="5" t="e">
        <f>SUM(SUMIFS(#REF!,#REF!,Planning[[#This Row],[Tipo de Tarea y especialidad]],#REF!,Planning[[#This Row],[Proyectos Reiwa]]),SUMIFS(#REF!,#REF!,Planning[[#This Row],[Tipo de Tarea y especialidad]],#REF!,Planning[[#This Row],[Proyectos]]))</f>
        <v>#REF!</v>
      </c>
      <c r="K3120" s="5" t="e">
        <f>Planning[[#This Row],[Horas Planificadas]]+Planning[[#This Row],[Horas ajustadas adicionales]]-Planning[[#This Row],[Horas utilizadas]]</f>
        <v>#REF!</v>
      </c>
      <c r="L3120" s="7"/>
      <c r="M3120" s="19" t="e">
        <f>Planning[[#This Row],[Saldo]]-Planning[[#This Row],[Saldo estimado]]</f>
        <v>#REF!</v>
      </c>
      <c r="N3120" s="60" t="e">
        <f>+SUMIFS(#REF!,#REF!,Planning[[#This Row],[Proyectos]],#REF!,Planning[[#This Row],[Tipo de Tarea y especialidad]])</f>
        <v>#REF!</v>
      </c>
      <c r="O3120" s="19">
        <f t="shared" si="96"/>
        <v>10</v>
      </c>
      <c r="P3120" s="19">
        <f t="shared" si="97"/>
        <v>2024</v>
      </c>
      <c r="Q31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20" s="19" t="str">
        <f>TEXT(Planning[[#This Row],[Mes]]*29,"mmmm")</f>
        <v>October</v>
      </c>
      <c r="S31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20" s="193"/>
      <c r="U3120" s="43">
        <f>IF(Planning[[#This Row],[Horas Planificadas]]&lt;&gt;0,+K3120/Planning[[#This Row],[Horas Planificadas]],0)</f>
        <v>0</v>
      </c>
      <c r="V3120" s="43">
        <f>IF(Planning[[#This Row],[Horas Planificadas]]&lt;&gt;0,Planning[[#This Row],[Horas utilizadas]]/Planning[[#This Row],[Horas Planificadas]],0)</f>
        <v>0</v>
      </c>
      <c r="W3120" s="44">
        <f>Planning[[#This Row],[Horas Planificadas]]+Planning[[#This Row],[Horas ajustadas adicionales]]</f>
        <v>0</v>
      </c>
      <c r="X3120" s="142"/>
    </row>
    <row r="3121" spans="1:24" x14ac:dyDescent="0.2">
      <c r="A3121" s="7" t="s">
        <v>177</v>
      </c>
      <c r="B3121" s="7" t="s">
        <v>178</v>
      </c>
      <c r="C3121" s="3"/>
      <c r="D3121" s="3" t="s">
        <v>595</v>
      </c>
      <c r="E3121" s="4"/>
      <c r="F3121" s="3" t="s">
        <v>130</v>
      </c>
      <c r="G3121" s="11"/>
      <c r="H3121" s="9">
        <v>40</v>
      </c>
      <c r="I3121" s="12"/>
      <c r="J3121" s="5" t="e">
        <f>SUM(SUMIFS(#REF!,#REF!,Planning[[#This Row],[Tipo de Tarea y especialidad]],#REF!,Planning[[#This Row],[Proyectos Reiwa]]),SUMIFS(#REF!,#REF!,Planning[[#This Row],[Tipo de Tarea y especialidad]],#REF!,Planning[[#This Row],[Proyectos]]))</f>
        <v>#REF!</v>
      </c>
      <c r="K3121" s="5" t="e">
        <f>Planning[[#This Row],[Horas Planificadas]]+Planning[[#This Row],[Horas ajustadas adicionales]]-Planning[[#This Row],[Horas utilizadas]]</f>
        <v>#REF!</v>
      </c>
      <c r="L3121" s="7">
        <v>0</v>
      </c>
      <c r="M3121" s="19" t="e">
        <f>Planning[[#This Row],[Saldo]]-Planning[[#This Row],[Saldo estimado]]</f>
        <v>#REF!</v>
      </c>
      <c r="N3121" s="60" t="e">
        <f>+SUMIFS(#REF!,#REF!,Planning[[#This Row],[Proyectos]],#REF!,Planning[[#This Row],[Tipo de Tarea y especialidad]])</f>
        <v>#REF!</v>
      </c>
      <c r="O3121" s="19">
        <f t="shared" si="96"/>
        <v>10</v>
      </c>
      <c r="P3121" s="19">
        <f t="shared" si="97"/>
        <v>2024</v>
      </c>
      <c r="Q31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21" s="19" t="str">
        <f>TEXT(Planning[[#This Row],[Mes]]*29,"mmmm")</f>
        <v>October</v>
      </c>
      <c r="S31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21" s="193"/>
      <c r="U3121" s="43" t="e">
        <f>IF(Planning[[#This Row],[Horas Planificadas]]&lt;&gt;0,+K3121/Planning[[#This Row],[Horas Planificadas]],0)</f>
        <v>#REF!</v>
      </c>
      <c r="V3121" s="43" t="e">
        <f>IF(Planning[[#This Row],[Horas Planificadas]]&lt;&gt;0,Planning[[#This Row],[Horas utilizadas]]/Planning[[#This Row],[Horas Planificadas]],0)</f>
        <v>#REF!</v>
      </c>
      <c r="W3121" s="44">
        <f>Planning[[#This Row],[Horas Planificadas]]+Planning[[#This Row],[Horas ajustadas adicionales]]</f>
        <v>40</v>
      </c>
      <c r="X3121" s="142"/>
    </row>
    <row r="3122" spans="1:24" x14ac:dyDescent="0.2">
      <c r="A3122" s="7" t="s">
        <v>177</v>
      </c>
      <c r="B3122" s="7" t="s">
        <v>178</v>
      </c>
      <c r="C3122" s="3"/>
      <c r="D3122" s="3" t="s">
        <v>595</v>
      </c>
      <c r="E3122" s="4"/>
      <c r="F3122" s="3" t="s">
        <v>131</v>
      </c>
      <c r="G3122" s="11"/>
      <c r="H3122" s="9"/>
      <c r="I3122" s="12"/>
      <c r="J3122" s="5" t="e">
        <f>SUM(SUMIFS(#REF!,#REF!,Planning[[#This Row],[Tipo de Tarea y especialidad]],#REF!,Planning[[#This Row],[Proyectos Reiwa]]),SUMIFS(#REF!,#REF!,Planning[[#This Row],[Tipo de Tarea y especialidad]],#REF!,Planning[[#This Row],[Proyectos]]))</f>
        <v>#REF!</v>
      </c>
      <c r="K3122" s="5" t="e">
        <f>Planning[[#This Row],[Horas Planificadas]]+Planning[[#This Row],[Horas ajustadas adicionales]]-Planning[[#This Row],[Horas utilizadas]]</f>
        <v>#REF!</v>
      </c>
      <c r="L3122" s="7"/>
      <c r="M3122" s="19" t="e">
        <f>Planning[[#This Row],[Saldo]]-Planning[[#This Row],[Saldo estimado]]</f>
        <v>#REF!</v>
      </c>
      <c r="N3122" s="60" t="e">
        <f>+SUMIFS(#REF!,#REF!,Planning[[#This Row],[Proyectos]],#REF!,Planning[[#This Row],[Tipo de Tarea y especialidad]])</f>
        <v>#REF!</v>
      </c>
      <c r="O3122" s="19">
        <f t="shared" si="96"/>
        <v>10</v>
      </c>
      <c r="P3122" s="19">
        <f t="shared" si="97"/>
        <v>2024</v>
      </c>
      <c r="Q31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22" s="19" t="str">
        <f>TEXT(Planning[[#This Row],[Mes]]*29,"mmmm")</f>
        <v>October</v>
      </c>
      <c r="S31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22" s="193"/>
      <c r="U3122" s="43">
        <f>IF(Planning[[#This Row],[Horas Planificadas]]&lt;&gt;0,+K3122/Planning[[#This Row],[Horas Planificadas]],0)</f>
        <v>0</v>
      </c>
      <c r="V3122" s="43">
        <f>IF(Planning[[#This Row],[Horas Planificadas]]&lt;&gt;0,Planning[[#This Row],[Horas utilizadas]]/Planning[[#This Row],[Horas Planificadas]],0)</f>
        <v>0</v>
      </c>
      <c r="W3122" s="44">
        <f>Planning[[#This Row],[Horas Planificadas]]+Planning[[#This Row],[Horas ajustadas adicionales]]</f>
        <v>0</v>
      </c>
      <c r="X3122" s="142"/>
    </row>
    <row r="3123" spans="1:24" ht="22.5" x14ac:dyDescent="0.2">
      <c r="A3123" s="7" t="s">
        <v>389</v>
      </c>
      <c r="B3123" s="7" t="s">
        <v>393</v>
      </c>
      <c r="C3123" s="3"/>
      <c r="D3123" s="3" t="s">
        <v>597</v>
      </c>
      <c r="E3123" s="4" t="s">
        <v>28</v>
      </c>
      <c r="F3123" s="3"/>
      <c r="G3123" s="20">
        <v>213</v>
      </c>
      <c r="H3123" s="14">
        <f>SUM(H3124:H3125)</f>
        <v>213</v>
      </c>
      <c r="I3123" s="14"/>
      <c r="J3123" s="14" t="e">
        <f>SUM(J3124:J3125)</f>
        <v>#REF!</v>
      </c>
      <c r="K3123" s="15" t="e">
        <f>SUM(K3124:K3125)</f>
        <v>#REF!</v>
      </c>
      <c r="L3123" s="15">
        <f>SUM(L3124:L3125)</f>
        <v>0</v>
      </c>
      <c r="M3123" s="14" t="e">
        <f>SUM(M3124:M3125)</f>
        <v>#REF!</v>
      </c>
      <c r="N3123" s="66" t="e">
        <f>+SUMIFS(#REF!,#REF!,Planning[[#This Row],[Proyectos]],#REF!,Planning[[#This Row],[Tipo de Tarea y especialidad]])</f>
        <v>#REF!</v>
      </c>
      <c r="O3123" s="14">
        <f t="shared" si="96"/>
        <v>10</v>
      </c>
      <c r="P3123" s="14">
        <f t="shared" si="97"/>
        <v>2024</v>
      </c>
      <c r="Q3123" s="28" t="e">
        <f>SUM(Q3124:Q3125)</f>
        <v>#REF!</v>
      </c>
      <c r="R3123" s="28" t="str">
        <f>TEXT(Planning[[#This Row],[Mes]]*29,"mmmm")</f>
        <v>October</v>
      </c>
      <c r="S31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23" s="192" t="s">
        <v>598</v>
      </c>
      <c r="U3123" s="43" t="e">
        <f>IF(Planning[[#This Row],[Horas Planificadas]]&lt;&gt;0,+K3123/Planning[[#This Row],[Horas Planificadas]],0)</f>
        <v>#REF!</v>
      </c>
      <c r="V3123" s="43" t="e">
        <f>IF(Planning[[#This Row],[Horas Planificadas]]&lt;&gt;0,Planning[[#This Row],[Horas utilizadas]]/Planning[[#This Row],[Horas Planificadas]],0)</f>
        <v>#REF!</v>
      </c>
      <c r="W3123" s="44">
        <f>Planning[[#This Row],[Horas Planificadas]]+Planning[[#This Row],[Horas ajustadas adicionales]]</f>
        <v>213</v>
      </c>
      <c r="X3123" s="142"/>
    </row>
    <row r="3124" spans="1:24" x14ac:dyDescent="0.2">
      <c r="A3124" s="7" t="s">
        <v>389</v>
      </c>
      <c r="B3124" s="7" t="s">
        <v>393</v>
      </c>
      <c r="C3124" s="3"/>
      <c r="D3124" s="3" t="s">
        <v>597</v>
      </c>
      <c r="E3124" s="4"/>
      <c r="F3124" s="3" t="s">
        <v>120</v>
      </c>
      <c r="G3124" s="20"/>
      <c r="H3124" s="9">
        <v>180</v>
      </c>
      <c r="I3124" s="12"/>
      <c r="J3124" s="5" t="e">
        <f>SUM(SUMIFS(#REF!,#REF!,Planning[[#This Row],[Tipo de Tarea y especialidad]],#REF!,Planning[[#This Row],[Proyectos Reiwa]]),SUMIFS(#REF!,#REF!,Planning[[#This Row],[Tipo de Tarea y especialidad]],#REF!,Planning[[#This Row],[Proyectos]]))</f>
        <v>#REF!</v>
      </c>
      <c r="K3124" s="5" t="e">
        <f>Planning[[#This Row],[Horas Planificadas]]+Planning[[#This Row],[Horas ajustadas adicionales]]-Planning[[#This Row],[Horas utilizadas]]</f>
        <v>#REF!</v>
      </c>
      <c r="L3124" s="7">
        <v>0</v>
      </c>
      <c r="M3124" s="19" t="e">
        <f>Planning[[#This Row],[Saldo]]-Planning[[#This Row],[Saldo estimado]]</f>
        <v>#REF!</v>
      </c>
      <c r="N3124" s="60" t="e">
        <f>+SUMIFS(#REF!,#REF!,Planning[[#This Row],[Proyectos]],#REF!,Planning[[#This Row],[Tipo de Tarea y especialidad]])</f>
        <v>#REF!</v>
      </c>
      <c r="O3124" s="19">
        <f t="shared" si="96"/>
        <v>10</v>
      </c>
      <c r="P3124" s="19">
        <f t="shared" si="97"/>
        <v>2024</v>
      </c>
      <c r="Q31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24" s="19" t="str">
        <f>TEXT(Planning[[#This Row],[Mes]]*29,"mmmm")</f>
        <v>October</v>
      </c>
      <c r="S31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24" s="193"/>
      <c r="U3124" s="43" t="e">
        <f>IF(Planning[[#This Row],[Horas Planificadas]]&lt;&gt;0,+K3124/Planning[[#This Row],[Horas Planificadas]],0)</f>
        <v>#REF!</v>
      </c>
      <c r="V3124" s="43" t="e">
        <f>IF(Planning[[#This Row],[Horas Planificadas]]&lt;&gt;0,Planning[[#This Row],[Horas utilizadas]]/Planning[[#This Row],[Horas Planificadas]],0)</f>
        <v>#REF!</v>
      </c>
      <c r="W3124" s="44">
        <f>Planning[[#This Row],[Horas Planificadas]]+Planning[[#This Row],[Horas ajustadas adicionales]]</f>
        <v>180</v>
      </c>
      <c r="X3124" s="142"/>
    </row>
    <row r="3125" spans="1:24" x14ac:dyDescent="0.2">
      <c r="A3125" s="7" t="s">
        <v>389</v>
      </c>
      <c r="B3125" s="7" t="s">
        <v>393</v>
      </c>
      <c r="C3125" s="3"/>
      <c r="D3125" s="3" t="s">
        <v>597</v>
      </c>
      <c r="E3125" s="4"/>
      <c r="F3125" s="3" t="s">
        <v>121</v>
      </c>
      <c r="G3125" s="20"/>
      <c r="H3125" s="9">
        <v>33</v>
      </c>
      <c r="I3125" s="12"/>
      <c r="J3125" s="5" t="e">
        <f>SUM(SUMIFS(#REF!,#REF!,Planning[[#This Row],[Tipo de Tarea y especialidad]],#REF!,Planning[[#This Row],[Proyectos Reiwa]]),SUMIFS(#REF!,#REF!,Planning[[#This Row],[Tipo de Tarea y especialidad]],#REF!,Planning[[#This Row],[Proyectos]]))</f>
        <v>#REF!</v>
      </c>
      <c r="K3125" s="5" t="e">
        <f>Planning[[#This Row],[Horas Planificadas]]+Planning[[#This Row],[Horas ajustadas adicionales]]-Planning[[#This Row],[Horas utilizadas]]</f>
        <v>#REF!</v>
      </c>
      <c r="L3125" s="7">
        <v>0</v>
      </c>
      <c r="M3125" s="19" t="e">
        <f>Planning[[#This Row],[Saldo]]-Planning[[#This Row],[Saldo estimado]]</f>
        <v>#REF!</v>
      </c>
      <c r="N3125" s="60" t="e">
        <f>+SUMIFS(#REF!,#REF!,Planning[[#This Row],[Proyectos]],#REF!,Planning[[#This Row],[Tipo de Tarea y especialidad]])</f>
        <v>#REF!</v>
      </c>
      <c r="O3125" s="19">
        <f t="shared" si="96"/>
        <v>10</v>
      </c>
      <c r="P3125" s="19">
        <f t="shared" si="97"/>
        <v>2024</v>
      </c>
      <c r="Q31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25" s="19" t="str">
        <f>TEXT(Planning[[#This Row],[Mes]]*29,"mmmm")</f>
        <v>October</v>
      </c>
      <c r="S31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25" s="193"/>
      <c r="U3125" s="43" t="e">
        <f>IF(Planning[[#This Row],[Horas Planificadas]]&lt;&gt;0,+K3125/Planning[[#This Row],[Horas Planificadas]],0)</f>
        <v>#REF!</v>
      </c>
      <c r="V3125" s="43" t="e">
        <f>IF(Planning[[#This Row],[Horas Planificadas]]&lt;&gt;0,Planning[[#This Row],[Horas utilizadas]]/Planning[[#This Row],[Horas Planificadas]],0)</f>
        <v>#REF!</v>
      </c>
      <c r="W3125" s="44">
        <f>Planning[[#This Row],[Horas Planificadas]]+Planning[[#This Row],[Horas ajustadas adicionales]]</f>
        <v>33</v>
      </c>
      <c r="X3125" s="142"/>
    </row>
    <row r="3126" spans="1:24" x14ac:dyDescent="0.2">
      <c r="A3126" s="7" t="s">
        <v>389</v>
      </c>
      <c r="B3126" s="7" t="s">
        <v>393</v>
      </c>
      <c r="C3126" s="3"/>
      <c r="D3126" s="3" t="s">
        <v>597</v>
      </c>
      <c r="E3126" s="4" t="s">
        <v>30</v>
      </c>
      <c r="F3126" s="3"/>
      <c r="G3126" s="20">
        <v>167</v>
      </c>
      <c r="H3126" s="14">
        <f>SUM(H3127:H3133)</f>
        <v>167</v>
      </c>
      <c r="I3126" s="14"/>
      <c r="J3126" s="14" t="e">
        <f>SUM(J3127:J3133)</f>
        <v>#REF!</v>
      </c>
      <c r="K3126" s="15" t="e">
        <f>SUM(K3127:K3133)</f>
        <v>#REF!</v>
      </c>
      <c r="L3126" s="15">
        <f>SUM(L3127:L3133)</f>
        <v>100</v>
      </c>
      <c r="M3126" s="16" t="e">
        <f>SUM(M3127:M3133)</f>
        <v>#REF!</v>
      </c>
      <c r="N3126" s="60" t="e">
        <f>+SUMIFS(#REF!,#REF!,Planning[[#This Row],[Proyectos]],#REF!,Planning[[#This Row],[Tipo de Tarea y especialidad]])</f>
        <v>#REF!</v>
      </c>
      <c r="O3126" s="16">
        <f t="shared" si="96"/>
        <v>10</v>
      </c>
      <c r="P3126" s="16">
        <f t="shared" si="97"/>
        <v>2024</v>
      </c>
      <c r="Q3126" s="16" t="e">
        <f>SUM(Q3127:Q3133)</f>
        <v>#REF!</v>
      </c>
      <c r="R3126" s="16" t="str">
        <f>TEXT(Planning[[#This Row],[Mes]]*29,"mmmm")</f>
        <v>October</v>
      </c>
      <c r="S31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26" s="193"/>
      <c r="U3126" s="43" t="e">
        <f>IF(Planning[[#This Row],[Horas Planificadas]]&lt;&gt;0,+K3126/Planning[[#This Row],[Horas Planificadas]],0)</f>
        <v>#REF!</v>
      </c>
      <c r="V3126" s="43" t="e">
        <f>IF(Planning[[#This Row],[Horas Planificadas]]&lt;&gt;0,Planning[[#This Row],[Horas utilizadas]]/Planning[[#This Row],[Horas Planificadas]],0)</f>
        <v>#REF!</v>
      </c>
      <c r="W3126" s="44">
        <f>Planning[[#This Row],[Horas Planificadas]]+Planning[[#This Row],[Horas ajustadas adicionales]]</f>
        <v>167</v>
      </c>
      <c r="X3126" s="142"/>
    </row>
    <row r="3127" spans="1:24" x14ac:dyDescent="0.2">
      <c r="A3127" s="7" t="s">
        <v>389</v>
      </c>
      <c r="B3127" s="7" t="s">
        <v>393</v>
      </c>
      <c r="C3127" s="3"/>
      <c r="D3127" s="3" t="s">
        <v>597</v>
      </c>
      <c r="E3127" s="4"/>
      <c r="F3127" s="3" t="s">
        <v>122</v>
      </c>
      <c r="G3127" s="20"/>
      <c r="H3127" s="9"/>
      <c r="I3127" s="12"/>
      <c r="J3127" s="5" t="e">
        <f>SUM(SUMIFS(#REF!,#REF!,Planning[[#This Row],[Tipo de Tarea y especialidad]],#REF!,Planning[[#This Row],[Proyectos Reiwa]]),SUMIFS(#REF!,#REF!,Planning[[#This Row],[Tipo de Tarea y especialidad]],#REF!,Planning[[#This Row],[Proyectos]]))</f>
        <v>#REF!</v>
      </c>
      <c r="K3127" s="5" t="e">
        <f>Planning[[#This Row],[Horas Planificadas]]+Planning[[#This Row],[Horas ajustadas adicionales]]-Planning[[#This Row],[Horas utilizadas]]</f>
        <v>#REF!</v>
      </c>
      <c r="L3127" s="7"/>
      <c r="M3127" s="19" t="e">
        <f>Planning[[#This Row],[Saldo]]-Planning[[#This Row],[Saldo estimado]]</f>
        <v>#REF!</v>
      </c>
      <c r="N3127" s="60" t="e">
        <f>+SUMIFS(#REF!,#REF!,Planning[[#This Row],[Proyectos]],#REF!,Planning[[#This Row],[Tipo de Tarea y especialidad]])</f>
        <v>#REF!</v>
      </c>
      <c r="O3127" s="19">
        <f t="shared" si="96"/>
        <v>10</v>
      </c>
      <c r="P3127" s="19">
        <f t="shared" si="97"/>
        <v>2024</v>
      </c>
      <c r="Q31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27" s="19" t="str">
        <f>TEXT(Planning[[#This Row],[Mes]]*29,"mmmm")</f>
        <v>October</v>
      </c>
      <c r="S31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27" s="193"/>
      <c r="U3127" s="43">
        <f>IF(Planning[[#This Row],[Horas Planificadas]]&lt;&gt;0,+K3127/Planning[[#This Row],[Horas Planificadas]],0)</f>
        <v>0</v>
      </c>
      <c r="V3127" s="43">
        <f>IF(Planning[[#This Row],[Horas Planificadas]]&lt;&gt;0,Planning[[#This Row],[Horas utilizadas]]/Planning[[#This Row],[Horas Planificadas]],0)</f>
        <v>0</v>
      </c>
      <c r="W3127" s="44">
        <f>Planning[[#This Row],[Horas Planificadas]]+Planning[[#This Row],[Horas ajustadas adicionales]]</f>
        <v>0</v>
      </c>
      <c r="X3127" s="142"/>
    </row>
    <row r="3128" spans="1:24" x14ac:dyDescent="0.2">
      <c r="A3128" s="7" t="s">
        <v>389</v>
      </c>
      <c r="B3128" s="7" t="s">
        <v>393</v>
      </c>
      <c r="C3128" s="3"/>
      <c r="D3128" s="3" t="s">
        <v>597</v>
      </c>
      <c r="E3128" s="4"/>
      <c r="F3128" s="3" t="s">
        <v>123</v>
      </c>
      <c r="G3128" s="20"/>
      <c r="H3128" s="9"/>
      <c r="I3128" s="12"/>
      <c r="J3128" s="5" t="e">
        <f>SUM(SUMIFS(#REF!,#REF!,Planning[[#This Row],[Tipo de Tarea y especialidad]],#REF!,Planning[[#This Row],[Proyectos Reiwa]]),SUMIFS(#REF!,#REF!,Planning[[#This Row],[Tipo de Tarea y especialidad]],#REF!,Planning[[#This Row],[Proyectos]]))</f>
        <v>#REF!</v>
      </c>
      <c r="K3128" s="5" t="e">
        <f>Planning[[#This Row],[Horas Planificadas]]+Planning[[#This Row],[Horas ajustadas adicionales]]-Planning[[#This Row],[Horas utilizadas]]</f>
        <v>#REF!</v>
      </c>
      <c r="L3128" s="7"/>
      <c r="M3128" s="19" t="e">
        <f>Planning[[#This Row],[Saldo]]-Planning[[#This Row],[Saldo estimado]]</f>
        <v>#REF!</v>
      </c>
      <c r="N3128" s="60" t="e">
        <f>+SUMIFS(#REF!,#REF!,Planning[[#This Row],[Proyectos]],#REF!,Planning[[#This Row],[Tipo de Tarea y especialidad]])</f>
        <v>#REF!</v>
      </c>
      <c r="O3128" s="19">
        <f t="shared" si="96"/>
        <v>10</v>
      </c>
      <c r="P3128" s="19">
        <f t="shared" si="97"/>
        <v>2024</v>
      </c>
      <c r="Q31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28" s="19" t="str">
        <f>TEXT(Planning[[#This Row],[Mes]]*29,"mmmm")</f>
        <v>October</v>
      </c>
      <c r="S31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28" s="193"/>
      <c r="U3128" s="43">
        <f>IF(Planning[[#This Row],[Horas Planificadas]]&lt;&gt;0,+K3128/Planning[[#This Row],[Horas Planificadas]],0)</f>
        <v>0</v>
      </c>
      <c r="V3128" s="43">
        <f>IF(Planning[[#This Row],[Horas Planificadas]]&lt;&gt;0,Planning[[#This Row],[Horas utilizadas]]/Planning[[#This Row],[Horas Planificadas]],0)</f>
        <v>0</v>
      </c>
      <c r="W3128" s="44">
        <f>Planning[[#This Row],[Horas Planificadas]]+Planning[[#This Row],[Horas ajustadas adicionales]]</f>
        <v>0</v>
      </c>
      <c r="X3128" s="142"/>
    </row>
    <row r="3129" spans="1:24" x14ac:dyDescent="0.2">
      <c r="A3129" s="7" t="s">
        <v>389</v>
      </c>
      <c r="B3129" s="7" t="s">
        <v>393</v>
      </c>
      <c r="C3129" s="3"/>
      <c r="D3129" s="3" t="s">
        <v>597</v>
      </c>
      <c r="E3129" s="4"/>
      <c r="F3129" s="3" t="s">
        <v>124</v>
      </c>
      <c r="G3129" s="20"/>
      <c r="H3129" s="9">
        <v>167</v>
      </c>
      <c r="I3129" s="12"/>
      <c r="J3129" s="5" t="e">
        <f>SUM(SUMIFS(#REF!,#REF!,Planning[[#This Row],[Tipo de Tarea y especialidad]],#REF!,Planning[[#This Row],[Proyectos Reiwa]]),SUMIFS(#REF!,#REF!,Planning[[#This Row],[Tipo de Tarea y especialidad]],#REF!,Planning[[#This Row],[Proyectos]]))</f>
        <v>#REF!</v>
      </c>
      <c r="K3129" s="5" t="e">
        <f>Planning[[#This Row],[Horas Planificadas]]+Planning[[#This Row],[Horas ajustadas adicionales]]-Planning[[#This Row],[Horas utilizadas]]</f>
        <v>#REF!</v>
      </c>
      <c r="L3129" s="7"/>
      <c r="M3129" s="19" t="e">
        <f>Planning[[#This Row],[Saldo]]-Planning[[#This Row],[Saldo estimado]]</f>
        <v>#REF!</v>
      </c>
      <c r="N3129" s="60" t="e">
        <f>+SUMIFS(#REF!,#REF!,Planning[[#This Row],[Proyectos]],#REF!,Planning[[#This Row],[Tipo de Tarea y especialidad]])</f>
        <v>#REF!</v>
      </c>
      <c r="O3129" s="19">
        <f t="shared" si="96"/>
        <v>10</v>
      </c>
      <c r="P3129" s="19">
        <f t="shared" si="97"/>
        <v>2024</v>
      </c>
      <c r="Q31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29" s="19" t="str">
        <f>TEXT(Planning[[#This Row],[Mes]]*29,"mmmm")</f>
        <v>October</v>
      </c>
      <c r="S31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29" s="193"/>
      <c r="U3129" s="43" t="e">
        <f>IF(Planning[[#This Row],[Horas Planificadas]]&lt;&gt;0,+K3129/Planning[[#This Row],[Horas Planificadas]],0)</f>
        <v>#REF!</v>
      </c>
      <c r="V3129" s="43" t="e">
        <f>IF(Planning[[#This Row],[Horas Planificadas]]&lt;&gt;0,Planning[[#This Row],[Horas utilizadas]]/Planning[[#This Row],[Horas Planificadas]],0)</f>
        <v>#REF!</v>
      </c>
      <c r="W3129" s="44">
        <f>Planning[[#This Row],[Horas Planificadas]]+Planning[[#This Row],[Horas ajustadas adicionales]]</f>
        <v>167</v>
      </c>
      <c r="X3129" s="142"/>
    </row>
    <row r="3130" spans="1:24" x14ac:dyDescent="0.2">
      <c r="A3130" s="7" t="s">
        <v>389</v>
      </c>
      <c r="B3130" s="7" t="s">
        <v>393</v>
      </c>
      <c r="C3130" s="3"/>
      <c r="D3130" s="3" t="s">
        <v>597</v>
      </c>
      <c r="E3130" s="4"/>
      <c r="F3130" s="3" t="s">
        <v>125</v>
      </c>
      <c r="G3130" s="20"/>
      <c r="H3130" s="9"/>
      <c r="I3130" s="12"/>
      <c r="J3130" s="5" t="e">
        <f>SUM(SUMIFS(#REF!,#REF!,Planning[[#This Row],[Tipo de Tarea y especialidad]],#REF!,Planning[[#This Row],[Proyectos Reiwa]]),SUMIFS(#REF!,#REF!,Planning[[#This Row],[Tipo de Tarea y especialidad]],#REF!,Planning[[#This Row],[Proyectos]]))</f>
        <v>#REF!</v>
      </c>
      <c r="K3130" s="5" t="e">
        <f>Planning[[#This Row],[Horas Planificadas]]+Planning[[#This Row],[Horas ajustadas adicionales]]-Planning[[#This Row],[Horas utilizadas]]</f>
        <v>#REF!</v>
      </c>
      <c r="L3130" s="7">
        <v>0</v>
      </c>
      <c r="M3130" s="19" t="e">
        <f>Planning[[#This Row],[Saldo]]-Planning[[#This Row],[Saldo estimado]]</f>
        <v>#REF!</v>
      </c>
      <c r="N3130" s="60" t="e">
        <f>+SUMIFS(#REF!,#REF!,Planning[[#This Row],[Proyectos]],#REF!,Planning[[#This Row],[Tipo de Tarea y especialidad]])</f>
        <v>#REF!</v>
      </c>
      <c r="O3130" s="19">
        <f t="shared" si="96"/>
        <v>10</v>
      </c>
      <c r="P3130" s="19">
        <f t="shared" si="97"/>
        <v>2024</v>
      </c>
      <c r="Q31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30" s="19" t="str">
        <f>TEXT(Planning[[#This Row],[Mes]]*29,"mmmm")</f>
        <v>October</v>
      </c>
      <c r="S31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30" s="193"/>
      <c r="U3130" s="43">
        <f>IF(Planning[[#This Row],[Horas Planificadas]]&lt;&gt;0,+K3130/Planning[[#This Row],[Horas Planificadas]],0)</f>
        <v>0</v>
      </c>
      <c r="V3130" s="43">
        <f>IF(Planning[[#This Row],[Horas Planificadas]]&lt;&gt;0,Planning[[#This Row],[Horas utilizadas]]/Planning[[#This Row],[Horas Planificadas]],0)</f>
        <v>0</v>
      </c>
      <c r="W3130" s="44">
        <f>Planning[[#This Row],[Horas Planificadas]]+Planning[[#This Row],[Horas ajustadas adicionales]]</f>
        <v>0</v>
      </c>
      <c r="X3130" s="142"/>
    </row>
    <row r="3131" spans="1:24" x14ac:dyDescent="0.2">
      <c r="A3131" s="7" t="s">
        <v>389</v>
      </c>
      <c r="B3131" s="7" t="s">
        <v>393</v>
      </c>
      <c r="C3131" s="3"/>
      <c r="D3131" s="3" t="s">
        <v>597</v>
      </c>
      <c r="E3131" s="4"/>
      <c r="F3131" s="3" t="s">
        <v>126</v>
      </c>
      <c r="G3131" s="20"/>
      <c r="H3131" s="9"/>
      <c r="I3131" s="12"/>
      <c r="J3131" s="5" t="e">
        <f>SUM(SUMIFS(#REF!,#REF!,Planning[[#This Row],[Tipo de Tarea y especialidad]],#REF!,Planning[[#This Row],[Proyectos Reiwa]]),SUMIFS(#REF!,#REF!,Planning[[#This Row],[Tipo de Tarea y especialidad]],#REF!,Planning[[#This Row],[Proyectos]]))</f>
        <v>#REF!</v>
      </c>
      <c r="K3131" s="5" t="e">
        <f>Planning[[#This Row],[Horas Planificadas]]+Planning[[#This Row],[Horas ajustadas adicionales]]-Planning[[#This Row],[Horas utilizadas]]</f>
        <v>#REF!</v>
      </c>
      <c r="L3131" s="7"/>
      <c r="M3131" s="19" t="e">
        <f>Planning[[#This Row],[Saldo]]-Planning[[#This Row],[Saldo estimado]]</f>
        <v>#REF!</v>
      </c>
      <c r="N3131" s="60" t="e">
        <f>+SUMIFS(#REF!,#REF!,Planning[[#This Row],[Proyectos]],#REF!,Planning[[#This Row],[Tipo de Tarea y especialidad]])</f>
        <v>#REF!</v>
      </c>
      <c r="O3131" s="19">
        <f t="shared" si="96"/>
        <v>10</v>
      </c>
      <c r="P3131" s="19">
        <f t="shared" si="97"/>
        <v>2024</v>
      </c>
      <c r="Q31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31" s="19" t="str">
        <f>TEXT(Planning[[#This Row],[Mes]]*29,"mmmm")</f>
        <v>October</v>
      </c>
      <c r="S31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31" s="193"/>
      <c r="U3131" s="43">
        <f>IF(Planning[[#This Row],[Horas Planificadas]]&lt;&gt;0,+K3131/Planning[[#This Row],[Horas Planificadas]],0)</f>
        <v>0</v>
      </c>
      <c r="V3131" s="43">
        <f>IF(Planning[[#This Row],[Horas Planificadas]]&lt;&gt;0,Planning[[#This Row],[Horas utilizadas]]/Planning[[#This Row],[Horas Planificadas]],0)</f>
        <v>0</v>
      </c>
      <c r="W3131" s="44">
        <f>Planning[[#This Row],[Horas Planificadas]]+Planning[[#This Row],[Horas ajustadas adicionales]]</f>
        <v>0</v>
      </c>
      <c r="X3131" s="142"/>
    </row>
    <row r="3132" spans="1:24" x14ac:dyDescent="0.2">
      <c r="A3132" s="7" t="s">
        <v>389</v>
      </c>
      <c r="B3132" s="7" t="s">
        <v>393</v>
      </c>
      <c r="C3132" s="3"/>
      <c r="D3132" s="3" t="s">
        <v>597</v>
      </c>
      <c r="E3132" s="4"/>
      <c r="F3132" s="3" t="s">
        <v>127</v>
      </c>
      <c r="G3132" s="20"/>
      <c r="H3132" s="9"/>
      <c r="I3132" s="12"/>
      <c r="J3132" s="5" t="e">
        <f>SUM(SUMIFS(#REF!,#REF!,Planning[[#This Row],[Tipo de Tarea y especialidad]],#REF!,Planning[[#This Row],[Proyectos Reiwa]]),SUMIFS(#REF!,#REF!,Planning[[#This Row],[Tipo de Tarea y especialidad]],#REF!,Planning[[#This Row],[Proyectos]]))</f>
        <v>#REF!</v>
      </c>
      <c r="K3132" s="5" t="e">
        <f>Planning[[#This Row],[Horas Planificadas]]+Planning[[#This Row],[Horas ajustadas adicionales]]-Planning[[#This Row],[Horas utilizadas]]</f>
        <v>#REF!</v>
      </c>
      <c r="L3132" s="7"/>
      <c r="M3132" s="19" t="e">
        <f>Planning[[#This Row],[Saldo]]-Planning[[#This Row],[Saldo estimado]]</f>
        <v>#REF!</v>
      </c>
      <c r="N3132" s="60" t="e">
        <f>+SUMIFS(#REF!,#REF!,Planning[[#This Row],[Proyectos]],#REF!,Planning[[#This Row],[Tipo de Tarea y especialidad]])</f>
        <v>#REF!</v>
      </c>
      <c r="O3132" s="19">
        <f t="shared" si="96"/>
        <v>10</v>
      </c>
      <c r="P3132" s="19">
        <f t="shared" si="97"/>
        <v>2024</v>
      </c>
      <c r="Q31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32" s="19" t="str">
        <f>TEXT(Planning[[#This Row],[Mes]]*29,"mmmm")</f>
        <v>October</v>
      </c>
      <c r="S31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32" s="193"/>
      <c r="U3132" s="43">
        <f>IF(Planning[[#This Row],[Horas Planificadas]]&lt;&gt;0,+K3132/Planning[[#This Row],[Horas Planificadas]],0)</f>
        <v>0</v>
      </c>
      <c r="V3132" s="43">
        <f>IF(Planning[[#This Row],[Horas Planificadas]]&lt;&gt;0,Planning[[#This Row],[Horas utilizadas]]/Planning[[#This Row],[Horas Planificadas]],0)</f>
        <v>0</v>
      </c>
      <c r="W3132" s="44">
        <f>Planning[[#This Row],[Horas Planificadas]]+Planning[[#This Row],[Horas ajustadas adicionales]]</f>
        <v>0</v>
      </c>
      <c r="X3132" s="142"/>
    </row>
    <row r="3133" spans="1:24" x14ac:dyDescent="0.2">
      <c r="A3133" s="7" t="s">
        <v>389</v>
      </c>
      <c r="B3133" s="7" t="s">
        <v>393</v>
      </c>
      <c r="C3133" s="3"/>
      <c r="D3133" s="3" t="s">
        <v>597</v>
      </c>
      <c r="E3133" s="4"/>
      <c r="F3133" s="3" t="s">
        <v>128</v>
      </c>
      <c r="G3133" s="20"/>
      <c r="H3133" s="9"/>
      <c r="I3133" s="12"/>
      <c r="J3133" s="5" t="e">
        <f>SUM(SUMIFS(#REF!,#REF!,Planning[[#This Row],[Tipo de Tarea y especialidad]],#REF!,Planning[[#This Row],[Proyectos Reiwa]]),SUMIFS(#REF!,#REF!,Planning[[#This Row],[Tipo de Tarea y especialidad]],#REF!,Planning[[#This Row],[Proyectos]]))</f>
        <v>#REF!</v>
      </c>
      <c r="K3133" s="5" t="e">
        <f>Planning[[#This Row],[Horas Planificadas]]+Planning[[#This Row],[Horas ajustadas adicionales]]-Planning[[#This Row],[Horas utilizadas]]</f>
        <v>#REF!</v>
      </c>
      <c r="L3133" s="7">
        <v>100</v>
      </c>
      <c r="M3133" s="19" t="e">
        <f>Planning[[#This Row],[Saldo]]-Planning[[#This Row],[Saldo estimado]]</f>
        <v>#REF!</v>
      </c>
      <c r="N3133" s="60" t="e">
        <f>+SUMIFS(#REF!,#REF!,Planning[[#This Row],[Proyectos]],#REF!,Planning[[#This Row],[Tipo de Tarea y especialidad]])</f>
        <v>#REF!</v>
      </c>
      <c r="O3133" s="19">
        <f t="shared" si="96"/>
        <v>10</v>
      </c>
      <c r="P3133" s="19">
        <f t="shared" si="97"/>
        <v>2024</v>
      </c>
      <c r="Q31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33" s="19" t="str">
        <f>TEXT(Planning[[#This Row],[Mes]]*29,"mmmm")</f>
        <v>October</v>
      </c>
      <c r="S31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33" s="193"/>
      <c r="U3133" s="43">
        <f>IF(Planning[[#This Row],[Horas Planificadas]]&lt;&gt;0,+K3133/Planning[[#This Row],[Horas Planificadas]],0)</f>
        <v>0</v>
      </c>
      <c r="V3133" s="43">
        <f>IF(Planning[[#This Row],[Horas Planificadas]]&lt;&gt;0,Planning[[#This Row],[Horas utilizadas]]/Planning[[#This Row],[Horas Planificadas]],0)</f>
        <v>0</v>
      </c>
      <c r="W3133" s="44">
        <f>Planning[[#This Row],[Horas Planificadas]]+Planning[[#This Row],[Horas ajustadas adicionales]]</f>
        <v>0</v>
      </c>
      <c r="X3133" s="142"/>
    </row>
    <row r="3134" spans="1:24" x14ac:dyDescent="0.2">
      <c r="A3134" s="7" t="s">
        <v>389</v>
      </c>
      <c r="B3134" s="7" t="s">
        <v>393</v>
      </c>
      <c r="C3134" s="3"/>
      <c r="D3134" s="3" t="s">
        <v>597</v>
      </c>
      <c r="E3134" s="4" t="s">
        <v>31</v>
      </c>
      <c r="F3134" s="3" t="s">
        <v>31</v>
      </c>
      <c r="G3134" s="20">
        <v>80</v>
      </c>
      <c r="H3134" s="17">
        <v>9</v>
      </c>
      <c r="I3134" s="18"/>
      <c r="J3134" s="14" t="e">
        <f>+SUMIFS(#REF!,#REF!,Planning[[#This Row],[Tarifa]],#REF!,Planning[[#This Row],[Proyectos]])</f>
        <v>#REF!</v>
      </c>
      <c r="K3134" s="14" t="e">
        <f>Planning[[#This Row],[Horas Planificadas]]+Planning[[#This Row],[Horas ajustadas adicionales]]-Planning[[#This Row],[Horas utilizadas]]</f>
        <v>#REF!</v>
      </c>
      <c r="L3134" s="15">
        <v>0</v>
      </c>
      <c r="M3134" s="16" t="e">
        <f>Planning[[#This Row],[Saldo]]-Planning[[#This Row],[Saldo estimado]]</f>
        <v>#REF!</v>
      </c>
      <c r="N3134" s="60" t="e">
        <f>+SUMIFS(#REF!,#REF!,Planning[[#This Row],[Proyectos]],#REF!,Planning[[#This Row],[Tipo de Tarea y especialidad]])</f>
        <v>#REF!</v>
      </c>
      <c r="O3134" s="16">
        <f t="shared" si="96"/>
        <v>10</v>
      </c>
      <c r="P3134" s="16">
        <f t="shared" si="97"/>
        <v>2024</v>
      </c>
      <c r="Q3134" s="16" t="e">
        <f>+SUMIFS(#REF!,#REF!,Planning[[#This Row],[Tarifa]],#REF!,Planning[[#This Row],[Proyectos]],#REF!,Planning[[#This Row],[Mes]],#REF!,Planning[[#This Row],[Año]])</f>
        <v>#REF!</v>
      </c>
      <c r="R3134" s="16" t="str">
        <f>TEXT(Planning[[#This Row],[Mes]]*29,"mmmm")</f>
        <v>October</v>
      </c>
      <c r="S31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34" s="193"/>
      <c r="U3134" s="43" t="e">
        <f>IF(Planning[[#This Row],[Horas Planificadas]]&lt;&gt;0,+K3134/Planning[[#This Row],[Horas Planificadas]],0)</f>
        <v>#REF!</v>
      </c>
      <c r="V3134" s="43" t="e">
        <f>IF(Planning[[#This Row],[Horas Planificadas]]&lt;&gt;0,Planning[[#This Row],[Horas utilizadas]]/Planning[[#This Row],[Horas Planificadas]],0)</f>
        <v>#REF!</v>
      </c>
      <c r="W3134" s="44">
        <f>Planning[[#This Row],[Horas Planificadas]]+Planning[[#This Row],[Horas ajustadas adicionales]]</f>
        <v>9</v>
      </c>
      <c r="X3134" s="142"/>
    </row>
    <row r="3135" spans="1:24" ht="22.5" x14ac:dyDescent="0.2">
      <c r="A3135" s="7" t="s">
        <v>389</v>
      </c>
      <c r="B3135" s="7" t="s">
        <v>393</v>
      </c>
      <c r="C3135" s="3"/>
      <c r="D3135" s="3" t="s">
        <v>597</v>
      </c>
      <c r="E3135" s="4" t="s">
        <v>32</v>
      </c>
      <c r="F3135" s="3"/>
      <c r="G3135" s="20">
        <v>250</v>
      </c>
      <c r="H3135" s="14">
        <f>SUM(H3136:H3138)</f>
        <v>250</v>
      </c>
      <c r="I3135" s="14"/>
      <c r="J3135" s="14" t="e">
        <f>SUM(J3136:J3138)</f>
        <v>#REF!</v>
      </c>
      <c r="K3135" s="15" t="e">
        <f>SUM(K3136:K3138)</f>
        <v>#REF!</v>
      </c>
      <c r="L3135" s="15">
        <f>SUM(L3136:L3138)</f>
        <v>250</v>
      </c>
      <c r="M3135" s="16" t="e">
        <f>SUM(M3136:M3138)</f>
        <v>#REF!</v>
      </c>
      <c r="N3135" s="60" t="e">
        <f>+SUMIFS(#REF!,#REF!,Planning[[#This Row],[Proyectos]],#REF!,Planning[[#This Row],[Tipo de Tarea y especialidad]])</f>
        <v>#REF!</v>
      </c>
      <c r="O3135" s="16">
        <f t="shared" si="96"/>
        <v>10</v>
      </c>
      <c r="P3135" s="16">
        <f t="shared" si="97"/>
        <v>2024</v>
      </c>
      <c r="Q3135" s="16" t="e">
        <f>SUM(Q3136:Q3138)</f>
        <v>#REF!</v>
      </c>
      <c r="R3135" s="16" t="str">
        <f>TEXT(Planning[[#This Row],[Mes]]*29,"mmmm")</f>
        <v>October</v>
      </c>
      <c r="S31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35" s="193"/>
      <c r="U3135" s="43" t="e">
        <f>IF(Planning[[#This Row],[Horas Planificadas]]&lt;&gt;0,+K3135/Planning[[#This Row],[Horas Planificadas]],0)</f>
        <v>#REF!</v>
      </c>
      <c r="V3135" s="43" t="e">
        <f>IF(Planning[[#This Row],[Horas Planificadas]]&lt;&gt;0,Planning[[#This Row],[Horas utilizadas]]/Planning[[#This Row],[Horas Planificadas]],0)</f>
        <v>#REF!</v>
      </c>
      <c r="W3135" s="44">
        <f>Planning[[#This Row],[Horas Planificadas]]+Planning[[#This Row],[Horas ajustadas adicionales]]</f>
        <v>250</v>
      </c>
      <c r="X3135" s="142"/>
    </row>
    <row r="3136" spans="1:24" x14ac:dyDescent="0.2">
      <c r="A3136" s="7" t="s">
        <v>389</v>
      </c>
      <c r="B3136" s="7" t="s">
        <v>393</v>
      </c>
      <c r="C3136" s="3"/>
      <c r="D3136" s="3" t="s">
        <v>597</v>
      </c>
      <c r="E3136" s="4"/>
      <c r="F3136" s="3" t="s">
        <v>129</v>
      </c>
      <c r="G3136" s="11"/>
      <c r="H3136" s="20"/>
      <c r="I3136" s="12"/>
      <c r="J3136" s="5" t="e">
        <f>SUM(SUMIFS(#REF!,#REF!,Planning[[#This Row],[Tipo de Tarea y especialidad]],#REF!,Planning[[#This Row],[Proyectos Reiwa]]),SUMIFS(#REF!,#REF!,Planning[[#This Row],[Tipo de Tarea y especialidad]],#REF!,Planning[[#This Row],[Proyectos]]))</f>
        <v>#REF!</v>
      </c>
      <c r="K3136" s="5" t="e">
        <f>Planning[[#This Row],[Horas Planificadas]]+Planning[[#This Row],[Horas ajustadas adicionales]]-Planning[[#This Row],[Horas utilizadas]]</f>
        <v>#REF!</v>
      </c>
      <c r="L3136" s="7"/>
      <c r="M3136" s="19" t="e">
        <f>Planning[[#This Row],[Saldo]]-Planning[[#This Row],[Saldo estimado]]</f>
        <v>#REF!</v>
      </c>
      <c r="N3136" s="60" t="e">
        <f>+SUMIFS(#REF!,#REF!,Planning[[#This Row],[Proyectos]],#REF!,Planning[[#This Row],[Tipo de Tarea y especialidad]])</f>
        <v>#REF!</v>
      </c>
      <c r="O3136" s="19">
        <f t="shared" si="96"/>
        <v>10</v>
      </c>
      <c r="P3136" s="19">
        <f t="shared" si="97"/>
        <v>2024</v>
      </c>
      <c r="Q31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36" s="19" t="str">
        <f>TEXT(Planning[[#This Row],[Mes]]*29,"mmmm")</f>
        <v>October</v>
      </c>
      <c r="S31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36" s="193"/>
      <c r="U3136" s="43">
        <f>IF(Planning[[#This Row],[Horas Planificadas]]&lt;&gt;0,+K3136/Planning[[#This Row],[Horas Planificadas]],0)</f>
        <v>0</v>
      </c>
      <c r="V3136" s="43">
        <f>IF(Planning[[#This Row],[Horas Planificadas]]&lt;&gt;0,Planning[[#This Row],[Horas utilizadas]]/Planning[[#This Row],[Horas Planificadas]],0)</f>
        <v>0</v>
      </c>
      <c r="W3136" s="44">
        <f>Planning[[#This Row],[Horas Planificadas]]+Planning[[#This Row],[Horas ajustadas adicionales]]</f>
        <v>0</v>
      </c>
      <c r="X3136" s="142"/>
    </row>
    <row r="3137" spans="1:24" x14ac:dyDescent="0.2">
      <c r="A3137" s="7" t="s">
        <v>389</v>
      </c>
      <c r="B3137" s="7" t="s">
        <v>393</v>
      </c>
      <c r="C3137" s="3"/>
      <c r="D3137" s="3" t="s">
        <v>597</v>
      </c>
      <c r="E3137" s="4"/>
      <c r="F3137" s="3" t="s">
        <v>130</v>
      </c>
      <c r="G3137" s="9"/>
      <c r="H3137" s="20"/>
      <c r="I3137" s="12"/>
      <c r="J3137" s="5" t="e">
        <f>SUM(SUMIFS(#REF!,#REF!,Planning[[#This Row],[Tipo de Tarea y especialidad]],#REF!,Planning[[#This Row],[Proyectos Reiwa]]),SUMIFS(#REF!,#REF!,Planning[[#This Row],[Tipo de Tarea y especialidad]],#REF!,Planning[[#This Row],[Proyectos]]))</f>
        <v>#REF!</v>
      </c>
      <c r="K3137" s="5" t="e">
        <f>Planning[[#This Row],[Horas Planificadas]]+Planning[[#This Row],[Horas ajustadas adicionales]]-Planning[[#This Row],[Horas utilizadas]]</f>
        <v>#REF!</v>
      </c>
      <c r="L3137" s="7"/>
      <c r="M3137" s="19" t="e">
        <f>Planning[[#This Row],[Saldo]]-Planning[[#This Row],[Saldo estimado]]</f>
        <v>#REF!</v>
      </c>
      <c r="N3137" s="60" t="e">
        <f>+SUMIFS(#REF!,#REF!,Planning[[#This Row],[Proyectos]],#REF!,Planning[[#This Row],[Tipo de Tarea y especialidad]])</f>
        <v>#REF!</v>
      </c>
      <c r="O3137" s="19">
        <f t="shared" si="96"/>
        <v>10</v>
      </c>
      <c r="P3137" s="19">
        <f t="shared" si="97"/>
        <v>2024</v>
      </c>
      <c r="Q31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37" s="19" t="str">
        <f>TEXT(Planning[[#This Row],[Mes]]*29,"mmmm")</f>
        <v>October</v>
      </c>
      <c r="S31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37" s="193"/>
      <c r="U3137" s="43">
        <f>IF(Planning[[#This Row],[Horas Planificadas]]&lt;&gt;0,+K3137/Planning[[#This Row],[Horas Planificadas]],0)</f>
        <v>0</v>
      </c>
      <c r="V3137" s="43">
        <f>IF(Planning[[#This Row],[Horas Planificadas]]&lt;&gt;0,Planning[[#This Row],[Horas utilizadas]]/Planning[[#This Row],[Horas Planificadas]],0)</f>
        <v>0</v>
      </c>
      <c r="W3137" s="44">
        <f>Planning[[#This Row],[Horas Planificadas]]+Planning[[#This Row],[Horas ajustadas adicionales]]</f>
        <v>0</v>
      </c>
      <c r="X3137" s="142"/>
    </row>
    <row r="3138" spans="1:24" x14ac:dyDescent="0.2">
      <c r="A3138" s="7" t="s">
        <v>389</v>
      </c>
      <c r="B3138" s="7" t="s">
        <v>393</v>
      </c>
      <c r="C3138" s="3"/>
      <c r="D3138" s="3" t="s">
        <v>597</v>
      </c>
      <c r="E3138" s="4"/>
      <c r="F3138" s="3" t="s">
        <v>131</v>
      </c>
      <c r="G3138" s="9"/>
      <c r="H3138" s="20">
        <v>250</v>
      </c>
      <c r="I3138" s="12"/>
      <c r="J3138" s="5" t="e">
        <f>SUM(SUMIFS(#REF!,#REF!,Planning[[#This Row],[Tipo de Tarea y especialidad]],#REF!,Planning[[#This Row],[Proyectos Reiwa]]),SUMIFS(#REF!,#REF!,Planning[[#This Row],[Tipo de Tarea y especialidad]],#REF!,Planning[[#This Row],[Proyectos]]))</f>
        <v>#REF!</v>
      </c>
      <c r="K3138" s="5" t="e">
        <f>Planning[[#This Row],[Horas Planificadas]]+Planning[[#This Row],[Horas ajustadas adicionales]]-Planning[[#This Row],[Horas utilizadas]]</f>
        <v>#REF!</v>
      </c>
      <c r="L3138" s="7">
        <v>250</v>
      </c>
      <c r="M3138" s="19" t="e">
        <f>Planning[[#This Row],[Saldo]]-Planning[[#This Row],[Saldo estimado]]</f>
        <v>#REF!</v>
      </c>
      <c r="N3138" s="60" t="e">
        <f>+SUMIFS(#REF!,#REF!,Planning[[#This Row],[Proyectos]],#REF!,Planning[[#This Row],[Tipo de Tarea y especialidad]])</f>
        <v>#REF!</v>
      </c>
      <c r="O3138" s="19">
        <f t="shared" si="96"/>
        <v>10</v>
      </c>
      <c r="P3138" s="19">
        <f t="shared" si="97"/>
        <v>2024</v>
      </c>
      <c r="Q31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38" s="19" t="str">
        <f>TEXT(Planning[[#This Row],[Mes]]*29,"mmmm")</f>
        <v>October</v>
      </c>
      <c r="S31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38" s="193"/>
      <c r="U3138" s="43" t="e">
        <f>IF(Planning[[#This Row],[Horas Planificadas]]&lt;&gt;0,+K3138/Planning[[#This Row],[Horas Planificadas]],0)</f>
        <v>#REF!</v>
      </c>
      <c r="V3138" s="43" t="e">
        <f>IF(Planning[[#This Row],[Horas Planificadas]]&lt;&gt;0,Planning[[#This Row],[Horas utilizadas]]/Planning[[#This Row],[Horas Planificadas]],0)</f>
        <v>#REF!</v>
      </c>
      <c r="W3138" s="44">
        <f>Planning[[#This Row],[Horas Planificadas]]+Planning[[#This Row],[Horas ajustadas adicionales]]</f>
        <v>250</v>
      </c>
      <c r="X3138" s="142"/>
    </row>
    <row r="3139" spans="1:24" ht="12.75" customHeight="1" x14ac:dyDescent="0.2">
      <c r="A3139" s="7" t="s">
        <v>389</v>
      </c>
      <c r="B3139" s="7" t="s">
        <v>599</v>
      </c>
      <c r="C3139" s="3"/>
      <c r="D3139" s="3" t="s">
        <v>600</v>
      </c>
      <c r="E3139" s="4" t="s">
        <v>28</v>
      </c>
      <c r="F3139" s="3"/>
      <c r="G3139" s="9">
        <v>99</v>
      </c>
      <c r="H3139" s="14">
        <f>SUM(H3140:H3141)</f>
        <v>99</v>
      </c>
      <c r="I3139" s="14"/>
      <c r="J3139" s="14" t="e">
        <f>SUM(J3140:J3141)</f>
        <v>#REF!</v>
      </c>
      <c r="K3139" s="15" t="e">
        <f>SUM(K3140:K3141)</f>
        <v>#REF!</v>
      </c>
      <c r="L3139" s="15">
        <f>SUM(L3140:L3141)</f>
        <v>63</v>
      </c>
      <c r="M3139" s="14" t="e">
        <f>SUM(M3140:M3141)</f>
        <v>#REF!</v>
      </c>
      <c r="N3139" s="66" t="e">
        <f>+SUMIFS(#REF!,#REF!,Planning[[#This Row],[Proyectos]],#REF!,Planning[[#This Row],[Tipo de Tarea y especialidad]])</f>
        <v>#REF!</v>
      </c>
      <c r="O3139" s="14">
        <f t="shared" si="96"/>
        <v>10</v>
      </c>
      <c r="P3139" s="14">
        <f t="shared" si="97"/>
        <v>2024</v>
      </c>
      <c r="Q3139" s="28" t="e">
        <f>SUM(Q3140:Q3141)</f>
        <v>#REF!</v>
      </c>
      <c r="R3139" s="28" t="str">
        <f>TEXT(Planning[[#This Row],[Mes]]*29,"mmmm")</f>
        <v>October</v>
      </c>
      <c r="S31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39" s="192" t="s">
        <v>601</v>
      </c>
      <c r="U3139" s="43" t="e">
        <f>IF(Planning[[#This Row],[Horas Planificadas]]&lt;&gt;0,+K3139/Planning[[#This Row],[Horas Planificadas]],0)</f>
        <v>#REF!</v>
      </c>
      <c r="V3139" s="43" t="e">
        <f>IF(Planning[[#This Row],[Horas Planificadas]]&lt;&gt;0,Planning[[#This Row],[Horas utilizadas]]/Planning[[#This Row],[Horas Planificadas]],0)</f>
        <v>#REF!</v>
      </c>
      <c r="W3139" s="44">
        <f>Planning[[#This Row],[Horas Planificadas]]+Planning[[#This Row],[Horas ajustadas adicionales]]</f>
        <v>99</v>
      </c>
      <c r="X3139" s="142"/>
    </row>
    <row r="3140" spans="1:24" x14ac:dyDescent="0.2">
      <c r="A3140" s="7" t="s">
        <v>389</v>
      </c>
      <c r="B3140" s="7" t="s">
        <v>599</v>
      </c>
      <c r="C3140" s="3"/>
      <c r="D3140" s="3" t="s">
        <v>600</v>
      </c>
      <c r="E3140" s="4"/>
      <c r="F3140" s="3" t="s">
        <v>120</v>
      </c>
      <c r="G3140" s="9"/>
      <c r="H3140" s="9">
        <v>9</v>
      </c>
      <c r="I3140" s="12"/>
      <c r="J3140" s="5" t="e">
        <f>SUM(SUMIFS(#REF!,#REF!,Planning[[#This Row],[Tipo de Tarea y especialidad]],#REF!,Planning[[#This Row],[Proyectos Reiwa]]),SUMIFS(#REF!,#REF!,Planning[[#This Row],[Tipo de Tarea y especialidad]],#REF!,Planning[[#This Row],[Proyectos]]))</f>
        <v>#REF!</v>
      </c>
      <c r="K3140" s="5" t="e">
        <f>Planning[[#This Row],[Horas Planificadas]]+Planning[[#This Row],[Horas ajustadas adicionales]]-Planning[[#This Row],[Horas utilizadas]]</f>
        <v>#REF!</v>
      </c>
      <c r="L3140" s="7">
        <v>9</v>
      </c>
      <c r="M3140" s="19" t="e">
        <f>Planning[[#This Row],[Saldo]]-Planning[[#This Row],[Saldo estimado]]</f>
        <v>#REF!</v>
      </c>
      <c r="N3140" s="60" t="e">
        <f>+SUMIFS(#REF!,#REF!,Planning[[#This Row],[Proyectos]],#REF!,Planning[[#This Row],[Tipo de Tarea y especialidad]])</f>
        <v>#REF!</v>
      </c>
      <c r="O3140" s="19">
        <f t="shared" si="96"/>
        <v>10</v>
      </c>
      <c r="P3140" s="19">
        <f t="shared" si="97"/>
        <v>2024</v>
      </c>
      <c r="Q31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40" s="19" t="str">
        <f>TEXT(Planning[[#This Row],[Mes]]*29,"mmmm")</f>
        <v>October</v>
      </c>
      <c r="S31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40" s="193"/>
      <c r="U3140" s="43" t="e">
        <f>IF(Planning[[#This Row],[Horas Planificadas]]&lt;&gt;0,+K3140/Planning[[#This Row],[Horas Planificadas]],0)</f>
        <v>#REF!</v>
      </c>
      <c r="V3140" s="43" t="e">
        <f>IF(Planning[[#This Row],[Horas Planificadas]]&lt;&gt;0,Planning[[#This Row],[Horas utilizadas]]/Planning[[#This Row],[Horas Planificadas]],0)</f>
        <v>#REF!</v>
      </c>
      <c r="W3140" s="44">
        <f>Planning[[#This Row],[Horas Planificadas]]+Planning[[#This Row],[Horas ajustadas adicionales]]</f>
        <v>9</v>
      </c>
      <c r="X3140" s="142"/>
    </row>
    <row r="3141" spans="1:24" x14ac:dyDescent="0.2">
      <c r="A3141" s="7" t="s">
        <v>389</v>
      </c>
      <c r="B3141" s="7" t="s">
        <v>599</v>
      </c>
      <c r="C3141" s="3"/>
      <c r="D3141" s="3" t="s">
        <v>600</v>
      </c>
      <c r="E3141" s="4"/>
      <c r="F3141" s="3" t="s">
        <v>121</v>
      </c>
      <c r="G3141" s="9"/>
      <c r="H3141" s="9">
        <v>90</v>
      </c>
      <c r="I3141" s="12"/>
      <c r="J3141" s="5" t="e">
        <f>SUM(SUMIFS(#REF!,#REF!,Planning[[#This Row],[Tipo de Tarea y especialidad]],#REF!,Planning[[#This Row],[Proyectos Reiwa]]),SUMIFS(#REF!,#REF!,Planning[[#This Row],[Tipo de Tarea y especialidad]],#REF!,Planning[[#This Row],[Proyectos]]))</f>
        <v>#REF!</v>
      </c>
      <c r="K3141" s="5" t="e">
        <f>Planning[[#This Row],[Horas Planificadas]]+Planning[[#This Row],[Horas ajustadas adicionales]]-Planning[[#This Row],[Horas utilizadas]]</f>
        <v>#REF!</v>
      </c>
      <c r="L3141" s="7">
        <v>54</v>
      </c>
      <c r="M3141" s="19" t="e">
        <f>Planning[[#This Row],[Saldo]]-Planning[[#This Row],[Saldo estimado]]</f>
        <v>#REF!</v>
      </c>
      <c r="N3141" s="60" t="e">
        <f>+SUMIFS(#REF!,#REF!,Planning[[#This Row],[Proyectos]],#REF!,Planning[[#This Row],[Tipo de Tarea y especialidad]])</f>
        <v>#REF!</v>
      </c>
      <c r="O3141" s="19">
        <f t="shared" si="96"/>
        <v>10</v>
      </c>
      <c r="P3141" s="19">
        <f t="shared" si="97"/>
        <v>2024</v>
      </c>
      <c r="Q31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41" s="19" t="str">
        <f>TEXT(Planning[[#This Row],[Mes]]*29,"mmmm")</f>
        <v>October</v>
      </c>
      <c r="S31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41" s="193"/>
      <c r="U3141" s="43" t="e">
        <f>IF(Planning[[#This Row],[Horas Planificadas]]&lt;&gt;0,+K3141/Planning[[#This Row],[Horas Planificadas]],0)</f>
        <v>#REF!</v>
      </c>
      <c r="V3141" s="43" t="e">
        <f>IF(Planning[[#This Row],[Horas Planificadas]]&lt;&gt;0,Planning[[#This Row],[Horas utilizadas]]/Planning[[#This Row],[Horas Planificadas]],0)</f>
        <v>#REF!</v>
      </c>
      <c r="W3141" s="44">
        <f>Planning[[#This Row],[Horas Planificadas]]+Planning[[#This Row],[Horas ajustadas adicionales]]</f>
        <v>90</v>
      </c>
      <c r="X3141" s="142"/>
    </row>
    <row r="3142" spans="1:24" x14ac:dyDescent="0.2">
      <c r="A3142" s="7" t="s">
        <v>389</v>
      </c>
      <c r="B3142" s="7" t="s">
        <v>599</v>
      </c>
      <c r="C3142" s="3"/>
      <c r="D3142" s="3" t="s">
        <v>600</v>
      </c>
      <c r="E3142" s="4" t="s">
        <v>30</v>
      </c>
      <c r="F3142" s="3"/>
      <c r="G3142" s="9">
        <v>378</v>
      </c>
      <c r="H3142" s="14">
        <f>SUM(H3143:H3149)</f>
        <v>378</v>
      </c>
      <c r="I3142" s="14"/>
      <c r="J3142" s="14" t="e">
        <f>SUM(J3143:J3149)</f>
        <v>#REF!</v>
      </c>
      <c r="K3142" s="15" t="e">
        <f>SUM(K3143:K3149)</f>
        <v>#REF!</v>
      </c>
      <c r="L3142" s="15">
        <f>SUM(L3143:L3149)</f>
        <v>304</v>
      </c>
      <c r="M3142" s="16" t="e">
        <f>SUM(M3143:M3149)</f>
        <v>#REF!</v>
      </c>
      <c r="N3142" s="60" t="e">
        <f>+SUMIFS(#REF!,#REF!,Planning[[#This Row],[Proyectos]],#REF!,Planning[[#This Row],[Tipo de Tarea y especialidad]])</f>
        <v>#REF!</v>
      </c>
      <c r="O3142" s="16">
        <f t="shared" si="96"/>
        <v>10</v>
      </c>
      <c r="P3142" s="16">
        <f t="shared" si="97"/>
        <v>2024</v>
      </c>
      <c r="Q3142" s="16" t="e">
        <f>SUM(Q3143:Q3149)</f>
        <v>#REF!</v>
      </c>
      <c r="R3142" s="16" t="str">
        <f>TEXT(Planning[[#This Row],[Mes]]*29,"mmmm")</f>
        <v>October</v>
      </c>
      <c r="S31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42" s="193"/>
      <c r="U3142" s="43" t="e">
        <f>IF(Planning[[#This Row],[Horas Planificadas]]&lt;&gt;0,+K3142/Planning[[#This Row],[Horas Planificadas]],0)</f>
        <v>#REF!</v>
      </c>
      <c r="V3142" s="43" t="e">
        <f>IF(Planning[[#This Row],[Horas Planificadas]]&lt;&gt;0,Planning[[#This Row],[Horas utilizadas]]/Planning[[#This Row],[Horas Planificadas]],0)</f>
        <v>#REF!</v>
      </c>
      <c r="W3142" s="44">
        <f>Planning[[#This Row],[Horas Planificadas]]+Planning[[#This Row],[Horas ajustadas adicionales]]</f>
        <v>378</v>
      </c>
      <c r="X3142" s="142"/>
    </row>
    <row r="3143" spans="1:24" x14ac:dyDescent="0.2">
      <c r="A3143" s="7" t="s">
        <v>389</v>
      </c>
      <c r="B3143" s="7" t="s">
        <v>599</v>
      </c>
      <c r="C3143" s="3"/>
      <c r="D3143" s="3" t="s">
        <v>600</v>
      </c>
      <c r="E3143" s="4"/>
      <c r="F3143" s="3" t="s">
        <v>122</v>
      </c>
      <c r="G3143" s="9"/>
      <c r="H3143" s="9"/>
      <c r="I3143" s="12"/>
      <c r="J3143" s="5" t="e">
        <f>SUM(SUMIFS(#REF!,#REF!,Planning[[#This Row],[Tipo de Tarea y especialidad]],#REF!,Planning[[#This Row],[Proyectos Reiwa]]),SUMIFS(#REF!,#REF!,Planning[[#This Row],[Tipo de Tarea y especialidad]],#REF!,Planning[[#This Row],[Proyectos]]))</f>
        <v>#REF!</v>
      </c>
      <c r="K3143" s="5" t="e">
        <f>Planning[[#This Row],[Horas Planificadas]]+Planning[[#This Row],[Horas ajustadas adicionales]]-Planning[[#This Row],[Horas utilizadas]]</f>
        <v>#REF!</v>
      </c>
      <c r="L3143" s="7"/>
      <c r="M3143" s="19" t="e">
        <f>Planning[[#This Row],[Saldo]]-Planning[[#This Row],[Saldo estimado]]</f>
        <v>#REF!</v>
      </c>
      <c r="N3143" s="60" t="e">
        <f>+SUMIFS(#REF!,#REF!,Planning[[#This Row],[Proyectos]],#REF!,Planning[[#This Row],[Tipo de Tarea y especialidad]])</f>
        <v>#REF!</v>
      </c>
      <c r="O3143" s="19">
        <f t="shared" ref="O3143:O3206" si="98">$L$4</f>
        <v>10</v>
      </c>
      <c r="P3143" s="19">
        <f t="shared" ref="P3143:P3206" si="99">$M$4</f>
        <v>2024</v>
      </c>
      <c r="Q31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43" s="19" t="str">
        <f>TEXT(Planning[[#This Row],[Mes]]*29,"mmmm")</f>
        <v>October</v>
      </c>
      <c r="S31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43" s="193"/>
      <c r="U3143" s="43">
        <f>IF(Planning[[#This Row],[Horas Planificadas]]&lt;&gt;0,+K3143/Planning[[#This Row],[Horas Planificadas]],0)</f>
        <v>0</v>
      </c>
      <c r="V3143" s="43">
        <f>IF(Planning[[#This Row],[Horas Planificadas]]&lt;&gt;0,Planning[[#This Row],[Horas utilizadas]]/Planning[[#This Row],[Horas Planificadas]],0)</f>
        <v>0</v>
      </c>
      <c r="W3143" s="44">
        <f>Planning[[#This Row],[Horas Planificadas]]+Planning[[#This Row],[Horas ajustadas adicionales]]</f>
        <v>0</v>
      </c>
      <c r="X3143" s="142"/>
    </row>
    <row r="3144" spans="1:24" x14ac:dyDescent="0.2">
      <c r="A3144" s="7" t="s">
        <v>389</v>
      </c>
      <c r="B3144" s="7" t="s">
        <v>599</v>
      </c>
      <c r="C3144" s="3"/>
      <c r="D3144" s="3" t="s">
        <v>600</v>
      </c>
      <c r="E3144" s="4"/>
      <c r="F3144" s="3" t="s">
        <v>123</v>
      </c>
      <c r="G3144" s="9"/>
      <c r="H3144" s="9">
        <v>288</v>
      </c>
      <c r="I3144" s="12"/>
      <c r="J3144" s="5" t="e">
        <f>SUM(SUMIFS(#REF!,#REF!,Planning[[#This Row],[Tipo de Tarea y especialidad]],#REF!,Planning[[#This Row],[Proyectos Reiwa]]),SUMIFS(#REF!,#REF!,Planning[[#This Row],[Tipo de Tarea y especialidad]],#REF!,Planning[[#This Row],[Proyectos]]))</f>
        <v>#REF!</v>
      </c>
      <c r="K3144" s="5" t="e">
        <f>Planning[[#This Row],[Horas Planificadas]]+Planning[[#This Row],[Horas ajustadas adicionales]]-Planning[[#This Row],[Horas utilizadas]]</f>
        <v>#REF!</v>
      </c>
      <c r="L3144" s="7">
        <v>230</v>
      </c>
      <c r="M3144" s="19" t="e">
        <f>Planning[[#This Row],[Saldo]]-Planning[[#This Row],[Saldo estimado]]</f>
        <v>#REF!</v>
      </c>
      <c r="N3144" s="60" t="e">
        <f>+SUMIFS(#REF!,#REF!,Planning[[#This Row],[Proyectos]],#REF!,Planning[[#This Row],[Tipo de Tarea y especialidad]])</f>
        <v>#REF!</v>
      </c>
      <c r="O3144" s="19">
        <f t="shared" si="98"/>
        <v>10</v>
      </c>
      <c r="P3144" s="19">
        <f t="shared" si="99"/>
        <v>2024</v>
      </c>
      <c r="Q31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44" s="19" t="str">
        <f>TEXT(Planning[[#This Row],[Mes]]*29,"mmmm")</f>
        <v>October</v>
      </c>
      <c r="S31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44" s="193"/>
      <c r="U3144" s="43" t="e">
        <f>IF(Planning[[#This Row],[Horas Planificadas]]&lt;&gt;0,+K3144/Planning[[#This Row],[Horas Planificadas]],0)</f>
        <v>#REF!</v>
      </c>
      <c r="V3144" s="43" t="e">
        <f>IF(Planning[[#This Row],[Horas Planificadas]]&lt;&gt;0,Planning[[#This Row],[Horas utilizadas]]/Planning[[#This Row],[Horas Planificadas]],0)</f>
        <v>#REF!</v>
      </c>
      <c r="W3144" s="44">
        <f>Planning[[#This Row],[Horas Planificadas]]+Planning[[#This Row],[Horas ajustadas adicionales]]</f>
        <v>288</v>
      </c>
      <c r="X3144" s="142"/>
    </row>
    <row r="3145" spans="1:24" x14ac:dyDescent="0.2">
      <c r="A3145" s="7" t="s">
        <v>389</v>
      </c>
      <c r="B3145" s="7" t="s">
        <v>599</v>
      </c>
      <c r="C3145" s="3"/>
      <c r="D3145" s="3" t="s">
        <v>600</v>
      </c>
      <c r="E3145" s="4"/>
      <c r="F3145" s="3" t="s">
        <v>124</v>
      </c>
      <c r="G3145" s="9"/>
      <c r="H3145" s="9"/>
      <c r="I3145" s="12"/>
      <c r="J3145" s="5" t="e">
        <f>SUM(SUMIFS(#REF!,#REF!,Planning[[#This Row],[Tipo de Tarea y especialidad]],#REF!,Planning[[#This Row],[Proyectos Reiwa]]),SUMIFS(#REF!,#REF!,Planning[[#This Row],[Tipo de Tarea y especialidad]],#REF!,Planning[[#This Row],[Proyectos]]))</f>
        <v>#REF!</v>
      </c>
      <c r="K3145" s="5" t="e">
        <f>Planning[[#This Row],[Horas Planificadas]]+Planning[[#This Row],[Horas ajustadas adicionales]]-Planning[[#This Row],[Horas utilizadas]]</f>
        <v>#REF!</v>
      </c>
      <c r="L3145" s="7"/>
      <c r="M3145" s="19" t="e">
        <f>Planning[[#This Row],[Saldo]]-Planning[[#This Row],[Saldo estimado]]</f>
        <v>#REF!</v>
      </c>
      <c r="N3145" s="60" t="e">
        <f>+SUMIFS(#REF!,#REF!,Planning[[#This Row],[Proyectos]],#REF!,Planning[[#This Row],[Tipo de Tarea y especialidad]])</f>
        <v>#REF!</v>
      </c>
      <c r="O3145" s="19">
        <f t="shared" si="98"/>
        <v>10</v>
      </c>
      <c r="P3145" s="19">
        <f t="shared" si="99"/>
        <v>2024</v>
      </c>
      <c r="Q31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45" s="19" t="str">
        <f>TEXT(Planning[[#This Row],[Mes]]*29,"mmmm")</f>
        <v>October</v>
      </c>
      <c r="S31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45" s="193"/>
      <c r="U3145" s="43">
        <f>IF(Planning[[#This Row],[Horas Planificadas]]&lt;&gt;0,+K3145/Planning[[#This Row],[Horas Planificadas]],0)</f>
        <v>0</v>
      </c>
      <c r="V3145" s="43">
        <f>IF(Planning[[#This Row],[Horas Planificadas]]&lt;&gt;0,Planning[[#This Row],[Horas utilizadas]]/Planning[[#This Row],[Horas Planificadas]],0)</f>
        <v>0</v>
      </c>
      <c r="W3145" s="44">
        <f>Planning[[#This Row],[Horas Planificadas]]+Planning[[#This Row],[Horas ajustadas adicionales]]</f>
        <v>0</v>
      </c>
      <c r="X3145" s="142"/>
    </row>
    <row r="3146" spans="1:24" x14ac:dyDescent="0.2">
      <c r="A3146" s="7" t="s">
        <v>389</v>
      </c>
      <c r="B3146" s="7" t="s">
        <v>599</v>
      </c>
      <c r="C3146" s="3"/>
      <c r="D3146" s="3" t="s">
        <v>600</v>
      </c>
      <c r="E3146" s="4"/>
      <c r="F3146" s="3" t="s">
        <v>125</v>
      </c>
      <c r="G3146" s="9"/>
      <c r="H3146" s="9"/>
      <c r="I3146" s="12"/>
      <c r="J3146" s="5" t="e">
        <f>SUM(SUMIFS(#REF!,#REF!,Planning[[#This Row],[Tipo de Tarea y especialidad]],#REF!,Planning[[#This Row],[Proyectos Reiwa]]),SUMIFS(#REF!,#REF!,Planning[[#This Row],[Tipo de Tarea y especialidad]],#REF!,Planning[[#This Row],[Proyectos]]))</f>
        <v>#REF!</v>
      </c>
      <c r="K3146" s="5" t="e">
        <f>Planning[[#This Row],[Horas Planificadas]]+Planning[[#This Row],[Horas ajustadas adicionales]]-Planning[[#This Row],[Horas utilizadas]]</f>
        <v>#REF!</v>
      </c>
      <c r="L3146" s="7"/>
      <c r="M3146" s="19" t="e">
        <f>Planning[[#This Row],[Saldo]]-Planning[[#This Row],[Saldo estimado]]</f>
        <v>#REF!</v>
      </c>
      <c r="N3146" s="60" t="e">
        <f>+SUMIFS(#REF!,#REF!,Planning[[#This Row],[Proyectos]],#REF!,Planning[[#This Row],[Tipo de Tarea y especialidad]])</f>
        <v>#REF!</v>
      </c>
      <c r="O3146" s="19">
        <f t="shared" si="98"/>
        <v>10</v>
      </c>
      <c r="P3146" s="19">
        <f t="shared" si="99"/>
        <v>2024</v>
      </c>
      <c r="Q31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46" s="19" t="str">
        <f>TEXT(Planning[[#This Row],[Mes]]*29,"mmmm")</f>
        <v>October</v>
      </c>
      <c r="S31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46" s="193"/>
      <c r="U3146" s="43">
        <f>IF(Planning[[#This Row],[Horas Planificadas]]&lt;&gt;0,+K3146/Planning[[#This Row],[Horas Planificadas]],0)</f>
        <v>0</v>
      </c>
      <c r="V3146" s="43">
        <f>IF(Planning[[#This Row],[Horas Planificadas]]&lt;&gt;0,Planning[[#This Row],[Horas utilizadas]]/Planning[[#This Row],[Horas Planificadas]],0)</f>
        <v>0</v>
      </c>
      <c r="W3146" s="44">
        <f>Planning[[#This Row],[Horas Planificadas]]+Planning[[#This Row],[Horas ajustadas adicionales]]</f>
        <v>0</v>
      </c>
      <c r="X3146" s="142"/>
    </row>
    <row r="3147" spans="1:24" x14ac:dyDescent="0.2">
      <c r="A3147" s="7" t="s">
        <v>389</v>
      </c>
      <c r="B3147" s="7" t="s">
        <v>599</v>
      </c>
      <c r="C3147" s="3"/>
      <c r="D3147" s="3" t="s">
        <v>600</v>
      </c>
      <c r="E3147" s="4"/>
      <c r="F3147" s="3" t="s">
        <v>126</v>
      </c>
      <c r="G3147" s="9"/>
      <c r="H3147" s="9"/>
      <c r="I3147" s="12"/>
      <c r="J3147" s="5" t="e">
        <f>SUM(SUMIFS(#REF!,#REF!,Planning[[#This Row],[Tipo de Tarea y especialidad]],#REF!,Planning[[#This Row],[Proyectos Reiwa]]),SUMIFS(#REF!,#REF!,Planning[[#This Row],[Tipo de Tarea y especialidad]],#REF!,Planning[[#This Row],[Proyectos]]))</f>
        <v>#REF!</v>
      </c>
      <c r="K3147" s="5" t="e">
        <f>Planning[[#This Row],[Horas Planificadas]]+Planning[[#This Row],[Horas ajustadas adicionales]]-Planning[[#This Row],[Horas utilizadas]]</f>
        <v>#REF!</v>
      </c>
      <c r="L3147" s="7"/>
      <c r="M3147" s="19" t="e">
        <f>Planning[[#This Row],[Saldo]]-Planning[[#This Row],[Saldo estimado]]</f>
        <v>#REF!</v>
      </c>
      <c r="N3147" s="60" t="e">
        <f>+SUMIFS(#REF!,#REF!,Planning[[#This Row],[Proyectos]],#REF!,Planning[[#This Row],[Tipo de Tarea y especialidad]])</f>
        <v>#REF!</v>
      </c>
      <c r="O3147" s="19">
        <f t="shared" si="98"/>
        <v>10</v>
      </c>
      <c r="P3147" s="19">
        <f t="shared" si="99"/>
        <v>2024</v>
      </c>
      <c r="Q31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47" s="19" t="str">
        <f>TEXT(Planning[[#This Row],[Mes]]*29,"mmmm")</f>
        <v>October</v>
      </c>
      <c r="S31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47" s="193"/>
      <c r="U3147" s="43">
        <f>IF(Planning[[#This Row],[Horas Planificadas]]&lt;&gt;0,+K3147/Planning[[#This Row],[Horas Planificadas]],0)</f>
        <v>0</v>
      </c>
      <c r="V3147" s="43">
        <f>IF(Planning[[#This Row],[Horas Planificadas]]&lt;&gt;0,Planning[[#This Row],[Horas utilizadas]]/Planning[[#This Row],[Horas Planificadas]],0)</f>
        <v>0</v>
      </c>
      <c r="W3147" s="44">
        <f>Planning[[#This Row],[Horas Planificadas]]+Planning[[#This Row],[Horas ajustadas adicionales]]</f>
        <v>0</v>
      </c>
      <c r="X3147" s="142"/>
    </row>
    <row r="3148" spans="1:24" x14ac:dyDescent="0.2">
      <c r="A3148" s="7" t="s">
        <v>389</v>
      </c>
      <c r="B3148" s="7" t="s">
        <v>599</v>
      </c>
      <c r="C3148" s="3"/>
      <c r="D3148" s="3" t="s">
        <v>600</v>
      </c>
      <c r="E3148" s="4"/>
      <c r="F3148" s="3" t="s">
        <v>127</v>
      </c>
      <c r="G3148" s="9"/>
      <c r="H3148" s="9">
        <v>90</v>
      </c>
      <c r="I3148" s="12"/>
      <c r="J3148" s="5" t="e">
        <f>SUM(SUMIFS(#REF!,#REF!,Planning[[#This Row],[Tipo de Tarea y especialidad]],#REF!,Planning[[#This Row],[Proyectos Reiwa]]),SUMIFS(#REF!,#REF!,Planning[[#This Row],[Tipo de Tarea y especialidad]],#REF!,Planning[[#This Row],[Proyectos]]))</f>
        <v>#REF!</v>
      </c>
      <c r="K3148" s="5" t="e">
        <f>Planning[[#This Row],[Horas Planificadas]]+Planning[[#This Row],[Horas ajustadas adicionales]]-Planning[[#This Row],[Horas utilizadas]]</f>
        <v>#REF!</v>
      </c>
      <c r="L3148" s="7">
        <v>74</v>
      </c>
      <c r="M3148" s="19" t="e">
        <f>Planning[[#This Row],[Saldo]]-Planning[[#This Row],[Saldo estimado]]</f>
        <v>#REF!</v>
      </c>
      <c r="N3148" s="60" t="e">
        <f>+SUMIFS(#REF!,#REF!,Planning[[#This Row],[Proyectos]],#REF!,Planning[[#This Row],[Tipo de Tarea y especialidad]])</f>
        <v>#REF!</v>
      </c>
      <c r="O3148" s="19">
        <f t="shared" si="98"/>
        <v>10</v>
      </c>
      <c r="P3148" s="19">
        <f t="shared" si="99"/>
        <v>2024</v>
      </c>
      <c r="Q31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48" s="19" t="str">
        <f>TEXT(Planning[[#This Row],[Mes]]*29,"mmmm")</f>
        <v>October</v>
      </c>
      <c r="S31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48" s="193"/>
      <c r="U3148" s="43" t="e">
        <f>IF(Planning[[#This Row],[Horas Planificadas]]&lt;&gt;0,+K3148/Planning[[#This Row],[Horas Planificadas]],0)</f>
        <v>#REF!</v>
      </c>
      <c r="V3148" s="43" t="e">
        <f>IF(Planning[[#This Row],[Horas Planificadas]]&lt;&gt;0,Planning[[#This Row],[Horas utilizadas]]/Planning[[#This Row],[Horas Planificadas]],0)</f>
        <v>#REF!</v>
      </c>
      <c r="W3148" s="44">
        <f>Planning[[#This Row],[Horas Planificadas]]+Planning[[#This Row],[Horas ajustadas adicionales]]</f>
        <v>90</v>
      </c>
      <c r="X3148" s="142"/>
    </row>
    <row r="3149" spans="1:24" x14ac:dyDescent="0.2">
      <c r="A3149" s="7" t="s">
        <v>389</v>
      </c>
      <c r="B3149" s="7" t="s">
        <v>599</v>
      </c>
      <c r="C3149" s="3"/>
      <c r="D3149" s="3" t="s">
        <v>600</v>
      </c>
      <c r="E3149" s="4"/>
      <c r="F3149" s="3" t="s">
        <v>128</v>
      </c>
      <c r="G3149" s="9"/>
      <c r="H3149" s="9"/>
      <c r="I3149" s="12"/>
      <c r="J3149" s="5" t="e">
        <f>SUM(SUMIFS(#REF!,#REF!,Planning[[#This Row],[Tipo de Tarea y especialidad]],#REF!,Planning[[#This Row],[Proyectos Reiwa]]),SUMIFS(#REF!,#REF!,Planning[[#This Row],[Tipo de Tarea y especialidad]],#REF!,Planning[[#This Row],[Proyectos]]))</f>
        <v>#REF!</v>
      </c>
      <c r="K3149" s="5" t="e">
        <f>Planning[[#This Row],[Horas Planificadas]]+Planning[[#This Row],[Horas ajustadas adicionales]]-Planning[[#This Row],[Horas utilizadas]]</f>
        <v>#REF!</v>
      </c>
      <c r="L3149" s="7"/>
      <c r="M3149" s="19" t="e">
        <f>Planning[[#This Row],[Saldo]]-Planning[[#This Row],[Saldo estimado]]</f>
        <v>#REF!</v>
      </c>
      <c r="N3149" s="60" t="e">
        <f>+SUMIFS(#REF!,#REF!,Planning[[#This Row],[Proyectos]],#REF!,Planning[[#This Row],[Tipo de Tarea y especialidad]])</f>
        <v>#REF!</v>
      </c>
      <c r="O3149" s="19">
        <f t="shared" si="98"/>
        <v>10</v>
      </c>
      <c r="P3149" s="19">
        <f t="shared" si="99"/>
        <v>2024</v>
      </c>
      <c r="Q31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49" s="19" t="str">
        <f>TEXT(Planning[[#This Row],[Mes]]*29,"mmmm")</f>
        <v>October</v>
      </c>
      <c r="S31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49" s="193"/>
      <c r="U3149" s="43">
        <f>IF(Planning[[#This Row],[Horas Planificadas]]&lt;&gt;0,+K3149/Planning[[#This Row],[Horas Planificadas]],0)</f>
        <v>0</v>
      </c>
      <c r="V3149" s="43">
        <f>IF(Planning[[#This Row],[Horas Planificadas]]&lt;&gt;0,Planning[[#This Row],[Horas utilizadas]]/Planning[[#This Row],[Horas Planificadas]],0)</f>
        <v>0</v>
      </c>
      <c r="W3149" s="44">
        <f>Planning[[#This Row],[Horas Planificadas]]+Planning[[#This Row],[Horas ajustadas adicionales]]</f>
        <v>0</v>
      </c>
      <c r="X3149" s="142"/>
    </row>
    <row r="3150" spans="1:24" x14ac:dyDescent="0.2">
      <c r="A3150" s="7" t="s">
        <v>389</v>
      </c>
      <c r="B3150" s="7" t="s">
        <v>599</v>
      </c>
      <c r="C3150" s="3"/>
      <c r="D3150" s="3" t="s">
        <v>600</v>
      </c>
      <c r="E3150" s="4" t="s">
        <v>31</v>
      </c>
      <c r="F3150" s="3" t="s">
        <v>31</v>
      </c>
      <c r="G3150" s="9">
        <v>54</v>
      </c>
      <c r="H3150" s="17">
        <v>54</v>
      </c>
      <c r="I3150" s="18"/>
      <c r="J3150" s="14" t="e">
        <f>+SUMIFS(#REF!,#REF!,Planning[[#This Row],[Tarifa]],#REF!,Planning[[#This Row],[Proyectos]])</f>
        <v>#REF!</v>
      </c>
      <c r="K3150" s="14" t="e">
        <f>Planning[[#This Row],[Horas Planificadas]]+Planning[[#This Row],[Horas ajustadas adicionales]]-Planning[[#This Row],[Horas utilizadas]]</f>
        <v>#REF!</v>
      </c>
      <c r="L3150" s="15">
        <v>27</v>
      </c>
      <c r="M3150" s="16" t="e">
        <f>Planning[[#This Row],[Saldo]]-Planning[[#This Row],[Saldo estimado]]</f>
        <v>#REF!</v>
      </c>
      <c r="N3150" s="60" t="e">
        <f>+SUMIFS(#REF!,#REF!,Planning[[#This Row],[Proyectos]],#REF!,Planning[[#This Row],[Tipo de Tarea y especialidad]])</f>
        <v>#REF!</v>
      </c>
      <c r="O3150" s="16">
        <f t="shared" si="98"/>
        <v>10</v>
      </c>
      <c r="P3150" s="16">
        <f t="shared" si="99"/>
        <v>2024</v>
      </c>
      <c r="Q3150" s="16" t="e">
        <f>+SUMIFS(#REF!,#REF!,Planning[[#This Row],[Tarifa]],#REF!,Planning[[#This Row],[Proyectos]],#REF!,Planning[[#This Row],[Mes]],#REF!,Planning[[#This Row],[Año]])</f>
        <v>#REF!</v>
      </c>
      <c r="R3150" s="16" t="str">
        <f>TEXT(Planning[[#This Row],[Mes]]*29,"mmmm")</f>
        <v>October</v>
      </c>
      <c r="S31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50" s="193"/>
      <c r="U3150" s="43" t="e">
        <f>IF(Planning[[#This Row],[Horas Planificadas]]&lt;&gt;0,+K3150/Planning[[#This Row],[Horas Planificadas]],0)</f>
        <v>#REF!</v>
      </c>
      <c r="V3150" s="43" t="e">
        <f>IF(Planning[[#This Row],[Horas Planificadas]]&lt;&gt;0,Planning[[#This Row],[Horas utilizadas]]/Planning[[#This Row],[Horas Planificadas]],0)</f>
        <v>#REF!</v>
      </c>
      <c r="W3150" s="44">
        <f>Planning[[#This Row],[Horas Planificadas]]+Planning[[#This Row],[Horas ajustadas adicionales]]</f>
        <v>54</v>
      </c>
      <c r="X3150" s="142"/>
    </row>
    <row r="3151" spans="1:24" ht="22.5" x14ac:dyDescent="0.2">
      <c r="A3151" s="7" t="s">
        <v>389</v>
      </c>
      <c r="B3151" s="7" t="s">
        <v>599</v>
      </c>
      <c r="C3151" s="3"/>
      <c r="D3151" s="3" t="s">
        <v>600</v>
      </c>
      <c r="E3151" s="4" t="s">
        <v>32</v>
      </c>
      <c r="F3151" s="3"/>
      <c r="G3151" s="9">
        <v>120</v>
      </c>
      <c r="H3151" s="14">
        <f>SUM(H3152:H3154)</f>
        <v>120</v>
      </c>
      <c r="I3151" s="14"/>
      <c r="J3151" s="14" t="e">
        <f>SUM(J3152:J3154)</f>
        <v>#REF!</v>
      </c>
      <c r="K3151" s="15" t="e">
        <f>SUM(K3152:K3154)</f>
        <v>#REF!</v>
      </c>
      <c r="L3151" s="15">
        <f>SUM(L3152:L3154)</f>
        <v>120</v>
      </c>
      <c r="M3151" s="16" t="e">
        <f>SUM(M3152:M3154)</f>
        <v>#REF!</v>
      </c>
      <c r="N3151" s="60" t="e">
        <f>+SUMIFS(#REF!,#REF!,Planning[[#This Row],[Proyectos]],#REF!,Planning[[#This Row],[Tipo de Tarea y especialidad]])</f>
        <v>#REF!</v>
      </c>
      <c r="O3151" s="16">
        <f t="shared" si="98"/>
        <v>10</v>
      </c>
      <c r="P3151" s="16">
        <f t="shared" si="99"/>
        <v>2024</v>
      </c>
      <c r="Q3151" s="16" t="e">
        <f>SUM(Q3152:Q3154)</f>
        <v>#REF!</v>
      </c>
      <c r="R3151" s="16" t="str">
        <f>TEXT(Planning[[#This Row],[Mes]]*29,"mmmm")</f>
        <v>October</v>
      </c>
      <c r="S31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51" s="193"/>
      <c r="U3151" s="43" t="e">
        <f>IF(Planning[[#This Row],[Horas Planificadas]]&lt;&gt;0,+K3151/Planning[[#This Row],[Horas Planificadas]],0)</f>
        <v>#REF!</v>
      </c>
      <c r="V3151" s="43" t="e">
        <f>IF(Planning[[#This Row],[Horas Planificadas]]&lt;&gt;0,Planning[[#This Row],[Horas utilizadas]]/Planning[[#This Row],[Horas Planificadas]],0)</f>
        <v>#REF!</v>
      </c>
      <c r="W3151" s="44">
        <f>Planning[[#This Row],[Horas Planificadas]]+Planning[[#This Row],[Horas ajustadas adicionales]]</f>
        <v>120</v>
      </c>
      <c r="X3151" s="142"/>
    </row>
    <row r="3152" spans="1:24" x14ac:dyDescent="0.2">
      <c r="A3152" s="7" t="s">
        <v>389</v>
      </c>
      <c r="B3152" s="7" t="s">
        <v>599</v>
      </c>
      <c r="C3152" s="3"/>
      <c r="D3152" s="3" t="s">
        <v>600</v>
      </c>
      <c r="E3152" s="4"/>
      <c r="F3152" s="3" t="s">
        <v>129</v>
      </c>
      <c r="G3152" s="11"/>
      <c r="H3152" s="9"/>
      <c r="I3152" s="12"/>
      <c r="J3152" s="5" t="e">
        <f>SUM(SUMIFS(#REF!,#REF!,Planning[[#This Row],[Tipo de Tarea y especialidad]],#REF!,Planning[[#This Row],[Proyectos Reiwa]]),SUMIFS(#REF!,#REF!,Planning[[#This Row],[Tipo de Tarea y especialidad]],#REF!,Planning[[#This Row],[Proyectos]]))</f>
        <v>#REF!</v>
      </c>
      <c r="K3152" s="5" t="e">
        <f>Planning[[#This Row],[Horas Planificadas]]+Planning[[#This Row],[Horas ajustadas adicionales]]-Planning[[#This Row],[Horas utilizadas]]</f>
        <v>#REF!</v>
      </c>
      <c r="L3152" s="7"/>
      <c r="M3152" s="19" t="e">
        <f>Planning[[#This Row],[Saldo]]-Planning[[#This Row],[Saldo estimado]]</f>
        <v>#REF!</v>
      </c>
      <c r="N3152" s="60" t="e">
        <f>+SUMIFS(#REF!,#REF!,Planning[[#This Row],[Proyectos]],#REF!,Planning[[#This Row],[Tipo de Tarea y especialidad]])</f>
        <v>#REF!</v>
      </c>
      <c r="O3152" s="19">
        <f t="shared" si="98"/>
        <v>10</v>
      </c>
      <c r="P3152" s="19">
        <f t="shared" si="99"/>
        <v>2024</v>
      </c>
      <c r="Q31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52" s="19" t="str">
        <f>TEXT(Planning[[#This Row],[Mes]]*29,"mmmm")</f>
        <v>October</v>
      </c>
      <c r="S31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52" s="193"/>
      <c r="U3152" s="43">
        <f>IF(Planning[[#This Row],[Horas Planificadas]]&lt;&gt;0,+K3152/Planning[[#This Row],[Horas Planificadas]],0)</f>
        <v>0</v>
      </c>
      <c r="V3152" s="43">
        <f>IF(Planning[[#This Row],[Horas Planificadas]]&lt;&gt;0,Planning[[#This Row],[Horas utilizadas]]/Planning[[#This Row],[Horas Planificadas]],0)</f>
        <v>0</v>
      </c>
      <c r="W3152" s="44">
        <f>Planning[[#This Row],[Horas Planificadas]]+Planning[[#This Row],[Horas ajustadas adicionales]]</f>
        <v>0</v>
      </c>
      <c r="X3152" s="142"/>
    </row>
    <row r="3153" spans="1:24" x14ac:dyDescent="0.2">
      <c r="A3153" s="7" t="s">
        <v>389</v>
      </c>
      <c r="B3153" s="7" t="s">
        <v>599</v>
      </c>
      <c r="C3153" s="3"/>
      <c r="D3153" s="3" t="s">
        <v>600</v>
      </c>
      <c r="E3153" s="4"/>
      <c r="F3153" s="3" t="s">
        <v>130</v>
      </c>
      <c r="G3153" s="11"/>
      <c r="H3153" s="9">
        <v>120</v>
      </c>
      <c r="I3153" s="12"/>
      <c r="J3153" s="5" t="e">
        <f>SUM(SUMIFS(#REF!,#REF!,Planning[[#This Row],[Tipo de Tarea y especialidad]],#REF!,Planning[[#This Row],[Proyectos Reiwa]]),SUMIFS(#REF!,#REF!,Planning[[#This Row],[Tipo de Tarea y especialidad]],#REF!,Planning[[#This Row],[Proyectos]]))</f>
        <v>#REF!</v>
      </c>
      <c r="K3153" s="5" t="e">
        <f>Planning[[#This Row],[Horas Planificadas]]+Planning[[#This Row],[Horas ajustadas adicionales]]-Planning[[#This Row],[Horas utilizadas]]</f>
        <v>#REF!</v>
      </c>
      <c r="L3153" s="7">
        <v>120</v>
      </c>
      <c r="M3153" s="19" t="e">
        <f>Planning[[#This Row],[Saldo]]-Planning[[#This Row],[Saldo estimado]]</f>
        <v>#REF!</v>
      </c>
      <c r="N3153" s="60" t="e">
        <f>+SUMIFS(#REF!,#REF!,Planning[[#This Row],[Proyectos]],#REF!,Planning[[#This Row],[Tipo de Tarea y especialidad]])</f>
        <v>#REF!</v>
      </c>
      <c r="O3153" s="19">
        <f t="shared" si="98"/>
        <v>10</v>
      </c>
      <c r="P3153" s="19">
        <f t="shared" si="99"/>
        <v>2024</v>
      </c>
      <c r="Q31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53" s="19" t="str">
        <f>TEXT(Planning[[#This Row],[Mes]]*29,"mmmm")</f>
        <v>October</v>
      </c>
      <c r="S31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53" s="193"/>
      <c r="U3153" s="43" t="e">
        <f>IF(Planning[[#This Row],[Horas Planificadas]]&lt;&gt;0,+K3153/Planning[[#This Row],[Horas Planificadas]],0)</f>
        <v>#REF!</v>
      </c>
      <c r="V3153" s="43" t="e">
        <f>IF(Planning[[#This Row],[Horas Planificadas]]&lt;&gt;0,Planning[[#This Row],[Horas utilizadas]]/Planning[[#This Row],[Horas Planificadas]],0)</f>
        <v>#REF!</v>
      </c>
      <c r="W3153" s="44">
        <f>Planning[[#This Row],[Horas Planificadas]]+Planning[[#This Row],[Horas ajustadas adicionales]]</f>
        <v>120</v>
      </c>
      <c r="X3153" s="142"/>
    </row>
    <row r="3154" spans="1:24" x14ac:dyDescent="0.2">
      <c r="A3154" s="7" t="s">
        <v>389</v>
      </c>
      <c r="B3154" s="7" t="s">
        <v>599</v>
      </c>
      <c r="C3154" s="3"/>
      <c r="D3154" s="3" t="s">
        <v>600</v>
      </c>
      <c r="E3154" s="4"/>
      <c r="F3154" s="3" t="s">
        <v>131</v>
      </c>
      <c r="G3154" s="11"/>
      <c r="H3154" s="9"/>
      <c r="I3154" s="12"/>
      <c r="J3154" s="5" t="e">
        <f>SUM(SUMIFS(#REF!,#REF!,Planning[[#This Row],[Tipo de Tarea y especialidad]],#REF!,Planning[[#This Row],[Proyectos Reiwa]]),SUMIFS(#REF!,#REF!,Planning[[#This Row],[Tipo de Tarea y especialidad]],#REF!,Planning[[#This Row],[Proyectos]]))</f>
        <v>#REF!</v>
      </c>
      <c r="K3154" s="5" t="e">
        <f>Planning[[#This Row],[Horas Planificadas]]+Planning[[#This Row],[Horas ajustadas adicionales]]-Planning[[#This Row],[Horas utilizadas]]</f>
        <v>#REF!</v>
      </c>
      <c r="L3154" s="7"/>
      <c r="M3154" s="19" t="e">
        <f>Planning[[#This Row],[Saldo]]-Planning[[#This Row],[Saldo estimado]]</f>
        <v>#REF!</v>
      </c>
      <c r="N3154" s="60" t="e">
        <f>+SUMIFS(#REF!,#REF!,Planning[[#This Row],[Proyectos]],#REF!,Planning[[#This Row],[Tipo de Tarea y especialidad]])</f>
        <v>#REF!</v>
      </c>
      <c r="O3154" s="19">
        <f t="shared" si="98"/>
        <v>10</v>
      </c>
      <c r="P3154" s="19">
        <f t="shared" si="99"/>
        <v>2024</v>
      </c>
      <c r="Q31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54" s="19" t="str">
        <f>TEXT(Planning[[#This Row],[Mes]]*29,"mmmm")</f>
        <v>October</v>
      </c>
      <c r="S31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54" s="193"/>
      <c r="U3154" s="43">
        <f>IF(Planning[[#This Row],[Horas Planificadas]]&lt;&gt;0,+K3154/Planning[[#This Row],[Horas Planificadas]],0)</f>
        <v>0</v>
      </c>
      <c r="V3154" s="43">
        <f>IF(Planning[[#This Row],[Horas Planificadas]]&lt;&gt;0,Planning[[#This Row],[Horas utilizadas]]/Planning[[#This Row],[Horas Planificadas]],0)</f>
        <v>0</v>
      </c>
      <c r="W3154" s="44">
        <f>Planning[[#This Row],[Horas Planificadas]]+Planning[[#This Row],[Horas ajustadas adicionales]]</f>
        <v>0</v>
      </c>
      <c r="X3154" s="142"/>
    </row>
    <row r="3155" spans="1:24" ht="22.5" x14ac:dyDescent="0.2">
      <c r="A3155" s="7" t="s">
        <v>389</v>
      </c>
      <c r="B3155" s="7" t="s">
        <v>393</v>
      </c>
      <c r="C3155" s="3"/>
      <c r="D3155" s="3" t="s">
        <v>600</v>
      </c>
      <c r="E3155" s="4" t="s">
        <v>28</v>
      </c>
      <c r="F3155" s="3"/>
      <c r="G3155" s="9">
        <v>125</v>
      </c>
      <c r="H3155" s="14">
        <f>SUM(H3156:H3157)</f>
        <v>125</v>
      </c>
      <c r="I3155" s="14"/>
      <c r="J3155" s="14" t="e">
        <f>SUM(J3156:J3157)</f>
        <v>#REF!</v>
      </c>
      <c r="K3155" s="15" t="e">
        <f>SUM(K3156:K3157)</f>
        <v>#REF!</v>
      </c>
      <c r="L3155" s="15">
        <f>SUM(L3156:L3157)</f>
        <v>9</v>
      </c>
      <c r="M3155" s="14" t="e">
        <f>SUM(M3156:M3157)</f>
        <v>#REF!</v>
      </c>
      <c r="N3155" s="66" t="e">
        <f>+SUMIFS(#REF!,#REF!,Planning[[#This Row],[Proyectos]],#REF!,Planning[[#This Row],[Tipo de Tarea y especialidad]])</f>
        <v>#REF!</v>
      </c>
      <c r="O3155" s="14">
        <f t="shared" si="98"/>
        <v>10</v>
      </c>
      <c r="P3155" s="14">
        <f t="shared" si="99"/>
        <v>2024</v>
      </c>
      <c r="Q3155" s="28" t="e">
        <f>SUM(Q3156:Q3157)</f>
        <v>#REF!</v>
      </c>
      <c r="R3155" s="28" t="str">
        <f>TEXT(Planning[[#This Row],[Mes]]*29,"mmmm")</f>
        <v>October</v>
      </c>
      <c r="S31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55" s="192" t="s">
        <v>602</v>
      </c>
      <c r="U3155" s="43" t="e">
        <f>IF(Planning[[#This Row],[Horas Planificadas]]&lt;&gt;0,+K3155/Planning[[#This Row],[Horas Planificadas]],0)</f>
        <v>#REF!</v>
      </c>
      <c r="V3155" s="43" t="e">
        <f>IF(Planning[[#This Row],[Horas Planificadas]]&lt;&gt;0,Planning[[#This Row],[Horas utilizadas]]/Planning[[#This Row],[Horas Planificadas]],0)</f>
        <v>#REF!</v>
      </c>
      <c r="W3155" s="44">
        <f>Planning[[#This Row],[Horas Planificadas]]+Planning[[#This Row],[Horas ajustadas adicionales]]</f>
        <v>125</v>
      </c>
      <c r="X3155" s="142"/>
    </row>
    <row r="3156" spans="1:24" x14ac:dyDescent="0.2">
      <c r="A3156" s="7" t="s">
        <v>389</v>
      </c>
      <c r="B3156" s="7" t="s">
        <v>393</v>
      </c>
      <c r="C3156" s="3"/>
      <c r="D3156" s="3" t="s">
        <v>600</v>
      </c>
      <c r="E3156" s="4"/>
      <c r="F3156" s="3" t="s">
        <v>120</v>
      </c>
      <c r="G3156" s="9"/>
      <c r="H3156" s="9">
        <v>100</v>
      </c>
      <c r="I3156" s="12"/>
      <c r="J3156" s="5" t="e">
        <f>SUM(SUMIFS(#REF!,#REF!,Planning[[#This Row],[Tipo de Tarea y especialidad]],#REF!,Planning[[#This Row],[Proyectos Reiwa]]),SUMIFS(#REF!,#REF!,Planning[[#This Row],[Tipo de Tarea y especialidad]],#REF!,Planning[[#This Row],[Proyectos]]))</f>
        <v>#REF!</v>
      </c>
      <c r="K3156" s="5" t="e">
        <f>Planning[[#This Row],[Horas Planificadas]]+Planning[[#This Row],[Horas ajustadas adicionales]]-Planning[[#This Row],[Horas utilizadas]]</f>
        <v>#REF!</v>
      </c>
      <c r="L3156" s="7">
        <v>0</v>
      </c>
      <c r="M3156" s="19" t="e">
        <f>Planning[[#This Row],[Saldo]]-Planning[[#This Row],[Saldo estimado]]</f>
        <v>#REF!</v>
      </c>
      <c r="N3156" s="60" t="e">
        <f>+SUMIFS(#REF!,#REF!,Planning[[#This Row],[Proyectos]],#REF!,Planning[[#This Row],[Tipo de Tarea y especialidad]])</f>
        <v>#REF!</v>
      </c>
      <c r="O3156" s="19">
        <f t="shared" si="98"/>
        <v>10</v>
      </c>
      <c r="P3156" s="19">
        <f t="shared" si="99"/>
        <v>2024</v>
      </c>
      <c r="Q31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56" s="19" t="str">
        <f>TEXT(Planning[[#This Row],[Mes]]*29,"mmmm")</f>
        <v>October</v>
      </c>
      <c r="S31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56" s="193"/>
      <c r="U3156" s="43" t="e">
        <f>IF(Planning[[#This Row],[Horas Planificadas]]&lt;&gt;0,+K3156/Planning[[#This Row],[Horas Planificadas]],0)</f>
        <v>#REF!</v>
      </c>
      <c r="V3156" s="43" t="e">
        <f>IF(Planning[[#This Row],[Horas Planificadas]]&lt;&gt;0,Planning[[#This Row],[Horas utilizadas]]/Planning[[#This Row],[Horas Planificadas]],0)</f>
        <v>#REF!</v>
      </c>
      <c r="W3156" s="44">
        <f>Planning[[#This Row],[Horas Planificadas]]+Planning[[#This Row],[Horas ajustadas adicionales]]</f>
        <v>100</v>
      </c>
      <c r="X3156" s="142"/>
    </row>
    <row r="3157" spans="1:24" x14ac:dyDescent="0.2">
      <c r="A3157" s="7" t="s">
        <v>389</v>
      </c>
      <c r="B3157" s="7" t="s">
        <v>393</v>
      </c>
      <c r="C3157" s="3"/>
      <c r="D3157" s="3" t="s">
        <v>600</v>
      </c>
      <c r="E3157" s="4"/>
      <c r="F3157" s="3" t="s">
        <v>121</v>
      </c>
      <c r="G3157" s="9"/>
      <c r="H3157" s="9">
        <v>25</v>
      </c>
      <c r="I3157" s="12"/>
      <c r="J3157" s="5" t="e">
        <f>SUM(SUMIFS(#REF!,#REF!,Planning[[#This Row],[Tipo de Tarea y especialidad]],#REF!,Planning[[#This Row],[Proyectos Reiwa]]),SUMIFS(#REF!,#REF!,Planning[[#This Row],[Tipo de Tarea y especialidad]],#REF!,Planning[[#This Row],[Proyectos]]))</f>
        <v>#REF!</v>
      </c>
      <c r="K3157" s="5" t="e">
        <f>Planning[[#This Row],[Horas Planificadas]]+Planning[[#This Row],[Horas ajustadas adicionales]]-Planning[[#This Row],[Horas utilizadas]]</f>
        <v>#REF!</v>
      </c>
      <c r="L3157" s="7">
        <v>9</v>
      </c>
      <c r="M3157" s="19" t="e">
        <f>Planning[[#This Row],[Saldo]]-Planning[[#This Row],[Saldo estimado]]</f>
        <v>#REF!</v>
      </c>
      <c r="N3157" s="60" t="e">
        <f>+SUMIFS(#REF!,#REF!,Planning[[#This Row],[Proyectos]],#REF!,Planning[[#This Row],[Tipo de Tarea y especialidad]])</f>
        <v>#REF!</v>
      </c>
      <c r="O3157" s="19">
        <f t="shared" si="98"/>
        <v>10</v>
      </c>
      <c r="P3157" s="19">
        <f t="shared" si="99"/>
        <v>2024</v>
      </c>
      <c r="Q31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57" s="19" t="str">
        <f>TEXT(Planning[[#This Row],[Mes]]*29,"mmmm")</f>
        <v>October</v>
      </c>
      <c r="S31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57" s="193"/>
      <c r="U3157" s="43" t="e">
        <f>IF(Planning[[#This Row],[Horas Planificadas]]&lt;&gt;0,+K3157/Planning[[#This Row],[Horas Planificadas]],0)</f>
        <v>#REF!</v>
      </c>
      <c r="V3157" s="43" t="e">
        <f>IF(Planning[[#This Row],[Horas Planificadas]]&lt;&gt;0,Planning[[#This Row],[Horas utilizadas]]/Planning[[#This Row],[Horas Planificadas]],0)</f>
        <v>#REF!</v>
      </c>
      <c r="W3157" s="44">
        <f>Planning[[#This Row],[Horas Planificadas]]+Planning[[#This Row],[Horas ajustadas adicionales]]</f>
        <v>25</v>
      </c>
      <c r="X3157" s="142"/>
    </row>
    <row r="3158" spans="1:24" x14ac:dyDescent="0.2">
      <c r="A3158" s="7" t="s">
        <v>389</v>
      </c>
      <c r="B3158" s="7" t="s">
        <v>393</v>
      </c>
      <c r="C3158" s="3"/>
      <c r="D3158" s="3" t="s">
        <v>600</v>
      </c>
      <c r="E3158" s="4" t="s">
        <v>30</v>
      </c>
      <c r="F3158" s="3"/>
      <c r="G3158" s="9">
        <v>145</v>
      </c>
      <c r="H3158" s="14">
        <f>SUM(H3159:H3165)</f>
        <v>145</v>
      </c>
      <c r="I3158" s="14"/>
      <c r="J3158" s="14" t="e">
        <f>SUM(J3159:J3165)</f>
        <v>#REF!</v>
      </c>
      <c r="K3158" s="15" t="e">
        <f>SUM(K3159:K3165)</f>
        <v>#REF!</v>
      </c>
      <c r="L3158" s="15">
        <f>SUM(L3159:L3165)</f>
        <v>91</v>
      </c>
      <c r="M3158" s="16" t="e">
        <f>SUM(M3159:M3165)</f>
        <v>#REF!</v>
      </c>
      <c r="N3158" s="60" t="e">
        <f>+SUMIFS(#REF!,#REF!,Planning[[#This Row],[Proyectos]],#REF!,Planning[[#This Row],[Tipo de Tarea y especialidad]])</f>
        <v>#REF!</v>
      </c>
      <c r="O3158" s="16">
        <f t="shared" si="98"/>
        <v>10</v>
      </c>
      <c r="P3158" s="16">
        <f t="shared" si="99"/>
        <v>2024</v>
      </c>
      <c r="Q3158" s="16" t="e">
        <f>SUM(Q3159:Q3165)</f>
        <v>#REF!</v>
      </c>
      <c r="R3158" s="16" t="str">
        <f>TEXT(Planning[[#This Row],[Mes]]*29,"mmmm")</f>
        <v>October</v>
      </c>
      <c r="S31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58" s="193"/>
      <c r="U3158" s="43" t="e">
        <f>IF(Planning[[#This Row],[Horas Planificadas]]&lt;&gt;0,+K3158/Planning[[#This Row],[Horas Planificadas]],0)</f>
        <v>#REF!</v>
      </c>
      <c r="V3158" s="43" t="e">
        <f>IF(Planning[[#This Row],[Horas Planificadas]]&lt;&gt;0,Planning[[#This Row],[Horas utilizadas]]/Planning[[#This Row],[Horas Planificadas]],0)</f>
        <v>#REF!</v>
      </c>
      <c r="W3158" s="44">
        <f>Planning[[#This Row],[Horas Planificadas]]+Planning[[#This Row],[Horas ajustadas adicionales]]</f>
        <v>145</v>
      </c>
      <c r="X3158" s="142"/>
    </row>
    <row r="3159" spans="1:24" x14ac:dyDescent="0.2">
      <c r="A3159" s="7" t="s">
        <v>389</v>
      </c>
      <c r="B3159" s="7" t="s">
        <v>393</v>
      </c>
      <c r="C3159" s="3"/>
      <c r="D3159" s="3" t="s">
        <v>600</v>
      </c>
      <c r="E3159" s="4"/>
      <c r="F3159" s="3" t="s">
        <v>122</v>
      </c>
      <c r="G3159" s="9"/>
      <c r="H3159" s="9">
        <v>45</v>
      </c>
      <c r="I3159" s="12"/>
      <c r="J3159" s="5" t="e">
        <f>SUM(SUMIFS(#REF!,#REF!,Planning[[#This Row],[Tipo de Tarea y especialidad]],#REF!,Planning[[#This Row],[Proyectos Reiwa]]),SUMIFS(#REF!,#REF!,Planning[[#This Row],[Tipo de Tarea y especialidad]],#REF!,Planning[[#This Row],[Proyectos]]))</f>
        <v>#REF!</v>
      </c>
      <c r="K3159" s="5" t="e">
        <f>Planning[[#This Row],[Horas Planificadas]]+Planning[[#This Row],[Horas ajustadas adicionales]]-Planning[[#This Row],[Horas utilizadas]]</f>
        <v>#REF!</v>
      </c>
      <c r="L3159" s="7">
        <v>28</v>
      </c>
      <c r="M3159" s="19" t="e">
        <f>Planning[[#This Row],[Saldo]]-Planning[[#This Row],[Saldo estimado]]</f>
        <v>#REF!</v>
      </c>
      <c r="N3159" s="60" t="e">
        <f>+SUMIFS(#REF!,#REF!,Planning[[#This Row],[Proyectos]],#REF!,Planning[[#This Row],[Tipo de Tarea y especialidad]])</f>
        <v>#REF!</v>
      </c>
      <c r="O3159" s="19">
        <f t="shared" si="98"/>
        <v>10</v>
      </c>
      <c r="P3159" s="19">
        <f t="shared" si="99"/>
        <v>2024</v>
      </c>
      <c r="Q31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59" s="19" t="str">
        <f>TEXT(Planning[[#This Row],[Mes]]*29,"mmmm")</f>
        <v>October</v>
      </c>
      <c r="S31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59" s="193"/>
      <c r="U3159" s="43" t="e">
        <f>IF(Planning[[#This Row],[Horas Planificadas]]&lt;&gt;0,+K3159/Planning[[#This Row],[Horas Planificadas]],0)</f>
        <v>#REF!</v>
      </c>
      <c r="V3159" s="43" t="e">
        <f>IF(Planning[[#This Row],[Horas Planificadas]]&lt;&gt;0,Planning[[#This Row],[Horas utilizadas]]/Planning[[#This Row],[Horas Planificadas]],0)</f>
        <v>#REF!</v>
      </c>
      <c r="W3159" s="44">
        <f>Planning[[#This Row],[Horas Planificadas]]+Planning[[#This Row],[Horas ajustadas adicionales]]</f>
        <v>45</v>
      </c>
      <c r="X3159" s="142"/>
    </row>
    <row r="3160" spans="1:24" x14ac:dyDescent="0.2">
      <c r="A3160" s="7" t="s">
        <v>389</v>
      </c>
      <c r="B3160" s="7" t="s">
        <v>393</v>
      </c>
      <c r="C3160" s="3"/>
      <c r="D3160" s="3" t="s">
        <v>600</v>
      </c>
      <c r="E3160" s="4"/>
      <c r="F3160" s="3" t="s">
        <v>123</v>
      </c>
      <c r="G3160" s="9"/>
      <c r="H3160" s="9">
        <v>45</v>
      </c>
      <c r="I3160" s="12"/>
      <c r="J3160" s="5" t="e">
        <f>SUM(SUMIFS(#REF!,#REF!,Planning[[#This Row],[Tipo de Tarea y especialidad]],#REF!,Planning[[#This Row],[Proyectos Reiwa]]),SUMIFS(#REF!,#REF!,Planning[[#This Row],[Tipo de Tarea y especialidad]],#REF!,Planning[[#This Row],[Proyectos]]))</f>
        <v>#REF!</v>
      </c>
      <c r="K3160" s="5" t="e">
        <f>Planning[[#This Row],[Horas Planificadas]]+Planning[[#This Row],[Horas ajustadas adicionales]]-Planning[[#This Row],[Horas utilizadas]]</f>
        <v>#REF!</v>
      </c>
      <c r="L3160" s="7">
        <v>36</v>
      </c>
      <c r="M3160" s="19" t="e">
        <f>Planning[[#This Row],[Saldo]]-Planning[[#This Row],[Saldo estimado]]</f>
        <v>#REF!</v>
      </c>
      <c r="N3160" s="60" t="e">
        <f>+SUMIFS(#REF!,#REF!,Planning[[#This Row],[Proyectos]],#REF!,Planning[[#This Row],[Tipo de Tarea y especialidad]])</f>
        <v>#REF!</v>
      </c>
      <c r="O3160" s="19">
        <f t="shared" si="98"/>
        <v>10</v>
      </c>
      <c r="P3160" s="19">
        <f t="shared" si="99"/>
        <v>2024</v>
      </c>
      <c r="Q31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60" s="19" t="str">
        <f>TEXT(Planning[[#This Row],[Mes]]*29,"mmmm")</f>
        <v>October</v>
      </c>
      <c r="S31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60" s="193"/>
      <c r="U3160" s="43" t="e">
        <f>IF(Planning[[#This Row],[Horas Planificadas]]&lt;&gt;0,+K3160/Planning[[#This Row],[Horas Planificadas]],0)</f>
        <v>#REF!</v>
      </c>
      <c r="V3160" s="43" t="e">
        <f>IF(Planning[[#This Row],[Horas Planificadas]]&lt;&gt;0,Planning[[#This Row],[Horas utilizadas]]/Planning[[#This Row],[Horas Planificadas]],0)</f>
        <v>#REF!</v>
      </c>
      <c r="W3160" s="44">
        <f>Planning[[#This Row],[Horas Planificadas]]+Planning[[#This Row],[Horas ajustadas adicionales]]</f>
        <v>45</v>
      </c>
      <c r="X3160" s="142"/>
    </row>
    <row r="3161" spans="1:24" x14ac:dyDescent="0.2">
      <c r="A3161" s="7" t="s">
        <v>389</v>
      </c>
      <c r="B3161" s="7" t="s">
        <v>393</v>
      </c>
      <c r="C3161" s="3"/>
      <c r="D3161" s="3" t="s">
        <v>600</v>
      </c>
      <c r="E3161" s="4"/>
      <c r="F3161" s="3" t="s">
        <v>124</v>
      </c>
      <c r="G3161" s="9"/>
      <c r="H3161" s="9">
        <v>55</v>
      </c>
      <c r="I3161" s="12"/>
      <c r="J3161" s="5" t="e">
        <f>SUM(SUMIFS(#REF!,#REF!,Planning[[#This Row],[Tipo de Tarea y especialidad]],#REF!,Planning[[#This Row],[Proyectos Reiwa]]),SUMIFS(#REF!,#REF!,Planning[[#This Row],[Tipo de Tarea y especialidad]],#REF!,Planning[[#This Row],[Proyectos]]))</f>
        <v>#REF!</v>
      </c>
      <c r="K3161" s="5" t="e">
        <f>Planning[[#This Row],[Horas Planificadas]]+Planning[[#This Row],[Horas ajustadas adicionales]]-Planning[[#This Row],[Horas utilizadas]]</f>
        <v>#REF!</v>
      </c>
      <c r="L3161" s="7"/>
      <c r="M3161" s="19" t="e">
        <f>Planning[[#This Row],[Saldo]]-Planning[[#This Row],[Saldo estimado]]</f>
        <v>#REF!</v>
      </c>
      <c r="N3161" s="60" t="e">
        <f>+SUMIFS(#REF!,#REF!,Planning[[#This Row],[Proyectos]],#REF!,Planning[[#This Row],[Tipo de Tarea y especialidad]])</f>
        <v>#REF!</v>
      </c>
      <c r="O3161" s="19">
        <f t="shared" si="98"/>
        <v>10</v>
      </c>
      <c r="P3161" s="19">
        <f t="shared" si="99"/>
        <v>2024</v>
      </c>
      <c r="Q31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61" s="19" t="str">
        <f>TEXT(Planning[[#This Row],[Mes]]*29,"mmmm")</f>
        <v>October</v>
      </c>
      <c r="S31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61" s="193"/>
      <c r="U3161" s="43" t="e">
        <f>IF(Planning[[#This Row],[Horas Planificadas]]&lt;&gt;0,+K3161/Planning[[#This Row],[Horas Planificadas]],0)</f>
        <v>#REF!</v>
      </c>
      <c r="V3161" s="43" t="e">
        <f>IF(Planning[[#This Row],[Horas Planificadas]]&lt;&gt;0,Planning[[#This Row],[Horas utilizadas]]/Planning[[#This Row],[Horas Planificadas]],0)</f>
        <v>#REF!</v>
      </c>
      <c r="W3161" s="44">
        <f>Planning[[#This Row],[Horas Planificadas]]+Planning[[#This Row],[Horas ajustadas adicionales]]</f>
        <v>55</v>
      </c>
      <c r="X3161" s="142"/>
    </row>
    <row r="3162" spans="1:24" x14ac:dyDescent="0.2">
      <c r="A3162" s="7" t="s">
        <v>389</v>
      </c>
      <c r="B3162" s="7" t="s">
        <v>393</v>
      </c>
      <c r="C3162" s="3"/>
      <c r="D3162" s="3" t="s">
        <v>600</v>
      </c>
      <c r="E3162" s="4"/>
      <c r="F3162" s="3" t="s">
        <v>125</v>
      </c>
      <c r="G3162" s="9"/>
      <c r="H3162" s="9"/>
      <c r="I3162" s="12"/>
      <c r="J3162" s="5" t="e">
        <f>SUM(SUMIFS(#REF!,#REF!,Planning[[#This Row],[Tipo de Tarea y especialidad]],#REF!,Planning[[#This Row],[Proyectos Reiwa]]),SUMIFS(#REF!,#REF!,Planning[[#This Row],[Tipo de Tarea y especialidad]],#REF!,Planning[[#This Row],[Proyectos]]))</f>
        <v>#REF!</v>
      </c>
      <c r="K3162" s="5" t="e">
        <f>Planning[[#This Row],[Horas Planificadas]]+Planning[[#This Row],[Horas ajustadas adicionales]]-Planning[[#This Row],[Horas utilizadas]]</f>
        <v>#REF!</v>
      </c>
      <c r="L3162" s="7"/>
      <c r="M3162" s="19" t="e">
        <f>Planning[[#This Row],[Saldo]]-Planning[[#This Row],[Saldo estimado]]</f>
        <v>#REF!</v>
      </c>
      <c r="N3162" s="60" t="e">
        <f>+SUMIFS(#REF!,#REF!,Planning[[#This Row],[Proyectos]],#REF!,Planning[[#This Row],[Tipo de Tarea y especialidad]])</f>
        <v>#REF!</v>
      </c>
      <c r="O3162" s="19">
        <f t="shared" si="98"/>
        <v>10</v>
      </c>
      <c r="P3162" s="19">
        <f t="shared" si="99"/>
        <v>2024</v>
      </c>
      <c r="Q31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62" s="19" t="str">
        <f>TEXT(Planning[[#This Row],[Mes]]*29,"mmmm")</f>
        <v>October</v>
      </c>
      <c r="S31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62" s="193"/>
      <c r="U3162" s="43">
        <f>IF(Planning[[#This Row],[Horas Planificadas]]&lt;&gt;0,+K3162/Planning[[#This Row],[Horas Planificadas]],0)</f>
        <v>0</v>
      </c>
      <c r="V3162" s="43">
        <f>IF(Planning[[#This Row],[Horas Planificadas]]&lt;&gt;0,Planning[[#This Row],[Horas utilizadas]]/Planning[[#This Row],[Horas Planificadas]],0)</f>
        <v>0</v>
      </c>
      <c r="W3162" s="44">
        <f>Planning[[#This Row],[Horas Planificadas]]+Planning[[#This Row],[Horas ajustadas adicionales]]</f>
        <v>0</v>
      </c>
      <c r="X3162" s="142"/>
    </row>
    <row r="3163" spans="1:24" x14ac:dyDescent="0.2">
      <c r="A3163" s="7" t="s">
        <v>389</v>
      </c>
      <c r="B3163" s="7" t="s">
        <v>393</v>
      </c>
      <c r="C3163" s="3"/>
      <c r="D3163" s="3" t="s">
        <v>600</v>
      </c>
      <c r="E3163" s="4"/>
      <c r="F3163" s="3" t="s">
        <v>126</v>
      </c>
      <c r="G3163" s="9"/>
      <c r="H3163" s="9"/>
      <c r="I3163" s="12"/>
      <c r="J3163" s="5" t="e">
        <f>SUM(SUMIFS(#REF!,#REF!,Planning[[#This Row],[Tipo de Tarea y especialidad]],#REF!,Planning[[#This Row],[Proyectos Reiwa]]),SUMIFS(#REF!,#REF!,Planning[[#This Row],[Tipo de Tarea y especialidad]],#REF!,Planning[[#This Row],[Proyectos]]))</f>
        <v>#REF!</v>
      </c>
      <c r="K3163" s="5" t="e">
        <f>Planning[[#This Row],[Horas Planificadas]]+Planning[[#This Row],[Horas ajustadas adicionales]]-Planning[[#This Row],[Horas utilizadas]]</f>
        <v>#REF!</v>
      </c>
      <c r="L3163" s="7"/>
      <c r="M3163" s="19" t="e">
        <f>Planning[[#This Row],[Saldo]]-Planning[[#This Row],[Saldo estimado]]</f>
        <v>#REF!</v>
      </c>
      <c r="N3163" s="60" t="e">
        <f>+SUMIFS(#REF!,#REF!,Planning[[#This Row],[Proyectos]],#REF!,Planning[[#This Row],[Tipo de Tarea y especialidad]])</f>
        <v>#REF!</v>
      </c>
      <c r="O3163" s="19">
        <f t="shared" si="98"/>
        <v>10</v>
      </c>
      <c r="P3163" s="19">
        <f t="shared" si="99"/>
        <v>2024</v>
      </c>
      <c r="Q31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63" s="19" t="str">
        <f>TEXT(Planning[[#This Row],[Mes]]*29,"mmmm")</f>
        <v>October</v>
      </c>
      <c r="S31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63" s="193"/>
      <c r="U3163" s="43">
        <f>IF(Planning[[#This Row],[Horas Planificadas]]&lt;&gt;0,+K3163/Planning[[#This Row],[Horas Planificadas]],0)</f>
        <v>0</v>
      </c>
      <c r="V3163" s="43">
        <f>IF(Planning[[#This Row],[Horas Planificadas]]&lt;&gt;0,Planning[[#This Row],[Horas utilizadas]]/Planning[[#This Row],[Horas Planificadas]],0)</f>
        <v>0</v>
      </c>
      <c r="W3163" s="44">
        <f>Planning[[#This Row],[Horas Planificadas]]+Planning[[#This Row],[Horas ajustadas adicionales]]</f>
        <v>0</v>
      </c>
      <c r="X3163" s="142"/>
    </row>
    <row r="3164" spans="1:24" x14ac:dyDescent="0.2">
      <c r="A3164" s="7" t="s">
        <v>389</v>
      </c>
      <c r="B3164" s="7" t="s">
        <v>393</v>
      </c>
      <c r="C3164" s="3"/>
      <c r="D3164" s="3" t="s">
        <v>600</v>
      </c>
      <c r="E3164" s="4"/>
      <c r="F3164" s="3" t="s">
        <v>127</v>
      </c>
      <c r="G3164" s="9"/>
      <c r="H3164" s="9"/>
      <c r="I3164" s="12"/>
      <c r="J3164" s="5" t="e">
        <f>SUM(SUMIFS(#REF!,#REF!,Planning[[#This Row],[Tipo de Tarea y especialidad]],#REF!,Planning[[#This Row],[Proyectos Reiwa]]),SUMIFS(#REF!,#REF!,Planning[[#This Row],[Tipo de Tarea y especialidad]],#REF!,Planning[[#This Row],[Proyectos]]))</f>
        <v>#REF!</v>
      </c>
      <c r="K3164" s="5" t="e">
        <f>Planning[[#This Row],[Horas Planificadas]]+Planning[[#This Row],[Horas ajustadas adicionales]]-Planning[[#This Row],[Horas utilizadas]]</f>
        <v>#REF!</v>
      </c>
      <c r="L3164" s="7"/>
      <c r="M3164" s="19" t="e">
        <f>Planning[[#This Row],[Saldo]]-Planning[[#This Row],[Saldo estimado]]</f>
        <v>#REF!</v>
      </c>
      <c r="N3164" s="60" t="e">
        <f>+SUMIFS(#REF!,#REF!,Planning[[#This Row],[Proyectos]],#REF!,Planning[[#This Row],[Tipo de Tarea y especialidad]])</f>
        <v>#REF!</v>
      </c>
      <c r="O3164" s="19">
        <f t="shared" si="98"/>
        <v>10</v>
      </c>
      <c r="P3164" s="19">
        <f t="shared" si="99"/>
        <v>2024</v>
      </c>
      <c r="Q31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64" s="19" t="str">
        <f>TEXT(Planning[[#This Row],[Mes]]*29,"mmmm")</f>
        <v>October</v>
      </c>
      <c r="S31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64" s="193"/>
      <c r="U3164" s="43">
        <f>IF(Planning[[#This Row],[Horas Planificadas]]&lt;&gt;0,+K3164/Planning[[#This Row],[Horas Planificadas]],0)</f>
        <v>0</v>
      </c>
      <c r="V3164" s="43">
        <f>IF(Planning[[#This Row],[Horas Planificadas]]&lt;&gt;0,Planning[[#This Row],[Horas utilizadas]]/Planning[[#This Row],[Horas Planificadas]],0)</f>
        <v>0</v>
      </c>
      <c r="W3164" s="44">
        <f>Planning[[#This Row],[Horas Planificadas]]+Planning[[#This Row],[Horas ajustadas adicionales]]</f>
        <v>0</v>
      </c>
      <c r="X3164" s="142"/>
    </row>
    <row r="3165" spans="1:24" x14ac:dyDescent="0.2">
      <c r="A3165" s="7" t="s">
        <v>389</v>
      </c>
      <c r="B3165" s="7" t="s">
        <v>393</v>
      </c>
      <c r="C3165" s="3"/>
      <c r="D3165" s="3" t="s">
        <v>600</v>
      </c>
      <c r="E3165" s="4"/>
      <c r="F3165" s="3" t="s">
        <v>128</v>
      </c>
      <c r="G3165" s="9"/>
      <c r="H3165" s="9"/>
      <c r="I3165" s="12"/>
      <c r="J3165" s="5" t="e">
        <f>SUM(SUMIFS(#REF!,#REF!,Planning[[#This Row],[Tipo de Tarea y especialidad]],#REF!,Planning[[#This Row],[Proyectos Reiwa]]),SUMIFS(#REF!,#REF!,Planning[[#This Row],[Tipo de Tarea y especialidad]],#REF!,Planning[[#This Row],[Proyectos]]))</f>
        <v>#REF!</v>
      </c>
      <c r="K3165" s="5" t="e">
        <f>Planning[[#This Row],[Horas Planificadas]]+Planning[[#This Row],[Horas ajustadas adicionales]]-Planning[[#This Row],[Horas utilizadas]]</f>
        <v>#REF!</v>
      </c>
      <c r="L3165" s="7">
        <v>27</v>
      </c>
      <c r="M3165" s="19" t="e">
        <f>Planning[[#This Row],[Saldo]]-Planning[[#This Row],[Saldo estimado]]</f>
        <v>#REF!</v>
      </c>
      <c r="N3165" s="60" t="e">
        <f>+SUMIFS(#REF!,#REF!,Planning[[#This Row],[Proyectos]],#REF!,Planning[[#This Row],[Tipo de Tarea y especialidad]])</f>
        <v>#REF!</v>
      </c>
      <c r="O3165" s="19">
        <f t="shared" si="98"/>
        <v>10</v>
      </c>
      <c r="P3165" s="19">
        <f t="shared" si="99"/>
        <v>2024</v>
      </c>
      <c r="Q31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65" s="19" t="str">
        <f>TEXT(Planning[[#This Row],[Mes]]*29,"mmmm")</f>
        <v>October</v>
      </c>
      <c r="S31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65" s="193"/>
      <c r="U3165" s="43">
        <f>IF(Planning[[#This Row],[Horas Planificadas]]&lt;&gt;0,+K3165/Planning[[#This Row],[Horas Planificadas]],0)</f>
        <v>0</v>
      </c>
      <c r="V3165" s="43">
        <f>IF(Planning[[#This Row],[Horas Planificadas]]&lt;&gt;0,Planning[[#This Row],[Horas utilizadas]]/Planning[[#This Row],[Horas Planificadas]],0)</f>
        <v>0</v>
      </c>
      <c r="W3165" s="44">
        <f>Planning[[#This Row],[Horas Planificadas]]+Planning[[#This Row],[Horas ajustadas adicionales]]</f>
        <v>0</v>
      </c>
      <c r="X3165" s="142"/>
    </row>
    <row r="3166" spans="1:24" x14ac:dyDescent="0.2">
      <c r="A3166" s="7" t="s">
        <v>389</v>
      </c>
      <c r="B3166" s="7" t="s">
        <v>393</v>
      </c>
      <c r="C3166" s="3"/>
      <c r="D3166" s="3" t="s">
        <v>600</v>
      </c>
      <c r="E3166" s="4" t="s">
        <v>31</v>
      </c>
      <c r="F3166" s="3" t="s">
        <v>31</v>
      </c>
      <c r="G3166" s="9"/>
      <c r="H3166" s="17">
        <f>Planning[[#This Row],[Horas Precálculo]]</f>
        <v>0</v>
      </c>
      <c r="I3166" s="18"/>
      <c r="J3166" s="14" t="e">
        <f>+SUMIFS(#REF!,#REF!,Planning[[#This Row],[Tarifa]],#REF!,Planning[[#This Row],[Proyectos]])</f>
        <v>#REF!</v>
      </c>
      <c r="K3166" s="14" t="e">
        <f>Planning[[#This Row],[Horas Planificadas]]+Planning[[#This Row],[Horas ajustadas adicionales]]-Planning[[#This Row],[Horas utilizadas]]</f>
        <v>#REF!</v>
      </c>
      <c r="L3166" s="15">
        <v>0</v>
      </c>
      <c r="M3166" s="16" t="e">
        <f>Planning[[#This Row],[Saldo]]-Planning[[#This Row],[Saldo estimado]]</f>
        <v>#REF!</v>
      </c>
      <c r="N3166" s="60" t="e">
        <f>+SUMIFS(#REF!,#REF!,Planning[[#This Row],[Proyectos]],#REF!,Planning[[#This Row],[Tipo de Tarea y especialidad]])</f>
        <v>#REF!</v>
      </c>
      <c r="O3166" s="16">
        <f t="shared" si="98"/>
        <v>10</v>
      </c>
      <c r="P3166" s="16">
        <f t="shared" si="99"/>
        <v>2024</v>
      </c>
      <c r="Q3166" s="16" t="e">
        <f>+SUMIFS(#REF!,#REF!,Planning[[#This Row],[Tarifa]],#REF!,Planning[[#This Row],[Proyectos]],#REF!,Planning[[#This Row],[Mes]],#REF!,Planning[[#This Row],[Año]])</f>
        <v>#REF!</v>
      </c>
      <c r="R3166" s="16" t="str">
        <f>TEXT(Planning[[#This Row],[Mes]]*29,"mmmm")</f>
        <v>October</v>
      </c>
      <c r="S31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66" s="193"/>
      <c r="U3166" s="43">
        <f>IF(Planning[[#This Row],[Horas Planificadas]]&lt;&gt;0,+K3166/Planning[[#This Row],[Horas Planificadas]],0)</f>
        <v>0</v>
      </c>
      <c r="V3166" s="43">
        <f>IF(Planning[[#This Row],[Horas Planificadas]]&lt;&gt;0,Planning[[#This Row],[Horas utilizadas]]/Planning[[#This Row],[Horas Planificadas]],0)</f>
        <v>0</v>
      </c>
      <c r="W3166" s="44">
        <f>Planning[[#This Row],[Horas Planificadas]]+Planning[[#This Row],[Horas ajustadas adicionales]]</f>
        <v>0</v>
      </c>
      <c r="X3166" s="142"/>
    </row>
    <row r="3167" spans="1:24" ht="22.5" x14ac:dyDescent="0.2">
      <c r="A3167" s="7" t="s">
        <v>389</v>
      </c>
      <c r="B3167" s="7" t="s">
        <v>393</v>
      </c>
      <c r="C3167" s="3"/>
      <c r="D3167" s="3" t="s">
        <v>600</v>
      </c>
      <c r="E3167" s="4" t="s">
        <v>32</v>
      </c>
      <c r="F3167" s="3"/>
      <c r="G3167" s="9">
        <v>130</v>
      </c>
      <c r="H3167" s="14">
        <f>SUM(H3168:H3170)</f>
        <v>130</v>
      </c>
      <c r="I3167" s="14"/>
      <c r="J3167" s="14" t="e">
        <f>SUM(J3168:J3170)</f>
        <v>#REF!</v>
      </c>
      <c r="K3167" s="15" t="e">
        <f>SUM(K3168:K3170)</f>
        <v>#REF!</v>
      </c>
      <c r="L3167" s="15">
        <f>SUM(L3168:L3170)</f>
        <v>87</v>
      </c>
      <c r="M3167" s="16" t="e">
        <f>SUM(M3168:M3170)</f>
        <v>#REF!</v>
      </c>
      <c r="N3167" s="60" t="e">
        <f>+SUMIFS(#REF!,#REF!,Planning[[#This Row],[Proyectos]],#REF!,Planning[[#This Row],[Tipo de Tarea y especialidad]])</f>
        <v>#REF!</v>
      </c>
      <c r="O3167" s="16">
        <f t="shared" si="98"/>
        <v>10</v>
      </c>
      <c r="P3167" s="16">
        <f t="shared" si="99"/>
        <v>2024</v>
      </c>
      <c r="Q3167" s="16" t="e">
        <f>SUM(Q3168:Q3170)</f>
        <v>#REF!</v>
      </c>
      <c r="R3167" s="16" t="str">
        <f>TEXT(Planning[[#This Row],[Mes]]*29,"mmmm")</f>
        <v>October</v>
      </c>
      <c r="S31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67" s="193"/>
      <c r="U3167" s="43" t="e">
        <f>IF(Planning[[#This Row],[Horas Planificadas]]&lt;&gt;0,+K3167/Planning[[#This Row],[Horas Planificadas]],0)</f>
        <v>#REF!</v>
      </c>
      <c r="V3167" s="43" t="e">
        <f>IF(Planning[[#This Row],[Horas Planificadas]]&lt;&gt;0,Planning[[#This Row],[Horas utilizadas]]/Planning[[#This Row],[Horas Planificadas]],0)</f>
        <v>#REF!</v>
      </c>
      <c r="W3167" s="44">
        <f>Planning[[#This Row],[Horas Planificadas]]+Planning[[#This Row],[Horas ajustadas adicionales]]</f>
        <v>130</v>
      </c>
      <c r="X3167" s="142"/>
    </row>
    <row r="3168" spans="1:24" x14ac:dyDescent="0.2">
      <c r="A3168" s="7" t="s">
        <v>389</v>
      </c>
      <c r="B3168" s="7" t="s">
        <v>393</v>
      </c>
      <c r="C3168" s="3"/>
      <c r="D3168" s="3" t="s">
        <v>600</v>
      </c>
      <c r="E3168" s="4"/>
      <c r="F3168" s="3" t="s">
        <v>129</v>
      </c>
      <c r="G3168" s="9"/>
      <c r="H3168" s="9">
        <v>30</v>
      </c>
      <c r="I3168" s="12"/>
      <c r="J3168" s="5" t="e">
        <f>SUM(SUMIFS(#REF!,#REF!,Planning[[#This Row],[Tipo de Tarea y especialidad]],#REF!,Planning[[#This Row],[Proyectos Reiwa]]),SUMIFS(#REF!,#REF!,Planning[[#This Row],[Tipo de Tarea y especialidad]],#REF!,Planning[[#This Row],[Proyectos]]))</f>
        <v>#REF!</v>
      </c>
      <c r="K3168" s="5" t="e">
        <f>Planning[[#This Row],[Horas Planificadas]]+Planning[[#This Row],[Horas ajustadas adicionales]]-Planning[[#This Row],[Horas utilizadas]]</f>
        <v>#REF!</v>
      </c>
      <c r="L3168" s="7">
        <v>30</v>
      </c>
      <c r="M3168" s="19" t="e">
        <f>Planning[[#This Row],[Saldo]]-Planning[[#This Row],[Saldo estimado]]</f>
        <v>#REF!</v>
      </c>
      <c r="N3168" s="60" t="e">
        <f>+SUMIFS(#REF!,#REF!,Planning[[#This Row],[Proyectos]],#REF!,Planning[[#This Row],[Tipo de Tarea y especialidad]])</f>
        <v>#REF!</v>
      </c>
      <c r="O3168" s="19">
        <f t="shared" si="98"/>
        <v>10</v>
      </c>
      <c r="P3168" s="19">
        <f t="shared" si="99"/>
        <v>2024</v>
      </c>
      <c r="Q31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68" s="19" t="str">
        <f>TEXT(Planning[[#This Row],[Mes]]*29,"mmmm")</f>
        <v>October</v>
      </c>
      <c r="S31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68" s="193"/>
      <c r="U3168" s="43" t="e">
        <f>IF(Planning[[#This Row],[Horas Planificadas]]&lt;&gt;0,+K3168/Planning[[#This Row],[Horas Planificadas]],0)</f>
        <v>#REF!</v>
      </c>
      <c r="V3168" s="43" t="e">
        <f>IF(Planning[[#This Row],[Horas Planificadas]]&lt;&gt;0,Planning[[#This Row],[Horas utilizadas]]/Planning[[#This Row],[Horas Planificadas]],0)</f>
        <v>#REF!</v>
      </c>
      <c r="W3168" s="44">
        <f>Planning[[#This Row],[Horas Planificadas]]+Planning[[#This Row],[Horas ajustadas adicionales]]</f>
        <v>30</v>
      </c>
      <c r="X3168" s="142"/>
    </row>
    <row r="3169" spans="1:24" x14ac:dyDescent="0.2">
      <c r="A3169" s="7" t="s">
        <v>389</v>
      </c>
      <c r="B3169" s="7" t="s">
        <v>393</v>
      </c>
      <c r="C3169" s="3"/>
      <c r="D3169" s="3" t="s">
        <v>600</v>
      </c>
      <c r="E3169" s="4"/>
      <c r="F3169" s="3" t="s">
        <v>130</v>
      </c>
      <c r="G3169" s="9"/>
      <c r="H3169" s="9">
        <v>30</v>
      </c>
      <c r="I3169" s="12"/>
      <c r="J3169" s="5" t="e">
        <f>SUM(SUMIFS(#REF!,#REF!,Planning[[#This Row],[Tipo de Tarea y especialidad]],#REF!,Planning[[#This Row],[Proyectos Reiwa]]),SUMIFS(#REF!,#REF!,Planning[[#This Row],[Tipo de Tarea y especialidad]],#REF!,Planning[[#This Row],[Proyectos]]))</f>
        <v>#REF!</v>
      </c>
      <c r="K3169" s="5" t="e">
        <f>Planning[[#This Row],[Horas Planificadas]]+Planning[[#This Row],[Horas ajustadas adicionales]]-Planning[[#This Row],[Horas utilizadas]]</f>
        <v>#REF!</v>
      </c>
      <c r="L3169" s="7">
        <v>30</v>
      </c>
      <c r="M3169" s="19" t="e">
        <f>Planning[[#This Row],[Saldo]]-Planning[[#This Row],[Saldo estimado]]</f>
        <v>#REF!</v>
      </c>
      <c r="N3169" s="60" t="e">
        <f>+SUMIFS(#REF!,#REF!,Planning[[#This Row],[Proyectos]],#REF!,Planning[[#This Row],[Tipo de Tarea y especialidad]])</f>
        <v>#REF!</v>
      </c>
      <c r="O3169" s="19">
        <f t="shared" si="98"/>
        <v>10</v>
      </c>
      <c r="P3169" s="19">
        <f t="shared" si="99"/>
        <v>2024</v>
      </c>
      <c r="Q31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69" s="19" t="str">
        <f>TEXT(Planning[[#This Row],[Mes]]*29,"mmmm")</f>
        <v>October</v>
      </c>
      <c r="S31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69" s="193"/>
      <c r="U3169" s="43" t="e">
        <f>IF(Planning[[#This Row],[Horas Planificadas]]&lt;&gt;0,+K3169/Planning[[#This Row],[Horas Planificadas]],0)</f>
        <v>#REF!</v>
      </c>
      <c r="V3169" s="43" t="e">
        <f>IF(Planning[[#This Row],[Horas Planificadas]]&lt;&gt;0,Planning[[#This Row],[Horas utilizadas]]/Planning[[#This Row],[Horas Planificadas]],0)</f>
        <v>#REF!</v>
      </c>
      <c r="W3169" s="44">
        <f>Planning[[#This Row],[Horas Planificadas]]+Planning[[#This Row],[Horas ajustadas adicionales]]</f>
        <v>30</v>
      </c>
      <c r="X3169" s="142"/>
    </row>
    <row r="3170" spans="1:24" x14ac:dyDescent="0.2">
      <c r="A3170" s="7" t="s">
        <v>389</v>
      </c>
      <c r="B3170" s="7" t="s">
        <v>393</v>
      </c>
      <c r="C3170" s="3"/>
      <c r="D3170" s="3" t="s">
        <v>600</v>
      </c>
      <c r="E3170" s="4"/>
      <c r="F3170" s="3" t="s">
        <v>131</v>
      </c>
      <c r="G3170" s="9"/>
      <c r="H3170" s="9">
        <v>70</v>
      </c>
      <c r="I3170" s="12"/>
      <c r="J3170" s="5" t="e">
        <f>SUM(SUMIFS(#REF!,#REF!,Planning[[#This Row],[Tipo de Tarea y especialidad]],#REF!,Planning[[#This Row],[Proyectos Reiwa]]),SUMIFS(#REF!,#REF!,Planning[[#This Row],[Tipo de Tarea y especialidad]],#REF!,Planning[[#This Row],[Proyectos]]))</f>
        <v>#REF!</v>
      </c>
      <c r="K3170" s="5" t="e">
        <f>Planning[[#This Row],[Horas Planificadas]]+Planning[[#This Row],[Horas ajustadas adicionales]]-Planning[[#This Row],[Horas utilizadas]]</f>
        <v>#REF!</v>
      </c>
      <c r="L3170" s="7">
        <v>27</v>
      </c>
      <c r="M3170" s="19" t="e">
        <f>Planning[[#This Row],[Saldo]]-Planning[[#This Row],[Saldo estimado]]</f>
        <v>#REF!</v>
      </c>
      <c r="N3170" s="60" t="e">
        <f>+SUMIFS(#REF!,#REF!,Planning[[#This Row],[Proyectos]],#REF!,Planning[[#This Row],[Tipo de Tarea y especialidad]])</f>
        <v>#REF!</v>
      </c>
      <c r="O3170" s="19">
        <f t="shared" si="98"/>
        <v>10</v>
      </c>
      <c r="P3170" s="19">
        <f t="shared" si="99"/>
        <v>2024</v>
      </c>
      <c r="Q31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70" s="19" t="str">
        <f>TEXT(Planning[[#This Row],[Mes]]*29,"mmmm")</f>
        <v>October</v>
      </c>
      <c r="S31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70" s="193"/>
      <c r="U3170" s="43" t="e">
        <f>IF(Planning[[#This Row],[Horas Planificadas]]&lt;&gt;0,+K3170/Planning[[#This Row],[Horas Planificadas]],0)</f>
        <v>#REF!</v>
      </c>
      <c r="V3170" s="43" t="e">
        <f>IF(Planning[[#This Row],[Horas Planificadas]]&lt;&gt;0,Planning[[#This Row],[Horas utilizadas]]/Planning[[#This Row],[Horas Planificadas]],0)</f>
        <v>#REF!</v>
      </c>
      <c r="W3170" s="44">
        <f>Planning[[#This Row],[Horas Planificadas]]+Planning[[#This Row],[Horas ajustadas adicionales]]</f>
        <v>70</v>
      </c>
      <c r="X3170" s="142"/>
    </row>
    <row r="3171" spans="1:24" ht="22.5" x14ac:dyDescent="0.2">
      <c r="A3171" s="7"/>
      <c r="B3171" s="7"/>
      <c r="C3171" s="3"/>
      <c r="D3171" s="3" t="s">
        <v>603</v>
      </c>
      <c r="E3171" s="4" t="s">
        <v>28</v>
      </c>
      <c r="F3171" s="3"/>
      <c r="G3171" s="9">
        <v>0</v>
      </c>
      <c r="H3171" s="14">
        <v>0</v>
      </c>
      <c r="I3171" s="14"/>
      <c r="J3171" s="14" t="e">
        <f>SUM(J3172:J3173)</f>
        <v>#REF!</v>
      </c>
      <c r="K3171" s="15" t="e">
        <f>SUM(K3172:K3173)</f>
        <v>#REF!</v>
      </c>
      <c r="L3171" s="15">
        <f>SUM(L3172:L3173)</f>
        <v>0</v>
      </c>
      <c r="M3171" s="14" t="e">
        <f>Planning[[#This Row],[Saldo]]-Planning[[#This Row],[Saldo estimado]]</f>
        <v>#REF!</v>
      </c>
      <c r="N3171" s="66" t="e">
        <f>+SUMIFS(#REF!,#REF!,Planning[[#This Row],[Proyectos]],#REF!,Planning[[#This Row],[Tipo de Tarea y especialidad]])</f>
        <v>#REF!</v>
      </c>
      <c r="O3171" s="14">
        <f t="shared" si="98"/>
        <v>10</v>
      </c>
      <c r="P3171" s="14">
        <f t="shared" si="99"/>
        <v>2024</v>
      </c>
      <c r="Q3171" s="28" t="e">
        <f>SUM(Q3172:Q3173)</f>
        <v>#REF!</v>
      </c>
      <c r="R3171" s="28" t="str">
        <f>TEXT(Planning[[#This Row],[Mes]]*29,"mmmm")</f>
        <v>October</v>
      </c>
      <c r="S31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71" s="228"/>
      <c r="U3171" s="43">
        <f>IF(Planning[[#This Row],[Horas Planificadas]]&lt;&gt;0,+K3171/Planning[[#This Row],[Horas Planificadas]],0)</f>
        <v>0</v>
      </c>
      <c r="V3171" s="43">
        <f>IF(Planning[[#This Row],[Horas Planificadas]]&lt;&gt;0,Planning[[#This Row],[Horas utilizadas]]/Planning[[#This Row],[Horas Planificadas]],0)</f>
        <v>0</v>
      </c>
      <c r="W3171" s="44">
        <f>Planning[[#This Row],[Horas Planificadas]]+Planning[[#This Row],[Horas ajustadas adicionales]]</f>
        <v>0</v>
      </c>
      <c r="X3171" s="142"/>
    </row>
    <row r="3172" spans="1:24" x14ac:dyDescent="0.2">
      <c r="A3172" s="7"/>
      <c r="B3172" s="7"/>
      <c r="C3172" s="3"/>
      <c r="D3172" s="3" t="s">
        <v>603</v>
      </c>
      <c r="E3172" s="4"/>
      <c r="F3172" s="3" t="s">
        <v>120</v>
      </c>
      <c r="G3172" s="9"/>
      <c r="H3172" s="9"/>
      <c r="I3172" s="12"/>
      <c r="J3172" s="5" t="e">
        <f>SUM(SUMIFS(#REF!,#REF!,Planning[[#This Row],[Tipo de Tarea y especialidad]],#REF!,Planning[[#This Row],[Proyectos Reiwa]]),SUMIFS(#REF!,#REF!,Planning[[#This Row],[Tipo de Tarea y especialidad]],#REF!,Planning[[#This Row],[Proyectos]]))</f>
        <v>#REF!</v>
      </c>
      <c r="K3172" s="5" t="e">
        <f>Planning[[#This Row],[Horas Planificadas]]+Planning[[#This Row],[Horas ajustadas adicionales]]-Planning[[#This Row],[Horas utilizadas]]</f>
        <v>#REF!</v>
      </c>
      <c r="L3172" s="7"/>
      <c r="M3172" s="19" t="e">
        <f>Planning[[#This Row],[Saldo]]-Planning[[#This Row],[Saldo estimado]]</f>
        <v>#REF!</v>
      </c>
      <c r="N3172" s="60" t="e">
        <f>+SUMIFS(#REF!,#REF!,Planning[[#This Row],[Proyectos]],#REF!,Planning[[#This Row],[Tipo de Tarea y especialidad]])</f>
        <v>#REF!</v>
      </c>
      <c r="O3172" s="19">
        <f t="shared" si="98"/>
        <v>10</v>
      </c>
      <c r="P3172" s="19">
        <f t="shared" si="99"/>
        <v>2024</v>
      </c>
      <c r="Q31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72" s="19" t="str">
        <f>TEXT(Planning[[#This Row],[Mes]]*29,"mmmm")</f>
        <v>October</v>
      </c>
      <c r="S31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72" s="228"/>
      <c r="U3172" s="43">
        <f>IF(Planning[[#This Row],[Horas Planificadas]]&lt;&gt;0,+K3172/Planning[[#This Row],[Horas Planificadas]],0)</f>
        <v>0</v>
      </c>
      <c r="V3172" s="43">
        <f>IF(Planning[[#This Row],[Horas Planificadas]]&lt;&gt;0,Planning[[#This Row],[Horas utilizadas]]/Planning[[#This Row],[Horas Planificadas]],0)</f>
        <v>0</v>
      </c>
      <c r="W3172" s="44">
        <f>Planning[[#This Row],[Horas Planificadas]]+Planning[[#This Row],[Horas ajustadas adicionales]]</f>
        <v>0</v>
      </c>
      <c r="X3172" s="142"/>
    </row>
    <row r="3173" spans="1:24" x14ac:dyDescent="0.2">
      <c r="A3173" s="7"/>
      <c r="B3173" s="7"/>
      <c r="C3173" s="3"/>
      <c r="D3173" s="3" t="s">
        <v>603</v>
      </c>
      <c r="E3173" s="4"/>
      <c r="F3173" s="3" t="s">
        <v>121</v>
      </c>
      <c r="G3173" s="9"/>
      <c r="H3173" s="9"/>
      <c r="I3173" s="12"/>
      <c r="J3173" s="5" t="e">
        <f>SUM(SUMIFS(#REF!,#REF!,Planning[[#This Row],[Tipo de Tarea y especialidad]],#REF!,Planning[[#This Row],[Proyectos Reiwa]]),SUMIFS(#REF!,#REF!,Planning[[#This Row],[Tipo de Tarea y especialidad]],#REF!,Planning[[#This Row],[Proyectos]]))</f>
        <v>#REF!</v>
      </c>
      <c r="K3173" s="5" t="e">
        <f>Planning[[#This Row],[Horas Planificadas]]+Planning[[#This Row],[Horas ajustadas adicionales]]-Planning[[#This Row],[Horas utilizadas]]</f>
        <v>#REF!</v>
      </c>
      <c r="L3173" s="7"/>
      <c r="M3173" s="19" t="e">
        <f>Planning[[#This Row],[Saldo]]-Planning[[#This Row],[Saldo estimado]]</f>
        <v>#REF!</v>
      </c>
      <c r="N3173" s="60" t="e">
        <f>+SUMIFS(#REF!,#REF!,Planning[[#This Row],[Proyectos]],#REF!,Planning[[#This Row],[Tipo de Tarea y especialidad]])</f>
        <v>#REF!</v>
      </c>
      <c r="O3173" s="19">
        <f t="shared" si="98"/>
        <v>10</v>
      </c>
      <c r="P3173" s="19">
        <f t="shared" si="99"/>
        <v>2024</v>
      </c>
      <c r="Q31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73" s="19" t="str">
        <f>TEXT(Planning[[#This Row],[Mes]]*29,"mmmm")</f>
        <v>October</v>
      </c>
      <c r="S31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73" s="228"/>
      <c r="U3173" s="43">
        <f>IF(Planning[[#This Row],[Horas Planificadas]]&lt;&gt;0,+K3173/Planning[[#This Row],[Horas Planificadas]],0)</f>
        <v>0</v>
      </c>
      <c r="V3173" s="43">
        <f>IF(Planning[[#This Row],[Horas Planificadas]]&lt;&gt;0,Planning[[#This Row],[Horas utilizadas]]/Planning[[#This Row],[Horas Planificadas]],0)</f>
        <v>0</v>
      </c>
      <c r="W3173" s="44">
        <f>Planning[[#This Row],[Horas Planificadas]]+Planning[[#This Row],[Horas ajustadas adicionales]]</f>
        <v>0</v>
      </c>
      <c r="X3173" s="142"/>
    </row>
    <row r="3174" spans="1:24" x14ac:dyDescent="0.2">
      <c r="A3174" s="7"/>
      <c r="B3174" s="7"/>
      <c r="C3174" s="3"/>
      <c r="D3174" s="3" t="s">
        <v>603</v>
      </c>
      <c r="E3174" s="4" t="s">
        <v>30</v>
      </c>
      <c r="F3174" s="3"/>
      <c r="G3174" s="9">
        <v>9</v>
      </c>
      <c r="H3174" s="14">
        <v>9</v>
      </c>
      <c r="I3174" s="14"/>
      <c r="J3174" s="14" t="e">
        <f>SUM(J3175:J3181)</f>
        <v>#REF!</v>
      </c>
      <c r="K3174" s="15" t="e">
        <f>SUM(K3175:K3181)</f>
        <v>#REF!</v>
      </c>
      <c r="L3174" s="15">
        <f>SUM(L3175:L3181)</f>
        <v>0</v>
      </c>
      <c r="M3174" s="16" t="e">
        <f>Planning[[#This Row],[Saldo]]-Planning[[#This Row],[Saldo estimado]]</f>
        <v>#REF!</v>
      </c>
      <c r="N3174" s="60" t="e">
        <f>+SUMIFS(#REF!,#REF!,Planning[[#This Row],[Proyectos]],#REF!,Planning[[#This Row],[Tipo de Tarea y especialidad]])</f>
        <v>#REF!</v>
      </c>
      <c r="O3174" s="16">
        <f t="shared" si="98"/>
        <v>10</v>
      </c>
      <c r="P3174" s="16">
        <f t="shared" si="99"/>
        <v>2024</v>
      </c>
      <c r="Q3174" s="16" t="e">
        <f>SUM(Q3175:Q3181)</f>
        <v>#REF!</v>
      </c>
      <c r="R3174" s="16" t="str">
        <f>TEXT(Planning[[#This Row],[Mes]]*29,"mmmm")</f>
        <v>October</v>
      </c>
      <c r="S31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74" s="228"/>
      <c r="U3174" s="43" t="e">
        <f>IF(Planning[[#This Row],[Horas Planificadas]]&lt;&gt;0,+K3174/Planning[[#This Row],[Horas Planificadas]],0)</f>
        <v>#REF!</v>
      </c>
      <c r="V3174" s="43" t="e">
        <f>IF(Planning[[#This Row],[Horas Planificadas]]&lt;&gt;0,Planning[[#This Row],[Horas utilizadas]]/Planning[[#This Row],[Horas Planificadas]],0)</f>
        <v>#REF!</v>
      </c>
      <c r="W3174" s="44">
        <f>Planning[[#This Row],[Horas Planificadas]]+Planning[[#This Row],[Horas ajustadas adicionales]]</f>
        <v>9</v>
      </c>
      <c r="X3174" s="142"/>
    </row>
    <row r="3175" spans="1:24" x14ac:dyDescent="0.2">
      <c r="A3175" s="7"/>
      <c r="B3175" s="7"/>
      <c r="C3175" s="3"/>
      <c r="D3175" s="3" t="s">
        <v>603</v>
      </c>
      <c r="E3175" s="4"/>
      <c r="F3175" s="3" t="s">
        <v>122</v>
      </c>
      <c r="G3175" s="9"/>
      <c r="H3175" s="9"/>
      <c r="I3175" s="12"/>
      <c r="J3175" s="5" t="e">
        <f>SUM(SUMIFS(#REF!,#REF!,Planning[[#This Row],[Tipo de Tarea y especialidad]],#REF!,Planning[[#This Row],[Proyectos Reiwa]]),SUMIFS(#REF!,#REF!,Planning[[#This Row],[Tipo de Tarea y especialidad]],#REF!,Planning[[#This Row],[Proyectos]]))</f>
        <v>#REF!</v>
      </c>
      <c r="K3175" s="5" t="e">
        <f>Planning[[#This Row],[Horas Planificadas]]+Planning[[#This Row],[Horas ajustadas adicionales]]-Planning[[#This Row],[Horas utilizadas]]</f>
        <v>#REF!</v>
      </c>
      <c r="L3175" s="7"/>
      <c r="M3175" s="19" t="e">
        <f>Planning[[#This Row],[Saldo]]-Planning[[#This Row],[Saldo estimado]]</f>
        <v>#REF!</v>
      </c>
      <c r="N3175" s="60" t="e">
        <f>+SUMIFS(#REF!,#REF!,Planning[[#This Row],[Proyectos]],#REF!,Planning[[#This Row],[Tipo de Tarea y especialidad]])</f>
        <v>#REF!</v>
      </c>
      <c r="O3175" s="19">
        <f t="shared" si="98"/>
        <v>10</v>
      </c>
      <c r="P3175" s="19">
        <f t="shared" si="99"/>
        <v>2024</v>
      </c>
      <c r="Q31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75" s="19" t="str">
        <f>TEXT(Planning[[#This Row],[Mes]]*29,"mmmm")</f>
        <v>October</v>
      </c>
      <c r="S31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75" s="228"/>
      <c r="U3175" s="43">
        <f>IF(Planning[[#This Row],[Horas Planificadas]]&lt;&gt;0,+K3175/Planning[[#This Row],[Horas Planificadas]],0)</f>
        <v>0</v>
      </c>
      <c r="V3175" s="43">
        <f>IF(Planning[[#This Row],[Horas Planificadas]]&lt;&gt;0,Planning[[#This Row],[Horas utilizadas]]/Planning[[#This Row],[Horas Planificadas]],0)</f>
        <v>0</v>
      </c>
      <c r="W3175" s="44">
        <f>Planning[[#This Row],[Horas Planificadas]]+Planning[[#This Row],[Horas ajustadas adicionales]]</f>
        <v>0</v>
      </c>
      <c r="X3175" s="142"/>
    </row>
    <row r="3176" spans="1:24" x14ac:dyDescent="0.2">
      <c r="A3176" s="7"/>
      <c r="B3176" s="7"/>
      <c r="C3176" s="3"/>
      <c r="D3176" s="3" t="s">
        <v>603</v>
      </c>
      <c r="E3176" s="4"/>
      <c r="F3176" s="3" t="s">
        <v>123</v>
      </c>
      <c r="G3176" s="9"/>
      <c r="H3176" s="9"/>
      <c r="I3176" s="12"/>
      <c r="J3176" s="5" t="e">
        <f>SUM(SUMIFS(#REF!,#REF!,Planning[[#This Row],[Tipo de Tarea y especialidad]],#REF!,Planning[[#This Row],[Proyectos Reiwa]]),SUMIFS(#REF!,#REF!,Planning[[#This Row],[Tipo de Tarea y especialidad]],#REF!,Planning[[#This Row],[Proyectos]]))</f>
        <v>#REF!</v>
      </c>
      <c r="K3176" s="5" t="e">
        <f>Planning[[#This Row],[Horas Planificadas]]+Planning[[#This Row],[Horas ajustadas adicionales]]-Planning[[#This Row],[Horas utilizadas]]</f>
        <v>#REF!</v>
      </c>
      <c r="L3176" s="7"/>
      <c r="M3176" s="19" t="e">
        <f>Planning[[#This Row],[Saldo]]-Planning[[#This Row],[Saldo estimado]]</f>
        <v>#REF!</v>
      </c>
      <c r="N3176" s="60" t="e">
        <f>+SUMIFS(#REF!,#REF!,Planning[[#This Row],[Proyectos]],#REF!,Planning[[#This Row],[Tipo de Tarea y especialidad]])</f>
        <v>#REF!</v>
      </c>
      <c r="O3176" s="19">
        <f t="shared" si="98"/>
        <v>10</v>
      </c>
      <c r="P3176" s="19">
        <f t="shared" si="99"/>
        <v>2024</v>
      </c>
      <c r="Q31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76" s="19" t="str">
        <f>TEXT(Planning[[#This Row],[Mes]]*29,"mmmm")</f>
        <v>October</v>
      </c>
      <c r="S31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76" s="228"/>
      <c r="U3176" s="43">
        <f>IF(Planning[[#This Row],[Horas Planificadas]]&lt;&gt;0,+K3176/Planning[[#This Row],[Horas Planificadas]],0)</f>
        <v>0</v>
      </c>
      <c r="V3176" s="43">
        <f>IF(Planning[[#This Row],[Horas Planificadas]]&lt;&gt;0,Planning[[#This Row],[Horas utilizadas]]/Planning[[#This Row],[Horas Planificadas]],0)</f>
        <v>0</v>
      </c>
      <c r="W3176" s="44">
        <f>Planning[[#This Row],[Horas Planificadas]]+Planning[[#This Row],[Horas ajustadas adicionales]]</f>
        <v>0</v>
      </c>
      <c r="X3176" s="142"/>
    </row>
    <row r="3177" spans="1:24" x14ac:dyDescent="0.2">
      <c r="A3177" s="7"/>
      <c r="B3177" s="7"/>
      <c r="C3177" s="3"/>
      <c r="D3177" s="3" t="s">
        <v>603</v>
      </c>
      <c r="E3177" s="4"/>
      <c r="F3177" s="3" t="s">
        <v>124</v>
      </c>
      <c r="G3177" s="9"/>
      <c r="H3177" s="9"/>
      <c r="I3177" s="12"/>
      <c r="J3177" s="5" t="e">
        <f>SUM(SUMIFS(#REF!,#REF!,Planning[[#This Row],[Tipo de Tarea y especialidad]],#REF!,Planning[[#This Row],[Proyectos Reiwa]]),SUMIFS(#REF!,#REF!,Planning[[#This Row],[Tipo de Tarea y especialidad]],#REF!,Planning[[#This Row],[Proyectos]]))</f>
        <v>#REF!</v>
      </c>
      <c r="K3177" s="5" t="e">
        <f>Planning[[#This Row],[Horas Planificadas]]+Planning[[#This Row],[Horas ajustadas adicionales]]-Planning[[#This Row],[Horas utilizadas]]</f>
        <v>#REF!</v>
      </c>
      <c r="L3177" s="7"/>
      <c r="M3177" s="19" t="e">
        <f>Planning[[#This Row],[Saldo]]-Planning[[#This Row],[Saldo estimado]]</f>
        <v>#REF!</v>
      </c>
      <c r="N3177" s="60" t="e">
        <f>+SUMIFS(#REF!,#REF!,Planning[[#This Row],[Proyectos]],#REF!,Planning[[#This Row],[Tipo de Tarea y especialidad]])</f>
        <v>#REF!</v>
      </c>
      <c r="O3177" s="19">
        <f t="shared" si="98"/>
        <v>10</v>
      </c>
      <c r="P3177" s="19">
        <f t="shared" si="99"/>
        <v>2024</v>
      </c>
      <c r="Q31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77" s="19" t="str">
        <f>TEXT(Planning[[#This Row],[Mes]]*29,"mmmm")</f>
        <v>October</v>
      </c>
      <c r="S31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77" s="228"/>
      <c r="U3177" s="43">
        <f>IF(Planning[[#This Row],[Horas Planificadas]]&lt;&gt;0,+K3177/Planning[[#This Row],[Horas Planificadas]],0)</f>
        <v>0</v>
      </c>
      <c r="V3177" s="43">
        <f>IF(Planning[[#This Row],[Horas Planificadas]]&lt;&gt;0,Planning[[#This Row],[Horas utilizadas]]/Planning[[#This Row],[Horas Planificadas]],0)</f>
        <v>0</v>
      </c>
      <c r="W3177" s="44">
        <f>Planning[[#This Row],[Horas Planificadas]]+Planning[[#This Row],[Horas ajustadas adicionales]]</f>
        <v>0</v>
      </c>
      <c r="X3177" s="142"/>
    </row>
    <row r="3178" spans="1:24" x14ac:dyDescent="0.2">
      <c r="A3178" s="7"/>
      <c r="B3178" s="7"/>
      <c r="C3178" s="3"/>
      <c r="D3178" s="3" t="s">
        <v>603</v>
      </c>
      <c r="E3178" s="4"/>
      <c r="F3178" s="3" t="s">
        <v>125</v>
      </c>
      <c r="G3178" s="9"/>
      <c r="H3178" s="9"/>
      <c r="I3178" s="12"/>
      <c r="J3178" s="5" t="e">
        <f>SUM(SUMIFS(#REF!,#REF!,Planning[[#This Row],[Tipo de Tarea y especialidad]],#REF!,Planning[[#This Row],[Proyectos Reiwa]]),SUMIFS(#REF!,#REF!,Planning[[#This Row],[Tipo de Tarea y especialidad]],#REF!,Planning[[#This Row],[Proyectos]]))</f>
        <v>#REF!</v>
      </c>
      <c r="K3178" s="5" t="e">
        <f>Planning[[#This Row],[Horas Planificadas]]+Planning[[#This Row],[Horas ajustadas adicionales]]-Planning[[#This Row],[Horas utilizadas]]</f>
        <v>#REF!</v>
      </c>
      <c r="L3178" s="7"/>
      <c r="M3178" s="19" t="e">
        <f>Planning[[#This Row],[Saldo]]-Planning[[#This Row],[Saldo estimado]]</f>
        <v>#REF!</v>
      </c>
      <c r="N3178" s="60" t="e">
        <f>+SUMIFS(#REF!,#REF!,Planning[[#This Row],[Proyectos]],#REF!,Planning[[#This Row],[Tipo de Tarea y especialidad]])</f>
        <v>#REF!</v>
      </c>
      <c r="O3178" s="19">
        <f t="shared" si="98"/>
        <v>10</v>
      </c>
      <c r="P3178" s="19">
        <f t="shared" si="99"/>
        <v>2024</v>
      </c>
      <c r="Q31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78" s="19" t="str">
        <f>TEXT(Planning[[#This Row],[Mes]]*29,"mmmm")</f>
        <v>October</v>
      </c>
      <c r="S31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78" s="228"/>
      <c r="U3178" s="43">
        <f>IF(Planning[[#This Row],[Horas Planificadas]]&lt;&gt;0,+K3178/Planning[[#This Row],[Horas Planificadas]],0)</f>
        <v>0</v>
      </c>
      <c r="V3178" s="43">
        <f>IF(Planning[[#This Row],[Horas Planificadas]]&lt;&gt;0,Planning[[#This Row],[Horas utilizadas]]/Planning[[#This Row],[Horas Planificadas]],0)</f>
        <v>0</v>
      </c>
      <c r="W3178" s="44">
        <f>Planning[[#This Row],[Horas Planificadas]]+Planning[[#This Row],[Horas ajustadas adicionales]]</f>
        <v>0</v>
      </c>
      <c r="X3178" s="142"/>
    </row>
    <row r="3179" spans="1:24" x14ac:dyDescent="0.2">
      <c r="A3179" s="7"/>
      <c r="B3179" s="7"/>
      <c r="C3179" s="3"/>
      <c r="D3179" s="3" t="s">
        <v>603</v>
      </c>
      <c r="E3179" s="4"/>
      <c r="F3179" s="3" t="s">
        <v>126</v>
      </c>
      <c r="G3179" s="9"/>
      <c r="H3179" s="9"/>
      <c r="I3179" s="12"/>
      <c r="J3179" s="5" t="e">
        <f>SUM(SUMIFS(#REF!,#REF!,Planning[[#This Row],[Tipo de Tarea y especialidad]],#REF!,Planning[[#This Row],[Proyectos Reiwa]]),SUMIFS(#REF!,#REF!,Planning[[#This Row],[Tipo de Tarea y especialidad]],#REF!,Planning[[#This Row],[Proyectos]]))</f>
        <v>#REF!</v>
      </c>
      <c r="K3179" s="5" t="e">
        <f>Planning[[#This Row],[Horas Planificadas]]+Planning[[#This Row],[Horas ajustadas adicionales]]-Planning[[#This Row],[Horas utilizadas]]</f>
        <v>#REF!</v>
      </c>
      <c r="L3179" s="7"/>
      <c r="M3179" s="19" t="e">
        <f>Planning[[#This Row],[Saldo]]-Planning[[#This Row],[Saldo estimado]]</f>
        <v>#REF!</v>
      </c>
      <c r="N3179" s="60" t="e">
        <f>+SUMIFS(#REF!,#REF!,Planning[[#This Row],[Proyectos]],#REF!,Planning[[#This Row],[Tipo de Tarea y especialidad]])</f>
        <v>#REF!</v>
      </c>
      <c r="O3179" s="19">
        <f t="shared" si="98"/>
        <v>10</v>
      </c>
      <c r="P3179" s="19">
        <f t="shared" si="99"/>
        <v>2024</v>
      </c>
      <c r="Q31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79" s="19" t="str">
        <f>TEXT(Planning[[#This Row],[Mes]]*29,"mmmm")</f>
        <v>October</v>
      </c>
      <c r="S31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79" s="228"/>
      <c r="U3179" s="43">
        <f>IF(Planning[[#This Row],[Horas Planificadas]]&lt;&gt;0,+K3179/Planning[[#This Row],[Horas Planificadas]],0)</f>
        <v>0</v>
      </c>
      <c r="V3179" s="43">
        <f>IF(Planning[[#This Row],[Horas Planificadas]]&lt;&gt;0,Planning[[#This Row],[Horas utilizadas]]/Planning[[#This Row],[Horas Planificadas]],0)</f>
        <v>0</v>
      </c>
      <c r="W3179" s="44">
        <f>Planning[[#This Row],[Horas Planificadas]]+Planning[[#This Row],[Horas ajustadas adicionales]]</f>
        <v>0</v>
      </c>
      <c r="X3179" s="142"/>
    </row>
    <row r="3180" spans="1:24" x14ac:dyDescent="0.2">
      <c r="A3180" s="7"/>
      <c r="B3180" s="7"/>
      <c r="C3180" s="3"/>
      <c r="D3180" s="3" t="s">
        <v>603</v>
      </c>
      <c r="E3180" s="4"/>
      <c r="F3180" s="3" t="s">
        <v>127</v>
      </c>
      <c r="G3180" s="9"/>
      <c r="H3180" s="9"/>
      <c r="I3180" s="12"/>
      <c r="J3180" s="5" t="e">
        <f>SUM(SUMIFS(#REF!,#REF!,Planning[[#This Row],[Tipo de Tarea y especialidad]],#REF!,Planning[[#This Row],[Proyectos Reiwa]]),SUMIFS(#REF!,#REF!,Planning[[#This Row],[Tipo de Tarea y especialidad]],#REF!,Planning[[#This Row],[Proyectos]]))</f>
        <v>#REF!</v>
      </c>
      <c r="K3180" s="5" t="e">
        <f>Planning[[#This Row],[Horas Planificadas]]+Planning[[#This Row],[Horas ajustadas adicionales]]-Planning[[#This Row],[Horas utilizadas]]</f>
        <v>#REF!</v>
      </c>
      <c r="L3180" s="7"/>
      <c r="M3180" s="19" t="e">
        <f>Planning[[#This Row],[Saldo]]-Planning[[#This Row],[Saldo estimado]]</f>
        <v>#REF!</v>
      </c>
      <c r="N3180" s="60" t="e">
        <f>+SUMIFS(#REF!,#REF!,Planning[[#This Row],[Proyectos]],#REF!,Planning[[#This Row],[Tipo de Tarea y especialidad]])</f>
        <v>#REF!</v>
      </c>
      <c r="O3180" s="19">
        <f t="shared" si="98"/>
        <v>10</v>
      </c>
      <c r="P3180" s="19">
        <f t="shared" si="99"/>
        <v>2024</v>
      </c>
      <c r="Q31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80" s="19" t="str">
        <f>TEXT(Planning[[#This Row],[Mes]]*29,"mmmm")</f>
        <v>October</v>
      </c>
      <c r="S31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80" s="228"/>
      <c r="U3180" s="43">
        <f>IF(Planning[[#This Row],[Horas Planificadas]]&lt;&gt;0,+K3180/Planning[[#This Row],[Horas Planificadas]],0)</f>
        <v>0</v>
      </c>
      <c r="V3180" s="43">
        <f>IF(Planning[[#This Row],[Horas Planificadas]]&lt;&gt;0,Planning[[#This Row],[Horas utilizadas]]/Planning[[#This Row],[Horas Planificadas]],0)</f>
        <v>0</v>
      </c>
      <c r="W3180" s="44">
        <f>Planning[[#This Row],[Horas Planificadas]]+Planning[[#This Row],[Horas ajustadas adicionales]]</f>
        <v>0</v>
      </c>
      <c r="X3180" s="142"/>
    </row>
    <row r="3181" spans="1:24" x14ac:dyDescent="0.2">
      <c r="A3181" s="7"/>
      <c r="B3181" s="7"/>
      <c r="C3181" s="3"/>
      <c r="D3181" s="3" t="s">
        <v>603</v>
      </c>
      <c r="E3181" s="4"/>
      <c r="F3181" s="3" t="s">
        <v>128</v>
      </c>
      <c r="G3181" s="9"/>
      <c r="H3181" s="9"/>
      <c r="I3181" s="12"/>
      <c r="J3181" s="5" t="e">
        <f>SUM(SUMIFS(#REF!,#REF!,Planning[[#This Row],[Tipo de Tarea y especialidad]],#REF!,Planning[[#This Row],[Proyectos Reiwa]]),SUMIFS(#REF!,#REF!,Planning[[#This Row],[Tipo de Tarea y especialidad]],#REF!,Planning[[#This Row],[Proyectos]]))</f>
        <v>#REF!</v>
      </c>
      <c r="K3181" s="5" t="e">
        <f>Planning[[#This Row],[Horas Planificadas]]+Planning[[#This Row],[Horas ajustadas adicionales]]-Planning[[#This Row],[Horas utilizadas]]</f>
        <v>#REF!</v>
      </c>
      <c r="L3181" s="7"/>
      <c r="M3181" s="19" t="e">
        <f>Planning[[#This Row],[Saldo]]-Planning[[#This Row],[Saldo estimado]]</f>
        <v>#REF!</v>
      </c>
      <c r="N3181" s="60" t="e">
        <f>+SUMIFS(#REF!,#REF!,Planning[[#This Row],[Proyectos]],#REF!,Planning[[#This Row],[Tipo de Tarea y especialidad]])</f>
        <v>#REF!</v>
      </c>
      <c r="O3181" s="19">
        <f t="shared" si="98"/>
        <v>10</v>
      </c>
      <c r="P3181" s="19">
        <f t="shared" si="99"/>
        <v>2024</v>
      </c>
      <c r="Q31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81" s="19" t="str">
        <f>TEXT(Planning[[#This Row],[Mes]]*29,"mmmm")</f>
        <v>October</v>
      </c>
      <c r="S31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81" s="228"/>
      <c r="U3181" s="43">
        <f>IF(Planning[[#This Row],[Horas Planificadas]]&lt;&gt;0,+K3181/Planning[[#This Row],[Horas Planificadas]],0)</f>
        <v>0</v>
      </c>
      <c r="V3181" s="43">
        <f>IF(Planning[[#This Row],[Horas Planificadas]]&lt;&gt;0,Planning[[#This Row],[Horas utilizadas]]/Planning[[#This Row],[Horas Planificadas]],0)</f>
        <v>0</v>
      </c>
      <c r="W3181" s="44">
        <f>Planning[[#This Row],[Horas Planificadas]]+Planning[[#This Row],[Horas ajustadas adicionales]]</f>
        <v>0</v>
      </c>
      <c r="X3181" s="142"/>
    </row>
    <row r="3182" spans="1:24" x14ac:dyDescent="0.2">
      <c r="A3182" s="7"/>
      <c r="B3182" s="7"/>
      <c r="C3182" s="3"/>
      <c r="D3182" s="3" t="s">
        <v>603</v>
      </c>
      <c r="E3182" s="4" t="s">
        <v>31</v>
      </c>
      <c r="F3182" s="3" t="s">
        <v>31</v>
      </c>
      <c r="G3182" s="9">
        <v>4</v>
      </c>
      <c r="H3182" s="17">
        <v>4</v>
      </c>
      <c r="I3182" s="18"/>
      <c r="J3182" s="14" t="e">
        <f>+SUMIFS(#REF!,#REF!,Planning[[#This Row],[Tarifa]],#REF!,Planning[[#This Row],[Proyectos]])</f>
        <v>#REF!</v>
      </c>
      <c r="K3182" s="14" t="e">
        <f>Planning[[#This Row],[Horas Planificadas]]+Planning[[#This Row],[Horas ajustadas adicionales]]-Planning[[#This Row],[Horas utilizadas]]</f>
        <v>#REF!</v>
      </c>
      <c r="L3182" s="15"/>
      <c r="M3182" s="16" t="e">
        <f>Planning[[#This Row],[Saldo]]-Planning[[#This Row],[Saldo estimado]]</f>
        <v>#REF!</v>
      </c>
      <c r="N3182" s="60" t="e">
        <f>+SUMIFS(#REF!,#REF!,Planning[[#This Row],[Proyectos]],#REF!,Planning[[#This Row],[Tipo de Tarea y especialidad]])</f>
        <v>#REF!</v>
      </c>
      <c r="O3182" s="16">
        <f t="shared" si="98"/>
        <v>10</v>
      </c>
      <c r="P3182" s="16">
        <f t="shared" si="99"/>
        <v>2024</v>
      </c>
      <c r="Q3182" s="16" t="e">
        <f>+SUMIFS(#REF!,#REF!,Planning[[#This Row],[Tarifa]],#REF!,Planning[[#This Row],[Proyectos]],#REF!,Planning[[#This Row],[Mes]],#REF!,Planning[[#This Row],[Año]])</f>
        <v>#REF!</v>
      </c>
      <c r="R3182" s="16" t="str">
        <f>TEXT(Planning[[#This Row],[Mes]]*29,"mmmm")</f>
        <v>October</v>
      </c>
      <c r="S31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82" s="228"/>
      <c r="U3182" s="43" t="e">
        <f>IF(Planning[[#This Row],[Horas Planificadas]]&lt;&gt;0,+K3182/Planning[[#This Row],[Horas Planificadas]],0)</f>
        <v>#REF!</v>
      </c>
      <c r="V3182" s="43" t="e">
        <f>IF(Planning[[#This Row],[Horas Planificadas]]&lt;&gt;0,Planning[[#This Row],[Horas utilizadas]]/Planning[[#This Row],[Horas Planificadas]],0)</f>
        <v>#REF!</v>
      </c>
      <c r="W3182" s="44">
        <f>Planning[[#This Row],[Horas Planificadas]]+Planning[[#This Row],[Horas ajustadas adicionales]]</f>
        <v>4</v>
      </c>
      <c r="X3182" s="142"/>
    </row>
    <row r="3183" spans="1:24" ht="22.5" x14ac:dyDescent="0.2">
      <c r="A3183" s="7"/>
      <c r="B3183" s="7"/>
      <c r="C3183" s="3"/>
      <c r="D3183" s="3" t="s">
        <v>603</v>
      </c>
      <c r="E3183" s="4" t="s">
        <v>32</v>
      </c>
      <c r="F3183" s="3"/>
      <c r="G3183" s="9">
        <v>20</v>
      </c>
      <c r="H3183" s="14">
        <v>20</v>
      </c>
      <c r="I3183" s="14"/>
      <c r="J3183" s="14" t="e">
        <f>SUM(J3184:J3186)</f>
        <v>#REF!</v>
      </c>
      <c r="K3183" s="15" t="e">
        <f>SUM(K3184:K3186)</f>
        <v>#REF!</v>
      </c>
      <c r="L3183" s="15">
        <f>SUM(L3184:L3186)</f>
        <v>0</v>
      </c>
      <c r="M3183" s="16" t="e">
        <f>Planning[[#This Row],[Saldo]]-Planning[[#This Row],[Saldo estimado]]</f>
        <v>#REF!</v>
      </c>
      <c r="N3183" s="60" t="e">
        <f>+SUMIFS(#REF!,#REF!,Planning[[#This Row],[Proyectos]],#REF!,Planning[[#This Row],[Tipo de Tarea y especialidad]])</f>
        <v>#REF!</v>
      </c>
      <c r="O3183" s="16">
        <f t="shared" si="98"/>
        <v>10</v>
      </c>
      <c r="P3183" s="16">
        <f t="shared" si="99"/>
        <v>2024</v>
      </c>
      <c r="Q3183" s="16" t="e">
        <f>SUM(Q3184:Q3186)</f>
        <v>#REF!</v>
      </c>
      <c r="R3183" s="16" t="str">
        <f>TEXT(Planning[[#This Row],[Mes]]*29,"mmmm")</f>
        <v>October</v>
      </c>
      <c r="S31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83" s="228"/>
      <c r="U3183" s="43" t="e">
        <f>IF(Planning[[#This Row],[Horas Planificadas]]&lt;&gt;0,+K3183/Planning[[#This Row],[Horas Planificadas]],0)</f>
        <v>#REF!</v>
      </c>
      <c r="V3183" s="43" t="e">
        <f>IF(Planning[[#This Row],[Horas Planificadas]]&lt;&gt;0,Planning[[#This Row],[Horas utilizadas]]/Planning[[#This Row],[Horas Planificadas]],0)</f>
        <v>#REF!</v>
      </c>
      <c r="W3183" s="44">
        <f>Planning[[#This Row],[Horas Planificadas]]+Planning[[#This Row],[Horas ajustadas adicionales]]</f>
        <v>20</v>
      </c>
      <c r="X3183" s="142"/>
    </row>
    <row r="3184" spans="1:24" x14ac:dyDescent="0.2">
      <c r="A3184" s="7"/>
      <c r="B3184" s="7"/>
      <c r="C3184" s="3"/>
      <c r="D3184" s="3" t="s">
        <v>603</v>
      </c>
      <c r="E3184" s="4"/>
      <c r="F3184" s="3" t="s">
        <v>129</v>
      </c>
      <c r="G3184" s="11"/>
      <c r="H3184" s="9"/>
      <c r="I3184" s="12"/>
      <c r="J3184" s="5" t="e">
        <f>SUM(SUMIFS(#REF!,#REF!,Planning[[#This Row],[Tipo de Tarea y especialidad]],#REF!,Planning[[#This Row],[Proyectos Reiwa]]),SUMIFS(#REF!,#REF!,Planning[[#This Row],[Tipo de Tarea y especialidad]],#REF!,Planning[[#This Row],[Proyectos]]))</f>
        <v>#REF!</v>
      </c>
      <c r="K3184" s="5" t="e">
        <f>Planning[[#This Row],[Horas Planificadas]]+Planning[[#This Row],[Horas ajustadas adicionales]]-Planning[[#This Row],[Horas utilizadas]]</f>
        <v>#REF!</v>
      </c>
      <c r="L3184" s="7"/>
      <c r="M3184" s="19" t="e">
        <f>Planning[[#This Row],[Saldo]]-Planning[[#This Row],[Saldo estimado]]</f>
        <v>#REF!</v>
      </c>
      <c r="N3184" s="60" t="e">
        <f>+SUMIFS(#REF!,#REF!,Planning[[#This Row],[Proyectos]],#REF!,Planning[[#This Row],[Tipo de Tarea y especialidad]])</f>
        <v>#REF!</v>
      </c>
      <c r="O3184" s="19">
        <f t="shared" si="98"/>
        <v>10</v>
      </c>
      <c r="P3184" s="19">
        <f t="shared" si="99"/>
        <v>2024</v>
      </c>
      <c r="Q31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84" s="19" t="str">
        <f>TEXT(Planning[[#This Row],[Mes]]*29,"mmmm")</f>
        <v>October</v>
      </c>
      <c r="S31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84" s="228"/>
      <c r="U3184" s="43">
        <f>IF(Planning[[#This Row],[Horas Planificadas]]&lt;&gt;0,+K3184/Planning[[#This Row],[Horas Planificadas]],0)</f>
        <v>0</v>
      </c>
      <c r="V3184" s="43">
        <f>IF(Planning[[#This Row],[Horas Planificadas]]&lt;&gt;0,Planning[[#This Row],[Horas utilizadas]]/Planning[[#This Row],[Horas Planificadas]],0)</f>
        <v>0</v>
      </c>
      <c r="W3184" s="44">
        <f>Planning[[#This Row],[Horas Planificadas]]+Planning[[#This Row],[Horas ajustadas adicionales]]</f>
        <v>0</v>
      </c>
      <c r="X3184" s="142"/>
    </row>
    <row r="3185" spans="1:24" x14ac:dyDescent="0.2">
      <c r="A3185" s="7"/>
      <c r="B3185" s="7"/>
      <c r="C3185" s="3"/>
      <c r="D3185" s="3" t="s">
        <v>603</v>
      </c>
      <c r="E3185" s="4"/>
      <c r="F3185" s="3" t="s">
        <v>130</v>
      </c>
      <c r="G3185" s="11"/>
      <c r="H3185" s="9"/>
      <c r="I3185" s="12"/>
      <c r="J3185" s="5" t="e">
        <f>SUM(SUMIFS(#REF!,#REF!,Planning[[#This Row],[Tipo de Tarea y especialidad]],#REF!,Planning[[#This Row],[Proyectos Reiwa]]),SUMIFS(#REF!,#REF!,Planning[[#This Row],[Tipo de Tarea y especialidad]],#REF!,Planning[[#This Row],[Proyectos]]))</f>
        <v>#REF!</v>
      </c>
      <c r="K3185" s="5" t="e">
        <f>Planning[[#This Row],[Horas Planificadas]]+Planning[[#This Row],[Horas ajustadas adicionales]]-Planning[[#This Row],[Horas utilizadas]]</f>
        <v>#REF!</v>
      </c>
      <c r="L3185" s="7"/>
      <c r="M3185" s="19" t="e">
        <f>Planning[[#This Row],[Saldo]]-Planning[[#This Row],[Saldo estimado]]</f>
        <v>#REF!</v>
      </c>
      <c r="N3185" s="60" t="e">
        <f>+SUMIFS(#REF!,#REF!,Planning[[#This Row],[Proyectos]],#REF!,Planning[[#This Row],[Tipo de Tarea y especialidad]])</f>
        <v>#REF!</v>
      </c>
      <c r="O3185" s="19">
        <f t="shared" si="98"/>
        <v>10</v>
      </c>
      <c r="P3185" s="19">
        <f t="shared" si="99"/>
        <v>2024</v>
      </c>
      <c r="Q31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85" s="19" t="str">
        <f>TEXT(Planning[[#This Row],[Mes]]*29,"mmmm")</f>
        <v>October</v>
      </c>
      <c r="S31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85" s="228"/>
      <c r="U3185" s="43">
        <f>IF(Planning[[#This Row],[Horas Planificadas]]&lt;&gt;0,+K3185/Planning[[#This Row],[Horas Planificadas]],0)</f>
        <v>0</v>
      </c>
      <c r="V3185" s="43">
        <f>IF(Planning[[#This Row],[Horas Planificadas]]&lt;&gt;0,Planning[[#This Row],[Horas utilizadas]]/Planning[[#This Row],[Horas Planificadas]],0)</f>
        <v>0</v>
      </c>
      <c r="W3185" s="44">
        <f>Planning[[#This Row],[Horas Planificadas]]+Planning[[#This Row],[Horas ajustadas adicionales]]</f>
        <v>0</v>
      </c>
      <c r="X3185" s="142"/>
    </row>
    <row r="3186" spans="1:24" x14ac:dyDescent="0.2">
      <c r="A3186" s="7"/>
      <c r="B3186" s="7"/>
      <c r="C3186" s="3"/>
      <c r="D3186" s="3" t="s">
        <v>603</v>
      </c>
      <c r="E3186" s="4"/>
      <c r="F3186" s="3" t="s">
        <v>131</v>
      </c>
      <c r="G3186" s="11"/>
      <c r="H3186" s="9"/>
      <c r="I3186" s="12"/>
      <c r="J3186" s="5" t="e">
        <f>SUM(SUMIFS(#REF!,#REF!,Planning[[#This Row],[Tipo de Tarea y especialidad]],#REF!,Planning[[#This Row],[Proyectos Reiwa]]),SUMIFS(#REF!,#REF!,Planning[[#This Row],[Tipo de Tarea y especialidad]],#REF!,Planning[[#This Row],[Proyectos]]))</f>
        <v>#REF!</v>
      </c>
      <c r="K3186" s="5" t="e">
        <f>Planning[[#This Row],[Horas Planificadas]]+Planning[[#This Row],[Horas ajustadas adicionales]]-Planning[[#This Row],[Horas utilizadas]]</f>
        <v>#REF!</v>
      </c>
      <c r="L3186" s="7"/>
      <c r="M3186" s="19" t="e">
        <f>Planning[[#This Row],[Saldo]]-Planning[[#This Row],[Saldo estimado]]</f>
        <v>#REF!</v>
      </c>
      <c r="N3186" s="60" t="e">
        <f>+SUMIFS(#REF!,#REF!,Planning[[#This Row],[Proyectos]],#REF!,Planning[[#This Row],[Tipo de Tarea y especialidad]])</f>
        <v>#REF!</v>
      </c>
      <c r="O3186" s="19">
        <f t="shared" si="98"/>
        <v>10</v>
      </c>
      <c r="P3186" s="19">
        <f t="shared" si="99"/>
        <v>2024</v>
      </c>
      <c r="Q31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86" s="19" t="str">
        <f>TEXT(Planning[[#This Row],[Mes]]*29,"mmmm")</f>
        <v>October</v>
      </c>
      <c r="S31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86" s="228"/>
      <c r="U3186" s="43">
        <f>IF(Planning[[#This Row],[Horas Planificadas]]&lt;&gt;0,+K3186/Planning[[#This Row],[Horas Planificadas]],0)</f>
        <v>0</v>
      </c>
      <c r="V3186" s="43">
        <f>IF(Planning[[#This Row],[Horas Planificadas]]&lt;&gt;0,Planning[[#This Row],[Horas utilizadas]]/Planning[[#This Row],[Horas Planificadas]],0)</f>
        <v>0</v>
      </c>
      <c r="W3186" s="44">
        <f>Planning[[#This Row],[Horas Planificadas]]+Planning[[#This Row],[Horas ajustadas adicionales]]</f>
        <v>0</v>
      </c>
      <c r="X3186" s="142"/>
    </row>
    <row r="3187" spans="1:24" ht="12.75" customHeight="1" x14ac:dyDescent="0.2">
      <c r="A3187" s="7" t="s">
        <v>294</v>
      </c>
      <c r="B3187" s="7" t="s">
        <v>118</v>
      </c>
      <c r="C3187" s="3"/>
      <c r="D3187" s="3" t="s">
        <v>604</v>
      </c>
      <c r="E3187" s="4" t="s">
        <v>28</v>
      </c>
      <c r="F3187" s="3"/>
      <c r="G3187" s="9">
        <v>424</v>
      </c>
      <c r="H3187" s="14">
        <f>SUM(H3188:H3189)</f>
        <v>424</v>
      </c>
      <c r="I3187" s="14"/>
      <c r="J3187" s="14" t="e">
        <f>SUM(J3188:J3189)</f>
        <v>#REF!</v>
      </c>
      <c r="K3187" s="15" t="e">
        <f>SUM(K3188:K3189)</f>
        <v>#REF!</v>
      </c>
      <c r="L3187" s="15">
        <f>SUM(L3188:L3189)</f>
        <v>18</v>
      </c>
      <c r="M3187" s="14" t="e">
        <f>SUM(M3188:M3189)</f>
        <v>#REF!</v>
      </c>
      <c r="N3187" s="66" t="e">
        <f>+SUMIFS(#REF!,#REF!,Planning[[#This Row],[Proyectos]],#REF!,Planning[[#This Row],[Tipo de Tarea y especialidad]])</f>
        <v>#REF!</v>
      </c>
      <c r="O3187" s="14">
        <f t="shared" si="98"/>
        <v>10</v>
      </c>
      <c r="P3187" s="14">
        <f t="shared" si="99"/>
        <v>2024</v>
      </c>
      <c r="Q3187" s="28" t="e">
        <f>SUM(Q3188:Q3189)</f>
        <v>#REF!</v>
      </c>
      <c r="R3187" s="24" t="str">
        <f>TEXT(Planning[[#This Row],[Mes]]*29,"mmmm")</f>
        <v>October</v>
      </c>
      <c r="S318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87" s="248" t="s">
        <v>605</v>
      </c>
      <c r="U3187" s="43" t="e">
        <f>IF(Planning[[#This Row],[Horas Planificadas]]&lt;&gt;0,+K3187/Planning[[#This Row],[Horas Planificadas]],0)</f>
        <v>#REF!</v>
      </c>
      <c r="V3187" s="43" t="e">
        <f>IF(Planning[[#This Row],[Horas Planificadas]]&lt;&gt;0,Planning[[#This Row],[Horas utilizadas]]/Planning[[#This Row],[Horas Planificadas]],0)</f>
        <v>#REF!</v>
      </c>
      <c r="W3187" s="44">
        <f>Planning[[#This Row],[Horas Planificadas]]+Planning[[#This Row],[Horas ajustadas adicionales]]</f>
        <v>424</v>
      </c>
      <c r="X3187" s="142"/>
    </row>
    <row r="3188" spans="1:24" x14ac:dyDescent="0.2">
      <c r="A3188" s="7" t="s">
        <v>294</v>
      </c>
      <c r="B3188" s="7" t="s">
        <v>118</v>
      </c>
      <c r="C3188" s="3"/>
      <c r="D3188" s="3" t="s">
        <v>604</v>
      </c>
      <c r="E3188" s="4"/>
      <c r="F3188" s="3" t="s">
        <v>120</v>
      </c>
      <c r="G3188" s="9"/>
      <c r="H3188" s="9">
        <v>224</v>
      </c>
      <c r="I3188" s="12"/>
      <c r="J3188" s="5" t="e">
        <f>SUM(SUMIFS(#REF!,#REF!,Planning[[#This Row],[Tipo de Tarea y especialidad]],#REF!,Planning[[#This Row],[Proyectos Reiwa]]),SUMIFS(#REF!,#REF!,Planning[[#This Row],[Tipo de Tarea y especialidad]],#REF!,Planning[[#This Row],[Proyectos]]))</f>
        <v>#REF!</v>
      </c>
      <c r="K3188" s="5" t="e">
        <f>Planning[[#This Row],[Horas Planificadas]]+Planning[[#This Row],[Horas ajustadas adicionales]]-Planning[[#This Row],[Horas utilizadas]]</f>
        <v>#REF!</v>
      </c>
      <c r="L3188" s="7">
        <v>0</v>
      </c>
      <c r="M3188" s="19" t="e">
        <f>Planning[[#This Row],[Saldo]]-Planning[[#This Row],[Saldo estimado]]</f>
        <v>#REF!</v>
      </c>
      <c r="N3188" s="64" t="e">
        <f>+SUMIFS(#REF!,#REF!,Planning[[#This Row],[Proyectos]],#REF!,Planning[[#This Row],[Tipo de Tarea y especialidad]])</f>
        <v>#REF!</v>
      </c>
      <c r="O3188" s="49">
        <f t="shared" si="98"/>
        <v>10</v>
      </c>
      <c r="P3188" s="49">
        <f t="shared" si="99"/>
        <v>2024</v>
      </c>
      <c r="Q31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88" s="49" t="str">
        <f>TEXT(Planning[[#This Row],[Mes]]*29,"mmmm")</f>
        <v>October</v>
      </c>
      <c r="S318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88" s="249"/>
      <c r="U3188" s="43" t="e">
        <f>IF(Planning[[#This Row],[Horas Planificadas]]&lt;&gt;0,+K3188/Planning[[#This Row],[Horas Planificadas]],0)</f>
        <v>#REF!</v>
      </c>
      <c r="V3188" s="43" t="e">
        <f>IF(Planning[[#This Row],[Horas Planificadas]]&lt;&gt;0,Planning[[#This Row],[Horas utilizadas]]/Planning[[#This Row],[Horas Planificadas]],0)</f>
        <v>#REF!</v>
      </c>
      <c r="W3188" s="44">
        <f>Planning[[#This Row],[Horas Planificadas]]+Planning[[#This Row],[Horas ajustadas adicionales]]</f>
        <v>224</v>
      </c>
      <c r="X3188" s="142"/>
    </row>
    <row r="3189" spans="1:24" x14ac:dyDescent="0.2">
      <c r="A3189" s="7" t="s">
        <v>294</v>
      </c>
      <c r="B3189" s="7" t="s">
        <v>118</v>
      </c>
      <c r="C3189" s="3"/>
      <c r="D3189" s="3" t="s">
        <v>604</v>
      </c>
      <c r="E3189" s="4"/>
      <c r="F3189" s="3" t="s">
        <v>121</v>
      </c>
      <c r="G3189" s="9"/>
      <c r="H3189" s="9">
        <v>200</v>
      </c>
      <c r="I3189" s="12"/>
      <c r="J3189" s="5" t="e">
        <f>SUM(SUMIFS(#REF!,#REF!,Planning[[#This Row],[Tipo de Tarea y especialidad]],#REF!,Planning[[#This Row],[Proyectos Reiwa]]),SUMIFS(#REF!,#REF!,Planning[[#This Row],[Tipo de Tarea y especialidad]],#REF!,Planning[[#This Row],[Proyectos]]))</f>
        <v>#REF!</v>
      </c>
      <c r="K3189" s="5" t="e">
        <f>Planning[[#This Row],[Horas Planificadas]]+Planning[[#This Row],[Horas ajustadas adicionales]]-Planning[[#This Row],[Horas utilizadas]]</f>
        <v>#REF!</v>
      </c>
      <c r="L3189" s="7">
        <v>18</v>
      </c>
      <c r="M3189" s="19" t="e">
        <f>Planning[[#This Row],[Saldo]]-Planning[[#This Row],[Saldo estimado]]</f>
        <v>#REF!</v>
      </c>
      <c r="N3189" s="64" t="e">
        <f>+SUMIFS(#REF!,#REF!,Planning[[#This Row],[Proyectos]],#REF!,Planning[[#This Row],[Tipo de Tarea y especialidad]])</f>
        <v>#REF!</v>
      </c>
      <c r="O3189" s="49">
        <f t="shared" si="98"/>
        <v>10</v>
      </c>
      <c r="P3189" s="49">
        <f t="shared" si="99"/>
        <v>2024</v>
      </c>
      <c r="Q31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89" s="49" t="str">
        <f>TEXT(Planning[[#This Row],[Mes]]*29,"mmmm")</f>
        <v>October</v>
      </c>
      <c r="S318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89" s="249"/>
      <c r="U3189" s="43" t="e">
        <f>IF(Planning[[#This Row],[Horas Planificadas]]&lt;&gt;0,+K3189/Planning[[#This Row],[Horas Planificadas]],0)</f>
        <v>#REF!</v>
      </c>
      <c r="V3189" s="43" t="e">
        <f>IF(Planning[[#This Row],[Horas Planificadas]]&lt;&gt;0,Planning[[#This Row],[Horas utilizadas]]/Planning[[#This Row],[Horas Planificadas]],0)</f>
        <v>#REF!</v>
      </c>
      <c r="W3189" s="44">
        <f>Planning[[#This Row],[Horas Planificadas]]+Planning[[#This Row],[Horas ajustadas adicionales]]</f>
        <v>200</v>
      </c>
      <c r="X3189" s="142"/>
    </row>
    <row r="3190" spans="1:24" x14ac:dyDescent="0.2">
      <c r="A3190" s="7" t="s">
        <v>294</v>
      </c>
      <c r="B3190" s="7" t="s">
        <v>118</v>
      </c>
      <c r="C3190" s="3"/>
      <c r="D3190" s="3" t="s">
        <v>604</v>
      </c>
      <c r="E3190" s="4" t="s">
        <v>30</v>
      </c>
      <c r="F3190" s="3"/>
      <c r="G3190" s="9">
        <v>504</v>
      </c>
      <c r="H3190" s="14">
        <f>SUM(H3191:H3197)</f>
        <v>494</v>
      </c>
      <c r="I3190" s="14"/>
      <c r="J3190" s="14" t="e">
        <f>SUM(J3191:J3197)</f>
        <v>#REF!</v>
      </c>
      <c r="K3190" s="15" t="e">
        <f>SUM(K3191:K3197)</f>
        <v>#REF!</v>
      </c>
      <c r="L3190" s="15">
        <f>SUM(L3191:L3197)</f>
        <v>54</v>
      </c>
      <c r="M3190" s="16" t="e">
        <f>SUM(M3191:M3197)</f>
        <v>#REF!</v>
      </c>
      <c r="N3190" s="64" t="e">
        <f>+SUMIFS(#REF!,#REF!,Planning[[#This Row],[Proyectos]],#REF!,Planning[[#This Row],[Tipo de Tarea y especialidad]])</f>
        <v>#REF!</v>
      </c>
      <c r="O3190" s="50">
        <f t="shared" si="98"/>
        <v>10</v>
      </c>
      <c r="P3190" s="50">
        <f t="shared" si="99"/>
        <v>2024</v>
      </c>
      <c r="Q3190" s="16" t="e">
        <f>SUM(Q3191:Q3197)</f>
        <v>#REF!</v>
      </c>
      <c r="R3190" s="50" t="str">
        <f>TEXT(Planning[[#This Row],[Mes]]*29,"mmmm")</f>
        <v>October</v>
      </c>
      <c r="S319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90" s="249"/>
      <c r="U3190" s="43" t="e">
        <f>IF(Planning[[#This Row],[Horas Planificadas]]&lt;&gt;0,+K3190/Planning[[#This Row],[Horas Planificadas]],0)</f>
        <v>#REF!</v>
      </c>
      <c r="V3190" s="43" t="e">
        <f>IF(Planning[[#This Row],[Horas Planificadas]]&lt;&gt;0,Planning[[#This Row],[Horas utilizadas]]/Planning[[#This Row],[Horas Planificadas]],0)</f>
        <v>#REF!</v>
      </c>
      <c r="W3190" s="44">
        <f>Planning[[#This Row],[Horas Planificadas]]+Planning[[#This Row],[Horas ajustadas adicionales]]</f>
        <v>494</v>
      </c>
      <c r="X3190" s="142"/>
    </row>
    <row r="3191" spans="1:24" x14ac:dyDescent="0.2">
      <c r="A3191" s="7" t="s">
        <v>294</v>
      </c>
      <c r="B3191" s="7" t="s">
        <v>118</v>
      </c>
      <c r="C3191" s="3"/>
      <c r="D3191" s="3" t="s">
        <v>604</v>
      </c>
      <c r="E3191" s="4"/>
      <c r="F3191" s="3" t="s">
        <v>122</v>
      </c>
      <c r="G3191" s="9"/>
      <c r="H3191" s="9">
        <v>54</v>
      </c>
      <c r="I3191" s="12"/>
      <c r="J3191" s="5" t="e">
        <f>SUM(SUMIFS(#REF!,#REF!,Planning[[#This Row],[Tipo de Tarea y especialidad]],#REF!,Planning[[#This Row],[Proyectos Reiwa]]),SUMIFS(#REF!,#REF!,Planning[[#This Row],[Tipo de Tarea y especialidad]],#REF!,Planning[[#This Row],[Proyectos]]))</f>
        <v>#REF!</v>
      </c>
      <c r="K3191" s="5" t="e">
        <f>Planning[[#This Row],[Horas Planificadas]]+Planning[[#This Row],[Horas ajustadas adicionales]]-Planning[[#This Row],[Horas utilizadas]]</f>
        <v>#REF!</v>
      </c>
      <c r="L3191" s="7">
        <v>0</v>
      </c>
      <c r="M3191" s="19" t="e">
        <f>Planning[[#This Row],[Saldo]]-Planning[[#This Row],[Saldo estimado]]</f>
        <v>#REF!</v>
      </c>
      <c r="N3191" s="64" t="e">
        <f>+SUMIFS(#REF!,#REF!,Planning[[#This Row],[Proyectos]],#REF!,Planning[[#This Row],[Tipo de Tarea y especialidad]])</f>
        <v>#REF!</v>
      </c>
      <c r="O3191" s="49">
        <f t="shared" si="98"/>
        <v>10</v>
      </c>
      <c r="P3191" s="49">
        <f t="shared" si="99"/>
        <v>2024</v>
      </c>
      <c r="Q31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91" s="49" t="str">
        <f>TEXT(Planning[[#This Row],[Mes]]*29,"mmmm")</f>
        <v>October</v>
      </c>
      <c r="S319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91" s="249"/>
      <c r="U3191" s="43" t="e">
        <f>IF(Planning[[#This Row],[Horas Planificadas]]&lt;&gt;0,+K3191/Planning[[#This Row],[Horas Planificadas]],0)</f>
        <v>#REF!</v>
      </c>
      <c r="V3191" s="43" t="e">
        <f>IF(Planning[[#This Row],[Horas Planificadas]]&lt;&gt;0,Planning[[#This Row],[Horas utilizadas]]/Planning[[#This Row],[Horas Planificadas]],0)</f>
        <v>#REF!</v>
      </c>
      <c r="W3191" s="44">
        <f>Planning[[#This Row],[Horas Planificadas]]+Planning[[#This Row],[Horas ajustadas adicionales]]</f>
        <v>54</v>
      </c>
      <c r="X3191" s="142"/>
    </row>
    <row r="3192" spans="1:24" x14ac:dyDescent="0.2">
      <c r="A3192" s="7" t="s">
        <v>294</v>
      </c>
      <c r="B3192" s="7" t="s">
        <v>118</v>
      </c>
      <c r="C3192" s="3"/>
      <c r="D3192" s="3" t="s">
        <v>604</v>
      </c>
      <c r="E3192" s="4"/>
      <c r="F3192" s="3" t="s">
        <v>123</v>
      </c>
      <c r="G3192" s="9"/>
      <c r="H3192" s="9">
        <v>198</v>
      </c>
      <c r="I3192" s="12"/>
      <c r="J3192" s="5" t="e">
        <f>SUM(SUMIFS(#REF!,#REF!,Planning[[#This Row],[Tipo de Tarea y especialidad]],#REF!,Planning[[#This Row],[Proyectos Reiwa]]),SUMIFS(#REF!,#REF!,Planning[[#This Row],[Tipo de Tarea y especialidad]],#REF!,Planning[[#This Row],[Proyectos]]))</f>
        <v>#REF!</v>
      </c>
      <c r="K3192" s="5" t="e">
        <f>Planning[[#This Row],[Horas Planificadas]]+Planning[[#This Row],[Horas ajustadas adicionales]]-Planning[[#This Row],[Horas utilizadas]]</f>
        <v>#REF!</v>
      </c>
      <c r="L3192" s="7">
        <v>27</v>
      </c>
      <c r="M3192" s="19" t="e">
        <f>Planning[[#This Row],[Saldo]]-Planning[[#This Row],[Saldo estimado]]</f>
        <v>#REF!</v>
      </c>
      <c r="N3192" s="64" t="e">
        <f>+SUMIFS(#REF!,#REF!,Planning[[#This Row],[Proyectos]],#REF!,Planning[[#This Row],[Tipo de Tarea y especialidad]])</f>
        <v>#REF!</v>
      </c>
      <c r="O3192" s="49">
        <f t="shared" si="98"/>
        <v>10</v>
      </c>
      <c r="P3192" s="49">
        <f t="shared" si="99"/>
        <v>2024</v>
      </c>
      <c r="Q31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92" s="49" t="str">
        <f>TEXT(Planning[[#This Row],[Mes]]*29,"mmmm")</f>
        <v>October</v>
      </c>
      <c r="S319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92" s="249"/>
      <c r="U3192" s="43" t="e">
        <f>IF(Planning[[#This Row],[Horas Planificadas]]&lt;&gt;0,+K3192/Planning[[#This Row],[Horas Planificadas]],0)</f>
        <v>#REF!</v>
      </c>
      <c r="V3192" s="43" t="e">
        <f>IF(Planning[[#This Row],[Horas Planificadas]]&lt;&gt;0,Planning[[#This Row],[Horas utilizadas]]/Planning[[#This Row],[Horas Planificadas]],0)</f>
        <v>#REF!</v>
      </c>
      <c r="W3192" s="44">
        <f>Planning[[#This Row],[Horas Planificadas]]+Planning[[#This Row],[Horas ajustadas adicionales]]</f>
        <v>198</v>
      </c>
      <c r="X3192" s="142"/>
    </row>
    <row r="3193" spans="1:24" x14ac:dyDescent="0.2">
      <c r="A3193" s="7" t="s">
        <v>294</v>
      </c>
      <c r="B3193" s="7" t="s">
        <v>118</v>
      </c>
      <c r="C3193" s="3"/>
      <c r="D3193" s="3" t="s">
        <v>604</v>
      </c>
      <c r="E3193" s="4"/>
      <c r="F3193" s="3" t="s">
        <v>124</v>
      </c>
      <c r="G3193" s="9"/>
      <c r="H3193" s="9"/>
      <c r="I3193" s="12"/>
      <c r="J3193" s="5" t="e">
        <f>SUM(SUMIFS(#REF!,#REF!,Planning[[#This Row],[Tipo de Tarea y especialidad]],#REF!,Planning[[#This Row],[Proyectos Reiwa]]),SUMIFS(#REF!,#REF!,Planning[[#This Row],[Tipo de Tarea y especialidad]],#REF!,Planning[[#This Row],[Proyectos]]))</f>
        <v>#REF!</v>
      </c>
      <c r="K3193" s="5" t="e">
        <f>Planning[[#This Row],[Horas Planificadas]]+Planning[[#This Row],[Horas ajustadas adicionales]]-Planning[[#This Row],[Horas utilizadas]]</f>
        <v>#REF!</v>
      </c>
      <c r="L3193" s="7"/>
      <c r="M3193" s="19" t="e">
        <f>Planning[[#This Row],[Saldo]]-Planning[[#This Row],[Saldo estimado]]</f>
        <v>#REF!</v>
      </c>
      <c r="N3193" s="64" t="e">
        <f>+SUMIFS(#REF!,#REF!,Planning[[#This Row],[Proyectos]],#REF!,Planning[[#This Row],[Tipo de Tarea y especialidad]])</f>
        <v>#REF!</v>
      </c>
      <c r="O3193" s="49">
        <f t="shared" si="98"/>
        <v>10</v>
      </c>
      <c r="P3193" s="49">
        <f t="shared" si="99"/>
        <v>2024</v>
      </c>
      <c r="Q31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93" s="49" t="str">
        <f>TEXT(Planning[[#This Row],[Mes]]*29,"mmmm")</f>
        <v>October</v>
      </c>
      <c r="S319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93" s="249"/>
      <c r="U3193" s="43">
        <f>IF(Planning[[#This Row],[Horas Planificadas]]&lt;&gt;0,+K3193/Planning[[#This Row],[Horas Planificadas]],0)</f>
        <v>0</v>
      </c>
      <c r="V3193" s="43">
        <f>IF(Planning[[#This Row],[Horas Planificadas]]&lt;&gt;0,Planning[[#This Row],[Horas utilizadas]]/Planning[[#This Row],[Horas Planificadas]],0)</f>
        <v>0</v>
      </c>
      <c r="W3193" s="44">
        <f>Planning[[#This Row],[Horas Planificadas]]+Planning[[#This Row],[Horas ajustadas adicionales]]</f>
        <v>0</v>
      </c>
      <c r="X3193" s="142"/>
    </row>
    <row r="3194" spans="1:24" x14ac:dyDescent="0.2">
      <c r="A3194" s="7" t="s">
        <v>294</v>
      </c>
      <c r="B3194" s="7" t="s">
        <v>118</v>
      </c>
      <c r="C3194" s="3"/>
      <c r="D3194" s="3" t="s">
        <v>604</v>
      </c>
      <c r="E3194" s="4"/>
      <c r="F3194" s="3" t="s">
        <v>125</v>
      </c>
      <c r="G3194" s="9"/>
      <c r="H3194" s="9">
        <v>170</v>
      </c>
      <c r="I3194" s="12"/>
      <c r="J3194" s="5" t="e">
        <f>SUM(SUMIFS(#REF!,#REF!,Planning[[#This Row],[Tipo de Tarea y especialidad]],#REF!,Planning[[#This Row],[Proyectos Reiwa]]),SUMIFS(#REF!,#REF!,Planning[[#This Row],[Tipo de Tarea y especialidad]],#REF!,Planning[[#This Row],[Proyectos]]))</f>
        <v>#REF!</v>
      </c>
      <c r="K3194" s="5" t="e">
        <f>Planning[[#This Row],[Horas Planificadas]]+Planning[[#This Row],[Horas ajustadas adicionales]]-Planning[[#This Row],[Horas utilizadas]]</f>
        <v>#REF!</v>
      </c>
      <c r="L3194" s="7">
        <v>27</v>
      </c>
      <c r="M3194" s="19" t="e">
        <f>Planning[[#This Row],[Saldo]]-Planning[[#This Row],[Saldo estimado]]</f>
        <v>#REF!</v>
      </c>
      <c r="N3194" s="64" t="e">
        <f>+SUMIFS(#REF!,#REF!,Planning[[#This Row],[Proyectos]],#REF!,Planning[[#This Row],[Tipo de Tarea y especialidad]])</f>
        <v>#REF!</v>
      </c>
      <c r="O3194" s="49">
        <f t="shared" si="98"/>
        <v>10</v>
      </c>
      <c r="P3194" s="49">
        <f t="shared" si="99"/>
        <v>2024</v>
      </c>
      <c r="Q31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94" s="49" t="str">
        <f>TEXT(Planning[[#This Row],[Mes]]*29,"mmmm")</f>
        <v>October</v>
      </c>
      <c r="S319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94" s="249"/>
      <c r="U3194" s="43" t="e">
        <f>IF(Planning[[#This Row],[Horas Planificadas]]&lt;&gt;0,+K3194/Planning[[#This Row],[Horas Planificadas]],0)</f>
        <v>#REF!</v>
      </c>
      <c r="V3194" s="43" t="e">
        <f>IF(Planning[[#This Row],[Horas Planificadas]]&lt;&gt;0,Planning[[#This Row],[Horas utilizadas]]/Planning[[#This Row],[Horas Planificadas]],0)</f>
        <v>#REF!</v>
      </c>
      <c r="W3194" s="44">
        <f>Planning[[#This Row],[Horas Planificadas]]+Planning[[#This Row],[Horas ajustadas adicionales]]</f>
        <v>170</v>
      </c>
      <c r="X3194" s="142"/>
    </row>
    <row r="3195" spans="1:24" x14ac:dyDescent="0.2">
      <c r="A3195" s="7" t="s">
        <v>294</v>
      </c>
      <c r="B3195" s="7" t="s">
        <v>118</v>
      </c>
      <c r="C3195" s="3"/>
      <c r="D3195" s="3" t="s">
        <v>604</v>
      </c>
      <c r="E3195" s="4"/>
      <c r="F3195" s="3" t="s">
        <v>126</v>
      </c>
      <c r="G3195" s="9"/>
      <c r="H3195" s="9"/>
      <c r="I3195" s="12"/>
      <c r="J3195" s="5" t="e">
        <f>SUM(SUMIFS(#REF!,#REF!,Planning[[#This Row],[Tipo de Tarea y especialidad]],#REF!,Planning[[#This Row],[Proyectos Reiwa]]),SUMIFS(#REF!,#REF!,Planning[[#This Row],[Tipo de Tarea y especialidad]],#REF!,Planning[[#This Row],[Proyectos]]))</f>
        <v>#REF!</v>
      </c>
      <c r="K3195" s="5" t="e">
        <f>Planning[[#This Row],[Horas Planificadas]]+Planning[[#This Row],[Horas ajustadas adicionales]]-Planning[[#This Row],[Horas utilizadas]]</f>
        <v>#REF!</v>
      </c>
      <c r="L3195" s="7"/>
      <c r="M3195" s="19" t="e">
        <f>Planning[[#This Row],[Saldo]]-Planning[[#This Row],[Saldo estimado]]</f>
        <v>#REF!</v>
      </c>
      <c r="N3195" s="64" t="e">
        <f>+SUMIFS(#REF!,#REF!,Planning[[#This Row],[Proyectos]],#REF!,Planning[[#This Row],[Tipo de Tarea y especialidad]])</f>
        <v>#REF!</v>
      </c>
      <c r="O3195" s="49">
        <f t="shared" si="98"/>
        <v>10</v>
      </c>
      <c r="P3195" s="49">
        <f t="shared" si="99"/>
        <v>2024</v>
      </c>
      <c r="Q31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95" s="49" t="str">
        <f>TEXT(Planning[[#This Row],[Mes]]*29,"mmmm")</f>
        <v>October</v>
      </c>
      <c r="S319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95" s="249"/>
      <c r="U3195" s="43">
        <f>IF(Planning[[#This Row],[Horas Planificadas]]&lt;&gt;0,+K3195/Planning[[#This Row],[Horas Planificadas]],0)</f>
        <v>0</v>
      </c>
      <c r="V3195" s="43">
        <f>IF(Planning[[#This Row],[Horas Planificadas]]&lt;&gt;0,Planning[[#This Row],[Horas utilizadas]]/Planning[[#This Row],[Horas Planificadas]],0)</f>
        <v>0</v>
      </c>
      <c r="W3195" s="44">
        <f>Planning[[#This Row],[Horas Planificadas]]+Planning[[#This Row],[Horas ajustadas adicionales]]</f>
        <v>0</v>
      </c>
      <c r="X3195" s="142"/>
    </row>
    <row r="3196" spans="1:24" x14ac:dyDescent="0.2">
      <c r="A3196" s="7" t="s">
        <v>294</v>
      </c>
      <c r="B3196" s="7" t="s">
        <v>118</v>
      </c>
      <c r="C3196" s="3"/>
      <c r="D3196" s="3" t="s">
        <v>604</v>
      </c>
      <c r="E3196" s="4"/>
      <c r="F3196" s="3" t="s">
        <v>127</v>
      </c>
      <c r="G3196" s="9"/>
      <c r="H3196" s="9">
        <v>72</v>
      </c>
      <c r="I3196" s="12"/>
      <c r="J3196" s="5" t="e">
        <f>SUM(SUMIFS(#REF!,#REF!,Planning[[#This Row],[Tipo de Tarea y especialidad]],#REF!,Planning[[#This Row],[Proyectos Reiwa]]),SUMIFS(#REF!,#REF!,Planning[[#This Row],[Tipo de Tarea y especialidad]],#REF!,Planning[[#This Row],[Proyectos]]))</f>
        <v>#REF!</v>
      </c>
      <c r="K3196" s="5" t="e">
        <f>Planning[[#This Row],[Horas Planificadas]]+Planning[[#This Row],[Horas ajustadas adicionales]]-Planning[[#This Row],[Horas utilizadas]]</f>
        <v>#REF!</v>
      </c>
      <c r="L3196" s="7">
        <v>0</v>
      </c>
      <c r="M3196" s="19" t="e">
        <f>Planning[[#This Row],[Saldo]]-Planning[[#This Row],[Saldo estimado]]</f>
        <v>#REF!</v>
      </c>
      <c r="N3196" s="64" t="e">
        <f>+SUMIFS(#REF!,#REF!,Planning[[#This Row],[Proyectos]],#REF!,Planning[[#This Row],[Tipo de Tarea y especialidad]])</f>
        <v>#REF!</v>
      </c>
      <c r="O3196" s="49">
        <f t="shared" si="98"/>
        <v>10</v>
      </c>
      <c r="P3196" s="49">
        <f t="shared" si="99"/>
        <v>2024</v>
      </c>
      <c r="Q31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96" s="49" t="str">
        <f>TEXT(Planning[[#This Row],[Mes]]*29,"mmmm")</f>
        <v>October</v>
      </c>
      <c r="S319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96" s="249"/>
      <c r="U3196" s="43" t="e">
        <f>IF(Planning[[#This Row],[Horas Planificadas]]&lt;&gt;0,+K3196/Planning[[#This Row],[Horas Planificadas]],0)</f>
        <v>#REF!</v>
      </c>
      <c r="V3196" s="43" t="e">
        <f>IF(Planning[[#This Row],[Horas Planificadas]]&lt;&gt;0,Planning[[#This Row],[Horas utilizadas]]/Planning[[#This Row],[Horas Planificadas]],0)</f>
        <v>#REF!</v>
      </c>
      <c r="W3196" s="44">
        <f>Planning[[#This Row],[Horas Planificadas]]+Planning[[#This Row],[Horas ajustadas adicionales]]</f>
        <v>72</v>
      </c>
      <c r="X3196" s="142"/>
    </row>
    <row r="3197" spans="1:24" x14ac:dyDescent="0.2">
      <c r="A3197" s="7" t="s">
        <v>294</v>
      </c>
      <c r="B3197" s="7" t="s">
        <v>118</v>
      </c>
      <c r="C3197" s="3"/>
      <c r="D3197" s="3" t="s">
        <v>604</v>
      </c>
      <c r="E3197" s="4"/>
      <c r="F3197" s="3" t="s">
        <v>128</v>
      </c>
      <c r="G3197" s="9"/>
      <c r="H3197" s="9"/>
      <c r="I3197" s="12"/>
      <c r="J3197" s="5" t="e">
        <f>SUM(SUMIFS(#REF!,#REF!,Planning[[#This Row],[Tipo de Tarea y especialidad]],#REF!,Planning[[#This Row],[Proyectos Reiwa]]),SUMIFS(#REF!,#REF!,Planning[[#This Row],[Tipo de Tarea y especialidad]],#REF!,Planning[[#This Row],[Proyectos]]))</f>
        <v>#REF!</v>
      </c>
      <c r="K3197" s="5" t="e">
        <f>Planning[[#This Row],[Horas Planificadas]]+Planning[[#This Row],[Horas ajustadas adicionales]]-Planning[[#This Row],[Horas utilizadas]]</f>
        <v>#REF!</v>
      </c>
      <c r="L3197" s="7"/>
      <c r="M3197" s="19" t="e">
        <f>Planning[[#This Row],[Saldo]]-Planning[[#This Row],[Saldo estimado]]</f>
        <v>#REF!</v>
      </c>
      <c r="N3197" s="64" t="e">
        <f>+SUMIFS(#REF!,#REF!,Planning[[#This Row],[Proyectos]],#REF!,Planning[[#This Row],[Tipo de Tarea y especialidad]])</f>
        <v>#REF!</v>
      </c>
      <c r="O3197" s="49">
        <f t="shared" si="98"/>
        <v>10</v>
      </c>
      <c r="P3197" s="49">
        <f t="shared" si="99"/>
        <v>2024</v>
      </c>
      <c r="Q31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197" s="49" t="str">
        <f>TEXT(Planning[[#This Row],[Mes]]*29,"mmmm")</f>
        <v>October</v>
      </c>
      <c r="S319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97" s="249"/>
      <c r="U3197" s="43">
        <f>IF(Planning[[#This Row],[Horas Planificadas]]&lt;&gt;0,+K3197/Planning[[#This Row],[Horas Planificadas]],0)</f>
        <v>0</v>
      </c>
      <c r="V3197" s="43">
        <f>IF(Planning[[#This Row],[Horas Planificadas]]&lt;&gt;0,Planning[[#This Row],[Horas utilizadas]]/Planning[[#This Row],[Horas Planificadas]],0)</f>
        <v>0</v>
      </c>
      <c r="W3197" s="44">
        <f>Planning[[#This Row],[Horas Planificadas]]+Planning[[#This Row],[Horas ajustadas adicionales]]</f>
        <v>0</v>
      </c>
      <c r="X3197" s="142"/>
    </row>
    <row r="3198" spans="1:24" x14ac:dyDescent="0.2">
      <c r="A3198" s="7" t="s">
        <v>294</v>
      </c>
      <c r="B3198" s="7" t="s">
        <v>118</v>
      </c>
      <c r="C3198" s="3"/>
      <c r="D3198" s="3" t="s">
        <v>604</v>
      </c>
      <c r="E3198" s="4" t="s">
        <v>31</v>
      </c>
      <c r="F3198" s="3" t="s">
        <v>31</v>
      </c>
      <c r="G3198" s="9">
        <v>180</v>
      </c>
      <c r="H3198" s="17">
        <v>180</v>
      </c>
      <c r="I3198" s="18"/>
      <c r="J3198" s="14" t="e">
        <f>+SUMIFS(#REF!,#REF!,Planning[[#This Row],[Tarifa]],#REF!,Planning[[#This Row],[Proyectos]])</f>
        <v>#REF!</v>
      </c>
      <c r="K3198" s="14" t="e">
        <f>Planning[[#This Row],[Horas Planificadas]]+Planning[[#This Row],[Horas ajustadas adicionales]]-Planning[[#This Row],[Horas utilizadas]]</f>
        <v>#REF!</v>
      </c>
      <c r="L3198" s="15">
        <v>90</v>
      </c>
      <c r="M3198" s="16" t="e">
        <f>Planning[[#This Row],[Saldo]]-Planning[[#This Row],[Saldo estimado]]</f>
        <v>#REF!</v>
      </c>
      <c r="N3198" s="64" t="e">
        <f>+SUMIFS(#REF!,#REF!,Planning[[#This Row],[Proyectos]],#REF!,Planning[[#This Row],[Tipo de Tarea y especialidad]])</f>
        <v>#REF!</v>
      </c>
      <c r="O3198" s="50">
        <f t="shared" si="98"/>
        <v>10</v>
      </c>
      <c r="P3198" s="50">
        <f t="shared" si="99"/>
        <v>2024</v>
      </c>
      <c r="Q3198" s="16" t="e">
        <f>+SUMIFS(#REF!,#REF!,Planning[[#This Row],[Tarifa]],#REF!,Planning[[#This Row],[Proyectos]],#REF!,Planning[[#This Row],[Mes]],#REF!,Planning[[#This Row],[Año]])</f>
        <v>#REF!</v>
      </c>
      <c r="R3198" s="50" t="str">
        <f>TEXT(Planning[[#This Row],[Mes]]*29,"mmmm")</f>
        <v>October</v>
      </c>
      <c r="S319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98" s="249"/>
      <c r="U3198" s="43" t="e">
        <f>IF(Planning[[#This Row],[Horas Planificadas]]&lt;&gt;0,+K3198/Planning[[#This Row],[Horas Planificadas]],0)</f>
        <v>#REF!</v>
      </c>
      <c r="V3198" s="43" t="e">
        <f>IF(Planning[[#This Row],[Horas Planificadas]]&lt;&gt;0,Planning[[#This Row],[Horas utilizadas]]/Planning[[#This Row],[Horas Planificadas]],0)</f>
        <v>#REF!</v>
      </c>
      <c r="W3198" s="44">
        <f>Planning[[#This Row],[Horas Planificadas]]+Planning[[#This Row],[Horas ajustadas adicionales]]</f>
        <v>180</v>
      </c>
      <c r="X3198" s="142"/>
    </row>
    <row r="3199" spans="1:24" ht="22.5" x14ac:dyDescent="0.2">
      <c r="A3199" s="7" t="s">
        <v>294</v>
      </c>
      <c r="B3199" s="7" t="s">
        <v>118</v>
      </c>
      <c r="C3199" s="3"/>
      <c r="D3199" s="3" t="s">
        <v>604</v>
      </c>
      <c r="E3199" s="4" t="s">
        <v>32</v>
      </c>
      <c r="F3199" s="3"/>
      <c r="G3199" s="9">
        <v>240</v>
      </c>
      <c r="H3199" s="14">
        <f>SUM(H3200:H3202)</f>
        <v>240</v>
      </c>
      <c r="I3199" s="14"/>
      <c r="J3199" s="14" t="e">
        <f>SUM(J3200:J3202)</f>
        <v>#REF!</v>
      </c>
      <c r="K3199" s="15" t="e">
        <f>SUM(K3200:K3202)</f>
        <v>#REF!</v>
      </c>
      <c r="L3199" s="15">
        <f>SUM(L3200:L3202)</f>
        <v>63</v>
      </c>
      <c r="M3199" s="16" t="e">
        <f>SUM(M3200:M3202)</f>
        <v>#REF!</v>
      </c>
      <c r="N3199" s="64" t="e">
        <f>+SUMIFS(#REF!,#REF!,Planning[[#This Row],[Proyectos]],#REF!,Planning[[#This Row],[Tipo de Tarea y especialidad]])</f>
        <v>#REF!</v>
      </c>
      <c r="O3199" s="50">
        <f t="shared" si="98"/>
        <v>10</v>
      </c>
      <c r="P3199" s="50">
        <f t="shared" si="99"/>
        <v>2024</v>
      </c>
      <c r="Q3199" s="16" t="e">
        <f>SUM(Q3200:Q3202)</f>
        <v>#REF!</v>
      </c>
      <c r="R3199" s="50" t="str">
        <f>TEXT(Planning[[#This Row],[Mes]]*29,"mmmm")</f>
        <v>October</v>
      </c>
      <c r="S319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199" s="249"/>
      <c r="U3199" s="43" t="e">
        <f>IF(Planning[[#This Row],[Horas Planificadas]]&lt;&gt;0,+K3199/Planning[[#This Row],[Horas Planificadas]],0)</f>
        <v>#REF!</v>
      </c>
      <c r="V3199" s="43" t="e">
        <f>IF(Planning[[#This Row],[Horas Planificadas]]&lt;&gt;0,Planning[[#This Row],[Horas utilizadas]]/Planning[[#This Row],[Horas Planificadas]],0)</f>
        <v>#REF!</v>
      </c>
      <c r="W3199" s="44">
        <f>Planning[[#This Row],[Horas Planificadas]]+Planning[[#This Row],[Horas ajustadas adicionales]]</f>
        <v>240</v>
      </c>
      <c r="X3199" s="142"/>
    </row>
    <row r="3200" spans="1:24" x14ac:dyDescent="0.2">
      <c r="A3200" s="7" t="s">
        <v>294</v>
      </c>
      <c r="B3200" s="7" t="s">
        <v>118</v>
      </c>
      <c r="C3200" s="3"/>
      <c r="D3200" s="3" t="s">
        <v>604</v>
      </c>
      <c r="E3200" s="4"/>
      <c r="F3200" s="3" t="s">
        <v>129</v>
      </c>
      <c r="G3200" s="9"/>
      <c r="H3200" s="9"/>
      <c r="I3200" s="12"/>
      <c r="J3200" s="5" t="e">
        <f>SUM(SUMIFS(#REF!,#REF!,Planning[[#This Row],[Tipo de Tarea y especialidad]],#REF!,Planning[[#This Row],[Proyectos Reiwa]]),SUMIFS(#REF!,#REF!,Planning[[#This Row],[Tipo de Tarea y especialidad]],#REF!,Planning[[#This Row],[Proyectos]]))</f>
        <v>#REF!</v>
      </c>
      <c r="K3200" s="5" t="e">
        <f>Planning[[#This Row],[Horas Planificadas]]+Planning[[#This Row],[Horas ajustadas adicionales]]-Planning[[#This Row],[Horas utilizadas]]</f>
        <v>#REF!</v>
      </c>
      <c r="L3200" s="7"/>
      <c r="M3200" s="19" t="e">
        <f>Planning[[#This Row],[Saldo]]-Planning[[#This Row],[Saldo estimado]]</f>
        <v>#REF!</v>
      </c>
      <c r="N3200" s="64" t="e">
        <f>+SUMIFS(#REF!,#REF!,Planning[[#This Row],[Proyectos]],#REF!,Planning[[#This Row],[Tipo de Tarea y especialidad]])</f>
        <v>#REF!</v>
      </c>
      <c r="O3200" s="49">
        <f t="shared" si="98"/>
        <v>10</v>
      </c>
      <c r="P3200" s="49">
        <f t="shared" si="99"/>
        <v>2024</v>
      </c>
      <c r="Q32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00" s="49" t="str">
        <f>TEXT(Planning[[#This Row],[Mes]]*29,"mmmm")</f>
        <v>October</v>
      </c>
      <c r="S320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00" s="249"/>
      <c r="U3200" s="43">
        <f>IF(Planning[[#This Row],[Horas Planificadas]]&lt;&gt;0,+K3200/Planning[[#This Row],[Horas Planificadas]],0)</f>
        <v>0</v>
      </c>
      <c r="V3200" s="43">
        <f>IF(Planning[[#This Row],[Horas Planificadas]]&lt;&gt;0,Planning[[#This Row],[Horas utilizadas]]/Planning[[#This Row],[Horas Planificadas]],0)</f>
        <v>0</v>
      </c>
      <c r="W3200" s="44">
        <f>Planning[[#This Row],[Horas Planificadas]]+Planning[[#This Row],[Horas ajustadas adicionales]]</f>
        <v>0</v>
      </c>
      <c r="X3200" s="142"/>
    </row>
    <row r="3201" spans="1:24" x14ac:dyDescent="0.2">
      <c r="A3201" s="7" t="s">
        <v>294</v>
      </c>
      <c r="B3201" s="7" t="s">
        <v>118</v>
      </c>
      <c r="C3201" s="3"/>
      <c r="D3201" s="3" t="s">
        <v>604</v>
      </c>
      <c r="E3201" s="4"/>
      <c r="F3201" s="3" t="s">
        <v>130</v>
      </c>
      <c r="G3201" s="9"/>
      <c r="H3201" s="9">
        <v>240</v>
      </c>
      <c r="I3201" s="12"/>
      <c r="J3201" s="5" t="e">
        <f>SUM(SUMIFS(#REF!,#REF!,Planning[[#This Row],[Tipo de Tarea y especialidad]],#REF!,Planning[[#This Row],[Proyectos Reiwa]]),SUMIFS(#REF!,#REF!,Planning[[#This Row],[Tipo de Tarea y especialidad]],#REF!,Planning[[#This Row],[Proyectos]]))</f>
        <v>#REF!</v>
      </c>
      <c r="K3201" s="5" t="e">
        <f>Planning[[#This Row],[Horas Planificadas]]+Planning[[#This Row],[Horas ajustadas adicionales]]-Planning[[#This Row],[Horas utilizadas]]</f>
        <v>#REF!</v>
      </c>
      <c r="L3201" s="7">
        <v>63</v>
      </c>
      <c r="M3201" s="19" t="e">
        <f>Planning[[#This Row],[Saldo]]-Planning[[#This Row],[Saldo estimado]]</f>
        <v>#REF!</v>
      </c>
      <c r="N3201" s="64" t="e">
        <f>+SUMIFS(#REF!,#REF!,Planning[[#This Row],[Proyectos]],#REF!,Planning[[#This Row],[Tipo de Tarea y especialidad]])</f>
        <v>#REF!</v>
      </c>
      <c r="O3201" s="49">
        <f t="shared" si="98"/>
        <v>10</v>
      </c>
      <c r="P3201" s="49">
        <f t="shared" si="99"/>
        <v>2024</v>
      </c>
      <c r="Q32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01" s="49" t="str">
        <f>TEXT(Planning[[#This Row],[Mes]]*29,"mmmm")</f>
        <v>October</v>
      </c>
      <c r="S320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01" s="249"/>
      <c r="U3201" s="43" t="e">
        <f>IF(Planning[[#This Row],[Horas Planificadas]]&lt;&gt;0,+K3201/Planning[[#This Row],[Horas Planificadas]],0)</f>
        <v>#REF!</v>
      </c>
      <c r="V3201" s="43" t="e">
        <f>IF(Planning[[#This Row],[Horas Planificadas]]&lt;&gt;0,Planning[[#This Row],[Horas utilizadas]]/Planning[[#This Row],[Horas Planificadas]],0)</f>
        <v>#REF!</v>
      </c>
      <c r="W3201" s="44">
        <f>Planning[[#This Row],[Horas Planificadas]]+Planning[[#This Row],[Horas ajustadas adicionales]]</f>
        <v>240</v>
      </c>
      <c r="X3201" s="142"/>
    </row>
    <row r="3202" spans="1:24" x14ac:dyDescent="0.2">
      <c r="A3202" s="7" t="s">
        <v>294</v>
      </c>
      <c r="B3202" s="7" t="s">
        <v>118</v>
      </c>
      <c r="C3202" s="3"/>
      <c r="D3202" s="3" t="s">
        <v>604</v>
      </c>
      <c r="E3202" s="4"/>
      <c r="F3202" s="3" t="s">
        <v>131</v>
      </c>
      <c r="G3202" s="9"/>
      <c r="H3202" s="9"/>
      <c r="I3202" s="12"/>
      <c r="J3202" s="5" t="e">
        <f>SUM(SUMIFS(#REF!,#REF!,Planning[[#This Row],[Tipo de Tarea y especialidad]],#REF!,Planning[[#This Row],[Proyectos Reiwa]]),SUMIFS(#REF!,#REF!,Planning[[#This Row],[Tipo de Tarea y especialidad]],#REF!,Planning[[#This Row],[Proyectos]]))</f>
        <v>#REF!</v>
      </c>
      <c r="K3202" s="5" t="e">
        <f>Planning[[#This Row],[Horas Planificadas]]+Planning[[#This Row],[Horas ajustadas adicionales]]-Planning[[#This Row],[Horas utilizadas]]</f>
        <v>#REF!</v>
      </c>
      <c r="L3202" s="7"/>
      <c r="M3202" s="19" t="e">
        <f>Planning[[#This Row],[Saldo]]-Planning[[#This Row],[Saldo estimado]]</f>
        <v>#REF!</v>
      </c>
      <c r="N3202" s="65" t="e">
        <f>+SUMIFS(#REF!,#REF!,Planning[[#This Row],[Proyectos]],#REF!,Planning[[#This Row],[Tipo de Tarea y especialidad]])</f>
        <v>#REF!</v>
      </c>
      <c r="O3202" s="51">
        <f t="shared" si="98"/>
        <v>10</v>
      </c>
      <c r="P3202" s="51">
        <f t="shared" si="99"/>
        <v>2024</v>
      </c>
      <c r="Q32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02" s="51" t="str">
        <f>TEXT(Planning[[#This Row],[Mes]]*29,"mmmm")</f>
        <v>October</v>
      </c>
      <c r="S320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02" s="250"/>
      <c r="U3202" s="43">
        <f>IF(Planning[[#This Row],[Horas Planificadas]]&lt;&gt;0,+K3202/Planning[[#This Row],[Horas Planificadas]],0)</f>
        <v>0</v>
      </c>
      <c r="V3202" s="43">
        <f>IF(Planning[[#This Row],[Horas Planificadas]]&lt;&gt;0,Planning[[#This Row],[Horas utilizadas]]/Planning[[#This Row],[Horas Planificadas]],0)</f>
        <v>0</v>
      </c>
      <c r="W3202" s="44">
        <f>Planning[[#This Row],[Horas Planificadas]]+Planning[[#This Row],[Horas ajustadas adicionales]]</f>
        <v>0</v>
      </c>
      <c r="X3202" s="142"/>
    </row>
    <row r="3203" spans="1:24" ht="22.5" x14ac:dyDescent="0.2">
      <c r="A3203" s="7" t="s">
        <v>483</v>
      </c>
      <c r="B3203" s="7" t="s">
        <v>169</v>
      </c>
      <c r="C3203" s="3"/>
      <c r="D3203" s="3" t="s">
        <v>606</v>
      </c>
      <c r="E3203" s="4" t="s">
        <v>28</v>
      </c>
      <c r="F3203" s="3"/>
      <c r="G3203" s="9">
        <v>0</v>
      </c>
      <c r="H3203" s="14">
        <f>SUM(H3204:H3205)</f>
        <v>0</v>
      </c>
      <c r="I3203" s="14"/>
      <c r="J3203" s="14" t="e">
        <f>SUM(J3204:J3205)</f>
        <v>#REF!</v>
      </c>
      <c r="K3203" s="15" t="e">
        <f>SUM(K3204:K3205)</f>
        <v>#REF!</v>
      </c>
      <c r="L3203" s="15">
        <f>SUM(L3204:L3205)</f>
        <v>0</v>
      </c>
      <c r="M3203" s="14" t="e">
        <f>SUM(M3204:M3205)</f>
        <v>#REF!</v>
      </c>
      <c r="N3203" s="66" t="e">
        <f>+SUMIFS(#REF!,#REF!,Planning[[#This Row],[Proyectos]],#REF!,Planning[[#This Row],[Tipo de Tarea y especialidad]])</f>
        <v>#REF!</v>
      </c>
      <c r="O3203" s="14">
        <f t="shared" si="98"/>
        <v>10</v>
      </c>
      <c r="P3203" s="14">
        <f t="shared" si="99"/>
        <v>2024</v>
      </c>
      <c r="Q3203" s="28" t="e">
        <f>SUM(Q3204:Q3205)</f>
        <v>#REF!</v>
      </c>
      <c r="R3203" s="28" t="str">
        <f>TEXT(Planning[[#This Row],[Mes]]*29,"mmmm")</f>
        <v>October</v>
      </c>
      <c r="S32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03" s="192" t="s">
        <v>607</v>
      </c>
      <c r="U3203" s="43">
        <f>IF(Planning[[#This Row],[Horas Planificadas]]&lt;&gt;0,+K3203/Planning[[#This Row],[Horas Planificadas]],0)</f>
        <v>0</v>
      </c>
      <c r="V3203" s="43">
        <f>IF(Planning[[#This Row],[Horas Planificadas]]&lt;&gt;0,Planning[[#This Row],[Horas utilizadas]]/Planning[[#This Row],[Horas Planificadas]],0)</f>
        <v>0</v>
      </c>
      <c r="W3203" s="44">
        <f>Planning[[#This Row],[Horas Planificadas]]+Planning[[#This Row],[Horas ajustadas adicionales]]</f>
        <v>0</v>
      </c>
      <c r="X3203" s="142"/>
    </row>
    <row r="3204" spans="1:24" x14ac:dyDescent="0.2">
      <c r="A3204" s="7" t="s">
        <v>483</v>
      </c>
      <c r="B3204" s="7" t="s">
        <v>169</v>
      </c>
      <c r="C3204" s="3"/>
      <c r="D3204" s="3" t="s">
        <v>606</v>
      </c>
      <c r="E3204" s="4"/>
      <c r="F3204" s="3" t="s">
        <v>120</v>
      </c>
      <c r="G3204" s="9"/>
      <c r="H3204" s="9"/>
      <c r="I3204" s="12"/>
      <c r="J3204" s="5" t="e">
        <f>SUM(SUMIFS(#REF!,#REF!,Planning[[#This Row],[Tipo de Tarea y especialidad]],#REF!,Planning[[#This Row],[Proyectos Reiwa]]),SUMIFS(#REF!,#REF!,Planning[[#This Row],[Tipo de Tarea y especialidad]],#REF!,Planning[[#This Row],[Proyectos]]))</f>
        <v>#REF!</v>
      </c>
      <c r="K3204" s="5" t="e">
        <f>Planning[[#This Row],[Horas Planificadas]]+Planning[[#This Row],[Horas ajustadas adicionales]]-Planning[[#This Row],[Horas utilizadas]]</f>
        <v>#REF!</v>
      </c>
      <c r="L3204" s="7">
        <v>0</v>
      </c>
      <c r="M3204" s="19" t="e">
        <f>Planning[[#This Row],[Saldo]]-Planning[[#This Row],[Saldo estimado]]</f>
        <v>#REF!</v>
      </c>
      <c r="N3204" s="60" t="e">
        <f>+SUMIFS(#REF!,#REF!,Planning[[#This Row],[Proyectos]],#REF!,Planning[[#This Row],[Tipo de Tarea y especialidad]])</f>
        <v>#REF!</v>
      </c>
      <c r="O3204" s="19">
        <f t="shared" si="98"/>
        <v>10</v>
      </c>
      <c r="P3204" s="19">
        <f t="shared" si="99"/>
        <v>2024</v>
      </c>
      <c r="Q32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04" s="19" t="str">
        <f>TEXT(Planning[[#This Row],[Mes]]*29,"mmmm")</f>
        <v>October</v>
      </c>
      <c r="S32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04" s="193"/>
      <c r="U3204" s="43">
        <f>IF(Planning[[#This Row],[Horas Planificadas]]&lt;&gt;0,+K3204/Planning[[#This Row],[Horas Planificadas]],0)</f>
        <v>0</v>
      </c>
      <c r="V3204" s="43">
        <f>IF(Planning[[#This Row],[Horas Planificadas]]&lt;&gt;0,Planning[[#This Row],[Horas utilizadas]]/Planning[[#This Row],[Horas Planificadas]],0)</f>
        <v>0</v>
      </c>
      <c r="W3204" s="44">
        <f>Planning[[#This Row],[Horas Planificadas]]+Planning[[#This Row],[Horas ajustadas adicionales]]</f>
        <v>0</v>
      </c>
      <c r="X3204" s="142"/>
    </row>
    <row r="3205" spans="1:24" x14ac:dyDescent="0.2">
      <c r="A3205" s="7" t="s">
        <v>483</v>
      </c>
      <c r="B3205" s="7" t="s">
        <v>169</v>
      </c>
      <c r="C3205" s="3"/>
      <c r="D3205" s="3" t="s">
        <v>606</v>
      </c>
      <c r="E3205" s="4"/>
      <c r="F3205" s="3" t="s">
        <v>121</v>
      </c>
      <c r="G3205" s="9"/>
      <c r="H3205" s="9"/>
      <c r="I3205" s="12"/>
      <c r="J3205" s="5" t="e">
        <f>SUM(SUMIFS(#REF!,#REF!,Planning[[#This Row],[Tipo de Tarea y especialidad]],#REF!,Planning[[#This Row],[Proyectos Reiwa]]),SUMIFS(#REF!,#REF!,Planning[[#This Row],[Tipo de Tarea y especialidad]],#REF!,Planning[[#This Row],[Proyectos]]))</f>
        <v>#REF!</v>
      </c>
      <c r="K3205" s="5" t="e">
        <f>Planning[[#This Row],[Horas Planificadas]]+Planning[[#This Row],[Horas ajustadas adicionales]]-Planning[[#This Row],[Horas utilizadas]]</f>
        <v>#REF!</v>
      </c>
      <c r="L3205" s="7">
        <v>0</v>
      </c>
      <c r="M3205" s="19" t="e">
        <f>Planning[[#This Row],[Saldo]]-Planning[[#This Row],[Saldo estimado]]</f>
        <v>#REF!</v>
      </c>
      <c r="N3205" s="60" t="e">
        <f>+SUMIFS(#REF!,#REF!,Planning[[#This Row],[Proyectos]],#REF!,Planning[[#This Row],[Tipo de Tarea y especialidad]])</f>
        <v>#REF!</v>
      </c>
      <c r="O3205" s="19">
        <f t="shared" si="98"/>
        <v>10</v>
      </c>
      <c r="P3205" s="19">
        <f t="shared" si="99"/>
        <v>2024</v>
      </c>
      <c r="Q32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05" s="19" t="str">
        <f>TEXT(Planning[[#This Row],[Mes]]*29,"mmmm")</f>
        <v>October</v>
      </c>
      <c r="S32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05" s="193"/>
      <c r="U3205" s="43">
        <f>IF(Planning[[#This Row],[Horas Planificadas]]&lt;&gt;0,+K3205/Planning[[#This Row],[Horas Planificadas]],0)</f>
        <v>0</v>
      </c>
      <c r="V3205" s="43">
        <f>IF(Planning[[#This Row],[Horas Planificadas]]&lt;&gt;0,Planning[[#This Row],[Horas utilizadas]]/Planning[[#This Row],[Horas Planificadas]],0)</f>
        <v>0</v>
      </c>
      <c r="W3205" s="44">
        <f>Planning[[#This Row],[Horas Planificadas]]+Planning[[#This Row],[Horas ajustadas adicionales]]</f>
        <v>0</v>
      </c>
      <c r="X3205" s="142"/>
    </row>
    <row r="3206" spans="1:24" x14ac:dyDescent="0.2">
      <c r="A3206" s="7" t="s">
        <v>483</v>
      </c>
      <c r="B3206" s="7" t="s">
        <v>169</v>
      </c>
      <c r="C3206" s="3"/>
      <c r="D3206" s="3" t="s">
        <v>606</v>
      </c>
      <c r="E3206" s="4" t="s">
        <v>30</v>
      </c>
      <c r="F3206" s="3"/>
      <c r="G3206" s="9">
        <v>99</v>
      </c>
      <c r="H3206" s="14">
        <f>SUM(H3207:H3213)</f>
        <v>99</v>
      </c>
      <c r="I3206" s="14"/>
      <c r="J3206" s="14" t="e">
        <f>SUM(J3207:J3213)</f>
        <v>#REF!</v>
      </c>
      <c r="K3206" s="15" t="e">
        <f>SUM(K3207:K3213)</f>
        <v>#REF!</v>
      </c>
      <c r="L3206" s="15">
        <f>SUM(L3207:L3213)</f>
        <v>0</v>
      </c>
      <c r="M3206" s="16" t="e">
        <f>SUM(M3207:M3213)</f>
        <v>#REF!</v>
      </c>
      <c r="N3206" s="60" t="e">
        <f>+SUMIFS(#REF!,#REF!,Planning[[#This Row],[Proyectos]],#REF!,Planning[[#This Row],[Tipo de Tarea y especialidad]])</f>
        <v>#REF!</v>
      </c>
      <c r="O3206" s="16">
        <f t="shared" si="98"/>
        <v>10</v>
      </c>
      <c r="P3206" s="16">
        <f t="shared" si="99"/>
        <v>2024</v>
      </c>
      <c r="Q3206" s="16" t="e">
        <f>SUM(Q3207:Q3213)</f>
        <v>#REF!</v>
      </c>
      <c r="R3206" s="16" t="str">
        <f>TEXT(Planning[[#This Row],[Mes]]*29,"mmmm")</f>
        <v>October</v>
      </c>
      <c r="S32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06" s="193"/>
      <c r="U3206" s="43" t="e">
        <f>IF(Planning[[#This Row],[Horas Planificadas]]&lt;&gt;0,+K3206/Planning[[#This Row],[Horas Planificadas]],0)</f>
        <v>#REF!</v>
      </c>
      <c r="V3206" s="43" t="e">
        <f>IF(Planning[[#This Row],[Horas Planificadas]]&lt;&gt;0,Planning[[#This Row],[Horas utilizadas]]/Planning[[#This Row],[Horas Planificadas]],0)</f>
        <v>#REF!</v>
      </c>
      <c r="W3206" s="44">
        <f>Planning[[#This Row],[Horas Planificadas]]+Planning[[#This Row],[Horas ajustadas adicionales]]</f>
        <v>99</v>
      </c>
      <c r="X3206" s="142"/>
    </row>
    <row r="3207" spans="1:24" x14ac:dyDescent="0.2">
      <c r="A3207" s="7" t="s">
        <v>483</v>
      </c>
      <c r="B3207" s="7" t="s">
        <v>169</v>
      </c>
      <c r="C3207" s="3"/>
      <c r="D3207" s="3" t="s">
        <v>606</v>
      </c>
      <c r="E3207" s="4"/>
      <c r="F3207" s="3" t="s">
        <v>122</v>
      </c>
      <c r="G3207" s="9"/>
      <c r="H3207" s="9"/>
      <c r="I3207" s="12"/>
      <c r="J3207" s="5" t="e">
        <f>SUM(SUMIFS(#REF!,#REF!,Planning[[#This Row],[Tipo de Tarea y especialidad]],#REF!,Planning[[#This Row],[Proyectos Reiwa]]),SUMIFS(#REF!,#REF!,Planning[[#This Row],[Tipo de Tarea y especialidad]],#REF!,Planning[[#This Row],[Proyectos]]))</f>
        <v>#REF!</v>
      </c>
      <c r="K3207" s="5" t="e">
        <f>Planning[[#This Row],[Horas Planificadas]]+Planning[[#This Row],[Horas ajustadas adicionales]]-Planning[[#This Row],[Horas utilizadas]]</f>
        <v>#REF!</v>
      </c>
      <c r="L3207" s="7">
        <v>0</v>
      </c>
      <c r="M3207" s="19" t="e">
        <f>Planning[[#This Row],[Saldo]]-Planning[[#This Row],[Saldo estimado]]</f>
        <v>#REF!</v>
      </c>
      <c r="N3207" s="60" t="e">
        <f>+SUMIFS(#REF!,#REF!,Planning[[#This Row],[Proyectos]],#REF!,Planning[[#This Row],[Tipo de Tarea y especialidad]])</f>
        <v>#REF!</v>
      </c>
      <c r="O3207" s="19">
        <f t="shared" ref="O3207:O3270" si="100">$L$4</f>
        <v>10</v>
      </c>
      <c r="P3207" s="19">
        <f t="shared" ref="P3207:P3270" si="101">$M$4</f>
        <v>2024</v>
      </c>
      <c r="Q32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07" s="19" t="str">
        <f>TEXT(Planning[[#This Row],[Mes]]*29,"mmmm")</f>
        <v>October</v>
      </c>
      <c r="S32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07" s="193"/>
      <c r="U3207" s="43">
        <f>IF(Planning[[#This Row],[Horas Planificadas]]&lt;&gt;0,+K3207/Planning[[#This Row],[Horas Planificadas]],0)</f>
        <v>0</v>
      </c>
      <c r="V3207" s="43">
        <f>IF(Planning[[#This Row],[Horas Planificadas]]&lt;&gt;0,Planning[[#This Row],[Horas utilizadas]]/Planning[[#This Row],[Horas Planificadas]],0)</f>
        <v>0</v>
      </c>
      <c r="W3207" s="44">
        <f>Planning[[#This Row],[Horas Planificadas]]+Planning[[#This Row],[Horas ajustadas adicionales]]</f>
        <v>0</v>
      </c>
      <c r="X3207" s="142"/>
    </row>
    <row r="3208" spans="1:24" x14ac:dyDescent="0.2">
      <c r="A3208" s="7" t="s">
        <v>483</v>
      </c>
      <c r="B3208" s="7" t="s">
        <v>169</v>
      </c>
      <c r="C3208" s="3"/>
      <c r="D3208" s="3" t="s">
        <v>606</v>
      </c>
      <c r="E3208" s="4"/>
      <c r="F3208" s="3" t="s">
        <v>123</v>
      </c>
      <c r="G3208" s="9"/>
      <c r="H3208" s="9"/>
      <c r="I3208" s="12"/>
      <c r="J3208" s="5" t="e">
        <f>SUM(SUMIFS(#REF!,#REF!,Planning[[#This Row],[Tipo de Tarea y especialidad]],#REF!,Planning[[#This Row],[Proyectos Reiwa]]),SUMIFS(#REF!,#REF!,Planning[[#This Row],[Tipo de Tarea y especialidad]],#REF!,Planning[[#This Row],[Proyectos]]))</f>
        <v>#REF!</v>
      </c>
      <c r="K3208" s="5" t="e">
        <f>Planning[[#This Row],[Horas Planificadas]]+Planning[[#This Row],[Horas ajustadas adicionales]]-Planning[[#This Row],[Horas utilizadas]]</f>
        <v>#REF!</v>
      </c>
      <c r="L3208" s="7">
        <v>0</v>
      </c>
      <c r="M3208" s="19" t="e">
        <f>Planning[[#This Row],[Saldo]]-Planning[[#This Row],[Saldo estimado]]</f>
        <v>#REF!</v>
      </c>
      <c r="N3208" s="60" t="e">
        <f>+SUMIFS(#REF!,#REF!,Planning[[#This Row],[Proyectos]],#REF!,Planning[[#This Row],[Tipo de Tarea y especialidad]])</f>
        <v>#REF!</v>
      </c>
      <c r="O3208" s="19">
        <f t="shared" si="100"/>
        <v>10</v>
      </c>
      <c r="P3208" s="19">
        <f t="shared" si="101"/>
        <v>2024</v>
      </c>
      <c r="Q32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08" s="19" t="str">
        <f>TEXT(Planning[[#This Row],[Mes]]*29,"mmmm")</f>
        <v>October</v>
      </c>
      <c r="S32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08" s="193"/>
      <c r="U3208" s="43">
        <f>IF(Planning[[#This Row],[Horas Planificadas]]&lt;&gt;0,+K3208/Planning[[#This Row],[Horas Planificadas]],0)</f>
        <v>0</v>
      </c>
      <c r="V3208" s="43">
        <f>IF(Planning[[#This Row],[Horas Planificadas]]&lt;&gt;0,Planning[[#This Row],[Horas utilizadas]]/Planning[[#This Row],[Horas Planificadas]],0)</f>
        <v>0</v>
      </c>
      <c r="W3208" s="44">
        <f>Planning[[#This Row],[Horas Planificadas]]+Planning[[#This Row],[Horas ajustadas adicionales]]</f>
        <v>0</v>
      </c>
      <c r="X3208" s="142"/>
    </row>
    <row r="3209" spans="1:24" x14ac:dyDescent="0.2">
      <c r="A3209" s="7" t="s">
        <v>483</v>
      </c>
      <c r="B3209" s="7" t="s">
        <v>169</v>
      </c>
      <c r="C3209" s="3"/>
      <c r="D3209" s="3" t="s">
        <v>606</v>
      </c>
      <c r="E3209" s="4"/>
      <c r="F3209" s="3" t="s">
        <v>124</v>
      </c>
      <c r="G3209" s="9"/>
      <c r="H3209" s="9"/>
      <c r="I3209" s="12"/>
      <c r="J3209" s="5" t="e">
        <f>SUM(SUMIFS(#REF!,#REF!,Planning[[#This Row],[Tipo de Tarea y especialidad]],#REF!,Planning[[#This Row],[Proyectos Reiwa]]),SUMIFS(#REF!,#REF!,Planning[[#This Row],[Tipo de Tarea y especialidad]],#REF!,Planning[[#This Row],[Proyectos]]))</f>
        <v>#REF!</v>
      </c>
      <c r="K3209" s="5" t="e">
        <f>Planning[[#This Row],[Horas Planificadas]]+Planning[[#This Row],[Horas ajustadas adicionales]]-Planning[[#This Row],[Horas utilizadas]]</f>
        <v>#REF!</v>
      </c>
      <c r="L3209" s="7">
        <v>0</v>
      </c>
      <c r="M3209" s="19" t="e">
        <f>Planning[[#This Row],[Saldo]]-Planning[[#This Row],[Saldo estimado]]</f>
        <v>#REF!</v>
      </c>
      <c r="N3209" s="60" t="e">
        <f>+SUMIFS(#REF!,#REF!,Planning[[#This Row],[Proyectos]],#REF!,Planning[[#This Row],[Tipo de Tarea y especialidad]])</f>
        <v>#REF!</v>
      </c>
      <c r="O3209" s="19">
        <f t="shared" si="100"/>
        <v>10</v>
      </c>
      <c r="P3209" s="19">
        <f t="shared" si="101"/>
        <v>2024</v>
      </c>
      <c r="Q32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09" s="19" t="str">
        <f>TEXT(Planning[[#This Row],[Mes]]*29,"mmmm")</f>
        <v>October</v>
      </c>
      <c r="S32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09" s="193"/>
      <c r="U3209" s="43">
        <f>IF(Planning[[#This Row],[Horas Planificadas]]&lt;&gt;0,+K3209/Planning[[#This Row],[Horas Planificadas]],0)</f>
        <v>0</v>
      </c>
      <c r="V3209" s="43">
        <f>IF(Planning[[#This Row],[Horas Planificadas]]&lt;&gt;0,Planning[[#This Row],[Horas utilizadas]]/Planning[[#This Row],[Horas Planificadas]],0)</f>
        <v>0</v>
      </c>
      <c r="W3209" s="44">
        <f>Planning[[#This Row],[Horas Planificadas]]+Planning[[#This Row],[Horas ajustadas adicionales]]</f>
        <v>0</v>
      </c>
      <c r="X3209" s="142"/>
    </row>
    <row r="3210" spans="1:24" x14ac:dyDescent="0.2">
      <c r="A3210" s="7" t="s">
        <v>483</v>
      </c>
      <c r="B3210" s="7" t="s">
        <v>169</v>
      </c>
      <c r="C3210" s="3"/>
      <c r="D3210" s="3" t="s">
        <v>606</v>
      </c>
      <c r="E3210" s="4"/>
      <c r="F3210" s="3" t="s">
        <v>125</v>
      </c>
      <c r="G3210" s="9"/>
      <c r="H3210" s="9">
        <v>0</v>
      </c>
      <c r="I3210" s="12"/>
      <c r="J3210" s="5" t="e">
        <f>SUM(SUMIFS(#REF!,#REF!,Planning[[#This Row],[Tipo de Tarea y especialidad]],#REF!,Planning[[#This Row],[Proyectos Reiwa]]),SUMIFS(#REF!,#REF!,Planning[[#This Row],[Tipo de Tarea y especialidad]],#REF!,Planning[[#This Row],[Proyectos]]))</f>
        <v>#REF!</v>
      </c>
      <c r="K3210" s="5" t="e">
        <f>Planning[[#This Row],[Horas Planificadas]]+Planning[[#This Row],[Horas ajustadas adicionales]]-Planning[[#This Row],[Horas utilizadas]]</f>
        <v>#REF!</v>
      </c>
      <c r="L3210" s="7">
        <v>0</v>
      </c>
      <c r="M3210" s="19" t="e">
        <f>Planning[[#This Row],[Saldo]]-Planning[[#This Row],[Saldo estimado]]</f>
        <v>#REF!</v>
      </c>
      <c r="N3210" s="60" t="e">
        <f>+SUMIFS(#REF!,#REF!,Planning[[#This Row],[Proyectos]],#REF!,Planning[[#This Row],[Tipo de Tarea y especialidad]])</f>
        <v>#REF!</v>
      </c>
      <c r="O3210" s="19">
        <f t="shared" si="100"/>
        <v>10</v>
      </c>
      <c r="P3210" s="19">
        <f t="shared" si="101"/>
        <v>2024</v>
      </c>
      <c r="Q32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10" s="19" t="str">
        <f>TEXT(Planning[[#This Row],[Mes]]*29,"mmmm")</f>
        <v>October</v>
      </c>
      <c r="S32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10" s="193"/>
      <c r="U3210" s="43">
        <f>IF(Planning[[#This Row],[Horas Planificadas]]&lt;&gt;0,+K3210/Planning[[#This Row],[Horas Planificadas]],0)</f>
        <v>0</v>
      </c>
      <c r="V3210" s="43">
        <f>IF(Planning[[#This Row],[Horas Planificadas]]&lt;&gt;0,Planning[[#This Row],[Horas utilizadas]]/Planning[[#This Row],[Horas Planificadas]],0)</f>
        <v>0</v>
      </c>
      <c r="W3210" s="44">
        <f>Planning[[#This Row],[Horas Planificadas]]+Planning[[#This Row],[Horas ajustadas adicionales]]</f>
        <v>0</v>
      </c>
      <c r="X3210" s="142"/>
    </row>
    <row r="3211" spans="1:24" x14ac:dyDescent="0.2">
      <c r="A3211" s="7" t="s">
        <v>483</v>
      </c>
      <c r="B3211" s="7" t="s">
        <v>169</v>
      </c>
      <c r="C3211" s="3"/>
      <c r="D3211" s="3" t="s">
        <v>606</v>
      </c>
      <c r="E3211" s="4"/>
      <c r="F3211" s="3" t="s">
        <v>126</v>
      </c>
      <c r="G3211" s="9"/>
      <c r="H3211" s="9">
        <v>99</v>
      </c>
      <c r="I3211" s="12"/>
      <c r="J3211" s="5" t="e">
        <f>SUM(SUMIFS(#REF!,#REF!,Planning[[#This Row],[Tipo de Tarea y especialidad]],#REF!,Planning[[#This Row],[Proyectos Reiwa]]),SUMIFS(#REF!,#REF!,Planning[[#This Row],[Tipo de Tarea y especialidad]],#REF!,Planning[[#This Row],[Proyectos]]))</f>
        <v>#REF!</v>
      </c>
      <c r="K3211" s="5" t="e">
        <f>Planning[[#This Row],[Horas Planificadas]]+Planning[[#This Row],[Horas ajustadas adicionales]]-Planning[[#This Row],[Horas utilizadas]]</f>
        <v>#REF!</v>
      </c>
      <c r="L3211" s="7">
        <v>0</v>
      </c>
      <c r="M3211" s="19" t="e">
        <f>Planning[[#This Row],[Saldo]]-Planning[[#This Row],[Saldo estimado]]</f>
        <v>#REF!</v>
      </c>
      <c r="N3211" s="60" t="e">
        <f>+SUMIFS(#REF!,#REF!,Planning[[#This Row],[Proyectos]],#REF!,Planning[[#This Row],[Tipo de Tarea y especialidad]])</f>
        <v>#REF!</v>
      </c>
      <c r="O3211" s="19">
        <f t="shared" si="100"/>
        <v>10</v>
      </c>
      <c r="P3211" s="19">
        <f t="shared" si="101"/>
        <v>2024</v>
      </c>
      <c r="Q32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11" s="19" t="str">
        <f>TEXT(Planning[[#This Row],[Mes]]*29,"mmmm")</f>
        <v>October</v>
      </c>
      <c r="S32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11" s="193"/>
      <c r="U3211" s="43" t="e">
        <f>IF(Planning[[#This Row],[Horas Planificadas]]&lt;&gt;0,+K3211/Planning[[#This Row],[Horas Planificadas]],0)</f>
        <v>#REF!</v>
      </c>
      <c r="V3211" s="43" t="e">
        <f>IF(Planning[[#This Row],[Horas Planificadas]]&lt;&gt;0,Planning[[#This Row],[Horas utilizadas]]/Planning[[#This Row],[Horas Planificadas]],0)</f>
        <v>#REF!</v>
      </c>
      <c r="W3211" s="44">
        <f>Planning[[#This Row],[Horas Planificadas]]+Planning[[#This Row],[Horas ajustadas adicionales]]</f>
        <v>99</v>
      </c>
      <c r="X3211" s="142"/>
    </row>
    <row r="3212" spans="1:24" x14ac:dyDescent="0.2">
      <c r="A3212" s="7" t="s">
        <v>483</v>
      </c>
      <c r="B3212" s="7" t="s">
        <v>169</v>
      </c>
      <c r="C3212" s="3"/>
      <c r="D3212" s="3" t="s">
        <v>606</v>
      </c>
      <c r="E3212" s="4"/>
      <c r="F3212" s="3" t="s">
        <v>127</v>
      </c>
      <c r="G3212" s="9"/>
      <c r="H3212" s="9"/>
      <c r="I3212" s="12"/>
      <c r="J3212" s="5" t="e">
        <f>SUM(SUMIFS(#REF!,#REF!,Planning[[#This Row],[Tipo de Tarea y especialidad]],#REF!,Planning[[#This Row],[Proyectos Reiwa]]),SUMIFS(#REF!,#REF!,Planning[[#This Row],[Tipo de Tarea y especialidad]],#REF!,Planning[[#This Row],[Proyectos]]))</f>
        <v>#REF!</v>
      </c>
      <c r="K3212" s="5" t="e">
        <f>Planning[[#This Row],[Horas Planificadas]]+Planning[[#This Row],[Horas ajustadas adicionales]]-Planning[[#This Row],[Horas utilizadas]]</f>
        <v>#REF!</v>
      </c>
      <c r="L3212" s="7">
        <v>0</v>
      </c>
      <c r="M3212" s="19" t="e">
        <f>Planning[[#This Row],[Saldo]]-Planning[[#This Row],[Saldo estimado]]</f>
        <v>#REF!</v>
      </c>
      <c r="N3212" s="60" t="e">
        <f>+SUMIFS(#REF!,#REF!,Planning[[#This Row],[Proyectos]],#REF!,Planning[[#This Row],[Tipo de Tarea y especialidad]])</f>
        <v>#REF!</v>
      </c>
      <c r="O3212" s="19">
        <f t="shared" si="100"/>
        <v>10</v>
      </c>
      <c r="P3212" s="19">
        <f t="shared" si="101"/>
        <v>2024</v>
      </c>
      <c r="Q32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12" s="19" t="str">
        <f>TEXT(Planning[[#This Row],[Mes]]*29,"mmmm")</f>
        <v>October</v>
      </c>
      <c r="S32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12" s="193"/>
      <c r="U3212" s="43">
        <f>IF(Planning[[#This Row],[Horas Planificadas]]&lt;&gt;0,+K3212/Planning[[#This Row],[Horas Planificadas]],0)</f>
        <v>0</v>
      </c>
      <c r="V3212" s="43">
        <f>IF(Planning[[#This Row],[Horas Planificadas]]&lt;&gt;0,Planning[[#This Row],[Horas utilizadas]]/Planning[[#This Row],[Horas Planificadas]],0)</f>
        <v>0</v>
      </c>
      <c r="W3212" s="44">
        <f>Planning[[#This Row],[Horas Planificadas]]+Planning[[#This Row],[Horas ajustadas adicionales]]</f>
        <v>0</v>
      </c>
      <c r="X3212" s="142"/>
    </row>
    <row r="3213" spans="1:24" x14ac:dyDescent="0.2">
      <c r="A3213" s="7" t="s">
        <v>483</v>
      </c>
      <c r="B3213" s="7" t="s">
        <v>169</v>
      </c>
      <c r="C3213" s="3"/>
      <c r="D3213" s="3" t="s">
        <v>606</v>
      </c>
      <c r="E3213" s="4"/>
      <c r="F3213" s="3" t="s">
        <v>128</v>
      </c>
      <c r="G3213" s="9"/>
      <c r="H3213" s="9"/>
      <c r="I3213" s="12"/>
      <c r="J3213" s="5" t="e">
        <f>SUM(SUMIFS(#REF!,#REF!,Planning[[#This Row],[Tipo de Tarea y especialidad]],#REF!,Planning[[#This Row],[Proyectos Reiwa]]),SUMIFS(#REF!,#REF!,Planning[[#This Row],[Tipo de Tarea y especialidad]],#REF!,Planning[[#This Row],[Proyectos]]))</f>
        <v>#REF!</v>
      </c>
      <c r="K3213" s="5" t="e">
        <f>Planning[[#This Row],[Horas Planificadas]]+Planning[[#This Row],[Horas ajustadas adicionales]]-Planning[[#This Row],[Horas utilizadas]]</f>
        <v>#REF!</v>
      </c>
      <c r="L3213" s="7">
        <v>0</v>
      </c>
      <c r="M3213" s="19" t="e">
        <f>Planning[[#This Row],[Saldo]]-Planning[[#This Row],[Saldo estimado]]</f>
        <v>#REF!</v>
      </c>
      <c r="N3213" s="60" t="e">
        <f>+SUMIFS(#REF!,#REF!,Planning[[#This Row],[Proyectos]],#REF!,Planning[[#This Row],[Tipo de Tarea y especialidad]])</f>
        <v>#REF!</v>
      </c>
      <c r="O3213" s="19">
        <f t="shared" si="100"/>
        <v>10</v>
      </c>
      <c r="P3213" s="19">
        <f t="shared" si="101"/>
        <v>2024</v>
      </c>
      <c r="Q32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13" s="19" t="str">
        <f>TEXT(Planning[[#This Row],[Mes]]*29,"mmmm")</f>
        <v>October</v>
      </c>
      <c r="S32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13" s="193"/>
      <c r="U3213" s="43">
        <f>IF(Planning[[#This Row],[Horas Planificadas]]&lt;&gt;0,+K3213/Planning[[#This Row],[Horas Planificadas]],0)</f>
        <v>0</v>
      </c>
      <c r="V3213" s="43">
        <f>IF(Planning[[#This Row],[Horas Planificadas]]&lt;&gt;0,Planning[[#This Row],[Horas utilizadas]]/Planning[[#This Row],[Horas Planificadas]],0)</f>
        <v>0</v>
      </c>
      <c r="W3213" s="44">
        <f>Planning[[#This Row],[Horas Planificadas]]+Planning[[#This Row],[Horas ajustadas adicionales]]</f>
        <v>0</v>
      </c>
      <c r="X3213" s="142"/>
    </row>
    <row r="3214" spans="1:24" x14ac:dyDescent="0.2">
      <c r="A3214" s="7" t="s">
        <v>483</v>
      </c>
      <c r="B3214" s="7" t="s">
        <v>169</v>
      </c>
      <c r="C3214" s="3"/>
      <c r="D3214" s="3" t="s">
        <v>606</v>
      </c>
      <c r="E3214" s="4" t="s">
        <v>31</v>
      </c>
      <c r="F3214" s="3" t="s">
        <v>31</v>
      </c>
      <c r="G3214" s="9">
        <v>36</v>
      </c>
      <c r="H3214" s="17">
        <v>36</v>
      </c>
      <c r="I3214" s="18"/>
      <c r="J3214" s="14" t="e">
        <f>+SUMIFS(#REF!,#REF!,Planning[[#This Row],[Tarifa]],#REF!,Planning[[#This Row],[Proyectos]])</f>
        <v>#REF!</v>
      </c>
      <c r="K3214" s="14" t="e">
        <f>Planning[[#This Row],[Horas Planificadas]]+Planning[[#This Row],[Horas ajustadas adicionales]]-Planning[[#This Row],[Horas utilizadas]]</f>
        <v>#REF!</v>
      </c>
      <c r="L3214" s="15">
        <v>0</v>
      </c>
      <c r="M3214" s="16" t="e">
        <f>Planning[[#This Row],[Saldo]]-Planning[[#This Row],[Saldo estimado]]</f>
        <v>#REF!</v>
      </c>
      <c r="N3214" s="60" t="e">
        <f>+SUMIFS(#REF!,#REF!,Planning[[#This Row],[Proyectos]],#REF!,Planning[[#This Row],[Tipo de Tarea y especialidad]])</f>
        <v>#REF!</v>
      </c>
      <c r="O3214" s="16">
        <f t="shared" si="100"/>
        <v>10</v>
      </c>
      <c r="P3214" s="16">
        <f t="shared" si="101"/>
        <v>2024</v>
      </c>
      <c r="Q3214" s="16" t="e">
        <f>+SUMIFS(#REF!,#REF!,Planning[[#This Row],[Tarifa]],#REF!,Planning[[#This Row],[Proyectos]],#REF!,Planning[[#This Row],[Mes]],#REF!,Planning[[#This Row],[Año]])</f>
        <v>#REF!</v>
      </c>
      <c r="R3214" s="16" t="str">
        <f>TEXT(Planning[[#This Row],[Mes]]*29,"mmmm")</f>
        <v>October</v>
      </c>
      <c r="S32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14" s="193"/>
      <c r="U3214" s="43" t="e">
        <f>IF(Planning[[#This Row],[Horas Planificadas]]&lt;&gt;0,+K3214/Planning[[#This Row],[Horas Planificadas]],0)</f>
        <v>#REF!</v>
      </c>
      <c r="V3214" s="43" t="e">
        <f>IF(Planning[[#This Row],[Horas Planificadas]]&lt;&gt;0,Planning[[#This Row],[Horas utilizadas]]/Planning[[#This Row],[Horas Planificadas]],0)</f>
        <v>#REF!</v>
      </c>
      <c r="W3214" s="44">
        <f>Planning[[#This Row],[Horas Planificadas]]+Planning[[#This Row],[Horas ajustadas adicionales]]</f>
        <v>36</v>
      </c>
      <c r="X3214" s="142"/>
    </row>
    <row r="3215" spans="1:24" ht="22.5" x14ac:dyDescent="0.2">
      <c r="A3215" s="7" t="s">
        <v>483</v>
      </c>
      <c r="B3215" s="7" t="s">
        <v>169</v>
      </c>
      <c r="C3215" s="3"/>
      <c r="D3215" s="3" t="s">
        <v>606</v>
      </c>
      <c r="E3215" s="4" t="s">
        <v>32</v>
      </c>
      <c r="F3215" s="3"/>
      <c r="G3215" s="9">
        <v>60</v>
      </c>
      <c r="H3215" s="14">
        <f>SUM(H3216:H3218)</f>
        <v>60</v>
      </c>
      <c r="I3215" s="14"/>
      <c r="J3215" s="14" t="e">
        <f>SUM(J3216:J3218)</f>
        <v>#REF!</v>
      </c>
      <c r="K3215" s="15" t="e">
        <f>SUM(K3216:K3218)</f>
        <v>#REF!</v>
      </c>
      <c r="L3215" s="15">
        <f>SUM(L3216:L3218)</f>
        <v>0</v>
      </c>
      <c r="M3215" s="16" t="e">
        <f>SUM(M3216:M3218)</f>
        <v>#REF!</v>
      </c>
      <c r="N3215" s="60" t="e">
        <f>+SUMIFS(#REF!,#REF!,Planning[[#This Row],[Proyectos]],#REF!,Planning[[#This Row],[Tipo de Tarea y especialidad]])</f>
        <v>#REF!</v>
      </c>
      <c r="O3215" s="16">
        <f t="shared" si="100"/>
        <v>10</v>
      </c>
      <c r="P3215" s="16">
        <f t="shared" si="101"/>
        <v>2024</v>
      </c>
      <c r="Q3215" s="16" t="e">
        <f>SUM(Q3216:Q3218)</f>
        <v>#REF!</v>
      </c>
      <c r="R3215" s="16" t="str">
        <f>TEXT(Planning[[#This Row],[Mes]]*29,"mmmm")</f>
        <v>October</v>
      </c>
      <c r="S32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15" s="193"/>
      <c r="U3215" s="43" t="e">
        <f>IF(Planning[[#This Row],[Horas Planificadas]]&lt;&gt;0,+K3215/Planning[[#This Row],[Horas Planificadas]],0)</f>
        <v>#REF!</v>
      </c>
      <c r="V3215" s="43" t="e">
        <f>IF(Planning[[#This Row],[Horas Planificadas]]&lt;&gt;0,Planning[[#This Row],[Horas utilizadas]]/Planning[[#This Row],[Horas Planificadas]],0)</f>
        <v>#REF!</v>
      </c>
      <c r="W3215" s="44">
        <f>Planning[[#This Row],[Horas Planificadas]]+Planning[[#This Row],[Horas ajustadas adicionales]]</f>
        <v>60</v>
      </c>
      <c r="X3215" s="142"/>
    </row>
    <row r="3216" spans="1:24" x14ac:dyDescent="0.2">
      <c r="A3216" s="7" t="s">
        <v>483</v>
      </c>
      <c r="B3216" s="7" t="s">
        <v>169</v>
      </c>
      <c r="C3216" s="3"/>
      <c r="D3216" s="3" t="s">
        <v>606</v>
      </c>
      <c r="E3216" s="4"/>
      <c r="F3216" s="3" t="s">
        <v>129</v>
      </c>
      <c r="G3216" s="11"/>
      <c r="H3216" s="9">
        <v>60</v>
      </c>
      <c r="I3216" s="12"/>
      <c r="J3216" s="5" t="e">
        <f>SUM(SUMIFS(#REF!,#REF!,Planning[[#This Row],[Tipo de Tarea y especialidad]],#REF!,Planning[[#This Row],[Proyectos Reiwa]]),SUMIFS(#REF!,#REF!,Planning[[#This Row],[Tipo de Tarea y especialidad]],#REF!,Planning[[#This Row],[Proyectos]]))</f>
        <v>#REF!</v>
      </c>
      <c r="K3216" s="5" t="e">
        <f>Planning[[#This Row],[Horas Planificadas]]+Planning[[#This Row],[Horas ajustadas adicionales]]-Planning[[#This Row],[Horas utilizadas]]</f>
        <v>#REF!</v>
      </c>
      <c r="L3216" s="7">
        <v>0</v>
      </c>
      <c r="M3216" s="19" t="e">
        <f>Planning[[#This Row],[Saldo]]-Planning[[#This Row],[Saldo estimado]]</f>
        <v>#REF!</v>
      </c>
      <c r="N3216" s="60" t="e">
        <f>+SUMIFS(#REF!,#REF!,Planning[[#This Row],[Proyectos]],#REF!,Planning[[#This Row],[Tipo de Tarea y especialidad]])</f>
        <v>#REF!</v>
      </c>
      <c r="O3216" s="19">
        <f t="shared" si="100"/>
        <v>10</v>
      </c>
      <c r="P3216" s="19">
        <f t="shared" si="101"/>
        <v>2024</v>
      </c>
      <c r="Q32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16" s="19" t="str">
        <f>TEXT(Planning[[#This Row],[Mes]]*29,"mmmm")</f>
        <v>October</v>
      </c>
      <c r="S32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16" s="193"/>
      <c r="U3216" s="43" t="e">
        <f>IF(Planning[[#This Row],[Horas Planificadas]]&lt;&gt;0,+K3216/Planning[[#This Row],[Horas Planificadas]],0)</f>
        <v>#REF!</v>
      </c>
      <c r="V3216" s="43" t="e">
        <f>IF(Planning[[#This Row],[Horas Planificadas]]&lt;&gt;0,Planning[[#This Row],[Horas utilizadas]]/Planning[[#This Row],[Horas Planificadas]],0)</f>
        <v>#REF!</v>
      </c>
      <c r="W3216" s="44">
        <f>Planning[[#This Row],[Horas Planificadas]]+Planning[[#This Row],[Horas ajustadas adicionales]]</f>
        <v>60</v>
      </c>
      <c r="X3216" s="142"/>
    </row>
    <row r="3217" spans="1:24" x14ac:dyDescent="0.2">
      <c r="A3217" s="7" t="s">
        <v>483</v>
      </c>
      <c r="B3217" s="7" t="s">
        <v>169</v>
      </c>
      <c r="C3217" s="3"/>
      <c r="D3217" s="3" t="s">
        <v>606</v>
      </c>
      <c r="E3217" s="4"/>
      <c r="F3217" s="3" t="s">
        <v>130</v>
      </c>
      <c r="G3217" s="11"/>
      <c r="H3217" s="9"/>
      <c r="I3217" s="12"/>
      <c r="J3217" s="5" t="e">
        <f>SUM(SUMIFS(#REF!,#REF!,Planning[[#This Row],[Tipo de Tarea y especialidad]],#REF!,Planning[[#This Row],[Proyectos Reiwa]]),SUMIFS(#REF!,#REF!,Planning[[#This Row],[Tipo de Tarea y especialidad]],#REF!,Planning[[#This Row],[Proyectos]]))</f>
        <v>#REF!</v>
      </c>
      <c r="K3217" s="5" t="e">
        <f>Planning[[#This Row],[Horas Planificadas]]+Planning[[#This Row],[Horas ajustadas adicionales]]-Planning[[#This Row],[Horas utilizadas]]</f>
        <v>#REF!</v>
      </c>
      <c r="L3217" s="7">
        <v>0</v>
      </c>
      <c r="M3217" s="19" t="e">
        <f>Planning[[#This Row],[Saldo]]-Planning[[#This Row],[Saldo estimado]]</f>
        <v>#REF!</v>
      </c>
      <c r="N3217" s="60" t="e">
        <f>+SUMIFS(#REF!,#REF!,Planning[[#This Row],[Proyectos]],#REF!,Planning[[#This Row],[Tipo de Tarea y especialidad]])</f>
        <v>#REF!</v>
      </c>
      <c r="O3217" s="19">
        <f t="shared" si="100"/>
        <v>10</v>
      </c>
      <c r="P3217" s="19">
        <f t="shared" si="101"/>
        <v>2024</v>
      </c>
      <c r="Q32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17" s="19" t="str">
        <f>TEXT(Planning[[#This Row],[Mes]]*29,"mmmm")</f>
        <v>October</v>
      </c>
      <c r="S32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17" s="193"/>
      <c r="U3217" s="43">
        <f>IF(Planning[[#This Row],[Horas Planificadas]]&lt;&gt;0,+K3217/Planning[[#This Row],[Horas Planificadas]],0)</f>
        <v>0</v>
      </c>
      <c r="V3217" s="43">
        <f>IF(Planning[[#This Row],[Horas Planificadas]]&lt;&gt;0,Planning[[#This Row],[Horas utilizadas]]/Planning[[#This Row],[Horas Planificadas]],0)</f>
        <v>0</v>
      </c>
      <c r="W3217" s="44">
        <f>Planning[[#This Row],[Horas Planificadas]]+Planning[[#This Row],[Horas ajustadas adicionales]]</f>
        <v>0</v>
      </c>
      <c r="X3217" s="142"/>
    </row>
    <row r="3218" spans="1:24" x14ac:dyDescent="0.2">
      <c r="A3218" s="7" t="s">
        <v>483</v>
      </c>
      <c r="B3218" s="7" t="s">
        <v>169</v>
      </c>
      <c r="C3218" s="3"/>
      <c r="D3218" s="3" t="s">
        <v>606</v>
      </c>
      <c r="E3218" s="4"/>
      <c r="F3218" s="3" t="s">
        <v>131</v>
      </c>
      <c r="G3218" s="11"/>
      <c r="H3218" s="9"/>
      <c r="I3218" s="12"/>
      <c r="J3218" s="5" t="e">
        <f>SUM(SUMIFS(#REF!,#REF!,Planning[[#This Row],[Tipo de Tarea y especialidad]],#REF!,Planning[[#This Row],[Proyectos Reiwa]]),SUMIFS(#REF!,#REF!,Planning[[#This Row],[Tipo de Tarea y especialidad]],#REF!,Planning[[#This Row],[Proyectos]]))</f>
        <v>#REF!</v>
      </c>
      <c r="K3218" s="5" t="e">
        <f>Planning[[#This Row],[Horas Planificadas]]+Planning[[#This Row],[Horas ajustadas adicionales]]-Planning[[#This Row],[Horas utilizadas]]</f>
        <v>#REF!</v>
      </c>
      <c r="L3218" s="7">
        <v>0</v>
      </c>
      <c r="M3218" s="19" t="e">
        <f>Planning[[#This Row],[Saldo]]-Planning[[#This Row],[Saldo estimado]]</f>
        <v>#REF!</v>
      </c>
      <c r="N3218" s="60" t="e">
        <f>+SUMIFS(#REF!,#REF!,Planning[[#This Row],[Proyectos]],#REF!,Planning[[#This Row],[Tipo de Tarea y especialidad]])</f>
        <v>#REF!</v>
      </c>
      <c r="O3218" s="19">
        <f t="shared" si="100"/>
        <v>10</v>
      </c>
      <c r="P3218" s="19">
        <f t="shared" si="101"/>
        <v>2024</v>
      </c>
      <c r="Q32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18" s="19" t="str">
        <f>TEXT(Planning[[#This Row],[Mes]]*29,"mmmm")</f>
        <v>October</v>
      </c>
      <c r="S32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18" s="193"/>
      <c r="U3218" s="43">
        <f>IF(Planning[[#This Row],[Horas Planificadas]]&lt;&gt;0,+K3218/Planning[[#This Row],[Horas Planificadas]],0)</f>
        <v>0</v>
      </c>
      <c r="V3218" s="43">
        <f>IF(Planning[[#This Row],[Horas Planificadas]]&lt;&gt;0,Planning[[#This Row],[Horas utilizadas]]/Planning[[#This Row],[Horas Planificadas]],0)</f>
        <v>0</v>
      </c>
      <c r="W3218" s="44">
        <f>Planning[[#This Row],[Horas Planificadas]]+Planning[[#This Row],[Horas ajustadas adicionales]]</f>
        <v>0</v>
      </c>
      <c r="X3218" s="142"/>
    </row>
    <row r="3219" spans="1:24" ht="12.75" customHeight="1" x14ac:dyDescent="0.2">
      <c r="A3219" s="7" t="s">
        <v>204</v>
      </c>
      <c r="B3219" s="7" t="s">
        <v>169</v>
      </c>
      <c r="C3219" s="3"/>
      <c r="D3219" s="3" t="s">
        <v>608</v>
      </c>
      <c r="E3219" s="4" t="s">
        <v>28</v>
      </c>
      <c r="F3219" s="3"/>
      <c r="G3219" s="9">
        <v>1954</v>
      </c>
      <c r="H3219" s="14">
        <f>SUM(H3220:H3221)</f>
        <v>2365</v>
      </c>
      <c r="I3219" s="14"/>
      <c r="J3219" s="14" t="e">
        <f>SUM(J3220:J3221)</f>
        <v>#REF!</v>
      </c>
      <c r="K3219" s="15" t="e">
        <f>SUM(K3220:K3221)</f>
        <v>#REF!</v>
      </c>
      <c r="L3219" s="15">
        <f>SUM(L3220:L3221)</f>
        <v>0</v>
      </c>
      <c r="M3219" s="14" t="e">
        <f>SUM(M3220:M3221)</f>
        <v>#REF!</v>
      </c>
      <c r="N3219" s="66" t="e">
        <f>+SUMIFS(#REF!,#REF!,Planning[[#This Row],[Proyectos]],#REF!,Planning[[#This Row],[Tipo de Tarea y especialidad]])</f>
        <v>#REF!</v>
      </c>
      <c r="O3219" s="14">
        <f t="shared" si="100"/>
        <v>10</v>
      </c>
      <c r="P3219" s="14">
        <f t="shared" si="101"/>
        <v>2024</v>
      </c>
      <c r="Q3219" s="28" t="e">
        <f>SUM(Q3220:Q3221)</f>
        <v>#REF!</v>
      </c>
      <c r="R3219" s="14" t="str">
        <f>TEXT(Planning[[#This Row],[Mes]]*29,"mmmm")</f>
        <v>October</v>
      </c>
      <c r="S321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19" s="245" t="s">
        <v>609</v>
      </c>
      <c r="U3219" s="43" t="e">
        <f>IF(Planning[[#This Row],[Horas Planificadas]]&lt;&gt;0,+K3219/Planning[[#This Row],[Horas Planificadas]],0)</f>
        <v>#REF!</v>
      </c>
      <c r="V3219" s="43" t="e">
        <f>IF(Planning[[#This Row],[Horas Planificadas]]&lt;&gt;0,Planning[[#This Row],[Horas utilizadas]]/Planning[[#This Row],[Horas Planificadas]],0)</f>
        <v>#REF!</v>
      </c>
      <c r="W3219" s="44">
        <f>Planning[[#This Row],[Horas Planificadas]]+Planning[[#This Row],[Horas ajustadas adicionales]]</f>
        <v>2365</v>
      </c>
      <c r="X3219" s="142"/>
    </row>
    <row r="3220" spans="1:24" x14ac:dyDescent="0.2">
      <c r="A3220" s="7" t="s">
        <v>204</v>
      </c>
      <c r="B3220" s="7" t="s">
        <v>169</v>
      </c>
      <c r="C3220" s="3"/>
      <c r="D3220" s="3" t="s">
        <v>608</v>
      </c>
      <c r="E3220" s="4"/>
      <c r="F3220" s="3" t="s">
        <v>120</v>
      </c>
      <c r="G3220" s="9">
        <v>1465</v>
      </c>
      <c r="H3220" s="9">
        <v>1650</v>
      </c>
      <c r="I3220" s="12"/>
      <c r="J3220" s="5" t="e">
        <f>SUM(SUMIFS(#REF!,#REF!,Planning[[#This Row],[Tipo de Tarea y especialidad]],#REF!,Planning[[#This Row],[Proyectos Reiwa]]),SUMIFS(#REF!,#REF!,Planning[[#This Row],[Tipo de Tarea y especialidad]],#REF!,Planning[[#This Row],[Proyectos]]))</f>
        <v>#REF!</v>
      </c>
      <c r="K3220" s="5" t="e">
        <f>Planning[[#This Row],[Horas Planificadas]]+Planning[[#This Row],[Horas ajustadas adicionales]]-Planning[[#This Row],[Horas utilizadas]]</f>
        <v>#REF!</v>
      </c>
      <c r="L3220" s="7">
        <v>0</v>
      </c>
      <c r="M3220" s="19" t="e">
        <f>Planning[[#This Row],[Saldo]]-Planning[[#This Row],[Saldo estimado]]</f>
        <v>#REF!</v>
      </c>
      <c r="N3220" s="60" t="e">
        <f>+SUMIFS(#REF!,#REF!,Planning[[#This Row],[Proyectos]],#REF!,Planning[[#This Row],[Tipo de Tarea y especialidad]])</f>
        <v>#REF!</v>
      </c>
      <c r="O3220" s="19">
        <f t="shared" si="100"/>
        <v>10</v>
      </c>
      <c r="P3220" s="19">
        <f t="shared" si="101"/>
        <v>2024</v>
      </c>
      <c r="Q32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20" s="34" t="str">
        <f>TEXT(Planning[[#This Row],[Mes]]*29,"mmmm")</f>
        <v>October</v>
      </c>
      <c r="S322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20" s="246"/>
      <c r="U3220" s="43" t="e">
        <f>IF(Planning[[#This Row],[Horas Planificadas]]&lt;&gt;0,+K3220/Planning[[#This Row],[Horas Planificadas]],0)</f>
        <v>#REF!</v>
      </c>
      <c r="V3220" s="43" t="e">
        <f>IF(Planning[[#This Row],[Horas Planificadas]]&lt;&gt;0,Planning[[#This Row],[Horas utilizadas]]/Planning[[#This Row],[Horas Planificadas]],0)</f>
        <v>#REF!</v>
      </c>
      <c r="W3220" s="44">
        <f>Planning[[#This Row],[Horas Planificadas]]+Planning[[#This Row],[Horas ajustadas adicionales]]</f>
        <v>1650</v>
      </c>
      <c r="X3220" s="142"/>
    </row>
    <row r="3221" spans="1:24" x14ac:dyDescent="0.2">
      <c r="A3221" s="7" t="s">
        <v>204</v>
      </c>
      <c r="B3221" s="7" t="s">
        <v>169</v>
      </c>
      <c r="C3221" s="3"/>
      <c r="D3221" s="3" t="s">
        <v>608</v>
      </c>
      <c r="E3221" s="4"/>
      <c r="F3221" s="3" t="s">
        <v>121</v>
      </c>
      <c r="G3221" s="9">
        <v>489</v>
      </c>
      <c r="H3221" s="9">
        <v>715</v>
      </c>
      <c r="I3221" s="12"/>
      <c r="J3221" s="5" t="e">
        <f>SUM(SUMIFS(#REF!,#REF!,Planning[[#This Row],[Tipo de Tarea y especialidad]],#REF!,Planning[[#This Row],[Proyectos Reiwa]]),SUMIFS(#REF!,#REF!,Planning[[#This Row],[Tipo de Tarea y especialidad]],#REF!,Planning[[#This Row],[Proyectos]]))</f>
        <v>#REF!</v>
      </c>
      <c r="K3221" s="5" t="e">
        <f>Planning[[#This Row],[Horas Planificadas]]+Planning[[#This Row],[Horas ajustadas adicionales]]-Planning[[#This Row],[Horas utilizadas]]</f>
        <v>#REF!</v>
      </c>
      <c r="L3221" s="7">
        <v>0</v>
      </c>
      <c r="M3221" s="19" t="e">
        <f>Planning[[#This Row],[Saldo]]-Planning[[#This Row],[Saldo estimado]]</f>
        <v>#REF!</v>
      </c>
      <c r="N3221" s="60" t="e">
        <f>+SUMIFS(#REF!,#REF!,Planning[[#This Row],[Proyectos]],#REF!,Planning[[#This Row],[Tipo de Tarea y especialidad]])</f>
        <v>#REF!</v>
      </c>
      <c r="O3221" s="19">
        <f t="shared" si="100"/>
        <v>10</v>
      </c>
      <c r="P3221" s="19">
        <f t="shared" si="101"/>
        <v>2024</v>
      </c>
      <c r="Q32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21" s="34" t="str">
        <f>TEXT(Planning[[#This Row],[Mes]]*29,"mmmm")</f>
        <v>October</v>
      </c>
      <c r="S322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21" s="246"/>
      <c r="U3221" s="43" t="e">
        <f>IF(Planning[[#This Row],[Horas Planificadas]]&lt;&gt;0,+K3221/Planning[[#This Row],[Horas Planificadas]],0)</f>
        <v>#REF!</v>
      </c>
      <c r="V3221" s="43" t="e">
        <f>IF(Planning[[#This Row],[Horas Planificadas]]&lt;&gt;0,Planning[[#This Row],[Horas utilizadas]]/Planning[[#This Row],[Horas Planificadas]],0)</f>
        <v>#REF!</v>
      </c>
      <c r="W3221" s="44">
        <f>Planning[[#This Row],[Horas Planificadas]]+Planning[[#This Row],[Horas ajustadas adicionales]]</f>
        <v>715</v>
      </c>
      <c r="X3221" s="142"/>
    </row>
    <row r="3222" spans="1:24" x14ac:dyDescent="0.2">
      <c r="A3222" s="7" t="s">
        <v>204</v>
      </c>
      <c r="B3222" s="7" t="s">
        <v>169</v>
      </c>
      <c r="C3222" s="3"/>
      <c r="D3222" s="3" t="s">
        <v>608</v>
      </c>
      <c r="E3222" s="4" t="s">
        <v>30</v>
      </c>
      <c r="F3222" s="3"/>
      <c r="G3222" s="9">
        <v>1355</v>
      </c>
      <c r="H3222" s="14">
        <f>SUM(H3223:H3229)</f>
        <v>2248</v>
      </c>
      <c r="I3222" s="14"/>
      <c r="J3222" s="14" t="e">
        <f>SUM(J3223:J3229)</f>
        <v>#REF!</v>
      </c>
      <c r="K3222" s="15" t="e">
        <f>SUM(K3223:K3229)</f>
        <v>#REF!</v>
      </c>
      <c r="L3222" s="15">
        <f>SUM(L3223:L3229)</f>
        <v>0</v>
      </c>
      <c r="M3222" s="16" t="e">
        <f>SUM(M3223:M3229)</f>
        <v>#REF!</v>
      </c>
      <c r="N3222" s="60" t="e">
        <f>+SUMIFS(#REF!,#REF!,Planning[[#This Row],[Proyectos]],#REF!,Planning[[#This Row],[Tipo de Tarea y especialidad]])</f>
        <v>#REF!</v>
      </c>
      <c r="O3222" s="16">
        <f t="shared" si="100"/>
        <v>10</v>
      </c>
      <c r="P3222" s="16">
        <f t="shared" si="101"/>
        <v>2024</v>
      </c>
      <c r="Q3222" s="16" t="e">
        <f>SUM(Q3223:Q3229)</f>
        <v>#REF!</v>
      </c>
      <c r="R3222" s="35" t="str">
        <f>TEXT(Planning[[#This Row],[Mes]]*29,"mmmm")</f>
        <v>October</v>
      </c>
      <c r="S322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22" s="246"/>
      <c r="U3222" s="43" t="e">
        <f>IF(Planning[[#This Row],[Horas Planificadas]]&lt;&gt;0,+K3222/Planning[[#This Row],[Horas Planificadas]],0)</f>
        <v>#REF!</v>
      </c>
      <c r="V3222" s="43" t="e">
        <f>IF(Planning[[#This Row],[Horas Planificadas]]&lt;&gt;0,Planning[[#This Row],[Horas utilizadas]]/Planning[[#This Row],[Horas Planificadas]],0)</f>
        <v>#REF!</v>
      </c>
      <c r="W3222" s="44">
        <f>Planning[[#This Row],[Horas Planificadas]]+Planning[[#This Row],[Horas ajustadas adicionales]]</f>
        <v>2248</v>
      </c>
      <c r="X3222" s="142"/>
    </row>
    <row r="3223" spans="1:24" x14ac:dyDescent="0.2">
      <c r="A3223" s="7" t="s">
        <v>204</v>
      </c>
      <c r="B3223" s="7" t="s">
        <v>169</v>
      </c>
      <c r="C3223" s="3"/>
      <c r="D3223" s="3" t="s">
        <v>608</v>
      </c>
      <c r="E3223" s="4"/>
      <c r="F3223" s="3" t="s">
        <v>122</v>
      </c>
      <c r="G3223" s="9">
        <v>582</v>
      </c>
      <c r="H3223" s="9">
        <v>565</v>
      </c>
      <c r="I3223" s="12"/>
      <c r="J3223" s="5" t="e">
        <f>SUM(SUMIFS(#REF!,#REF!,Planning[[#This Row],[Tipo de Tarea y especialidad]],#REF!,Planning[[#This Row],[Proyectos Reiwa]]),SUMIFS(#REF!,#REF!,Planning[[#This Row],[Tipo de Tarea y especialidad]],#REF!,Planning[[#This Row],[Proyectos]]))</f>
        <v>#REF!</v>
      </c>
      <c r="K3223" s="5" t="e">
        <f>Planning[[#This Row],[Horas Planificadas]]+Planning[[#This Row],[Horas ajustadas adicionales]]-Planning[[#This Row],[Horas utilizadas]]</f>
        <v>#REF!</v>
      </c>
      <c r="L3223" s="7">
        <v>0</v>
      </c>
      <c r="M3223" s="19" t="e">
        <f>Planning[[#This Row],[Saldo]]-Planning[[#This Row],[Saldo estimado]]</f>
        <v>#REF!</v>
      </c>
      <c r="N3223" s="60" t="e">
        <f>+SUMIFS(#REF!,#REF!,Planning[[#This Row],[Proyectos]],#REF!,Planning[[#This Row],[Tipo de Tarea y especialidad]])</f>
        <v>#REF!</v>
      </c>
      <c r="O3223" s="19">
        <f t="shared" si="100"/>
        <v>10</v>
      </c>
      <c r="P3223" s="19">
        <f t="shared" si="101"/>
        <v>2024</v>
      </c>
      <c r="Q32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23" s="34" t="str">
        <f>TEXT(Planning[[#This Row],[Mes]]*29,"mmmm")</f>
        <v>October</v>
      </c>
      <c r="S322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23" s="246"/>
      <c r="U3223" s="43" t="e">
        <f>IF(Planning[[#This Row],[Horas Planificadas]]&lt;&gt;0,+K3223/Planning[[#This Row],[Horas Planificadas]],0)</f>
        <v>#REF!</v>
      </c>
      <c r="V3223" s="43" t="e">
        <f>IF(Planning[[#This Row],[Horas Planificadas]]&lt;&gt;0,Planning[[#This Row],[Horas utilizadas]]/Planning[[#This Row],[Horas Planificadas]],0)</f>
        <v>#REF!</v>
      </c>
      <c r="W3223" s="44">
        <f>Planning[[#This Row],[Horas Planificadas]]+Planning[[#This Row],[Horas ajustadas adicionales]]</f>
        <v>565</v>
      </c>
      <c r="X3223" s="142"/>
    </row>
    <row r="3224" spans="1:24" x14ac:dyDescent="0.2">
      <c r="A3224" s="7" t="s">
        <v>204</v>
      </c>
      <c r="B3224" s="7" t="s">
        <v>169</v>
      </c>
      <c r="C3224" s="3"/>
      <c r="D3224" s="3" t="s">
        <v>608</v>
      </c>
      <c r="E3224" s="4"/>
      <c r="F3224" s="3" t="s">
        <v>123</v>
      </c>
      <c r="G3224" s="9">
        <v>295</v>
      </c>
      <c r="H3224" s="9">
        <v>470</v>
      </c>
      <c r="I3224" s="12"/>
      <c r="J3224" s="5" t="e">
        <f>SUM(SUMIFS(#REF!,#REF!,Planning[[#This Row],[Tipo de Tarea y especialidad]],#REF!,Planning[[#This Row],[Proyectos Reiwa]]),SUMIFS(#REF!,#REF!,Planning[[#This Row],[Tipo de Tarea y especialidad]],#REF!,Planning[[#This Row],[Proyectos]]))</f>
        <v>#REF!</v>
      </c>
      <c r="K3224" s="5" t="e">
        <f>Planning[[#This Row],[Horas Planificadas]]+Planning[[#This Row],[Horas ajustadas adicionales]]-Planning[[#This Row],[Horas utilizadas]]</f>
        <v>#REF!</v>
      </c>
      <c r="L3224" s="7">
        <v>0</v>
      </c>
      <c r="M3224" s="19" t="e">
        <f>Planning[[#This Row],[Saldo]]-Planning[[#This Row],[Saldo estimado]]</f>
        <v>#REF!</v>
      </c>
      <c r="N3224" s="60" t="e">
        <f>+SUMIFS(#REF!,#REF!,Planning[[#This Row],[Proyectos]],#REF!,Planning[[#This Row],[Tipo de Tarea y especialidad]])</f>
        <v>#REF!</v>
      </c>
      <c r="O3224" s="19">
        <f t="shared" si="100"/>
        <v>10</v>
      </c>
      <c r="P3224" s="19">
        <f t="shared" si="101"/>
        <v>2024</v>
      </c>
      <c r="Q32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24" s="34" t="str">
        <f>TEXT(Planning[[#This Row],[Mes]]*29,"mmmm")</f>
        <v>October</v>
      </c>
      <c r="S322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24" s="246"/>
      <c r="U3224" s="43" t="e">
        <f>IF(Planning[[#This Row],[Horas Planificadas]]&lt;&gt;0,+K3224/Planning[[#This Row],[Horas Planificadas]],0)</f>
        <v>#REF!</v>
      </c>
      <c r="V3224" s="43" t="e">
        <f>IF(Planning[[#This Row],[Horas Planificadas]]&lt;&gt;0,Planning[[#This Row],[Horas utilizadas]]/Planning[[#This Row],[Horas Planificadas]],0)</f>
        <v>#REF!</v>
      </c>
      <c r="W3224" s="44">
        <f>Planning[[#This Row],[Horas Planificadas]]+Planning[[#This Row],[Horas ajustadas adicionales]]</f>
        <v>470</v>
      </c>
      <c r="X3224" s="142"/>
    </row>
    <row r="3225" spans="1:24" x14ac:dyDescent="0.2">
      <c r="A3225" s="7" t="s">
        <v>204</v>
      </c>
      <c r="B3225" s="7" t="s">
        <v>169</v>
      </c>
      <c r="C3225" s="3"/>
      <c r="D3225" s="3" t="s">
        <v>608</v>
      </c>
      <c r="E3225" s="4"/>
      <c r="F3225" s="3" t="s">
        <v>124</v>
      </c>
      <c r="G3225" s="9">
        <v>257</v>
      </c>
      <c r="H3225" s="9">
        <v>257</v>
      </c>
      <c r="I3225" s="12"/>
      <c r="J3225" s="5" t="e">
        <f>SUM(SUMIFS(#REF!,#REF!,Planning[[#This Row],[Tipo de Tarea y especialidad]],#REF!,Planning[[#This Row],[Proyectos Reiwa]]),SUMIFS(#REF!,#REF!,Planning[[#This Row],[Tipo de Tarea y especialidad]],#REF!,Planning[[#This Row],[Proyectos]]))</f>
        <v>#REF!</v>
      </c>
      <c r="K3225" s="5" t="e">
        <f>Planning[[#This Row],[Horas Planificadas]]+Planning[[#This Row],[Horas ajustadas adicionales]]-Planning[[#This Row],[Horas utilizadas]]</f>
        <v>#REF!</v>
      </c>
      <c r="L3225" s="7">
        <v>0</v>
      </c>
      <c r="M3225" s="19" t="e">
        <f>Planning[[#This Row],[Saldo]]-Planning[[#This Row],[Saldo estimado]]</f>
        <v>#REF!</v>
      </c>
      <c r="N3225" s="60" t="e">
        <f>+SUMIFS(#REF!,#REF!,Planning[[#This Row],[Proyectos]],#REF!,Planning[[#This Row],[Tipo de Tarea y especialidad]])</f>
        <v>#REF!</v>
      </c>
      <c r="O3225" s="19">
        <f t="shared" si="100"/>
        <v>10</v>
      </c>
      <c r="P3225" s="19">
        <f t="shared" si="101"/>
        <v>2024</v>
      </c>
      <c r="Q32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25" s="34" t="str">
        <f>TEXT(Planning[[#This Row],[Mes]]*29,"mmmm")</f>
        <v>October</v>
      </c>
      <c r="S322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25" s="246"/>
      <c r="U3225" s="43" t="e">
        <f>IF(Planning[[#This Row],[Horas Planificadas]]&lt;&gt;0,+K3225/Planning[[#This Row],[Horas Planificadas]],0)</f>
        <v>#REF!</v>
      </c>
      <c r="V3225" s="43" t="e">
        <f>IF(Planning[[#This Row],[Horas Planificadas]]&lt;&gt;0,Planning[[#This Row],[Horas utilizadas]]/Planning[[#This Row],[Horas Planificadas]],0)</f>
        <v>#REF!</v>
      </c>
      <c r="W3225" s="44">
        <f>Planning[[#This Row],[Horas Planificadas]]+Planning[[#This Row],[Horas ajustadas adicionales]]</f>
        <v>257</v>
      </c>
      <c r="X3225" s="142"/>
    </row>
    <row r="3226" spans="1:24" x14ac:dyDescent="0.2">
      <c r="A3226" s="7" t="s">
        <v>204</v>
      </c>
      <c r="B3226" s="7" t="s">
        <v>169</v>
      </c>
      <c r="C3226" s="3"/>
      <c r="D3226" s="3" t="s">
        <v>608</v>
      </c>
      <c r="E3226" s="4"/>
      <c r="F3226" s="3" t="s">
        <v>125</v>
      </c>
      <c r="G3226" s="9"/>
      <c r="H3226" s="9">
        <v>153</v>
      </c>
      <c r="I3226" s="12"/>
      <c r="J3226" s="5" t="e">
        <f>SUM(SUMIFS(#REF!,#REF!,Planning[[#This Row],[Tipo de Tarea y especialidad]],#REF!,Planning[[#This Row],[Proyectos Reiwa]]),SUMIFS(#REF!,#REF!,Planning[[#This Row],[Tipo de Tarea y especialidad]],#REF!,Planning[[#This Row],[Proyectos]]))</f>
        <v>#REF!</v>
      </c>
      <c r="K3226" s="5" t="e">
        <f>Planning[[#This Row],[Horas Planificadas]]+Planning[[#This Row],[Horas ajustadas adicionales]]-Planning[[#This Row],[Horas utilizadas]]</f>
        <v>#REF!</v>
      </c>
      <c r="L3226" s="7">
        <v>0</v>
      </c>
      <c r="M3226" s="19" t="e">
        <f>Planning[[#This Row],[Saldo]]-Planning[[#This Row],[Saldo estimado]]</f>
        <v>#REF!</v>
      </c>
      <c r="N3226" s="60" t="e">
        <f>+SUMIFS(#REF!,#REF!,Planning[[#This Row],[Proyectos]],#REF!,Planning[[#This Row],[Tipo de Tarea y especialidad]])</f>
        <v>#REF!</v>
      </c>
      <c r="O3226" s="19">
        <f t="shared" si="100"/>
        <v>10</v>
      </c>
      <c r="P3226" s="19">
        <f t="shared" si="101"/>
        <v>2024</v>
      </c>
      <c r="Q32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26" s="34" t="str">
        <f>TEXT(Planning[[#This Row],[Mes]]*29,"mmmm")</f>
        <v>October</v>
      </c>
      <c r="S322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26" s="246"/>
      <c r="U3226" s="43" t="e">
        <f>IF(Planning[[#This Row],[Horas Planificadas]]&lt;&gt;0,+K3226/Planning[[#This Row],[Horas Planificadas]],0)</f>
        <v>#REF!</v>
      </c>
      <c r="V3226" s="43" t="e">
        <f>IF(Planning[[#This Row],[Horas Planificadas]]&lt;&gt;0,Planning[[#This Row],[Horas utilizadas]]/Planning[[#This Row],[Horas Planificadas]],0)</f>
        <v>#REF!</v>
      </c>
      <c r="W3226" s="44">
        <f>Planning[[#This Row],[Horas Planificadas]]+Planning[[#This Row],[Horas ajustadas adicionales]]</f>
        <v>153</v>
      </c>
      <c r="X3226" s="142"/>
    </row>
    <row r="3227" spans="1:24" x14ac:dyDescent="0.2">
      <c r="A3227" s="7" t="s">
        <v>204</v>
      </c>
      <c r="B3227" s="7" t="s">
        <v>169</v>
      </c>
      <c r="C3227" s="3"/>
      <c r="D3227" s="3" t="s">
        <v>608</v>
      </c>
      <c r="E3227" s="4"/>
      <c r="F3227" s="3" t="s">
        <v>126</v>
      </c>
      <c r="G3227" s="9">
        <v>482</v>
      </c>
      <c r="H3227" s="9">
        <v>482</v>
      </c>
      <c r="I3227" s="12"/>
      <c r="J3227" s="5" t="e">
        <f>SUM(SUMIFS(#REF!,#REF!,Planning[[#This Row],[Tipo de Tarea y especialidad]],#REF!,Planning[[#This Row],[Proyectos Reiwa]]),SUMIFS(#REF!,#REF!,Planning[[#This Row],[Tipo de Tarea y especialidad]],#REF!,Planning[[#This Row],[Proyectos]]))</f>
        <v>#REF!</v>
      </c>
      <c r="K3227" s="5" t="e">
        <f>Planning[[#This Row],[Horas Planificadas]]+Planning[[#This Row],[Horas ajustadas adicionales]]-Planning[[#This Row],[Horas utilizadas]]</f>
        <v>#REF!</v>
      </c>
      <c r="L3227" s="7">
        <v>0</v>
      </c>
      <c r="M3227" s="19" t="e">
        <f>Planning[[#This Row],[Saldo]]-Planning[[#This Row],[Saldo estimado]]</f>
        <v>#REF!</v>
      </c>
      <c r="N3227" s="60" t="e">
        <f>+SUMIFS(#REF!,#REF!,Planning[[#This Row],[Proyectos]],#REF!,Planning[[#This Row],[Tipo de Tarea y especialidad]])</f>
        <v>#REF!</v>
      </c>
      <c r="O3227" s="19">
        <f t="shared" si="100"/>
        <v>10</v>
      </c>
      <c r="P3227" s="19">
        <f t="shared" si="101"/>
        <v>2024</v>
      </c>
      <c r="Q32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27" s="34" t="str">
        <f>TEXT(Planning[[#This Row],[Mes]]*29,"mmmm")</f>
        <v>October</v>
      </c>
      <c r="S322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27" s="246"/>
      <c r="U3227" s="43" t="e">
        <f>IF(Planning[[#This Row],[Horas Planificadas]]&lt;&gt;0,+K3227/Planning[[#This Row],[Horas Planificadas]],0)</f>
        <v>#REF!</v>
      </c>
      <c r="V3227" s="43" t="e">
        <f>IF(Planning[[#This Row],[Horas Planificadas]]&lt;&gt;0,Planning[[#This Row],[Horas utilizadas]]/Planning[[#This Row],[Horas Planificadas]],0)</f>
        <v>#REF!</v>
      </c>
      <c r="W3227" s="44">
        <f>Planning[[#This Row],[Horas Planificadas]]+Planning[[#This Row],[Horas ajustadas adicionales]]</f>
        <v>482</v>
      </c>
      <c r="X3227" s="142"/>
    </row>
    <row r="3228" spans="1:24" x14ac:dyDescent="0.2">
      <c r="A3228" s="7" t="s">
        <v>204</v>
      </c>
      <c r="B3228" s="7" t="s">
        <v>169</v>
      </c>
      <c r="C3228" s="3"/>
      <c r="D3228" s="3" t="s">
        <v>608</v>
      </c>
      <c r="E3228" s="4"/>
      <c r="F3228" s="3" t="s">
        <v>127</v>
      </c>
      <c r="G3228" s="9">
        <v>207</v>
      </c>
      <c r="H3228" s="9">
        <v>207</v>
      </c>
      <c r="I3228" s="12"/>
      <c r="J3228" s="5" t="e">
        <f>SUM(SUMIFS(#REF!,#REF!,Planning[[#This Row],[Tipo de Tarea y especialidad]],#REF!,Planning[[#This Row],[Proyectos Reiwa]]),SUMIFS(#REF!,#REF!,Planning[[#This Row],[Tipo de Tarea y especialidad]],#REF!,Planning[[#This Row],[Proyectos]]))</f>
        <v>#REF!</v>
      </c>
      <c r="K3228" s="5" t="e">
        <f>Planning[[#This Row],[Horas Planificadas]]+Planning[[#This Row],[Horas ajustadas adicionales]]-Planning[[#This Row],[Horas utilizadas]]</f>
        <v>#REF!</v>
      </c>
      <c r="L3228" s="7">
        <v>0</v>
      </c>
      <c r="M3228" s="19" t="e">
        <f>Planning[[#This Row],[Saldo]]-Planning[[#This Row],[Saldo estimado]]</f>
        <v>#REF!</v>
      </c>
      <c r="N3228" s="60" t="e">
        <f>+SUMIFS(#REF!,#REF!,Planning[[#This Row],[Proyectos]],#REF!,Planning[[#This Row],[Tipo de Tarea y especialidad]])</f>
        <v>#REF!</v>
      </c>
      <c r="O3228" s="19">
        <f t="shared" si="100"/>
        <v>10</v>
      </c>
      <c r="P3228" s="19">
        <f t="shared" si="101"/>
        <v>2024</v>
      </c>
      <c r="Q32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28" s="34" t="str">
        <f>TEXT(Planning[[#This Row],[Mes]]*29,"mmmm")</f>
        <v>October</v>
      </c>
      <c r="S322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28" s="246"/>
      <c r="U3228" s="43" t="e">
        <f>IF(Planning[[#This Row],[Horas Planificadas]]&lt;&gt;0,+K3228/Planning[[#This Row],[Horas Planificadas]],0)</f>
        <v>#REF!</v>
      </c>
      <c r="V3228" s="43" t="e">
        <f>IF(Planning[[#This Row],[Horas Planificadas]]&lt;&gt;0,Planning[[#This Row],[Horas utilizadas]]/Planning[[#This Row],[Horas Planificadas]],0)</f>
        <v>#REF!</v>
      </c>
      <c r="W3228" s="44">
        <f>Planning[[#This Row],[Horas Planificadas]]+Planning[[#This Row],[Horas ajustadas adicionales]]</f>
        <v>207</v>
      </c>
      <c r="X3228" s="142"/>
    </row>
    <row r="3229" spans="1:24" x14ac:dyDescent="0.2">
      <c r="A3229" s="7" t="s">
        <v>204</v>
      </c>
      <c r="B3229" s="7" t="s">
        <v>169</v>
      </c>
      <c r="C3229" s="3"/>
      <c r="D3229" s="3" t="s">
        <v>608</v>
      </c>
      <c r="E3229" s="4"/>
      <c r="F3229" s="3" t="s">
        <v>128</v>
      </c>
      <c r="G3229" s="9">
        <v>114</v>
      </c>
      <c r="H3229" s="9">
        <v>114</v>
      </c>
      <c r="I3229" s="12"/>
      <c r="J3229" s="5" t="e">
        <f>SUM(SUMIFS(#REF!,#REF!,Planning[[#This Row],[Tipo de Tarea y especialidad]],#REF!,Planning[[#This Row],[Proyectos Reiwa]]),SUMIFS(#REF!,#REF!,Planning[[#This Row],[Tipo de Tarea y especialidad]],#REF!,Planning[[#This Row],[Proyectos]]))</f>
        <v>#REF!</v>
      </c>
      <c r="K3229" s="5" t="e">
        <f>Planning[[#This Row],[Horas Planificadas]]+Planning[[#This Row],[Horas ajustadas adicionales]]-Planning[[#This Row],[Horas utilizadas]]</f>
        <v>#REF!</v>
      </c>
      <c r="L3229" s="7">
        <v>0</v>
      </c>
      <c r="M3229" s="19" t="e">
        <f>Planning[[#This Row],[Saldo]]-Planning[[#This Row],[Saldo estimado]]</f>
        <v>#REF!</v>
      </c>
      <c r="N3229" s="60" t="e">
        <f>+SUMIFS(#REF!,#REF!,Planning[[#This Row],[Proyectos]],#REF!,Planning[[#This Row],[Tipo de Tarea y especialidad]])</f>
        <v>#REF!</v>
      </c>
      <c r="O3229" s="19">
        <f t="shared" si="100"/>
        <v>10</v>
      </c>
      <c r="P3229" s="19">
        <f t="shared" si="101"/>
        <v>2024</v>
      </c>
      <c r="Q32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29" s="34" t="str">
        <f>TEXT(Planning[[#This Row],[Mes]]*29,"mmmm")</f>
        <v>October</v>
      </c>
      <c r="S322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29" s="246"/>
      <c r="U3229" s="43" t="e">
        <f>IF(Planning[[#This Row],[Horas Planificadas]]&lt;&gt;0,+K3229/Planning[[#This Row],[Horas Planificadas]],0)</f>
        <v>#REF!</v>
      </c>
      <c r="V3229" s="43" t="e">
        <f>IF(Planning[[#This Row],[Horas Planificadas]]&lt;&gt;0,Planning[[#This Row],[Horas utilizadas]]/Planning[[#This Row],[Horas Planificadas]],0)</f>
        <v>#REF!</v>
      </c>
      <c r="W3229" s="44">
        <f>Planning[[#This Row],[Horas Planificadas]]+Planning[[#This Row],[Horas ajustadas adicionales]]</f>
        <v>114</v>
      </c>
      <c r="X3229" s="142"/>
    </row>
    <row r="3230" spans="1:24" x14ac:dyDescent="0.2">
      <c r="A3230" s="7" t="s">
        <v>204</v>
      </c>
      <c r="B3230" s="7" t="s">
        <v>169</v>
      </c>
      <c r="C3230" s="3"/>
      <c r="D3230" s="3" t="s">
        <v>608</v>
      </c>
      <c r="E3230" s="4" t="s">
        <v>31</v>
      </c>
      <c r="F3230" s="3" t="s">
        <v>31</v>
      </c>
      <c r="G3230" s="9">
        <v>273</v>
      </c>
      <c r="H3230" s="17">
        <v>373</v>
      </c>
      <c r="I3230" s="18"/>
      <c r="J3230" s="14" t="e">
        <f>+SUMIFS(#REF!,#REF!,Planning[[#This Row],[Tarifa]],#REF!,Planning[[#This Row],[Proyectos]])</f>
        <v>#REF!</v>
      </c>
      <c r="K3230" s="14" t="e">
        <f>Planning[[#This Row],[Horas Planificadas]]+Planning[[#This Row],[Horas ajustadas adicionales]]-Planning[[#This Row],[Horas utilizadas]]</f>
        <v>#REF!</v>
      </c>
      <c r="L3230" s="15">
        <v>292</v>
      </c>
      <c r="M3230" s="16" t="e">
        <f>Planning[[#This Row],[Saldo]]-Planning[[#This Row],[Saldo estimado]]</f>
        <v>#REF!</v>
      </c>
      <c r="N3230" s="60" t="e">
        <f>+SUMIFS(#REF!,#REF!,Planning[[#This Row],[Proyectos]],#REF!,Planning[[#This Row],[Tipo de Tarea y especialidad]])</f>
        <v>#REF!</v>
      </c>
      <c r="O3230" s="16">
        <f t="shared" si="100"/>
        <v>10</v>
      </c>
      <c r="P3230" s="16">
        <f t="shared" si="101"/>
        <v>2024</v>
      </c>
      <c r="Q3230" s="16" t="e">
        <f>+SUMIFS(#REF!,#REF!,Planning[[#This Row],[Tarifa]],#REF!,Planning[[#This Row],[Proyectos]],#REF!,Planning[[#This Row],[Mes]],#REF!,Planning[[#This Row],[Año]])</f>
        <v>#REF!</v>
      </c>
      <c r="R3230" s="35" t="str">
        <f>TEXT(Planning[[#This Row],[Mes]]*29,"mmmm")</f>
        <v>October</v>
      </c>
      <c r="S323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30" s="246"/>
      <c r="U3230" s="43" t="e">
        <f>IF(Planning[[#This Row],[Horas Planificadas]]&lt;&gt;0,+K3230/Planning[[#This Row],[Horas Planificadas]],0)</f>
        <v>#REF!</v>
      </c>
      <c r="V3230" s="43" t="e">
        <f>IF(Planning[[#This Row],[Horas Planificadas]]&lt;&gt;0,Planning[[#This Row],[Horas utilizadas]]/Planning[[#This Row],[Horas Planificadas]],0)</f>
        <v>#REF!</v>
      </c>
      <c r="W3230" s="44">
        <f>Planning[[#This Row],[Horas Planificadas]]+Planning[[#This Row],[Horas ajustadas adicionales]]</f>
        <v>373</v>
      </c>
      <c r="X3230" s="142"/>
    </row>
    <row r="3231" spans="1:24" ht="22.5" x14ac:dyDescent="0.2">
      <c r="A3231" s="7" t="s">
        <v>204</v>
      </c>
      <c r="B3231" s="7" t="s">
        <v>169</v>
      </c>
      <c r="C3231" s="3"/>
      <c r="D3231" s="3" t="s">
        <v>608</v>
      </c>
      <c r="E3231" s="4" t="s">
        <v>32</v>
      </c>
      <c r="F3231" s="3"/>
      <c r="G3231" s="9">
        <v>1527</v>
      </c>
      <c r="H3231" s="14">
        <f>SUM(H3232:H3234)</f>
        <v>1647</v>
      </c>
      <c r="I3231" s="14"/>
      <c r="J3231" s="14" t="e">
        <f>SUM(J3232:J3234)</f>
        <v>#REF!</v>
      </c>
      <c r="K3231" s="15" t="e">
        <f>SUM(K3232:K3234)</f>
        <v>#REF!</v>
      </c>
      <c r="L3231" s="15">
        <f>SUM(L3232:L3234)</f>
        <v>0</v>
      </c>
      <c r="M3231" s="16" t="e">
        <f>SUM(M3232:M3234)</f>
        <v>#REF!</v>
      </c>
      <c r="N3231" s="60" t="e">
        <f>+SUMIFS(#REF!,#REF!,Planning[[#This Row],[Proyectos]],#REF!,Planning[[#This Row],[Tipo de Tarea y especialidad]])</f>
        <v>#REF!</v>
      </c>
      <c r="O3231" s="16">
        <f t="shared" si="100"/>
        <v>10</v>
      </c>
      <c r="P3231" s="16">
        <f t="shared" si="101"/>
        <v>2024</v>
      </c>
      <c r="Q3231" s="16" t="e">
        <f>SUM(Q3232:Q3234)</f>
        <v>#REF!</v>
      </c>
      <c r="R3231" s="35" t="str">
        <f>TEXT(Planning[[#This Row],[Mes]]*29,"mmmm")</f>
        <v>October</v>
      </c>
      <c r="S323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31" s="246"/>
      <c r="U3231" s="43" t="e">
        <f>IF(Planning[[#This Row],[Horas Planificadas]]&lt;&gt;0,+K3231/Planning[[#This Row],[Horas Planificadas]],0)</f>
        <v>#REF!</v>
      </c>
      <c r="V3231" s="43" t="e">
        <f>IF(Planning[[#This Row],[Horas Planificadas]]&lt;&gt;0,Planning[[#This Row],[Horas utilizadas]]/Planning[[#This Row],[Horas Planificadas]],0)</f>
        <v>#REF!</v>
      </c>
      <c r="W3231" s="44">
        <f>Planning[[#This Row],[Horas Planificadas]]+Planning[[#This Row],[Horas ajustadas adicionales]]</f>
        <v>1647</v>
      </c>
      <c r="X3231" s="142"/>
    </row>
    <row r="3232" spans="1:24" x14ac:dyDescent="0.2">
      <c r="A3232" s="7" t="s">
        <v>204</v>
      </c>
      <c r="B3232" s="7" t="s">
        <v>169</v>
      </c>
      <c r="C3232" s="3"/>
      <c r="D3232" s="3" t="s">
        <v>608</v>
      </c>
      <c r="E3232" s="4"/>
      <c r="F3232" s="3" t="s">
        <v>129</v>
      </c>
      <c r="G3232" s="9">
        <v>630</v>
      </c>
      <c r="H3232" s="9">
        <v>630</v>
      </c>
      <c r="I3232" s="12"/>
      <c r="J3232" s="5" t="e">
        <f>SUM(SUMIFS(#REF!,#REF!,Planning[[#This Row],[Tipo de Tarea y especialidad]],#REF!,Planning[[#This Row],[Proyectos Reiwa]]),SUMIFS(#REF!,#REF!,Planning[[#This Row],[Tipo de Tarea y especialidad]],#REF!,Planning[[#This Row],[Proyectos]]))</f>
        <v>#REF!</v>
      </c>
      <c r="K3232" s="5" t="e">
        <f>Planning[[#This Row],[Horas Planificadas]]+Planning[[#This Row],[Horas ajustadas adicionales]]-Planning[[#This Row],[Horas utilizadas]]</f>
        <v>#REF!</v>
      </c>
      <c r="L3232" s="7">
        <v>0</v>
      </c>
      <c r="M3232" s="19" t="e">
        <f>Planning[[#This Row],[Saldo]]-Planning[[#This Row],[Saldo estimado]]</f>
        <v>#REF!</v>
      </c>
      <c r="N3232" s="60" t="e">
        <f>+SUMIFS(#REF!,#REF!,Planning[[#This Row],[Proyectos]],#REF!,Planning[[#This Row],[Tipo de Tarea y especialidad]])</f>
        <v>#REF!</v>
      </c>
      <c r="O3232" s="19">
        <f t="shared" si="100"/>
        <v>10</v>
      </c>
      <c r="P3232" s="19">
        <f t="shared" si="101"/>
        <v>2024</v>
      </c>
      <c r="Q32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32" s="34" t="str">
        <f>TEXT(Planning[[#This Row],[Mes]]*29,"mmmm")</f>
        <v>October</v>
      </c>
      <c r="S323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32" s="246"/>
      <c r="U3232" s="43" t="e">
        <f>IF(Planning[[#This Row],[Horas Planificadas]]&lt;&gt;0,+K3232/Planning[[#This Row],[Horas Planificadas]],0)</f>
        <v>#REF!</v>
      </c>
      <c r="V3232" s="43" t="e">
        <f>IF(Planning[[#This Row],[Horas Planificadas]]&lt;&gt;0,Planning[[#This Row],[Horas utilizadas]]/Planning[[#This Row],[Horas Planificadas]],0)</f>
        <v>#REF!</v>
      </c>
      <c r="W3232" s="44">
        <f>Planning[[#This Row],[Horas Planificadas]]+Planning[[#This Row],[Horas ajustadas adicionales]]</f>
        <v>630</v>
      </c>
      <c r="X3232" s="142"/>
    </row>
    <row r="3233" spans="1:24" x14ac:dyDescent="0.2">
      <c r="A3233" s="7" t="s">
        <v>204</v>
      </c>
      <c r="B3233" s="7" t="s">
        <v>169</v>
      </c>
      <c r="C3233" s="3"/>
      <c r="D3233" s="3" t="s">
        <v>608</v>
      </c>
      <c r="E3233" s="4"/>
      <c r="F3233" s="3" t="s">
        <v>130</v>
      </c>
      <c r="G3233" s="9">
        <v>510</v>
      </c>
      <c r="H3233" s="9">
        <v>630</v>
      </c>
      <c r="I3233" s="12"/>
      <c r="J3233" s="5" t="e">
        <f>SUM(SUMIFS(#REF!,#REF!,Planning[[#This Row],[Tipo de Tarea y especialidad]],#REF!,Planning[[#This Row],[Proyectos Reiwa]]),SUMIFS(#REF!,#REF!,Planning[[#This Row],[Tipo de Tarea y especialidad]],#REF!,Planning[[#This Row],[Proyectos]]))</f>
        <v>#REF!</v>
      </c>
      <c r="K3233" s="5" t="e">
        <f>Planning[[#This Row],[Horas Planificadas]]+Planning[[#This Row],[Horas ajustadas adicionales]]-Planning[[#This Row],[Horas utilizadas]]</f>
        <v>#REF!</v>
      </c>
      <c r="L3233" s="7">
        <v>0</v>
      </c>
      <c r="M3233" s="19" t="e">
        <f>Planning[[#This Row],[Saldo]]-Planning[[#This Row],[Saldo estimado]]</f>
        <v>#REF!</v>
      </c>
      <c r="N3233" s="60" t="e">
        <f>+SUMIFS(#REF!,#REF!,Planning[[#This Row],[Proyectos]],#REF!,Planning[[#This Row],[Tipo de Tarea y especialidad]])</f>
        <v>#REF!</v>
      </c>
      <c r="O3233" s="19">
        <f t="shared" si="100"/>
        <v>10</v>
      </c>
      <c r="P3233" s="19">
        <f t="shared" si="101"/>
        <v>2024</v>
      </c>
      <c r="Q32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33" s="34" t="str">
        <f>TEXT(Planning[[#This Row],[Mes]]*29,"mmmm")</f>
        <v>October</v>
      </c>
      <c r="S323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33" s="246"/>
      <c r="U3233" s="43" t="e">
        <f>IF(Planning[[#This Row],[Horas Planificadas]]&lt;&gt;0,+K3233/Planning[[#This Row],[Horas Planificadas]],0)</f>
        <v>#REF!</v>
      </c>
      <c r="V3233" s="43" t="e">
        <f>IF(Planning[[#This Row],[Horas Planificadas]]&lt;&gt;0,Planning[[#This Row],[Horas utilizadas]]/Planning[[#This Row],[Horas Planificadas]],0)</f>
        <v>#REF!</v>
      </c>
      <c r="W3233" s="44">
        <f>Planning[[#This Row],[Horas Planificadas]]+Planning[[#This Row],[Horas ajustadas adicionales]]</f>
        <v>630</v>
      </c>
      <c r="X3233" s="142"/>
    </row>
    <row r="3234" spans="1:24" x14ac:dyDescent="0.2">
      <c r="A3234" s="7" t="s">
        <v>204</v>
      </c>
      <c r="B3234" s="7" t="s">
        <v>169</v>
      </c>
      <c r="C3234" s="3"/>
      <c r="D3234" s="3" t="s">
        <v>608</v>
      </c>
      <c r="E3234" s="4"/>
      <c r="F3234" s="3" t="s">
        <v>131</v>
      </c>
      <c r="G3234" s="9">
        <v>387</v>
      </c>
      <c r="H3234" s="9">
        <v>387</v>
      </c>
      <c r="I3234" s="12"/>
      <c r="J3234" s="5" t="e">
        <f>SUM(SUMIFS(#REF!,#REF!,Planning[[#This Row],[Tipo de Tarea y especialidad]],#REF!,Planning[[#This Row],[Proyectos Reiwa]]),SUMIFS(#REF!,#REF!,Planning[[#This Row],[Tipo de Tarea y especialidad]],#REF!,Planning[[#This Row],[Proyectos]]))</f>
        <v>#REF!</v>
      </c>
      <c r="K3234" s="5" t="e">
        <f>Planning[[#This Row],[Horas Planificadas]]+Planning[[#This Row],[Horas ajustadas adicionales]]-Planning[[#This Row],[Horas utilizadas]]</f>
        <v>#REF!</v>
      </c>
      <c r="L3234" s="7">
        <v>0</v>
      </c>
      <c r="M3234" s="19" t="e">
        <f>Planning[[#This Row],[Saldo]]-Planning[[#This Row],[Saldo estimado]]</f>
        <v>#REF!</v>
      </c>
      <c r="N3234" s="60" t="e">
        <f>+SUMIFS(#REF!,#REF!,Planning[[#This Row],[Proyectos]],#REF!,Planning[[#This Row],[Tipo de Tarea y especialidad]])</f>
        <v>#REF!</v>
      </c>
      <c r="O3234" s="19">
        <f t="shared" si="100"/>
        <v>10</v>
      </c>
      <c r="P3234" s="19">
        <f t="shared" si="101"/>
        <v>2024</v>
      </c>
      <c r="Q32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34" s="34" t="str">
        <f>TEXT(Planning[[#This Row],[Mes]]*29,"mmmm")</f>
        <v>October</v>
      </c>
      <c r="S323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34" s="247"/>
      <c r="U3234" s="43" t="e">
        <f>IF(Planning[[#This Row],[Horas Planificadas]]&lt;&gt;0,+K3234/Planning[[#This Row],[Horas Planificadas]],0)</f>
        <v>#REF!</v>
      </c>
      <c r="V3234" s="43" t="e">
        <f>IF(Planning[[#This Row],[Horas Planificadas]]&lt;&gt;0,Planning[[#This Row],[Horas utilizadas]]/Planning[[#This Row],[Horas Planificadas]],0)</f>
        <v>#REF!</v>
      </c>
      <c r="W3234" s="44">
        <f>Planning[[#This Row],[Horas Planificadas]]+Planning[[#This Row],[Horas ajustadas adicionales]]</f>
        <v>387</v>
      </c>
      <c r="X3234" s="142"/>
    </row>
    <row r="3235" spans="1:24" ht="22.5" x14ac:dyDescent="0.2">
      <c r="A3235" s="7"/>
      <c r="B3235" s="7" t="s">
        <v>599</v>
      </c>
      <c r="C3235" s="3"/>
      <c r="D3235" s="3" t="s">
        <v>610</v>
      </c>
      <c r="E3235" s="4" t="s">
        <v>28</v>
      </c>
      <c r="F3235" s="3"/>
      <c r="G3235" s="9">
        <v>230</v>
      </c>
      <c r="H3235" s="14">
        <f>SUM(H3236:H3237)</f>
        <v>230</v>
      </c>
      <c r="I3235" s="14"/>
      <c r="J3235" s="14" t="e">
        <f>SUM(J3236:J3237)</f>
        <v>#REF!</v>
      </c>
      <c r="K3235" s="15" t="e">
        <f>SUM(K3236:K3237)</f>
        <v>#REF!</v>
      </c>
      <c r="L3235" s="15">
        <f>SUM(L3236:L3237)</f>
        <v>0</v>
      </c>
      <c r="M3235" s="14" t="e">
        <f>SUM(M3236:M3237)</f>
        <v>#REF!</v>
      </c>
      <c r="N3235" s="66" t="e">
        <f>+SUMIFS(#REF!,#REF!,Planning[[#This Row],[Proyectos]],#REF!,Planning[[#This Row],[Tipo de Tarea y especialidad]])</f>
        <v>#REF!</v>
      </c>
      <c r="O3235" s="14">
        <f t="shared" si="100"/>
        <v>10</v>
      </c>
      <c r="P3235" s="14">
        <f t="shared" si="101"/>
        <v>2024</v>
      </c>
      <c r="Q3235" s="28" t="e">
        <f>SUM(Q3236:Q3237)</f>
        <v>#REF!</v>
      </c>
      <c r="R3235" s="28" t="str">
        <f>TEXT(Planning[[#This Row],[Mes]]*29,"mmmm")</f>
        <v>October</v>
      </c>
      <c r="S32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35" s="192" t="s">
        <v>611</v>
      </c>
      <c r="U3235" s="43" t="e">
        <f>IF(Planning[[#This Row],[Horas Planificadas]]&lt;&gt;0,+K3235/Planning[[#This Row],[Horas Planificadas]],0)</f>
        <v>#REF!</v>
      </c>
      <c r="V3235" s="43" t="e">
        <f>IF(Planning[[#This Row],[Horas Planificadas]]&lt;&gt;0,Planning[[#This Row],[Horas utilizadas]]/Planning[[#This Row],[Horas Planificadas]],0)</f>
        <v>#REF!</v>
      </c>
      <c r="W3235" s="44">
        <f>Planning[[#This Row],[Horas Planificadas]]+Planning[[#This Row],[Horas ajustadas adicionales]]</f>
        <v>230</v>
      </c>
      <c r="X3235" s="142"/>
    </row>
    <row r="3236" spans="1:24" x14ac:dyDescent="0.2">
      <c r="A3236" s="7"/>
      <c r="B3236" s="7" t="s">
        <v>599</v>
      </c>
      <c r="C3236" s="3"/>
      <c r="D3236" s="3" t="s">
        <v>610</v>
      </c>
      <c r="E3236" s="4"/>
      <c r="F3236" s="3" t="s">
        <v>120</v>
      </c>
      <c r="G3236" s="9"/>
      <c r="H3236" s="9">
        <v>140</v>
      </c>
      <c r="I3236" s="12"/>
      <c r="J3236" s="5" t="e">
        <f>SUM(SUMIFS(#REF!,#REF!,Planning[[#This Row],[Tipo de Tarea y especialidad]],#REF!,Planning[[#This Row],[Proyectos Reiwa]]),SUMIFS(#REF!,#REF!,Planning[[#This Row],[Tipo de Tarea y especialidad]],#REF!,Planning[[#This Row],[Proyectos]]))</f>
        <v>#REF!</v>
      </c>
      <c r="K3236" s="5" t="e">
        <f>Planning[[#This Row],[Horas Planificadas]]+Planning[[#This Row],[Horas ajustadas adicionales]]-Planning[[#This Row],[Horas utilizadas]]</f>
        <v>#REF!</v>
      </c>
      <c r="L3236" s="7">
        <v>0</v>
      </c>
      <c r="M3236" s="19" t="e">
        <f>Planning[[#This Row],[Saldo]]-Planning[[#This Row],[Saldo estimado]]</f>
        <v>#REF!</v>
      </c>
      <c r="N3236" s="60" t="e">
        <f>+SUMIFS(#REF!,#REF!,Planning[[#This Row],[Proyectos]],#REF!,Planning[[#This Row],[Tipo de Tarea y especialidad]])</f>
        <v>#REF!</v>
      </c>
      <c r="O3236" s="19">
        <f t="shared" si="100"/>
        <v>10</v>
      </c>
      <c r="P3236" s="19">
        <f t="shared" si="101"/>
        <v>2024</v>
      </c>
      <c r="Q32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36" s="19" t="str">
        <f>TEXT(Planning[[#This Row],[Mes]]*29,"mmmm")</f>
        <v>October</v>
      </c>
      <c r="S32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36" s="193"/>
      <c r="U3236" s="43" t="e">
        <f>IF(Planning[[#This Row],[Horas Planificadas]]&lt;&gt;0,+K3236/Planning[[#This Row],[Horas Planificadas]],0)</f>
        <v>#REF!</v>
      </c>
      <c r="V3236" s="43" t="e">
        <f>IF(Planning[[#This Row],[Horas Planificadas]]&lt;&gt;0,Planning[[#This Row],[Horas utilizadas]]/Planning[[#This Row],[Horas Planificadas]],0)</f>
        <v>#REF!</v>
      </c>
      <c r="W3236" s="44">
        <f>Planning[[#This Row],[Horas Planificadas]]+Planning[[#This Row],[Horas ajustadas adicionales]]</f>
        <v>140</v>
      </c>
      <c r="X3236" s="142"/>
    </row>
    <row r="3237" spans="1:24" x14ac:dyDescent="0.2">
      <c r="A3237" s="7"/>
      <c r="B3237" s="7" t="s">
        <v>599</v>
      </c>
      <c r="C3237" s="3"/>
      <c r="D3237" s="3" t="s">
        <v>610</v>
      </c>
      <c r="E3237" s="4"/>
      <c r="F3237" s="3" t="s">
        <v>121</v>
      </c>
      <c r="G3237" s="9"/>
      <c r="H3237" s="9">
        <v>90</v>
      </c>
      <c r="I3237" s="12"/>
      <c r="J3237" s="5" t="e">
        <f>SUM(SUMIFS(#REF!,#REF!,Planning[[#This Row],[Tipo de Tarea y especialidad]],#REF!,Planning[[#This Row],[Proyectos Reiwa]]),SUMIFS(#REF!,#REF!,Planning[[#This Row],[Tipo de Tarea y especialidad]],#REF!,Planning[[#This Row],[Proyectos]]))</f>
        <v>#REF!</v>
      </c>
      <c r="K3237" s="5" t="e">
        <f>Planning[[#This Row],[Horas Planificadas]]+Planning[[#This Row],[Horas ajustadas adicionales]]-Planning[[#This Row],[Horas utilizadas]]</f>
        <v>#REF!</v>
      </c>
      <c r="L3237" s="7">
        <v>0</v>
      </c>
      <c r="M3237" s="19" t="e">
        <f>Planning[[#This Row],[Saldo]]-Planning[[#This Row],[Saldo estimado]]</f>
        <v>#REF!</v>
      </c>
      <c r="N3237" s="60" t="e">
        <f>+SUMIFS(#REF!,#REF!,Planning[[#This Row],[Proyectos]],#REF!,Planning[[#This Row],[Tipo de Tarea y especialidad]])</f>
        <v>#REF!</v>
      </c>
      <c r="O3237" s="19">
        <f t="shared" si="100"/>
        <v>10</v>
      </c>
      <c r="P3237" s="19">
        <f t="shared" si="101"/>
        <v>2024</v>
      </c>
      <c r="Q32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37" s="19" t="str">
        <f>TEXT(Planning[[#This Row],[Mes]]*29,"mmmm")</f>
        <v>October</v>
      </c>
      <c r="S32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37" s="193"/>
      <c r="U3237" s="43" t="e">
        <f>IF(Planning[[#This Row],[Horas Planificadas]]&lt;&gt;0,+K3237/Planning[[#This Row],[Horas Planificadas]],0)</f>
        <v>#REF!</v>
      </c>
      <c r="V3237" s="43" t="e">
        <f>IF(Planning[[#This Row],[Horas Planificadas]]&lt;&gt;0,Planning[[#This Row],[Horas utilizadas]]/Planning[[#This Row],[Horas Planificadas]],0)</f>
        <v>#REF!</v>
      </c>
      <c r="W3237" s="44">
        <f>Planning[[#This Row],[Horas Planificadas]]+Planning[[#This Row],[Horas ajustadas adicionales]]</f>
        <v>90</v>
      </c>
      <c r="X3237" s="142"/>
    </row>
    <row r="3238" spans="1:24" x14ac:dyDescent="0.2">
      <c r="A3238" s="7"/>
      <c r="B3238" s="7" t="s">
        <v>599</v>
      </c>
      <c r="C3238" s="3"/>
      <c r="D3238" s="3" t="s">
        <v>610</v>
      </c>
      <c r="E3238" s="4" t="s">
        <v>30</v>
      </c>
      <c r="F3238" s="3"/>
      <c r="G3238" s="9">
        <v>284</v>
      </c>
      <c r="H3238" s="14">
        <f>SUM(H3239:H3245)</f>
        <v>284</v>
      </c>
      <c r="I3238" s="14"/>
      <c r="J3238" s="14" t="e">
        <f>SUM(J3239:J3245)</f>
        <v>#REF!</v>
      </c>
      <c r="K3238" s="15" t="e">
        <f>SUM(K3239:K3245)</f>
        <v>#REF!</v>
      </c>
      <c r="L3238" s="15">
        <f>SUM(L3239:L3245)</f>
        <v>0</v>
      </c>
      <c r="M3238" s="16" t="e">
        <f>SUM(M3239:M3245)</f>
        <v>#REF!</v>
      </c>
      <c r="N3238" s="60" t="e">
        <f>+SUMIFS(#REF!,#REF!,Planning[[#This Row],[Proyectos]],#REF!,Planning[[#This Row],[Tipo de Tarea y especialidad]])</f>
        <v>#REF!</v>
      </c>
      <c r="O3238" s="16">
        <f t="shared" si="100"/>
        <v>10</v>
      </c>
      <c r="P3238" s="16">
        <f t="shared" si="101"/>
        <v>2024</v>
      </c>
      <c r="Q3238" s="16" t="e">
        <f>SUM(Q3239:Q3245)</f>
        <v>#REF!</v>
      </c>
      <c r="R3238" s="16" t="str">
        <f>TEXT(Planning[[#This Row],[Mes]]*29,"mmmm")</f>
        <v>October</v>
      </c>
      <c r="S32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38" s="193"/>
      <c r="U3238" s="43" t="e">
        <f>IF(Planning[[#This Row],[Horas Planificadas]]&lt;&gt;0,+K3238/Planning[[#This Row],[Horas Planificadas]],0)</f>
        <v>#REF!</v>
      </c>
      <c r="V3238" s="43" t="e">
        <f>IF(Planning[[#This Row],[Horas Planificadas]]&lt;&gt;0,Planning[[#This Row],[Horas utilizadas]]/Planning[[#This Row],[Horas Planificadas]],0)</f>
        <v>#REF!</v>
      </c>
      <c r="W3238" s="44">
        <f>Planning[[#This Row],[Horas Planificadas]]+Planning[[#This Row],[Horas ajustadas adicionales]]</f>
        <v>284</v>
      </c>
      <c r="X3238" s="142"/>
    </row>
    <row r="3239" spans="1:24" x14ac:dyDescent="0.2">
      <c r="A3239" s="7"/>
      <c r="B3239" s="7" t="s">
        <v>599</v>
      </c>
      <c r="C3239" s="3"/>
      <c r="D3239" s="3" t="s">
        <v>610</v>
      </c>
      <c r="E3239" s="4"/>
      <c r="F3239" s="3" t="s">
        <v>122</v>
      </c>
      <c r="G3239" s="9"/>
      <c r="H3239" s="9"/>
      <c r="I3239" s="12"/>
      <c r="J3239" s="5" t="e">
        <f>SUM(SUMIFS(#REF!,#REF!,Planning[[#This Row],[Tipo de Tarea y especialidad]],#REF!,Planning[[#This Row],[Proyectos Reiwa]]),SUMIFS(#REF!,#REF!,Planning[[#This Row],[Tipo de Tarea y especialidad]],#REF!,Planning[[#This Row],[Proyectos]]))</f>
        <v>#REF!</v>
      </c>
      <c r="K3239" s="5" t="e">
        <f>Planning[[#This Row],[Horas Planificadas]]+Planning[[#This Row],[Horas ajustadas adicionales]]-Planning[[#This Row],[Horas utilizadas]]</f>
        <v>#REF!</v>
      </c>
      <c r="L3239" s="7"/>
      <c r="M3239" s="19" t="e">
        <f>Planning[[#This Row],[Saldo]]-Planning[[#This Row],[Saldo estimado]]</f>
        <v>#REF!</v>
      </c>
      <c r="N3239" s="60" t="e">
        <f>+SUMIFS(#REF!,#REF!,Planning[[#This Row],[Proyectos]],#REF!,Planning[[#This Row],[Tipo de Tarea y especialidad]])</f>
        <v>#REF!</v>
      </c>
      <c r="O3239" s="19">
        <f t="shared" si="100"/>
        <v>10</v>
      </c>
      <c r="P3239" s="19">
        <f t="shared" si="101"/>
        <v>2024</v>
      </c>
      <c r="Q32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39" s="19" t="str">
        <f>TEXT(Planning[[#This Row],[Mes]]*29,"mmmm")</f>
        <v>October</v>
      </c>
      <c r="S32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39" s="193"/>
      <c r="U3239" s="43">
        <f>IF(Planning[[#This Row],[Horas Planificadas]]&lt;&gt;0,+K3239/Planning[[#This Row],[Horas Planificadas]],0)</f>
        <v>0</v>
      </c>
      <c r="V3239" s="43">
        <f>IF(Planning[[#This Row],[Horas Planificadas]]&lt;&gt;0,Planning[[#This Row],[Horas utilizadas]]/Planning[[#This Row],[Horas Planificadas]],0)</f>
        <v>0</v>
      </c>
      <c r="W3239" s="44">
        <f>Planning[[#This Row],[Horas Planificadas]]+Planning[[#This Row],[Horas ajustadas adicionales]]</f>
        <v>0</v>
      </c>
      <c r="X3239" s="142"/>
    </row>
    <row r="3240" spans="1:24" x14ac:dyDescent="0.2">
      <c r="A3240" s="7"/>
      <c r="B3240" s="7" t="s">
        <v>599</v>
      </c>
      <c r="C3240" s="3"/>
      <c r="D3240" s="3" t="s">
        <v>610</v>
      </c>
      <c r="E3240" s="4"/>
      <c r="F3240" s="3" t="s">
        <v>123</v>
      </c>
      <c r="G3240" s="9"/>
      <c r="H3240" s="9">
        <v>284</v>
      </c>
      <c r="I3240" s="12"/>
      <c r="J3240" s="5" t="e">
        <f>SUM(SUMIFS(#REF!,#REF!,Planning[[#This Row],[Tipo de Tarea y especialidad]],#REF!,Planning[[#This Row],[Proyectos Reiwa]]),SUMIFS(#REF!,#REF!,Planning[[#This Row],[Tipo de Tarea y especialidad]],#REF!,Planning[[#This Row],[Proyectos]]))</f>
        <v>#REF!</v>
      </c>
      <c r="K3240" s="5" t="e">
        <f>Planning[[#This Row],[Horas Planificadas]]+Planning[[#This Row],[Horas ajustadas adicionales]]-Planning[[#This Row],[Horas utilizadas]]</f>
        <v>#REF!</v>
      </c>
      <c r="L3240" s="7">
        <v>0</v>
      </c>
      <c r="M3240" s="19" t="e">
        <f>Planning[[#This Row],[Saldo]]-Planning[[#This Row],[Saldo estimado]]</f>
        <v>#REF!</v>
      </c>
      <c r="N3240" s="60" t="e">
        <f>+SUMIFS(#REF!,#REF!,Planning[[#This Row],[Proyectos]],#REF!,Planning[[#This Row],[Tipo de Tarea y especialidad]])</f>
        <v>#REF!</v>
      </c>
      <c r="O3240" s="19">
        <f t="shared" si="100"/>
        <v>10</v>
      </c>
      <c r="P3240" s="19">
        <f t="shared" si="101"/>
        <v>2024</v>
      </c>
      <c r="Q32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40" s="19" t="str">
        <f>TEXT(Planning[[#This Row],[Mes]]*29,"mmmm")</f>
        <v>October</v>
      </c>
      <c r="S32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40" s="193"/>
      <c r="U3240" s="43" t="e">
        <f>IF(Planning[[#This Row],[Horas Planificadas]]&lt;&gt;0,+K3240/Planning[[#This Row],[Horas Planificadas]],0)</f>
        <v>#REF!</v>
      </c>
      <c r="V3240" s="43" t="e">
        <f>IF(Planning[[#This Row],[Horas Planificadas]]&lt;&gt;0,Planning[[#This Row],[Horas utilizadas]]/Planning[[#This Row],[Horas Planificadas]],0)</f>
        <v>#REF!</v>
      </c>
      <c r="W3240" s="44">
        <f>Planning[[#This Row],[Horas Planificadas]]+Planning[[#This Row],[Horas ajustadas adicionales]]</f>
        <v>284</v>
      </c>
      <c r="X3240" s="142"/>
    </row>
    <row r="3241" spans="1:24" x14ac:dyDescent="0.2">
      <c r="A3241" s="7"/>
      <c r="B3241" s="7" t="s">
        <v>599</v>
      </c>
      <c r="C3241" s="3"/>
      <c r="D3241" s="3" t="s">
        <v>610</v>
      </c>
      <c r="E3241" s="4"/>
      <c r="F3241" s="3" t="s">
        <v>124</v>
      </c>
      <c r="G3241" s="9"/>
      <c r="H3241" s="9"/>
      <c r="I3241" s="12"/>
      <c r="J3241" s="5" t="e">
        <f>SUM(SUMIFS(#REF!,#REF!,Planning[[#This Row],[Tipo de Tarea y especialidad]],#REF!,Planning[[#This Row],[Proyectos Reiwa]]),SUMIFS(#REF!,#REF!,Planning[[#This Row],[Tipo de Tarea y especialidad]],#REF!,Planning[[#This Row],[Proyectos]]))</f>
        <v>#REF!</v>
      </c>
      <c r="K3241" s="5" t="e">
        <f>Planning[[#This Row],[Horas Planificadas]]+Planning[[#This Row],[Horas ajustadas adicionales]]-Planning[[#This Row],[Horas utilizadas]]</f>
        <v>#REF!</v>
      </c>
      <c r="L3241" s="7">
        <v>0</v>
      </c>
      <c r="M3241" s="19" t="e">
        <f>Planning[[#This Row],[Saldo]]-Planning[[#This Row],[Saldo estimado]]</f>
        <v>#REF!</v>
      </c>
      <c r="N3241" s="60" t="e">
        <f>+SUMIFS(#REF!,#REF!,Planning[[#This Row],[Proyectos]],#REF!,Planning[[#This Row],[Tipo de Tarea y especialidad]])</f>
        <v>#REF!</v>
      </c>
      <c r="O3241" s="19">
        <f t="shared" si="100"/>
        <v>10</v>
      </c>
      <c r="P3241" s="19">
        <f t="shared" si="101"/>
        <v>2024</v>
      </c>
      <c r="Q32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41" s="19" t="str">
        <f>TEXT(Planning[[#This Row],[Mes]]*29,"mmmm")</f>
        <v>October</v>
      </c>
      <c r="S32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41" s="193"/>
      <c r="U3241" s="43">
        <f>IF(Planning[[#This Row],[Horas Planificadas]]&lt;&gt;0,+K3241/Planning[[#This Row],[Horas Planificadas]],0)</f>
        <v>0</v>
      </c>
      <c r="V3241" s="43">
        <f>IF(Planning[[#This Row],[Horas Planificadas]]&lt;&gt;0,Planning[[#This Row],[Horas utilizadas]]/Planning[[#This Row],[Horas Planificadas]],0)</f>
        <v>0</v>
      </c>
      <c r="W3241" s="44">
        <f>Planning[[#This Row],[Horas Planificadas]]+Planning[[#This Row],[Horas ajustadas adicionales]]</f>
        <v>0</v>
      </c>
      <c r="X3241" s="142"/>
    </row>
    <row r="3242" spans="1:24" x14ac:dyDescent="0.2">
      <c r="A3242" s="7"/>
      <c r="B3242" s="7" t="s">
        <v>599</v>
      </c>
      <c r="C3242" s="3"/>
      <c r="D3242" s="3" t="s">
        <v>610</v>
      </c>
      <c r="E3242" s="4"/>
      <c r="F3242" s="3" t="s">
        <v>125</v>
      </c>
      <c r="G3242" s="9"/>
      <c r="H3242" s="9"/>
      <c r="I3242" s="12"/>
      <c r="J3242" s="5" t="e">
        <f>SUM(SUMIFS(#REF!,#REF!,Planning[[#This Row],[Tipo de Tarea y especialidad]],#REF!,Planning[[#This Row],[Proyectos Reiwa]]),SUMIFS(#REF!,#REF!,Planning[[#This Row],[Tipo de Tarea y especialidad]],#REF!,Planning[[#This Row],[Proyectos]]))</f>
        <v>#REF!</v>
      </c>
      <c r="K3242" s="5" t="e">
        <f>Planning[[#This Row],[Horas Planificadas]]+Planning[[#This Row],[Horas ajustadas adicionales]]-Planning[[#This Row],[Horas utilizadas]]</f>
        <v>#REF!</v>
      </c>
      <c r="L3242" s="7">
        <v>0</v>
      </c>
      <c r="M3242" s="19" t="e">
        <f>Planning[[#This Row],[Saldo]]-Planning[[#This Row],[Saldo estimado]]</f>
        <v>#REF!</v>
      </c>
      <c r="N3242" s="60" t="e">
        <f>+SUMIFS(#REF!,#REF!,Planning[[#This Row],[Proyectos]],#REF!,Planning[[#This Row],[Tipo de Tarea y especialidad]])</f>
        <v>#REF!</v>
      </c>
      <c r="O3242" s="19">
        <f t="shared" si="100"/>
        <v>10</v>
      </c>
      <c r="P3242" s="19">
        <f t="shared" si="101"/>
        <v>2024</v>
      </c>
      <c r="Q32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42" s="19" t="str">
        <f>TEXT(Planning[[#This Row],[Mes]]*29,"mmmm")</f>
        <v>October</v>
      </c>
      <c r="S32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42" s="193"/>
      <c r="U3242" s="43">
        <f>IF(Planning[[#This Row],[Horas Planificadas]]&lt;&gt;0,+K3242/Planning[[#This Row],[Horas Planificadas]],0)</f>
        <v>0</v>
      </c>
      <c r="V3242" s="43">
        <f>IF(Planning[[#This Row],[Horas Planificadas]]&lt;&gt;0,Planning[[#This Row],[Horas utilizadas]]/Planning[[#This Row],[Horas Planificadas]],0)</f>
        <v>0</v>
      </c>
      <c r="W3242" s="44">
        <f>Planning[[#This Row],[Horas Planificadas]]+Planning[[#This Row],[Horas ajustadas adicionales]]</f>
        <v>0</v>
      </c>
      <c r="X3242" s="142"/>
    </row>
    <row r="3243" spans="1:24" x14ac:dyDescent="0.2">
      <c r="A3243" s="7"/>
      <c r="B3243" s="7" t="s">
        <v>599</v>
      </c>
      <c r="C3243" s="3"/>
      <c r="D3243" s="3" t="s">
        <v>610</v>
      </c>
      <c r="E3243" s="4"/>
      <c r="F3243" s="3" t="s">
        <v>126</v>
      </c>
      <c r="G3243" s="9"/>
      <c r="H3243" s="9"/>
      <c r="I3243" s="12"/>
      <c r="J3243" s="5" t="e">
        <f>SUM(SUMIFS(#REF!,#REF!,Planning[[#This Row],[Tipo de Tarea y especialidad]],#REF!,Planning[[#This Row],[Proyectos Reiwa]]),SUMIFS(#REF!,#REF!,Planning[[#This Row],[Tipo de Tarea y especialidad]],#REF!,Planning[[#This Row],[Proyectos]]))</f>
        <v>#REF!</v>
      </c>
      <c r="K3243" s="5" t="e">
        <f>Planning[[#This Row],[Horas Planificadas]]+Planning[[#This Row],[Horas ajustadas adicionales]]-Planning[[#This Row],[Horas utilizadas]]</f>
        <v>#REF!</v>
      </c>
      <c r="L3243" s="7"/>
      <c r="M3243" s="19" t="e">
        <f>Planning[[#This Row],[Saldo]]-Planning[[#This Row],[Saldo estimado]]</f>
        <v>#REF!</v>
      </c>
      <c r="N3243" s="60" t="e">
        <f>+SUMIFS(#REF!,#REF!,Planning[[#This Row],[Proyectos]],#REF!,Planning[[#This Row],[Tipo de Tarea y especialidad]])</f>
        <v>#REF!</v>
      </c>
      <c r="O3243" s="19">
        <f t="shared" si="100"/>
        <v>10</v>
      </c>
      <c r="P3243" s="19">
        <f t="shared" si="101"/>
        <v>2024</v>
      </c>
      <c r="Q32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43" s="19" t="str">
        <f>TEXT(Planning[[#This Row],[Mes]]*29,"mmmm")</f>
        <v>October</v>
      </c>
      <c r="S32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43" s="193"/>
      <c r="U3243" s="43">
        <f>IF(Planning[[#This Row],[Horas Planificadas]]&lt;&gt;0,+K3243/Planning[[#This Row],[Horas Planificadas]],0)</f>
        <v>0</v>
      </c>
      <c r="V3243" s="43">
        <f>IF(Planning[[#This Row],[Horas Planificadas]]&lt;&gt;0,Planning[[#This Row],[Horas utilizadas]]/Planning[[#This Row],[Horas Planificadas]],0)</f>
        <v>0</v>
      </c>
      <c r="W3243" s="44">
        <f>Planning[[#This Row],[Horas Planificadas]]+Planning[[#This Row],[Horas ajustadas adicionales]]</f>
        <v>0</v>
      </c>
      <c r="X3243" s="142"/>
    </row>
    <row r="3244" spans="1:24" x14ac:dyDescent="0.2">
      <c r="A3244" s="7"/>
      <c r="B3244" s="7" t="s">
        <v>599</v>
      </c>
      <c r="C3244" s="3"/>
      <c r="D3244" s="3" t="s">
        <v>610</v>
      </c>
      <c r="E3244" s="4"/>
      <c r="F3244" s="3" t="s">
        <v>127</v>
      </c>
      <c r="G3244" s="9"/>
      <c r="H3244" s="9"/>
      <c r="I3244" s="12"/>
      <c r="J3244" s="5" t="e">
        <f>SUM(SUMIFS(#REF!,#REF!,Planning[[#This Row],[Tipo de Tarea y especialidad]],#REF!,Planning[[#This Row],[Proyectos Reiwa]]),SUMIFS(#REF!,#REF!,Planning[[#This Row],[Tipo de Tarea y especialidad]],#REF!,Planning[[#This Row],[Proyectos]]))</f>
        <v>#REF!</v>
      </c>
      <c r="K3244" s="5" t="e">
        <f>Planning[[#This Row],[Horas Planificadas]]+Planning[[#This Row],[Horas ajustadas adicionales]]-Planning[[#This Row],[Horas utilizadas]]</f>
        <v>#REF!</v>
      </c>
      <c r="L3244" s="7"/>
      <c r="M3244" s="19" t="e">
        <f>Planning[[#This Row],[Saldo]]-Planning[[#This Row],[Saldo estimado]]</f>
        <v>#REF!</v>
      </c>
      <c r="N3244" s="60" t="e">
        <f>+SUMIFS(#REF!,#REF!,Planning[[#This Row],[Proyectos]],#REF!,Planning[[#This Row],[Tipo de Tarea y especialidad]])</f>
        <v>#REF!</v>
      </c>
      <c r="O3244" s="19">
        <f t="shared" si="100"/>
        <v>10</v>
      </c>
      <c r="P3244" s="19">
        <f t="shared" si="101"/>
        <v>2024</v>
      </c>
      <c r="Q32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44" s="19" t="str">
        <f>TEXT(Planning[[#This Row],[Mes]]*29,"mmmm")</f>
        <v>October</v>
      </c>
      <c r="S32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44" s="193"/>
      <c r="U3244" s="43">
        <f>IF(Planning[[#This Row],[Horas Planificadas]]&lt;&gt;0,+K3244/Planning[[#This Row],[Horas Planificadas]],0)</f>
        <v>0</v>
      </c>
      <c r="V3244" s="43">
        <f>IF(Planning[[#This Row],[Horas Planificadas]]&lt;&gt;0,Planning[[#This Row],[Horas utilizadas]]/Planning[[#This Row],[Horas Planificadas]],0)</f>
        <v>0</v>
      </c>
      <c r="W3244" s="44">
        <f>Planning[[#This Row],[Horas Planificadas]]+Planning[[#This Row],[Horas ajustadas adicionales]]</f>
        <v>0</v>
      </c>
      <c r="X3244" s="142"/>
    </row>
    <row r="3245" spans="1:24" x14ac:dyDescent="0.2">
      <c r="A3245" s="7"/>
      <c r="B3245" s="7" t="s">
        <v>599</v>
      </c>
      <c r="C3245" s="3"/>
      <c r="D3245" s="3" t="s">
        <v>610</v>
      </c>
      <c r="E3245" s="4"/>
      <c r="F3245" s="3" t="s">
        <v>128</v>
      </c>
      <c r="G3245" s="9"/>
      <c r="H3245" s="9"/>
      <c r="I3245" s="12"/>
      <c r="J3245" s="5" t="e">
        <f>SUM(SUMIFS(#REF!,#REF!,Planning[[#This Row],[Tipo de Tarea y especialidad]],#REF!,Planning[[#This Row],[Proyectos Reiwa]]),SUMIFS(#REF!,#REF!,Planning[[#This Row],[Tipo de Tarea y especialidad]],#REF!,Planning[[#This Row],[Proyectos]]))</f>
        <v>#REF!</v>
      </c>
      <c r="K3245" s="5" t="e">
        <f>Planning[[#This Row],[Horas Planificadas]]+Planning[[#This Row],[Horas ajustadas adicionales]]-Planning[[#This Row],[Horas utilizadas]]</f>
        <v>#REF!</v>
      </c>
      <c r="L3245" s="7"/>
      <c r="M3245" s="19" t="e">
        <f>Planning[[#This Row],[Saldo]]-Planning[[#This Row],[Saldo estimado]]</f>
        <v>#REF!</v>
      </c>
      <c r="N3245" s="60" t="e">
        <f>+SUMIFS(#REF!,#REF!,Planning[[#This Row],[Proyectos]],#REF!,Planning[[#This Row],[Tipo de Tarea y especialidad]])</f>
        <v>#REF!</v>
      </c>
      <c r="O3245" s="19">
        <f t="shared" si="100"/>
        <v>10</v>
      </c>
      <c r="P3245" s="19">
        <f t="shared" si="101"/>
        <v>2024</v>
      </c>
      <c r="Q32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45" s="19" t="str">
        <f>TEXT(Planning[[#This Row],[Mes]]*29,"mmmm")</f>
        <v>October</v>
      </c>
      <c r="S32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45" s="193"/>
      <c r="U3245" s="43">
        <f>IF(Planning[[#This Row],[Horas Planificadas]]&lt;&gt;0,+K3245/Planning[[#This Row],[Horas Planificadas]],0)</f>
        <v>0</v>
      </c>
      <c r="V3245" s="43">
        <f>IF(Planning[[#This Row],[Horas Planificadas]]&lt;&gt;0,Planning[[#This Row],[Horas utilizadas]]/Planning[[#This Row],[Horas Planificadas]],0)</f>
        <v>0</v>
      </c>
      <c r="W3245" s="44">
        <f>Planning[[#This Row],[Horas Planificadas]]+Planning[[#This Row],[Horas ajustadas adicionales]]</f>
        <v>0</v>
      </c>
      <c r="X3245" s="142"/>
    </row>
    <row r="3246" spans="1:24" x14ac:dyDescent="0.2">
      <c r="A3246" s="7"/>
      <c r="B3246" s="7" t="s">
        <v>599</v>
      </c>
      <c r="C3246" s="3"/>
      <c r="D3246" s="3" t="s">
        <v>610</v>
      </c>
      <c r="E3246" s="4" t="s">
        <v>31</v>
      </c>
      <c r="F3246" s="3" t="s">
        <v>31</v>
      </c>
      <c r="G3246" s="9">
        <v>100</v>
      </c>
      <c r="H3246" s="17">
        <v>100</v>
      </c>
      <c r="I3246" s="18"/>
      <c r="J3246" s="14" t="e">
        <f>+SUMIFS(#REF!,#REF!,Planning[[#This Row],[Tarifa]],#REF!,Planning[[#This Row],[Proyectos]])</f>
        <v>#REF!</v>
      </c>
      <c r="K3246" s="14" t="e">
        <f>Planning[[#This Row],[Horas Planificadas]]+Planning[[#This Row],[Horas ajustadas adicionales]]-Planning[[#This Row],[Horas utilizadas]]</f>
        <v>#REF!</v>
      </c>
      <c r="L3246" s="15">
        <v>0</v>
      </c>
      <c r="M3246" s="16" t="e">
        <f>Planning[[#This Row],[Saldo]]-Planning[[#This Row],[Saldo estimado]]</f>
        <v>#REF!</v>
      </c>
      <c r="N3246" s="60" t="e">
        <f>+SUMIFS(#REF!,#REF!,Planning[[#This Row],[Proyectos]],#REF!,Planning[[#This Row],[Tipo de Tarea y especialidad]])</f>
        <v>#REF!</v>
      </c>
      <c r="O3246" s="16">
        <f t="shared" si="100"/>
        <v>10</v>
      </c>
      <c r="P3246" s="16">
        <f t="shared" si="101"/>
        <v>2024</v>
      </c>
      <c r="Q3246" s="16" t="e">
        <f>+SUMIFS(#REF!,#REF!,Planning[[#This Row],[Tarifa]],#REF!,Planning[[#This Row],[Proyectos]],#REF!,Planning[[#This Row],[Mes]],#REF!,Planning[[#This Row],[Año]])</f>
        <v>#REF!</v>
      </c>
      <c r="R3246" s="16" t="str">
        <f>TEXT(Planning[[#This Row],[Mes]]*29,"mmmm")</f>
        <v>October</v>
      </c>
      <c r="S32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46" s="193"/>
      <c r="U3246" s="43" t="e">
        <f>IF(Planning[[#This Row],[Horas Planificadas]]&lt;&gt;0,+K3246/Planning[[#This Row],[Horas Planificadas]],0)</f>
        <v>#REF!</v>
      </c>
      <c r="V3246" s="43" t="e">
        <f>IF(Planning[[#This Row],[Horas Planificadas]]&lt;&gt;0,Planning[[#This Row],[Horas utilizadas]]/Planning[[#This Row],[Horas Planificadas]],0)</f>
        <v>#REF!</v>
      </c>
      <c r="W3246" s="44">
        <f>Planning[[#This Row],[Horas Planificadas]]+Planning[[#This Row],[Horas ajustadas adicionales]]</f>
        <v>100</v>
      </c>
      <c r="X3246" s="142"/>
    </row>
    <row r="3247" spans="1:24" ht="22.5" x14ac:dyDescent="0.2">
      <c r="A3247" s="7"/>
      <c r="B3247" s="7" t="s">
        <v>599</v>
      </c>
      <c r="C3247" s="3"/>
      <c r="D3247" s="3" t="s">
        <v>610</v>
      </c>
      <c r="E3247" s="4" t="s">
        <v>32</v>
      </c>
      <c r="F3247" s="3"/>
      <c r="G3247" s="9">
        <v>100</v>
      </c>
      <c r="H3247" s="14">
        <f>SUM(H3248:H3250)</f>
        <v>100</v>
      </c>
      <c r="I3247" s="14"/>
      <c r="J3247" s="14" t="e">
        <f>SUM(J3248:J3250)</f>
        <v>#REF!</v>
      </c>
      <c r="K3247" s="15" t="e">
        <f>SUM(K3248:K3250)</f>
        <v>#REF!</v>
      </c>
      <c r="L3247" s="15">
        <f>SUM(L3248:L3250)</f>
        <v>0</v>
      </c>
      <c r="M3247" s="16" t="e">
        <f>SUM(M3248:M3250)</f>
        <v>#REF!</v>
      </c>
      <c r="N3247" s="60" t="e">
        <f>+SUMIFS(#REF!,#REF!,Planning[[#This Row],[Proyectos]],#REF!,Planning[[#This Row],[Tipo de Tarea y especialidad]])</f>
        <v>#REF!</v>
      </c>
      <c r="O3247" s="16">
        <f t="shared" si="100"/>
        <v>10</v>
      </c>
      <c r="P3247" s="16">
        <f t="shared" si="101"/>
        <v>2024</v>
      </c>
      <c r="Q3247" s="16" t="e">
        <f>SUM(Q3248:Q3250)</f>
        <v>#REF!</v>
      </c>
      <c r="R3247" s="16" t="str">
        <f>TEXT(Planning[[#This Row],[Mes]]*29,"mmmm")</f>
        <v>October</v>
      </c>
      <c r="S32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47" s="193"/>
      <c r="U3247" s="43" t="e">
        <f>IF(Planning[[#This Row],[Horas Planificadas]]&lt;&gt;0,+K3247/Planning[[#This Row],[Horas Planificadas]],0)</f>
        <v>#REF!</v>
      </c>
      <c r="V3247" s="43" t="e">
        <f>IF(Planning[[#This Row],[Horas Planificadas]]&lt;&gt;0,Planning[[#This Row],[Horas utilizadas]]/Planning[[#This Row],[Horas Planificadas]],0)</f>
        <v>#REF!</v>
      </c>
      <c r="W3247" s="44">
        <f>Planning[[#This Row],[Horas Planificadas]]+Planning[[#This Row],[Horas ajustadas adicionales]]</f>
        <v>100</v>
      </c>
      <c r="X3247" s="142"/>
    </row>
    <row r="3248" spans="1:24" x14ac:dyDescent="0.2">
      <c r="A3248" s="7"/>
      <c r="B3248" s="7" t="s">
        <v>599</v>
      </c>
      <c r="C3248" s="3"/>
      <c r="D3248" s="3" t="s">
        <v>610</v>
      </c>
      <c r="E3248" s="4"/>
      <c r="F3248" s="3" t="s">
        <v>129</v>
      </c>
      <c r="G3248" s="9"/>
      <c r="H3248" s="9"/>
      <c r="I3248" s="12"/>
      <c r="J3248" s="5" t="e">
        <f>SUM(SUMIFS(#REF!,#REF!,Planning[[#This Row],[Tipo de Tarea y especialidad]],#REF!,Planning[[#This Row],[Proyectos Reiwa]]),SUMIFS(#REF!,#REF!,Planning[[#This Row],[Tipo de Tarea y especialidad]],#REF!,Planning[[#This Row],[Proyectos]]))</f>
        <v>#REF!</v>
      </c>
      <c r="K3248" s="5" t="e">
        <f>Planning[[#This Row],[Horas Planificadas]]+Planning[[#This Row],[Horas ajustadas adicionales]]-Planning[[#This Row],[Horas utilizadas]]</f>
        <v>#REF!</v>
      </c>
      <c r="L3248" s="7"/>
      <c r="M3248" s="19" t="e">
        <f>Planning[[#This Row],[Saldo]]-Planning[[#This Row],[Saldo estimado]]</f>
        <v>#REF!</v>
      </c>
      <c r="N3248" s="60" t="e">
        <f>+SUMIFS(#REF!,#REF!,Planning[[#This Row],[Proyectos]],#REF!,Planning[[#This Row],[Tipo de Tarea y especialidad]])</f>
        <v>#REF!</v>
      </c>
      <c r="O3248" s="19">
        <f t="shared" si="100"/>
        <v>10</v>
      </c>
      <c r="P3248" s="19">
        <f t="shared" si="101"/>
        <v>2024</v>
      </c>
      <c r="Q32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48" s="19" t="str">
        <f>TEXT(Planning[[#This Row],[Mes]]*29,"mmmm")</f>
        <v>October</v>
      </c>
      <c r="S32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48" s="193"/>
      <c r="U3248" s="43">
        <f>IF(Planning[[#This Row],[Horas Planificadas]]&lt;&gt;0,+K3248/Planning[[#This Row],[Horas Planificadas]],0)</f>
        <v>0</v>
      </c>
      <c r="V3248" s="43">
        <f>IF(Planning[[#This Row],[Horas Planificadas]]&lt;&gt;0,Planning[[#This Row],[Horas utilizadas]]/Planning[[#This Row],[Horas Planificadas]],0)</f>
        <v>0</v>
      </c>
      <c r="W3248" s="44">
        <f>Planning[[#This Row],[Horas Planificadas]]+Planning[[#This Row],[Horas ajustadas adicionales]]</f>
        <v>0</v>
      </c>
      <c r="X3248" s="142"/>
    </row>
    <row r="3249" spans="1:24" x14ac:dyDescent="0.2">
      <c r="A3249" s="7"/>
      <c r="B3249" s="7" t="s">
        <v>599</v>
      </c>
      <c r="C3249" s="3"/>
      <c r="D3249" s="3" t="s">
        <v>610</v>
      </c>
      <c r="E3249" s="4"/>
      <c r="F3249" s="3" t="s">
        <v>130</v>
      </c>
      <c r="G3249" s="9"/>
      <c r="H3249" s="9">
        <v>100</v>
      </c>
      <c r="I3249" s="12"/>
      <c r="J3249" s="5" t="e">
        <f>SUM(SUMIFS(#REF!,#REF!,Planning[[#This Row],[Tipo de Tarea y especialidad]],#REF!,Planning[[#This Row],[Proyectos Reiwa]]),SUMIFS(#REF!,#REF!,Planning[[#This Row],[Tipo de Tarea y especialidad]],#REF!,Planning[[#This Row],[Proyectos]]))</f>
        <v>#REF!</v>
      </c>
      <c r="K3249" s="5" t="e">
        <f>Planning[[#This Row],[Horas Planificadas]]+Planning[[#This Row],[Horas ajustadas adicionales]]-Planning[[#This Row],[Horas utilizadas]]</f>
        <v>#REF!</v>
      </c>
      <c r="L3249" s="7">
        <v>0</v>
      </c>
      <c r="M3249" s="19" t="e">
        <f>Planning[[#This Row],[Saldo]]-Planning[[#This Row],[Saldo estimado]]</f>
        <v>#REF!</v>
      </c>
      <c r="N3249" s="60" t="e">
        <f>+SUMIFS(#REF!,#REF!,Planning[[#This Row],[Proyectos]],#REF!,Planning[[#This Row],[Tipo de Tarea y especialidad]])</f>
        <v>#REF!</v>
      </c>
      <c r="O3249" s="19">
        <f t="shared" si="100"/>
        <v>10</v>
      </c>
      <c r="P3249" s="19">
        <f t="shared" si="101"/>
        <v>2024</v>
      </c>
      <c r="Q32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49" s="19" t="str">
        <f>TEXT(Planning[[#This Row],[Mes]]*29,"mmmm")</f>
        <v>October</v>
      </c>
      <c r="S32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49" s="193"/>
      <c r="U3249" s="43" t="e">
        <f>IF(Planning[[#This Row],[Horas Planificadas]]&lt;&gt;0,+K3249/Planning[[#This Row],[Horas Planificadas]],0)</f>
        <v>#REF!</v>
      </c>
      <c r="V3249" s="43" t="e">
        <f>IF(Planning[[#This Row],[Horas Planificadas]]&lt;&gt;0,Planning[[#This Row],[Horas utilizadas]]/Planning[[#This Row],[Horas Planificadas]],0)</f>
        <v>#REF!</v>
      </c>
      <c r="W3249" s="44">
        <f>Planning[[#This Row],[Horas Planificadas]]+Planning[[#This Row],[Horas ajustadas adicionales]]</f>
        <v>100</v>
      </c>
      <c r="X3249" s="142"/>
    </row>
    <row r="3250" spans="1:24" x14ac:dyDescent="0.2">
      <c r="A3250" s="7"/>
      <c r="B3250" s="7" t="s">
        <v>599</v>
      </c>
      <c r="C3250" s="3"/>
      <c r="D3250" s="3" t="s">
        <v>610</v>
      </c>
      <c r="E3250" s="4"/>
      <c r="F3250" s="3" t="s">
        <v>131</v>
      </c>
      <c r="G3250" s="9"/>
      <c r="H3250" s="9"/>
      <c r="I3250" s="12"/>
      <c r="J3250" s="5" t="e">
        <f>SUM(SUMIFS(#REF!,#REF!,Planning[[#This Row],[Tipo de Tarea y especialidad]],#REF!,Planning[[#This Row],[Proyectos Reiwa]]),SUMIFS(#REF!,#REF!,Planning[[#This Row],[Tipo de Tarea y especialidad]],#REF!,Planning[[#This Row],[Proyectos]]))</f>
        <v>#REF!</v>
      </c>
      <c r="K3250" s="5" t="e">
        <f>Planning[[#This Row],[Horas Planificadas]]+Planning[[#This Row],[Horas ajustadas adicionales]]-Planning[[#This Row],[Horas utilizadas]]</f>
        <v>#REF!</v>
      </c>
      <c r="L3250" s="7"/>
      <c r="M3250" s="19" t="e">
        <f>Planning[[#This Row],[Saldo]]-Planning[[#This Row],[Saldo estimado]]</f>
        <v>#REF!</v>
      </c>
      <c r="N3250" s="60" t="e">
        <f>+SUMIFS(#REF!,#REF!,Planning[[#This Row],[Proyectos]],#REF!,Planning[[#This Row],[Tipo de Tarea y especialidad]])</f>
        <v>#REF!</v>
      </c>
      <c r="O3250" s="19">
        <f t="shared" si="100"/>
        <v>10</v>
      </c>
      <c r="P3250" s="19">
        <f t="shared" si="101"/>
        <v>2024</v>
      </c>
      <c r="Q32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50" s="19" t="str">
        <f>TEXT(Planning[[#This Row],[Mes]]*29,"mmmm")</f>
        <v>October</v>
      </c>
      <c r="S32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50" s="193"/>
      <c r="U3250" s="43">
        <f>IF(Planning[[#This Row],[Horas Planificadas]]&lt;&gt;0,+K3250/Planning[[#This Row],[Horas Planificadas]],0)</f>
        <v>0</v>
      </c>
      <c r="V3250" s="43">
        <f>IF(Planning[[#This Row],[Horas Planificadas]]&lt;&gt;0,Planning[[#This Row],[Horas utilizadas]]/Planning[[#This Row],[Horas Planificadas]],0)</f>
        <v>0</v>
      </c>
      <c r="W3250" s="44">
        <f>Planning[[#This Row],[Horas Planificadas]]+Planning[[#This Row],[Horas ajustadas adicionales]]</f>
        <v>0</v>
      </c>
      <c r="X3250" s="142"/>
    </row>
    <row r="3251" spans="1:24" ht="13.35" customHeight="1" x14ac:dyDescent="0.2">
      <c r="A3251" s="7" t="s">
        <v>483</v>
      </c>
      <c r="B3251" s="7" t="s">
        <v>288</v>
      </c>
      <c r="C3251" s="3"/>
      <c r="D3251" s="3" t="s">
        <v>610</v>
      </c>
      <c r="E3251" s="4" t="s">
        <v>28</v>
      </c>
      <c r="F3251" s="3"/>
      <c r="G3251" s="9">
        <v>433</v>
      </c>
      <c r="H3251" s="14">
        <f>SUM(H3252:H3253)</f>
        <v>433</v>
      </c>
      <c r="I3251" s="14"/>
      <c r="J3251" s="14" t="e">
        <f>SUM(J3252:J3253)</f>
        <v>#REF!</v>
      </c>
      <c r="K3251" s="15" t="e">
        <f>SUM(K3252:K3253)</f>
        <v>#REF!</v>
      </c>
      <c r="L3251" s="15">
        <f>SUM(L3252:L3253)</f>
        <v>312</v>
      </c>
      <c r="M3251" s="14" t="e">
        <f>SUM(M3252:M3253)</f>
        <v>#REF!</v>
      </c>
      <c r="N3251" s="66" t="e">
        <f>+SUMIFS(#REF!,#REF!,Planning[[#This Row],[Proyectos]],#REF!,Planning[[#This Row],[Tipo de Tarea y especialidad]])</f>
        <v>#REF!</v>
      </c>
      <c r="O3251" s="14">
        <f t="shared" si="100"/>
        <v>10</v>
      </c>
      <c r="P3251" s="14">
        <f t="shared" si="101"/>
        <v>2024</v>
      </c>
      <c r="Q3251" s="28" t="e">
        <f>SUM(Q3252:Q3253)</f>
        <v>#REF!</v>
      </c>
      <c r="R3251" s="28" t="str">
        <f>TEXT(Planning[[#This Row],[Mes]]*29,"mmmm")</f>
        <v>October</v>
      </c>
      <c r="S32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51" s="207" t="s">
        <v>612</v>
      </c>
      <c r="U3251" s="43" t="e">
        <f>IF(Planning[[#This Row],[Horas Planificadas]]&lt;&gt;0,+K3251/Planning[[#This Row],[Horas Planificadas]],0)</f>
        <v>#REF!</v>
      </c>
      <c r="V3251" s="43" t="e">
        <f>IF(Planning[[#This Row],[Horas Planificadas]]&lt;&gt;0,Planning[[#This Row],[Horas utilizadas]]/Planning[[#This Row],[Horas Planificadas]],0)</f>
        <v>#REF!</v>
      </c>
      <c r="W3251" s="44">
        <f>Planning[[#This Row],[Horas Planificadas]]+Planning[[#This Row],[Horas ajustadas adicionales]]</f>
        <v>433</v>
      </c>
      <c r="X3251" s="142"/>
    </row>
    <row r="3252" spans="1:24" x14ac:dyDescent="0.2">
      <c r="A3252" s="7" t="s">
        <v>483</v>
      </c>
      <c r="B3252" s="7" t="s">
        <v>288</v>
      </c>
      <c r="C3252" s="3"/>
      <c r="D3252" s="3" t="s">
        <v>610</v>
      </c>
      <c r="E3252" s="4"/>
      <c r="F3252" s="3" t="s">
        <v>120</v>
      </c>
      <c r="G3252" s="9"/>
      <c r="H3252" s="9">
        <v>280</v>
      </c>
      <c r="I3252" s="12"/>
      <c r="J3252" s="5" t="e">
        <f>SUM(SUMIFS(#REF!,#REF!,Planning[[#This Row],[Tipo de Tarea y especialidad]],#REF!,Planning[[#This Row],[Proyectos Reiwa]]),SUMIFS(#REF!,#REF!,Planning[[#This Row],[Tipo de Tarea y especialidad]],#REF!,Planning[[#This Row],[Proyectos]]))</f>
        <v>#REF!</v>
      </c>
      <c r="K3252" s="5" t="e">
        <f>Planning[[#This Row],[Horas Planificadas]]+Planning[[#This Row],[Horas ajustadas adicionales]]-Planning[[#This Row],[Horas utilizadas]]</f>
        <v>#REF!</v>
      </c>
      <c r="L3252" s="7">
        <v>159</v>
      </c>
      <c r="M3252" s="19" t="e">
        <f>Planning[[#This Row],[Saldo]]-Planning[[#This Row],[Saldo estimado]]</f>
        <v>#REF!</v>
      </c>
      <c r="N3252" s="60" t="e">
        <f>+SUMIFS(#REF!,#REF!,Planning[[#This Row],[Proyectos]],#REF!,Planning[[#This Row],[Tipo de Tarea y especialidad]])</f>
        <v>#REF!</v>
      </c>
      <c r="O3252" s="19">
        <f t="shared" si="100"/>
        <v>10</v>
      </c>
      <c r="P3252" s="19">
        <f t="shared" si="101"/>
        <v>2024</v>
      </c>
      <c r="Q32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52" s="19" t="str">
        <f>TEXT(Planning[[#This Row],[Mes]]*29,"mmmm")</f>
        <v>October</v>
      </c>
      <c r="S32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52" s="208"/>
      <c r="U3252" s="43" t="e">
        <f>IF(Planning[[#This Row],[Horas Planificadas]]&lt;&gt;0,+K3252/Planning[[#This Row],[Horas Planificadas]],0)</f>
        <v>#REF!</v>
      </c>
      <c r="V3252" s="43" t="e">
        <f>IF(Planning[[#This Row],[Horas Planificadas]]&lt;&gt;0,Planning[[#This Row],[Horas utilizadas]]/Planning[[#This Row],[Horas Planificadas]],0)</f>
        <v>#REF!</v>
      </c>
      <c r="W3252" s="44">
        <f>Planning[[#This Row],[Horas Planificadas]]+Planning[[#This Row],[Horas ajustadas adicionales]]</f>
        <v>280</v>
      </c>
      <c r="X3252" s="142"/>
    </row>
    <row r="3253" spans="1:24" x14ac:dyDescent="0.2">
      <c r="A3253" s="7" t="s">
        <v>483</v>
      </c>
      <c r="B3253" s="7" t="s">
        <v>288</v>
      </c>
      <c r="C3253" s="3"/>
      <c r="D3253" s="3" t="s">
        <v>610</v>
      </c>
      <c r="E3253" s="4"/>
      <c r="F3253" s="3" t="s">
        <v>121</v>
      </c>
      <c r="G3253" s="9"/>
      <c r="H3253" s="9">
        <v>153</v>
      </c>
      <c r="I3253" s="12"/>
      <c r="J3253" s="5" t="e">
        <f>SUM(SUMIFS(#REF!,#REF!,Planning[[#This Row],[Tipo de Tarea y especialidad]],#REF!,Planning[[#This Row],[Proyectos Reiwa]]),SUMIFS(#REF!,#REF!,Planning[[#This Row],[Tipo de Tarea y especialidad]],#REF!,Planning[[#This Row],[Proyectos]]))</f>
        <v>#REF!</v>
      </c>
      <c r="K3253" s="5" t="e">
        <f>Planning[[#This Row],[Horas Planificadas]]+Planning[[#This Row],[Horas ajustadas adicionales]]-Planning[[#This Row],[Horas utilizadas]]</f>
        <v>#REF!</v>
      </c>
      <c r="L3253" s="7">
        <v>153</v>
      </c>
      <c r="M3253" s="19" t="e">
        <f>Planning[[#This Row],[Saldo]]-Planning[[#This Row],[Saldo estimado]]</f>
        <v>#REF!</v>
      </c>
      <c r="N3253" s="60" t="e">
        <f>+SUMIFS(#REF!,#REF!,Planning[[#This Row],[Proyectos]],#REF!,Planning[[#This Row],[Tipo de Tarea y especialidad]])</f>
        <v>#REF!</v>
      </c>
      <c r="O3253" s="19">
        <f t="shared" si="100"/>
        <v>10</v>
      </c>
      <c r="P3253" s="19">
        <f t="shared" si="101"/>
        <v>2024</v>
      </c>
      <c r="Q32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53" s="19" t="str">
        <f>TEXT(Planning[[#This Row],[Mes]]*29,"mmmm")</f>
        <v>October</v>
      </c>
      <c r="S32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53" s="208"/>
      <c r="U3253" s="43" t="e">
        <f>IF(Planning[[#This Row],[Horas Planificadas]]&lt;&gt;0,+K3253/Planning[[#This Row],[Horas Planificadas]],0)</f>
        <v>#REF!</v>
      </c>
      <c r="V3253" s="43" t="e">
        <f>IF(Planning[[#This Row],[Horas Planificadas]]&lt;&gt;0,Planning[[#This Row],[Horas utilizadas]]/Planning[[#This Row],[Horas Planificadas]],0)</f>
        <v>#REF!</v>
      </c>
      <c r="W3253" s="44">
        <f>Planning[[#This Row],[Horas Planificadas]]+Planning[[#This Row],[Horas ajustadas adicionales]]</f>
        <v>153</v>
      </c>
      <c r="X3253" s="142"/>
    </row>
    <row r="3254" spans="1:24" x14ac:dyDescent="0.2">
      <c r="A3254" s="7" t="s">
        <v>483</v>
      </c>
      <c r="B3254" s="7" t="s">
        <v>288</v>
      </c>
      <c r="C3254" s="3"/>
      <c r="D3254" s="3" t="s">
        <v>610</v>
      </c>
      <c r="E3254" s="4" t="s">
        <v>30</v>
      </c>
      <c r="F3254" s="3"/>
      <c r="G3254" s="9">
        <v>629</v>
      </c>
      <c r="H3254" s="14">
        <f>SUM(H3255:H3261)</f>
        <v>629</v>
      </c>
      <c r="I3254" s="14"/>
      <c r="J3254" s="14" t="e">
        <f>SUM(J3255:J3261)</f>
        <v>#REF!</v>
      </c>
      <c r="K3254" s="15" t="e">
        <f>SUM(K3255:K3261)</f>
        <v>#REF!</v>
      </c>
      <c r="L3254" s="15">
        <f>SUM(L3255:L3261)</f>
        <v>516</v>
      </c>
      <c r="M3254" s="16" t="e">
        <f>SUM(M3255:M3261)</f>
        <v>#REF!</v>
      </c>
      <c r="N3254" s="60" t="e">
        <f>+SUMIFS(#REF!,#REF!,Planning[[#This Row],[Proyectos]],#REF!,Planning[[#This Row],[Tipo de Tarea y especialidad]])</f>
        <v>#REF!</v>
      </c>
      <c r="O3254" s="16">
        <f t="shared" si="100"/>
        <v>10</v>
      </c>
      <c r="P3254" s="16">
        <f t="shared" si="101"/>
        <v>2024</v>
      </c>
      <c r="Q3254" s="16" t="e">
        <f>SUM(Q3255:Q3261)</f>
        <v>#REF!</v>
      </c>
      <c r="R3254" s="16" t="str">
        <f>TEXT(Planning[[#This Row],[Mes]]*29,"mmmm")</f>
        <v>October</v>
      </c>
      <c r="S32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54" s="208"/>
      <c r="U3254" s="43" t="e">
        <f>IF(Planning[[#This Row],[Horas Planificadas]]&lt;&gt;0,+K3254/Planning[[#This Row],[Horas Planificadas]],0)</f>
        <v>#REF!</v>
      </c>
      <c r="V3254" s="43" t="e">
        <f>IF(Planning[[#This Row],[Horas Planificadas]]&lt;&gt;0,Planning[[#This Row],[Horas utilizadas]]/Planning[[#This Row],[Horas Planificadas]],0)</f>
        <v>#REF!</v>
      </c>
      <c r="W3254" s="44">
        <f>Planning[[#This Row],[Horas Planificadas]]+Planning[[#This Row],[Horas ajustadas adicionales]]</f>
        <v>629</v>
      </c>
      <c r="X3254" s="142"/>
    </row>
    <row r="3255" spans="1:24" x14ac:dyDescent="0.2">
      <c r="A3255" s="7" t="s">
        <v>483</v>
      </c>
      <c r="B3255" s="7" t="s">
        <v>288</v>
      </c>
      <c r="C3255" s="3"/>
      <c r="D3255" s="3" t="s">
        <v>610</v>
      </c>
      <c r="E3255" s="4"/>
      <c r="F3255" s="3" t="s">
        <v>122</v>
      </c>
      <c r="G3255" s="9"/>
      <c r="H3255" s="9"/>
      <c r="I3255" s="12"/>
      <c r="J3255" s="5" t="e">
        <f>SUM(SUMIFS(#REF!,#REF!,Planning[[#This Row],[Tipo de Tarea y especialidad]],#REF!,Planning[[#This Row],[Proyectos Reiwa]]),SUMIFS(#REF!,#REF!,Planning[[#This Row],[Tipo de Tarea y especialidad]],#REF!,Planning[[#This Row],[Proyectos]]))</f>
        <v>#REF!</v>
      </c>
      <c r="K3255" s="5" t="e">
        <f>Planning[[#This Row],[Horas Planificadas]]+Planning[[#This Row],[Horas ajustadas adicionales]]-Planning[[#This Row],[Horas utilizadas]]</f>
        <v>#REF!</v>
      </c>
      <c r="L3255" s="7"/>
      <c r="M3255" s="19" t="e">
        <f>Planning[[#This Row],[Saldo]]-Planning[[#This Row],[Saldo estimado]]</f>
        <v>#REF!</v>
      </c>
      <c r="N3255" s="60" t="e">
        <f>+SUMIFS(#REF!,#REF!,Planning[[#This Row],[Proyectos]],#REF!,Planning[[#This Row],[Tipo de Tarea y especialidad]])</f>
        <v>#REF!</v>
      </c>
      <c r="O3255" s="19">
        <f t="shared" si="100"/>
        <v>10</v>
      </c>
      <c r="P3255" s="19">
        <f t="shared" si="101"/>
        <v>2024</v>
      </c>
      <c r="Q32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55" s="19" t="str">
        <f>TEXT(Planning[[#This Row],[Mes]]*29,"mmmm")</f>
        <v>October</v>
      </c>
      <c r="S32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55" s="208"/>
      <c r="U3255" s="43">
        <f>IF(Planning[[#This Row],[Horas Planificadas]]&lt;&gt;0,+K3255/Planning[[#This Row],[Horas Planificadas]],0)</f>
        <v>0</v>
      </c>
      <c r="V3255" s="43">
        <f>IF(Planning[[#This Row],[Horas Planificadas]]&lt;&gt;0,Planning[[#This Row],[Horas utilizadas]]/Planning[[#This Row],[Horas Planificadas]],0)</f>
        <v>0</v>
      </c>
      <c r="W3255" s="44">
        <f>Planning[[#This Row],[Horas Planificadas]]+Planning[[#This Row],[Horas ajustadas adicionales]]</f>
        <v>0</v>
      </c>
      <c r="X3255" s="142"/>
    </row>
    <row r="3256" spans="1:24" x14ac:dyDescent="0.2">
      <c r="A3256" s="7" t="s">
        <v>483</v>
      </c>
      <c r="B3256" s="7" t="s">
        <v>288</v>
      </c>
      <c r="C3256" s="3"/>
      <c r="D3256" s="3" t="s">
        <v>610</v>
      </c>
      <c r="E3256" s="4"/>
      <c r="F3256" s="3" t="s">
        <v>123</v>
      </c>
      <c r="G3256" s="9"/>
      <c r="H3256" s="9">
        <v>284</v>
      </c>
      <c r="I3256" s="12"/>
      <c r="J3256" s="5" t="e">
        <f>SUM(SUMIFS(#REF!,#REF!,Planning[[#This Row],[Tipo de Tarea y especialidad]],#REF!,Planning[[#This Row],[Proyectos Reiwa]]),SUMIFS(#REF!,#REF!,Planning[[#This Row],[Tipo de Tarea y especialidad]],#REF!,Planning[[#This Row],[Proyectos]]))</f>
        <v>#REF!</v>
      </c>
      <c r="K3256" s="5" t="e">
        <f>Planning[[#This Row],[Horas Planificadas]]+Planning[[#This Row],[Horas ajustadas adicionales]]-Planning[[#This Row],[Horas utilizadas]]</f>
        <v>#REF!</v>
      </c>
      <c r="L3256" s="7">
        <v>225</v>
      </c>
      <c r="M3256" s="19" t="e">
        <f>Planning[[#This Row],[Saldo]]-Planning[[#This Row],[Saldo estimado]]</f>
        <v>#REF!</v>
      </c>
      <c r="N3256" s="60" t="e">
        <f>+SUMIFS(#REF!,#REF!,Planning[[#This Row],[Proyectos]],#REF!,Planning[[#This Row],[Tipo de Tarea y especialidad]])</f>
        <v>#REF!</v>
      </c>
      <c r="O3256" s="19">
        <f t="shared" si="100"/>
        <v>10</v>
      </c>
      <c r="P3256" s="19">
        <f t="shared" si="101"/>
        <v>2024</v>
      </c>
      <c r="Q32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56" s="19" t="str">
        <f>TEXT(Planning[[#This Row],[Mes]]*29,"mmmm")</f>
        <v>October</v>
      </c>
      <c r="S32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56" s="208"/>
      <c r="U3256" s="43" t="e">
        <f>IF(Planning[[#This Row],[Horas Planificadas]]&lt;&gt;0,+K3256/Planning[[#This Row],[Horas Planificadas]],0)</f>
        <v>#REF!</v>
      </c>
      <c r="V3256" s="43" t="e">
        <f>IF(Planning[[#This Row],[Horas Planificadas]]&lt;&gt;0,Planning[[#This Row],[Horas utilizadas]]/Planning[[#This Row],[Horas Planificadas]],0)</f>
        <v>#REF!</v>
      </c>
      <c r="W3256" s="44">
        <f>Planning[[#This Row],[Horas Planificadas]]+Planning[[#This Row],[Horas ajustadas adicionales]]</f>
        <v>284</v>
      </c>
      <c r="X3256" s="142"/>
    </row>
    <row r="3257" spans="1:24" x14ac:dyDescent="0.2">
      <c r="A3257" s="7" t="s">
        <v>483</v>
      </c>
      <c r="B3257" s="7" t="s">
        <v>288</v>
      </c>
      <c r="C3257" s="3"/>
      <c r="D3257" s="3" t="s">
        <v>610</v>
      </c>
      <c r="E3257" s="4"/>
      <c r="F3257" s="3" t="s">
        <v>124</v>
      </c>
      <c r="G3257" s="9"/>
      <c r="H3257" s="9">
        <v>345</v>
      </c>
      <c r="I3257" s="12"/>
      <c r="J3257" s="5" t="e">
        <f>SUM(SUMIFS(#REF!,#REF!,Planning[[#This Row],[Tipo de Tarea y especialidad]],#REF!,Planning[[#This Row],[Proyectos Reiwa]]),SUMIFS(#REF!,#REF!,Planning[[#This Row],[Tipo de Tarea y especialidad]],#REF!,Planning[[#This Row],[Proyectos]]))</f>
        <v>#REF!</v>
      </c>
      <c r="K3257" s="5" t="e">
        <f>Planning[[#This Row],[Horas Planificadas]]+Planning[[#This Row],[Horas ajustadas adicionales]]-Planning[[#This Row],[Horas utilizadas]]</f>
        <v>#REF!</v>
      </c>
      <c r="L3257" s="7">
        <v>291</v>
      </c>
      <c r="M3257" s="19" t="e">
        <f>Planning[[#This Row],[Saldo]]-Planning[[#This Row],[Saldo estimado]]</f>
        <v>#REF!</v>
      </c>
      <c r="N3257" s="60" t="e">
        <f>+SUMIFS(#REF!,#REF!,Planning[[#This Row],[Proyectos]],#REF!,Planning[[#This Row],[Tipo de Tarea y especialidad]])</f>
        <v>#REF!</v>
      </c>
      <c r="O3257" s="19">
        <f t="shared" si="100"/>
        <v>10</v>
      </c>
      <c r="P3257" s="19">
        <f t="shared" si="101"/>
        <v>2024</v>
      </c>
      <c r="Q32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57" s="19" t="str">
        <f>TEXT(Planning[[#This Row],[Mes]]*29,"mmmm")</f>
        <v>October</v>
      </c>
      <c r="S32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57" s="208"/>
      <c r="U3257" s="43" t="e">
        <f>IF(Planning[[#This Row],[Horas Planificadas]]&lt;&gt;0,+K3257/Planning[[#This Row],[Horas Planificadas]],0)</f>
        <v>#REF!</v>
      </c>
      <c r="V3257" s="43" t="e">
        <f>IF(Planning[[#This Row],[Horas Planificadas]]&lt;&gt;0,Planning[[#This Row],[Horas utilizadas]]/Planning[[#This Row],[Horas Planificadas]],0)</f>
        <v>#REF!</v>
      </c>
      <c r="W3257" s="44">
        <f>Planning[[#This Row],[Horas Planificadas]]+Planning[[#This Row],[Horas ajustadas adicionales]]</f>
        <v>345</v>
      </c>
      <c r="X3257" s="142"/>
    </row>
    <row r="3258" spans="1:24" x14ac:dyDescent="0.2">
      <c r="A3258" s="7" t="s">
        <v>483</v>
      </c>
      <c r="B3258" s="7" t="s">
        <v>288</v>
      </c>
      <c r="C3258" s="3"/>
      <c r="D3258" s="3" t="s">
        <v>610</v>
      </c>
      <c r="E3258" s="4"/>
      <c r="F3258" s="3" t="s">
        <v>125</v>
      </c>
      <c r="G3258" s="9"/>
      <c r="H3258" s="9"/>
      <c r="I3258" s="12"/>
      <c r="J3258" s="5" t="e">
        <f>SUM(SUMIFS(#REF!,#REF!,Planning[[#This Row],[Tipo de Tarea y especialidad]],#REF!,Planning[[#This Row],[Proyectos Reiwa]]),SUMIFS(#REF!,#REF!,Planning[[#This Row],[Tipo de Tarea y especialidad]],#REF!,Planning[[#This Row],[Proyectos]]))</f>
        <v>#REF!</v>
      </c>
      <c r="K3258" s="5" t="e">
        <f>Planning[[#This Row],[Horas Planificadas]]+Planning[[#This Row],[Horas ajustadas adicionales]]-Planning[[#This Row],[Horas utilizadas]]</f>
        <v>#REF!</v>
      </c>
      <c r="L3258" s="7"/>
      <c r="M3258" s="19" t="e">
        <f>Planning[[#This Row],[Saldo]]-Planning[[#This Row],[Saldo estimado]]</f>
        <v>#REF!</v>
      </c>
      <c r="N3258" s="60" t="e">
        <f>+SUMIFS(#REF!,#REF!,Planning[[#This Row],[Proyectos]],#REF!,Planning[[#This Row],[Tipo de Tarea y especialidad]])</f>
        <v>#REF!</v>
      </c>
      <c r="O3258" s="19">
        <f t="shared" si="100"/>
        <v>10</v>
      </c>
      <c r="P3258" s="19">
        <f t="shared" si="101"/>
        <v>2024</v>
      </c>
      <c r="Q32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58" s="19" t="str">
        <f>TEXT(Planning[[#This Row],[Mes]]*29,"mmmm")</f>
        <v>October</v>
      </c>
      <c r="S32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58" s="208"/>
      <c r="U3258" s="43">
        <f>IF(Planning[[#This Row],[Horas Planificadas]]&lt;&gt;0,+K3258/Planning[[#This Row],[Horas Planificadas]],0)</f>
        <v>0</v>
      </c>
      <c r="V3258" s="43">
        <f>IF(Planning[[#This Row],[Horas Planificadas]]&lt;&gt;0,Planning[[#This Row],[Horas utilizadas]]/Planning[[#This Row],[Horas Planificadas]],0)</f>
        <v>0</v>
      </c>
      <c r="W3258" s="44">
        <f>Planning[[#This Row],[Horas Planificadas]]+Planning[[#This Row],[Horas ajustadas adicionales]]</f>
        <v>0</v>
      </c>
      <c r="X3258" s="142"/>
    </row>
    <row r="3259" spans="1:24" x14ac:dyDescent="0.2">
      <c r="A3259" s="7" t="s">
        <v>483</v>
      </c>
      <c r="B3259" s="7" t="s">
        <v>288</v>
      </c>
      <c r="C3259" s="3"/>
      <c r="D3259" s="3" t="s">
        <v>610</v>
      </c>
      <c r="E3259" s="4"/>
      <c r="F3259" s="3" t="s">
        <v>126</v>
      </c>
      <c r="G3259" s="9"/>
      <c r="H3259" s="9"/>
      <c r="I3259" s="12"/>
      <c r="J3259" s="5" t="e">
        <f>SUM(SUMIFS(#REF!,#REF!,Planning[[#This Row],[Tipo de Tarea y especialidad]],#REF!,Planning[[#This Row],[Proyectos Reiwa]]),SUMIFS(#REF!,#REF!,Planning[[#This Row],[Tipo de Tarea y especialidad]],#REF!,Planning[[#This Row],[Proyectos]]))</f>
        <v>#REF!</v>
      </c>
      <c r="K3259" s="5" t="e">
        <f>Planning[[#This Row],[Horas Planificadas]]+Planning[[#This Row],[Horas ajustadas adicionales]]-Planning[[#This Row],[Horas utilizadas]]</f>
        <v>#REF!</v>
      </c>
      <c r="L3259" s="7"/>
      <c r="M3259" s="19" t="e">
        <f>Planning[[#This Row],[Saldo]]-Planning[[#This Row],[Saldo estimado]]</f>
        <v>#REF!</v>
      </c>
      <c r="N3259" s="60" t="e">
        <f>+SUMIFS(#REF!,#REF!,Planning[[#This Row],[Proyectos]],#REF!,Planning[[#This Row],[Tipo de Tarea y especialidad]])</f>
        <v>#REF!</v>
      </c>
      <c r="O3259" s="19">
        <f t="shared" si="100"/>
        <v>10</v>
      </c>
      <c r="P3259" s="19">
        <f t="shared" si="101"/>
        <v>2024</v>
      </c>
      <c r="Q32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59" s="19" t="str">
        <f>TEXT(Planning[[#This Row],[Mes]]*29,"mmmm")</f>
        <v>October</v>
      </c>
      <c r="S32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59" s="208"/>
      <c r="U3259" s="43">
        <f>IF(Planning[[#This Row],[Horas Planificadas]]&lt;&gt;0,+K3259/Planning[[#This Row],[Horas Planificadas]],0)</f>
        <v>0</v>
      </c>
      <c r="V3259" s="43">
        <f>IF(Planning[[#This Row],[Horas Planificadas]]&lt;&gt;0,Planning[[#This Row],[Horas utilizadas]]/Planning[[#This Row],[Horas Planificadas]],0)</f>
        <v>0</v>
      </c>
      <c r="W3259" s="44">
        <f>Planning[[#This Row],[Horas Planificadas]]+Planning[[#This Row],[Horas ajustadas adicionales]]</f>
        <v>0</v>
      </c>
      <c r="X3259" s="142"/>
    </row>
    <row r="3260" spans="1:24" x14ac:dyDescent="0.2">
      <c r="A3260" s="7" t="s">
        <v>483</v>
      </c>
      <c r="B3260" s="7" t="s">
        <v>288</v>
      </c>
      <c r="C3260" s="3"/>
      <c r="D3260" s="3" t="s">
        <v>610</v>
      </c>
      <c r="E3260" s="4"/>
      <c r="F3260" s="3" t="s">
        <v>127</v>
      </c>
      <c r="G3260" s="9"/>
      <c r="H3260" s="9"/>
      <c r="I3260" s="12"/>
      <c r="J3260" s="5" t="e">
        <f>SUM(SUMIFS(#REF!,#REF!,Planning[[#This Row],[Tipo de Tarea y especialidad]],#REF!,Planning[[#This Row],[Proyectos Reiwa]]),SUMIFS(#REF!,#REF!,Planning[[#This Row],[Tipo de Tarea y especialidad]],#REF!,Planning[[#This Row],[Proyectos]]))</f>
        <v>#REF!</v>
      </c>
      <c r="K3260" s="5" t="e">
        <f>Planning[[#This Row],[Horas Planificadas]]+Planning[[#This Row],[Horas ajustadas adicionales]]-Planning[[#This Row],[Horas utilizadas]]</f>
        <v>#REF!</v>
      </c>
      <c r="L3260" s="7"/>
      <c r="M3260" s="19" t="e">
        <f>Planning[[#This Row],[Saldo]]-Planning[[#This Row],[Saldo estimado]]</f>
        <v>#REF!</v>
      </c>
      <c r="N3260" s="60" t="e">
        <f>+SUMIFS(#REF!,#REF!,Planning[[#This Row],[Proyectos]],#REF!,Planning[[#This Row],[Tipo de Tarea y especialidad]])</f>
        <v>#REF!</v>
      </c>
      <c r="O3260" s="19">
        <f t="shared" si="100"/>
        <v>10</v>
      </c>
      <c r="P3260" s="19">
        <f t="shared" si="101"/>
        <v>2024</v>
      </c>
      <c r="Q32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60" s="19" t="str">
        <f>TEXT(Planning[[#This Row],[Mes]]*29,"mmmm")</f>
        <v>October</v>
      </c>
      <c r="S32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60" s="208"/>
      <c r="U3260" s="43">
        <f>IF(Planning[[#This Row],[Horas Planificadas]]&lt;&gt;0,+K3260/Planning[[#This Row],[Horas Planificadas]],0)</f>
        <v>0</v>
      </c>
      <c r="V3260" s="43">
        <f>IF(Planning[[#This Row],[Horas Planificadas]]&lt;&gt;0,Planning[[#This Row],[Horas utilizadas]]/Planning[[#This Row],[Horas Planificadas]],0)</f>
        <v>0</v>
      </c>
      <c r="W3260" s="44">
        <f>Planning[[#This Row],[Horas Planificadas]]+Planning[[#This Row],[Horas ajustadas adicionales]]</f>
        <v>0</v>
      </c>
      <c r="X3260" s="142"/>
    </row>
    <row r="3261" spans="1:24" x14ac:dyDescent="0.2">
      <c r="A3261" s="7" t="s">
        <v>483</v>
      </c>
      <c r="B3261" s="7" t="s">
        <v>288</v>
      </c>
      <c r="C3261" s="3"/>
      <c r="D3261" s="3" t="s">
        <v>610</v>
      </c>
      <c r="E3261" s="4"/>
      <c r="F3261" s="3" t="s">
        <v>128</v>
      </c>
      <c r="G3261" s="9"/>
      <c r="H3261" s="9"/>
      <c r="I3261" s="12"/>
      <c r="J3261" s="5" t="e">
        <f>SUM(SUMIFS(#REF!,#REF!,Planning[[#This Row],[Tipo de Tarea y especialidad]],#REF!,Planning[[#This Row],[Proyectos Reiwa]]),SUMIFS(#REF!,#REF!,Planning[[#This Row],[Tipo de Tarea y especialidad]],#REF!,Planning[[#This Row],[Proyectos]]))</f>
        <v>#REF!</v>
      </c>
      <c r="K3261" s="5" t="e">
        <f>Planning[[#This Row],[Horas Planificadas]]+Planning[[#This Row],[Horas ajustadas adicionales]]-Planning[[#This Row],[Horas utilizadas]]</f>
        <v>#REF!</v>
      </c>
      <c r="L3261" s="7"/>
      <c r="M3261" s="19" t="e">
        <f>Planning[[#This Row],[Saldo]]-Planning[[#This Row],[Saldo estimado]]</f>
        <v>#REF!</v>
      </c>
      <c r="N3261" s="60" t="e">
        <f>+SUMIFS(#REF!,#REF!,Planning[[#This Row],[Proyectos]],#REF!,Planning[[#This Row],[Tipo de Tarea y especialidad]])</f>
        <v>#REF!</v>
      </c>
      <c r="O3261" s="19">
        <f t="shared" si="100"/>
        <v>10</v>
      </c>
      <c r="P3261" s="19">
        <f t="shared" si="101"/>
        <v>2024</v>
      </c>
      <c r="Q32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61" s="19" t="str">
        <f>TEXT(Planning[[#This Row],[Mes]]*29,"mmmm")</f>
        <v>October</v>
      </c>
      <c r="S32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61" s="208"/>
      <c r="U3261" s="43">
        <f>IF(Planning[[#This Row],[Horas Planificadas]]&lt;&gt;0,+K3261/Planning[[#This Row],[Horas Planificadas]],0)</f>
        <v>0</v>
      </c>
      <c r="V3261" s="43">
        <f>IF(Planning[[#This Row],[Horas Planificadas]]&lt;&gt;0,Planning[[#This Row],[Horas utilizadas]]/Planning[[#This Row],[Horas Planificadas]],0)</f>
        <v>0</v>
      </c>
      <c r="W3261" s="44">
        <f>Planning[[#This Row],[Horas Planificadas]]+Planning[[#This Row],[Horas ajustadas adicionales]]</f>
        <v>0</v>
      </c>
      <c r="X3261" s="142"/>
    </row>
    <row r="3262" spans="1:24" x14ac:dyDescent="0.2">
      <c r="A3262" s="7" t="s">
        <v>483</v>
      </c>
      <c r="B3262" s="7" t="s">
        <v>288</v>
      </c>
      <c r="C3262" s="3"/>
      <c r="D3262" s="3" t="s">
        <v>610</v>
      </c>
      <c r="E3262" s="4" t="s">
        <v>31</v>
      </c>
      <c r="F3262" s="3" t="s">
        <v>31</v>
      </c>
      <c r="G3262" s="9"/>
      <c r="H3262" s="17">
        <f>Planning[[#This Row],[Horas Precálculo]]</f>
        <v>0</v>
      </c>
      <c r="I3262" s="18"/>
      <c r="J3262" s="14" t="e">
        <f>+SUMIFS(#REF!,#REF!,Planning[[#This Row],[Tarifa]],#REF!,Planning[[#This Row],[Proyectos]])</f>
        <v>#REF!</v>
      </c>
      <c r="K3262" s="14" t="e">
        <f>Planning[[#This Row],[Horas Planificadas]]+Planning[[#This Row],[Horas ajustadas adicionales]]-Planning[[#This Row],[Horas utilizadas]]</f>
        <v>#REF!</v>
      </c>
      <c r="L3262" s="15">
        <v>0</v>
      </c>
      <c r="M3262" s="16" t="e">
        <f>Planning[[#This Row],[Saldo]]-Planning[[#This Row],[Saldo estimado]]</f>
        <v>#REF!</v>
      </c>
      <c r="N3262" s="60" t="e">
        <f>+SUMIFS(#REF!,#REF!,Planning[[#This Row],[Proyectos]],#REF!,Planning[[#This Row],[Tipo de Tarea y especialidad]])</f>
        <v>#REF!</v>
      </c>
      <c r="O3262" s="16">
        <f t="shared" si="100"/>
        <v>10</v>
      </c>
      <c r="P3262" s="16">
        <f t="shared" si="101"/>
        <v>2024</v>
      </c>
      <c r="Q3262" s="16" t="e">
        <f>+SUMIFS(#REF!,#REF!,Planning[[#This Row],[Tarifa]],#REF!,Planning[[#This Row],[Proyectos]],#REF!,Planning[[#This Row],[Mes]],#REF!,Planning[[#This Row],[Año]])</f>
        <v>#REF!</v>
      </c>
      <c r="R3262" s="16" t="str">
        <f>TEXT(Planning[[#This Row],[Mes]]*29,"mmmm")</f>
        <v>October</v>
      </c>
      <c r="S32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62" s="208"/>
      <c r="U3262" s="43">
        <f>IF(Planning[[#This Row],[Horas Planificadas]]&lt;&gt;0,+K3262/Planning[[#This Row],[Horas Planificadas]],0)</f>
        <v>0</v>
      </c>
      <c r="V3262" s="43">
        <f>IF(Planning[[#This Row],[Horas Planificadas]]&lt;&gt;0,Planning[[#This Row],[Horas utilizadas]]/Planning[[#This Row],[Horas Planificadas]],0)</f>
        <v>0</v>
      </c>
      <c r="W3262" s="44">
        <f>Planning[[#This Row],[Horas Planificadas]]+Planning[[#This Row],[Horas ajustadas adicionales]]</f>
        <v>0</v>
      </c>
      <c r="X3262" s="142"/>
    </row>
    <row r="3263" spans="1:24" ht="22.5" x14ac:dyDescent="0.2">
      <c r="A3263" s="7" t="s">
        <v>483</v>
      </c>
      <c r="B3263" s="7" t="s">
        <v>288</v>
      </c>
      <c r="C3263" s="3"/>
      <c r="D3263" s="3" t="s">
        <v>610</v>
      </c>
      <c r="E3263" s="4" t="s">
        <v>32</v>
      </c>
      <c r="F3263" s="3"/>
      <c r="G3263" s="9">
        <v>320</v>
      </c>
      <c r="H3263" s="14">
        <f>SUM(H3264:H3266)</f>
        <v>320</v>
      </c>
      <c r="I3263" s="14"/>
      <c r="J3263" s="14" t="e">
        <f>SUM(J3264:J3266)</f>
        <v>#REF!</v>
      </c>
      <c r="K3263" s="15" t="e">
        <f>SUM(K3264:K3266)</f>
        <v>#REF!</v>
      </c>
      <c r="L3263" s="15">
        <f>SUM(L3264:L3266)</f>
        <v>320</v>
      </c>
      <c r="M3263" s="16" t="e">
        <f>SUM(M3264:M3266)</f>
        <v>#REF!</v>
      </c>
      <c r="N3263" s="60" t="e">
        <f>+SUMIFS(#REF!,#REF!,Planning[[#This Row],[Proyectos]],#REF!,Planning[[#This Row],[Tipo de Tarea y especialidad]])</f>
        <v>#REF!</v>
      </c>
      <c r="O3263" s="16">
        <f t="shared" si="100"/>
        <v>10</v>
      </c>
      <c r="P3263" s="16">
        <f t="shared" si="101"/>
        <v>2024</v>
      </c>
      <c r="Q3263" s="16" t="e">
        <f>SUM(Q3264:Q3266)</f>
        <v>#REF!</v>
      </c>
      <c r="R3263" s="16" t="str">
        <f>TEXT(Planning[[#This Row],[Mes]]*29,"mmmm")</f>
        <v>October</v>
      </c>
      <c r="S32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63" s="208"/>
      <c r="U3263" s="43" t="e">
        <f>IF(Planning[[#This Row],[Horas Planificadas]]&lt;&gt;0,+K3263/Planning[[#This Row],[Horas Planificadas]],0)</f>
        <v>#REF!</v>
      </c>
      <c r="V3263" s="43" t="e">
        <f>IF(Planning[[#This Row],[Horas Planificadas]]&lt;&gt;0,Planning[[#This Row],[Horas utilizadas]]/Planning[[#This Row],[Horas Planificadas]],0)</f>
        <v>#REF!</v>
      </c>
      <c r="W3263" s="44">
        <f>Planning[[#This Row],[Horas Planificadas]]+Planning[[#This Row],[Horas ajustadas adicionales]]</f>
        <v>320</v>
      </c>
      <c r="X3263" s="142"/>
    </row>
    <row r="3264" spans="1:24" x14ac:dyDescent="0.2">
      <c r="A3264" s="7" t="s">
        <v>483</v>
      </c>
      <c r="B3264" s="7" t="s">
        <v>288</v>
      </c>
      <c r="C3264" s="3"/>
      <c r="D3264" s="3" t="s">
        <v>610</v>
      </c>
      <c r="E3264" s="4"/>
      <c r="F3264" s="3" t="s">
        <v>129</v>
      </c>
      <c r="G3264" s="9"/>
      <c r="H3264" s="9"/>
      <c r="I3264" s="12"/>
      <c r="J3264" s="5" t="e">
        <f>SUM(SUMIFS(#REF!,#REF!,Planning[[#This Row],[Tipo de Tarea y especialidad]],#REF!,Planning[[#This Row],[Proyectos Reiwa]]),SUMIFS(#REF!,#REF!,Planning[[#This Row],[Tipo de Tarea y especialidad]],#REF!,Planning[[#This Row],[Proyectos]]))</f>
        <v>#REF!</v>
      </c>
      <c r="K3264" s="5" t="e">
        <f>Planning[[#This Row],[Horas Planificadas]]+Planning[[#This Row],[Horas ajustadas adicionales]]-Planning[[#This Row],[Horas utilizadas]]</f>
        <v>#REF!</v>
      </c>
      <c r="L3264" s="7"/>
      <c r="M3264" s="19" t="e">
        <f>Planning[[#This Row],[Saldo]]-Planning[[#This Row],[Saldo estimado]]</f>
        <v>#REF!</v>
      </c>
      <c r="N3264" s="60" t="e">
        <f>+SUMIFS(#REF!,#REF!,Planning[[#This Row],[Proyectos]],#REF!,Planning[[#This Row],[Tipo de Tarea y especialidad]])</f>
        <v>#REF!</v>
      </c>
      <c r="O3264" s="19">
        <f t="shared" si="100"/>
        <v>10</v>
      </c>
      <c r="P3264" s="19">
        <f t="shared" si="101"/>
        <v>2024</v>
      </c>
      <c r="Q32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64" s="19" t="str">
        <f>TEXT(Planning[[#This Row],[Mes]]*29,"mmmm")</f>
        <v>October</v>
      </c>
      <c r="S32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64" s="208"/>
      <c r="U3264" s="43">
        <f>IF(Planning[[#This Row],[Horas Planificadas]]&lt;&gt;0,+K3264/Planning[[#This Row],[Horas Planificadas]],0)</f>
        <v>0</v>
      </c>
      <c r="V3264" s="43">
        <f>IF(Planning[[#This Row],[Horas Planificadas]]&lt;&gt;0,Planning[[#This Row],[Horas utilizadas]]/Planning[[#This Row],[Horas Planificadas]],0)</f>
        <v>0</v>
      </c>
      <c r="W3264" s="44">
        <f>Planning[[#This Row],[Horas Planificadas]]+Planning[[#This Row],[Horas ajustadas adicionales]]</f>
        <v>0</v>
      </c>
      <c r="X3264" s="142"/>
    </row>
    <row r="3265" spans="1:24" x14ac:dyDescent="0.2">
      <c r="A3265" s="7" t="s">
        <v>483</v>
      </c>
      <c r="B3265" s="7" t="s">
        <v>288</v>
      </c>
      <c r="C3265" s="3"/>
      <c r="D3265" s="3" t="s">
        <v>610</v>
      </c>
      <c r="E3265" s="4"/>
      <c r="F3265" s="3" t="s">
        <v>130</v>
      </c>
      <c r="G3265" s="9"/>
      <c r="H3265" s="9">
        <v>100</v>
      </c>
      <c r="I3265" s="12"/>
      <c r="J3265" s="5" t="e">
        <f>SUM(SUMIFS(#REF!,#REF!,Planning[[#This Row],[Tipo de Tarea y especialidad]],#REF!,Planning[[#This Row],[Proyectos Reiwa]]),SUMIFS(#REF!,#REF!,Planning[[#This Row],[Tipo de Tarea y especialidad]],#REF!,Planning[[#This Row],[Proyectos]]))</f>
        <v>#REF!</v>
      </c>
      <c r="K3265" s="5" t="e">
        <f>Planning[[#This Row],[Horas Planificadas]]+Planning[[#This Row],[Horas ajustadas adicionales]]-Planning[[#This Row],[Horas utilizadas]]</f>
        <v>#REF!</v>
      </c>
      <c r="L3265" s="7">
        <v>100</v>
      </c>
      <c r="M3265" s="19" t="e">
        <f>Planning[[#This Row],[Saldo]]-Planning[[#This Row],[Saldo estimado]]</f>
        <v>#REF!</v>
      </c>
      <c r="N3265" s="60" t="e">
        <f>+SUMIFS(#REF!,#REF!,Planning[[#This Row],[Proyectos]],#REF!,Planning[[#This Row],[Tipo de Tarea y especialidad]])</f>
        <v>#REF!</v>
      </c>
      <c r="O3265" s="19">
        <f t="shared" si="100"/>
        <v>10</v>
      </c>
      <c r="P3265" s="19">
        <f t="shared" si="101"/>
        <v>2024</v>
      </c>
      <c r="Q32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65" s="19" t="str">
        <f>TEXT(Planning[[#This Row],[Mes]]*29,"mmmm")</f>
        <v>October</v>
      </c>
      <c r="S32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65" s="208"/>
      <c r="U3265" s="43" t="e">
        <f>IF(Planning[[#This Row],[Horas Planificadas]]&lt;&gt;0,+K3265/Planning[[#This Row],[Horas Planificadas]],0)</f>
        <v>#REF!</v>
      </c>
      <c r="V3265" s="43" t="e">
        <f>IF(Planning[[#This Row],[Horas Planificadas]]&lt;&gt;0,Planning[[#This Row],[Horas utilizadas]]/Planning[[#This Row],[Horas Planificadas]],0)</f>
        <v>#REF!</v>
      </c>
      <c r="W3265" s="44">
        <f>Planning[[#This Row],[Horas Planificadas]]+Planning[[#This Row],[Horas ajustadas adicionales]]</f>
        <v>100</v>
      </c>
      <c r="X3265" s="142"/>
    </row>
    <row r="3266" spans="1:24" x14ac:dyDescent="0.2">
      <c r="A3266" s="7" t="s">
        <v>483</v>
      </c>
      <c r="B3266" s="7" t="s">
        <v>288</v>
      </c>
      <c r="C3266" s="3"/>
      <c r="D3266" s="3" t="s">
        <v>610</v>
      </c>
      <c r="E3266" s="4"/>
      <c r="F3266" s="3" t="s">
        <v>131</v>
      </c>
      <c r="G3266" s="9"/>
      <c r="H3266" s="9">
        <v>220</v>
      </c>
      <c r="I3266" s="12"/>
      <c r="J3266" s="5" t="e">
        <f>SUM(SUMIFS(#REF!,#REF!,Planning[[#This Row],[Tipo de Tarea y especialidad]],#REF!,Planning[[#This Row],[Proyectos Reiwa]]),SUMIFS(#REF!,#REF!,Planning[[#This Row],[Tipo de Tarea y especialidad]],#REF!,Planning[[#This Row],[Proyectos]]))</f>
        <v>#REF!</v>
      </c>
      <c r="K3266" s="5" t="e">
        <f>Planning[[#This Row],[Horas Planificadas]]+Planning[[#This Row],[Horas ajustadas adicionales]]-Planning[[#This Row],[Horas utilizadas]]</f>
        <v>#REF!</v>
      </c>
      <c r="L3266" s="7">
        <v>220</v>
      </c>
      <c r="M3266" s="19" t="e">
        <f>Planning[[#This Row],[Saldo]]-Planning[[#This Row],[Saldo estimado]]</f>
        <v>#REF!</v>
      </c>
      <c r="N3266" s="60" t="e">
        <f>+SUMIFS(#REF!,#REF!,Planning[[#This Row],[Proyectos]],#REF!,Planning[[#This Row],[Tipo de Tarea y especialidad]])</f>
        <v>#REF!</v>
      </c>
      <c r="O3266" s="19">
        <f t="shared" si="100"/>
        <v>10</v>
      </c>
      <c r="P3266" s="19">
        <f t="shared" si="101"/>
        <v>2024</v>
      </c>
      <c r="Q32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66" s="19" t="str">
        <f>TEXT(Planning[[#This Row],[Mes]]*29,"mmmm")</f>
        <v>October</v>
      </c>
      <c r="S32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66" s="208"/>
      <c r="U3266" s="43" t="e">
        <f>IF(Planning[[#This Row],[Horas Planificadas]]&lt;&gt;0,+K3266/Planning[[#This Row],[Horas Planificadas]],0)</f>
        <v>#REF!</v>
      </c>
      <c r="V3266" s="43" t="e">
        <f>IF(Planning[[#This Row],[Horas Planificadas]]&lt;&gt;0,Planning[[#This Row],[Horas utilizadas]]/Planning[[#This Row],[Horas Planificadas]],0)</f>
        <v>#REF!</v>
      </c>
      <c r="W3266" s="44">
        <f>Planning[[#This Row],[Horas Planificadas]]+Planning[[#This Row],[Horas ajustadas adicionales]]</f>
        <v>220</v>
      </c>
      <c r="X3266" s="142"/>
    </row>
    <row r="3267" spans="1:24" ht="22.5" x14ac:dyDescent="0.2">
      <c r="A3267" s="7"/>
      <c r="B3267" s="7"/>
      <c r="C3267" s="3"/>
      <c r="D3267" s="3" t="s">
        <v>613</v>
      </c>
      <c r="E3267" s="4" t="s">
        <v>28</v>
      </c>
      <c r="F3267" s="3"/>
      <c r="G3267" s="9"/>
      <c r="H3267" s="14">
        <f>SUM(H3268:H3269)</f>
        <v>0</v>
      </c>
      <c r="I3267" s="14"/>
      <c r="J3267" s="14" t="e">
        <f>SUM(J3268:J3269)</f>
        <v>#REF!</v>
      </c>
      <c r="K3267" s="15" t="e">
        <f>SUM(K3268:K3269)</f>
        <v>#REF!</v>
      </c>
      <c r="L3267" s="15">
        <f>SUM(L3268:L3269)</f>
        <v>0</v>
      </c>
      <c r="M3267" s="14" t="e">
        <f>SUM(M3268:M3269)</f>
        <v>#REF!</v>
      </c>
      <c r="N3267" s="66" t="e">
        <f>+SUMIFS(#REF!,#REF!,Planning[[#This Row],[Proyectos]],#REF!,Planning[[#This Row],[Tipo de Tarea y especialidad]])</f>
        <v>#REF!</v>
      </c>
      <c r="O3267" s="14">
        <f t="shared" si="100"/>
        <v>10</v>
      </c>
      <c r="P3267" s="14">
        <f t="shared" si="101"/>
        <v>2024</v>
      </c>
      <c r="Q3267" s="28" t="e">
        <f>SUM(Q3268:Q3269)</f>
        <v>#REF!</v>
      </c>
      <c r="R3267" s="28" t="str">
        <f>TEXT(Planning[[#This Row],[Mes]]*29,"mmmm")</f>
        <v>October</v>
      </c>
      <c r="S32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67" s="228"/>
      <c r="U3267" s="43">
        <f>IF(Planning[[#This Row],[Horas Planificadas]]&lt;&gt;0,+K3267/Planning[[#This Row],[Horas Planificadas]],0)</f>
        <v>0</v>
      </c>
      <c r="V3267" s="43">
        <f>IF(Planning[[#This Row],[Horas Planificadas]]&lt;&gt;0,Planning[[#This Row],[Horas utilizadas]]/Planning[[#This Row],[Horas Planificadas]],0)</f>
        <v>0</v>
      </c>
      <c r="W3267" s="44">
        <f>Planning[[#This Row],[Horas Planificadas]]+Planning[[#This Row],[Horas ajustadas adicionales]]</f>
        <v>0</v>
      </c>
      <c r="X3267" s="142"/>
    </row>
    <row r="3268" spans="1:24" x14ac:dyDescent="0.2">
      <c r="A3268" s="7"/>
      <c r="B3268" s="7"/>
      <c r="C3268" s="3"/>
      <c r="D3268" s="3" t="s">
        <v>613</v>
      </c>
      <c r="E3268" s="4"/>
      <c r="F3268" s="3" t="s">
        <v>120</v>
      </c>
      <c r="G3268" s="9"/>
      <c r="H3268" s="9"/>
      <c r="I3268" s="12"/>
      <c r="J3268" s="5" t="e">
        <f>SUM(SUMIFS(#REF!,#REF!,Planning[[#This Row],[Tipo de Tarea y especialidad]],#REF!,Planning[[#This Row],[Proyectos Reiwa]]),SUMIFS(#REF!,#REF!,Planning[[#This Row],[Tipo de Tarea y especialidad]],#REF!,Planning[[#This Row],[Proyectos]]))</f>
        <v>#REF!</v>
      </c>
      <c r="K3268" s="5" t="e">
        <f>Planning[[#This Row],[Horas Planificadas]]+Planning[[#This Row],[Horas ajustadas adicionales]]-Planning[[#This Row],[Horas utilizadas]]</f>
        <v>#REF!</v>
      </c>
      <c r="L3268" s="7"/>
      <c r="M3268" s="19" t="e">
        <f>Planning[[#This Row],[Saldo]]-Planning[[#This Row],[Saldo estimado]]</f>
        <v>#REF!</v>
      </c>
      <c r="N3268" s="60" t="e">
        <f>+SUMIFS(#REF!,#REF!,Planning[[#This Row],[Proyectos]],#REF!,Planning[[#This Row],[Tipo de Tarea y especialidad]])</f>
        <v>#REF!</v>
      </c>
      <c r="O3268" s="19">
        <f t="shared" si="100"/>
        <v>10</v>
      </c>
      <c r="P3268" s="19">
        <f t="shared" si="101"/>
        <v>2024</v>
      </c>
      <c r="Q32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68" s="19" t="str">
        <f>TEXT(Planning[[#This Row],[Mes]]*29,"mmmm")</f>
        <v>October</v>
      </c>
      <c r="S32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68" s="228"/>
      <c r="U3268" s="43">
        <f>IF(Planning[[#This Row],[Horas Planificadas]]&lt;&gt;0,+K3268/Planning[[#This Row],[Horas Planificadas]],0)</f>
        <v>0</v>
      </c>
      <c r="V3268" s="43">
        <f>IF(Planning[[#This Row],[Horas Planificadas]]&lt;&gt;0,Planning[[#This Row],[Horas utilizadas]]/Planning[[#This Row],[Horas Planificadas]],0)</f>
        <v>0</v>
      </c>
      <c r="W3268" s="44">
        <f>Planning[[#This Row],[Horas Planificadas]]+Planning[[#This Row],[Horas ajustadas adicionales]]</f>
        <v>0</v>
      </c>
      <c r="X3268" s="142"/>
    </row>
    <row r="3269" spans="1:24" x14ac:dyDescent="0.2">
      <c r="A3269" s="7"/>
      <c r="B3269" s="7"/>
      <c r="C3269" s="3"/>
      <c r="D3269" s="3" t="s">
        <v>613</v>
      </c>
      <c r="E3269" s="4"/>
      <c r="F3269" s="3" t="s">
        <v>121</v>
      </c>
      <c r="G3269" s="9"/>
      <c r="H3269" s="9"/>
      <c r="I3269" s="12"/>
      <c r="J3269" s="5" t="e">
        <f>SUM(SUMIFS(#REF!,#REF!,Planning[[#This Row],[Tipo de Tarea y especialidad]],#REF!,Planning[[#This Row],[Proyectos Reiwa]]),SUMIFS(#REF!,#REF!,Planning[[#This Row],[Tipo de Tarea y especialidad]],#REF!,Planning[[#This Row],[Proyectos]]))</f>
        <v>#REF!</v>
      </c>
      <c r="K3269" s="5" t="e">
        <f>Planning[[#This Row],[Horas Planificadas]]+Planning[[#This Row],[Horas ajustadas adicionales]]-Planning[[#This Row],[Horas utilizadas]]</f>
        <v>#REF!</v>
      </c>
      <c r="L3269" s="7"/>
      <c r="M3269" s="19" t="e">
        <f>Planning[[#This Row],[Saldo]]-Planning[[#This Row],[Saldo estimado]]</f>
        <v>#REF!</v>
      </c>
      <c r="N3269" s="60" t="e">
        <f>+SUMIFS(#REF!,#REF!,Planning[[#This Row],[Proyectos]],#REF!,Planning[[#This Row],[Tipo de Tarea y especialidad]])</f>
        <v>#REF!</v>
      </c>
      <c r="O3269" s="19">
        <f t="shared" si="100"/>
        <v>10</v>
      </c>
      <c r="P3269" s="19">
        <f t="shared" si="101"/>
        <v>2024</v>
      </c>
      <c r="Q32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69" s="19" t="str">
        <f>TEXT(Planning[[#This Row],[Mes]]*29,"mmmm")</f>
        <v>October</v>
      </c>
      <c r="S32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69" s="228"/>
      <c r="U3269" s="43">
        <f>IF(Planning[[#This Row],[Horas Planificadas]]&lt;&gt;0,+K3269/Planning[[#This Row],[Horas Planificadas]],0)</f>
        <v>0</v>
      </c>
      <c r="V3269" s="43">
        <f>IF(Planning[[#This Row],[Horas Planificadas]]&lt;&gt;0,Planning[[#This Row],[Horas utilizadas]]/Planning[[#This Row],[Horas Planificadas]],0)</f>
        <v>0</v>
      </c>
      <c r="W3269" s="44">
        <f>Planning[[#This Row],[Horas Planificadas]]+Planning[[#This Row],[Horas ajustadas adicionales]]</f>
        <v>0</v>
      </c>
      <c r="X3269" s="142"/>
    </row>
    <row r="3270" spans="1:24" x14ac:dyDescent="0.2">
      <c r="A3270" s="7"/>
      <c r="B3270" s="7"/>
      <c r="C3270" s="3"/>
      <c r="D3270" s="3" t="s">
        <v>613</v>
      </c>
      <c r="E3270" s="4" t="s">
        <v>30</v>
      </c>
      <c r="F3270" s="3"/>
      <c r="G3270" s="9"/>
      <c r="H3270" s="14">
        <f>SUM(H3271:H3277)</f>
        <v>284</v>
      </c>
      <c r="I3270" s="14"/>
      <c r="J3270" s="14" t="e">
        <f>SUM(J3271:J3277)</f>
        <v>#REF!</v>
      </c>
      <c r="K3270" s="15" t="e">
        <f>SUM(K3271:K3277)</f>
        <v>#REF!</v>
      </c>
      <c r="L3270" s="15">
        <f>SUM(L3271:L3277)</f>
        <v>0</v>
      </c>
      <c r="M3270" s="16" t="e">
        <f>SUM(M3271:M3277)</f>
        <v>#REF!</v>
      </c>
      <c r="N3270" s="60" t="e">
        <f>+SUMIFS(#REF!,#REF!,Planning[[#This Row],[Proyectos]],#REF!,Planning[[#This Row],[Tipo de Tarea y especialidad]])</f>
        <v>#REF!</v>
      </c>
      <c r="O3270" s="16">
        <f t="shared" si="100"/>
        <v>10</v>
      </c>
      <c r="P3270" s="16">
        <f t="shared" si="101"/>
        <v>2024</v>
      </c>
      <c r="Q3270" s="16" t="e">
        <f>SUM(Q3271:Q3277)</f>
        <v>#REF!</v>
      </c>
      <c r="R3270" s="16" t="str">
        <f>TEXT(Planning[[#This Row],[Mes]]*29,"mmmm")</f>
        <v>October</v>
      </c>
      <c r="S32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70" s="228"/>
      <c r="U3270" s="43" t="e">
        <f>IF(Planning[[#This Row],[Horas Planificadas]]&lt;&gt;0,+K3270/Planning[[#This Row],[Horas Planificadas]],0)</f>
        <v>#REF!</v>
      </c>
      <c r="V3270" s="43" t="e">
        <f>IF(Planning[[#This Row],[Horas Planificadas]]&lt;&gt;0,Planning[[#This Row],[Horas utilizadas]]/Planning[[#This Row],[Horas Planificadas]],0)</f>
        <v>#REF!</v>
      </c>
      <c r="W3270" s="44">
        <f>Planning[[#This Row],[Horas Planificadas]]+Planning[[#This Row],[Horas ajustadas adicionales]]</f>
        <v>284</v>
      </c>
      <c r="X3270" s="142"/>
    </row>
    <row r="3271" spans="1:24" x14ac:dyDescent="0.2">
      <c r="A3271" s="7"/>
      <c r="B3271" s="7"/>
      <c r="C3271" s="3"/>
      <c r="D3271" s="3" t="s">
        <v>613</v>
      </c>
      <c r="E3271" s="4"/>
      <c r="F3271" s="3" t="s">
        <v>122</v>
      </c>
      <c r="G3271" s="9"/>
      <c r="H3271" s="9"/>
      <c r="I3271" s="12"/>
      <c r="J3271" s="5" t="e">
        <f>SUM(SUMIFS(#REF!,#REF!,Planning[[#This Row],[Tipo de Tarea y especialidad]],#REF!,Planning[[#This Row],[Proyectos Reiwa]]),SUMIFS(#REF!,#REF!,Planning[[#This Row],[Tipo de Tarea y especialidad]],#REF!,Planning[[#This Row],[Proyectos]]))</f>
        <v>#REF!</v>
      </c>
      <c r="K3271" s="5" t="e">
        <f>Planning[[#This Row],[Horas Planificadas]]+Planning[[#This Row],[Horas ajustadas adicionales]]-Planning[[#This Row],[Horas utilizadas]]</f>
        <v>#REF!</v>
      </c>
      <c r="L3271" s="7"/>
      <c r="M3271" s="19" t="e">
        <f>Planning[[#This Row],[Saldo]]-Planning[[#This Row],[Saldo estimado]]</f>
        <v>#REF!</v>
      </c>
      <c r="N3271" s="60" t="e">
        <f>+SUMIFS(#REF!,#REF!,Planning[[#This Row],[Proyectos]],#REF!,Planning[[#This Row],[Tipo de Tarea y especialidad]])</f>
        <v>#REF!</v>
      </c>
      <c r="O3271" s="19">
        <f t="shared" ref="O3271:O3334" si="102">$L$4</f>
        <v>10</v>
      </c>
      <c r="P3271" s="19">
        <f t="shared" ref="P3271:P3334" si="103">$M$4</f>
        <v>2024</v>
      </c>
      <c r="Q32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71" s="19" t="str">
        <f>TEXT(Planning[[#This Row],[Mes]]*29,"mmmm")</f>
        <v>October</v>
      </c>
      <c r="S32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71" s="228"/>
      <c r="U3271" s="43">
        <f>IF(Planning[[#This Row],[Horas Planificadas]]&lt;&gt;0,+K3271/Planning[[#This Row],[Horas Planificadas]],0)</f>
        <v>0</v>
      </c>
      <c r="V3271" s="43">
        <f>IF(Planning[[#This Row],[Horas Planificadas]]&lt;&gt;0,Planning[[#This Row],[Horas utilizadas]]/Planning[[#This Row],[Horas Planificadas]],0)</f>
        <v>0</v>
      </c>
      <c r="W3271" s="44">
        <f>Planning[[#This Row],[Horas Planificadas]]+Planning[[#This Row],[Horas ajustadas adicionales]]</f>
        <v>0</v>
      </c>
      <c r="X3271" s="142"/>
    </row>
    <row r="3272" spans="1:24" x14ac:dyDescent="0.2">
      <c r="A3272" s="7"/>
      <c r="B3272" s="7"/>
      <c r="C3272" s="3"/>
      <c r="D3272" s="3" t="s">
        <v>613</v>
      </c>
      <c r="E3272" s="4"/>
      <c r="F3272" s="3" t="s">
        <v>123</v>
      </c>
      <c r="G3272" s="9"/>
      <c r="H3272" s="9">
        <v>284</v>
      </c>
      <c r="I3272" s="12"/>
      <c r="J3272" s="5" t="e">
        <f>SUM(SUMIFS(#REF!,#REF!,Planning[[#This Row],[Tipo de Tarea y especialidad]],#REF!,Planning[[#This Row],[Proyectos Reiwa]]),SUMIFS(#REF!,#REF!,Planning[[#This Row],[Tipo de Tarea y especialidad]],#REF!,Planning[[#This Row],[Proyectos]]))</f>
        <v>#REF!</v>
      </c>
      <c r="K3272" s="5" t="e">
        <f>Planning[[#This Row],[Horas Planificadas]]+Planning[[#This Row],[Horas ajustadas adicionales]]-Planning[[#This Row],[Horas utilizadas]]</f>
        <v>#REF!</v>
      </c>
      <c r="L3272" s="7"/>
      <c r="M3272" s="19" t="e">
        <f>Planning[[#This Row],[Saldo]]-Planning[[#This Row],[Saldo estimado]]</f>
        <v>#REF!</v>
      </c>
      <c r="N3272" s="60" t="e">
        <f>+SUMIFS(#REF!,#REF!,Planning[[#This Row],[Proyectos]],#REF!,Planning[[#This Row],[Tipo de Tarea y especialidad]])</f>
        <v>#REF!</v>
      </c>
      <c r="O3272" s="19">
        <f t="shared" si="102"/>
        <v>10</v>
      </c>
      <c r="P3272" s="19">
        <f t="shared" si="103"/>
        <v>2024</v>
      </c>
      <c r="Q32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72" s="19" t="str">
        <f>TEXT(Planning[[#This Row],[Mes]]*29,"mmmm")</f>
        <v>October</v>
      </c>
      <c r="S32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72" s="228"/>
      <c r="U3272" s="43" t="e">
        <f>IF(Planning[[#This Row],[Horas Planificadas]]&lt;&gt;0,+K3272/Planning[[#This Row],[Horas Planificadas]],0)</f>
        <v>#REF!</v>
      </c>
      <c r="V3272" s="43" t="e">
        <f>IF(Planning[[#This Row],[Horas Planificadas]]&lt;&gt;0,Planning[[#This Row],[Horas utilizadas]]/Planning[[#This Row],[Horas Planificadas]],0)</f>
        <v>#REF!</v>
      </c>
      <c r="W3272" s="44">
        <f>Planning[[#This Row],[Horas Planificadas]]+Planning[[#This Row],[Horas ajustadas adicionales]]</f>
        <v>284</v>
      </c>
      <c r="X3272" s="142"/>
    </row>
    <row r="3273" spans="1:24" x14ac:dyDescent="0.2">
      <c r="A3273" s="7"/>
      <c r="B3273" s="7"/>
      <c r="C3273" s="3"/>
      <c r="D3273" s="3" t="s">
        <v>613</v>
      </c>
      <c r="E3273" s="4"/>
      <c r="F3273" s="3" t="s">
        <v>124</v>
      </c>
      <c r="G3273" s="9"/>
      <c r="H3273" s="9"/>
      <c r="I3273" s="12"/>
      <c r="J3273" s="5" t="e">
        <f>SUM(SUMIFS(#REF!,#REF!,Planning[[#This Row],[Tipo de Tarea y especialidad]],#REF!,Planning[[#This Row],[Proyectos Reiwa]]),SUMIFS(#REF!,#REF!,Planning[[#This Row],[Tipo de Tarea y especialidad]],#REF!,Planning[[#This Row],[Proyectos]]))</f>
        <v>#REF!</v>
      </c>
      <c r="K3273" s="5" t="e">
        <f>Planning[[#This Row],[Horas Planificadas]]+Planning[[#This Row],[Horas ajustadas adicionales]]-Planning[[#This Row],[Horas utilizadas]]</f>
        <v>#REF!</v>
      </c>
      <c r="L3273" s="7"/>
      <c r="M3273" s="19" t="e">
        <f>Planning[[#This Row],[Saldo]]-Planning[[#This Row],[Saldo estimado]]</f>
        <v>#REF!</v>
      </c>
      <c r="N3273" s="60" t="e">
        <f>+SUMIFS(#REF!,#REF!,Planning[[#This Row],[Proyectos]],#REF!,Planning[[#This Row],[Tipo de Tarea y especialidad]])</f>
        <v>#REF!</v>
      </c>
      <c r="O3273" s="19">
        <f t="shared" si="102"/>
        <v>10</v>
      </c>
      <c r="P3273" s="19">
        <f t="shared" si="103"/>
        <v>2024</v>
      </c>
      <c r="Q32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73" s="19" t="str">
        <f>TEXT(Planning[[#This Row],[Mes]]*29,"mmmm")</f>
        <v>October</v>
      </c>
      <c r="S32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73" s="228"/>
      <c r="U3273" s="43">
        <f>IF(Planning[[#This Row],[Horas Planificadas]]&lt;&gt;0,+K3273/Planning[[#This Row],[Horas Planificadas]],0)</f>
        <v>0</v>
      </c>
      <c r="V3273" s="43">
        <f>IF(Planning[[#This Row],[Horas Planificadas]]&lt;&gt;0,Planning[[#This Row],[Horas utilizadas]]/Planning[[#This Row],[Horas Planificadas]],0)</f>
        <v>0</v>
      </c>
      <c r="W3273" s="44">
        <f>Planning[[#This Row],[Horas Planificadas]]+Planning[[#This Row],[Horas ajustadas adicionales]]</f>
        <v>0</v>
      </c>
      <c r="X3273" s="142"/>
    </row>
    <row r="3274" spans="1:24" x14ac:dyDescent="0.2">
      <c r="A3274" s="7"/>
      <c r="B3274" s="7"/>
      <c r="C3274" s="3"/>
      <c r="D3274" s="3" t="s">
        <v>613</v>
      </c>
      <c r="E3274" s="4"/>
      <c r="F3274" s="3" t="s">
        <v>125</v>
      </c>
      <c r="G3274" s="9"/>
      <c r="H3274" s="9"/>
      <c r="I3274" s="12"/>
      <c r="J3274" s="5" t="e">
        <f>SUM(SUMIFS(#REF!,#REF!,Planning[[#This Row],[Tipo de Tarea y especialidad]],#REF!,Planning[[#This Row],[Proyectos Reiwa]]),SUMIFS(#REF!,#REF!,Planning[[#This Row],[Tipo de Tarea y especialidad]],#REF!,Planning[[#This Row],[Proyectos]]))</f>
        <v>#REF!</v>
      </c>
      <c r="K3274" s="5" t="e">
        <f>Planning[[#This Row],[Horas Planificadas]]+Planning[[#This Row],[Horas ajustadas adicionales]]-Planning[[#This Row],[Horas utilizadas]]</f>
        <v>#REF!</v>
      </c>
      <c r="L3274" s="7"/>
      <c r="M3274" s="19" t="e">
        <f>Planning[[#This Row],[Saldo]]-Planning[[#This Row],[Saldo estimado]]</f>
        <v>#REF!</v>
      </c>
      <c r="N3274" s="60" t="e">
        <f>+SUMIFS(#REF!,#REF!,Planning[[#This Row],[Proyectos]],#REF!,Planning[[#This Row],[Tipo de Tarea y especialidad]])</f>
        <v>#REF!</v>
      </c>
      <c r="O3274" s="19">
        <f t="shared" si="102"/>
        <v>10</v>
      </c>
      <c r="P3274" s="19">
        <f t="shared" si="103"/>
        <v>2024</v>
      </c>
      <c r="Q32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74" s="19" t="str">
        <f>TEXT(Planning[[#This Row],[Mes]]*29,"mmmm")</f>
        <v>October</v>
      </c>
      <c r="S32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74" s="228"/>
      <c r="U3274" s="43">
        <f>IF(Planning[[#This Row],[Horas Planificadas]]&lt;&gt;0,+K3274/Planning[[#This Row],[Horas Planificadas]],0)</f>
        <v>0</v>
      </c>
      <c r="V3274" s="43">
        <f>IF(Planning[[#This Row],[Horas Planificadas]]&lt;&gt;0,Planning[[#This Row],[Horas utilizadas]]/Planning[[#This Row],[Horas Planificadas]],0)</f>
        <v>0</v>
      </c>
      <c r="W3274" s="44">
        <f>Planning[[#This Row],[Horas Planificadas]]+Planning[[#This Row],[Horas ajustadas adicionales]]</f>
        <v>0</v>
      </c>
      <c r="X3274" s="142"/>
    </row>
    <row r="3275" spans="1:24" x14ac:dyDescent="0.2">
      <c r="A3275" s="7"/>
      <c r="B3275" s="7"/>
      <c r="C3275" s="3"/>
      <c r="D3275" s="3" t="s">
        <v>613</v>
      </c>
      <c r="E3275" s="4"/>
      <c r="F3275" s="3" t="s">
        <v>126</v>
      </c>
      <c r="G3275" s="9"/>
      <c r="H3275" s="9"/>
      <c r="I3275" s="12"/>
      <c r="J3275" s="5" t="e">
        <f>SUM(SUMIFS(#REF!,#REF!,Planning[[#This Row],[Tipo de Tarea y especialidad]],#REF!,Planning[[#This Row],[Proyectos Reiwa]]),SUMIFS(#REF!,#REF!,Planning[[#This Row],[Tipo de Tarea y especialidad]],#REF!,Planning[[#This Row],[Proyectos]]))</f>
        <v>#REF!</v>
      </c>
      <c r="K3275" s="5" t="e">
        <f>Planning[[#This Row],[Horas Planificadas]]+Planning[[#This Row],[Horas ajustadas adicionales]]-Planning[[#This Row],[Horas utilizadas]]</f>
        <v>#REF!</v>
      </c>
      <c r="L3275" s="7"/>
      <c r="M3275" s="19" t="e">
        <f>Planning[[#This Row],[Saldo]]-Planning[[#This Row],[Saldo estimado]]</f>
        <v>#REF!</v>
      </c>
      <c r="N3275" s="60" t="e">
        <f>+SUMIFS(#REF!,#REF!,Planning[[#This Row],[Proyectos]],#REF!,Planning[[#This Row],[Tipo de Tarea y especialidad]])</f>
        <v>#REF!</v>
      </c>
      <c r="O3275" s="19">
        <f t="shared" si="102"/>
        <v>10</v>
      </c>
      <c r="P3275" s="19">
        <f t="shared" si="103"/>
        <v>2024</v>
      </c>
      <c r="Q32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75" s="19" t="str">
        <f>TEXT(Planning[[#This Row],[Mes]]*29,"mmmm")</f>
        <v>October</v>
      </c>
      <c r="S32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75" s="228"/>
      <c r="U3275" s="43">
        <f>IF(Planning[[#This Row],[Horas Planificadas]]&lt;&gt;0,+K3275/Planning[[#This Row],[Horas Planificadas]],0)</f>
        <v>0</v>
      </c>
      <c r="V3275" s="43">
        <f>IF(Planning[[#This Row],[Horas Planificadas]]&lt;&gt;0,Planning[[#This Row],[Horas utilizadas]]/Planning[[#This Row],[Horas Planificadas]],0)</f>
        <v>0</v>
      </c>
      <c r="W3275" s="44">
        <f>Planning[[#This Row],[Horas Planificadas]]+Planning[[#This Row],[Horas ajustadas adicionales]]</f>
        <v>0</v>
      </c>
      <c r="X3275" s="142"/>
    </row>
    <row r="3276" spans="1:24" x14ac:dyDescent="0.2">
      <c r="A3276" s="7"/>
      <c r="B3276" s="7"/>
      <c r="C3276" s="3"/>
      <c r="D3276" s="3" t="s">
        <v>613</v>
      </c>
      <c r="E3276" s="4"/>
      <c r="F3276" s="3" t="s">
        <v>127</v>
      </c>
      <c r="G3276" s="9"/>
      <c r="H3276" s="9"/>
      <c r="I3276" s="12"/>
      <c r="J3276" s="5" t="e">
        <f>SUM(SUMIFS(#REF!,#REF!,Planning[[#This Row],[Tipo de Tarea y especialidad]],#REF!,Planning[[#This Row],[Proyectos Reiwa]]),SUMIFS(#REF!,#REF!,Planning[[#This Row],[Tipo de Tarea y especialidad]],#REF!,Planning[[#This Row],[Proyectos]]))</f>
        <v>#REF!</v>
      </c>
      <c r="K3276" s="5" t="e">
        <f>Planning[[#This Row],[Horas Planificadas]]+Planning[[#This Row],[Horas ajustadas adicionales]]-Planning[[#This Row],[Horas utilizadas]]</f>
        <v>#REF!</v>
      </c>
      <c r="L3276" s="7"/>
      <c r="M3276" s="19" t="e">
        <f>Planning[[#This Row],[Saldo]]-Planning[[#This Row],[Saldo estimado]]</f>
        <v>#REF!</v>
      </c>
      <c r="N3276" s="60" t="e">
        <f>+SUMIFS(#REF!,#REF!,Planning[[#This Row],[Proyectos]],#REF!,Planning[[#This Row],[Tipo de Tarea y especialidad]])</f>
        <v>#REF!</v>
      </c>
      <c r="O3276" s="19">
        <f t="shared" si="102"/>
        <v>10</v>
      </c>
      <c r="P3276" s="19">
        <f t="shared" si="103"/>
        <v>2024</v>
      </c>
      <c r="Q32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76" s="19" t="str">
        <f>TEXT(Planning[[#This Row],[Mes]]*29,"mmmm")</f>
        <v>October</v>
      </c>
      <c r="S32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76" s="228"/>
      <c r="U3276" s="43">
        <f>IF(Planning[[#This Row],[Horas Planificadas]]&lt;&gt;0,+K3276/Planning[[#This Row],[Horas Planificadas]],0)</f>
        <v>0</v>
      </c>
      <c r="V3276" s="43">
        <f>IF(Planning[[#This Row],[Horas Planificadas]]&lt;&gt;0,Planning[[#This Row],[Horas utilizadas]]/Planning[[#This Row],[Horas Planificadas]],0)</f>
        <v>0</v>
      </c>
      <c r="W3276" s="44">
        <f>Planning[[#This Row],[Horas Planificadas]]+Planning[[#This Row],[Horas ajustadas adicionales]]</f>
        <v>0</v>
      </c>
      <c r="X3276" s="142"/>
    </row>
    <row r="3277" spans="1:24" x14ac:dyDescent="0.2">
      <c r="A3277" s="7"/>
      <c r="B3277" s="7"/>
      <c r="C3277" s="3"/>
      <c r="D3277" s="3" t="s">
        <v>613</v>
      </c>
      <c r="E3277" s="4"/>
      <c r="F3277" s="3" t="s">
        <v>128</v>
      </c>
      <c r="G3277" s="9"/>
      <c r="H3277" s="9"/>
      <c r="I3277" s="12"/>
      <c r="J3277" s="5" t="e">
        <f>SUM(SUMIFS(#REF!,#REF!,Planning[[#This Row],[Tipo de Tarea y especialidad]],#REF!,Planning[[#This Row],[Proyectos Reiwa]]),SUMIFS(#REF!,#REF!,Planning[[#This Row],[Tipo de Tarea y especialidad]],#REF!,Planning[[#This Row],[Proyectos]]))</f>
        <v>#REF!</v>
      </c>
      <c r="K3277" s="5" t="e">
        <f>Planning[[#This Row],[Horas Planificadas]]+Planning[[#This Row],[Horas ajustadas adicionales]]-Planning[[#This Row],[Horas utilizadas]]</f>
        <v>#REF!</v>
      </c>
      <c r="L3277" s="7"/>
      <c r="M3277" s="19" t="e">
        <f>Planning[[#This Row],[Saldo]]-Planning[[#This Row],[Saldo estimado]]</f>
        <v>#REF!</v>
      </c>
      <c r="N3277" s="60" t="e">
        <f>+SUMIFS(#REF!,#REF!,Planning[[#This Row],[Proyectos]],#REF!,Planning[[#This Row],[Tipo de Tarea y especialidad]])</f>
        <v>#REF!</v>
      </c>
      <c r="O3277" s="19">
        <f t="shared" si="102"/>
        <v>10</v>
      </c>
      <c r="P3277" s="19">
        <f t="shared" si="103"/>
        <v>2024</v>
      </c>
      <c r="Q32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77" s="19" t="str">
        <f>TEXT(Planning[[#This Row],[Mes]]*29,"mmmm")</f>
        <v>October</v>
      </c>
      <c r="S32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77" s="228"/>
      <c r="U3277" s="43">
        <f>IF(Planning[[#This Row],[Horas Planificadas]]&lt;&gt;0,+K3277/Planning[[#This Row],[Horas Planificadas]],0)</f>
        <v>0</v>
      </c>
      <c r="V3277" s="43">
        <f>IF(Planning[[#This Row],[Horas Planificadas]]&lt;&gt;0,Planning[[#This Row],[Horas utilizadas]]/Planning[[#This Row],[Horas Planificadas]],0)</f>
        <v>0</v>
      </c>
      <c r="W3277" s="44">
        <f>Planning[[#This Row],[Horas Planificadas]]+Planning[[#This Row],[Horas ajustadas adicionales]]</f>
        <v>0</v>
      </c>
      <c r="X3277" s="142"/>
    </row>
    <row r="3278" spans="1:24" x14ac:dyDescent="0.2">
      <c r="A3278" s="7"/>
      <c r="B3278" s="7"/>
      <c r="C3278" s="3"/>
      <c r="D3278" s="3" t="s">
        <v>613</v>
      </c>
      <c r="E3278" s="4" t="s">
        <v>31</v>
      </c>
      <c r="F3278" s="3" t="s">
        <v>31</v>
      </c>
      <c r="G3278" s="9"/>
      <c r="H3278" s="17">
        <v>0</v>
      </c>
      <c r="I3278" s="18"/>
      <c r="J3278" s="14" t="e">
        <f>+SUMIFS(#REF!,#REF!,Planning[[#This Row],[Tarifa]],#REF!,Planning[[#This Row],[Proyectos]])</f>
        <v>#REF!</v>
      </c>
      <c r="K3278" s="14" t="e">
        <f>Planning[[#This Row],[Horas Planificadas]]+Planning[[#This Row],[Horas ajustadas adicionales]]-Planning[[#This Row],[Horas utilizadas]]</f>
        <v>#REF!</v>
      </c>
      <c r="L3278" s="15"/>
      <c r="M3278" s="16" t="e">
        <f>Planning[[#This Row],[Saldo]]-Planning[[#This Row],[Saldo estimado]]</f>
        <v>#REF!</v>
      </c>
      <c r="N3278" s="60" t="e">
        <f>+SUMIFS(#REF!,#REF!,Planning[[#This Row],[Proyectos]],#REF!,Planning[[#This Row],[Tipo de Tarea y especialidad]])</f>
        <v>#REF!</v>
      </c>
      <c r="O3278" s="16">
        <f t="shared" si="102"/>
        <v>10</v>
      </c>
      <c r="P3278" s="16">
        <f t="shared" si="103"/>
        <v>2024</v>
      </c>
      <c r="Q3278" s="16" t="e">
        <f>+SUMIFS(#REF!,#REF!,Planning[[#This Row],[Tarifa]],#REF!,Planning[[#This Row],[Proyectos]],#REF!,Planning[[#This Row],[Mes]],#REF!,Planning[[#This Row],[Año]])</f>
        <v>#REF!</v>
      </c>
      <c r="R3278" s="16" t="str">
        <f>TEXT(Planning[[#This Row],[Mes]]*29,"mmmm")</f>
        <v>October</v>
      </c>
      <c r="S32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78" s="228"/>
      <c r="U3278" s="43">
        <f>IF(Planning[[#This Row],[Horas Planificadas]]&lt;&gt;0,+K3278/Planning[[#This Row],[Horas Planificadas]],0)</f>
        <v>0</v>
      </c>
      <c r="V3278" s="43">
        <f>IF(Planning[[#This Row],[Horas Planificadas]]&lt;&gt;0,Planning[[#This Row],[Horas utilizadas]]/Planning[[#This Row],[Horas Planificadas]],0)</f>
        <v>0</v>
      </c>
      <c r="W3278" s="44">
        <f>Planning[[#This Row],[Horas Planificadas]]+Planning[[#This Row],[Horas ajustadas adicionales]]</f>
        <v>0</v>
      </c>
      <c r="X3278" s="142"/>
    </row>
    <row r="3279" spans="1:24" ht="22.5" x14ac:dyDescent="0.2">
      <c r="A3279" s="7"/>
      <c r="B3279" s="7"/>
      <c r="C3279" s="3"/>
      <c r="D3279" s="3" t="s">
        <v>613</v>
      </c>
      <c r="E3279" s="4" t="s">
        <v>32</v>
      </c>
      <c r="F3279" s="3"/>
      <c r="G3279" s="9"/>
      <c r="H3279" s="14">
        <f>SUM(H3280:H3282)</f>
        <v>0</v>
      </c>
      <c r="I3279" s="14"/>
      <c r="J3279" s="14" t="e">
        <f>SUM(J3280:J3282)</f>
        <v>#REF!</v>
      </c>
      <c r="K3279" s="15" t="e">
        <f>SUM(K3280:K3282)</f>
        <v>#REF!</v>
      </c>
      <c r="L3279" s="15">
        <f>SUM(L3280:L3282)</f>
        <v>0</v>
      </c>
      <c r="M3279" s="16" t="e">
        <f>SUM(M3280:M3282)</f>
        <v>#REF!</v>
      </c>
      <c r="N3279" s="60" t="e">
        <f>+SUMIFS(#REF!,#REF!,Planning[[#This Row],[Proyectos]],#REF!,Planning[[#This Row],[Tipo de Tarea y especialidad]])</f>
        <v>#REF!</v>
      </c>
      <c r="O3279" s="16">
        <f t="shared" si="102"/>
        <v>10</v>
      </c>
      <c r="P3279" s="16">
        <f t="shared" si="103"/>
        <v>2024</v>
      </c>
      <c r="Q3279" s="16" t="e">
        <f>SUM(Q3280:Q3282)</f>
        <v>#REF!</v>
      </c>
      <c r="R3279" s="16" t="str">
        <f>TEXT(Planning[[#This Row],[Mes]]*29,"mmmm")</f>
        <v>October</v>
      </c>
      <c r="S32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79" s="228"/>
      <c r="U3279" s="43">
        <f>IF(Planning[[#This Row],[Horas Planificadas]]&lt;&gt;0,+K3279/Planning[[#This Row],[Horas Planificadas]],0)</f>
        <v>0</v>
      </c>
      <c r="V3279" s="43">
        <f>IF(Planning[[#This Row],[Horas Planificadas]]&lt;&gt;0,Planning[[#This Row],[Horas utilizadas]]/Planning[[#This Row],[Horas Planificadas]],0)</f>
        <v>0</v>
      </c>
      <c r="W3279" s="44">
        <f>Planning[[#This Row],[Horas Planificadas]]+Planning[[#This Row],[Horas ajustadas adicionales]]</f>
        <v>0</v>
      </c>
      <c r="X3279" s="142"/>
    </row>
    <row r="3280" spans="1:24" x14ac:dyDescent="0.2">
      <c r="A3280" s="7"/>
      <c r="B3280" s="7"/>
      <c r="C3280" s="3"/>
      <c r="D3280" s="3" t="s">
        <v>613</v>
      </c>
      <c r="E3280" s="4"/>
      <c r="F3280" s="3" t="s">
        <v>129</v>
      </c>
      <c r="G3280" s="9"/>
      <c r="H3280" s="9"/>
      <c r="I3280" s="12"/>
      <c r="J3280" s="5" t="e">
        <f>SUM(SUMIFS(#REF!,#REF!,Planning[[#This Row],[Tipo de Tarea y especialidad]],#REF!,Planning[[#This Row],[Proyectos Reiwa]]),SUMIFS(#REF!,#REF!,Planning[[#This Row],[Tipo de Tarea y especialidad]],#REF!,Planning[[#This Row],[Proyectos]]))</f>
        <v>#REF!</v>
      </c>
      <c r="K3280" s="5" t="e">
        <f>Planning[[#This Row],[Horas Planificadas]]+Planning[[#This Row],[Horas ajustadas adicionales]]-Planning[[#This Row],[Horas utilizadas]]</f>
        <v>#REF!</v>
      </c>
      <c r="L3280" s="7"/>
      <c r="M3280" s="19" t="e">
        <f>Planning[[#This Row],[Saldo]]-Planning[[#This Row],[Saldo estimado]]</f>
        <v>#REF!</v>
      </c>
      <c r="N3280" s="60" t="e">
        <f>+SUMIFS(#REF!,#REF!,Planning[[#This Row],[Proyectos]],#REF!,Planning[[#This Row],[Tipo de Tarea y especialidad]])</f>
        <v>#REF!</v>
      </c>
      <c r="O3280" s="19">
        <f t="shared" si="102"/>
        <v>10</v>
      </c>
      <c r="P3280" s="19">
        <f t="shared" si="103"/>
        <v>2024</v>
      </c>
      <c r="Q32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80" s="19" t="str">
        <f>TEXT(Planning[[#This Row],[Mes]]*29,"mmmm")</f>
        <v>October</v>
      </c>
      <c r="S32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80" s="228"/>
      <c r="U3280" s="43">
        <f>IF(Planning[[#This Row],[Horas Planificadas]]&lt;&gt;0,+K3280/Planning[[#This Row],[Horas Planificadas]],0)</f>
        <v>0</v>
      </c>
      <c r="V3280" s="43">
        <f>IF(Planning[[#This Row],[Horas Planificadas]]&lt;&gt;0,Planning[[#This Row],[Horas utilizadas]]/Planning[[#This Row],[Horas Planificadas]],0)</f>
        <v>0</v>
      </c>
      <c r="W3280" s="44">
        <f>Planning[[#This Row],[Horas Planificadas]]+Planning[[#This Row],[Horas ajustadas adicionales]]</f>
        <v>0</v>
      </c>
      <c r="X3280" s="142"/>
    </row>
    <row r="3281" spans="1:24" x14ac:dyDescent="0.2">
      <c r="A3281" s="7"/>
      <c r="B3281" s="7"/>
      <c r="C3281" s="3"/>
      <c r="D3281" s="3" t="s">
        <v>613</v>
      </c>
      <c r="E3281" s="4"/>
      <c r="F3281" s="3" t="s">
        <v>130</v>
      </c>
      <c r="G3281" s="9"/>
      <c r="H3281" s="9"/>
      <c r="I3281" s="12"/>
      <c r="J3281" s="5" t="e">
        <f>SUM(SUMIFS(#REF!,#REF!,Planning[[#This Row],[Tipo de Tarea y especialidad]],#REF!,Planning[[#This Row],[Proyectos Reiwa]]),SUMIFS(#REF!,#REF!,Planning[[#This Row],[Tipo de Tarea y especialidad]],#REF!,Planning[[#This Row],[Proyectos]]))</f>
        <v>#REF!</v>
      </c>
      <c r="K3281" s="5" t="e">
        <f>Planning[[#This Row],[Horas Planificadas]]+Planning[[#This Row],[Horas ajustadas adicionales]]-Planning[[#This Row],[Horas utilizadas]]</f>
        <v>#REF!</v>
      </c>
      <c r="L3281" s="7"/>
      <c r="M3281" s="19" t="e">
        <f>Planning[[#This Row],[Saldo]]-Planning[[#This Row],[Saldo estimado]]</f>
        <v>#REF!</v>
      </c>
      <c r="N3281" s="60" t="e">
        <f>+SUMIFS(#REF!,#REF!,Planning[[#This Row],[Proyectos]],#REF!,Planning[[#This Row],[Tipo de Tarea y especialidad]])</f>
        <v>#REF!</v>
      </c>
      <c r="O3281" s="19">
        <f t="shared" si="102"/>
        <v>10</v>
      </c>
      <c r="P3281" s="19">
        <f t="shared" si="103"/>
        <v>2024</v>
      </c>
      <c r="Q32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81" s="19" t="str">
        <f>TEXT(Planning[[#This Row],[Mes]]*29,"mmmm")</f>
        <v>October</v>
      </c>
      <c r="S32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81" s="228"/>
      <c r="U3281" s="43">
        <f>IF(Planning[[#This Row],[Horas Planificadas]]&lt;&gt;0,+K3281/Planning[[#This Row],[Horas Planificadas]],0)</f>
        <v>0</v>
      </c>
      <c r="V3281" s="43">
        <f>IF(Planning[[#This Row],[Horas Planificadas]]&lt;&gt;0,Planning[[#This Row],[Horas utilizadas]]/Planning[[#This Row],[Horas Planificadas]],0)</f>
        <v>0</v>
      </c>
      <c r="W3281" s="44">
        <f>Planning[[#This Row],[Horas Planificadas]]+Planning[[#This Row],[Horas ajustadas adicionales]]</f>
        <v>0</v>
      </c>
      <c r="X3281" s="142"/>
    </row>
    <row r="3282" spans="1:24" x14ac:dyDescent="0.2">
      <c r="A3282" s="7"/>
      <c r="B3282" s="7"/>
      <c r="C3282" s="3"/>
      <c r="D3282" s="3" t="s">
        <v>613</v>
      </c>
      <c r="E3282" s="4"/>
      <c r="F3282" s="3" t="s">
        <v>131</v>
      </c>
      <c r="G3282" s="9"/>
      <c r="H3282" s="9"/>
      <c r="I3282" s="12"/>
      <c r="J3282" s="5" t="e">
        <f>SUM(SUMIFS(#REF!,#REF!,Planning[[#This Row],[Tipo de Tarea y especialidad]],#REF!,Planning[[#This Row],[Proyectos Reiwa]]),SUMIFS(#REF!,#REF!,Planning[[#This Row],[Tipo de Tarea y especialidad]],#REF!,Planning[[#This Row],[Proyectos]]))</f>
        <v>#REF!</v>
      </c>
      <c r="K3282" s="5" t="e">
        <f>Planning[[#This Row],[Horas Planificadas]]+Planning[[#This Row],[Horas ajustadas adicionales]]-Planning[[#This Row],[Horas utilizadas]]</f>
        <v>#REF!</v>
      </c>
      <c r="L3282" s="7"/>
      <c r="M3282" s="19" t="e">
        <f>Planning[[#This Row],[Saldo]]-Planning[[#This Row],[Saldo estimado]]</f>
        <v>#REF!</v>
      </c>
      <c r="N3282" s="60" t="e">
        <f>+SUMIFS(#REF!,#REF!,Planning[[#This Row],[Proyectos]],#REF!,Planning[[#This Row],[Tipo de Tarea y especialidad]])</f>
        <v>#REF!</v>
      </c>
      <c r="O3282" s="19">
        <f t="shared" si="102"/>
        <v>10</v>
      </c>
      <c r="P3282" s="19">
        <f t="shared" si="103"/>
        <v>2024</v>
      </c>
      <c r="Q32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82" s="19" t="str">
        <f>TEXT(Planning[[#This Row],[Mes]]*29,"mmmm")</f>
        <v>October</v>
      </c>
      <c r="S32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82" s="228"/>
      <c r="U3282" s="43">
        <f>IF(Planning[[#This Row],[Horas Planificadas]]&lt;&gt;0,+K3282/Planning[[#This Row],[Horas Planificadas]],0)</f>
        <v>0</v>
      </c>
      <c r="V3282" s="43">
        <f>IF(Planning[[#This Row],[Horas Planificadas]]&lt;&gt;0,Planning[[#This Row],[Horas utilizadas]]/Planning[[#This Row],[Horas Planificadas]],0)</f>
        <v>0</v>
      </c>
      <c r="W3282" s="44">
        <f>Planning[[#This Row],[Horas Planificadas]]+Planning[[#This Row],[Horas ajustadas adicionales]]</f>
        <v>0</v>
      </c>
      <c r="X3282" s="142"/>
    </row>
    <row r="3283" spans="1:24" ht="22.5" x14ac:dyDescent="0.2">
      <c r="A3283" s="7"/>
      <c r="B3283" s="7"/>
      <c r="C3283" s="3"/>
      <c r="D3283" s="3" t="s">
        <v>614</v>
      </c>
      <c r="E3283" s="4" t="s">
        <v>28</v>
      </c>
      <c r="F3283" s="3"/>
      <c r="G3283" s="9"/>
      <c r="H3283" s="14">
        <f>SUM(H3284:H3285)</f>
        <v>0</v>
      </c>
      <c r="I3283" s="14"/>
      <c r="J3283" s="14" t="e">
        <f>SUM(J3284:J3285)</f>
        <v>#REF!</v>
      </c>
      <c r="K3283" s="15" t="e">
        <f>SUM(K3284:K3285)</f>
        <v>#REF!</v>
      </c>
      <c r="L3283" s="15">
        <f>SUM(L3284:L3285)</f>
        <v>0</v>
      </c>
      <c r="M3283" s="14" t="e">
        <f>SUM(M3284:M3285)</f>
        <v>#REF!</v>
      </c>
      <c r="N3283" s="66" t="e">
        <f>+SUMIFS(#REF!,#REF!,Planning[[#This Row],[Proyectos]],#REF!,Planning[[#This Row],[Tipo de Tarea y especialidad]])</f>
        <v>#REF!</v>
      </c>
      <c r="O3283" s="14">
        <f t="shared" si="102"/>
        <v>10</v>
      </c>
      <c r="P3283" s="14">
        <f t="shared" si="103"/>
        <v>2024</v>
      </c>
      <c r="Q3283" s="28" t="e">
        <f>SUM(Q3284:Q3285)</f>
        <v>#REF!</v>
      </c>
      <c r="R3283" s="28" t="str">
        <f>TEXT(Planning[[#This Row],[Mes]]*29,"mmmm")</f>
        <v>October</v>
      </c>
      <c r="S32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83" s="228"/>
      <c r="U3283" s="43">
        <f>IF(Planning[[#This Row],[Horas Planificadas]]&lt;&gt;0,+K3283/Planning[[#This Row],[Horas Planificadas]],0)</f>
        <v>0</v>
      </c>
      <c r="V3283" s="43">
        <f>IF(Planning[[#This Row],[Horas Planificadas]]&lt;&gt;0,Planning[[#This Row],[Horas utilizadas]]/Planning[[#This Row],[Horas Planificadas]],0)</f>
        <v>0</v>
      </c>
      <c r="W3283" s="44">
        <f>Planning[[#This Row],[Horas Planificadas]]+Planning[[#This Row],[Horas ajustadas adicionales]]</f>
        <v>0</v>
      </c>
      <c r="X3283" s="142"/>
    </row>
    <row r="3284" spans="1:24" x14ac:dyDescent="0.2">
      <c r="A3284" s="7"/>
      <c r="B3284" s="7"/>
      <c r="C3284" s="3"/>
      <c r="D3284" s="3" t="s">
        <v>614</v>
      </c>
      <c r="E3284" s="4"/>
      <c r="F3284" s="3" t="s">
        <v>120</v>
      </c>
      <c r="G3284" s="9"/>
      <c r="H3284" s="9"/>
      <c r="I3284" s="12"/>
      <c r="J3284" s="5" t="e">
        <f>SUM(SUMIFS(#REF!,#REF!,Planning[[#This Row],[Tipo de Tarea y especialidad]],#REF!,Planning[[#This Row],[Proyectos Reiwa]]),SUMIFS(#REF!,#REF!,Planning[[#This Row],[Tipo de Tarea y especialidad]],#REF!,Planning[[#This Row],[Proyectos]]))</f>
        <v>#REF!</v>
      </c>
      <c r="K3284" s="5" t="e">
        <f>Planning[[#This Row],[Horas Planificadas]]+Planning[[#This Row],[Horas ajustadas adicionales]]-Planning[[#This Row],[Horas utilizadas]]</f>
        <v>#REF!</v>
      </c>
      <c r="L3284" s="7"/>
      <c r="M3284" s="19" t="e">
        <f>Planning[[#This Row],[Saldo]]-Planning[[#This Row],[Saldo estimado]]</f>
        <v>#REF!</v>
      </c>
      <c r="N3284" s="60" t="e">
        <f>+SUMIFS(#REF!,#REF!,Planning[[#This Row],[Proyectos]],#REF!,Planning[[#This Row],[Tipo de Tarea y especialidad]])</f>
        <v>#REF!</v>
      </c>
      <c r="O3284" s="19">
        <f t="shared" si="102"/>
        <v>10</v>
      </c>
      <c r="P3284" s="19">
        <f t="shared" si="103"/>
        <v>2024</v>
      </c>
      <c r="Q32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84" s="19" t="str">
        <f>TEXT(Planning[[#This Row],[Mes]]*29,"mmmm")</f>
        <v>October</v>
      </c>
      <c r="S32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84" s="228"/>
      <c r="U3284" s="43">
        <f>IF(Planning[[#This Row],[Horas Planificadas]]&lt;&gt;0,+K3284/Planning[[#This Row],[Horas Planificadas]],0)</f>
        <v>0</v>
      </c>
      <c r="V3284" s="43">
        <f>IF(Planning[[#This Row],[Horas Planificadas]]&lt;&gt;0,Planning[[#This Row],[Horas utilizadas]]/Planning[[#This Row],[Horas Planificadas]],0)</f>
        <v>0</v>
      </c>
      <c r="W3284" s="44">
        <f>Planning[[#This Row],[Horas Planificadas]]+Planning[[#This Row],[Horas ajustadas adicionales]]</f>
        <v>0</v>
      </c>
      <c r="X3284" s="142"/>
    </row>
    <row r="3285" spans="1:24" x14ac:dyDescent="0.2">
      <c r="A3285" s="7"/>
      <c r="B3285" s="7"/>
      <c r="C3285" s="3"/>
      <c r="D3285" s="3" t="s">
        <v>614</v>
      </c>
      <c r="E3285" s="4"/>
      <c r="F3285" s="3" t="s">
        <v>121</v>
      </c>
      <c r="G3285" s="9"/>
      <c r="H3285" s="9"/>
      <c r="I3285" s="12"/>
      <c r="J3285" s="5" t="e">
        <f>SUM(SUMIFS(#REF!,#REF!,Planning[[#This Row],[Tipo de Tarea y especialidad]],#REF!,Planning[[#This Row],[Proyectos Reiwa]]),SUMIFS(#REF!,#REF!,Planning[[#This Row],[Tipo de Tarea y especialidad]],#REF!,Planning[[#This Row],[Proyectos]]))</f>
        <v>#REF!</v>
      </c>
      <c r="K3285" s="5" t="e">
        <f>Planning[[#This Row],[Horas Planificadas]]+Planning[[#This Row],[Horas ajustadas adicionales]]-Planning[[#This Row],[Horas utilizadas]]</f>
        <v>#REF!</v>
      </c>
      <c r="L3285" s="7"/>
      <c r="M3285" s="19" t="e">
        <f>Planning[[#This Row],[Saldo]]-Planning[[#This Row],[Saldo estimado]]</f>
        <v>#REF!</v>
      </c>
      <c r="N3285" s="60" t="e">
        <f>+SUMIFS(#REF!,#REF!,Planning[[#This Row],[Proyectos]],#REF!,Planning[[#This Row],[Tipo de Tarea y especialidad]])</f>
        <v>#REF!</v>
      </c>
      <c r="O3285" s="19">
        <f t="shared" si="102"/>
        <v>10</v>
      </c>
      <c r="P3285" s="19">
        <f t="shared" si="103"/>
        <v>2024</v>
      </c>
      <c r="Q32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85" s="19" t="str">
        <f>TEXT(Planning[[#This Row],[Mes]]*29,"mmmm")</f>
        <v>October</v>
      </c>
      <c r="S32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85" s="228"/>
      <c r="U3285" s="43">
        <f>IF(Planning[[#This Row],[Horas Planificadas]]&lt;&gt;0,+K3285/Planning[[#This Row],[Horas Planificadas]],0)</f>
        <v>0</v>
      </c>
      <c r="V3285" s="43">
        <f>IF(Planning[[#This Row],[Horas Planificadas]]&lt;&gt;0,Planning[[#This Row],[Horas utilizadas]]/Planning[[#This Row],[Horas Planificadas]],0)</f>
        <v>0</v>
      </c>
      <c r="W3285" s="44">
        <f>Planning[[#This Row],[Horas Planificadas]]+Planning[[#This Row],[Horas ajustadas adicionales]]</f>
        <v>0</v>
      </c>
      <c r="X3285" s="142"/>
    </row>
    <row r="3286" spans="1:24" x14ac:dyDescent="0.2">
      <c r="A3286" s="7"/>
      <c r="B3286" s="7"/>
      <c r="C3286" s="3"/>
      <c r="D3286" s="3" t="s">
        <v>614</v>
      </c>
      <c r="E3286" s="4" t="s">
        <v>30</v>
      </c>
      <c r="F3286" s="3"/>
      <c r="G3286" s="9"/>
      <c r="H3286" s="14">
        <f>SUM(H3287:H3293)</f>
        <v>0</v>
      </c>
      <c r="I3286" s="14"/>
      <c r="J3286" s="14" t="e">
        <f>SUM(J3287:J3293)</f>
        <v>#REF!</v>
      </c>
      <c r="K3286" s="15" t="e">
        <f>SUM(K3287:K3293)</f>
        <v>#REF!</v>
      </c>
      <c r="L3286" s="15">
        <f>SUM(L3287:L3293)</f>
        <v>0</v>
      </c>
      <c r="M3286" s="16" t="e">
        <f>SUM(M3287:M3293)</f>
        <v>#REF!</v>
      </c>
      <c r="N3286" s="60" t="e">
        <f>+SUMIFS(#REF!,#REF!,Planning[[#This Row],[Proyectos]],#REF!,Planning[[#This Row],[Tipo de Tarea y especialidad]])</f>
        <v>#REF!</v>
      </c>
      <c r="O3286" s="16">
        <f t="shared" si="102"/>
        <v>10</v>
      </c>
      <c r="P3286" s="16">
        <f t="shared" si="103"/>
        <v>2024</v>
      </c>
      <c r="Q3286" s="16" t="e">
        <f>SUM(Q3287:Q3293)</f>
        <v>#REF!</v>
      </c>
      <c r="R3286" s="16" t="str">
        <f>TEXT(Planning[[#This Row],[Mes]]*29,"mmmm")</f>
        <v>October</v>
      </c>
      <c r="S32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86" s="228"/>
      <c r="U3286" s="43">
        <f>IF(Planning[[#This Row],[Horas Planificadas]]&lt;&gt;0,+K3286/Planning[[#This Row],[Horas Planificadas]],0)</f>
        <v>0</v>
      </c>
      <c r="V3286" s="43">
        <f>IF(Planning[[#This Row],[Horas Planificadas]]&lt;&gt;0,Planning[[#This Row],[Horas utilizadas]]/Planning[[#This Row],[Horas Planificadas]],0)</f>
        <v>0</v>
      </c>
      <c r="W3286" s="44">
        <f>Planning[[#This Row],[Horas Planificadas]]+Planning[[#This Row],[Horas ajustadas adicionales]]</f>
        <v>0</v>
      </c>
      <c r="X3286" s="142"/>
    </row>
    <row r="3287" spans="1:24" x14ac:dyDescent="0.2">
      <c r="A3287" s="7"/>
      <c r="B3287" s="7"/>
      <c r="C3287" s="3"/>
      <c r="D3287" s="3" t="s">
        <v>614</v>
      </c>
      <c r="E3287" s="4"/>
      <c r="F3287" s="3" t="s">
        <v>122</v>
      </c>
      <c r="G3287" s="9"/>
      <c r="H3287" s="9"/>
      <c r="I3287" s="12"/>
      <c r="J3287" s="5" t="e">
        <f>SUM(SUMIFS(#REF!,#REF!,Planning[[#This Row],[Tipo de Tarea y especialidad]],#REF!,Planning[[#This Row],[Proyectos Reiwa]]),SUMIFS(#REF!,#REF!,Planning[[#This Row],[Tipo de Tarea y especialidad]],#REF!,Planning[[#This Row],[Proyectos]]))</f>
        <v>#REF!</v>
      </c>
      <c r="K3287" s="5" t="e">
        <f>Planning[[#This Row],[Horas Planificadas]]+Planning[[#This Row],[Horas ajustadas adicionales]]-Planning[[#This Row],[Horas utilizadas]]</f>
        <v>#REF!</v>
      </c>
      <c r="L3287" s="7"/>
      <c r="M3287" s="19" t="e">
        <f>Planning[[#This Row],[Saldo]]-Planning[[#This Row],[Saldo estimado]]</f>
        <v>#REF!</v>
      </c>
      <c r="N3287" s="60" t="e">
        <f>+SUMIFS(#REF!,#REF!,Planning[[#This Row],[Proyectos]],#REF!,Planning[[#This Row],[Tipo de Tarea y especialidad]])</f>
        <v>#REF!</v>
      </c>
      <c r="O3287" s="19">
        <f t="shared" si="102"/>
        <v>10</v>
      </c>
      <c r="P3287" s="19">
        <f t="shared" si="103"/>
        <v>2024</v>
      </c>
      <c r="Q32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87" s="19" t="str">
        <f>TEXT(Planning[[#This Row],[Mes]]*29,"mmmm")</f>
        <v>October</v>
      </c>
      <c r="S32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87" s="228"/>
      <c r="U3287" s="43">
        <f>IF(Planning[[#This Row],[Horas Planificadas]]&lt;&gt;0,+K3287/Planning[[#This Row],[Horas Planificadas]],0)</f>
        <v>0</v>
      </c>
      <c r="V3287" s="43">
        <f>IF(Planning[[#This Row],[Horas Planificadas]]&lt;&gt;0,Planning[[#This Row],[Horas utilizadas]]/Planning[[#This Row],[Horas Planificadas]],0)</f>
        <v>0</v>
      </c>
      <c r="W3287" s="44">
        <f>Planning[[#This Row],[Horas Planificadas]]+Planning[[#This Row],[Horas ajustadas adicionales]]</f>
        <v>0</v>
      </c>
      <c r="X3287" s="142"/>
    </row>
    <row r="3288" spans="1:24" x14ac:dyDescent="0.2">
      <c r="A3288" s="7"/>
      <c r="B3288" s="7"/>
      <c r="C3288" s="3"/>
      <c r="D3288" s="3" t="s">
        <v>614</v>
      </c>
      <c r="E3288" s="4"/>
      <c r="F3288" s="3" t="s">
        <v>123</v>
      </c>
      <c r="G3288" s="9"/>
      <c r="H3288" s="9"/>
      <c r="I3288" s="12"/>
      <c r="J3288" s="5" t="e">
        <f>SUM(SUMIFS(#REF!,#REF!,Planning[[#This Row],[Tipo de Tarea y especialidad]],#REF!,Planning[[#This Row],[Proyectos Reiwa]]),SUMIFS(#REF!,#REF!,Planning[[#This Row],[Tipo de Tarea y especialidad]],#REF!,Planning[[#This Row],[Proyectos]]))</f>
        <v>#REF!</v>
      </c>
      <c r="K3288" s="5" t="e">
        <f>Planning[[#This Row],[Horas Planificadas]]+Planning[[#This Row],[Horas ajustadas adicionales]]-Planning[[#This Row],[Horas utilizadas]]</f>
        <v>#REF!</v>
      </c>
      <c r="L3288" s="7"/>
      <c r="M3288" s="19" t="e">
        <f>Planning[[#This Row],[Saldo]]-Planning[[#This Row],[Saldo estimado]]</f>
        <v>#REF!</v>
      </c>
      <c r="N3288" s="60" t="e">
        <f>+SUMIFS(#REF!,#REF!,Planning[[#This Row],[Proyectos]],#REF!,Planning[[#This Row],[Tipo de Tarea y especialidad]])</f>
        <v>#REF!</v>
      </c>
      <c r="O3288" s="19">
        <f t="shared" si="102"/>
        <v>10</v>
      </c>
      <c r="P3288" s="19">
        <f t="shared" si="103"/>
        <v>2024</v>
      </c>
      <c r="Q32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88" s="19" t="str">
        <f>TEXT(Planning[[#This Row],[Mes]]*29,"mmmm")</f>
        <v>October</v>
      </c>
      <c r="S32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88" s="228"/>
      <c r="U3288" s="43">
        <f>IF(Planning[[#This Row],[Horas Planificadas]]&lt;&gt;0,+K3288/Planning[[#This Row],[Horas Planificadas]],0)</f>
        <v>0</v>
      </c>
      <c r="V3288" s="43">
        <f>IF(Planning[[#This Row],[Horas Planificadas]]&lt;&gt;0,Planning[[#This Row],[Horas utilizadas]]/Planning[[#This Row],[Horas Planificadas]],0)</f>
        <v>0</v>
      </c>
      <c r="W3288" s="44">
        <f>Planning[[#This Row],[Horas Planificadas]]+Planning[[#This Row],[Horas ajustadas adicionales]]</f>
        <v>0</v>
      </c>
      <c r="X3288" s="142"/>
    </row>
    <row r="3289" spans="1:24" x14ac:dyDescent="0.2">
      <c r="A3289" s="7"/>
      <c r="B3289" s="7"/>
      <c r="C3289" s="3"/>
      <c r="D3289" s="3" t="s">
        <v>614</v>
      </c>
      <c r="E3289" s="4"/>
      <c r="F3289" s="3" t="s">
        <v>124</v>
      </c>
      <c r="G3289" s="9"/>
      <c r="H3289" s="9"/>
      <c r="I3289" s="12"/>
      <c r="J3289" s="5" t="e">
        <f>SUM(SUMIFS(#REF!,#REF!,Planning[[#This Row],[Tipo de Tarea y especialidad]],#REF!,Planning[[#This Row],[Proyectos Reiwa]]),SUMIFS(#REF!,#REF!,Planning[[#This Row],[Tipo de Tarea y especialidad]],#REF!,Planning[[#This Row],[Proyectos]]))</f>
        <v>#REF!</v>
      </c>
      <c r="K3289" s="5" t="e">
        <f>Planning[[#This Row],[Horas Planificadas]]+Planning[[#This Row],[Horas ajustadas adicionales]]-Planning[[#This Row],[Horas utilizadas]]</f>
        <v>#REF!</v>
      </c>
      <c r="L3289" s="7"/>
      <c r="M3289" s="19" t="e">
        <f>Planning[[#This Row],[Saldo]]-Planning[[#This Row],[Saldo estimado]]</f>
        <v>#REF!</v>
      </c>
      <c r="N3289" s="60" t="e">
        <f>+SUMIFS(#REF!,#REF!,Planning[[#This Row],[Proyectos]],#REF!,Planning[[#This Row],[Tipo de Tarea y especialidad]])</f>
        <v>#REF!</v>
      </c>
      <c r="O3289" s="19">
        <f t="shared" si="102"/>
        <v>10</v>
      </c>
      <c r="P3289" s="19">
        <f t="shared" si="103"/>
        <v>2024</v>
      </c>
      <c r="Q32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89" s="19" t="str">
        <f>TEXT(Planning[[#This Row],[Mes]]*29,"mmmm")</f>
        <v>October</v>
      </c>
      <c r="S32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89" s="228"/>
      <c r="U3289" s="43">
        <f>IF(Planning[[#This Row],[Horas Planificadas]]&lt;&gt;0,+K3289/Planning[[#This Row],[Horas Planificadas]],0)</f>
        <v>0</v>
      </c>
      <c r="V3289" s="43">
        <f>IF(Planning[[#This Row],[Horas Planificadas]]&lt;&gt;0,Planning[[#This Row],[Horas utilizadas]]/Planning[[#This Row],[Horas Planificadas]],0)</f>
        <v>0</v>
      </c>
      <c r="W3289" s="44">
        <f>Planning[[#This Row],[Horas Planificadas]]+Planning[[#This Row],[Horas ajustadas adicionales]]</f>
        <v>0</v>
      </c>
      <c r="X3289" s="142"/>
    </row>
    <row r="3290" spans="1:24" x14ac:dyDescent="0.2">
      <c r="A3290" s="7"/>
      <c r="B3290" s="7"/>
      <c r="C3290" s="3"/>
      <c r="D3290" s="3" t="s">
        <v>614</v>
      </c>
      <c r="E3290" s="4"/>
      <c r="F3290" s="3" t="s">
        <v>125</v>
      </c>
      <c r="G3290" s="9"/>
      <c r="H3290" s="9"/>
      <c r="I3290" s="12"/>
      <c r="J3290" s="5" t="e">
        <f>SUM(SUMIFS(#REF!,#REF!,Planning[[#This Row],[Tipo de Tarea y especialidad]],#REF!,Planning[[#This Row],[Proyectos Reiwa]]),SUMIFS(#REF!,#REF!,Planning[[#This Row],[Tipo de Tarea y especialidad]],#REF!,Planning[[#This Row],[Proyectos]]))</f>
        <v>#REF!</v>
      </c>
      <c r="K3290" s="5" t="e">
        <f>Planning[[#This Row],[Horas Planificadas]]+Planning[[#This Row],[Horas ajustadas adicionales]]-Planning[[#This Row],[Horas utilizadas]]</f>
        <v>#REF!</v>
      </c>
      <c r="L3290" s="7"/>
      <c r="M3290" s="19" t="e">
        <f>Planning[[#This Row],[Saldo]]-Planning[[#This Row],[Saldo estimado]]</f>
        <v>#REF!</v>
      </c>
      <c r="N3290" s="60" t="e">
        <f>+SUMIFS(#REF!,#REF!,Planning[[#This Row],[Proyectos]],#REF!,Planning[[#This Row],[Tipo de Tarea y especialidad]])</f>
        <v>#REF!</v>
      </c>
      <c r="O3290" s="19">
        <f t="shared" si="102"/>
        <v>10</v>
      </c>
      <c r="P3290" s="19">
        <f t="shared" si="103"/>
        <v>2024</v>
      </c>
      <c r="Q32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90" s="19" t="str">
        <f>TEXT(Planning[[#This Row],[Mes]]*29,"mmmm")</f>
        <v>October</v>
      </c>
      <c r="S32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90" s="228"/>
      <c r="U3290" s="43">
        <f>IF(Planning[[#This Row],[Horas Planificadas]]&lt;&gt;0,+K3290/Planning[[#This Row],[Horas Planificadas]],0)</f>
        <v>0</v>
      </c>
      <c r="V3290" s="43">
        <f>IF(Planning[[#This Row],[Horas Planificadas]]&lt;&gt;0,Planning[[#This Row],[Horas utilizadas]]/Planning[[#This Row],[Horas Planificadas]],0)</f>
        <v>0</v>
      </c>
      <c r="W3290" s="44">
        <f>Planning[[#This Row],[Horas Planificadas]]+Planning[[#This Row],[Horas ajustadas adicionales]]</f>
        <v>0</v>
      </c>
      <c r="X3290" s="142"/>
    </row>
    <row r="3291" spans="1:24" x14ac:dyDescent="0.2">
      <c r="A3291" s="7"/>
      <c r="B3291" s="7"/>
      <c r="C3291" s="3"/>
      <c r="D3291" s="3" t="s">
        <v>614</v>
      </c>
      <c r="E3291" s="4"/>
      <c r="F3291" s="3" t="s">
        <v>126</v>
      </c>
      <c r="G3291" s="9"/>
      <c r="H3291" s="9"/>
      <c r="I3291" s="12"/>
      <c r="J3291" s="5" t="e">
        <f>SUM(SUMIFS(#REF!,#REF!,Planning[[#This Row],[Tipo de Tarea y especialidad]],#REF!,Planning[[#This Row],[Proyectos Reiwa]]),SUMIFS(#REF!,#REF!,Planning[[#This Row],[Tipo de Tarea y especialidad]],#REF!,Planning[[#This Row],[Proyectos]]))</f>
        <v>#REF!</v>
      </c>
      <c r="K3291" s="5" t="e">
        <f>Planning[[#This Row],[Horas Planificadas]]+Planning[[#This Row],[Horas ajustadas adicionales]]-Planning[[#This Row],[Horas utilizadas]]</f>
        <v>#REF!</v>
      </c>
      <c r="L3291" s="7"/>
      <c r="M3291" s="19" t="e">
        <f>Planning[[#This Row],[Saldo]]-Planning[[#This Row],[Saldo estimado]]</f>
        <v>#REF!</v>
      </c>
      <c r="N3291" s="60" t="e">
        <f>+SUMIFS(#REF!,#REF!,Planning[[#This Row],[Proyectos]],#REF!,Planning[[#This Row],[Tipo de Tarea y especialidad]])</f>
        <v>#REF!</v>
      </c>
      <c r="O3291" s="19">
        <f t="shared" si="102"/>
        <v>10</v>
      </c>
      <c r="P3291" s="19">
        <f t="shared" si="103"/>
        <v>2024</v>
      </c>
      <c r="Q32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91" s="19" t="str">
        <f>TEXT(Planning[[#This Row],[Mes]]*29,"mmmm")</f>
        <v>October</v>
      </c>
      <c r="S32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91" s="228"/>
      <c r="U3291" s="43">
        <f>IF(Planning[[#This Row],[Horas Planificadas]]&lt;&gt;0,+K3291/Planning[[#This Row],[Horas Planificadas]],0)</f>
        <v>0</v>
      </c>
      <c r="V3291" s="43">
        <f>IF(Planning[[#This Row],[Horas Planificadas]]&lt;&gt;0,Planning[[#This Row],[Horas utilizadas]]/Planning[[#This Row],[Horas Planificadas]],0)</f>
        <v>0</v>
      </c>
      <c r="W3291" s="44">
        <f>Planning[[#This Row],[Horas Planificadas]]+Planning[[#This Row],[Horas ajustadas adicionales]]</f>
        <v>0</v>
      </c>
      <c r="X3291" s="142"/>
    </row>
    <row r="3292" spans="1:24" x14ac:dyDescent="0.2">
      <c r="A3292" s="7"/>
      <c r="B3292" s="7"/>
      <c r="C3292" s="3"/>
      <c r="D3292" s="3" t="s">
        <v>614</v>
      </c>
      <c r="E3292" s="4"/>
      <c r="F3292" s="3" t="s">
        <v>127</v>
      </c>
      <c r="G3292" s="9"/>
      <c r="H3292" s="9"/>
      <c r="I3292" s="12"/>
      <c r="J3292" s="5" t="e">
        <f>SUM(SUMIFS(#REF!,#REF!,Planning[[#This Row],[Tipo de Tarea y especialidad]],#REF!,Planning[[#This Row],[Proyectos Reiwa]]),SUMIFS(#REF!,#REF!,Planning[[#This Row],[Tipo de Tarea y especialidad]],#REF!,Planning[[#This Row],[Proyectos]]))</f>
        <v>#REF!</v>
      </c>
      <c r="K3292" s="5" t="e">
        <f>Planning[[#This Row],[Horas Planificadas]]+Planning[[#This Row],[Horas ajustadas adicionales]]-Planning[[#This Row],[Horas utilizadas]]</f>
        <v>#REF!</v>
      </c>
      <c r="L3292" s="7"/>
      <c r="M3292" s="19" t="e">
        <f>Planning[[#This Row],[Saldo]]-Planning[[#This Row],[Saldo estimado]]</f>
        <v>#REF!</v>
      </c>
      <c r="N3292" s="60" t="e">
        <f>+SUMIFS(#REF!,#REF!,Planning[[#This Row],[Proyectos]],#REF!,Planning[[#This Row],[Tipo de Tarea y especialidad]])</f>
        <v>#REF!</v>
      </c>
      <c r="O3292" s="19">
        <f t="shared" si="102"/>
        <v>10</v>
      </c>
      <c r="P3292" s="19">
        <f t="shared" si="103"/>
        <v>2024</v>
      </c>
      <c r="Q32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92" s="19" t="str">
        <f>TEXT(Planning[[#This Row],[Mes]]*29,"mmmm")</f>
        <v>October</v>
      </c>
      <c r="S32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92" s="228"/>
      <c r="U3292" s="43">
        <f>IF(Planning[[#This Row],[Horas Planificadas]]&lt;&gt;0,+K3292/Planning[[#This Row],[Horas Planificadas]],0)</f>
        <v>0</v>
      </c>
      <c r="V3292" s="43">
        <f>IF(Planning[[#This Row],[Horas Planificadas]]&lt;&gt;0,Planning[[#This Row],[Horas utilizadas]]/Planning[[#This Row],[Horas Planificadas]],0)</f>
        <v>0</v>
      </c>
      <c r="W3292" s="44">
        <f>Planning[[#This Row],[Horas Planificadas]]+Planning[[#This Row],[Horas ajustadas adicionales]]</f>
        <v>0</v>
      </c>
      <c r="X3292" s="142"/>
    </row>
    <row r="3293" spans="1:24" x14ac:dyDescent="0.2">
      <c r="A3293" s="7"/>
      <c r="B3293" s="7"/>
      <c r="C3293" s="3"/>
      <c r="D3293" s="3" t="s">
        <v>614</v>
      </c>
      <c r="E3293" s="4"/>
      <c r="F3293" s="3" t="s">
        <v>128</v>
      </c>
      <c r="G3293" s="9"/>
      <c r="H3293" s="9"/>
      <c r="I3293" s="12"/>
      <c r="J3293" s="5" t="e">
        <f>SUM(SUMIFS(#REF!,#REF!,Planning[[#This Row],[Tipo de Tarea y especialidad]],#REF!,Planning[[#This Row],[Proyectos Reiwa]]),SUMIFS(#REF!,#REF!,Planning[[#This Row],[Tipo de Tarea y especialidad]],#REF!,Planning[[#This Row],[Proyectos]]))</f>
        <v>#REF!</v>
      </c>
      <c r="K3293" s="5" t="e">
        <f>Planning[[#This Row],[Horas Planificadas]]+Planning[[#This Row],[Horas ajustadas adicionales]]-Planning[[#This Row],[Horas utilizadas]]</f>
        <v>#REF!</v>
      </c>
      <c r="L3293" s="7"/>
      <c r="M3293" s="19" t="e">
        <f>Planning[[#This Row],[Saldo]]-Planning[[#This Row],[Saldo estimado]]</f>
        <v>#REF!</v>
      </c>
      <c r="N3293" s="60" t="e">
        <f>+SUMIFS(#REF!,#REF!,Planning[[#This Row],[Proyectos]],#REF!,Planning[[#This Row],[Tipo de Tarea y especialidad]])</f>
        <v>#REF!</v>
      </c>
      <c r="O3293" s="19">
        <f t="shared" si="102"/>
        <v>10</v>
      </c>
      <c r="P3293" s="19">
        <f t="shared" si="103"/>
        <v>2024</v>
      </c>
      <c r="Q32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93" s="19" t="str">
        <f>TEXT(Planning[[#This Row],[Mes]]*29,"mmmm")</f>
        <v>October</v>
      </c>
      <c r="S32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93" s="228"/>
      <c r="U3293" s="43">
        <f>IF(Planning[[#This Row],[Horas Planificadas]]&lt;&gt;0,+K3293/Planning[[#This Row],[Horas Planificadas]],0)</f>
        <v>0</v>
      </c>
      <c r="V3293" s="43">
        <f>IF(Planning[[#This Row],[Horas Planificadas]]&lt;&gt;0,Planning[[#This Row],[Horas utilizadas]]/Planning[[#This Row],[Horas Planificadas]],0)</f>
        <v>0</v>
      </c>
      <c r="W3293" s="44">
        <f>Planning[[#This Row],[Horas Planificadas]]+Planning[[#This Row],[Horas ajustadas adicionales]]</f>
        <v>0</v>
      </c>
      <c r="X3293" s="142"/>
    </row>
    <row r="3294" spans="1:24" x14ac:dyDescent="0.2">
      <c r="A3294" s="7"/>
      <c r="B3294" s="7"/>
      <c r="C3294" s="3"/>
      <c r="D3294" s="3" t="s">
        <v>614</v>
      </c>
      <c r="E3294" s="4" t="s">
        <v>31</v>
      </c>
      <c r="F3294" s="3" t="s">
        <v>31</v>
      </c>
      <c r="G3294" s="9"/>
      <c r="H3294" s="17">
        <v>0</v>
      </c>
      <c r="I3294" s="18"/>
      <c r="J3294" s="14" t="e">
        <f>+SUMIFS(#REF!,#REF!,Planning[[#This Row],[Tarifa]],#REF!,Planning[[#This Row],[Proyectos]])</f>
        <v>#REF!</v>
      </c>
      <c r="K3294" s="14" t="e">
        <f>Planning[[#This Row],[Horas Planificadas]]+Planning[[#This Row],[Horas ajustadas adicionales]]-Planning[[#This Row],[Horas utilizadas]]</f>
        <v>#REF!</v>
      </c>
      <c r="L3294" s="15"/>
      <c r="M3294" s="16" t="e">
        <f>Planning[[#This Row],[Saldo]]-Planning[[#This Row],[Saldo estimado]]</f>
        <v>#REF!</v>
      </c>
      <c r="N3294" s="60" t="e">
        <f>+SUMIFS(#REF!,#REF!,Planning[[#This Row],[Proyectos]],#REF!,Planning[[#This Row],[Tipo de Tarea y especialidad]])</f>
        <v>#REF!</v>
      </c>
      <c r="O3294" s="16">
        <f t="shared" si="102"/>
        <v>10</v>
      </c>
      <c r="P3294" s="16">
        <f t="shared" si="103"/>
        <v>2024</v>
      </c>
      <c r="Q3294" s="16" t="e">
        <f>+SUMIFS(#REF!,#REF!,Planning[[#This Row],[Tarifa]],#REF!,Planning[[#This Row],[Proyectos]],#REF!,Planning[[#This Row],[Mes]],#REF!,Planning[[#This Row],[Año]])</f>
        <v>#REF!</v>
      </c>
      <c r="R3294" s="16" t="str">
        <f>TEXT(Planning[[#This Row],[Mes]]*29,"mmmm")</f>
        <v>October</v>
      </c>
      <c r="S32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94" s="228"/>
      <c r="U3294" s="43">
        <f>IF(Planning[[#This Row],[Horas Planificadas]]&lt;&gt;0,+K3294/Planning[[#This Row],[Horas Planificadas]],0)</f>
        <v>0</v>
      </c>
      <c r="V3294" s="43">
        <f>IF(Planning[[#This Row],[Horas Planificadas]]&lt;&gt;0,Planning[[#This Row],[Horas utilizadas]]/Planning[[#This Row],[Horas Planificadas]],0)</f>
        <v>0</v>
      </c>
      <c r="W3294" s="44">
        <f>Planning[[#This Row],[Horas Planificadas]]+Planning[[#This Row],[Horas ajustadas adicionales]]</f>
        <v>0</v>
      </c>
      <c r="X3294" s="142"/>
    </row>
    <row r="3295" spans="1:24" ht="22.5" x14ac:dyDescent="0.2">
      <c r="A3295" s="7"/>
      <c r="B3295" s="7"/>
      <c r="C3295" s="3"/>
      <c r="D3295" s="3" t="s">
        <v>614</v>
      </c>
      <c r="E3295" s="4" t="s">
        <v>32</v>
      </c>
      <c r="F3295" s="3"/>
      <c r="G3295" s="9"/>
      <c r="H3295" s="14">
        <f>SUM(H3296:H3298)</f>
        <v>0</v>
      </c>
      <c r="I3295" s="14"/>
      <c r="J3295" s="14" t="e">
        <f>SUM(J3296:J3298)</f>
        <v>#REF!</v>
      </c>
      <c r="K3295" s="15" t="e">
        <f>SUM(K3296:K3298)</f>
        <v>#REF!</v>
      </c>
      <c r="L3295" s="15">
        <f>SUM(L3296:L3298)</f>
        <v>0</v>
      </c>
      <c r="M3295" s="16" t="e">
        <f>SUM(M3296:M3298)</f>
        <v>#REF!</v>
      </c>
      <c r="N3295" s="60" t="e">
        <f>+SUMIFS(#REF!,#REF!,Planning[[#This Row],[Proyectos]],#REF!,Planning[[#This Row],[Tipo de Tarea y especialidad]])</f>
        <v>#REF!</v>
      </c>
      <c r="O3295" s="16">
        <f t="shared" si="102"/>
        <v>10</v>
      </c>
      <c r="P3295" s="16">
        <f t="shared" si="103"/>
        <v>2024</v>
      </c>
      <c r="Q3295" s="16" t="e">
        <f>SUM(Q3296:Q3298)</f>
        <v>#REF!</v>
      </c>
      <c r="R3295" s="16" t="str">
        <f>TEXT(Planning[[#This Row],[Mes]]*29,"mmmm")</f>
        <v>October</v>
      </c>
      <c r="S32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95" s="228"/>
      <c r="U3295" s="43">
        <f>IF(Planning[[#This Row],[Horas Planificadas]]&lt;&gt;0,+K3295/Planning[[#This Row],[Horas Planificadas]],0)</f>
        <v>0</v>
      </c>
      <c r="V3295" s="43">
        <f>IF(Planning[[#This Row],[Horas Planificadas]]&lt;&gt;0,Planning[[#This Row],[Horas utilizadas]]/Planning[[#This Row],[Horas Planificadas]],0)</f>
        <v>0</v>
      </c>
      <c r="W3295" s="44">
        <f>Planning[[#This Row],[Horas Planificadas]]+Planning[[#This Row],[Horas ajustadas adicionales]]</f>
        <v>0</v>
      </c>
      <c r="X3295" s="142"/>
    </row>
    <row r="3296" spans="1:24" x14ac:dyDescent="0.2">
      <c r="A3296" s="7"/>
      <c r="B3296" s="7"/>
      <c r="C3296" s="3"/>
      <c r="D3296" s="3" t="s">
        <v>614</v>
      </c>
      <c r="E3296" s="4"/>
      <c r="F3296" s="3" t="s">
        <v>129</v>
      </c>
      <c r="G3296" s="9"/>
      <c r="H3296" s="9"/>
      <c r="I3296" s="12"/>
      <c r="J3296" s="5" t="e">
        <f>SUM(SUMIFS(#REF!,#REF!,Planning[[#This Row],[Tipo de Tarea y especialidad]],#REF!,Planning[[#This Row],[Proyectos Reiwa]]),SUMIFS(#REF!,#REF!,Planning[[#This Row],[Tipo de Tarea y especialidad]],#REF!,Planning[[#This Row],[Proyectos]]))</f>
        <v>#REF!</v>
      </c>
      <c r="K3296" s="5" t="e">
        <f>Planning[[#This Row],[Horas Planificadas]]+Planning[[#This Row],[Horas ajustadas adicionales]]-Planning[[#This Row],[Horas utilizadas]]</f>
        <v>#REF!</v>
      </c>
      <c r="L3296" s="7"/>
      <c r="M3296" s="19" t="e">
        <f>Planning[[#This Row],[Saldo]]-Planning[[#This Row],[Saldo estimado]]</f>
        <v>#REF!</v>
      </c>
      <c r="N3296" s="60" t="e">
        <f>+SUMIFS(#REF!,#REF!,Planning[[#This Row],[Proyectos]],#REF!,Planning[[#This Row],[Tipo de Tarea y especialidad]])</f>
        <v>#REF!</v>
      </c>
      <c r="O3296" s="19">
        <f t="shared" si="102"/>
        <v>10</v>
      </c>
      <c r="P3296" s="19">
        <f t="shared" si="103"/>
        <v>2024</v>
      </c>
      <c r="Q32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96" s="19" t="str">
        <f>TEXT(Planning[[#This Row],[Mes]]*29,"mmmm")</f>
        <v>October</v>
      </c>
      <c r="S32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96" s="228"/>
      <c r="U3296" s="43">
        <f>IF(Planning[[#This Row],[Horas Planificadas]]&lt;&gt;0,+K3296/Planning[[#This Row],[Horas Planificadas]],0)</f>
        <v>0</v>
      </c>
      <c r="V3296" s="43">
        <f>IF(Planning[[#This Row],[Horas Planificadas]]&lt;&gt;0,Planning[[#This Row],[Horas utilizadas]]/Planning[[#This Row],[Horas Planificadas]],0)</f>
        <v>0</v>
      </c>
      <c r="W3296" s="44">
        <f>Planning[[#This Row],[Horas Planificadas]]+Planning[[#This Row],[Horas ajustadas adicionales]]</f>
        <v>0</v>
      </c>
      <c r="X3296" s="142"/>
    </row>
    <row r="3297" spans="1:24" x14ac:dyDescent="0.2">
      <c r="A3297" s="7"/>
      <c r="B3297" s="7"/>
      <c r="C3297" s="3"/>
      <c r="D3297" s="3" t="s">
        <v>614</v>
      </c>
      <c r="E3297" s="4"/>
      <c r="F3297" s="3" t="s">
        <v>130</v>
      </c>
      <c r="G3297" s="9"/>
      <c r="H3297" s="9"/>
      <c r="I3297" s="12"/>
      <c r="J3297" s="5" t="e">
        <f>SUM(SUMIFS(#REF!,#REF!,Planning[[#This Row],[Tipo de Tarea y especialidad]],#REF!,Planning[[#This Row],[Proyectos Reiwa]]),SUMIFS(#REF!,#REF!,Planning[[#This Row],[Tipo de Tarea y especialidad]],#REF!,Planning[[#This Row],[Proyectos]]))</f>
        <v>#REF!</v>
      </c>
      <c r="K3297" s="5" t="e">
        <f>Planning[[#This Row],[Horas Planificadas]]+Planning[[#This Row],[Horas ajustadas adicionales]]-Planning[[#This Row],[Horas utilizadas]]</f>
        <v>#REF!</v>
      </c>
      <c r="L3297" s="7"/>
      <c r="M3297" s="19" t="e">
        <f>Planning[[#This Row],[Saldo]]-Planning[[#This Row],[Saldo estimado]]</f>
        <v>#REF!</v>
      </c>
      <c r="N3297" s="60" t="e">
        <f>+SUMIFS(#REF!,#REF!,Planning[[#This Row],[Proyectos]],#REF!,Planning[[#This Row],[Tipo de Tarea y especialidad]])</f>
        <v>#REF!</v>
      </c>
      <c r="O3297" s="19">
        <f t="shared" si="102"/>
        <v>10</v>
      </c>
      <c r="P3297" s="19">
        <f t="shared" si="103"/>
        <v>2024</v>
      </c>
      <c r="Q32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97" s="19" t="str">
        <f>TEXT(Planning[[#This Row],[Mes]]*29,"mmmm")</f>
        <v>October</v>
      </c>
      <c r="S32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97" s="228"/>
      <c r="U3297" s="43">
        <f>IF(Planning[[#This Row],[Horas Planificadas]]&lt;&gt;0,+K3297/Planning[[#This Row],[Horas Planificadas]],0)</f>
        <v>0</v>
      </c>
      <c r="V3297" s="43">
        <f>IF(Planning[[#This Row],[Horas Planificadas]]&lt;&gt;0,Planning[[#This Row],[Horas utilizadas]]/Planning[[#This Row],[Horas Planificadas]],0)</f>
        <v>0</v>
      </c>
      <c r="W3297" s="44">
        <f>Planning[[#This Row],[Horas Planificadas]]+Planning[[#This Row],[Horas ajustadas adicionales]]</f>
        <v>0</v>
      </c>
      <c r="X3297" s="142"/>
    </row>
    <row r="3298" spans="1:24" x14ac:dyDescent="0.2">
      <c r="A3298" s="7"/>
      <c r="B3298" s="7"/>
      <c r="C3298" s="3"/>
      <c r="D3298" s="3" t="s">
        <v>614</v>
      </c>
      <c r="E3298" s="4"/>
      <c r="F3298" s="3" t="s">
        <v>131</v>
      </c>
      <c r="G3298" s="9"/>
      <c r="H3298" s="9"/>
      <c r="I3298" s="12"/>
      <c r="J3298" s="5" t="e">
        <f>SUM(SUMIFS(#REF!,#REF!,Planning[[#This Row],[Tipo de Tarea y especialidad]],#REF!,Planning[[#This Row],[Proyectos Reiwa]]),SUMIFS(#REF!,#REF!,Planning[[#This Row],[Tipo de Tarea y especialidad]],#REF!,Planning[[#This Row],[Proyectos]]))</f>
        <v>#REF!</v>
      </c>
      <c r="K3298" s="5" t="e">
        <f>Planning[[#This Row],[Horas Planificadas]]+Planning[[#This Row],[Horas ajustadas adicionales]]-Planning[[#This Row],[Horas utilizadas]]</f>
        <v>#REF!</v>
      </c>
      <c r="L3298" s="7"/>
      <c r="M3298" s="19" t="e">
        <f>Planning[[#This Row],[Saldo]]-Planning[[#This Row],[Saldo estimado]]</f>
        <v>#REF!</v>
      </c>
      <c r="N3298" s="60" t="e">
        <f>+SUMIFS(#REF!,#REF!,Planning[[#This Row],[Proyectos]],#REF!,Planning[[#This Row],[Tipo de Tarea y especialidad]])</f>
        <v>#REF!</v>
      </c>
      <c r="O3298" s="19">
        <f t="shared" si="102"/>
        <v>10</v>
      </c>
      <c r="P3298" s="19">
        <f t="shared" si="103"/>
        <v>2024</v>
      </c>
      <c r="Q32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298" s="19" t="str">
        <f>TEXT(Planning[[#This Row],[Mes]]*29,"mmmm")</f>
        <v>October</v>
      </c>
      <c r="S32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98" s="228"/>
      <c r="U3298" s="43">
        <f>IF(Planning[[#This Row],[Horas Planificadas]]&lt;&gt;0,+K3298/Planning[[#This Row],[Horas Planificadas]],0)</f>
        <v>0</v>
      </c>
      <c r="V3298" s="43">
        <f>IF(Planning[[#This Row],[Horas Planificadas]]&lt;&gt;0,Planning[[#This Row],[Horas utilizadas]]/Planning[[#This Row],[Horas Planificadas]],0)</f>
        <v>0</v>
      </c>
      <c r="W3298" s="44">
        <f>Planning[[#This Row],[Horas Planificadas]]+Planning[[#This Row],[Horas ajustadas adicionales]]</f>
        <v>0</v>
      </c>
      <c r="X3298" s="142"/>
    </row>
    <row r="3299" spans="1:24" ht="22.5" x14ac:dyDescent="0.2">
      <c r="A3299" s="7"/>
      <c r="B3299" s="7"/>
      <c r="C3299" s="3"/>
      <c r="D3299" s="3" t="s">
        <v>615</v>
      </c>
      <c r="E3299" s="4" t="s">
        <v>28</v>
      </c>
      <c r="F3299" s="3"/>
      <c r="G3299" s="9"/>
      <c r="H3299" s="14">
        <f>SUM(H3300:H3301)</f>
        <v>0</v>
      </c>
      <c r="I3299" s="14"/>
      <c r="J3299" s="14" t="e">
        <f>SUM(J3300:J3301)</f>
        <v>#REF!</v>
      </c>
      <c r="K3299" s="15" t="e">
        <f>SUM(K3300:K3301)</f>
        <v>#REF!</v>
      </c>
      <c r="L3299" s="15">
        <f>SUM(L3300:L3301)</f>
        <v>0</v>
      </c>
      <c r="M3299" s="14" t="e">
        <f>SUM(M3300:M3301)</f>
        <v>#REF!</v>
      </c>
      <c r="N3299" s="66" t="e">
        <f>+SUMIFS(#REF!,#REF!,Planning[[#This Row],[Proyectos]],#REF!,Planning[[#This Row],[Tipo de Tarea y especialidad]])</f>
        <v>#REF!</v>
      </c>
      <c r="O3299" s="14">
        <f t="shared" si="102"/>
        <v>10</v>
      </c>
      <c r="P3299" s="14">
        <f t="shared" si="103"/>
        <v>2024</v>
      </c>
      <c r="Q3299" s="28" t="e">
        <f>SUM(Q3300:Q3301)</f>
        <v>#REF!</v>
      </c>
      <c r="R3299" s="28" t="str">
        <f>TEXT(Planning[[#This Row],[Mes]]*29,"mmmm")</f>
        <v>October</v>
      </c>
      <c r="S32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299" s="100"/>
      <c r="U3299" s="43">
        <f>IF(Planning[[#This Row],[Horas Planificadas]]&lt;&gt;0,+K3299/Planning[[#This Row],[Horas Planificadas]],0)</f>
        <v>0</v>
      </c>
      <c r="V3299" s="43">
        <f>IF(Planning[[#This Row],[Horas Planificadas]]&lt;&gt;0,Planning[[#This Row],[Horas utilizadas]]/Planning[[#This Row],[Horas Planificadas]],0)</f>
        <v>0</v>
      </c>
      <c r="W3299" s="44">
        <f>Planning[[#This Row],[Horas Planificadas]]+Planning[[#This Row],[Horas ajustadas adicionales]]</f>
        <v>0</v>
      </c>
      <c r="X3299" s="142"/>
    </row>
    <row r="3300" spans="1:24" x14ac:dyDescent="0.2">
      <c r="A3300" s="7"/>
      <c r="B3300" s="7"/>
      <c r="C3300" s="3"/>
      <c r="D3300" s="3" t="s">
        <v>615</v>
      </c>
      <c r="E3300" s="4"/>
      <c r="F3300" s="3" t="s">
        <v>120</v>
      </c>
      <c r="G3300" s="9"/>
      <c r="H3300" s="9"/>
      <c r="I3300" s="12"/>
      <c r="J3300" s="5" t="e">
        <f>SUM(SUMIFS(#REF!,#REF!,Planning[[#This Row],[Tipo de Tarea y especialidad]],#REF!,Planning[[#This Row],[Proyectos Reiwa]]),SUMIFS(#REF!,#REF!,Planning[[#This Row],[Tipo de Tarea y especialidad]],#REF!,Planning[[#This Row],[Proyectos]]))</f>
        <v>#REF!</v>
      </c>
      <c r="K3300" s="5" t="e">
        <f>Planning[[#This Row],[Horas Planificadas]]+Planning[[#This Row],[Horas ajustadas adicionales]]-Planning[[#This Row],[Horas utilizadas]]</f>
        <v>#REF!</v>
      </c>
      <c r="L3300" s="7"/>
      <c r="M3300" s="19" t="e">
        <f>Planning[[#This Row],[Saldo]]-Planning[[#This Row],[Saldo estimado]]</f>
        <v>#REF!</v>
      </c>
      <c r="N3300" s="60" t="e">
        <f>+SUMIFS(#REF!,#REF!,Planning[[#This Row],[Proyectos]],#REF!,Planning[[#This Row],[Tipo de Tarea y especialidad]])</f>
        <v>#REF!</v>
      </c>
      <c r="O3300" s="19">
        <f t="shared" si="102"/>
        <v>10</v>
      </c>
      <c r="P3300" s="19">
        <f t="shared" si="103"/>
        <v>2024</v>
      </c>
      <c r="Q33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00" s="19" t="str">
        <f>TEXT(Planning[[#This Row],[Mes]]*29,"mmmm")</f>
        <v>October</v>
      </c>
      <c r="S33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00" s="100"/>
      <c r="U3300" s="43">
        <f>IF(Planning[[#This Row],[Horas Planificadas]]&lt;&gt;0,+K3300/Planning[[#This Row],[Horas Planificadas]],0)</f>
        <v>0</v>
      </c>
      <c r="V3300" s="43">
        <f>IF(Planning[[#This Row],[Horas Planificadas]]&lt;&gt;0,Planning[[#This Row],[Horas utilizadas]]/Planning[[#This Row],[Horas Planificadas]],0)</f>
        <v>0</v>
      </c>
      <c r="W3300" s="44">
        <f>Planning[[#This Row],[Horas Planificadas]]+Planning[[#This Row],[Horas ajustadas adicionales]]</f>
        <v>0</v>
      </c>
      <c r="X3300" s="142"/>
    </row>
    <row r="3301" spans="1:24" x14ac:dyDescent="0.2">
      <c r="A3301" s="7"/>
      <c r="B3301" s="7"/>
      <c r="C3301" s="3"/>
      <c r="D3301" s="3" t="s">
        <v>615</v>
      </c>
      <c r="E3301" s="4"/>
      <c r="F3301" s="3" t="s">
        <v>121</v>
      </c>
      <c r="G3301" s="9"/>
      <c r="H3301" s="9"/>
      <c r="I3301" s="12"/>
      <c r="J3301" s="5" t="e">
        <f>SUM(SUMIFS(#REF!,#REF!,Planning[[#This Row],[Tipo de Tarea y especialidad]],#REF!,Planning[[#This Row],[Proyectos Reiwa]]),SUMIFS(#REF!,#REF!,Planning[[#This Row],[Tipo de Tarea y especialidad]],#REF!,Planning[[#This Row],[Proyectos]]))</f>
        <v>#REF!</v>
      </c>
      <c r="K3301" s="5" t="e">
        <f>Planning[[#This Row],[Horas Planificadas]]+Planning[[#This Row],[Horas ajustadas adicionales]]-Planning[[#This Row],[Horas utilizadas]]</f>
        <v>#REF!</v>
      </c>
      <c r="L3301" s="7"/>
      <c r="M3301" s="19" t="e">
        <f>Planning[[#This Row],[Saldo]]-Planning[[#This Row],[Saldo estimado]]</f>
        <v>#REF!</v>
      </c>
      <c r="N3301" s="60" t="e">
        <f>+SUMIFS(#REF!,#REF!,Planning[[#This Row],[Proyectos]],#REF!,Planning[[#This Row],[Tipo de Tarea y especialidad]])</f>
        <v>#REF!</v>
      </c>
      <c r="O3301" s="19">
        <f t="shared" si="102"/>
        <v>10</v>
      </c>
      <c r="P3301" s="19">
        <f t="shared" si="103"/>
        <v>2024</v>
      </c>
      <c r="Q33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01" s="19" t="str">
        <f>TEXT(Planning[[#This Row],[Mes]]*29,"mmmm")</f>
        <v>October</v>
      </c>
      <c r="S33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01" s="100"/>
      <c r="U3301" s="43">
        <f>IF(Planning[[#This Row],[Horas Planificadas]]&lt;&gt;0,+K3301/Planning[[#This Row],[Horas Planificadas]],0)</f>
        <v>0</v>
      </c>
      <c r="V3301" s="43">
        <f>IF(Planning[[#This Row],[Horas Planificadas]]&lt;&gt;0,Planning[[#This Row],[Horas utilizadas]]/Planning[[#This Row],[Horas Planificadas]],0)</f>
        <v>0</v>
      </c>
      <c r="W3301" s="44">
        <f>Planning[[#This Row],[Horas Planificadas]]+Planning[[#This Row],[Horas ajustadas adicionales]]</f>
        <v>0</v>
      </c>
      <c r="X3301" s="142"/>
    </row>
    <row r="3302" spans="1:24" x14ac:dyDescent="0.2">
      <c r="A3302" s="7"/>
      <c r="B3302" s="7"/>
      <c r="C3302" s="3"/>
      <c r="D3302" s="3" t="s">
        <v>615</v>
      </c>
      <c r="E3302" s="4" t="s">
        <v>30</v>
      </c>
      <c r="F3302" s="3"/>
      <c r="G3302" s="9"/>
      <c r="H3302" s="14">
        <f>SUM(H3303:H3309)</f>
        <v>0</v>
      </c>
      <c r="I3302" s="14"/>
      <c r="J3302" s="14" t="e">
        <f>SUM(J3303:J3309)</f>
        <v>#REF!</v>
      </c>
      <c r="K3302" s="15" t="e">
        <f>SUM(K3303:K3309)</f>
        <v>#REF!</v>
      </c>
      <c r="L3302" s="15">
        <f>SUM(L3303:L3309)</f>
        <v>0</v>
      </c>
      <c r="M3302" s="16" t="e">
        <f>SUM(M3303:M3309)</f>
        <v>#REF!</v>
      </c>
      <c r="N3302" s="60" t="e">
        <f>+SUMIFS(#REF!,#REF!,Planning[[#This Row],[Proyectos]],#REF!,Planning[[#This Row],[Tipo de Tarea y especialidad]])</f>
        <v>#REF!</v>
      </c>
      <c r="O3302" s="16">
        <f t="shared" si="102"/>
        <v>10</v>
      </c>
      <c r="P3302" s="16">
        <f t="shared" si="103"/>
        <v>2024</v>
      </c>
      <c r="Q3302" s="16" t="e">
        <f>SUM(Q3303:Q3309)</f>
        <v>#REF!</v>
      </c>
      <c r="R3302" s="16" t="str">
        <f>TEXT(Planning[[#This Row],[Mes]]*29,"mmmm")</f>
        <v>October</v>
      </c>
      <c r="S33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02" s="100"/>
      <c r="U3302" s="43">
        <f>IF(Planning[[#This Row],[Horas Planificadas]]&lt;&gt;0,+K3302/Planning[[#This Row],[Horas Planificadas]],0)</f>
        <v>0</v>
      </c>
      <c r="V3302" s="43">
        <f>IF(Planning[[#This Row],[Horas Planificadas]]&lt;&gt;0,Planning[[#This Row],[Horas utilizadas]]/Planning[[#This Row],[Horas Planificadas]],0)</f>
        <v>0</v>
      </c>
      <c r="W3302" s="44">
        <f>Planning[[#This Row],[Horas Planificadas]]+Planning[[#This Row],[Horas ajustadas adicionales]]</f>
        <v>0</v>
      </c>
      <c r="X3302" s="142"/>
    </row>
    <row r="3303" spans="1:24" x14ac:dyDescent="0.2">
      <c r="A3303" s="7"/>
      <c r="B3303" s="7"/>
      <c r="C3303" s="3"/>
      <c r="D3303" s="3" t="s">
        <v>615</v>
      </c>
      <c r="E3303" s="4"/>
      <c r="F3303" s="3" t="s">
        <v>122</v>
      </c>
      <c r="G3303" s="9"/>
      <c r="H3303" s="9"/>
      <c r="I3303" s="12"/>
      <c r="J3303" s="5" t="e">
        <f>SUM(SUMIFS(#REF!,#REF!,Planning[[#This Row],[Tipo de Tarea y especialidad]],#REF!,Planning[[#This Row],[Proyectos Reiwa]]),SUMIFS(#REF!,#REF!,Planning[[#This Row],[Tipo de Tarea y especialidad]],#REF!,Planning[[#This Row],[Proyectos]]))</f>
        <v>#REF!</v>
      </c>
      <c r="K3303" s="5" t="e">
        <f>Planning[[#This Row],[Horas Planificadas]]+Planning[[#This Row],[Horas ajustadas adicionales]]-Planning[[#This Row],[Horas utilizadas]]</f>
        <v>#REF!</v>
      </c>
      <c r="L3303" s="7"/>
      <c r="M3303" s="19" t="e">
        <f>Planning[[#This Row],[Saldo]]-Planning[[#This Row],[Saldo estimado]]</f>
        <v>#REF!</v>
      </c>
      <c r="N3303" s="60" t="e">
        <f>+SUMIFS(#REF!,#REF!,Planning[[#This Row],[Proyectos]],#REF!,Planning[[#This Row],[Tipo de Tarea y especialidad]])</f>
        <v>#REF!</v>
      </c>
      <c r="O3303" s="19">
        <f t="shared" si="102"/>
        <v>10</v>
      </c>
      <c r="P3303" s="19">
        <f t="shared" si="103"/>
        <v>2024</v>
      </c>
      <c r="Q33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03" s="19" t="str">
        <f>TEXT(Planning[[#This Row],[Mes]]*29,"mmmm")</f>
        <v>October</v>
      </c>
      <c r="S33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03" s="100"/>
      <c r="U3303" s="43">
        <f>IF(Planning[[#This Row],[Horas Planificadas]]&lt;&gt;0,+K3303/Planning[[#This Row],[Horas Planificadas]],0)</f>
        <v>0</v>
      </c>
      <c r="V3303" s="43">
        <f>IF(Planning[[#This Row],[Horas Planificadas]]&lt;&gt;0,Planning[[#This Row],[Horas utilizadas]]/Planning[[#This Row],[Horas Planificadas]],0)</f>
        <v>0</v>
      </c>
      <c r="W3303" s="44">
        <f>Planning[[#This Row],[Horas Planificadas]]+Planning[[#This Row],[Horas ajustadas adicionales]]</f>
        <v>0</v>
      </c>
      <c r="X3303" s="142"/>
    </row>
    <row r="3304" spans="1:24" x14ac:dyDescent="0.2">
      <c r="A3304" s="7"/>
      <c r="B3304" s="7"/>
      <c r="C3304" s="3"/>
      <c r="D3304" s="3" t="s">
        <v>615</v>
      </c>
      <c r="E3304" s="4"/>
      <c r="F3304" s="3" t="s">
        <v>123</v>
      </c>
      <c r="G3304" s="9"/>
      <c r="H3304" s="9"/>
      <c r="I3304" s="12"/>
      <c r="J3304" s="5" t="e">
        <f>SUM(SUMIFS(#REF!,#REF!,Planning[[#This Row],[Tipo de Tarea y especialidad]],#REF!,Planning[[#This Row],[Proyectos Reiwa]]),SUMIFS(#REF!,#REF!,Planning[[#This Row],[Tipo de Tarea y especialidad]],#REF!,Planning[[#This Row],[Proyectos]]))</f>
        <v>#REF!</v>
      </c>
      <c r="K3304" s="5" t="e">
        <f>Planning[[#This Row],[Horas Planificadas]]+Planning[[#This Row],[Horas ajustadas adicionales]]-Planning[[#This Row],[Horas utilizadas]]</f>
        <v>#REF!</v>
      </c>
      <c r="L3304" s="7"/>
      <c r="M3304" s="19" t="e">
        <f>Planning[[#This Row],[Saldo]]-Planning[[#This Row],[Saldo estimado]]</f>
        <v>#REF!</v>
      </c>
      <c r="N3304" s="60" t="e">
        <f>+SUMIFS(#REF!,#REF!,Planning[[#This Row],[Proyectos]],#REF!,Planning[[#This Row],[Tipo de Tarea y especialidad]])</f>
        <v>#REF!</v>
      </c>
      <c r="O3304" s="19">
        <f t="shared" si="102"/>
        <v>10</v>
      </c>
      <c r="P3304" s="19">
        <f t="shared" si="103"/>
        <v>2024</v>
      </c>
      <c r="Q33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04" s="19" t="str">
        <f>TEXT(Planning[[#This Row],[Mes]]*29,"mmmm")</f>
        <v>October</v>
      </c>
      <c r="S33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04" s="100"/>
      <c r="U3304" s="43">
        <f>IF(Planning[[#This Row],[Horas Planificadas]]&lt;&gt;0,+K3304/Planning[[#This Row],[Horas Planificadas]],0)</f>
        <v>0</v>
      </c>
      <c r="V3304" s="43">
        <f>IF(Planning[[#This Row],[Horas Planificadas]]&lt;&gt;0,Planning[[#This Row],[Horas utilizadas]]/Planning[[#This Row],[Horas Planificadas]],0)</f>
        <v>0</v>
      </c>
      <c r="W3304" s="44">
        <f>Planning[[#This Row],[Horas Planificadas]]+Planning[[#This Row],[Horas ajustadas adicionales]]</f>
        <v>0</v>
      </c>
      <c r="X3304" s="142"/>
    </row>
    <row r="3305" spans="1:24" x14ac:dyDescent="0.2">
      <c r="A3305" s="7"/>
      <c r="B3305" s="7"/>
      <c r="C3305" s="3"/>
      <c r="D3305" s="3" t="s">
        <v>615</v>
      </c>
      <c r="E3305" s="4"/>
      <c r="F3305" s="3" t="s">
        <v>124</v>
      </c>
      <c r="G3305" s="9"/>
      <c r="H3305" s="9"/>
      <c r="I3305" s="12"/>
      <c r="J3305" s="5" t="e">
        <f>SUM(SUMIFS(#REF!,#REF!,Planning[[#This Row],[Tipo de Tarea y especialidad]],#REF!,Planning[[#This Row],[Proyectos Reiwa]]),SUMIFS(#REF!,#REF!,Planning[[#This Row],[Tipo de Tarea y especialidad]],#REF!,Planning[[#This Row],[Proyectos]]))</f>
        <v>#REF!</v>
      </c>
      <c r="K3305" s="5" t="e">
        <f>Planning[[#This Row],[Horas Planificadas]]+Planning[[#This Row],[Horas ajustadas adicionales]]-Planning[[#This Row],[Horas utilizadas]]</f>
        <v>#REF!</v>
      </c>
      <c r="L3305" s="7"/>
      <c r="M3305" s="19" t="e">
        <f>Planning[[#This Row],[Saldo]]-Planning[[#This Row],[Saldo estimado]]</f>
        <v>#REF!</v>
      </c>
      <c r="N3305" s="60" t="e">
        <f>+SUMIFS(#REF!,#REF!,Planning[[#This Row],[Proyectos]],#REF!,Planning[[#This Row],[Tipo de Tarea y especialidad]])</f>
        <v>#REF!</v>
      </c>
      <c r="O3305" s="19">
        <f t="shared" si="102"/>
        <v>10</v>
      </c>
      <c r="P3305" s="19">
        <f t="shared" si="103"/>
        <v>2024</v>
      </c>
      <c r="Q33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05" s="19" t="str">
        <f>TEXT(Planning[[#This Row],[Mes]]*29,"mmmm")</f>
        <v>October</v>
      </c>
      <c r="S33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05" s="100"/>
      <c r="U3305" s="43">
        <f>IF(Planning[[#This Row],[Horas Planificadas]]&lt;&gt;0,+K3305/Planning[[#This Row],[Horas Planificadas]],0)</f>
        <v>0</v>
      </c>
      <c r="V3305" s="43">
        <f>IF(Planning[[#This Row],[Horas Planificadas]]&lt;&gt;0,Planning[[#This Row],[Horas utilizadas]]/Planning[[#This Row],[Horas Planificadas]],0)</f>
        <v>0</v>
      </c>
      <c r="W3305" s="44">
        <f>Planning[[#This Row],[Horas Planificadas]]+Planning[[#This Row],[Horas ajustadas adicionales]]</f>
        <v>0</v>
      </c>
      <c r="X3305" s="142"/>
    </row>
    <row r="3306" spans="1:24" x14ac:dyDescent="0.2">
      <c r="A3306" s="7"/>
      <c r="B3306" s="7"/>
      <c r="C3306" s="3"/>
      <c r="D3306" s="3" t="s">
        <v>615</v>
      </c>
      <c r="E3306" s="4"/>
      <c r="F3306" s="3" t="s">
        <v>125</v>
      </c>
      <c r="G3306" s="9"/>
      <c r="H3306" s="9"/>
      <c r="I3306" s="12"/>
      <c r="J3306" s="5" t="e">
        <f>SUM(SUMIFS(#REF!,#REF!,Planning[[#This Row],[Tipo de Tarea y especialidad]],#REF!,Planning[[#This Row],[Proyectos Reiwa]]),SUMIFS(#REF!,#REF!,Planning[[#This Row],[Tipo de Tarea y especialidad]],#REF!,Planning[[#This Row],[Proyectos]]))</f>
        <v>#REF!</v>
      </c>
      <c r="K3306" s="5" t="e">
        <f>Planning[[#This Row],[Horas Planificadas]]+Planning[[#This Row],[Horas ajustadas adicionales]]-Planning[[#This Row],[Horas utilizadas]]</f>
        <v>#REF!</v>
      </c>
      <c r="L3306" s="7"/>
      <c r="M3306" s="19" t="e">
        <f>Planning[[#This Row],[Saldo]]-Planning[[#This Row],[Saldo estimado]]</f>
        <v>#REF!</v>
      </c>
      <c r="N3306" s="60" t="e">
        <f>+SUMIFS(#REF!,#REF!,Planning[[#This Row],[Proyectos]],#REF!,Planning[[#This Row],[Tipo de Tarea y especialidad]])</f>
        <v>#REF!</v>
      </c>
      <c r="O3306" s="19">
        <f t="shared" si="102"/>
        <v>10</v>
      </c>
      <c r="P3306" s="19">
        <f t="shared" si="103"/>
        <v>2024</v>
      </c>
      <c r="Q33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06" s="19" t="str">
        <f>TEXT(Planning[[#This Row],[Mes]]*29,"mmmm")</f>
        <v>October</v>
      </c>
      <c r="S33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06" s="100"/>
      <c r="U3306" s="43">
        <f>IF(Planning[[#This Row],[Horas Planificadas]]&lt;&gt;0,+K3306/Planning[[#This Row],[Horas Planificadas]],0)</f>
        <v>0</v>
      </c>
      <c r="V3306" s="43">
        <f>IF(Planning[[#This Row],[Horas Planificadas]]&lt;&gt;0,Planning[[#This Row],[Horas utilizadas]]/Planning[[#This Row],[Horas Planificadas]],0)</f>
        <v>0</v>
      </c>
      <c r="W3306" s="44">
        <f>Planning[[#This Row],[Horas Planificadas]]+Planning[[#This Row],[Horas ajustadas adicionales]]</f>
        <v>0</v>
      </c>
      <c r="X3306" s="142"/>
    </row>
    <row r="3307" spans="1:24" x14ac:dyDescent="0.2">
      <c r="A3307" s="7"/>
      <c r="B3307" s="7"/>
      <c r="C3307" s="3"/>
      <c r="D3307" s="3" t="s">
        <v>615</v>
      </c>
      <c r="E3307" s="4"/>
      <c r="F3307" s="3" t="s">
        <v>126</v>
      </c>
      <c r="G3307" s="9"/>
      <c r="H3307" s="9"/>
      <c r="I3307" s="12"/>
      <c r="J3307" s="5" t="e">
        <f>SUM(SUMIFS(#REF!,#REF!,Planning[[#This Row],[Tipo de Tarea y especialidad]],#REF!,Planning[[#This Row],[Proyectos Reiwa]]),SUMIFS(#REF!,#REF!,Planning[[#This Row],[Tipo de Tarea y especialidad]],#REF!,Planning[[#This Row],[Proyectos]]))</f>
        <v>#REF!</v>
      </c>
      <c r="K3307" s="5" t="e">
        <f>Planning[[#This Row],[Horas Planificadas]]+Planning[[#This Row],[Horas ajustadas adicionales]]-Planning[[#This Row],[Horas utilizadas]]</f>
        <v>#REF!</v>
      </c>
      <c r="L3307" s="7"/>
      <c r="M3307" s="19" t="e">
        <f>Planning[[#This Row],[Saldo]]-Planning[[#This Row],[Saldo estimado]]</f>
        <v>#REF!</v>
      </c>
      <c r="N3307" s="60" t="e">
        <f>+SUMIFS(#REF!,#REF!,Planning[[#This Row],[Proyectos]],#REF!,Planning[[#This Row],[Tipo de Tarea y especialidad]])</f>
        <v>#REF!</v>
      </c>
      <c r="O3307" s="19">
        <f t="shared" si="102"/>
        <v>10</v>
      </c>
      <c r="P3307" s="19">
        <f t="shared" si="103"/>
        <v>2024</v>
      </c>
      <c r="Q33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07" s="19" t="str">
        <f>TEXT(Planning[[#This Row],[Mes]]*29,"mmmm")</f>
        <v>October</v>
      </c>
      <c r="S33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07" s="100"/>
      <c r="U3307" s="43">
        <f>IF(Planning[[#This Row],[Horas Planificadas]]&lt;&gt;0,+K3307/Planning[[#This Row],[Horas Planificadas]],0)</f>
        <v>0</v>
      </c>
      <c r="V3307" s="43">
        <f>IF(Planning[[#This Row],[Horas Planificadas]]&lt;&gt;0,Planning[[#This Row],[Horas utilizadas]]/Planning[[#This Row],[Horas Planificadas]],0)</f>
        <v>0</v>
      </c>
      <c r="W3307" s="44">
        <f>Planning[[#This Row],[Horas Planificadas]]+Planning[[#This Row],[Horas ajustadas adicionales]]</f>
        <v>0</v>
      </c>
      <c r="X3307" s="142"/>
    </row>
    <row r="3308" spans="1:24" x14ac:dyDescent="0.2">
      <c r="A3308" s="7"/>
      <c r="B3308" s="7"/>
      <c r="C3308" s="3"/>
      <c r="D3308" s="3" t="s">
        <v>615</v>
      </c>
      <c r="E3308" s="4"/>
      <c r="F3308" s="3" t="s">
        <v>127</v>
      </c>
      <c r="G3308" s="9"/>
      <c r="H3308" s="9"/>
      <c r="I3308" s="12"/>
      <c r="J3308" s="5" t="e">
        <f>SUM(SUMIFS(#REF!,#REF!,Planning[[#This Row],[Tipo de Tarea y especialidad]],#REF!,Planning[[#This Row],[Proyectos Reiwa]]),SUMIFS(#REF!,#REF!,Planning[[#This Row],[Tipo de Tarea y especialidad]],#REF!,Planning[[#This Row],[Proyectos]]))</f>
        <v>#REF!</v>
      </c>
      <c r="K3308" s="5" t="e">
        <f>Planning[[#This Row],[Horas Planificadas]]+Planning[[#This Row],[Horas ajustadas adicionales]]-Planning[[#This Row],[Horas utilizadas]]</f>
        <v>#REF!</v>
      </c>
      <c r="L3308" s="7"/>
      <c r="M3308" s="19" t="e">
        <f>Planning[[#This Row],[Saldo]]-Planning[[#This Row],[Saldo estimado]]</f>
        <v>#REF!</v>
      </c>
      <c r="N3308" s="60" t="e">
        <f>+SUMIFS(#REF!,#REF!,Planning[[#This Row],[Proyectos]],#REF!,Planning[[#This Row],[Tipo de Tarea y especialidad]])</f>
        <v>#REF!</v>
      </c>
      <c r="O3308" s="19">
        <f t="shared" si="102"/>
        <v>10</v>
      </c>
      <c r="P3308" s="19">
        <f t="shared" si="103"/>
        <v>2024</v>
      </c>
      <c r="Q33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08" s="19" t="str">
        <f>TEXT(Planning[[#This Row],[Mes]]*29,"mmmm")</f>
        <v>October</v>
      </c>
      <c r="S33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08" s="100"/>
      <c r="U3308" s="43">
        <f>IF(Planning[[#This Row],[Horas Planificadas]]&lt;&gt;0,+K3308/Planning[[#This Row],[Horas Planificadas]],0)</f>
        <v>0</v>
      </c>
      <c r="V3308" s="43">
        <f>IF(Planning[[#This Row],[Horas Planificadas]]&lt;&gt;0,Planning[[#This Row],[Horas utilizadas]]/Planning[[#This Row],[Horas Planificadas]],0)</f>
        <v>0</v>
      </c>
      <c r="W3308" s="44">
        <f>Planning[[#This Row],[Horas Planificadas]]+Planning[[#This Row],[Horas ajustadas adicionales]]</f>
        <v>0</v>
      </c>
      <c r="X3308" s="142"/>
    </row>
    <row r="3309" spans="1:24" x14ac:dyDescent="0.2">
      <c r="A3309" s="7"/>
      <c r="B3309" s="7"/>
      <c r="C3309" s="3"/>
      <c r="D3309" s="3" t="s">
        <v>615</v>
      </c>
      <c r="E3309" s="4"/>
      <c r="F3309" s="3" t="s">
        <v>128</v>
      </c>
      <c r="G3309" s="9"/>
      <c r="H3309" s="9"/>
      <c r="I3309" s="12"/>
      <c r="J3309" s="5" t="e">
        <f>SUM(SUMIFS(#REF!,#REF!,Planning[[#This Row],[Tipo de Tarea y especialidad]],#REF!,Planning[[#This Row],[Proyectos Reiwa]]),SUMIFS(#REF!,#REF!,Planning[[#This Row],[Tipo de Tarea y especialidad]],#REF!,Planning[[#This Row],[Proyectos]]))</f>
        <v>#REF!</v>
      </c>
      <c r="K3309" s="5" t="e">
        <f>Planning[[#This Row],[Horas Planificadas]]+Planning[[#This Row],[Horas ajustadas adicionales]]-Planning[[#This Row],[Horas utilizadas]]</f>
        <v>#REF!</v>
      </c>
      <c r="L3309" s="7"/>
      <c r="M3309" s="19" t="e">
        <f>Planning[[#This Row],[Saldo]]-Planning[[#This Row],[Saldo estimado]]</f>
        <v>#REF!</v>
      </c>
      <c r="N3309" s="60" t="e">
        <f>+SUMIFS(#REF!,#REF!,Planning[[#This Row],[Proyectos]],#REF!,Planning[[#This Row],[Tipo de Tarea y especialidad]])</f>
        <v>#REF!</v>
      </c>
      <c r="O3309" s="19">
        <f t="shared" si="102"/>
        <v>10</v>
      </c>
      <c r="P3309" s="19">
        <f t="shared" si="103"/>
        <v>2024</v>
      </c>
      <c r="Q33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09" s="19" t="str">
        <f>TEXT(Planning[[#This Row],[Mes]]*29,"mmmm")</f>
        <v>October</v>
      </c>
      <c r="S33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09" s="100"/>
      <c r="U3309" s="43">
        <f>IF(Planning[[#This Row],[Horas Planificadas]]&lt;&gt;0,+K3309/Planning[[#This Row],[Horas Planificadas]],0)</f>
        <v>0</v>
      </c>
      <c r="V3309" s="43">
        <f>IF(Planning[[#This Row],[Horas Planificadas]]&lt;&gt;0,Planning[[#This Row],[Horas utilizadas]]/Planning[[#This Row],[Horas Planificadas]],0)</f>
        <v>0</v>
      </c>
      <c r="W3309" s="44">
        <f>Planning[[#This Row],[Horas Planificadas]]+Planning[[#This Row],[Horas ajustadas adicionales]]</f>
        <v>0</v>
      </c>
      <c r="X3309" s="142"/>
    </row>
    <row r="3310" spans="1:24" x14ac:dyDescent="0.2">
      <c r="A3310" s="7"/>
      <c r="B3310" s="7"/>
      <c r="C3310" s="3"/>
      <c r="D3310" s="3" t="s">
        <v>615</v>
      </c>
      <c r="E3310" s="4" t="s">
        <v>31</v>
      </c>
      <c r="F3310" s="3" t="s">
        <v>31</v>
      </c>
      <c r="G3310" s="9"/>
      <c r="H3310" s="17">
        <v>0</v>
      </c>
      <c r="I3310" s="18"/>
      <c r="J3310" s="14" t="e">
        <f>+SUMIFS(#REF!,#REF!,Planning[[#This Row],[Tarifa]],#REF!,Planning[[#This Row],[Proyectos]])</f>
        <v>#REF!</v>
      </c>
      <c r="K3310" s="14" t="e">
        <f>Planning[[#This Row],[Horas Planificadas]]+Planning[[#This Row],[Horas ajustadas adicionales]]-Planning[[#This Row],[Horas utilizadas]]</f>
        <v>#REF!</v>
      </c>
      <c r="L3310" s="15"/>
      <c r="M3310" s="16" t="e">
        <f>Planning[[#This Row],[Saldo]]-Planning[[#This Row],[Saldo estimado]]</f>
        <v>#REF!</v>
      </c>
      <c r="N3310" s="60" t="e">
        <f>+SUMIFS(#REF!,#REF!,Planning[[#This Row],[Proyectos]],#REF!,Planning[[#This Row],[Tipo de Tarea y especialidad]])</f>
        <v>#REF!</v>
      </c>
      <c r="O3310" s="16">
        <f t="shared" si="102"/>
        <v>10</v>
      </c>
      <c r="P3310" s="16">
        <f t="shared" si="103"/>
        <v>2024</v>
      </c>
      <c r="Q3310" s="16" t="e">
        <f>+SUMIFS(#REF!,#REF!,Planning[[#This Row],[Tarifa]],#REF!,Planning[[#This Row],[Proyectos]],#REF!,Planning[[#This Row],[Mes]],#REF!,Planning[[#This Row],[Año]])</f>
        <v>#REF!</v>
      </c>
      <c r="R3310" s="16" t="str">
        <f>TEXT(Planning[[#This Row],[Mes]]*29,"mmmm")</f>
        <v>October</v>
      </c>
      <c r="S33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10" s="100"/>
      <c r="U3310" s="43">
        <f>IF(Planning[[#This Row],[Horas Planificadas]]&lt;&gt;0,+K3310/Planning[[#This Row],[Horas Planificadas]],0)</f>
        <v>0</v>
      </c>
      <c r="V3310" s="43">
        <f>IF(Planning[[#This Row],[Horas Planificadas]]&lt;&gt;0,Planning[[#This Row],[Horas utilizadas]]/Planning[[#This Row],[Horas Planificadas]],0)</f>
        <v>0</v>
      </c>
      <c r="W3310" s="44">
        <f>Planning[[#This Row],[Horas Planificadas]]+Planning[[#This Row],[Horas ajustadas adicionales]]</f>
        <v>0</v>
      </c>
      <c r="X3310" s="142"/>
    </row>
    <row r="3311" spans="1:24" ht="22.5" x14ac:dyDescent="0.2">
      <c r="A3311" s="7"/>
      <c r="B3311" s="7"/>
      <c r="C3311" s="3"/>
      <c r="D3311" s="3" t="s">
        <v>615</v>
      </c>
      <c r="E3311" s="4" t="s">
        <v>32</v>
      </c>
      <c r="F3311" s="3"/>
      <c r="G3311" s="9"/>
      <c r="H3311" s="14">
        <f>SUM(H3312:H3314)</f>
        <v>0</v>
      </c>
      <c r="I3311" s="14"/>
      <c r="J3311" s="14" t="e">
        <f>SUM(J3312:J3314)</f>
        <v>#REF!</v>
      </c>
      <c r="K3311" s="15" t="e">
        <f>SUM(K3312:K3314)</f>
        <v>#REF!</v>
      </c>
      <c r="L3311" s="15">
        <f>SUM(L3312:L3314)</f>
        <v>0</v>
      </c>
      <c r="M3311" s="16" t="e">
        <f>SUM(M3312:M3314)</f>
        <v>#REF!</v>
      </c>
      <c r="N3311" s="60" t="e">
        <f>+SUMIFS(#REF!,#REF!,Planning[[#This Row],[Proyectos]],#REF!,Planning[[#This Row],[Tipo de Tarea y especialidad]])</f>
        <v>#REF!</v>
      </c>
      <c r="O3311" s="16">
        <f t="shared" si="102"/>
        <v>10</v>
      </c>
      <c r="P3311" s="16">
        <f t="shared" si="103"/>
        <v>2024</v>
      </c>
      <c r="Q3311" s="16" t="e">
        <f>SUM(Q3312:Q3314)</f>
        <v>#REF!</v>
      </c>
      <c r="R3311" s="16" t="str">
        <f>TEXT(Planning[[#This Row],[Mes]]*29,"mmmm")</f>
        <v>October</v>
      </c>
      <c r="S33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11" s="100"/>
      <c r="U3311" s="43">
        <f>IF(Planning[[#This Row],[Horas Planificadas]]&lt;&gt;0,+K3311/Planning[[#This Row],[Horas Planificadas]],0)</f>
        <v>0</v>
      </c>
      <c r="V3311" s="43">
        <f>IF(Planning[[#This Row],[Horas Planificadas]]&lt;&gt;0,Planning[[#This Row],[Horas utilizadas]]/Planning[[#This Row],[Horas Planificadas]],0)</f>
        <v>0</v>
      </c>
      <c r="W3311" s="44">
        <f>Planning[[#This Row],[Horas Planificadas]]+Planning[[#This Row],[Horas ajustadas adicionales]]</f>
        <v>0</v>
      </c>
      <c r="X3311" s="142"/>
    </row>
    <row r="3312" spans="1:24" x14ac:dyDescent="0.2">
      <c r="A3312" s="7"/>
      <c r="B3312" s="7"/>
      <c r="C3312" s="3"/>
      <c r="D3312" s="3" t="s">
        <v>615</v>
      </c>
      <c r="E3312" s="4"/>
      <c r="F3312" s="3" t="s">
        <v>129</v>
      </c>
      <c r="G3312" s="9"/>
      <c r="H3312" s="9"/>
      <c r="I3312" s="12"/>
      <c r="J3312" s="5" t="e">
        <f>SUM(SUMIFS(#REF!,#REF!,Planning[[#This Row],[Tipo de Tarea y especialidad]],#REF!,Planning[[#This Row],[Proyectos Reiwa]]),SUMIFS(#REF!,#REF!,Planning[[#This Row],[Tipo de Tarea y especialidad]],#REF!,Planning[[#This Row],[Proyectos]]))</f>
        <v>#REF!</v>
      </c>
      <c r="K3312" s="5" t="e">
        <f>Planning[[#This Row],[Horas Planificadas]]+Planning[[#This Row],[Horas ajustadas adicionales]]-Planning[[#This Row],[Horas utilizadas]]</f>
        <v>#REF!</v>
      </c>
      <c r="L3312" s="7"/>
      <c r="M3312" s="19" t="e">
        <f>Planning[[#This Row],[Saldo]]-Planning[[#This Row],[Saldo estimado]]</f>
        <v>#REF!</v>
      </c>
      <c r="N3312" s="60" t="e">
        <f>+SUMIFS(#REF!,#REF!,Planning[[#This Row],[Proyectos]],#REF!,Planning[[#This Row],[Tipo de Tarea y especialidad]])</f>
        <v>#REF!</v>
      </c>
      <c r="O3312" s="19">
        <f t="shared" si="102"/>
        <v>10</v>
      </c>
      <c r="P3312" s="19">
        <f t="shared" si="103"/>
        <v>2024</v>
      </c>
      <c r="Q33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12" s="19" t="str">
        <f>TEXT(Planning[[#This Row],[Mes]]*29,"mmmm")</f>
        <v>October</v>
      </c>
      <c r="S33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12" s="100"/>
      <c r="U3312" s="43">
        <f>IF(Planning[[#This Row],[Horas Planificadas]]&lt;&gt;0,+K3312/Planning[[#This Row],[Horas Planificadas]],0)</f>
        <v>0</v>
      </c>
      <c r="V3312" s="43">
        <f>IF(Planning[[#This Row],[Horas Planificadas]]&lt;&gt;0,Planning[[#This Row],[Horas utilizadas]]/Planning[[#This Row],[Horas Planificadas]],0)</f>
        <v>0</v>
      </c>
      <c r="W3312" s="44">
        <f>Planning[[#This Row],[Horas Planificadas]]+Planning[[#This Row],[Horas ajustadas adicionales]]</f>
        <v>0</v>
      </c>
      <c r="X3312" s="142"/>
    </row>
    <row r="3313" spans="1:24" x14ac:dyDescent="0.2">
      <c r="A3313" s="7"/>
      <c r="B3313" s="7"/>
      <c r="C3313" s="3"/>
      <c r="D3313" s="3" t="s">
        <v>615</v>
      </c>
      <c r="E3313" s="4"/>
      <c r="F3313" s="3" t="s">
        <v>130</v>
      </c>
      <c r="G3313" s="9"/>
      <c r="H3313" s="9"/>
      <c r="I3313" s="12"/>
      <c r="J3313" s="5" t="e">
        <f>SUM(SUMIFS(#REF!,#REF!,Planning[[#This Row],[Tipo de Tarea y especialidad]],#REF!,Planning[[#This Row],[Proyectos Reiwa]]),SUMIFS(#REF!,#REF!,Planning[[#This Row],[Tipo de Tarea y especialidad]],#REF!,Planning[[#This Row],[Proyectos]]))</f>
        <v>#REF!</v>
      </c>
      <c r="K3313" s="5" t="e">
        <f>Planning[[#This Row],[Horas Planificadas]]+Planning[[#This Row],[Horas ajustadas adicionales]]-Planning[[#This Row],[Horas utilizadas]]</f>
        <v>#REF!</v>
      </c>
      <c r="L3313" s="7"/>
      <c r="M3313" s="19" t="e">
        <f>Planning[[#This Row],[Saldo]]-Planning[[#This Row],[Saldo estimado]]</f>
        <v>#REF!</v>
      </c>
      <c r="N3313" s="60" t="e">
        <f>+SUMIFS(#REF!,#REF!,Planning[[#This Row],[Proyectos]],#REF!,Planning[[#This Row],[Tipo de Tarea y especialidad]])</f>
        <v>#REF!</v>
      </c>
      <c r="O3313" s="19">
        <f t="shared" si="102"/>
        <v>10</v>
      </c>
      <c r="P3313" s="19">
        <f t="shared" si="103"/>
        <v>2024</v>
      </c>
      <c r="Q33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13" s="19" t="str">
        <f>TEXT(Planning[[#This Row],[Mes]]*29,"mmmm")</f>
        <v>October</v>
      </c>
      <c r="S33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13" s="100"/>
      <c r="U3313" s="43">
        <f>IF(Planning[[#This Row],[Horas Planificadas]]&lt;&gt;0,+K3313/Planning[[#This Row],[Horas Planificadas]],0)</f>
        <v>0</v>
      </c>
      <c r="V3313" s="43">
        <f>IF(Planning[[#This Row],[Horas Planificadas]]&lt;&gt;0,Planning[[#This Row],[Horas utilizadas]]/Planning[[#This Row],[Horas Planificadas]],0)</f>
        <v>0</v>
      </c>
      <c r="W3313" s="44">
        <f>Planning[[#This Row],[Horas Planificadas]]+Planning[[#This Row],[Horas ajustadas adicionales]]</f>
        <v>0</v>
      </c>
      <c r="X3313" s="142"/>
    </row>
    <row r="3314" spans="1:24" x14ac:dyDescent="0.2">
      <c r="A3314" s="7"/>
      <c r="B3314" s="7"/>
      <c r="C3314" s="3"/>
      <c r="D3314" s="3" t="s">
        <v>615</v>
      </c>
      <c r="E3314" s="4"/>
      <c r="F3314" s="3" t="s">
        <v>131</v>
      </c>
      <c r="G3314" s="9"/>
      <c r="H3314" s="9"/>
      <c r="I3314" s="12"/>
      <c r="J3314" s="5" t="e">
        <f>SUM(SUMIFS(#REF!,#REF!,Planning[[#This Row],[Tipo de Tarea y especialidad]],#REF!,Planning[[#This Row],[Proyectos Reiwa]]),SUMIFS(#REF!,#REF!,Planning[[#This Row],[Tipo de Tarea y especialidad]],#REF!,Planning[[#This Row],[Proyectos]]))</f>
        <v>#REF!</v>
      </c>
      <c r="K3314" s="5" t="e">
        <f>Planning[[#This Row],[Horas Planificadas]]+Planning[[#This Row],[Horas ajustadas adicionales]]-Planning[[#This Row],[Horas utilizadas]]</f>
        <v>#REF!</v>
      </c>
      <c r="L3314" s="7"/>
      <c r="M3314" s="19" t="e">
        <f>Planning[[#This Row],[Saldo]]-Planning[[#This Row],[Saldo estimado]]</f>
        <v>#REF!</v>
      </c>
      <c r="N3314" s="60" t="e">
        <f>+SUMIFS(#REF!,#REF!,Planning[[#This Row],[Proyectos]],#REF!,Planning[[#This Row],[Tipo de Tarea y especialidad]])</f>
        <v>#REF!</v>
      </c>
      <c r="O3314" s="19">
        <f t="shared" si="102"/>
        <v>10</v>
      </c>
      <c r="P3314" s="19">
        <f t="shared" si="103"/>
        <v>2024</v>
      </c>
      <c r="Q33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14" s="19" t="str">
        <f>TEXT(Planning[[#This Row],[Mes]]*29,"mmmm")</f>
        <v>October</v>
      </c>
      <c r="S33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14" s="100"/>
      <c r="U3314" s="43">
        <f>IF(Planning[[#This Row],[Horas Planificadas]]&lt;&gt;0,+K3314/Planning[[#This Row],[Horas Planificadas]],0)</f>
        <v>0</v>
      </c>
      <c r="V3314" s="43">
        <f>IF(Planning[[#This Row],[Horas Planificadas]]&lt;&gt;0,Planning[[#This Row],[Horas utilizadas]]/Planning[[#This Row],[Horas Planificadas]],0)</f>
        <v>0</v>
      </c>
      <c r="W3314" s="44">
        <f>Planning[[#This Row],[Horas Planificadas]]+Planning[[#This Row],[Horas ajustadas adicionales]]</f>
        <v>0</v>
      </c>
      <c r="X3314" s="142"/>
    </row>
    <row r="3315" spans="1:24" ht="12.75" customHeight="1" x14ac:dyDescent="0.2">
      <c r="A3315" s="7"/>
      <c r="B3315" s="7"/>
      <c r="C3315" s="3"/>
      <c r="D3315" s="3" t="s">
        <v>616</v>
      </c>
      <c r="E3315" s="4" t="s">
        <v>28</v>
      </c>
      <c r="F3315" s="3"/>
      <c r="G3315" s="9"/>
      <c r="H3315" s="14">
        <f>SUM(H3316:H3317)</f>
        <v>0</v>
      </c>
      <c r="I3315" s="14"/>
      <c r="J3315" s="14" t="e">
        <f>SUM(J3316:J3317)</f>
        <v>#REF!</v>
      </c>
      <c r="K3315" s="15" t="e">
        <f>SUM(K3316:K3317)</f>
        <v>#REF!</v>
      </c>
      <c r="L3315" s="15">
        <f>SUM(L3316:L3317)</f>
        <v>0</v>
      </c>
      <c r="M3315" s="14" t="e">
        <f>SUM(M3316:M3317)</f>
        <v>#REF!</v>
      </c>
      <c r="N3315" s="66" t="e">
        <f>+SUMIFS(#REF!,#REF!,Planning[[#This Row],[Proyectos]],#REF!,Planning[[#This Row],[Tipo de Tarea y especialidad]])</f>
        <v>#REF!</v>
      </c>
      <c r="O3315" s="14">
        <f t="shared" si="102"/>
        <v>10</v>
      </c>
      <c r="P3315" s="14">
        <f t="shared" si="103"/>
        <v>2024</v>
      </c>
      <c r="Q3315" s="28" t="e">
        <f>SUM(Q3316:Q3317)</f>
        <v>#REF!</v>
      </c>
      <c r="R3315" s="28" t="str">
        <f>TEXT(Planning[[#This Row],[Mes]]*29,"mmmm")</f>
        <v>October</v>
      </c>
      <c r="S33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15" s="228"/>
      <c r="U3315" s="43">
        <f>IF(Planning[[#This Row],[Horas Planificadas]]&lt;&gt;0,+K3315/Planning[[#This Row],[Horas Planificadas]],0)</f>
        <v>0</v>
      </c>
      <c r="V3315" s="43">
        <f>IF(Planning[[#This Row],[Horas Planificadas]]&lt;&gt;0,Planning[[#This Row],[Horas utilizadas]]/Planning[[#This Row],[Horas Planificadas]],0)</f>
        <v>0</v>
      </c>
      <c r="W3315" s="44">
        <f>Planning[[#This Row],[Horas Planificadas]]+Planning[[#This Row],[Horas ajustadas adicionales]]</f>
        <v>0</v>
      </c>
      <c r="X3315" s="142"/>
    </row>
    <row r="3316" spans="1:24" ht="12.75" customHeight="1" x14ac:dyDescent="0.2">
      <c r="A3316" s="7"/>
      <c r="B3316" s="7"/>
      <c r="C3316" s="3"/>
      <c r="D3316" s="3" t="s">
        <v>616</v>
      </c>
      <c r="E3316" s="4"/>
      <c r="F3316" s="3" t="s">
        <v>120</v>
      </c>
      <c r="G3316" s="9"/>
      <c r="H3316" s="9"/>
      <c r="I3316" s="12"/>
      <c r="J3316" s="5" t="e">
        <f>SUM(SUMIFS(#REF!,#REF!,Planning[[#This Row],[Tipo de Tarea y especialidad]],#REF!,Planning[[#This Row],[Proyectos Reiwa]]),SUMIFS(#REF!,#REF!,Planning[[#This Row],[Tipo de Tarea y especialidad]],#REF!,Planning[[#This Row],[Proyectos]]))</f>
        <v>#REF!</v>
      </c>
      <c r="K3316" s="5" t="e">
        <f>Planning[[#This Row],[Horas Planificadas]]+Planning[[#This Row],[Horas ajustadas adicionales]]-Planning[[#This Row],[Horas utilizadas]]</f>
        <v>#REF!</v>
      </c>
      <c r="L3316" s="7"/>
      <c r="M3316" s="19" t="e">
        <f>Planning[[#This Row],[Saldo]]-Planning[[#This Row],[Saldo estimado]]</f>
        <v>#REF!</v>
      </c>
      <c r="N3316" s="60" t="e">
        <f>+SUMIFS(#REF!,#REF!,Planning[[#This Row],[Proyectos]],#REF!,Planning[[#This Row],[Tipo de Tarea y especialidad]])</f>
        <v>#REF!</v>
      </c>
      <c r="O3316" s="19">
        <f t="shared" si="102"/>
        <v>10</v>
      </c>
      <c r="P3316" s="19">
        <f t="shared" si="103"/>
        <v>2024</v>
      </c>
      <c r="Q33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16" s="19" t="str">
        <f>TEXT(Planning[[#This Row],[Mes]]*29,"mmmm")</f>
        <v>October</v>
      </c>
      <c r="S33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16" s="228"/>
      <c r="U3316" s="43">
        <f>IF(Planning[[#This Row],[Horas Planificadas]]&lt;&gt;0,+K3316/Planning[[#This Row],[Horas Planificadas]],0)</f>
        <v>0</v>
      </c>
      <c r="V3316" s="43">
        <f>IF(Planning[[#This Row],[Horas Planificadas]]&lt;&gt;0,Planning[[#This Row],[Horas utilizadas]]/Planning[[#This Row],[Horas Planificadas]],0)</f>
        <v>0</v>
      </c>
      <c r="W3316" s="44">
        <f>Planning[[#This Row],[Horas Planificadas]]+Planning[[#This Row],[Horas ajustadas adicionales]]</f>
        <v>0</v>
      </c>
      <c r="X3316" s="142"/>
    </row>
    <row r="3317" spans="1:24" ht="12.75" customHeight="1" x14ac:dyDescent="0.2">
      <c r="A3317" s="7"/>
      <c r="B3317" s="7"/>
      <c r="C3317" s="3"/>
      <c r="D3317" s="3" t="s">
        <v>616</v>
      </c>
      <c r="E3317" s="4"/>
      <c r="F3317" s="3" t="s">
        <v>121</v>
      </c>
      <c r="G3317" s="9"/>
      <c r="H3317" s="9"/>
      <c r="I3317" s="12"/>
      <c r="J3317" s="5" t="e">
        <f>SUM(SUMIFS(#REF!,#REF!,Planning[[#This Row],[Tipo de Tarea y especialidad]],#REF!,Planning[[#This Row],[Proyectos Reiwa]]),SUMIFS(#REF!,#REF!,Planning[[#This Row],[Tipo de Tarea y especialidad]],#REF!,Planning[[#This Row],[Proyectos]]))</f>
        <v>#REF!</v>
      </c>
      <c r="K3317" s="5" t="e">
        <f>Planning[[#This Row],[Horas Planificadas]]+Planning[[#This Row],[Horas ajustadas adicionales]]-Planning[[#This Row],[Horas utilizadas]]</f>
        <v>#REF!</v>
      </c>
      <c r="L3317" s="7"/>
      <c r="M3317" s="19" t="e">
        <f>Planning[[#This Row],[Saldo]]-Planning[[#This Row],[Saldo estimado]]</f>
        <v>#REF!</v>
      </c>
      <c r="N3317" s="60" t="e">
        <f>+SUMIFS(#REF!,#REF!,Planning[[#This Row],[Proyectos]],#REF!,Planning[[#This Row],[Tipo de Tarea y especialidad]])</f>
        <v>#REF!</v>
      </c>
      <c r="O3317" s="19">
        <f t="shared" si="102"/>
        <v>10</v>
      </c>
      <c r="P3317" s="19">
        <f t="shared" si="103"/>
        <v>2024</v>
      </c>
      <c r="Q33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17" s="19" t="str">
        <f>TEXT(Planning[[#This Row],[Mes]]*29,"mmmm")</f>
        <v>October</v>
      </c>
      <c r="S33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17" s="228"/>
      <c r="U3317" s="43">
        <f>IF(Planning[[#This Row],[Horas Planificadas]]&lt;&gt;0,+K3317/Planning[[#This Row],[Horas Planificadas]],0)</f>
        <v>0</v>
      </c>
      <c r="V3317" s="43">
        <f>IF(Planning[[#This Row],[Horas Planificadas]]&lt;&gt;0,Planning[[#This Row],[Horas utilizadas]]/Planning[[#This Row],[Horas Planificadas]],0)</f>
        <v>0</v>
      </c>
      <c r="W3317" s="44">
        <f>Planning[[#This Row],[Horas Planificadas]]+Planning[[#This Row],[Horas ajustadas adicionales]]</f>
        <v>0</v>
      </c>
      <c r="X3317" s="142"/>
    </row>
    <row r="3318" spans="1:24" ht="12.75" customHeight="1" x14ac:dyDescent="0.2">
      <c r="A3318" s="7"/>
      <c r="B3318" s="7"/>
      <c r="C3318" s="3"/>
      <c r="D3318" s="3" t="s">
        <v>616</v>
      </c>
      <c r="E3318" s="4" t="s">
        <v>30</v>
      </c>
      <c r="F3318" s="3"/>
      <c r="G3318" s="9"/>
      <c r="H3318" s="14">
        <f>SUM(H3319:H3325)</f>
        <v>0</v>
      </c>
      <c r="I3318" s="14"/>
      <c r="J3318" s="14" t="e">
        <f>SUM(J3319:J3325)</f>
        <v>#REF!</v>
      </c>
      <c r="K3318" s="15" t="e">
        <f>SUM(K3319:K3325)</f>
        <v>#REF!</v>
      </c>
      <c r="L3318" s="15">
        <f>SUM(L3319:L3325)</f>
        <v>0</v>
      </c>
      <c r="M3318" s="16" t="e">
        <f>SUM(M3319:M3325)</f>
        <v>#REF!</v>
      </c>
      <c r="N3318" s="60" t="e">
        <f>+SUMIFS(#REF!,#REF!,Planning[[#This Row],[Proyectos]],#REF!,Planning[[#This Row],[Tipo de Tarea y especialidad]])</f>
        <v>#REF!</v>
      </c>
      <c r="O3318" s="16">
        <f t="shared" si="102"/>
        <v>10</v>
      </c>
      <c r="P3318" s="16">
        <f t="shared" si="103"/>
        <v>2024</v>
      </c>
      <c r="Q3318" s="16" t="e">
        <f>SUM(Q3319:Q3325)</f>
        <v>#REF!</v>
      </c>
      <c r="R3318" s="16" t="str">
        <f>TEXT(Planning[[#This Row],[Mes]]*29,"mmmm")</f>
        <v>October</v>
      </c>
      <c r="S33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18" s="228"/>
      <c r="U3318" s="43">
        <f>IF(Planning[[#This Row],[Horas Planificadas]]&lt;&gt;0,+K3318/Planning[[#This Row],[Horas Planificadas]],0)</f>
        <v>0</v>
      </c>
      <c r="V3318" s="43">
        <f>IF(Planning[[#This Row],[Horas Planificadas]]&lt;&gt;0,Planning[[#This Row],[Horas utilizadas]]/Planning[[#This Row],[Horas Planificadas]],0)</f>
        <v>0</v>
      </c>
      <c r="W3318" s="44">
        <f>Planning[[#This Row],[Horas Planificadas]]+Planning[[#This Row],[Horas ajustadas adicionales]]</f>
        <v>0</v>
      </c>
      <c r="X3318" s="142"/>
    </row>
    <row r="3319" spans="1:24" ht="12.75" customHeight="1" x14ac:dyDescent="0.2">
      <c r="A3319" s="7"/>
      <c r="B3319" s="7"/>
      <c r="C3319" s="3"/>
      <c r="D3319" s="3" t="s">
        <v>616</v>
      </c>
      <c r="E3319" s="4"/>
      <c r="F3319" s="3" t="s">
        <v>122</v>
      </c>
      <c r="G3319" s="9"/>
      <c r="H3319" s="9"/>
      <c r="I3319" s="12"/>
      <c r="J3319" s="5" t="e">
        <f>SUM(SUMIFS(#REF!,#REF!,Planning[[#This Row],[Tipo de Tarea y especialidad]],#REF!,Planning[[#This Row],[Proyectos Reiwa]]),SUMIFS(#REF!,#REF!,Planning[[#This Row],[Tipo de Tarea y especialidad]],#REF!,Planning[[#This Row],[Proyectos]]))</f>
        <v>#REF!</v>
      </c>
      <c r="K3319" s="5" t="e">
        <f>Planning[[#This Row],[Horas Planificadas]]+Planning[[#This Row],[Horas ajustadas adicionales]]-Planning[[#This Row],[Horas utilizadas]]</f>
        <v>#REF!</v>
      </c>
      <c r="L3319" s="7"/>
      <c r="M3319" s="19" t="e">
        <f>Planning[[#This Row],[Saldo]]-Planning[[#This Row],[Saldo estimado]]</f>
        <v>#REF!</v>
      </c>
      <c r="N3319" s="60" t="e">
        <f>+SUMIFS(#REF!,#REF!,Planning[[#This Row],[Proyectos]],#REF!,Planning[[#This Row],[Tipo de Tarea y especialidad]])</f>
        <v>#REF!</v>
      </c>
      <c r="O3319" s="19">
        <f t="shared" si="102"/>
        <v>10</v>
      </c>
      <c r="P3319" s="19">
        <f t="shared" si="103"/>
        <v>2024</v>
      </c>
      <c r="Q33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19" s="19" t="str">
        <f>TEXT(Planning[[#This Row],[Mes]]*29,"mmmm")</f>
        <v>October</v>
      </c>
      <c r="S33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19" s="228"/>
      <c r="U3319" s="43">
        <f>IF(Planning[[#This Row],[Horas Planificadas]]&lt;&gt;0,+K3319/Planning[[#This Row],[Horas Planificadas]],0)</f>
        <v>0</v>
      </c>
      <c r="V3319" s="43">
        <f>IF(Planning[[#This Row],[Horas Planificadas]]&lt;&gt;0,Planning[[#This Row],[Horas utilizadas]]/Planning[[#This Row],[Horas Planificadas]],0)</f>
        <v>0</v>
      </c>
      <c r="W3319" s="44">
        <f>Planning[[#This Row],[Horas Planificadas]]+Planning[[#This Row],[Horas ajustadas adicionales]]</f>
        <v>0</v>
      </c>
      <c r="X3319" s="142"/>
    </row>
    <row r="3320" spans="1:24" ht="12.75" customHeight="1" x14ac:dyDescent="0.2">
      <c r="A3320" s="7"/>
      <c r="B3320" s="7"/>
      <c r="C3320" s="3"/>
      <c r="D3320" s="3" t="s">
        <v>616</v>
      </c>
      <c r="E3320" s="4"/>
      <c r="F3320" s="3" t="s">
        <v>123</v>
      </c>
      <c r="G3320" s="9"/>
      <c r="H3320" s="9"/>
      <c r="I3320" s="12"/>
      <c r="J3320" s="5" t="e">
        <f>SUM(SUMIFS(#REF!,#REF!,Planning[[#This Row],[Tipo de Tarea y especialidad]],#REF!,Planning[[#This Row],[Proyectos Reiwa]]),SUMIFS(#REF!,#REF!,Planning[[#This Row],[Tipo de Tarea y especialidad]],#REF!,Planning[[#This Row],[Proyectos]]))</f>
        <v>#REF!</v>
      </c>
      <c r="K3320" s="5" t="e">
        <f>Planning[[#This Row],[Horas Planificadas]]+Planning[[#This Row],[Horas ajustadas adicionales]]-Planning[[#This Row],[Horas utilizadas]]</f>
        <v>#REF!</v>
      </c>
      <c r="L3320" s="7"/>
      <c r="M3320" s="19" t="e">
        <f>Planning[[#This Row],[Saldo]]-Planning[[#This Row],[Saldo estimado]]</f>
        <v>#REF!</v>
      </c>
      <c r="N3320" s="60" t="e">
        <f>+SUMIFS(#REF!,#REF!,Planning[[#This Row],[Proyectos]],#REF!,Planning[[#This Row],[Tipo de Tarea y especialidad]])</f>
        <v>#REF!</v>
      </c>
      <c r="O3320" s="19">
        <f t="shared" si="102"/>
        <v>10</v>
      </c>
      <c r="P3320" s="19">
        <f t="shared" si="103"/>
        <v>2024</v>
      </c>
      <c r="Q33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20" s="19" t="str">
        <f>TEXT(Planning[[#This Row],[Mes]]*29,"mmmm")</f>
        <v>October</v>
      </c>
      <c r="S33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20" s="228"/>
      <c r="U3320" s="43">
        <f>IF(Planning[[#This Row],[Horas Planificadas]]&lt;&gt;0,+K3320/Planning[[#This Row],[Horas Planificadas]],0)</f>
        <v>0</v>
      </c>
      <c r="V3320" s="43">
        <f>IF(Planning[[#This Row],[Horas Planificadas]]&lt;&gt;0,Planning[[#This Row],[Horas utilizadas]]/Planning[[#This Row],[Horas Planificadas]],0)</f>
        <v>0</v>
      </c>
      <c r="W3320" s="44">
        <f>Planning[[#This Row],[Horas Planificadas]]+Planning[[#This Row],[Horas ajustadas adicionales]]</f>
        <v>0</v>
      </c>
      <c r="X3320" s="142"/>
    </row>
    <row r="3321" spans="1:24" ht="12.75" customHeight="1" x14ac:dyDescent="0.2">
      <c r="A3321" s="7"/>
      <c r="B3321" s="7"/>
      <c r="C3321" s="3"/>
      <c r="D3321" s="3" t="s">
        <v>616</v>
      </c>
      <c r="E3321" s="4"/>
      <c r="F3321" s="3" t="s">
        <v>124</v>
      </c>
      <c r="G3321" s="9"/>
      <c r="H3321" s="9"/>
      <c r="I3321" s="12"/>
      <c r="J3321" s="5" t="e">
        <f>SUM(SUMIFS(#REF!,#REF!,Planning[[#This Row],[Tipo de Tarea y especialidad]],#REF!,Planning[[#This Row],[Proyectos Reiwa]]),SUMIFS(#REF!,#REF!,Planning[[#This Row],[Tipo de Tarea y especialidad]],#REF!,Planning[[#This Row],[Proyectos]]))</f>
        <v>#REF!</v>
      </c>
      <c r="K3321" s="5" t="e">
        <f>Planning[[#This Row],[Horas Planificadas]]+Planning[[#This Row],[Horas ajustadas adicionales]]-Planning[[#This Row],[Horas utilizadas]]</f>
        <v>#REF!</v>
      </c>
      <c r="L3321" s="7"/>
      <c r="M3321" s="19" t="e">
        <f>Planning[[#This Row],[Saldo]]-Planning[[#This Row],[Saldo estimado]]</f>
        <v>#REF!</v>
      </c>
      <c r="N3321" s="60" t="e">
        <f>+SUMIFS(#REF!,#REF!,Planning[[#This Row],[Proyectos]],#REF!,Planning[[#This Row],[Tipo de Tarea y especialidad]])</f>
        <v>#REF!</v>
      </c>
      <c r="O3321" s="19">
        <f t="shared" si="102"/>
        <v>10</v>
      </c>
      <c r="P3321" s="19">
        <f t="shared" si="103"/>
        <v>2024</v>
      </c>
      <c r="Q33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21" s="19" t="str">
        <f>TEXT(Planning[[#This Row],[Mes]]*29,"mmmm")</f>
        <v>October</v>
      </c>
      <c r="S33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21" s="228"/>
      <c r="U3321" s="43">
        <f>IF(Planning[[#This Row],[Horas Planificadas]]&lt;&gt;0,+K3321/Planning[[#This Row],[Horas Planificadas]],0)</f>
        <v>0</v>
      </c>
      <c r="V3321" s="43">
        <f>IF(Planning[[#This Row],[Horas Planificadas]]&lt;&gt;0,Planning[[#This Row],[Horas utilizadas]]/Planning[[#This Row],[Horas Planificadas]],0)</f>
        <v>0</v>
      </c>
      <c r="W3321" s="44">
        <f>Planning[[#This Row],[Horas Planificadas]]+Planning[[#This Row],[Horas ajustadas adicionales]]</f>
        <v>0</v>
      </c>
      <c r="X3321" s="142"/>
    </row>
    <row r="3322" spans="1:24" ht="12.75" customHeight="1" x14ac:dyDescent="0.2">
      <c r="A3322" s="7"/>
      <c r="B3322" s="7"/>
      <c r="C3322" s="3"/>
      <c r="D3322" s="3" t="s">
        <v>616</v>
      </c>
      <c r="E3322" s="4"/>
      <c r="F3322" s="3" t="s">
        <v>125</v>
      </c>
      <c r="G3322" s="9"/>
      <c r="H3322" s="9"/>
      <c r="I3322" s="12"/>
      <c r="J3322" s="5" t="e">
        <f>SUM(SUMIFS(#REF!,#REF!,Planning[[#This Row],[Tipo de Tarea y especialidad]],#REF!,Planning[[#This Row],[Proyectos Reiwa]]),SUMIFS(#REF!,#REF!,Planning[[#This Row],[Tipo de Tarea y especialidad]],#REF!,Planning[[#This Row],[Proyectos]]))</f>
        <v>#REF!</v>
      </c>
      <c r="K3322" s="5" t="e">
        <f>Planning[[#This Row],[Horas Planificadas]]+Planning[[#This Row],[Horas ajustadas adicionales]]-Planning[[#This Row],[Horas utilizadas]]</f>
        <v>#REF!</v>
      </c>
      <c r="L3322" s="7"/>
      <c r="M3322" s="19" t="e">
        <f>Planning[[#This Row],[Saldo]]-Planning[[#This Row],[Saldo estimado]]</f>
        <v>#REF!</v>
      </c>
      <c r="N3322" s="60" t="e">
        <f>+SUMIFS(#REF!,#REF!,Planning[[#This Row],[Proyectos]],#REF!,Planning[[#This Row],[Tipo de Tarea y especialidad]])</f>
        <v>#REF!</v>
      </c>
      <c r="O3322" s="19">
        <f t="shared" si="102"/>
        <v>10</v>
      </c>
      <c r="P3322" s="19">
        <f t="shared" si="103"/>
        <v>2024</v>
      </c>
      <c r="Q33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22" s="19" t="str">
        <f>TEXT(Planning[[#This Row],[Mes]]*29,"mmmm")</f>
        <v>October</v>
      </c>
      <c r="S33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22" s="228"/>
      <c r="U3322" s="43">
        <f>IF(Planning[[#This Row],[Horas Planificadas]]&lt;&gt;0,+K3322/Planning[[#This Row],[Horas Planificadas]],0)</f>
        <v>0</v>
      </c>
      <c r="V3322" s="43">
        <f>IF(Planning[[#This Row],[Horas Planificadas]]&lt;&gt;0,Planning[[#This Row],[Horas utilizadas]]/Planning[[#This Row],[Horas Planificadas]],0)</f>
        <v>0</v>
      </c>
      <c r="W3322" s="44">
        <f>Planning[[#This Row],[Horas Planificadas]]+Planning[[#This Row],[Horas ajustadas adicionales]]</f>
        <v>0</v>
      </c>
      <c r="X3322" s="142"/>
    </row>
    <row r="3323" spans="1:24" ht="12.75" customHeight="1" x14ac:dyDescent="0.2">
      <c r="A3323" s="7"/>
      <c r="B3323" s="7"/>
      <c r="C3323" s="3"/>
      <c r="D3323" s="3" t="s">
        <v>616</v>
      </c>
      <c r="E3323" s="4"/>
      <c r="F3323" s="3" t="s">
        <v>126</v>
      </c>
      <c r="G3323" s="9"/>
      <c r="H3323" s="9"/>
      <c r="I3323" s="12"/>
      <c r="J3323" s="5" t="e">
        <f>SUM(SUMIFS(#REF!,#REF!,Planning[[#This Row],[Tipo de Tarea y especialidad]],#REF!,Planning[[#This Row],[Proyectos Reiwa]]),SUMIFS(#REF!,#REF!,Planning[[#This Row],[Tipo de Tarea y especialidad]],#REF!,Planning[[#This Row],[Proyectos]]))</f>
        <v>#REF!</v>
      </c>
      <c r="K3323" s="5" t="e">
        <f>Planning[[#This Row],[Horas Planificadas]]+Planning[[#This Row],[Horas ajustadas adicionales]]-Planning[[#This Row],[Horas utilizadas]]</f>
        <v>#REF!</v>
      </c>
      <c r="L3323" s="7"/>
      <c r="M3323" s="19" t="e">
        <f>Planning[[#This Row],[Saldo]]-Planning[[#This Row],[Saldo estimado]]</f>
        <v>#REF!</v>
      </c>
      <c r="N3323" s="60" t="e">
        <f>+SUMIFS(#REF!,#REF!,Planning[[#This Row],[Proyectos]],#REF!,Planning[[#This Row],[Tipo de Tarea y especialidad]])</f>
        <v>#REF!</v>
      </c>
      <c r="O3323" s="19">
        <f t="shared" si="102"/>
        <v>10</v>
      </c>
      <c r="P3323" s="19">
        <f t="shared" si="103"/>
        <v>2024</v>
      </c>
      <c r="Q33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23" s="19" t="str">
        <f>TEXT(Planning[[#This Row],[Mes]]*29,"mmmm")</f>
        <v>October</v>
      </c>
      <c r="S33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23" s="228"/>
      <c r="U3323" s="43">
        <f>IF(Planning[[#This Row],[Horas Planificadas]]&lt;&gt;0,+K3323/Planning[[#This Row],[Horas Planificadas]],0)</f>
        <v>0</v>
      </c>
      <c r="V3323" s="43">
        <f>IF(Planning[[#This Row],[Horas Planificadas]]&lt;&gt;0,Planning[[#This Row],[Horas utilizadas]]/Planning[[#This Row],[Horas Planificadas]],0)</f>
        <v>0</v>
      </c>
      <c r="W3323" s="44">
        <f>Planning[[#This Row],[Horas Planificadas]]+Planning[[#This Row],[Horas ajustadas adicionales]]</f>
        <v>0</v>
      </c>
      <c r="X3323" s="142"/>
    </row>
    <row r="3324" spans="1:24" ht="12.75" customHeight="1" x14ac:dyDescent="0.2">
      <c r="A3324" s="7"/>
      <c r="B3324" s="7"/>
      <c r="C3324" s="3"/>
      <c r="D3324" s="3" t="s">
        <v>616</v>
      </c>
      <c r="E3324" s="4"/>
      <c r="F3324" s="3" t="s">
        <v>127</v>
      </c>
      <c r="G3324" s="9"/>
      <c r="H3324" s="9"/>
      <c r="I3324" s="12"/>
      <c r="J3324" s="5" t="e">
        <f>SUM(SUMIFS(#REF!,#REF!,Planning[[#This Row],[Tipo de Tarea y especialidad]],#REF!,Planning[[#This Row],[Proyectos Reiwa]]),SUMIFS(#REF!,#REF!,Planning[[#This Row],[Tipo de Tarea y especialidad]],#REF!,Planning[[#This Row],[Proyectos]]))</f>
        <v>#REF!</v>
      </c>
      <c r="K3324" s="5" t="e">
        <f>Planning[[#This Row],[Horas Planificadas]]+Planning[[#This Row],[Horas ajustadas adicionales]]-Planning[[#This Row],[Horas utilizadas]]</f>
        <v>#REF!</v>
      </c>
      <c r="L3324" s="7"/>
      <c r="M3324" s="19" t="e">
        <f>Planning[[#This Row],[Saldo]]-Planning[[#This Row],[Saldo estimado]]</f>
        <v>#REF!</v>
      </c>
      <c r="N3324" s="60" t="e">
        <f>+SUMIFS(#REF!,#REF!,Planning[[#This Row],[Proyectos]],#REF!,Planning[[#This Row],[Tipo de Tarea y especialidad]])</f>
        <v>#REF!</v>
      </c>
      <c r="O3324" s="19">
        <f t="shared" si="102"/>
        <v>10</v>
      </c>
      <c r="P3324" s="19">
        <f t="shared" si="103"/>
        <v>2024</v>
      </c>
      <c r="Q33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24" s="19" t="str">
        <f>TEXT(Planning[[#This Row],[Mes]]*29,"mmmm")</f>
        <v>October</v>
      </c>
      <c r="S33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24" s="228"/>
      <c r="U3324" s="43">
        <f>IF(Planning[[#This Row],[Horas Planificadas]]&lt;&gt;0,+K3324/Planning[[#This Row],[Horas Planificadas]],0)</f>
        <v>0</v>
      </c>
      <c r="V3324" s="43">
        <f>IF(Planning[[#This Row],[Horas Planificadas]]&lt;&gt;0,Planning[[#This Row],[Horas utilizadas]]/Planning[[#This Row],[Horas Planificadas]],0)</f>
        <v>0</v>
      </c>
      <c r="W3324" s="44">
        <f>Planning[[#This Row],[Horas Planificadas]]+Planning[[#This Row],[Horas ajustadas adicionales]]</f>
        <v>0</v>
      </c>
      <c r="X3324" s="142"/>
    </row>
    <row r="3325" spans="1:24" ht="12.75" customHeight="1" x14ac:dyDescent="0.2">
      <c r="A3325" s="7"/>
      <c r="B3325" s="7"/>
      <c r="C3325" s="3"/>
      <c r="D3325" s="3" t="s">
        <v>616</v>
      </c>
      <c r="E3325" s="4"/>
      <c r="F3325" s="3" t="s">
        <v>128</v>
      </c>
      <c r="G3325" s="9"/>
      <c r="H3325" s="9"/>
      <c r="I3325" s="12"/>
      <c r="J3325" s="5" t="e">
        <f>SUM(SUMIFS(#REF!,#REF!,Planning[[#This Row],[Tipo de Tarea y especialidad]],#REF!,Planning[[#This Row],[Proyectos Reiwa]]),SUMIFS(#REF!,#REF!,Planning[[#This Row],[Tipo de Tarea y especialidad]],#REF!,Planning[[#This Row],[Proyectos]]))</f>
        <v>#REF!</v>
      </c>
      <c r="K3325" s="5" t="e">
        <f>Planning[[#This Row],[Horas Planificadas]]+Planning[[#This Row],[Horas ajustadas adicionales]]-Planning[[#This Row],[Horas utilizadas]]</f>
        <v>#REF!</v>
      </c>
      <c r="L3325" s="7"/>
      <c r="M3325" s="19" t="e">
        <f>Planning[[#This Row],[Saldo]]-Planning[[#This Row],[Saldo estimado]]</f>
        <v>#REF!</v>
      </c>
      <c r="N3325" s="60" t="e">
        <f>+SUMIFS(#REF!,#REF!,Planning[[#This Row],[Proyectos]],#REF!,Planning[[#This Row],[Tipo de Tarea y especialidad]])</f>
        <v>#REF!</v>
      </c>
      <c r="O3325" s="19">
        <f t="shared" si="102"/>
        <v>10</v>
      </c>
      <c r="P3325" s="19">
        <f t="shared" si="103"/>
        <v>2024</v>
      </c>
      <c r="Q33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25" s="19" t="str">
        <f>TEXT(Planning[[#This Row],[Mes]]*29,"mmmm")</f>
        <v>October</v>
      </c>
      <c r="S33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25" s="228"/>
      <c r="U3325" s="43">
        <f>IF(Planning[[#This Row],[Horas Planificadas]]&lt;&gt;0,+K3325/Planning[[#This Row],[Horas Planificadas]],0)</f>
        <v>0</v>
      </c>
      <c r="V3325" s="43">
        <f>IF(Planning[[#This Row],[Horas Planificadas]]&lt;&gt;0,Planning[[#This Row],[Horas utilizadas]]/Planning[[#This Row],[Horas Planificadas]],0)</f>
        <v>0</v>
      </c>
      <c r="W3325" s="44">
        <f>Planning[[#This Row],[Horas Planificadas]]+Planning[[#This Row],[Horas ajustadas adicionales]]</f>
        <v>0</v>
      </c>
      <c r="X3325" s="142"/>
    </row>
    <row r="3326" spans="1:24" ht="12.75" customHeight="1" x14ac:dyDescent="0.2">
      <c r="A3326" s="7"/>
      <c r="B3326" s="7"/>
      <c r="C3326" s="3"/>
      <c r="D3326" s="3" t="s">
        <v>616</v>
      </c>
      <c r="E3326" s="4" t="s">
        <v>31</v>
      </c>
      <c r="F3326" s="3" t="s">
        <v>31</v>
      </c>
      <c r="G3326" s="9"/>
      <c r="H3326" s="17">
        <v>0</v>
      </c>
      <c r="I3326" s="18"/>
      <c r="J3326" s="14" t="e">
        <f>+SUMIFS(#REF!,#REF!,Planning[[#This Row],[Tarifa]],#REF!,Planning[[#This Row],[Proyectos]])</f>
        <v>#REF!</v>
      </c>
      <c r="K3326" s="14" t="e">
        <f>Planning[[#This Row],[Horas Planificadas]]+Planning[[#This Row],[Horas ajustadas adicionales]]-Planning[[#This Row],[Horas utilizadas]]</f>
        <v>#REF!</v>
      </c>
      <c r="L3326" s="15"/>
      <c r="M3326" s="16" t="e">
        <f>Planning[[#This Row],[Saldo]]-Planning[[#This Row],[Saldo estimado]]</f>
        <v>#REF!</v>
      </c>
      <c r="N3326" s="60" t="e">
        <f>+SUMIFS(#REF!,#REF!,Planning[[#This Row],[Proyectos]],#REF!,Planning[[#This Row],[Tipo de Tarea y especialidad]])</f>
        <v>#REF!</v>
      </c>
      <c r="O3326" s="16">
        <f t="shared" si="102"/>
        <v>10</v>
      </c>
      <c r="P3326" s="16">
        <f t="shared" si="103"/>
        <v>2024</v>
      </c>
      <c r="Q3326" s="16" t="e">
        <f>+SUMIFS(#REF!,#REF!,Planning[[#This Row],[Tarifa]],#REF!,Planning[[#This Row],[Proyectos]],#REF!,Planning[[#This Row],[Mes]],#REF!,Planning[[#This Row],[Año]])</f>
        <v>#REF!</v>
      </c>
      <c r="R3326" s="16" t="str">
        <f>TEXT(Planning[[#This Row],[Mes]]*29,"mmmm")</f>
        <v>October</v>
      </c>
      <c r="S33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26" s="228"/>
      <c r="U3326" s="43">
        <f>IF(Planning[[#This Row],[Horas Planificadas]]&lt;&gt;0,+K3326/Planning[[#This Row],[Horas Planificadas]],0)</f>
        <v>0</v>
      </c>
      <c r="V3326" s="43">
        <f>IF(Planning[[#This Row],[Horas Planificadas]]&lt;&gt;0,Planning[[#This Row],[Horas utilizadas]]/Planning[[#This Row],[Horas Planificadas]],0)</f>
        <v>0</v>
      </c>
      <c r="W3326" s="44">
        <f>Planning[[#This Row],[Horas Planificadas]]+Planning[[#This Row],[Horas ajustadas adicionales]]</f>
        <v>0</v>
      </c>
      <c r="X3326" s="142"/>
    </row>
    <row r="3327" spans="1:24" ht="12.75" customHeight="1" x14ac:dyDescent="0.2">
      <c r="A3327" s="7"/>
      <c r="B3327" s="7"/>
      <c r="C3327" s="3"/>
      <c r="D3327" s="3" t="s">
        <v>616</v>
      </c>
      <c r="E3327" s="4" t="s">
        <v>32</v>
      </c>
      <c r="F3327" s="3"/>
      <c r="G3327" s="9"/>
      <c r="H3327" s="14">
        <f>SUM(H3328:H3330)</f>
        <v>0</v>
      </c>
      <c r="I3327" s="14"/>
      <c r="J3327" s="14" t="e">
        <f>SUM(J3328:J3330)</f>
        <v>#REF!</v>
      </c>
      <c r="K3327" s="15" t="e">
        <f>SUM(K3328:K3330)</f>
        <v>#REF!</v>
      </c>
      <c r="L3327" s="15">
        <f>SUM(L3328:L3330)</f>
        <v>0</v>
      </c>
      <c r="M3327" s="16" t="e">
        <f>SUM(M3328:M3330)</f>
        <v>#REF!</v>
      </c>
      <c r="N3327" s="60" t="e">
        <f>+SUMIFS(#REF!,#REF!,Planning[[#This Row],[Proyectos]],#REF!,Planning[[#This Row],[Tipo de Tarea y especialidad]])</f>
        <v>#REF!</v>
      </c>
      <c r="O3327" s="16">
        <f t="shared" si="102"/>
        <v>10</v>
      </c>
      <c r="P3327" s="16">
        <f t="shared" si="103"/>
        <v>2024</v>
      </c>
      <c r="Q3327" s="16" t="e">
        <f>SUM(Q3328:Q3330)</f>
        <v>#REF!</v>
      </c>
      <c r="R3327" s="16" t="str">
        <f>TEXT(Planning[[#This Row],[Mes]]*29,"mmmm")</f>
        <v>October</v>
      </c>
      <c r="S33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27" s="228"/>
      <c r="U3327" s="43">
        <f>IF(Planning[[#This Row],[Horas Planificadas]]&lt;&gt;0,+K3327/Planning[[#This Row],[Horas Planificadas]],0)</f>
        <v>0</v>
      </c>
      <c r="V3327" s="43">
        <f>IF(Planning[[#This Row],[Horas Planificadas]]&lt;&gt;0,Planning[[#This Row],[Horas utilizadas]]/Planning[[#This Row],[Horas Planificadas]],0)</f>
        <v>0</v>
      </c>
      <c r="W3327" s="44">
        <f>Planning[[#This Row],[Horas Planificadas]]+Planning[[#This Row],[Horas ajustadas adicionales]]</f>
        <v>0</v>
      </c>
      <c r="X3327" s="142"/>
    </row>
    <row r="3328" spans="1:24" ht="12.75" customHeight="1" x14ac:dyDescent="0.2">
      <c r="A3328" s="7"/>
      <c r="B3328" s="7"/>
      <c r="C3328" s="3"/>
      <c r="D3328" s="3" t="s">
        <v>616</v>
      </c>
      <c r="E3328" s="4"/>
      <c r="F3328" s="3" t="s">
        <v>129</v>
      </c>
      <c r="G3328" s="9"/>
      <c r="H3328" s="9"/>
      <c r="I3328" s="12"/>
      <c r="J3328" s="5" t="e">
        <f>SUM(SUMIFS(#REF!,#REF!,Planning[[#This Row],[Tipo de Tarea y especialidad]],#REF!,Planning[[#This Row],[Proyectos Reiwa]]),SUMIFS(#REF!,#REF!,Planning[[#This Row],[Tipo de Tarea y especialidad]],#REF!,Planning[[#This Row],[Proyectos]]))</f>
        <v>#REF!</v>
      </c>
      <c r="K3328" s="5" t="e">
        <f>Planning[[#This Row],[Horas Planificadas]]+Planning[[#This Row],[Horas ajustadas adicionales]]-Planning[[#This Row],[Horas utilizadas]]</f>
        <v>#REF!</v>
      </c>
      <c r="L3328" s="7"/>
      <c r="M3328" s="19" t="e">
        <f>Planning[[#This Row],[Saldo]]-Planning[[#This Row],[Saldo estimado]]</f>
        <v>#REF!</v>
      </c>
      <c r="N3328" s="60" t="e">
        <f>+SUMIFS(#REF!,#REF!,Planning[[#This Row],[Proyectos]],#REF!,Planning[[#This Row],[Tipo de Tarea y especialidad]])</f>
        <v>#REF!</v>
      </c>
      <c r="O3328" s="19">
        <f t="shared" si="102"/>
        <v>10</v>
      </c>
      <c r="P3328" s="19">
        <f t="shared" si="103"/>
        <v>2024</v>
      </c>
      <c r="Q33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28" s="19" t="str">
        <f>TEXT(Planning[[#This Row],[Mes]]*29,"mmmm")</f>
        <v>October</v>
      </c>
      <c r="S33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28" s="228"/>
      <c r="U3328" s="43">
        <f>IF(Planning[[#This Row],[Horas Planificadas]]&lt;&gt;0,+K3328/Planning[[#This Row],[Horas Planificadas]],0)</f>
        <v>0</v>
      </c>
      <c r="V3328" s="43">
        <f>IF(Planning[[#This Row],[Horas Planificadas]]&lt;&gt;0,Planning[[#This Row],[Horas utilizadas]]/Planning[[#This Row],[Horas Planificadas]],0)</f>
        <v>0</v>
      </c>
      <c r="W3328" s="44">
        <f>Planning[[#This Row],[Horas Planificadas]]+Planning[[#This Row],[Horas ajustadas adicionales]]</f>
        <v>0</v>
      </c>
      <c r="X3328" s="142"/>
    </row>
    <row r="3329" spans="1:24" ht="12.75" customHeight="1" x14ac:dyDescent="0.2">
      <c r="A3329" s="7"/>
      <c r="B3329" s="7"/>
      <c r="C3329" s="3"/>
      <c r="D3329" s="3" t="s">
        <v>616</v>
      </c>
      <c r="E3329" s="4"/>
      <c r="F3329" s="3" t="s">
        <v>130</v>
      </c>
      <c r="G3329" s="9"/>
      <c r="H3329" s="9"/>
      <c r="I3329" s="12"/>
      <c r="J3329" s="5" t="e">
        <f>SUM(SUMIFS(#REF!,#REF!,Planning[[#This Row],[Tipo de Tarea y especialidad]],#REF!,Planning[[#This Row],[Proyectos Reiwa]]),SUMIFS(#REF!,#REF!,Planning[[#This Row],[Tipo de Tarea y especialidad]],#REF!,Planning[[#This Row],[Proyectos]]))</f>
        <v>#REF!</v>
      </c>
      <c r="K3329" s="5" t="e">
        <f>Planning[[#This Row],[Horas Planificadas]]+Planning[[#This Row],[Horas ajustadas adicionales]]-Planning[[#This Row],[Horas utilizadas]]</f>
        <v>#REF!</v>
      </c>
      <c r="L3329" s="7"/>
      <c r="M3329" s="19" t="e">
        <f>Planning[[#This Row],[Saldo]]-Planning[[#This Row],[Saldo estimado]]</f>
        <v>#REF!</v>
      </c>
      <c r="N3329" s="60" t="e">
        <f>+SUMIFS(#REF!,#REF!,Planning[[#This Row],[Proyectos]],#REF!,Planning[[#This Row],[Tipo de Tarea y especialidad]])</f>
        <v>#REF!</v>
      </c>
      <c r="O3329" s="19">
        <f t="shared" si="102"/>
        <v>10</v>
      </c>
      <c r="P3329" s="19">
        <f t="shared" si="103"/>
        <v>2024</v>
      </c>
      <c r="Q33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29" s="19" t="str">
        <f>TEXT(Planning[[#This Row],[Mes]]*29,"mmmm")</f>
        <v>October</v>
      </c>
      <c r="S33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29" s="228"/>
      <c r="U3329" s="43">
        <f>IF(Planning[[#This Row],[Horas Planificadas]]&lt;&gt;0,+K3329/Planning[[#This Row],[Horas Planificadas]],0)</f>
        <v>0</v>
      </c>
      <c r="V3329" s="43">
        <f>IF(Planning[[#This Row],[Horas Planificadas]]&lt;&gt;0,Planning[[#This Row],[Horas utilizadas]]/Planning[[#This Row],[Horas Planificadas]],0)</f>
        <v>0</v>
      </c>
      <c r="W3329" s="44">
        <f>Planning[[#This Row],[Horas Planificadas]]+Planning[[#This Row],[Horas ajustadas adicionales]]</f>
        <v>0</v>
      </c>
      <c r="X3329" s="142"/>
    </row>
    <row r="3330" spans="1:24" ht="12.75" customHeight="1" x14ac:dyDescent="0.2">
      <c r="A3330" s="7"/>
      <c r="B3330" s="7"/>
      <c r="C3330" s="3"/>
      <c r="D3330" s="3" t="s">
        <v>616</v>
      </c>
      <c r="E3330" s="4"/>
      <c r="F3330" s="3" t="s">
        <v>131</v>
      </c>
      <c r="G3330" s="9"/>
      <c r="H3330" s="9"/>
      <c r="I3330" s="12"/>
      <c r="J3330" s="5" t="e">
        <f>SUM(SUMIFS(#REF!,#REF!,Planning[[#This Row],[Tipo de Tarea y especialidad]],#REF!,Planning[[#This Row],[Proyectos Reiwa]]),SUMIFS(#REF!,#REF!,Planning[[#This Row],[Tipo de Tarea y especialidad]],#REF!,Planning[[#This Row],[Proyectos]]))</f>
        <v>#REF!</v>
      </c>
      <c r="K3330" s="5" t="e">
        <f>Planning[[#This Row],[Horas Planificadas]]+Planning[[#This Row],[Horas ajustadas adicionales]]-Planning[[#This Row],[Horas utilizadas]]</f>
        <v>#REF!</v>
      </c>
      <c r="L3330" s="7"/>
      <c r="M3330" s="19" t="e">
        <f>Planning[[#This Row],[Saldo]]-Planning[[#This Row],[Saldo estimado]]</f>
        <v>#REF!</v>
      </c>
      <c r="N3330" s="60" t="e">
        <f>+SUMIFS(#REF!,#REF!,Planning[[#This Row],[Proyectos]],#REF!,Planning[[#This Row],[Tipo de Tarea y especialidad]])</f>
        <v>#REF!</v>
      </c>
      <c r="O3330" s="19">
        <f t="shared" si="102"/>
        <v>10</v>
      </c>
      <c r="P3330" s="19">
        <f t="shared" si="103"/>
        <v>2024</v>
      </c>
      <c r="Q33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30" s="19" t="str">
        <f>TEXT(Planning[[#This Row],[Mes]]*29,"mmmm")</f>
        <v>October</v>
      </c>
      <c r="S33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30" s="228"/>
      <c r="U3330" s="43">
        <f>IF(Planning[[#This Row],[Horas Planificadas]]&lt;&gt;0,+K3330/Planning[[#This Row],[Horas Planificadas]],0)</f>
        <v>0</v>
      </c>
      <c r="V3330" s="43">
        <f>IF(Planning[[#This Row],[Horas Planificadas]]&lt;&gt;0,Planning[[#This Row],[Horas utilizadas]]/Planning[[#This Row],[Horas Planificadas]],0)</f>
        <v>0</v>
      </c>
      <c r="W3330" s="44">
        <f>Planning[[#This Row],[Horas Planificadas]]+Planning[[#This Row],[Horas ajustadas adicionales]]</f>
        <v>0</v>
      </c>
      <c r="X3330" s="142"/>
    </row>
    <row r="3331" spans="1:24" ht="12.75" customHeight="1" x14ac:dyDescent="0.2">
      <c r="A3331" s="7" t="s">
        <v>294</v>
      </c>
      <c r="B3331" s="7" t="s">
        <v>220</v>
      </c>
      <c r="C3331" s="3"/>
      <c r="D3331" s="3" t="s">
        <v>617</v>
      </c>
      <c r="E3331" s="4" t="s">
        <v>28</v>
      </c>
      <c r="F3331" s="3"/>
      <c r="G3331" s="9">
        <v>230</v>
      </c>
      <c r="H3331" s="14">
        <f>SUM(H3332:H3333)</f>
        <v>230</v>
      </c>
      <c r="I3331" s="14"/>
      <c r="J3331" s="14" t="e">
        <f>SUM(J3332:J3333)</f>
        <v>#REF!</v>
      </c>
      <c r="K3331" s="15" t="e">
        <f>SUM(K3332:K3333)</f>
        <v>#REF!</v>
      </c>
      <c r="L3331" s="15">
        <f>SUM(L3332:L3333)</f>
        <v>0</v>
      </c>
      <c r="M3331" s="14" t="e">
        <f>SUM(M3332:M3333)</f>
        <v>#REF!</v>
      </c>
      <c r="N3331" s="66" t="e">
        <f>+SUMIFS(#REF!,#REF!,Planning[[#This Row],[Proyectos]],#REF!,Planning[[#This Row],[Tipo de Tarea y especialidad]])</f>
        <v>#REF!</v>
      </c>
      <c r="O3331" s="14">
        <f t="shared" si="102"/>
        <v>10</v>
      </c>
      <c r="P3331" s="14">
        <f t="shared" si="103"/>
        <v>2024</v>
      </c>
      <c r="Q3331" s="28" t="e">
        <f>SUM(Q3332:Q3333)</f>
        <v>#REF!</v>
      </c>
      <c r="R3331" s="28" t="str">
        <f>TEXT(Planning[[#This Row],[Mes]]*29,"mmmm")</f>
        <v>October</v>
      </c>
      <c r="S33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31" s="257" t="s">
        <v>618</v>
      </c>
      <c r="U3331" s="43" t="e">
        <f>IF(Planning[[#This Row],[Horas Planificadas]]&lt;&gt;0,+K3331/Planning[[#This Row],[Horas Planificadas]],0)</f>
        <v>#REF!</v>
      </c>
      <c r="V3331" s="43" t="e">
        <f>IF(Planning[[#This Row],[Horas Planificadas]]&lt;&gt;0,Planning[[#This Row],[Horas utilizadas]]/Planning[[#This Row],[Horas Planificadas]],0)</f>
        <v>#REF!</v>
      </c>
      <c r="W3331" s="44">
        <f>Planning[[#This Row],[Horas Planificadas]]+Planning[[#This Row],[Horas ajustadas adicionales]]</f>
        <v>230</v>
      </c>
      <c r="X3331" s="142"/>
    </row>
    <row r="3332" spans="1:24" ht="12.75" customHeight="1" x14ac:dyDescent="0.2">
      <c r="A3332" s="7" t="s">
        <v>294</v>
      </c>
      <c r="B3332" s="7" t="s">
        <v>220</v>
      </c>
      <c r="C3332" s="3"/>
      <c r="D3332" s="3" t="s">
        <v>617</v>
      </c>
      <c r="E3332" s="4"/>
      <c r="F3332" s="3" t="s">
        <v>120</v>
      </c>
      <c r="G3332" s="9"/>
      <c r="H3332" s="9">
        <v>150</v>
      </c>
      <c r="I3332" s="12">
        <v>40</v>
      </c>
      <c r="J3332" s="5" t="e">
        <f>SUM(SUMIFS(#REF!,#REF!,Planning[[#This Row],[Tipo de Tarea y especialidad]],#REF!,Planning[[#This Row],[Proyectos Reiwa]]),SUMIFS(#REF!,#REF!,Planning[[#This Row],[Tipo de Tarea y especialidad]],#REF!,Planning[[#This Row],[Proyectos]]))</f>
        <v>#REF!</v>
      </c>
      <c r="K3332" s="5" t="e">
        <f>Planning[[#This Row],[Horas Planificadas]]+Planning[[#This Row],[Horas ajustadas adicionales]]-Planning[[#This Row],[Horas utilizadas]]</f>
        <v>#REF!</v>
      </c>
      <c r="L3332" s="7">
        <v>0</v>
      </c>
      <c r="M3332" s="19" t="e">
        <f>Planning[[#This Row],[Saldo]]-Planning[[#This Row],[Saldo estimado]]</f>
        <v>#REF!</v>
      </c>
      <c r="N3332" s="60" t="e">
        <f>+SUMIFS(#REF!,#REF!,Planning[[#This Row],[Proyectos]],#REF!,Planning[[#This Row],[Tipo de Tarea y especialidad]])</f>
        <v>#REF!</v>
      </c>
      <c r="O3332" s="19">
        <f t="shared" si="102"/>
        <v>10</v>
      </c>
      <c r="P3332" s="19">
        <f t="shared" si="103"/>
        <v>2024</v>
      </c>
      <c r="Q33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32" s="19" t="str">
        <f>TEXT(Planning[[#This Row],[Mes]]*29,"mmmm")</f>
        <v>October</v>
      </c>
      <c r="S33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32" s="258"/>
      <c r="U3332" s="43" t="e">
        <f>IF(Planning[[#This Row],[Horas Planificadas]]&lt;&gt;0,+K3332/Planning[[#This Row],[Horas Planificadas]],0)</f>
        <v>#REF!</v>
      </c>
      <c r="V3332" s="43" t="e">
        <f>IF(Planning[[#This Row],[Horas Planificadas]]&lt;&gt;0,Planning[[#This Row],[Horas utilizadas]]/Planning[[#This Row],[Horas Planificadas]],0)</f>
        <v>#REF!</v>
      </c>
      <c r="W3332" s="44">
        <f>Planning[[#This Row],[Horas Planificadas]]+Planning[[#This Row],[Horas ajustadas adicionales]]</f>
        <v>190</v>
      </c>
      <c r="X3332" s="142"/>
    </row>
    <row r="3333" spans="1:24" ht="12.75" customHeight="1" x14ac:dyDescent="0.2">
      <c r="A3333" s="7" t="s">
        <v>294</v>
      </c>
      <c r="B3333" s="7" t="s">
        <v>220</v>
      </c>
      <c r="C3333" s="3"/>
      <c r="D3333" s="3" t="s">
        <v>617</v>
      </c>
      <c r="E3333" s="4"/>
      <c r="F3333" s="3" t="s">
        <v>121</v>
      </c>
      <c r="G3333" s="9"/>
      <c r="H3333" s="9">
        <v>80</v>
      </c>
      <c r="I3333" s="12">
        <v>78</v>
      </c>
      <c r="J3333" s="5" t="e">
        <f>SUM(SUMIFS(#REF!,#REF!,Planning[[#This Row],[Tipo de Tarea y especialidad]],#REF!,Planning[[#This Row],[Proyectos Reiwa]]),SUMIFS(#REF!,#REF!,Planning[[#This Row],[Tipo de Tarea y especialidad]],#REF!,Planning[[#This Row],[Proyectos]]))</f>
        <v>#REF!</v>
      </c>
      <c r="K3333" s="5" t="e">
        <f>Planning[[#This Row],[Horas Planificadas]]+Planning[[#This Row],[Horas ajustadas adicionales]]-Planning[[#This Row],[Horas utilizadas]]</f>
        <v>#REF!</v>
      </c>
      <c r="L3333" s="7">
        <v>0</v>
      </c>
      <c r="M3333" s="19" t="e">
        <f>Planning[[#This Row],[Saldo]]-Planning[[#This Row],[Saldo estimado]]</f>
        <v>#REF!</v>
      </c>
      <c r="N3333" s="60" t="e">
        <f>+SUMIFS(#REF!,#REF!,Planning[[#This Row],[Proyectos]],#REF!,Planning[[#This Row],[Tipo de Tarea y especialidad]])</f>
        <v>#REF!</v>
      </c>
      <c r="O3333" s="19">
        <f t="shared" si="102"/>
        <v>10</v>
      </c>
      <c r="P3333" s="19">
        <f t="shared" si="103"/>
        <v>2024</v>
      </c>
      <c r="Q33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33" s="19" t="str">
        <f>TEXT(Planning[[#This Row],[Mes]]*29,"mmmm")</f>
        <v>October</v>
      </c>
      <c r="S33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33" s="258"/>
      <c r="U3333" s="43" t="e">
        <f>IF(Planning[[#This Row],[Horas Planificadas]]&lt;&gt;0,+K3333/Planning[[#This Row],[Horas Planificadas]],0)</f>
        <v>#REF!</v>
      </c>
      <c r="V3333" s="43" t="e">
        <f>IF(Planning[[#This Row],[Horas Planificadas]]&lt;&gt;0,Planning[[#This Row],[Horas utilizadas]]/Planning[[#This Row],[Horas Planificadas]],0)</f>
        <v>#REF!</v>
      </c>
      <c r="W3333" s="44">
        <f>Planning[[#This Row],[Horas Planificadas]]+Planning[[#This Row],[Horas ajustadas adicionales]]</f>
        <v>158</v>
      </c>
      <c r="X3333" s="142"/>
    </row>
    <row r="3334" spans="1:24" ht="12.75" customHeight="1" x14ac:dyDescent="0.2">
      <c r="A3334" s="7" t="s">
        <v>294</v>
      </c>
      <c r="B3334" s="7" t="s">
        <v>220</v>
      </c>
      <c r="C3334" s="3"/>
      <c r="D3334" s="3" t="s">
        <v>617</v>
      </c>
      <c r="E3334" s="4" t="s">
        <v>30</v>
      </c>
      <c r="F3334" s="3"/>
      <c r="G3334" s="9">
        <v>170</v>
      </c>
      <c r="H3334" s="14">
        <f>SUM(H3335:H3341)</f>
        <v>170</v>
      </c>
      <c r="I3334" s="14"/>
      <c r="J3334" s="14" t="e">
        <f>SUM(J3335:J3341)</f>
        <v>#REF!</v>
      </c>
      <c r="K3334" s="15" t="e">
        <f>SUM(K3335:K3341)</f>
        <v>#REF!</v>
      </c>
      <c r="L3334" s="15">
        <f>SUM(L3335:L3341)</f>
        <v>0</v>
      </c>
      <c r="M3334" s="16" t="e">
        <f>SUM(M3335:M3341)</f>
        <v>#REF!</v>
      </c>
      <c r="N3334" s="60" t="e">
        <f>+SUMIFS(#REF!,#REF!,Planning[[#This Row],[Proyectos]],#REF!,Planning[[#This Row],[Tipo de Tarea y especialidad]])</f>
        <v>#REF!</v>
      </c>
      <c r="O3334" s="16">
        <f t="shared" si="102"/>
        <v>10</v>
      </c>
      <c r="P3334" s="16">
        <f t="shared" si="103"/>
        <v>2024</v>
      </c>
      <c r="Q3334" s="16" t="e">
        <f>SUM(Q3335:Q3341)</f>
        <v>#REF!</v>
      </c>
      <c r="R3334" s="16" t="str">
        <f>TEXT(Planning[[#This Row],[Mes]]*29,"mmmm")</f>
        <v>October</v>
      </c>
      <c r="S33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34" s="258"/>
      <c r="U3334" s="43" t="e">
        <f>IF(Planning[[#This Row],[Horas Planificadas]]&lt;&gt;0,+K3334/Planning[[#This Row],[Horas Planificadas]],0)</f>
        <v>#REF!</v>
      </c>
      <c r="V3334" s="43" t="e">
        <f>IF(Planning[[#This Row],[Horas Planificadas]]&lt;&gt;0,Planning[[#This Row],[Horas utilizadas]]/Planning[[#This Row],[Horas Planificadas]],0)</f>
        <v>#REF!</v>
      </c>
      <c r="W3334" s="44">
        <f>Planning[[#This Row],[Horas Planificadas]]+Planning[[#This Row],[Horas ajustadas adicionales]]</f>
        <v>170</v>
      </c>
      <c r="X3334" s="142"/>
    </row>
    <row r="3335" spans="1:24" ht="12.75" customHeight="1" x14ac:dyDescent="0.2">
      <c r="A3335" s="7" t="s">
        <v>294</v>
      </c>
      <c r="B3335" s="7" t="s">
        <v>220</v>
      </c>
      <c r="C3335" s="3"/>
      <c r="D3335" s="3" t="s">
        <v>617</v>
      </c>
      <c r="E3335" s="4"/>
      <c r="F3335" s="3" t="s">
        <v>122</v>
      </c>
      <c r="G3335" s="9"/>
      <c r="H3335" s="9">
        <v>45</v>
      </c>
      <c r="I3335" s="12"/>
      <c r="J3335" s="5" t="e">
        <f>SUM(SUMIFS(#REF!,#REF!,Planning[[#This Row],[Tipo de Tarea y especialidad]],#REF!,Planning[[#This Row],[Proyectos Reiwa]]),SUMIFS(#REF!,#REF!,Planning[[#This Row],[Tipo de Tarea y especialidad]],#REF!,Planning[[#This Row],[Proyectos]]))</f>
        <v>#REF!</v>
      </c>
      <c r="K3335" s="5" t="e">
        <f>Planning[[#This Row],[Horas Planificadas]]+Planning[[#This Row],[Horas ajustadas adicionales]]-Planning[[#This Row],[Horas utilizadas]]</f>
        <v>#REF!</v>
      </c>
      <c r="L3335" s="7">
        <v>0</v>
      </c>
      <c r="M3335" s="19" t="e">
        <f>Planning[[#This Row],[Saldo]]-Planning[[#This Row],[Saldo estimado]]</f>
        <v>#REF!</v>
      </c>
      <c r="N3335" s="60" t="e">
        <f>+SUMIFS(#REF!,#REF!,Planning[[#This Row],[Proyectos]],#REF!,Planning[[#This Row],[Tipo de Tarea y especialidad]])</f>
        <v>#REF!</v>
      </c>
      <c r="O3335" s="19">
        <f t="shared" ref="O3335:O3398" si="104">$L$4</f>
        <v>10</v>
      </c>
      <c r="P3335" s="19">
        <f t="shared" ref="P3335:P3398" si="105">$M$4</f>
        <v>2024</v>
      </c>
      <c r="Q33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35" s="19" t="str">
        <f>TEXT(Planning[[#This Row],[Mes]]*29,"mmmm")</f>
        <v>October</v>
      </c>
      <c r="S33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35" s="258"/>
      <c r="U3335" s="43" t="e">
        <f>IF(Planning[[#This Row],[Horas Planificadas]]&lt;&gt;0,+K3335/Planning[[#This Row],[Horas Planificadas]],0)</f>
        <v>#REF!</v>
      </c>
      <c r="V3335" s="43" t="e">
        <f>IF(Planning[[#This Row],[Horas Planificadas]]&lt;&gt;0,Planning[[#This Row],[Horas utilizadas]]/Planning[[#This Row],[Horas Planificadas]],0)</f>
        <v>#REF!</v>
      </c>
      <c r="W3335" s="44">
        <f>Planning[[#This Row],[Horas Planificadas]]+Planning[[#This Row],[Horas ajustadas adicionales]]</f>
        <v>45</v>
      </c>
      <c r="X3335" s="142"/>
    </row>
    <row r="3336" spans="1:24" ht="12.75" customHeight="1" x14ac:dyDescent="0.2">
      <c r="A3336" s="7" t="s">
        <v>294</v>
      </c>
      <c r="B3336" s="7" t="s">
        <v>220</v>
      </c>
      <c r="C3336" s="3"/>
      <c r="D3336" s="3" t="s">
        <v>617</v>
      </c>
      <c r="E3336" s="4"/>
      <c r="F3336" s="3" t="s">
        <v>123</v>
      </c>
      <c r="G3336" s="9"/>
      <c r="H3336" s="9"/>
      <c r="I3336" s="12"/>
      <c r="J3336" s="5" t="e">
        <f>SUM(SUMIFS(#REF!,#REF!,Planning[[#This Row],[Tipo de Tarea y especialidad]],#REF!,Planning[[#This Row],[Proyectos Reiwa]]),SUMIFS(#REF!,#REF!,Planning[[#This Row],[Tipo de Tarea y especialidad]],#REF!,Planning[[#This Row],[Proyectos]]))</f>
        <v>#REF!</v>
      </c>
      <c r="K3336" s="5" t="e">
        <f>Planning[[#This Row],[Horas Planificadas]]+Planning[[#This Row],[Horas ajustadas adicionales]]-Planning[[#This Row],[Horas utilizadas]]</f>
        <v>#REF!</v>
      </c>
      <c r="L3336" s="7">
        <v>0</v>
      </c>
      <c r="M3336" s="19" t="e">
        <f>Planning[[#This Row],[Saldo]]-Planning[[#This Row],[Saldo estimado]]</f>
        <v>#REF!</v>
      </c>
      <c r="N3336" s="60" t="e">
        <f>+SUMIFS(#REF!,#REF!,Planning[[#This Row],[Proyectos]],#REF!,Planning[[#This Row],[Tipo de Tarea y especialidad]])</f>
        <v>#REF!</v>
      </c>
      <c r="O3336" s="19">
        <f t="shared" si="104"/>
        <v>10</v>
      </c>
      <c r="P3336" s="19">
        <f t="shared" si="105"/>
        <v>2024</v>
      </c>
      <c r="Q33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36" s="19" t="str">
        <f>TEXT(Planning[[#This Row],[Mes]]*29,"mmmm")</f>
        <v>October</v>
      </c>
      <c r="S33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36" s="258"/>
      <c r="U3336" s="43">
        <f>IF(Planning[[#This Row],[Horas Planificadas]]&lt;&gt;0,+K3336/Planning[[#This Row],[Horas Planificadas]],0)</f>
        <v>0</v>
      </c>
      <c r="V3336" s="43">
        <f>IF(Planning[[#This Row],[Horas Planificadas]]&lt;&gt;0,Planning[[#This Row],[Horas utilizadas]]/Planning[[#This Row],[Horas Planificadas]],0)</f>
        <v>0</v>
      </c>
      <c r="W3336" s="44">
        <f>Planning[[#This Row],[Horas Planificadas]]+Planning[[#This Row],[Horas ajustadas adicionales]]</f>
        <v>0</v>
      </c>
      <c r="X3336" s="142"/>
    </row>
    <row r="3337" spans="1:24" ht="12.75" customHeight="1" x14ac:dyDescent="0.2">
      <c r="A3337" s="7" t="s">
        <v>294</v>
      </c>
      <c r="B3337" s="7" t="s">
        <v>220</v>
      </c>
      <c r="C3337" s="3"/>
      <c r="D3337" s="3" t="s">
        <v>617</v>
      </c>
      <c r="E3337" s="4"/>
      <c r="F3337" s="3" t="s">
        <v>124</v>
      </c>
      <c r="G3337" s="9"/>
      <c r="H3337" s="9"/>
      <c r="I3337" s="12"/>
      <c r="J3337" s="5" t="e">
        <f>SUM(SUMIFS(#REF!,#REF!,Planning[[#This Row],[Tipo de Tarea y especialidad]],#REF!,Planning[[#This Row],[Proyectos Reiwa]]),SUMIFS(#REF!,#REF!,Planning[[#This Row],[Tipo de Tarea y especialidad]],#REF!,Planning[[#This Row],[Proyectos]]))</f>
        <v>#REF!</v>
      </c>
      <c r="K3337" s="5" t="e">
        <f>Planning[[#This Row],[Horas Planificadas]]+Planning[[#This Row],[Horas ajustadas adicionales]]-Planning[[#This Row],[Horas utilizadas]]</f>
        <v>#REF!</v>
      </c>
      <c r="L3337" s="7">
        <v>0</v>
      </c>
      <c r="M3337" s="19" t="e">
        <f>Planning[[#This Row],[Saldo]]-Planning[[#This Row],[Saldo estimado]]</f>
        <v>#REF!</v>
      </c>
      <c r="N3337" s="60" t="e">
        <f>+SUMIFS(#REF!,#REF!,Planning[[#This Row],[Proyectos]],#REF!,Planning[[#This Row],[Tipo de Tarea y especialidad]])</f>
        <v>#REF!</v>
      </c>
      <c r="O3337" s="19">
        <f t="shared" si="104"/>
        <v>10</v>
      </c>
      <c r="P3337" s="19">
        <f t="shared" si="105"/>
        <v>2024</v>
      </c>
      <c r="Q33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37" s="19" t="str">
        <f>TEXT(Planning[[#This Row],[Mes]]*29,"mmmm")</f>
        <v>October</v>
      </c>
      <c r="S33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37" s="258"/>
      <c r="U3337" s="43">
        <f>IF(Planning[[#This Row],[Horas Planificadas]]&lt;&gt;0,+K3337/Planning[[#This Row],[Horas Planificadas]],0)</f>
        <v>0</v>
      </c>
      <c r="V3337" s="43">
        <f>IF(Planning[[#This Row],[Horas Planificadas]]&lt;&gt;0,Planning[[#This Row],[Horas utilizadas]]/Planning[[#This Row],[Horas Planificadas]],0)</f>
        <v>0</v>
      </c>
      <c r="W3337" s="44">
        <f>Planning[[#This Row],[Horas Planificadas]]+Planning[[#This Row],[Horas ajustadas adicionales]]</f>
        <v>0</v>
      </c>
      <c r="X3337" s="142"/>
    </row>
    <row r="3338" spans="1:24" ht="12.75" customHeight="1" x14ac:dyDescent="0.2">
      <c r="A3338" s="7" t="s">
        <v>294</v>
      </c>
      <c r="B3338" s="7" t="s">
        <v>220</v>
      </c>
      <c r="C3338" s="3"/>
      <c r="D3338" s="3" t="s">
        <v>617</v>
      </c>
      <c r="E3338" s="4"/>
      <c r="F3338" s="3" t="s">
        <v>125</v>
      </c>
      <c r="G3338" s="9"/>
      <c r="H3338" s="9">
        <v>80</v>
      </c>
      <c r="I3338" s="12"/>
      <c r="J3338" s="5" t="e">
        <f>SUM(SUMIFS(#REF!,#REF!,Planning[[#This Row],[Tipo de Tarea y especialidad]],#REF!,Planning[[#This Row],[Proyectos Reiwa]]),SUMIFS(#REF!,#REF!,Planning[[#This Row],[Tipo de Tarea y especialidad]],#REF!,Planning[[#This Row],[Proyectos]]))</f>
        <v>#REF!</v>
      </c>
      <c r="K3338" s="5" t="e">
        <f>Planning[[#This Row],[Horas Planificadas]]+Planning[[#This Row],[Horas ajustadas adicionales]]-Planning[[#This Row],[Horas utilizadas]]</f>
        <v>#REF!</v>
      </c>
      <c r="L3338" s="7">
        <v>0</v>
      </c>
      <c r="M3338" s="19" t="e">
        <f>Planning[[#This Row],[Saldo]]-Planning[[#This Row],[Saldo estimado]]</f>
        <v>#REF!</v>
      </c>
      <c r="N3338" s="60" t="e">
        <f>+SUMIFS(#REF!,#REF!,Planning[[#This Row],[Proyectos]],#REF!,Planning[[#This Row],[Tipo de Tarea y especialidad]])</f>
        <v>#REF!</v>
      </c>
      <c r="O3338" s="19">
        <f t="shared" si="104"/>
        <v>10</v>
      </c>
      <c r="P3338" s="19">
        <f t="shared" si="105"/>
        <v>2024</v>
      </c>
      <c r="Q33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38" s="19" t="str">
        <f>TEXT(Planning[[#This Row],[Mes]]*29,"mmmm")</f>
        <v>October</v>
      </c>
      <c r="S33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38" s="258"/>
      <c r="U3338" s="43" t="e">
        <f>IF(Planning[[#This Row],[Horas Planificadas]]&lt;&gt;0,+K3338/Planning[[#This Row],[Horas Planificadas]],0)</f>
        <v>#REF!</v>
      </c>
      <c r="V3338" s="43" t="e">
        <f>IF(Planning[[#This Row],[Horas Planificadas]]&lt;&gt;0,Planning[[#This Row],[Horas utilizadas]]/Planning[[#This Row],[Horas Planificadas]],0)</f>
        <v>#REF!</v>
      </c>
      <c r="W3338" s="44">
        <f>Planning[[#This Row],[Horas Planificadas]]+Planning[[#This Row],[Horas ajustadas adicionales]]</f>
        <v>80</v>
      </c>
      <c r="X3338" s="142"/>
    </row>
    <row r="3339" spans="1:24" ht="12.75" customHeight="1" x14ac:dyDescent="0.2">
      <c r="A3339" s="7" t="s">
        <v>294</v>
      </c>
      <c r="B3339" s="7" t="s">
        <v>220</v>
      </c>
      <c r="C3339" s="3"/>
      <c r="D3339" s="3" t="s">
        <v>617</v>
      </c>
      <c r="E3339" s="4"/>
      <c r="F3339" s="3" t="s">
        <v>126</v>
      </c>
      <c r="G3339" s="9"/>
      <c r="H3339" s="9">
        <v>45</v>
      </c>
      <c r="I3339" s="12">
        <v>50</v>
      </c>
      <c r="J3339" s="5" t="e">
        <f>SUM(SUMIFS(#REF!,#REF!,Planning[[#This Row],[Tipo de Tarea y especialidad]],#REF!,Planning[[#This Row],[Proyectos Reiwa]]),SUMIFS(#REF!,#REF!,Planning[[#This Row],[Tipo de Tarea y especialidad]],#REF!,Planning[[#This Row],[Proyectos]]))</f>
        <v>#REF!</v>
      </c>
      <c r="K3339" s="5" t="e">
        <f>Planning[[#This Row],[Horas Planificadas]]+Planning[[#This Row],[Horas ajustadas adicionales]]-Planning[[#This Row],[Horas utilizadas]]</f>
        <v>#REF!</v>
      </c>
      <c r="L3339" s="7">
        <v>0</v>
      </c>
      <c r="M3339" s="19" t="e">
        <f>Planning[[#This Row],[Saldo]]-Planning[[#This Row],[Saldo estimado]]</f>
        <v>#REF!</v>
      </c>
      <c r="N3339" s="60" t="e">
        <f>+SUMIFS(#REF!,#REF!,Planning[[#This Row],[Proyectos]],#REF!,Planning[[#This Row],[Tipo de Tarea y especialidad]])</f>
        <v>#REF!</v>
      </c>
      <c r="O3339" s="19">
        <f t="shared" si="104"/>
        <v>10</v>
      </c>
      <c r="P3339" s="19">
        <f t="shared" si="105"/>
        <v>2024</v>
      </c>
      <c r="Q33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39" s="19" t="str">
        <f>TEXT(Planning[[#This Row],[Mes]]*29,"mmmm")</f>
        <v>October</v>
      </c>
      <c r="S33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39" s="258"/>
      <c r="U3339" s="43" t="e">
        <f>IF(Planning[[#This Row],[Horas Planificadas]]&lt;&gt;0,+K3339/Planning[[#This Row],[Horas Planificadas]],0)</f>
        <v>#REF!</v>
      </c>
      <c r="V3339" s="43" t="e">
        <f>IF(Planning[[#This Row],[Horas Planificadas]]&lt;&gt;0,Planning[[#This Row],[Horas utilizadas]]/Planning[[#This Row],[Horas Planificadas]],0)</f>
        <v>#REF!</v>
      </c>
      <c r="W3339" s="44">
        <f>Planning[[#This Row],[Horas Planificadas]]+Planning[[#This Row],[Horas ajustadas adicionales]]</f>
        <v>95</v>
      </c>
      <c r="X3339" s="142"/>
    </row>
    <row r="3340" spans="1:24" ht="12.75" customHeight="1" x14ac:dyDescent="0.2">
      <c r="A3340" s="7" t="s">
        <v>294</v>
      </c>
      <c r="B3340" s="7" t="s">
        <v>220</v>
      </c>
      <c r="C3340" s="3"/>
      <c r="D3340" s="3" t="s">
        <v>617</v>
      </c>
      <c r="E3340" s="4"/>
      <c r="F3340" s="3" t="s">
        <v>127</v>
      </c>
      <c r="G3340" s="9"/>
      <c r="H3340" s="9"/>
      <c r="I3340" s="12"/>
      <c r="J3340" s="5" t="e">
        <f>SUM(SUMIFS(#REF!,#REF!,Planning[[#This Row],[Tipo de Tarea y especialidad]],#REF!,Planning[[#This Row],[Proyectos Reiwa]]),SUMIFS(#REF!,#REF!,Planning[[#This Row],[Tipo de Tarea y especialidad]],#REF!,Planning[[#This Row],[Proyectos]]))</f>
        <v>#REF!</v>
      </c>
      <c r="K3340" s="5" t="e">
        <f>Planning[[#This Row],[Horas Planificadas]]+Planning[[#This Row],[Horas ajustadas adicionales]]-Planning[[#This Row],[Horas utilizadas]]</f>
        <v>#REF!</v>
      </c>
      <c r="L3340" s="7">
        <v>0</v>
      </c>
      <c r="M3340" s="19" t="e">
        <f>Planning[[#This Row],[Saldo]]-Planning[[#This Row],[Saldo estimado]]</f>
        <v>#REF!</v>
      </c>
      <c r="N3340" s="60" t="e">
        <f>+SUMIFS(#REF!,#REF!,Planning[[#This Row],[Proyectos]],#REF!,Planning[[#This Row],[Tipo de Tarea y especialidad]])</f>
        <v>#REF!</v>
      </c>
      <c r="O3340" s="19">
        <f t="shared" si="104"/>
        <v>10</v>
      </c>
      <c r="P3340" s="19">
        <f t="shared" si="105"/>
        <v>2024</v>
      </c>
      <c r="Q33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40" s="19" t="str">
        <f>TEXT(Planning[[#This Row],[Mes]]*29,"mmmm")</f>
        <v>October</v>
      </c>
      <c r="S33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40" s="258"/>
      <c r="U3340" s="43">
        <f>IF(Planning[[#This Row],[Horas Planificadas]]&lt;&gt;0,+K3340/Planning[[#This Row],[Horas Planificadas]],0)</f>
        <v>0</v>
      </c>
      <c r="V3340" s="43">
        <f>IF(Planning[[#This Row],[Horas Planificadas]]&lt;&gt;0,Planning[[#This Row],[Horas utilizadas]]/Planning[[#This Row],[Horas Planificadas]],0)</f>
        <v>0</v>
      </c>
      <c r="W3340" s="44">
        <f>Planning[[#This Row],[Horas Planificadas]]+Planning[[#This Row],[Horas ajustadas adicionales]]</f>
        <v>0</v>
      </c>
      <c r="X3340" s="142"/>
    </row>
    <row r="3341" spans="1:24" ht="12.75" customHeight="1" x14ac:dyDescent="0.2">
      <c r="A3341" s="7" t="s">
        <v>294</v>
      </c>
      <c r="B3341" s="7" t="s">
        <v>220</v>
      </c>
      <c r="C3341" s="3"/>
      <c r="D3341" s="3" t="s">
        <v>617</v>
      </c>
      <c r="E3341" s="4"/>
      <c r="F3341" s="3" t="s">
        <v>128</v>
      </c>
      <c r="G3341" s="9"/>
      <c r="H3341" s="9"/>
      <c r="I3341" s="12"/>
      <c r="J3341" s="5" t="e">
        <f>SUM(SUMIFS(#REF!,#REF!,Planning[[#This Row],[Tipo de Tarea y especialidad]],#REF!,Planning[[#This Row],[Proyectos Reiwa]]),SUMIFS(#REF!,#REF!,Planning[[#This Row],[Tipo de Tarea y especialidad]],#REF!,Planning[[#This Row],[Proyectos]]))</f>
        <v>#REF!</v>
      </c>
      <c r="K3341" s="5" t="e">
        <f>Planning[[#This Row],[Horas Planificadas]]+Planning[[#This Row],[Horas ajustadas adicionales]]-Planning[[#This Row],[Horas utilizadas]]</f>
        <v>#REF!</v>
      </c>
      <c r="L3341" s="7">
        <v>0</v>
      </c>
      <c r="M3341" s="19" t="e">
        <f>Planning[[#This Row],[Saldo]]-Planning[[#This Row],[Saldo estimado]]</f>
        <v>#REF!</v>
      </c>
      <c r="N3341" s="60" t="e">
        <f>+SUMIFS(#REF!,#REF!,Planning[[#This Row],[Proyectos]],#REF!,Planning[[#This Row],[Tipo de Tarea y especialidad]])</f>
        <v>#REF!</v>
      </c>
      <c r="O3341" s="19">
        <f t="shared" si="104"/>
        <v>10</v>
      </c>
      <c r="P3341" s="19">
        <f t="shared" si="105"/>
        <v>2024</v>
      </c>
      <c r="Q33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41" s="19" t="str">
        <f>TEXT(Planning[[#This Row],[Mes]]*29,"mmmm")</f>
        <v>October</v>
      </c>
      <c r="S33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41" s="258"/>
      <c r="U3341" s="43">
        <f>IF(Planning[[#This Row],[Horas Planificadas]]&lt;&gt;0,+K3341/Planning[[#This Row],[Horas Planificadas]],0)</f>
        <v>0</v>
      </c>
      <c r="V3341" s="43">
        <f>IF(Planning[[#This Row],[Horas Planificadas]]&lt;&gt;0,Planning[[#This Row],[Horas utilizadas]]/Planning[[#This Row],[Horas Planificadas]],0)</f>
        <v>0</v>
      </c>
      <c r="W3341" s="44">
        <f>Planning[[#This Row],[Horas Planificadas]]+Planning[[#This Row],[Horas ajustadas adicionales]]</f>
        <v>0</v>
      </c>
      <c r="X3341" s="142"/>
    </row>
    <row r="3342" spans="1:24" ht="12.75" customHeight="1" x14ac:dyDescent="0.2">
      <c r="A3342" s="7" t="s">
        <v>294</v>
      </c>
      <c r="B3342" s="7" t="s">
        <v>220</v>
      </c>
      <c r="C3342" s="3"/>
      <c r="D3342" s="3" t="s">
        <v>617</v>
      </c>
      <c r="E3342" s="4" t="s">
        <v>31</v>
      </c>
      <c r="F3342" s="3" t="s">
        <v>31</v>
      </c>
      <c r="G3342" s="9"/>
      <c r="H3342" s="17">
        <v>0</v>
      </c>
      <c r="I3342" s="18"/>
      <c r="J3342" s="14" t="e">
        <f>+SUMIFS(#REF!,#REF!,Planning[[#This Row],[Tarifa]],#REF!,Planning[[#This Row],[Proyectos]])</f>
        <v>#REF!</v>
      </c>
      <c r="K3342" s="14" t="e">
        <f>Planning[[#This Row],[Horas Planificadas]]+Planning[[#This Row],[Horas ajustadas adicionales]]-Planning[[#This Row],[Horas utilizadas]]</f>
        <v>#REF!</v>
      </c>
      <c r="L3342" s="15"/>
      <c r="M3342" s="16" t="e">
        <f>Planning[[#This Row],[Saldo]]-Planning[[#This Row],[Saldo estimado]]</f>
        <v>#REF!</v>
      </c>
      <c r="N3342" s="60" t="e">
        <f>+SUMIFS(#REF!,#REF!,Planning[[#This Row],[Proyectos]],#REF!,Planning[[#This Row],[Tipo de Tarea y especialidad]])</f>
        <v>#REF!</v>
      </c>
      <c r="O3342" s="16">
        <f t="shared" si="104"/>
        <v>10</v>
      </c>
      <c r="P3342" s="16">
        <f t="shared" si="105"/>
        <v>2024</v>
      </c>
      <c r="Q3342" s="16" t="e">
        <f>+SUMIFS(#REF!,#REF!,Planning[[#This Row],[Tarifa]],#REF!,Planning[[#This Row],[Proyectos]],#REF!,Planning[[#This Row],[Mes]],#REF!,Planning[[#This Row],[Año]])</f>
        <v>#REF!</v>
      </c>
      <c r="R3342" s="16" t="str">
        <f>TEXT(Planning[[#This Row],[Mes]]*29,"mmmm")</f>
        <v>October</v>
      </c>
      <c r="S33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42" s="258"/>
      <c r="U3342" s="43">
        <f>IF(Planning[[#This Row],[Horas Planificadas]]&lt;&gt;0,+K3342/Planning[[#This Row],[Horas Planificadas]],0)</f>
        <v>0</v>
      </c>
      <c r="V3342" s="43">
        <f>IF(Planning[[#This Row],[Horas Planificadas]]&lt;&gt;0,Planning[[#This Row],[Horas utilizadas]]/Planning[[#This Row],[Horas Planificadas]],0)</f>
        <v>0</v>
      </c>
      <c r="W3342" s="44">
        <f>Planning[[#This Row],[Horas Planificadas]]+Planning[[#This Row],[Horas ajustadas adicionales]]</f>
        <v>0</v>
      </c>
      <c r="X3342" s="142"/>
    </row>
    <row r="3343" spans="1:24" ht="12.75" customHeight="1" x14ac:dyDescent="0.2">
      <c r="A3343" s="7" t="s">
        <v>294</v>
      </c>
      <c r="B3343" s="7" t="s">
        <v>220</v>
      </c>
      <c r="C3343" s="3"/>
      <c r="D3343" s="3" t="s">
        <v>617</v>
      </c>
      <c r="E3343" s="4" t="s">
        <v>32</v>
      </c>
      <c r="F3343" s="3"/>
      <c r="G3343" s="9">
        <v>116</v>
      </c>
      <c r="H3343" s="14">
        <f>SUM(H3344:H3346)</f>
        <v>116</v>
      </c>
      <c r="I3343" s="14"/>
      <c r="J3343" s="14" t="e">
        <f>SUM(J3344:J3346)</f>
        <v>#REF!</v>
      </c>
      <c r="K3343" s="15" t="e">
        <f>SUM(K3344:K3346)</f>
        <v>#REF!</v>
      </c>
      <c r="L3343" s="15">
        <f>SUM(L3344:L3346)</f>
        <v>0</v>
      </c>
      <c r="M3343" s="16" t="e">
        <f>SUM(M3344:M3346)</f>
        <v>#REF!</v>
      </c>
      <c r="N3343" s="60" t="e">
        <f>+SUMIFS(#REF!,#REF!,Planning[[#This Row],[Proyectos]],#REF!,Planning[[#This Row],[Tipo de Tarea y especialidad]])</f>
        <v>#REF!</v>
      </c>
      <c r="O3343" s="16">
        <f t="shared" si="104"/>
        <v>10</v>
      </c>
      <c r="P3343" s="16">
        <f t="shared" si="105"/>
        <v>2024</v>
      </c>
      <c r="Q3343" s="16" t="e">
        <f>SUM(Q3344:Q3346)</f>
        <v>#REF!</v>
      </c>
      <c r="R3343" s="16" t="str">
        <f>TEXT(Planning[[#This Row],[Mes]]*29,"mmmm")</f>
        <v>October</v>
      </c>
      <c r="S33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43" s="258"/>
      <c r="U3343" s="43" t="e">
        <f>IF(Planning[[#This Row],[Horas Planificadas]]&lt;&gt;0,+K3343/Planning[[#This Row],[Horas Planificadas]],0)</f>
        <v>#REF!</v>
      </c>
      <c r="V3343" s="43" t="e">
        <f>IF(Planning[[#This Row],[Horas Planificadas]]&lt;&gt;0,Planning[[#This Row],[Horas utilizadas]]/Planning[[#This Row],[Horas Planificadas]],0)</f>
        <v>#REF!</v>
      </c>
      <c r="W3343" s="44">
        <f>Planning[[#This Row],[Horas Planificadas]]+Planning[[#This Row],[Horas ajustadas adicionales]]</f>
        <v>116</v>
      </c>
      <c r="X3343" s="142"/>
    </row>
    <row r="3344" spans="1:24" ht="12.75" customHeight="1" x14ac:dyDescent="0.2">
      <c r="A3344" s="7" t="s">
        <v>294</v>
      </c>
      <c r="B3344" s="7" t="s">
        <v>220</v>
      </c>
      <c r="C3344" s="3"/>
      <c r="D3344" s="3" t="s">
        <v>617</v>
      </c>
      <c r="E3344" s="4"/>
      <c r="F3344" s="3" t="s">
        <v>129</v>
      </c>
      <c r="G3344" s="9"/>
      <c r="H3344" s="9">
        <v>116</v>
      </c>
      <c r="I3344" s="12">
        <f>109+60</f>
        <v>169</v>
      </c>
      <c r="J3344" s="5" t="e">
        <f>SUM(SUMIFS(#REF!,#REF!,Planning[[#This Row],[Tipo de Tarea y especialidad]],#REF!,Planning[[#This Row],[Proyectos Reiwa]]),SUMIFS(#REF!,#REF!,Planning[[#This Row],[Tipo de Tarea y especialidad]],#REF!,Planning[[#This Row],[Proyectos]]))</f>
        <v>#REF!</v>
      </c>
      <c r="K3344" s="5" t="e">
        <f>Planning[[#This Row],[Horas Planificadas]]+Planning[[#This Row],[Horas ajustadas adicionales]]-Planning[[#This Row],[Horas utilizadas]]</f>
        <v>#REF!</v>
      </c>
      <c r="L3344" s="7">
        <v>0</v>
      </c>
      <c r="M3344" s="19" t="e">
        <f>Planning[[#This Row],[Saldo]]-Planning[[#This Row],[Saldo estimado]]</f>
        <v>#REF!</v>
      </c>
      <c r="N3344" s="60" t="e">
        <f>+SUMIFS(#REF!,#REF!,Planning[[#This Row],[Proyectos]],#REF!,Planning[[#This Row],[Tipo de Tarea y especialidad]])</f>
        <v>#REF!</v>
      </c>
      <c r="O3344" s="19">
        <f t="shared" si="104"/>
        <v>10</v>
      </c>
      <c r="P3344" s="19">
        <f t="shared" si="105"/>
        <v>2024</v>
      </c>
      <c r="Q33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44" s="19" t="str">
        <f>TEXT(Planning[[#This Row],[Mes]]*29,"mmmm")</f>
        <v>October</v>
      </c>
      <c r="S33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44" s="258"/>
      <c r="U3344" s="43" t="e">
        <f>IF(Planning[[#This Row],[Horas Planificadas]]&lt;&gt;0,+K3344/Planning[[#This Row],[Horas Planificadas]],0)</f>
        <v>#REF!</v>
      </c>
      <c r="V3344" s="43" t="e">
        <f>IF(Planning[[#This Row],[Horas Planificadas]]&lt;&gt;0,Planning[[#This Row],[Horas utilizadas]]/Planning[[#This Row],[Horas Planificadas]],0)</f>
        <v>#REF!</v>
      </c>
      <c r="W3344" s="44">
        <f>Planning[[#This Row],[Horas Planificadas]]+Planning[[#This Row],[Horas ajustadas adicionales]]</f>
        <v>285</v>
      </c>
      <c r="X3344" s="142"/>
    </row>
    <row r="3345" spans="1:24" ht="12.75" customHeight="1" x14ac:dyDescent="0.2">
      <c r="A3345" s="7" t="s">
        <v>294</v>
      </c>
      <c r="B3345" s="7" t="s">
        <v>220</v>
      </c>
      <c r="C3345" s="3"/>
      <c r="D3345" s="3" t="s">
        <v>617</v>
      </c>
      <c r="E3345" s="4"/>
      <c r="F3345" s="3" t="s">
        <v>130</v>
      </c>
      <c r="G3345" s="9"/>
      <c r="H3345" s="9"/>
      <c r="I3345" s="12"/>
      <c r="J3345" s="5" t="e">
        <f>SUM(SUMIFS(#REF!,#REF!,Planning[[#This Row],[Tipo de Tarea y especialidad]],#REF!,Planning[[#This Row],[Proyectos Reiwa]]),SUMIFS(#REF!,#REF!,Planning[[#This Row],[Tipo de Tarea y especialidad]],#REF!,Planning[[#This Row],[Proyectos]]))</f>
        <v>#REF!</v>
      </c>
      <c r="K3345" s="5" t="e">
        <f>Planning[[#This Row],[Horas Planificadas]]+Planning[[#This Row],[Horas ajustadas adicionales]]-Planning[[#This Row],[Horas utilizadas]]</f>
        <v>#REF!</v>
      </c>
      <c r="L3345" s="7">
        <v>0</v>
      </c>
      <c r="M3345" s="19" t="e">
        <f>Planning[[#This Row],[Saldo]]-Planning[[#This Row],[Saldo estimado]]</f>
        <v>#REF!</v>
      </c>
      <c r="N3345" s="60" t="e">
        <f>+SUMIFS(#REF!,#REF!,Planning[[#This Row],[Proyectos]],#REF!,Planning[[#This Row],[Tipo de Tarea y especialidad]])</f>
        <v>#REF!</v>
      </c>
      <c r="O3345" s="19">
        <f t="shared" si="104"/>
        <v>10</v>
      </c>
      <c r="P3345" s="19">
        <f t="shared" si="105"/>
        <v>2024</v>
      </c>
      <c r="Q33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45" s="19" t="str">
        <f>TEXT(Planning[[#This Row],[Mes]]*29,"mmmm")</f>
        <v>October</v>
      </c>
      <c r="S33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45" s="258"/>
      <c r="U3345" s="43">
        <f>IF(Planning[[#This Row],[Horas Planificadas]]&lt;&gt;0,+K3345/Planning[[#This Row],[Horas Planificadas]],0)</f>
        <v>0</v>
      </c>
      <c r="V3345" s="43">
        <f>IF(Planning[[#This Row],[Horas Planificadas]]&lt;&gt;0,Planning[[#This Row],[Horas utilizadas]]/Planning[[#This Row],[Horas Planificadas]],0)</f>
        <v>0</v>
      </c>
      <c r="W3345" s="44">
        <f>Planning[[#This Row],[Horas Planificadas]]+Planning[[#This Row],[Horas ajustadas adicionales]]</f>
        <v>0</v>
      </c>
      <c r="X3345" s="142"/>
    </row>
    <row r="3346" spans="1:24" ht="12.75" customHeight="1" x14ac:dyDescent="0.2">
      <c r="A3346" s="7" t="s">
        <v>294</v>
      </c>
      <c r="B3346" s="7" t="s">
        <v>220</v>
      </c>
      <c r="C3346" s="3"/>
      <c r="D3346" s="3" t="s">
        <v>617</v>
      </c>
      <c r="E3346" s="4"/>
      <c r="F3346" s="3" t="s">
        <v>131</v>
      </c>
      <c r="G3346" s="9"/>
      <c r="H3346" s="9"/>
      <c r="I3346" s="12"/>
      <c r="J3346" s="5" t="e">
        <f>SUM(SUMIFS(#REF!,#REF!,Planning[[#This Row],[Tipo de Tarea y especialidad]],#REF!,Planning[[#This Row],[Proyectos Reiwa]]),SUMIFS(#REF!,#REF!,Planning[[#This Row],[Tipo de Tarea y especialidad]],#REF!,Planning[[#This Row],[Proyectos]]))</f>
        <v>#REF!</v>
      </c>
      <c r="K3346" s="5" t="e">
        <f>Planning[[#This Row],[Horas Planificadas]]+Planning[[#This Row],[Horas ajustadas adicionales]]-Planning[[#This Row],[Horas utilizadas]]</f>
        <v>#REF!</v>
      </c>
      <c r="L3346" s="7">
        <v>0</v>
      </c>
      <c r="M3346" s="19" t="e">
        <f>Planning[[#This Row],[Saldo]]-Planning[[#This Row],[Saldo estimado]]</f>
        <v>#REF!</v>
      </c>
      <c r="N3346" s="60" t="e">
        <f>+SUMIFS(#REF!,#REF!,Planning[[#This Row],[Proyectos]],#REF!,Planning[[#This Row],[Tipo de Tarea y especialidad]])</f>
        <v>#REF!</v>
      </c>
      <c r="O3346" s="19">
        <f t="shared" si="104"/>
        <v>10</v>
      </c>
      <c r="P3346" s="19">
        <f t="shared" si="105"/>
        <v>2024</v>
      </c>
      <c r="Q33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46" s="19" t="str">
        <f>TEXT(Planning[[#This Row],[Mes]]*29,"mmmm")</f>
        <v>October</v>
      </c>
      <c r="S33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46" s="258"/>
      <c r="U3346" s="43">
        <f>IF(Planning[[#This Row],[Horas Planificadas]]&lt;&gt;0,+K3346/Planning[[#This Row],[Horas Planificadas]],0)</f>
        <v>0</v>
      </c>
      <c r="V3346" s="43">
        <f>IF(Planning[[#This Row],[Horas Planificadas]]&lt;&gt;0,Planning[[#This Row],[Horas utilizadas]]/Planning[[#This Row],[Horas Planificadas]],0)</f>
        <v>0</v>
      </c>
      <c r="W3346" s="44">
        <f>Planning[[#This Row],[Horas Planificadas]]+Planning[[#This Row],[Horas ajustadas adicionales]]</f>
        <v>0</v>
      </c>
      <c r="X3346" s="142"/>
    </row>
    <row r="3347" spans="1:24" ht="12.75" customHeight="1" x14ac:dyDescent="0.2">
      <c r="A3347" s="7" t="s">
        <v>204</v>
      </c>
      <c r="B3347" s="7" t="s">
        <v>288</v>
      </c>
      <c r="C3347" s="3"/>
      <c r="D3347" s="3" t="s">
        <v>619</v>
      </c>
      <c r="E3347" s="4" t="s">
        <v>28</v>
      </c>
      <c r="F3347" s="3"/>
      <c r="G3347" s="9">
        <v>226</v>
      </c>
      <c r="H3347" s="14">
        <f>SUM(H3348:H3349)</f>
        <v>226</v>
      </c>
      <c r="I3347" s="14"/>
      <c r="J3347" s="14" t="e">
        <f>SUM(J3348:J3349)</f>
        <v>#REF!</v>
      </c>
      <c r="K3347" s="15" t="e">
        <f>SUM(K3348:K3349)</f>
        <v>#REF!</v>
      </c>
      <c r="L3347" s="15">
        <f>SUM(L3348:L3349)</f>
        <v>0</v>
      </c>
      <c r="M3347" s="14" t="e">
        <f>SUM(M3348:M3349)</f>
        <v>#REF!</v>
      </c>
      <c r="N3347" s="66" t="e">
        <f>+SUMIFS(#REF!,#REF!,Planning[[#This Row],[Proyectos]],#REF!,Planning[[#This Row],[Tipo de Tarea y especialidad]])</f>
        <v>#REF!</v>
      </c>
      <c r="O3347" s="14">
        <f t="shared" si="104"/>
        <v>10</v>
      </c>
      <c r="P3347" s="14">
        <f t="shared" si="105"/>
        <v>2024</v>
      </c>
      <c r="Q3347" s="28" t="e">
        <f>SUM(Q3348:Q3349)</f>
        <v>#REF!</v>
      </c>
      <c r="R3347" s="28" t="str">
        <f>TEXT(Planning[[#This Row],[Mes]]*29,"mmmm")</f>
        <v>October</v>
      </c>
      <c r="S33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47" s="207" t="s">
        <v>620</v>
      </c>
      <c r="U3347" s="43" t="e">
        <f>IF(Planning[[#This Row],[Horas Planificadas]]&lt;&gt;0,+K3347/Planning[[#This Row],[Horas Planificadas]],0)</f>
        <v>#REF!</v>
      </c>
      <c r="V3347" s="43" t="e">
        <f>IF(Planning[[#This Row],[Horas Planificadas]]&lt;&gt;0,Planning[[#This Row],[Horas utilizadas]]/Planning[[#This Row],[Horas Planificadas]],0)</f>
        <v>#REF!</v>
      </c>
      <c r="W3347" s="44">
        <f>Planning[[#This Row],[Horas Planificadas]]+Planning[[#This Row],[Horas ajustadas adicionales]]</f>
        <v>226</v>
      </c>
      <c r="X3347" s="142"/>
    </row>
    <row r="3348" spans="1:24" ht="12.75" customHeight="1" x14ac:dyDescent="0.2">
      <c r="A3348" s="7" t="s">
        <v>204</v>
      </c>
      <c r="B3348" s="7" t="s">
        <v>288</v>
      </c>
      <c r="C3348" s="3"/>
      <c r="D3348" s="3" t="s">
        <v>619</v>
      </c>
      <c r="E3348" s="4"/>
      <c r="F3348" s="3" t="s">
        <v>120</v>
      </c>
      <c r="G3348" s="9"/>
      <c r="H3348" s="9">
        <v>120</v>
      </c>
      <c r="I3348" s="12"/>
      <c r="J3348" s="5" t="e">
        <f>SUM(SUMIFS(#REF!,#REF!,Planning[[#This Row],[Tipo de Tarea y especialidad]],#REF!,Planning[[#This Row],[Proyectos Reiwa]]),SUMIFS(#REF!,#REF!,Planning[[#This Row],[Tipo de Tarea y especialidad]],#REF!,Planning[[#This Row],[Proyectos]]))</f>
        <v>#REF!</v>
      </c>
      <c r="K3348" s="5" t="e">
        <f>Planning[[#This Row],[Horas Planificadas]]+Planning[[#This Row],[Horas ajustadas adicionales]]-Planning[[#This Row],[Horas utilizadas]]</f>
        <v>#REF!</v>
      </c>
      <c r="L3348" s="7">
        <v>0</v>
      </c>
      <c r="M3348" s="19" t="e">
        <f>Planning[[#This Row],[Saldo]]-Planning[[#This Row],[Saldo estimado]]</f>
        <v>#REF!</v>
      </c>
      <c r="N3348" s="60" t="e">
        <f>+SUMIFS(#REF!,#REF!,Planning[[#This Row],[Proyectos]],#REF!,Planning[[#This Row],[Tipo de Tarea y especialidad]])</f>
        <v>#REF!</v>
      </c>
      <c r="O3348" s="19">
        <f t="shared" si="104"/>
        <v>10</v>
      </c>
      <c r="P3348" s="19">
        <f t="shared" si="105"/>
        <v>2024</v>
      </c>
      <c r="Q33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48" s="19" t="str">
        <f>TEXT(Planning[[#This Row],[Mes]]*29,"mmmm")</f>
        <v>October</v>
      </c>
      <c r="S33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48" s="208"/>
      <c r="U3348" s="43" t="e">
        <f>IF(Planning[[#This Row],[Horas Planificadas]]&lt;&gt;0,+K3348/Planning[[#This Row],[Horas Planificadas]],0)</f>
        <v>#REF!</v>
      </c>
      <c r="V3348" s="43" t="e">
        <f>IF(Planning[[#This Row],[Horas Planificadas]]&lt;&gt;0,Planning[[#This Row],[Horas utilizadas]]/Planning[[#This Row],[Horas Planificadas]],0)</f>
        <v>#REF!</v>
      </c>
      <c r="W3348" s="44">
        <f>Planning[[#This Row],[Horas Planificadas]]+Planning[[#This Row],[Horas ajustadas adicionales]]</f>
        <v>120</v>
      </c>
      <c r="X3348" s="142"/>
    </row>
    <row r="3349" spans="1:24" ht="12.75" customHeight="1" x14ac:dyDescent="0.2">
      <c r="A3349" s="7" t="s">
        <v>204</v>
      </c>
      <c r="B3349" s="7" t="s">
        <v>288</v>
      </c>
      <c r="C3349" s="3"/>
      <c r="D3349" s="3" t="s">
        <v>619</v>
      </c>
      <c r="E3349" s="4"/>
      <c r="F3349" s="3" t="s">
        <v>121</v>
      </c>
      <c r="G3349" s="9"/>
      <c r="H3349" s="9">
        <v>106</v>
      </c>
      <c r="I3349" s="12"/>
      <c r="J3349" s="5" t="e">
        <f>SUM(SUMIFS(#REF!,#REF!,Planning[[#This Row],[Tipo de Tarea y especialidad]],#REF!,Planning[[#This Row],[Proyectos Reiwa]]),SUMIFS(#REF!,#REF!,Planning[[#This Row],[Tipo de Tarea y especialidad]],#REF!,Planning[[#This Row],[Proyectos]]))</f>
        <v>#REF!</v>
      </c>
      <c r="K3349" s="5" t="e">
        <f>Planning[[#This Row],[Horas Planificadas]]+Planning[[#This Row],[Horas ajustadas adicionales]]-Planning[[#This Row],[Horas utilizadas]]</f>
        <v>#REF!</v>
      </c>
      <c r="L3349" s="7">
        <v>0</v>
      </c>
      <c r="M3349" s="19" t="e">
        <f>Planning[[#This Row],[Saldo]]-Planning[[#This Row],[Saldo estimado]]</f>
        <v>#REF!</v>
      </c>
      <c r="N3349" s="60" t="e">
        <f>+SUMIFS(#REF!,#REF!,Planning[[#This Row],[Proyectos]],#REF!,Planning[[#This Row],[Tipo de Tarea y especialidad]])</f>
        <v>#REF!</v>
      </c>
      <c r="O3349" s="19">
        <f t="shared" si="104"/>
        <v>10</v>
      </c>
      <c r="P3349" s="19">
        <f t="shared" si="105"/>
        <v>2024</v>
      </c>
      <c r="Q33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49" s="19" t="str">
        <f>TEXT(Planning[[#This Row],[Mes]]*29,"mmmm")</f>
        <v>October</v>
      </c>
      <c r="S33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49" s="208"/>
      <c r="U3349" s="43" t="e">
        <f>IF(Planning[[#This Row],[Horas Planificadas]]&lt;&gt;0,+K3349/Planning[[#This Row],[Horas Planificadas]],0)</f>
        <v>#REF!</v>
      </c>
      <c r="V3349" s="43" t="e">
        <f>IF(Planning[[#This Row],[Horas Planificadas]]&lt;&gt;0,Planning[[#This Row],[Horas utilizadas]]/Planning[[#This Row],[Horas Planificadas]],0)</f>
        <v>#REF!</v>
      </c>
      <c r="W3349" s="44">
        <f>Planning[[#This Row],[Horas Planificadas]]+Planning[[#This Row],[Horas ajustadas adicionales]]</f>
        <v>106</v>
      </c>
      <c r="X3349" s="142"/>
    </row>
    <row r="3350" spans="1:24" ht="12.75" customHeight="1" x14ac:dyDescent="0.2">
      <c r="A3350" s="7" t="s">
        <v>204</v>
      </c>
      <c r="B3350" s="7" t="s">
        <v>288</v>
      </c>
      <c r="C3350" s="3"/>
      <c r="D3350" s="3" t="s">
        <v>619</v>
      </c>
      <c r="E3350" s="4" t="s">
        <v>30</v>
      </c>
      <c r="F3350" s="3"/>
      <c r="G3350" s="9">
        <v>328</v>
      </c>
      <c r="H3350" s="14">
        <f>SUM(H3351:H3357)</f>
        <v>328</v>
      </c>
      <c r="I3350" s="14"/>
      <c r="J3350" s="14" t="e">
        <f>SUM(J3351:J3357)</f>
        <v>#REF!</v>
      </c>
      <c r="K3350" s="15" t="e">
        <f>SUM(K3351:K3357)</f>
        <v>#REF!</v>
      </c>
      <c r="L3350" s="15">
        <f>SUM(L3351:L3357)</f>
        <v>0</v>
      </c>
      <c r="M3350" s="16" t="e">
        <f>SUM(M3351:M3357)</f>
        <v>#REF!</v>
      </c>
      <c r="N3350" s="60" t="e">
        <f>+SUMIFS(#REF!,#REF!,Planning[[#This Row],[Proyectos]],#REF!,Planning[[#This Row],[Tipo de Tarea y especialidad]])</f>
        <v>#REF!</v>
      </c>
      <c r="O3350" s="16">
        <f t="shared" si="104"/>
        <v>10</v>
      </c>
      <c r="P3350" s="16">
        <f t="shared" si="105"/>
        <v>2024</v>
      </c>
      <c r="Q3350" s="16" t="e">
        <f>SUM(Q3351:Q3357)</f>
        <v>#REF!</v>
      </c>
      <c r="R3350" s="16" t="str">
        <f>TEXT(Planning[[#This Row],[Mes]]*29,"mmmm")</f>
        <v>October</v>
      </c>
      <c r="S33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50" s="208"/>
      <c r="U3350" s="43" t="e">
        <f>IF(Planning[[#This Row],[Horas Planificadas]]&lt;&gt;0,+K3350/Planning[[#This Row],[Horas Planificadas]],0)</f>
        <v>#REF!</v>
      </c>
      <c r="V3350" s="43" t="e">
        <f>IF(Planning[[#This Row],[Horas Planificadas]]&lt;&gt;0,Planning[[#This Row],[Horas utilizadas]]/Planning[[#This Row],[Horas Planificadas]],0)</f>
        <v>#REF!</v>
      </c>
      <c r="W3350" s="44">
        <f>Planning[[#This Row],[Horas Planificadas]]+Planning[[#This Row],[Horas ajustadas adicionales]]</f>
        <v>328</v>
      </c>
      <c r="X3350" s="142"/>
    </row>
    <row r="3351" spans="1:24" ht="12.75" customHeight="1" x14ac:dyDescent="0.2">
      <c r="A3351" s="7" t="s">
        <v>204</v>
      </c>
      <c r="B3351" s="7" t="s">
        <v>288</v>
      </c>
      <c r="C3351" s="3"/>
      <c r="D3351" s="3" t="s">
        <v>619</v>
      </c>
      <c r="E3351" s="4"/>
      <c r="F3351" s="3" t="s">
        <v>122</v>
      </c>
      <c r="G3351" s="9"/>
      <c r="H3351" s="9"/>
      <c r="I3351" s="12"/>
      <c r="J3351" s="5" t="e">
        <f>SUM(SUMIFS(#REF!,#REF!,Planning[[#This Row],[Tipo de Tarea y especialidad]],#REF!,Planning[[#This Row],[Proyectos Reiwa]]),SUMIFS(#REF!,#REF!,Planning[[#This Row],[Tipo de Tarea y especialidad]],#REF!,Planning[[#This Row],[Proyectos]]))</f>
        <v>#REF!</v>
      </c>
      <c r="K3351" s="5" t="e">
        <f>Planning[[#This Row],[Horas Planificadas]]+Planning[[#This Row],[Horas ajustadas adicionales]]-Planning[[#This Row],[Horas utilizadas]]</f>
        <v>#REF!</v>
      </c>
      <c r="L3351" s="7"/>
      <c r="M3351" s="19" t="e">
        <f>Planning[[#This Row],[Saldo]]-Planning[[#This Row],[Saldo estimado]]</f>
        <v>#REF!</v>
      </c>
      <c r="N3351" s="60" t="e">
        <f>+SUMIFS(#REF!,#REF!,Planning[[#This Row],[Proyectos]],#REF!,Planning[[#This Row],[Tipo de Tarea y especialidad]])</f>
        <v>#REF!</v>
      </c>
      <c r="O3351" s="19">
        <f t="shared" si="104"/>
        <v>10</v>
      </c>
      <c r="P3351" s="19">
        <f t="shared" si="105"/>
        <v>2024</v>
      </c>
      <c r="Q33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51" s="19" t="str">
        <f>TEXT(Planning[[#This Row],[Mes]]*29,"mmmm")</f>
        <v>October</v>
      </c>
      <c r="S33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51" s="208"/>
      <c r="U3351" s="43">
        <f>IF(Planning[[#This Row],[Horas Planificadas]]&lt;&gt;0,+K3351/Planning[[#This Row],[Horas Planificadas]],0)</f>
        <v>0</v>
      </c>
      <c r="V3351" s="43">
        <f>IF(Planning[[#This Row],[Horas Planificadas]]&lt;&gt;0,Planning[[#This Row],[Horas utilizadas]]/Planning[[#This Row],[Horas Planificadas]],0)</f>
        <v>0</v>
      </c>
      <c r="W3351" s="44">
        <f>Planning[[#This Row],[Horas Planificadas]]+Planning[[#This Row],[Horas ajustadas adicionales]]</f>
        <v>0</v>
      </c>
      <c r="X3351" s="142"/>
    </row>
    <row r="3352" spans="1:24" ht="12.75" customHeight="1" x14ac:dyDescent="0.2">
      <c r="A3352" s="7" t="s">
        <v>204</v>
      </c>
      <c r="B3352" s="7" t="s">
        <v>288</v>
      </c>
      <c r="C3352" s="3"/>
      <c r="D3352" s="3" t="s">
        <v>619</v>
      </c>
      <c r="E3352" s="4"/>
      <c r="F3352" s="3" t="s">
        <v>123</v>
      </c>
      <c r="G3352" s="9"/>
      <c r="H3352" s="9"/>
      <c r="I3352" s="12"/>
      <c r="J3352" s="5" t="e">
        <f>SUM(SUMIFS(#REF!,#REF!,Planning[[#This Row],[Tipo de Tarea y especialidad]],#REF!,Planning[[#This Row],[Proyectos Reiwa]]),SUMIFS(#REF!,#REF!,Planning[[#This Row],[Tipo de Tarea y especialidad]],#REF!,Planning[[#This Row],[Proyectos]]))</f>
        <v>#REF!</v>
      </c>
      <c r="K3352" s="5" t="e">
        <f>Planning[[#This Row],[Horas Planificadas]]+Planning[[#This Row],[Horas ajustadas adicionales]]-Planning[[#This Row],[Horas utilizadas]]</f>
        <v>#REF!</v>
      </c>
      <c r="L3352" s="7"/>
      <c r="M3352" s="19" t="e">
        <f>Planning[[#This Row],[Saldo]]-Planning[[#This Row],[Saldo estimado]]</f>
        <v>#REF!</v>
      </c>
      <c r="N3352" s="60" t="e">
        <f>+SUMIFS(#REF!,#REF!,Planning[[#This Row],[Proyectos]],#REF!,Planning[[#This Row],[Tipo de Tarea y especialidad]])</f>
        <v>#REF!</v>
      </c>
      <c r="O3352" s="19">
        <f t="shared" si="104"/>
        <v>10</v>
      </c>
      <c r="P3352" s="19">
        <f t="shared" si="105"/>
        <v>2024</v>
      </c>
      <c r="Q33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52" s="19" t="str">
        <f>TEXT(Planning[[#This Row],[Mes]]*29,"mmmm")</f>
        <v>October</v>
      </c>
      <c r="S33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52" s="208"/>
      <c r="U3352" s="43">
        <f>IF(Planning[[#This Row],[Horas Planificadas]]&lt;&gt;0,+K3352/Planning[[#This Row],[Horas Planificadas]],0)</f>
        <v>0</v>
      </c>
      <c r="V3352" s="43">
        <f>IF(Planning[[#This Row],[Horas Planificadas]]&lt;&gt;0,Planning[[#This Row],[Horas utilizadas]]/Planning[[#This Row],[Horas Planificadas]],0)</f>
        <v>0</v>
      </c>
      <c r="W3352" s="44">
        <f>Planning[[#This Row],[Horas Planificadas]]+Planning[[#This Row],[Horas ajustadas adicionales]]</f>
        <v>0</v>
      </c>
      <c r="X3352" s="142"/>
    </row>
    <row r="3353" spans="1:24" ht="12.75" customHeight="1" x14ac:dyDescent="0.2">
      <c r="A3353" s="7" t="s">
        <v>204</v>
      </c>
      <c r="B3353" s="7" t="s">
        <v>288</v>
      </c>
      <c r="C3353" s="3"/>
      <c r="D3353" s="3" t="s">
        <v>619</v>
      </c>
      <c r="E3353" s="4"/>
      <c r="F3353" s="3" t="s">
        <v>124</v>
      </c>
      <c r="G3353" s="9"/>
      <c r="H3353" s="9">
        <v>328</v>
      </c>
      <c r="I3353" s="12"/>
      <c r="J3353" s="5" t="e">
        <f>SUM(SUMIFS(#REF!,#REF!,Planning[[#This Row],[Tipo de Tarea y especialidad]],#REF!,Planning[[#This Row],[Proyectos Reiwa]]),SUMIFS(#REF!,#REF!,Planning[[#This Row],[Tipo de Tarea y especialidad]],#REF!,Planning[[#This Row],[Proyectos]]))</f>
        <v>#REF!</v>
      </c>
      <c r="K3353" s="5" t="e">
        <f>Planning[[#This Row],[Horas Planificadas]]+Planning[[#This Row],[Horas ajustadas adicionales]]-Planning[[#This Row],[Horas utilizadas]]</f>
        <v>#REF!</v>
      </c>
      <c r="L3353" s="7">
        <v>0</v>
      </c>
      <c r="M3353" s="19" t="e">
        <f>Planning[[#This Row],[Saldo]]-Planning[[#This Row],[Saldo estimado]]</f>
        <v>#REF!</v>
      </c>
      <c r="N3353" s="60" t="e">
        <f>+SUMIFS(#REF!,#REF!,Planning[[#This Row],[Proyectos]],#REF!,Planning[[#This Row],[Tipo de Tarea y especialidad]])</f>
        <v>#REF!</v>
      </c>
      <c r="O3353" s="19">
        <f t="shared" si="104"/>
        <v>10</v>
      </c>
      <c r="P3353" s="19">
        <f t="shared" si="105"/>
        <v>2024</v>
      </c>
      <c r="Q33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53" s="19" t="str">
        <f>TEXT(Planning[[#This Row],[Mes]]*29,"mmmm")</f>
        <v>October</v>
      </c>
      <c r="S33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53" s="208"/>
      <c r="U3353" s="43" t="e">
        <f>IF(Planning[[#This Row],[Horas Planificadas]]&lt;&gt;0,+K3353/Planning[[#This Row],[Horas Planificadas]],0)</f>
        <v>#REF!</v>
      </c>
      <c r="V3353" s="43" t="e">
        <f>IF(Planning[[#This Row],[Horas Planificadas]]&lt;&gt;0,Planning[[#This Row],[Horas utilizadas]]/Planning[[#This Row],[Horas Planificadas]],0)</f>
        <v>#REF!</v>
      </c>
      <c r="W3353" s="44">
        <f>Planning[[#This Row],[Horas Planificadas]]+Planning[[#This Row],[Horas ajustadas adicionales]]</f>
        <v>328</v>
      </c>
      <c r="X3353" s="142"/>
    </row>
    <row r="3354" spans="1:24" ht="12.75" customHeight="1" x14ac:dyDescent="0.2">
      <c r="A3354" s="7" t="s">
        <v>204</v>
      </c>
      <c r="B3354" s="7" t="s">
        <v>288</v>
      </c>
      <c r="C3354" s="3"/>
      <c r="D3354" s="3" t="s">
        <v>619</v>
      </c>
      <c r="E3354" s="4"/>
      <c r="F3354" s="3" t="s">
        <v>125</v>
      </c>
      <c r="G3354" s="9"/>
      <c r="H3354" s="9"/>
      <c r="I3354" s="12"/>
      <c r="J3354" s="5" t="e">
        <f>SUM(SUMIFS(#REF!,#REF!,Planning[[#This Row],[Tipo de Tarea y especialidad]],#REF!,Planning[[#This Row],[Proyectos Reiwa]]),SUMIFS(#REF!,#REF!,Planning[[#This Row],[Tipo de Tarea y especialidad]],#REF!,Planning[[#This Row],[Proyectos]]))</f>
        <v>#REF!</v>
      </c>
      <c r="K3354" s="5" t="e">
        <f>Planning[[#This Row],[Horas Planificadas]]+Planning[[#This Row],[Horas ajustadas adicionales]]-Planning[[#This Row],[Horas utilizadas]]</f>
        <v>#REF!</v>
      </c>
      <c r="L3354" s="7"/>
      <c r="M3354" s="19" t="e">
        <f>Planning[[#This Row],[Saldo]]-Planning[[#This Row],[Saldo estimado]]</f>
        <v>#REF!</v>
      </c>
      <c r="N3354" s="60" t="e">
        <f>+SUMIFS(#REF!,#REF!,Planning[[#This Row],[Proyectos]],#REF!,Planning[[#This Row],[Tipo de Tarea y especialidad]])</f>
        <v>#REF!</v>
      </c>
      <c r="O3354" s="19">
        <f t="shared" si="104"/>
        <v>10</v>
      </c>
      <c r="P3354" s="19">
        <f t="shared" si="105"/>
        <v>2024</v>
      </c>
      <c r="Q33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54" s="19" t="str">
        <f>TEXT(Planning[[#This Row],[Mes]]*29,"mmmm")</f>
        <v>October</v>
      </c>
      <c r="S33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54" s="208"/>
      <c r="U3354" s="43">
        <f>IF(Planning[[#This Row],[Horas Planificadas]]&lt;&gt;0,+K3354/Planning[[#This Row],[Horas Planificadas]],0)</f>
        <v>0</v>
      </c>
      <c r="V3354" s="43">
        <f>IF(Planning[[#This Row],[Horas Planificadas]]&lt;&gt;0,Planning[[#This Row],[Horas utilizadas]]/Planning[[#This Row],[Horas Planificadas]],0)</f>
        <v>0</v>
      </c>
      <c r="W3354" s="44">
        <f>Planning[[#This Row],[Horas Planificadas]]+Planning[[#This Row],[Horas ajustadas adicionales]]</f>
        <v>0</v>
      </c>
      <c r="X3354" s="142"/>
    </row>
    <row r="3355" spans="1:24" ht="12.75" customHeight="1" x14ac:dyDescent="0.2">
      <c r="A3355" s="7" t="s">
        <v>204</v>
      </c>
      <c r="B3355" s="7" t="s">
        <v>288</v>
      </c>
      <c r="C3355" s="3"/>
      <c r="D3355" s="3" t="s">
        <v>619</v>
      </c>
      <c r="E3355" s="4"/>
      <c r="F3355" s="3" t="s">
        <v>126</v>
      </c>
      <c r="G3355" s="9"/>
      <c r="H3355" s="9"/>
      <c r="I3355" s="12"/>
      <c r="J3355" s="5" t="e">
        <f>SUM(SUMIFS(#REF!,#REF!,Planning[[#This Row],[Tipo de Tarea y especialidad]],#REF!,Planning[[#This Row],[Proyectos Reiwa]]),SUMIFS(#REF!,#REF!,Planning[[#This Row],[Tipo de Tarea y especialidad]],#REF!,Planning[[#This Row],[Proyectos]]))</f>
        <v>#REF!</v>
      </c>
      <c r="K3355" s="5" t="e">
        <f>Planning[[#This Row],[Horas Planificadas]]+Planning[[#This Row],[Horas ajustadas adicionales]]-Planning[[#This Row],[Horas utilizadas]]</f>
        <v>#REF!</v>
      </c>
      <c r="L3355" s="7"/>
      <c r="M3355" s="19" t="e">
        <f>Planning[[#This Row],[Saldo]]-Planning[[#This Row],[Saldo estimado]]</f>
        <v>#REF!</v>
      </c>
      <c r="N3355" s="60" t="e">
        <f>+SUMIFS(#REF!,#REF!,Planning[[#This Row],[Proyectos]],#REF!,Planning[[#This Row],[Tipo de Tarea y especialidad]])</f>
        <v>#REF!</v>
      </c>
      <c r="O3355" s="19">
        <f t="shared" si="104"/>
        <v>10</v>
      </c>
      <c r="P3355" s="19">
        <f t="shared" si="105"/>
        <v>2024</v>
      </c>
      <c r="Q33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55" s="19" t="str">
        <f>TEXT(Planning[[#This Row],[Mes]]*29,"mmmm")</f>
        <v>October</v>
      </c>
      <c r="S33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55" s="208"/>
      <c r="U3355" s="43">
        <f>IF(Planning[[#This Row],[Horas Planificadas]]&lt;&gt;0,+K3355/Planning[[#This Row],[Horas Planificadas]],0)</f>
        <v>0</v>
      </c>
      <c r="V3355" s="43">
        <f>IF(Planning[[#This Row],[Horas Planificadas]]&lt;&gt;0,Planning[[#This Row],[Horas utilizadas]]/Planning[[#This Row],[Horas Planificadas]],0)</f>
        <v>0</v>
      </c>
      <c r="W3355" s="44">
        <f>Planning[[#This Row],[Horas Planificadas]]+Planning[[#This Row],[Horas ajustadas adicionales]]</f>
        <v>0</v>
      </c>
      <c r="X3355" s="142"/>
    </row>
    <row r="3356" spans="1:24" ht="12.75" customHeight="1" x14ac:dyDescent="0.2">
      <c r="A3356" s="7" t="s">
        <v>204</v>
      </c>
      <c r="B3356" s="7" t="s">
        <v>288</v>
      </c>
      <c r="C3356" s="3"/>
      <c r="D3356" s="3" t="s">
        <v>619</v>
      </c>
      <c r="E3356" s="4"/>
      <c r="F3356" s="3" t="s">
        <v>127</v>
      </c>
      <c r="G3356" s="9"/>
      <c r="H3356" s="9"/>
      <c r="I3356" s="12"/>
      <c r="J3356" s="5" t="e">
        <f>SUM(SUMIFS(#REF!,#REF!,Planning[[#This Row],[Tipo de Tarea y especialidad]],#REF!,Planning[[#This Row],[Proyectos Reiwa]]),SUMIFS(#REF!,#REF!,Planning[[#This Row],[Tipo de Tarea y especialidad]],#REF!,Planning[[#This Row],[Proyectos]]))</f>
        <v>#REF!</v>
      </c>
      <c r="K3356" s="5" t="e">
        <f>Planning[[#This Row],[Horas Planificadas]]+Planning[[#This Row],[Horas ajustadas adicionales]]-Planning[[#This Row],[Horas utilizadas]]</f>
        <v>#REF!</v>
      </c>
      <c r="L3356" s="7"/>
      <c r="M3356" s="19" t="e">
        <f>Planning[[#This Row],[Saldo]]-Planning[[#This Row],[Saldo estimado]]</f>
        <v>#REF!</v>
      </c>
      <c r="N3356" s="60" t="e">
        <f>+SUMIFS(#REF!,#REF!,Planning[[#This Row],[Proyectos]],#REF!,Planning[[#This Row],[Tipo de Tarea y especialidad]])</f>
        <v>#REF!</v>
      </c>
      <c r="O3356" s="19">
        <f t="shared" si="104"/>
        <v>10</v>
      </c>
      <c r="P3356" s="19">
        <f t="shared" si="105"/>
        <v>2024</v>
      </c>
      <c r="Q33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56" s="19" t="str">
        <f>TEXT(Planning[[#This Row],[Mes]]*29,"mmmm")</f>
        <v>October</v>
      </c>
      <c r="S33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56" s="208"/>
      <c r="U3356" s="43">
        <f>IF(Planning[[#This Row],[Horas Planificadas]]&lt;&gt;0,+K3356/Planning[[#This Row],[Horas Planificadas]],0)</f>
        <v>0</v>
      </c>
      <c r="V3356" s="43">
        <f>IF(Planning[[#This Row],[Horas Planificadas]]&lt;&gt;0,Planning[[#This Row],[Horas utilizadas]]/Planning[[#This Row],[Horas Planificadas]],0)</f>
        <v>0</v>
      </c>
      <c r="W3356" s="44">
        <f>Planning[[#This Row],[Horas Planificadas]]+Planning[[#This Row],[Horas ajustadas adicionales]]</f>
        <v>0</v>
      </c>
      <c r="X3356" s="142"/>
    </row>
    <row r="3357" spans="1:24" ht="12.75" customHeight="1" x14ac:dyDescent="0.2">
      <c r="A3357" s="7" t="s">
        <v>204</v>
      </c>
      <c r="B3357" s="7" t="s">
        <v>288</v>
      </c>
      <c r="C3357" s="3"/>
      <c r="D3357" s="3" t="s">
        <v>619</v>
      </c>
      <c r="E3357" s="4"/>
      <c r="F3357" s="3" t="s">
        <v>128</v>
      </c>
      <c r="G3357" s="9"/>
      <c r="H3357" s="9"/>
      <c r="I3357" s="12"/>
      <c r="J3357" s="5" t="e">
        <f>SUM(SUMIFS(#REF!,#REF!,Planning[[#This Row],[Tipo de Tarea y especialidad]],#REF!,Planning[[#This Row],[Proyectos Reiwa]]),SUMIFS(#REF!,#REF!,Planning[[#This Row],[Tipo de Tarea y especialidad]],#REF!,Planning[[#This Row],[Proyectos]]))</f>
        <v>#REF!</v>
      </c>
      <c r="K3357" s="5" t="e">
        <f>Planning[[#This Row],[Horas Planificadas]]+Planning[[#This Row],[Horas ajustadas adicionales]]-Planning[[#This Row],[Horas utilizadas]]</f>
        <v>#REF!</v>
      </c>
      <c r="L3357" s="7">
        <v>0</v>
      </c>
      <c r="M3357" s="19" t="e">
        <f>Planning[[#This Row],[Saldo]]-Planning[[#This Row],[Saldo estimado]]</f>
        <v>#REF!</v>
      </c>
      <c r="N3357" s="60" t="e">
        <f>+SUMIFS(#REF!,#REF!,Planning[[#This Row],[Proyectos]],#REF!,Planning[[#This Row],[Tipo de Tarea y especialidad]])</f>
        <v>#REF!</v>
      </c>
      <c r="O3357" s="19">
        <f t="shared" si="104"/>
        <v>10</v>
      </c>
      <c r="P3357" s="19">
        <f t="shared" si="105"/>
        <v>2024</v>
      </c>
      <c r="Q33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57" s="19" t="str">
        <f>TEXT(Planning[[#This Row],[Mes]]*29,"mmmm")</f>
        <v>October</v>
      </c>
      <c r="S33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57" s="208"/>
      <c r="U3357" s="43">
        <f>IF(Planning[[#This Row],[Horas Planificadas]]&lt;&gt;0,+K3357/Planning[[#This Row],[Horas Planificadas]],0)</f>
        <v>0</v>
      </c>
      <c r="V3357" s="43">
        <f>IF(Planning[[#This Row],[Horas Planificadas]]&lt;&gt;0,Planning[[#This Row],[Horas utilizadas]]/Planning[[#This Row],[Horas Planificadas]],0)</f>
        <v>0</v>
      </c>
      <c r="W3357" s="44">
        <f>Planning[[#This Row],[Horas Planificadas]]+Planning[[#This Row],[Horas ajustadas adicionales]]</f>
        <v>0</v>
      </c>
      <c r="X3357" s="142"/>
    </row>
    <row r="3358" spans="1:24" ht="12.75" customHeight="1" x14ac:dyDescent="0.2">
      <c r="A3358" s="7" t="s">
        <v>204</v>
      </c>
      <c r="B3358" s="7" t="s">
        <v>288</v>
      </c>
      <c r="C3358" s="3"/>
      <c r="D3358" s="3" t="s">
        <v>619</v>
      </c>
      <c r="E3358" s="4" t="s">
        <v>31</v>
      </c>
      <c r="F3358" s="3" t="s">
        <v>31</v>
      </c>
      <c r="G3358" s="9"/>
      <c r="H3358" s="17">
        <v>0</v>
      </c>
      <c r="I3358" s="18"/>
      <c r="J3358" s="14" t="e">
        <f>+SUMIFS(#REF!,#REF!,Planning[[#This Row],[Tarifa]],#REF!,Planning[[#This Row],[Proyectos]])</f>
        <v>#REF!</v>
      </c>
      <c r="K3358" s="14" t="e">
        <f>Planning[[#This Row],[Horas Planificadas]]+Planning[[#This Row],[Horas ajustadas adicionales]]-Planning[[#This Row],[Horas utilizadas]]</f>
        <v>#REF!</v>
      </c>
      <c r="L3358" s="15"/>
      <c r="M3358" s="16" t="e">
        <f>Planning[[#This Row],[Saldo]]-Planning[[#This Row],[Saldo estimado]]</f>
        <v>#REF!</v>
      </c>
      <c r="N3358" s="60" t="e">
        <f>+SUMIFS(#REF!,#REF!,Planning[[#This Row],[Proyectos]],#REF!,Planning[[#This Row],[Tipo de Tarea y especialidad]])</f>
        <v>#REF!</v>
      </c>
      <c r="O3358" s="16">
        <f t="shared" si="104"/>
        <v>10</v>
      </c>
      <c r="P3358" s="16">
        <f t="shared" si="105"/>
        <v>2024</v>
      </c>
      <c r="Q3358" s="16" t="e">
        <f>+SUMIFS(#REF!,#REF!,Planning[[#This Row],[Tarifa]],#REF!,Planning[[#This Row],[Proyectos]],#REF!,Planning[[#This Row],[Mes]],#REF!,Planning[[#This Row],[Año]])</f>
        <v>#REF!</v>
      </c>
      <c r="R3358" s="16" t="str">
        <f>TEXT(Planning[[#This Row],[Mes]]*29,"mmmm")</f>
        <v>October</v>
      </c>
      <c r="S33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58" s="208"/>
      <c r="U3358" s="43">
        <f>IF(Planning[[#This Row],[Horas Planificadas]]&lt;&gt;0,+K3358/Planning[[#This Row],[Horas Planificadas]],0)</f>
        <v>0</v>
      </c>
      <c r="V3358" s="43">
        <f>IF(Planning[[#This Row],[Horas Planificadas]]&lt;&gt;0,Planning[[#This Row],[Horas utilizadas]]/Planning[[#This Row],[Horas Planificadas]],0)</f>
        <v>0</v>
      </c>
      <c r="W3358" s="44">
        <f>Planning[[#This Row],[Horas Planificadas]]+Planning[[#This Row],[Horas ajustadas adicionales]]</f>
        <v>0</v>
      </c>
      <c r="X3358" s="142"/>
    </row>
    <row r="3359" spans="1:24" ht="12.75" customHeight="1" x14ac:dyDescent="0.2">
      <c r="A3359" s="7" t="s">
        <v>204</v>
      </c>
      <c r="B3359" s="7" t="s">
        <v>288</v>
      </c>
      <c r="C3359" s="3"/>
      <c r="D3359" s="3" t="s">
        <v>619</v>
      </c>
      <c r="E3359" s="4" t="s">
        <v>32</v>
      </c>
      <c r="F3359" s="3"/>
      <c r="G3359" s="9">
        <v>140</v>
      </c>
      <c r="H3359" s="14">
        <f>SUM(H3360:H3362)</f>
        <v>140</v>
      </c>
      <c r="I3359" s="14"/>
      <c r="J3359" s="14" t="e">
        <f>SUM(J3360:J3362)</f>
        <v>#REF!</v>
      </c>
      <c r="K3359" s="15" t="e">
        <f>SUM(K3360:K3362)</f>
        <v>#REF!</v>
      </c>
      <c r="L3359" s="15">
        <f>SUM(L3360:L3362)</f>
        <v>0</v>
      </c>
      <c r="M3359" s="16" t="e">
        <f>SUM(M3360:M3362)</f>
        <v>#REF!</v>
      </c>
      <c r="N3359" s="60" t="e">
        <f>+SUMIFS(#REF!,#REF!,Planning[[#This Row],[Proyectos]],#REF!,Planning[[#This Row],[Tipo de Tarea y especialidad]])</f>
        <v>#REF!</v>
      </c>
      <c r="O3359" s="16">
        <f t="shared" si="104"/>
        <v>10</v>
      </c>
      <c r="P3359" s="16">
        <f t="shared" si="105"/>
        <v>2024</v>
      </c>
      <c r="Q3359" s="16" t="e">
        <f>SUM(Q3360:Q3362)</f>
        <v>#REF!</v>
      </c>
      <c r="R3359" s="16" t="str">
        <f>TEXT(Planning[[#This Row],[Mes]]*29,"mmmm")</f>
        <v>October</v>
      </c>
      <c r="S33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59" s="208"/>
      <c r="U3359" s="43" t="e">
        <f>IF(Planning[[#This Row],[Horas Planificadas]]&lt;&gt;0,+K3359/Planning[[#This Row],[Horas Planificadas]],0)</f>
        <v>#REF!</v>
      </c>
      <c r="V3359" s="43" t="e">
        <f>IF(Planning[[#This Row],[Horas Planificadas]]&lt;&gt;0,Planning[[#This Row],[Horas utilizadas]]/Planning[[#This Row],[Horas Planificadas]],0)</f>
        <v>#REF!</v>
      </c>
      <c r="W3359" s="44">
        <f>Planning[[#This Row],[Horas Planificadas]]+Planning[[#This Row],[Horas ajustadas adicionales]]</f>
        <v>140</v>
      </c>
      <c r="X3359" s="142"/>
    </row>
    <row r="3360" spans="1:24" ht="12.75" customHeight="1" x14ac:dyDescent="0.2">
      <c r="A3360" s="7" t="s">
        <v>204</v>
      </c>
      <c r="B3360" s="7" t="s">
        <v>288</v>
      </c>
      <c r="C3360" s="3"/>
      <c r="D3360" s="3" t="s">
        <v>619</v>
      </c>
      <c r="E3360" s="4"/>
      <c r="F3360" s="3" t="s">
        <v>129</v>
      </c>
      <c r="G3360" s="9"/>
      <c r="H3360" s="9"/>
      <c r="I3360" s="12"/>
      <c r="J3360" s="5" t="e">
        <f>SUM(SUMIFS(#REF!,#REF!,Planning[[#This Row],[Tipo de Tarea y especialidad]],#REF!,Planning[[#This Row],[Proyectos Reiwa]]),SUMIFS(#REF!,#REF!,Planning[[#This Row],[Tipo de Tarea y especialidad]],#REF!,Planning[[#This Row],[Proyectos]]))</f>
        <v>#REF!</v>
      </c>
      <c r="K3360" s="5" t="e">
        <f>Planning[[#This Row],[Horas Planificadas]]+Planning[[#This Row],[Horas ajustadas adicionales]]-Planning[[#This Row],[Horas utilizadas]]</f>
        <v>#REF!</v>
      </c>
      <c r="L3360" s="7"/>
      <c r="M3360" s="19" t="e">
        <f>Planning[[#This Row],[Saldo]]-Planning[[#This Row],[Saldo estimado]]</f>
        <v>#REF!</v>
      </c>
      <c r="N3360" s="60" t="e">
        <f>+SUMIFS(#REF!,#REF!,Planning[[#This Row],[Proyectos]],#REF!,Planning[[#This Row],[Tipo de Tarea y especialidad]])</f>
        <v>#REF!</v>
      </c>
      <c r="O3360" s="19">
        <f t="shared" si="104"/>
        <v>10</v>
      </c>
      <c r="P3360" s="19">
        <f t="shared" si="105"/>
        <v>2024</v>
      </c>
      <c r="Q33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60" s="19" t="str">
        <f>TEXT(Planning[[#This Row],[Mes]]*29,"mmmm")</f>
        <v>October</v>
      </c>
      <c r="S33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60" s="208"/>
      <c r="U3360" s="43">
        <f>IF(Planning[[#This Row],[Horas Planificadas]]&lt;&gt;0,+K3360/Planning[[#This Row],[Horas Planificadas]],0)</f>
        <v>0</v>
      </c>
      <c r="V3360" s="43">
        <f>IF(Planning[[#This Row],[Horas Planificadas]]&lt;&gt;0,Planning[[#This Row],[Horas utilizadas]]/Planning[[#This Row],[Horas Planificadas]],0)</f>
        <v>0</v>
      </c>
      <c r="W3360" s="44">
        <f>Planning[[#This Row],[Horas Planificadas]]+Planning[[#This Row],[Horas ajustadas adicionales]]</f>
        <v>0</v>
      </c>
      <c r="X3360" s="142"/>
    </row>
    <row r="3361" spans="1:24" ht="12.75" customHeight="1" x14ac:dyDescent="0.2">
      <c r="A3361" s="7" t="s">
        <v>204</v>
      </c>
      <c r="B3361" s="7" t="s">
        <v>288</v>
      </c>
      <c r="C3361" s="3"/>
      <c r="D3361" s="3" t="s">
        <v>619</v>
      </c>
      <c r="E3361" s="4"/>
      <c r="F3361" s="3" t="s">
        <v>130</v>
      </c>
      <c r="G3361" s="9"/>
      <c r="H3361" s="9"/>
      <c r="I3361" s="12"/>
      <c r="J3361" s="5" t="e">
        <f>SUM(SUMIFS(#REF!,#REF!,Planning[[#This Row],[Tipo de Tarea y especialidad]],#REF!,Planning[[#This Row],[Proyectos Reiwa]]),SUMIFS(#REF!,#REF!,Planning[[#This Row],[Tipo de Tarea y especialidad]],#REF!,Planning[[#This Row],[Proyectos]]))</f>
        <v>#REF!</v>
      </c>
      <c r="K3361" s="5" t="e">
        <f>Planning[[#This Row],[Horas Planificadas]]+Planning[[#This Row],[Horas ajustadas adicionales]]-Planning[[#This Row],[Horas utilizadas]]</f>
        <v>#REF!</v>
      </c>
      <c r="L3361" s="7"/>
      <c r="M3361" s="19" t="e">
        <f>Planning[[#This Row],[Saldo]]-Planning[[#This Row],[Saldo estimado]]</f>
        <v>#REF!</v>
      </c>
      <c r="N3361" s="60" t="e">
        <f>+SUMIFS(#REF!,#REF!,Planning[[#This Row],[Proyectos]],#REF!,Planning[[#This Row],[Tipo de Tarea y especialidad]])</f>
        <v>#REF!</v>
      </c>
      <c r="O3361" s="19">
        <f t="shared" si="104"/>
        <v>10</v>
      </c>
      <c r="P3361" s="19">
        <f t="shared" si="105"/>
        <v>2024</v>
      </c>
      <c r="Q33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61" s="19" t="str">
        <f>TEXT(Planning[[#This Row],[Mes]]*29,"mmmm")</f>
        <v>October</v>
      </c>
      <c r="S33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61" s="208"/>
      <c r="U3361" s="43">
        <f>IF(Planning[[#This Row],[Horas Planificadas]]&lt;&gt;0,+K3361/Planning[[#This Row],[Horas Planificadas]],0)</f>
        <v>0</v>
      </c>
      <c r="V3361" s="43">
        <f>IF(Planning[[#This Row],[Horas Planificadas]]&lt;&gt;0,Planning[[#This Row],[Horas utilizadas]]/Planning[[#This Row],[Horas Planificadas]],0)</f>
        <v>0</v>
      </c>
      <c r="W3361" s="44">
        <f>Planning[[#This Row],[Horas Planificadas]]+Planning[[#This Row],[Horas ajustadas adicionales]]</f>
        <v>0</v>
      </c>
      <c r="X3361" s="142"/>
    </row>
    <row r="3362" spans="1:24" ht="12.75" customHeight="1" x14ac:dyDescent="0.2">
      <c r="A3362" s="7" t="s">
        <v>204</v>
      </c>
      <c r="B3362" s="7" t="s">
        <v>288</v>
      </c>
      <c r="C3362" s="3"/>
      <c r="D3362" s="3" t="s">
        <v>619</v>
      </c>
      <c r="E3362" s="4"/>
      <c r="F3362" s="3" t="s">
        <v>131</v>
      </c>
      <c r="G3362" s="9"/>
      <c r="H3362" s="9">
        <v>140</v>
      </c>
      <c r="I3362" s="12"/>
      <c r="J3362" s="5" t="e">
        <f>SUM(SUMIFS(#REF!,#REF!,Planning[[#This Row],[Tipo de Tarea y especialidad]],#REF!,Planning[[#This Row],[Proyectos Reiwa]]),SUMIFS(#REF!,#REF!,Planning[[#This Row],[Tipo de Tarea y especialidad]],#REF!,Planning[[#This Row],[Proyectos]]))</f>
        <v>#REF!</v>
      </c>
      <c r="K3362" s="5" t="e">
        <f>Planning[[#This Row],[Horas Planificadas]]+Planning[[#This Row],[Horas ajustadas adicionales]]-Planning[[#This Row],[Horas utilizadas]]</f>
        <v>#REF!</v>
      </c>
      <c r="L3362" s="7">
        <v>0</v>
      </c>
      <c r="M3362" s="19" t="e">
        <f>Planning[[#This Row],[Saldo]]-Planning[[#This Row],[Saldo estimado]]</f>
        <v>#REF!</v>
      </c>
      <c r="N3362" s="60" t="e">
        <f>+SUMIFS(#REF!,#REF!,Planning[[#This Row],[Proyectos]],#REF!,Planning[[#This Row],[Tipo de Tarea y especialidad]])</f>
        <v>#REF!</v>
      </c>
      <c r="O3362" s="19">
        <f t="shared" si="104"/>
        <v>10</v>
      </c>
      <c r="P3362" s="19">
        <f t="shared" si="105"/>
        <v>2024</v>
      </c>
      <c r="Q33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62" s="19" t="str">
        <f>TEXT(Planning[[#This Row],[Mes]]*29,"mmmm")</f>
        <v>October</v>
      </c>
      <c r="S33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62" s="208"/>
      <c r="U3362" s="43" t="e">
        <f>IF(Planning[[#This Row],[Horas Planificadas]]&lt;&gt;0,+K3362/Planning[[#This Row],[Horas Planificadas]],0)</f>
        <v>#REF!</v>
      </c>
      <c r="V3362" s="43" t="e">
        <f>IF(Planning[[#This Row],[Horas Planificadas]]&lt;&gt;0,Planning[[#This Row],[Horas utilizadas]]/Planning[[#This Row],[Horas Planificadas]],0)</f>
        <v>#REF!</v>
      </c>
      <c r="W3362" s="44">
        <f>Planning[[#This Row],[Horas Planificadas]]+Planning[[#This Row],[Horas ajustadas adicionales]]</f>
        <v>140</v>
      </c>
      <c r="X3362" s="142"/>
    </row>
    <row r="3363" spans="1:24" ht="12.75" customHeight="1" x14ac:dyDescent="0.2">
      <c r="A3363" s="7" t="s">
        <v>168</v>
      </c>
      <c r="B3363" s="7" t="s">
        <v>205</v>
      </c>
      <c r="C3363" s="3"/>
      <c r="D3363" s="3" t="s">
        <v>621</v>
      </c>
      <c r="E3363" s="4" t="s">
        <v>28</v>
      </c>
      <c r="F3363" s="3"/>
      <c r="G3363" s="9">
        <v>1195</v>
      </c>
      <c r="H3363" s="14">
        <f>SUM(H3364:H3365)</f>
        <v>1195</v>
      </c>
      <c r="I3363" s="14"/>
      <c r="J3363" s="14" t="e">
        <f>SUM(J3364:J3365)</f>
        <v>#REF!</v>
      </c>
      <c r="K3363" s="15" t="e">
        <f>SUM(K3364:K3365)</f>
        <v>#REF!</v>
      </c>
      <c r="L3363" s="15">
        <f>SUM(L3364:L3365)</f>
        <v>0</v>
      </c>
      <c r="M3363" s="14" t="e">
        <f>SUM(M3364:M3365)</f>
        <v>#REF!</v>
      </c>
      <c r="N3363" s="66" t="e">
        <f>+SUMIFS(#REF!,#REF!,Planning[[#This Row],[Proyectos]],#REF!,Planning[[#This Row],[Tipo de Tarea y especialidad]])</f>
        <v>#REF!</v>
      </c>
      <c r="O3363" s="14">
        <f t="shared" si="104"/>
        <v>10</v>
      </c>
      <c r="P3363" s="14">
        <f t="shared" si="105"/>
        <v>2024</v>
      </c>
      <c r="Q3363" s="28" t="e">
        <f>SUM(Q3364:Q3365)</f>
        <v>#REF!</v>
      </c>
      <c r="R3363" s="28" t="str">
        <f>TEXT(Planning[[#This Row],[Mes]]*29,"mmmm")</f>
        <v>October</v>
      </c>
      <c r="S33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63" s="192" t="s">
        <v>622</v>
      </c>
      <c r="U3363" s="43" t="e">
        <f>IF(Planning[[#This Row],[Horas Planificadas]]&lt;&gt;0,+K3363/Planning[[#This Row],[Horas Planificadas]],0)</f>
        <v>#REF!</v>
      </c>
      <c r="V3363" s="43" t="e">
        <f>IF(Planning[[#This Row],[Horas Planificadas]]&lt;&gt;0,Planning[[#This Row],[Horas utilizadas]]/Planning[[#This Row],[Horas Planificadas]],0)</f>
        <v>#REF!</v>
      </c>
      <c r="W3363" s="44">
        <f>Planning[[#This Row],[Horas Planificadas]]+Planning[[#This Row],[Horas ajustadas adicionales]]</f>
        <v>1195</v>
      </c>
      <c r="X3363" s="142"/>
    </row>
    <row r="3364" spans="1:24" ht="12.75" customHeight="1" x14ac:dyDescent="0.2">
      <c r="A3364" s="7" t="s">
        <v>168</v>
      </c>
      <c r="B3364" s="7" t="s">
        <v>205</v>
      </c>
      <c r="C3364" s="3"/>
      <c r="D3364" s="3" t="s">
        <v>621</v>
      </c>
      <c r="E3364" s="4"/>
      <c r="F3364" s="3" t="s">
        <v>120</v>
      </c>
      <c r="G3364" s="9"/>
      <c r="H3364" s="9">
        <v>640</v>
      </c>
      <c r="I3364" s="12"/>
      <c r="J3364" s="5" t="e">
        <f>SUM(SUMIFS(#REF!,#REF!,Planning[[#This Row],[Tipo de Tarea y especialidad]],#REF!,Planning[[#This Row],[Proyectos Reiwa]]),SUMIFS(#REF!,#REF!,Planning[[#This Row],[Tipo de Tarea y especialidad]],#REF!,Planning[[#This Row],[Proyectos]]))</f>
        <v>#REF!</v>
      </c>
      <c r="K3364" s="5" t="e">
        <f>Planning[[#This Row],[Horas Planificadas]]+Planning[[#This Row],[Horas ajustadas adicionales]]-Planning[[#This Row],[Horas utilizadas]]</f>
        <v>#REF!</v>
      </c>
      <c r="L3364" s="7">
        <v>0</v>
      </c>
      <c r="M3364" s="19" t="e">
        <f>Planning[[#This Row],[Saldo]]-Planning[[#This Row],[Saldo estimado]]</f>
        <v>#REF!</v>
      </c>
      <c r="N3364" s="60" t="e">
        <f>+SUMIFS(#REF!,#REF!,Planning[[#This Row],[Proyectos]],#REF!,Planning[[#This Row],[Tipo de Tarea y especialidad]])</f>
        <v>#REF!</v>
      </c>
      <c r="O3364" s="19">
        <f t="shared" si="104"/>
        <v>10</v>
      </c>
      <c r="P3364" s="19">
        <f t="shared" si="105"/>
        <v>2024</v>
      </c>
      <c r="Q33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64" s="19" t="str">
        <f>TEXT(Planning[[#This Row],[Mes]]*29,"mmmm")</f>
        <v>October</v>
      </c>
      <c r="S33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64" s="193"/>
      <c r="U3364" s="43" t="e">
        <f>IF(Planning[[#This Row],[Horas Planificadas]]&lt;&gt;0,+K3364/Planning[[#This Row],[Horas Planificadas]],0)</f>
        <v>#REF!</v>
      </c>
      <c r="V3364" s="43" t="e">
        <f>IF(Planning[[#This Row],[Horas Planificadas]]&lt;&gt;0,Planning[[#This Row],[Horas utilizadas]]/Planning[[#This Row],[Horas Planificadas]],0)</f>
        <v>#REF!</v>
      </c>
      <c r="W3364" s="44">
        <f>Planning[[#This Row],[Horas Planificadas]]+Planning[[#This Row],[Horas ajustadas adicionales]]</f>
        <v>640</v>
      </c>
      <c r="X3364" s="142"/>
    </row>
    <row r="3365" spans="1:24" ht="12.75" customHeight="1" x14ac:dyDescent="0.2">
      <c r="A3365" s="7" t="s">
        <v>168</v>
      </c>
      <c r="B3365" s="7" t="s">
        <v>205</v>
      </c>
      <c r="C3365" s="3"/>
      <c r="D3365" s="3" t="s">
        <v>621</v>
      </c>
      <c r="E3365" s="4"/>
      <c r="F3365" s="3" t="s">
        <v>121</v>
      </c>
      <c r="G3365" s="9"/>
      <c r="H3365" s="9">
        <v>555</v>
      </c>
      <c r="I3365" s="12"/>
      <c r="J3365" s="5" t="e">
        <f>SUM(SUMIFS(#REF!,#REF!,Planning[[#This Row],[Tipo de Tarea y especialidad]],#REF!,Planning[[#This Row],[Proyectos Reiwa]]),SUMIFS(#REF!,#REF!,Planning[[#This Row],[Tipo de Tarea y especialidad]],#REF!,Planning[[#This Row],[Proyectos]]))</f>
        <v>#REF!</v>
      </c>
      <c r="K3365" s="5" t="e">
        <f>Planning[[#This Row],[Horas Planificadas]]+Planning[[#This Row],[Horas ajustadas adicionales]]-Planning[[#This Row],[Horas utilizadas]]</f>
        <v>#REF!</v>
      </c>
      <c r="L3365" s="7">
        <v>0</v>
      </c>
      <c r="M3365" s="19" t="e">
        <f>Planning[[#This Row],[Saldo]]-Planning[[#This Row],[Saldo estimado]]</f>
        <v>#REF!</v>
      </c>
      <c r="N3365" s="60" t="e">
        <f>+SUMIFS(#REF!,#REF!,Planning[[#This Row],[Proyectos]],#REF!,Planning[[#This Row],[Tipo de Tarea y especialidad]])</f>
        <v>#REF!</v>
      </c>
      <c r="O3365" s="19">
        <f t="shared" si="104"/>
        <v>10</v>
      </c>
      <c r="P3365" s="19">
        <f t="shared" si="105"/>
        <v>2024</v>
      </c>
      <c r="Q33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65" s="19" t="str">
        <f>TEXT(Planning[[#This Row],[Mes]]*29,"mmmm")</f>
        <v>October</v>
      </c>
      <c r="S33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65" s="193"/>
      <c r="U3365" s="43" t="e">
        <f>IF(Planning[[#This Row],[Horas Planificadas]]&lt;&gt;0,+K3365/Planning[[#This Row],[Horas Planificadas]],0)</f>
        <v>#REF!</v>
      </c>
      <c r="V3365" s="43" t="e">
        <f>IF(Planning[[#This Row],[Horas Planificadas]]&lt;&gt;0,Planning[[#This Row],[Horas utilizadas]]/Planning[[#This Row],[Horas Planificadas]],0)</f>
        <v>#REF!</v>
      </c>
      <c r="W3365" s="44">
        <f>Planning[[#This Row],[Horas Planificadas]]+Planning[[#This Row],[Horas ajustadas adicionales]]</f>
        <v>555</v>
      </c>
      <c r="X3365" s="142"/>
    </row>
    <row r="3366" spans="1:24" ht="12.75" customHeight="1" x14ac:dyDescent="0.2">
      <c r="A3366" s="7" t="s">
        <v>168</v>
      </c>
      <c r="B3366" s="7" t="s">
        <v>205</v>
      </c>
      <c r="C3366" s="3"/>
      <c r="D3366" s="3" t="s">
        <v>621</v>
      </c>
      <c r="E3366" s="4" t="s">
        <v>30</v>
      </c>
      <c r="F3366" s="3"/>
      <c r="G3366" s="9">
        <v>1678</v>
      </c>
      <c r="H3366" s="14">
        <f>SUM(H3367:H3373)</f>
        <v>1678</v>
      </c>
      <c r="I3366" s="14"/>
      <c r="J3366" s="14" t="e">
        <f>SUM(J3367:J3373)</f>
        <v>#REF!</v>
      </c>
      <c r="K3366" s="15" t="e">
        <f>SUM(K3367:K3373)</f>
        <v>#REF!</v>
      </c>
      <c r="L3366" s="15">
        <f>SUM(L3367:L3373)</f>
        <v>0</v>
      </c>
      <c r="M3366" s="16" t="e">
        <f>SUM(M3367:M3373)</f>
        <v>#REF!</v>
      </c>
      <c r="N3366" s="60" t="e">
        <f>+SUMIFS(#REF!,#REF!,Planning[[#This Row],[Proyectos]],#REF!,Planning[[#This Row],[Tipo de Tarea y especialidad]])</f>
        <v>#REF!</v>
      </c>
      <c r="O3366" s="16">
        <f t="shared" si="104"/>
        <v>10</v>
      </c>
      <c r="P3366" s="16">
        <f t="shared" si="105"/>
        <v>2024</v>
      </c>
      <c r="Q3366" s="16" t="e">
        <f>SUM(Q3367:Q3373)</f>
        <v>#REF!</v>
      </c>
      <c r="R3366" s="16" t="str">
        <f>TEXT(Planning[[#This Row],[Mes]]*29,"mmmm")</f>
        <v>October</v>
      </c>
      <c r="S33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66" s="193"/>
      <c r="U3366" s="43" t="e">
        <f>IF(Planning[[#This Row],[Horas Planificadas]]&lt;&gt;0,+K3366/Planning[[#This Row],[Horas Planificadas]],0)</f>
        <v>#REF!</v>
      </c>
      <c r="V3366" s="43" t="e">
        <f>IF(Planning[[#This Row],[Horas Planificadas]]&lt;&gt;0,Planning[[#This Row],[Horas utilizadas]]/Planning[[#This Row],[Horas Planificadas]],0)</f>
        <v>#REF!</v>
      </c>
      <c r="W3366" s="44">
        <f>Planning[[#This Row],[Horas Planificadas]]+Planning[[#This Row],[Horas ajustadas adicionales]]</f>
        <v>1678</v>
      </c>
      <c r="X3366" s="142"/>
    </row>
    <row r="3367" spans="1:24" ht="12.75" customHeight="1" x14ac:dyDescent="0.2">
      <c r="A3367" s="7" t="s">
        <v>168</v>
      </c>
      <c r="B3367" s="7" t="s">
        <v>205</v>
      </c>
      <c r="C3367" s="3"/>
      <c r="D3367" s="3" t="s">
        <v>621</v>
      </c>
      <c r="E3367" s="4"/>
      <c r="F3367" s="3" t="s">
        <v>122</v>
      </c>
      <c r="G3367" s="9"/>
      <c r="H3367" s="9"/>
      <c r="I3367" s="12"/>
      <c r="J3367" s="5" t="e">
        <f>SUM(SUMIFS(#REF!,#REF!,Planning[[#This Row],[Tipo de Tarea y especialidad]],#REF!,Planning[[#This Row],[Proyectos Reiwa]]),SUMIFS(#REF!,#REF!,Planning[[#This Row],[Tipo de Tarea y especialidad]],#REF!,Planning[[#This Row],[Proyectos]]))</f>
        <v>#REF!</v>
      </c>
      <c r="K3367" s="5" t="e">
        <f>Planning[[#This Row],[Horas Planificadas]]+Planning[[#This Row],[Horas ajustadas adicionales]]-Planning[[#This Row],[Horas utilizadas]]</f>
        <v>#REF!</v>
      </c>
      <c r="L3367" s="7">
        <v>0</v>
      </c>
      <c r="M3367" s="19" t="e">
        <f>Planning[[#This Row],[Saldo]]-Planning[[#This Row],[Saldo estimado]]</f>
        <v>#REF!</v>
      </c>
      <c r="N3367" s="60" t="e">
        <f>+SUMIFS(#REF!,#REF!,Planning[[#This Row],[Proyectos]],#REF!,Planning[[#This Row],[Tipo de Tarea y especialidad]])</f>
        <v>#REF!</v>
      </c>
      <c r="O3367" s="19">
        <f t="shared" si="104"/>
        <v>10</v>
      </c>
      <c r="P3367" s="19">
        <f t="shared" si="105"/>
        <v>2024</v>
      </c>
      <c r="Q33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67" s="19" t="str">
        <f>TEXT(Planning[[#This Row],[Mes]]*29,"mmmm")</f>
        <v>October</v>
      </c>
      <c r="S33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67" s="193"/>
      <c r="U3367" s="43">
        <f>IF(Planning[[#This Row],[Horas Planificadas]]&lt;&gt;0,+K3367/Planning[[#This Row],[Horas Planificadas]],0)</f>
        <v>0</v>
      </c>
      <c r="V3367" s="43">
        <f>IF(Planning[[#This Row],[Horas Planificadas]]&lt;&gt;0,Planning[[#This Row],[Horas utilizadas]]/Planning[[#This Row],[Horas Planificadas]],0)</f>
        <v>0</v>
      </c>
      <c r="W3367" s="44">
        <f>Planning[[#This Row],[Horas Planificadas]]+Planning[[#This Row],[Horas ajustadas adicionales]]</f>
        <v>0</v>
      </c>
      <c r="X3367" s="142"/>
    </row>
    <row r="3368" spans="1:24" ht="12.75" customHeight="1" x14ac:dyDescent="0.2">
      <c r="A3368" s="7" t="s">
        <v>168</v>
      </c>
      <c r="B3368" s="7" t="s">
        <v>205</v>
      </c>
      <c r="C3368" s="3"/>
      <c r="D3368" s="3" t="s">
        <v>621</v>
      </c>
      <c r="E3368" s="4"/>
      <c r="F3368" s="3" t="s">
        <v>123</v>
      </c>
      <c r="G3368" s="9"/>
      <c r="H3368" s="9">
        <v>918</v>
      </c>
      <c r="I3368" s="12"/>
      <c r="J3368" s="5" t="e">
        <f>SUM(SUMIFS(#REF!,#REF!,Planning[[#This Row],[Tipo de Tarea y especialidad]],#REF!,Planning[[#This Row],[Proyectos Reiwa]]),SUMIFS(#REF!,#REF!,Planning[[#This Row],[Tipo de Tarea y especialidad]],#REF!,Planning[[#This Row],[Proyectos]]))</f>
        <v>#REF!</v>
      </c>
      <c r="K3368" s="5" t="e">
        <f>Planning[[#This Row],[Horas Planificadas]]+Planning[[#This Row],[Horas ajustadas adicionales]]-Planning[[#This Row],[Horas utilizadas]]</f>
        <v>#REF!</v>
      </c>
      <c r="L3368" s="7">
        <v>0</v>
      </c>
      <c r="M3368" s="19" t="e">
        <f>Planning[[#This Row],[Saldo]]-Planning[[#This Row],[Saldo estimado]]</f>
        <v>#REF!</v>
      </c>
      <c r="N3368" s="60" t="e">
        <f>+SUMIFS(#REF!,#REF!,Planning[[#This Row],[Proyectos]],#REF!,Planning[[#This Row],[Tipo de Tarea y especialidad]])</f>
        <v>#REF!</v>
      </c>
      <c r="O3368" s="19">
        <f t="shared" si="104"/>
        <v>10</v>
      </c>
      <c r="P3368" s="19">
        <f t="shared" si="105"/>
        <v>2024</v>
      </c>
      <c r="Q33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68" s="19" t="str">
        <f>TEXT(Planning[[#This Row],[Mes]]*29,"mmmm")</f>
        <v>October</v>
      </c>
      <c r="S33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68" s="193"/>
      <c r="U3368" s="43" t="e">
        <f>IF(Planning[[#This Row],[Horas Planificadas]]&lt;&gt;0,+K3368/Planning[[#This Row],[Horas Planificadas]],0)</f>
        <v>#REF!</v>
      </c>
      <c r="V3368" s="43" t="e">
        <f>IF(Planning[[#This Row],[Horas Planificadas]]&lt;&gt;0,Planning[[#This Row],[Horas utilizadas]]/Planning[[#This Row],[Horas Planificadas]],0)</f>
        <v>#REF!</v>
      </c>
      <c r="W3368" s="44">
        <f>Planning[[#This Row],[Horas Planificadas]]+Planning[[#This Row],[Horas ajustadas adicionales]]</f>
        <v>918</v>
      </c>
      <c r="X3368" s="142"/>
    </row>
    <row r="3369" spans="1:24" ht="12.75" customHeight="1" x14ac:dyDescent="0.2">
      <c r="A3369" s="7" t="s">
        <v>168</v>
      </c>
      <c r="B3369" s="7" t="s">
        <v>205</v>
      </c>
      <c r="C3369" s="3"/>
      <c r="D3369" s="3" t="s">
        <v>621</v>
      </c>
      <c r="E3369" s="4"/>
      <c r="F3369" s="3" t="s">
        <v>124</v>
      </c>
      <c r="G3369" s="9"/>
      <c r="H3369" s="9">
        <v>144</v>
      </c>
      <c r="I3369" s="12"/>
      <c r="J3369" s="5" t="e">
        <f>SUM(SUMIFS(#REF!,#REF!,Planning[[#This Row],[Tipo de Tarea y especialidad]],#REF!,Planning[[#This Row],[Proyectos Reiwa]]),SUMIFS(#REF!,#REF!,Planning[[#This Row],[Tipo de Tarea y especialidad]],#REF!,Planning[[#This Row],[Proyectos]]))</f>
        <v>#REF!</v>
      </c>
      <c r="K3369" s="5" t="e">
        <f>Planning[[#This Row],[Horas Planificadas]]+Planning[[#This Row],[Horas ajustadas adicionales]]-Planning[[#This Row],[Horas utilizadas]]</f>
        <v>#REF!</v>
      </c>
      <c r="L3369" s="7">
        <v>0</v>
      </c>
      <c r="M3369" s="19" t="e">
        <f>Planning[[#This Row],[Saldo]]-Planning[[#This Row],[Saldo estimado]]</f>
        <v>#REF!</v>
      </c>
      <c r="N3369" s="60" t="e">
        <f>+SUMIFS(#REF!,#REF!,Planning[[#This Row],[Proyectos]],#REF!,Planning[[#This Row],[Tipo de Tarea y especialidad]])</f>
        <v>#REF!</v>
      </c>
      <c r="O3369" s="19">
        <f t="shared" si="104"/>
        <v>10</v>
      </c>
      <c r="P3369" s="19">
        <f t="shared" si="105"/>
        <v>2024</v>
      </c>
      <c r="Q33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69" s="19" t="str">
        <f>TEXT(Planning[[#This Row],[Mes]]*29,"mmmm")</f>
        <v>October</v>
      </c>
      <c r="S33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69" s="193"/>
      <c r="U3369" s="43" t="e">
        <f>IF(Planning[[#This Row],[Horas Planificadas]]&lt;&gt;0,+K3369/Planning[[#This Row],[Horas Planificadas]],0)</f>
        <v>#REF!</v>
      </c>
      <c r="V3369" s="43" t="e">
        <f>IF(Planning[[#This Row],[Horas Planificadas]]&lt;&gt;0,Planning[[#This Row],[Horas utilizadas]]/Planning[[#This Row],[Horas Planificadas]],0)</f>
        <v>#REF!</v>
      </c>
      <c r="W3369" s="44">
        <f>Planning[[#This Row],[Horas Planificadas]]+Planning[[#This Row],[Horas ajustadas adicionales]]</f>
        <v>144</v>
      </c>
      <c r="X3369" s="142"/>
    </row>
    <row r="3370" spans="1:24" ht="12.75" customHeight="1" x14ac:dyDescent="0.2">
      <c r="A3370" s="7" t="s">
        <v>168</v>
      </c>
      <c r="B3370" s="7" t="s">
        <v>205</v>
      </c>
      <c r="C3370" s="3"/>
      <c r="D3370" s="3" t="s">
        <v>621</v>
      </c>
      <c r="E3370" s="4"/>
      <c r="F3370" s="3" t="s">
        <v>125</v>
      </c>
      <c r="G3370" s="9"/>
      <c r="H3370" s="9">
        <v>328</v>
      </c>
      <c r="I3370" s="12"/>
      <c r="J3370" s="5" t="e">
        <f>SUM(SUMIFS(#REF!,#REF!,Planning[[#This Row],[Tipo de Tarea y especialidad]],#REF!,Planning[[#This Row],[Proyectos Reiwa]]),SUMIFS(#REF!,#REF!,Planning[[#This Row],[Tipo de Tarea y especialidad]],#REF!,Planning[[#This Row],[Proyectos]]))</f>
        <v>#REF!</v>
      </c>
      <c r="K3370" s="5" t="e">
        <f>Planning[[#This Row],[Horas Planificadas]]+Planning[[#This Row],[Horas ajustadas adicionales]]-Planning[[#This Row],[Horas utilizadas]]</f>
        <v>#REF!</v>
      </c>
      <c r="L3370" s="7">
        <v>0</v>
      </c>
      <c r="M3370" s="19" t="e">
        <f>Planning[[#This Row],[Saldo]]-Planning[[#This Row],[Saldo estimado]]</f>
        <v>#REF!</v>
      </c>
      <c r="N3370" s="60" t="e">
        <f>+SUMIFS(#REF!,#REF!,Planning[[#This Row],[Proyectos]],#REF!,Planning[[#This Row],[Tipo de Tarea y especialidad]])</f>
        <v>#REF!</v>
      </c>
      <c r="O3370" s="19">
        <f t="shared" si="104"/>
        <v>10</v>
      </c>
      <c r="P3370" s="19">
        <f t="shared" si="105"/>
        <v>2024</v>
      </c>
      <c r="Q33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70" s="19" t="str">
        <f>TEXT(Planning[[#This Row],[Mes]]*29,"mmmm")</f>
        <v>October</v>
      </c>
      <c r="S33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70" s="193"/>
      <c r="U3370" s="43" t="e">
        <f>IF(Planning[[#This Row],[Horas Planificadas]]&lt;&gt;0,+K3370/Planning[[#This Row],[Horas Planificadas]],0)</f>
        <v>#REF!</v>
      </c>
      <c r="V3370" s="43" t="e">
        <f>IF(Planning[[#This Row],[Horas Planificadas]]&lt;&gt;0,Planning[[#This Row],[Horas utilizadas]]/Planning[[#This Row],[Horas Planificadas]],0)</f>
        <v>#REF!</v>
      </c>
      <c r="W3370" s="44">
        <f>Planning[[#This Row],[Horas Planificadas]]+Planning[[#This Row],[Horas ajustadas adicionales]]</f>
        <v>328</v>
      </c>
      <c r="X3370" s="142"/>
    </row>
    <row r="3371" spans="1:24" ht="12.75" customHeight="1" x14ac:dyDescent="0.2">
      <c r="A3371" s="7" t="s">
        <v>168</v>
      </c>
      <c r="B3371" s="7" t="s">
        <v>205</v>
      </c>
      <c r="C3371" s="3"/>
      <c r="D3371" s="3" t="s">
        <v>621</v>
      </c>
      <c r="E3371" s="4"/>
      <c r="F3371" s="3" t="s">
        <v>126</v>
      </c>
      <c r="G3371" s="9"/>
      <c r="H3371" s="9"/>
      <c r="I3371" s="12"/>
      <c r="J3371" s="5" t="e">
        <f>SUM(SUMIFS(#REF!,#REF!,Planning[[#This Row],[Tipo de Tarea y especialidad]],#REF!,Planning[[#This Row],[Proyectos Reiwa]]),SUMIFS(#REF!,#REF!,Planning[[#This Row],[Tipo de Tarea y especialidad]],#REF!,Planning[[#This Row],[Proyectos]]))</f>
        <v>#REF!</v>
      </c>
      <c r="K3371" s="5" t="e">
        <f>Planning[[#This Row],[Horas Planificadas]]+Planning[[#This Row],[Horas ajustadas adicionales]]-Planning[[#This Row],[Horas utilizadas]]</f>
        <v>#REF!</v>
      </c>
      <c r="L3371" s="7">
        <v>0</v>
      </c>
      <c r="M3371" s="19" t="e">
        <f>Planning[[#This Row],[Saldo]]-Planning[[#This Row],[Saldo estimado]]</f>
        <v>#REF!</v>
      </c>
      <c r="N3371" s="60" t="e">
        <f>+SUMIFS(#REF!,#REF!,Planning[[#This Row],[Proyectos]],#REF!,Planning[[#This Row],[Tipo de Tarea y especialidad]])</f>
        <v>#REF!</v>
      </c>
      <c r="O3371" s="19">
        <f t="shared" si="104"/>
        <v>10</v>
      </c>
      <c r="P3371" s="19">
        <f t="shared" si="105"/>
        <v>2024</v>
      </c>
      <c r="Q33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71" s="19" t="str">
        <f>TEXT(Planning[[#This Row],[Mes]]*29,"mmmm")</f>
        <v>October</v>
      </c>
      <c r="S33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71" s="193"/>
      <c r="U3371" s="43">
        <f>IF(Planning[[#This Row],[Horas Planificadas]]&lt;&gt;0,+K3371/Planning[[#This Row],[Horas Planificadas]],0)</f>
        <v>0</v>
      </c>
      <c r="V3371" s="43">
        <f>IF(Planning[[#This Row],[Horas Planificadas]]&lt;&gt;0,Planning[[#This Row],[Horas utilizadas]]/Planning[[#This Row],[Horas Planificadas]],0)</f>
        <v>0</v>
      </c>
      <c r="W3371" s="44">
        <f>Planning[[#This Row],[Horas Planificadas]]+Planning[[#This Row],[Horas ajustadas adicionales]]</f>
        <v>0</v>
      </c>
      <c r="X3371" s="142"/>
    </row>
    <row r="3372" spans="1:24" ht="12.75" customHeight="1" x14ac:dyDescent="0.2">
      <c r="A3372" s="7" t="s">
        <v>168</v>
      </c>
      <c r="B3372" s="7" t="s">
        <v>205</v>
      </c>
      <c r="C3372" s="3"/>
      <c r="D3372" s="3" t="s">
        <v>621</v>
      </c>
      <c r="E3372" s="4"/>
      <c r="F3372" s="3" t="s">
        <v>127</v>
      </c>
      <c r="G3372" s="9"/>
      <c r="H3372" s="9">
        <v>198</v>
      </c>
      <c r="I3372" s="12"/>
      <c r="J3372" s="5" t="e">
        <f>SUM(SUMIFS(#REF!,#REF!,Planning[[#This Row],[Tipo de Tarea y especialidad]],#REF!,Planning[[#This Row],[Proyectos Reiwa]]),SUMIFS(#REF!,#REF!,Planning[[#This Row],[Tipo de Tarea y especialidad]],#REF!,Planning[[#This Row],[Proyectos]]))</f>
        <v>#REF!</v>
      </c>
      <c r="K3372" s="5" t="e">
        <f>Planning[[#This Row],[Horas Planificadas]]+Planning[[#This Row],[Horas ajustadas adicionales]]-Planning[[#This Row],[Horas utilizadas]]</f>
        <v>#REF!</v>
      </c>
      <c r="L3372" s="7">
        <v>0</v>
      </c>
      <c r="M3372" s="19" t="e">
        <f>Planning[[#This Row],[Saldo]]-Planning[[#This Row],[Saldo estimado]]</f>
        <v>#REF!</v>
      </c>
      <c r="N3372" s="60" t="e">
        <f>+SUMIFS(#REF!,#REF!,Planning[[#This Row],[Proyectos]],#REF!,Planning[[#This Row],[Tipo de Tarea y especialidad]])</f>
        <v>#REF!</v>
      </c>
      <c r="O3372" s="19">
        <f t="shared" si="104"/>
        <v>10</v>
      </c>
      <c r="P3372" s="19">
        <f t="shared" si="105"/>
        <v>2024</v>
      </c>
      <c r="Q33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72" s="19" t="str">
        <f>TEXT(Planning[[#This Row],[Mes]]*29,"mmmm")</f>
        <v>October</v>
      </c>
      <c r="S33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72" s="193"/>
      <c r="U3372" s="43" t="e">
        <f>IF(Planning[[#This Row],[Horas Planificadas]]&lt;&gt;0,+K3372/Planning[[#This Row],[Horas Planificadas]],0)</f>
        <v>#REF!</v>
      </c>
      <c r="V3372" s="43" t="e">
        <f>IF(Planning[[#This Row],[Horas Planificadas]]&lt;&gt;0,Planning[[#This Row],[Horas utilizadas]]/Planning[[#This Row],[Horas Planificadas]],0)</f>
        <v>#REF!</v>
      </c>
      <c r="W3372" s="44">
        <f>Planning[[#This Row],[Horas Planificadas]]+Planning[[#This Row],[Horas ajustadas adicionales]]</f>
        <v>198</v>
      </c>
      <c r="X3372" s="142"/>
    </row>
    <row r="3373" spans="1:24" ht="12.75" customHeight="1" x14ac:dyDescent="0.2">
      <c r="A3373" s="7" t="s">
        <v>168</v>
      </c>
      <c r="B3373" s="7" t="s">
        <v>205</v>
      </c>
      <c r="C3373" s="3"/>
      <c r="D3373" s="3" t="s">
        <v>621</v>
      </c>
      <c r="E3373" s="4"/>
      <c r="F3373" s="3" t="s">
        <v>128</v>
      </c>
      <c r="G3373" s="9"/>
      <c r="H3373" s="9">
        <v>90</v>
      </c>
      <c r="I3373" s="12"/>
      <c r="J3373" s="5" t="e">
        <f>SUM(SUMIFS(#REF!,#REF!,Planning[[#This Row],[Tipo de Tarea y especialidad]],#REF!,Planning[[#This Row],[Proyectos Reiwa]]),SUMIFS(#REF!,#REF!,Planning[[#This Row],[Tipo de Tarea y especialidad]],#REF!,Planning[[#This Row],[Proyectos]]))</f>
        <v>#REF!</v>
      </c>
      <c r="K3373" s="5" t="e">
        <f>Planning[[#This Row],[Horas Planificadas]]+Planning[[#This Row],[Horas ajustadas adicionales]]-Planning[[#This Row],[Horas utilizadas]]</f>
        <v>#REF!</v>
      </c>
      <c r="L3373" s="7">
        <v>0</v>
      </c>
      <c r="M3373" s="19" t="e">
        <f>Planning[[#This Row],[Saldo]]-Planning[[#This Row],[Saldo estimado]]</f>
        <v>#REF!</v>
      </c>
      <c r="N3373" s="60" t="e">
        <f>+SUMIFS(#REF!,#REF!,Planning[[#This Row],[Proyectos]],#REF!,Planning[[#This Row],[Tipo de Tarea y especialidad]])</f>
        <v>#REF!</v>
      </c>
      <c r="O3373" s="19">
        <f t="shared" si="104"/>
        <v>10</v>
      </c>
      <c r="P3373" s="19">
        <f t="shared" si="105"/>
        <v>2024</v>
      </c>
      <c r="Q33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73" s="19" t="str">
        <f>TEXT(Planning[[#This Row],[Mes]]*29,"mmmm")</f>
        <v>October</v>
      </c>
      <c r="S33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73" s="193"/>
      <c r="U3373" s="43" t="e">
        <f>IF(Planning[[#This Row],[Horas Planificadas]]&lt;&gt;0,+K3373/Planning[[#This Row],[Horas Planificadas]],0)</f>
        <v>#REF!</v>
      </c>
      <c r="V3373" s="43" t="e">
        <f>IF(Planning[[#This Row],[Horas Planificadas]]&lt;&gt;0,Planning[[#This Row],[Horas utilizadas]]/Planning[[#This Row],[Horas Planificadas]],0)</f>
        <v>#REF!</v>
      </c>
      <c r="W3373" s="44">
        <f>Planning[[#This Row],[Horas Planificadas]]+Planning[[#This Row],[Horas ajustadas adicionales]]</f>
        <v>90</v>
      </c>
      <c r="X3373" s="142"/>
    </row>
    <row r="3374" spans="1:24" ht="12.75" customHeight="1" x14ac:dyDescent="0.2">
      <c r="A3374" s="7" t="s">
        <v>168</v>
      </c>
      <c r="B3374" s="7" t="s">
        <v>205</v>
      </c>
      <c r="C3374" s="3"/>
      <c r="D3374" s="3" t="s">
        <v>621</v>
      </c>
      <c r="E3374" s="4" t="s">
        <v>31</v>
      </c>
      <c r="F3374" s="3" t="s">
        <v>31</v>
      </c>
      <c r="G3374" s="9">
        <v>396</v>
      </c>
      <c r="H3374" s="17">
        <v>396</v>
      </c>
      <c r="I3374" s="18"/>
      <c r="J3374" s="14" t="e">
        <f>+SUMIFS(#REF!,#REF!,Planning[[#This Row],[Tarifa]],#REF!,Planning[[#This Row],[Proyectos]])</f>
        <v>#REF!</v>
      </c>
      <c r="K3374" s="14" t="e">
        <f>Planning[[#This Row],[Horas Planificadas]]+Planning[[#This Row],[Horas ajustadas adicionales]]-Planning[[#This Row],[Horas utilizadas]]</f>
        <v>#REF!</v>
      </c>
      <c r="L3374" s="15">
        <v>0</v>
      </c>
      <c r="M3374" s="16" t="e">
        <f>Planning[[#This Row],[Saldo]]-Planning[[#This Row],[Saldo estimado]]</f>
        <v>#REF!</v>
      </c>
      <c r="N3374" s="60" t="e">
        <f>+SUMIFS(#REF!,#REF!,Planning[[#This Row],[Proyectos]],#REF!,Planning[[#This Row],[Tipo de Tarea y especialidad]])</f>
        <v>#REF!</v>
      </c>
      <c r="O3374" s="16">
        <f t="shared" si="104"/>
        <v>10</v>
      </c>
      <c r="P3374" s="16">
        <f t="shared" si="105"/>
        <v>2024</v>
      </c>
      <c r="Q3374" s="16" t="e">
        <f>+SUMIFS(#REF!,#REF!,Planning[[#This Row],[Tarifa]],#REF!,Planning[[#This Row],[Proyectos]],#REF!,Planning[[#This Row],[Mes]],#REF!,Planning[[#This Row],[Año]])</f>
        <v>#REF!</v>
      </c>
      <c r="R3374" s="16" t="str">
        <f>TEXT(Planning[[#This Row],[Mes]]*29,"mmmm")</f>
        <v>October</v>
      </c>
      <c r="S33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74" s="193"/>
      <c r="U3374" s="43" t="e">
        <f>IF(Planning[[#This Row],[Horas Planificadas]]&lt;&gt;0,+K3374/Planning[[#This Row],[Horas Planificadas]],0)</f>
        <v>#REF!</v>
      </c>
      <c r="V3374" s="43" t="e">
        <f>IF(Planning[[#This Row],[Horas Planificadas]]&lt;&gt;0,Planning[[#This Row],[Horas utilizadas]]/Planning[[#This Row],[Horas Planificadas]],0)</f>
        <v>#REF!</v>
      </c>
      <c r="W3374" s="44">
        <f>Planning[[#This Row],[Horas Planificadas]]+Planning[[#This Row],[Horas ajustadas adicionales]]</f>
        <v>396</v>
      </c>
      <c r="X3374" s="142"/>
    </row>
    <row r="3375" spans="1:24" ht="12.75" customHeight="1" x14ac:dyDescent="0.2">
      <c r="A3375" s="7" t="s">
        <v>168</v>
      </c>
      <c r="B3375" s="7" t="s">
        <v>205</v>
      </c>
      <c r="C3375" s="3"/>
      <c r="D3375" s="3" t="s">
        <v>621</v>
      </c>
      <c r="E3375" s="4" t="s">
        <v>32</v>
      </c>
      <c r="F3375" s="3"/>
      <c r="G3375" s="9">
        <v>580</v>
      </c>
      <c r="H3375" s="14">
        <f>SUM(H3376:H3378)</f>
        <v>580</v>
      </c>
      <c r="I3375" s="14"/>
      <c r="J3375" s="14" t="e">
        <f>SUM(J3376:J3378)</f>
        <v>#REF!</v>
      </c>
      <c r="K3375" s="15" t="e">
        <f>SUM(K3376:K3378)</f>
        <v>#REF!</v>
      </c>
      <c r="L3375" s="15">
        <f>SUM(L3376:L3378)</f>
        <v>0</v>
      </c>
      <c r="M3375" s="16" t="e">
        <f>SUM(M3376:M3378)</f>
        <v>#REF!</v>
      </c>
      <c r="N3375" s="60" t="e">
        <f>+SUMIFS(#REF!,#REF!,Planning[[#This Row],[Proyectos]],#REF!,Planning[[#This Row],[Tipo de Tarea y especialidad]])</f>
        <v>#REF!</v>
      </c>
      <c r="O3375" s="16">
        <f t="shared" si="104"/>
        <v>10</v>
      </c>
      <c r="P3375" s="16">
        <f t="shared" si="105"/>
        <v>2024</v>
      </c>
      <c r="Q3375" s="16" t="e">
        <f>SUM(Q3376:Q3378)</f>
        <v>#REF!</v>
      </c>
      <c r="R3375" s="16" t="str">
        <f>TEXT(Planning[[#This Row],[Mes]]*29,"mmmm")</f>
        <v>October</v>
      </c>
      <c r="S33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75" s="193"/>
      <c r="U3375" s="43" t="e">
        <f>IF(Planning[[#This Row],[Horas Planificadas]]&lt;&gt;0,+K3375/Planning[[#This Row],[Horas Planificadas]],0)</f>
        <v>#REF!</v>
      </c>
      <c r="V3375" s="43" t="e">
        <f>IF(Planning[[#This Row],[Horas Planificadas]]&lt;&gt;0,Planning[[#This Row],[Horas utilizadas]]/Planning[[#This Row],[Horas Planificadas]],0)</f>
        <v>#REF!</v>
      </c>
      <c r="W3375" s="44">
        <f>Planning[[#This Row],[Horas Planificadas]]+Planning[[#This Row],[Horas ajustadas adicionales]]</f>
        <v>580</v>
      </c>
      <c r="X3375" s="142"/>
    </row>
    <row r="3376" spans="1:24" ht="12.75" customHeight="1" x14ac:dyDescent="0.2">
      <c r="A3376" s="7" t="s">
        <v>168</v>
      </c>
      <c r="B3376" s="7" t="s">
        <v>205</v>
      </c>
      <c r="C3376" s="3"/>
      <c r="D3376" s="3" t="s">
        <v>621</v>
      </c>
      <c r="E3376" s="4"/>
      <c r="F3376" s="3" t="s">
        <v>129</v>
      </c>
      <c r="G3376" s="9"/>
      <c r="H3376" s="9"/>
      <c r="I3376" s="12"/>
      <c r="J3376" s="5" t="e">
        <f>SUM(SUMIFS(#REF!,#REF!,Planning[[#This Row],[Tipo de Tarea y especialidad]],#REF!,Planning[[#This Row],[Proyectos Reiwa]]),SUMIFS(#REF!,#REF!,Planning[[#This Row],[Tipo de Tarea y especialidad]],#REF!,Planning[[#This Row],[Proyectos]]))</f>
        <v>#REF!</v>
      </c>
      <c r="K3376" s="5" t="e">
        <f>Planning[[#This Row],[Horas Planificadas]]+Planning[[#This Row],[Horas ajustadas adicionales]]-Planning[[#This Row],[Horas utilizadas]]</f>
        <v>#REF!</v>
      </c>
      <c r="L3376" s="7">
        <v>0</v>
      </c>
      <c r="M3376" s="19" t="e">
        <f>Planning[[#This Row],[Saldo]]-Planning[[#This Row],[Saldo estimado]]</f>
        <v>#REF!</v>
      </c>
      <c r="N3376" s="60" t="e">
        <f>+SUMIFS(#REF!,#REF!,Planning[[#This Row],[Proyectos]],#REF!,Planning[[#This Row],[Tipo de Tarea y especialidad]])</f>
        <v>#REF!</v>
      </c>
      <c r="O3376" s="19">
        <f t="shared" si="104"/>
        <v>10</v>
      </c>
      <c r="P3376" s="19">
        <f t="shared" si="105"/>
        <v>2024</v>
      </c>
      <c r="Q33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76" s="19" t="str">
        <f>TEXT(Planning[[#This Row],[Mes]]*29,"mmmm")</f>
        <v>October</v>
      </c>
      <c r="S33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76" s="193"/>
      <c r="U3376" s="43">
        <f>IF(Planning[[#This Row],[Horas Planificadas]]&lt;&gt;0,+K3376/Planning[[#This Row],[Horas Planificadas]],0)</f>
        <v>0</v>
      </c>
      <c r="V3376" s="43">
        <f>IF(Planning[[#This Row],[Horas Planificadas]]&lt;&gt;0,Planning[[#This Row],[Horas utilizadas]]/Planning[[#This Row],[Horas Planificadas]],0)</f>
        <v>0</v>
      </c>
      <c r="W3376" s="44">
        <f>Planning[[#This Row],[Horas Planificadas]]+Planning[[#This Row],[Horas ajustadas adicionales]]</f>
        <v>0</v>
      </c>
      <c r="X3376" s="142"/>
    </row>
    <row r="3377" spans="1:24" ht="12.75" customHeight="1" x14ac:dyDescent="0.2">
      <c r="A3377" s="7" t="s">
        <v>168</v>
      </c>
      <c r="B3377" s="7" t="s">
        <v>205</v>
      </c>
      <c r="C3377" s="3"/>
      <c r="D3377" s="3" t="s">
        <v>621</v>
      </c>
      <c r="E3377" s="4"/>
      <c r="F3377" s="3" t="s">
        <v>130</v>
      </c>
      <c r="G3377" s="9"/>
      <c r="H3377" s="9">
        <v>340</v>
      </c>
      <c r="I3377" s="12"/>
      <c r="J3377" s="5" t="e">
        <f>SUM(SUMIFS(#REF!,#REF!,Planning[[#This Row],[Tipo de Tarea y especialidad]],#REF!,Planning[[#This Row],[Proyectos Reiwa]]),SUMIFS(#REF!,#REF!,Planning[[#This Row],[Tipo de Tarea y especialidad]],#REF!,Planning[[#This Row],[Proyectos]]))</f>
        <v>#REF!</v>
      </c>
      <c r="K3377" s="5" t="e">
        <f>Planning[[#This Row],[Horas Planificadas]]+Planning[[#This Row],[Horas ajustadas adicionales]]-Planning[[#This Row],[Horas utilizadas]]</f>
        <v>#REF!</v>
      </c>
      <c r="L3377" s="7">
        <v>0</v>
      </c>
      <c r="M3377" s="19" t="e">
        <f>Planning[[#This Row],[Saldo]]-Planning[[#This Row],[Saldo estimado]]</f>
        <v>#REF!</v>
      </c>
      <c r="N3377" s="60" t="e">
        <f>+SUMIFS(#REF!,#REF!,Planning[[#This Row],[Proyectos]],#REF!,Planning[[#This Row],[Tipo de Tarea y especialidad]])</f>
        <v>#REF!</v>
      </c>
      <c r="O3377" s="19">
        <f t="shared" si="104"/>
        <v>10</v>
      </c>
      <c r="P3377" s="19">
        <f t="shared" si="105"/>
        <v>2024</v>
      </c>
      <c r="Q33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77" s="19" t="str">
        <f>TEXT(Planning[[#This Row],[Mes]]*29,"mmmm")</f>
        <v>October</v>
      </c>
      <c r="S33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77" s="193"/>
      <c r="U3377" s="43" t="e">
        <f>IF(Planning[[#This Row],[Horas Planificadas]]&lt;&gt;0,+K3377/Planning[[#This Row],[Horas Planificadas]],0)</f>
        <v>#REF!</v>
      </c>
      <c r="V3377" s="43" t="e">
        <f>IF(Planning[[#This Row],[Horas Planificadas]]&lt;&gt;0,Planning[[#This Row],[Horas utilizadas]]/Planning[[#This Row],[Horas Planificadas]],0)</f>
        <v>#REF!</v>
      </c>
      <c r="W3377" s="44">
        <f>Planning[[#This Row],[Horas Planificadas]]+Planning[[#This Row],[Horas ajustadas adicionales]]</f>
        <v>340</v>
      </c>
      <c r="X3377" s="142"/>
    </row>
    <row r="3378" spans="1:24" ht="12.75" customHeight="1" x14ac:dyDescent="0.2">
      <c r="A3378" s="7" t="s">
        <v>168</v>
      </c>
      <c r="B3378" s="7" t="s">
        <v>205</v>
      </c>
      <c r="C3378" s="3"/>
      <c r="D3378" s="3" t="s">
        <v>621</v>
      </c>
      <c r="E3378" s="4"/>
      <c r="F3378" s="3" t="s">
        <v>131</v>
      </c>
      <c r="G3378" s="9"/>
      <c r="H3378" s="9">
        <v>240</v>
      </c>
      <c r="I3378" s="12"/>
      <c r="J3378" s="5" t="e">
        <f>SUM(SUMIFS(#REF!,#REF!,Planning[[#This Row],[Tipo de Tarea y especialidad]],#REF!,Planning[[#This Row],[Proyectos Reiwa]]),SUMIFS(#REF!,#REF!,Planning[[#This Row],[Tipo de Tarea y especialidad]],#REF!,Planning[[#This Row],[Proyectos]]))</f>
        <v>#REF!</v>
      </c>
      <c r="K3378" s="5" t="e">
        <f>Planning[[#This Row],[Horas Planificadas]]+Planning[[#This Row],[Horas ajustadas adicionales]]-Planning[[#This Row],[Horas utilizadas]]</f>
        <v>#REF!</v>
      </c>
      <c r="L3378" s="7">
        <v>0</v>
      </c>
      <c r="M3378" s="19" t="e">
        <f>Planning[[#This Row],[Saldo]]-Planning[[#This Row],[Saldo estimado]]</f>
        <v>#REF!</v>
      </c>
      <c r="N3378" s="60" t="e">
        <f>+SUMIFS(#REF!,#REF!,Planning[[#This Row],[Proyectos]],#REF!,Planning[[#This Row],[Tipo de Tarea y especialidad]])</f>
        <v>#REF!</v>
      </c>
      <c r="O3378" s="19">
        <f t="shared" si="104"/>
        <v>10</v>
      </c>
      <c r="P3378" s="19">
        <f t="shared" si="105"/>
        <v>2024</v>
      </c>
      <c r="Q33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78" s="19" t="str">
        <f>TEXT(Planning[[#This Row],[Mes]]*29,"mmmm")</f>
        <v>October</v>
      </c>
      <c r="S33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78" s="193"/>
      <c r="U3378" s="43" t="e">
        <f>IF(Planning[[#This Row],[Horas Planificadas]]&lt;&gt;0,+K3378/Planning[[#This Row],[Horas Planificadas]],0)</f>
        <v>#REF!</v>
      </c>
      <c r="V3378" s="43" t="e">
        <f>IF(Planning[[#This Row],[Horas Planificadas]]&lt;&gt;0,Planning[[#This Row],[Horas utilizadas]]/Planning[[#This Row],[Horas Planificadas]],0)</f>
        <v>#REF!</v>
      </c>
      <c r="W3378" s="44">
        <f>Planning[[#This Row],[Horas Planificadas]]+Planning[[#This Row],[Horas ajustadas adicionales]]</f>
        <v>240</v>
      </c>
      <c r="X3378" s="142"/>
    </row>
    <row r="3379" spans="1:24" ht="12.75" customHeight="1" x14ac:dyDescent="0.2">
      <c r="A3379" s="7"/>
      <c r="B3379" s="7"/>
      <c r="C3379" s="3"/>
      <c r="D3379" s="3" t="s">
        <v>623</v>
      </c>
      <c r="E3379" s="4" t="s">
        <v>28</v>
      </c>
      <c r="F3379" s="3"/>
      <c r="G3379" s="9"/>
      <c r="H3379" s="14">
        <f>SUM(H3380:H3381)</f>
        <v>0</v>
      </c>
      <c r="I3379" s="14"/>
      <c r="J3379" s="14" t="e">
        <f>SUM(J3380:J3381)</f>
        <v>#REF!</v>
      </c>
      <c r="K3379" s="15" t="e">
        <f>SUM(K3380:K3381)</f>
        <v>#REF!</v>
      </c>
      <c r="L3379" s="15">
        <f>SUM(L3380:L3381)</f>
        <v>0</v>
      </c>
      <c r="M3379" s="14" t="e">
        <f>SUM(M3380:M3381)</f>
        <v>#REF!</v>
      </c>
      <c r="N3379" s="66" t="e">
        <f>+SUMIFS(#REF!,#REF!,Planning[[#This Row],[Proyectos]],#REF!,Planning[[#This Row],[Tipo de Tarea y especialidad]])</f>
        <v>#REF!</v>
      </c>
      <c r="O3379" s="14">
        <f t="shared" si="104"/>
        <v>10</v>
      </c>
      <c r="P3379" s="14">
        <f t="shared" si="105"/>
        <v>2024</v>
      </c>
      <c r="Q3379" s="28" t="e">
        <f>SUM(Q3380:Q3381)</f>
        <v>#REF!</v>
      </c>
      <c r="R3379" s="28" t="str">
        <f>TEXT(Planning[[#This Row],[Mes]]*29,"mmmm")</f>
        <v>October</v>
      </c>
      <c r="S33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79" s="228"/>
      <c r="U3379" s="43">
        <f>IF(Planning[[#This Row],[Horas Planificadas]]&lt;&gt;0,+K3379/Planning[[#This Row],[Horas Planificadas]],0)</f>
        <v>0</v>
      </c>
      <c r="V3379" s="43">
        <f>IF(Planning[[#This Row],[Horas Planificadas]]&lt;&gt;0,Planning[[#This Row],[Horas utilizadas]]/Planning[[#This Row],[Horas Planificadas]],0)</f>
        <v>0</v>
      </c>
      <c r="W3379" s="44">
        <f>Planning[[#This Row],[Horas Planificadas]]+Planning[[#This Row],[Horas ajustadas adicionales]]</f>
        <v>0</v>
      </c>
      <c r="X3379" s="142"/>
    </row>
    <row r="3380" spans="1:24" ht="12.75" customHeight="1" x14ac:dyDescent="0.2">
      <c r="A3380" s="7"/>
      <c r="B3380" s="7"/>
      <c r="C3380" s="3"/>
      <c r="D3380" s="3" t="s">
        <v>623</v>
      </c>
      <c r="E3380" s="4"/>
      <c r="F3380" s="3" t="s">
        <v>120</v>
      </c>
      <c r="G3380" s="9"/>
      <c r="H3380" s="9"/>
      <c r="I3380" s="12"/>
      <c r="J3380" s="5" t="e">
        <f>SUM(SUMIFS(#REF!,#REF!,Planning[[#This Row],[Tipo de Tarea y especialidad]],#REF!,Planning[[#This Row],[Proyectos Reiwa]]),SUMIFS(#REF!,#REF!,Planning[[#This Row],[Tipo de Tarea y especialidad]],#REF!,Planning[[#This Row],[Proyectos]]))</f>
        <v>#REF!</v>
      </c>
      <c r="K3380" s="5" t="e">
        <f>Planning[[#This Row],[Horas Planificadas]]+Planning[[#This Row],[Horas ajustadas adicionales]]-Planning[[#This Row],[Horas utilizadas]]</f>
        <v>#REF!</v>
      </c>
      <c r="L3380" s="7"/>
      <c r="M3380" s="19" t="e">
        <f>Planning[[#This Row],[Saldo]]-Planning[[#This Row],[Saldo estimado]]</f>
        <v>#REF!</v>
      </c>
      <c r="N3380" s="60" t="e">
        <f>+SUMIFS(#REF!,#REF!,Planning[[#This Row],[Proyectos]],#REF!,Planning[[#This Row],[Tipo de Tarea y especialidad]])</f>
        <v>#REF!</v>
      </c>
      <c r="O3380" s="19">
        <f t="shared" si="104"/>
        <v>10</v>
      </c>
      <c r="P3380" s="19">
        <f t="shared" si="105"/>
        <v>2024</v>
      </c>
      <c r="Q33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80" s="19" t="str">
        <f>TEXT(Planning[[#This Row],[Mes]]*29,"mmmm")</f>
        <v>October</v>
      </c>
      <c r="S33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80" s="228"/>
      <c r="U3380" s="43">
        <f>IF(Planning[[#This Row],[Horas Planificadas]]&lt;&gt;0,+K3380/Planning[[#This Row],[Horas Planificadas]],0)</f>
        <v>0</v>
      </c>
      <c r="V3380" s="43">
        <f>IF(Planning[[#This Row],[Horas Planificadas]]&lt;&gt;0,Planning[[#This Row],[Horas utilizadas]]/Planning[[#This Row],[Horas Planificadas]],0)</f>
        <v>0</v>
      </c>
      <c r="W3380" s="44">
        <f>Planning[[#This Row],[Horas Planificadas]]+Planning[[#This Row],[Horas ajustadas adicionales]]</f>
        <v>0</v>
      </c>
      <c r="X3380" s="142"/>
    </row>
    <row r="3381" spans="1:24" ht="12.75" customHeight="1" x14ac:dyDescent="0.2">
      <c r="A3381" s="7"/>
      <c r="B3381" s="7"/>
      <c r="C3381" s="3"/>
      <c r="D3381" s="3" t="s">
        <v>623</v>
      </c>
      <c r="E3381" s="4"/>
      <c r="F3381" s="3" t="s">
        <v>121</v>
      </c>
      <c r="G3381" s="9"/>
      <c r="H3381" s="9"/>
      <c r="I3381" s="12"/>
      <c r="J3381" s="5" t="e">
        <f>SUM(SUMIFS(#REF!,#REF!,Planning[[#This Row],[Tipo de Tarea y especialidad]],#REF!,Planning[[#This Row],[Proyectos Reiwa]]),SUMIFS(#REF!,#REF!,Planning[[#This Row],[Tipo de Tarea y especialidad]],#REF!,Planning[[#This Row],[Proyectos]]))</f>
        <v>#REF!</v>
      </c>
      <c r="K3381" s="5" t="e">
        <f>Planning[[#This Row],[Horas Planificadas]]+Planning[[#This Row],[Horas ajustadas adicionales]]-Planning[[#This Row],[Horas utilizadas]]</f>
        <v>#REF!</v>
      </c>
      <c r="L3381" s="7"/>
      <c r="M3381" s="19" t="e">
        <f>Planning[[#This Row],[Saldo]]-Planning[[#This Row],[Saldo estimado]]</f>
        <v>#REF!</v>
      </c>
      <c r="N3381" s="60" t="e">
        <f>+SUMIFS(#REF!,#REF!,Planning[[#This Row],[Proyectos]],#REF!,Planning[[#This Row],[Tipo de Tarea y especialidad]])</f>
        <v>#REF!</v>
      </c>
      <c r="O3381" s="19">
        <f t="shared" si="104"/>
        <v>10</v>
      </c>
      <c r="P3381" s="19">
        <f t="shared" si="105"/>
        <v>2024</v>
      </c>
      <c r="Q33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81" s="19" t="str">
        <f>TEXT(Planning[[#This Row],[Mes]]*29,"mmmm")</f>
        <v>October</v>
      </c>
      <c r="S33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81" s="228"/>
      <c r="U3381" s="43">
        <f>IF(Planning[[#This Row],[Horas Planificadas]]&lt;&gt;0,+K3381/Planning[[#This Row],[Horas Planificadas]],0)</f>
        <v>0</v>
      </c>
      <c r="V3381" s="43">
        <f>IF(Planning[[#This Row],[Horas Planificadas]]&lt;&gt;0,Planning[[#This Row],[Horas utilizadas]]/Planning[[#This Row],[Horas Planificadas]],0)</f>
        <v>0</v>
      </c>
      <c r="W3381" s="44">
        <f>Planning[[#This Row],[Horas Planificadas]]+Planning[[#This Row],[Horas ajustadas adicionales]]</f>
        <v>0</v>
      </c>
      <c r="X3381" s="142"/>
    </row>
    <row r="3382" spans="1:24" ht="12.75" customHeight="1" x14ac:dyDescent="0.2">
      <c r="A3382" s="7"/>
      <c r="B3382" s="7"/>
      <c r="C3382" s="3"/>
      <c r="D3382" s="3" t="s">
        <v>623</v>
      </c>
      <c r="E3382" s="4" t="s">
        <v>30</v>
      </c>
      <c r="F3382" s="3"/>
      <c r="G3382" s="9"/>
      <c r="H3382" s="14">
        <f>SUM(H3383:H3389)</f>
        <v>0</v>
      </c>
      <c r="I3382" s="14"/>
      <c r="J3382" s="14" t="e">
        <f>SUM(J3383:J3389)</f>
        <v>#REF!</v>
      </c>
      <c r="K3382" s="15" t="e">
        <f>SUM(K3383:K3389)</f>
        <v>#REF!</v>
      </c>
      <c r="L3382" s="15">
        <f>SUM(L3383:L3389)</f>
        <v>0</v>
      </c>
      <c r="M3382" s="16" t="e">
        <f>SUM(M3383:M3389)</f>
        <v>#REF!</v>
      </c>
      <c r="N3382" s="60" t="e">
        <f>+SUMIFS(#REF!,#REF!,Planning[[#This Row],[Proyectos]],#REF!,Planning[[#This Row],[Tipo de Tarea y especialidad]])</f>
        <v>#REF!</v>
      </c>
      <c r="O3382" s="16">
        <f t="shared" si="104"/>
        <v>10</v>
      </c>
      <c r="P3382" s="16">
        <f t="shared" si="105"/>
        <v>2024</v>
      </c>
      <c r="Q3382" s="16" t="e">
        <f>SUM(Q3383:Q3389)</f>
        <v>#REF!</v>
      </c>
      <c r="R3382" s="16" t="str">
        <f>TEXT(Planning[[#This Row],[Mes]]*29,"mmmm")</f>
        <v>October</v>
      </c>
      <c r="S33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82" s="228"/>
      <c r="U3382" s="43">
        <f>IF(Planning[[#This Row],[Horas Planificadas]]&lt;&gt;0,+K3382/Planning[[#This Row],[Horas Planificadas]],0)</f>
        <v>0</v>
      </c>
      <c r="V3382" s="43">
        <f>IF(Planning[[#This Row],[Horas Planificadas]]&lt;&gt;0,Planning[[#This Row],[Horas utilizadas]]/Planning[[#This Row],[Horas Planificadas]],0)</f>
        <v>0</v>
      </c>
      <c r="W3382" s="44">
        <f>Planning[[#This Row],[Horas Planificadas]]+Planning[[#This Row],[Horas ajustadas adicionales]]</f>
        <v>0</v>
      </c>
      <c r="X3382" s="142"/>
    </row>
    <row r="3383" spans="1:24" ht="12.75" customHeight="1" x14ac:dyDescent="0.2">
      <c r="A3383" s="7"/>
      <c r="B3383" s="7"/>
      <c r="C3383" s="3"/>
      <c r="D3383" s="3" t="s">
        <v>623</v>
      </c>
      <c r="E3383" s="4"/>
      <c r="F3383" s="3" t="s">
        <v>122</v>
      </c>
      <c r="G3383" s="9"/>
      <c r="H3383" s="9"/>
      <c r="I3383" s="12"/>
      <c r="J3383" s="5" t="e">
        <f>SUM(SUMIFS(#REF!,#REF!,Planning[[#This Row],[Tipo de Tarea y especialidad]],#REF!,Planning[[#This Row],[Proyectos Reiwa]]),SUMIFS(#REF!,#REF!,Planning[[#This Row],[Tipo de Tarea y especialidad]],#REF!,Planning[[#This Row],[Proyectos]]))</f>
        <v>#REF!</v>
      </c>
      <c r="K3383" s="5" t="e">
        <f>Planning[[#This Row],[Horas Planificadas]]+Planning[[#This Row],[Horas ajustadas adicionales]]-Planning[[#This Row],[Horas utilizadas]]</f>
        <v>#REF!</v>
      </c>
      <c r="L3383" s="7"/>
      <c r="M3383" s="19" t="e">
        <f>Planning[[#This Row],[Saldo]]-Planning[[#This Row],[Saldo estimado]]</f>
        <v>#REF!</v>
      </c>
      <c r="N3383" s="60" t="e">
        <f>+SUMIFS(#REF!,#REF!,Planning[[#This Row],[Proyectos]],#REF!,Planning[[#This Row],[Tipo de Tarea y especialidad]])</f>
        <v>#REF!</v>
      </c>
      <c r="O3383" s="19">
        <f t="shared" si="104"/>
        <v>10</v>
      </c>
      <c r="P3383" s="19">
        <f t="shared" si="105"/>
        <v>2024</v>
      </c>
      <c r="Q33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83" s="19" t="str">
        <f>TEXT(Planning[[#This Row],[Mes]]*29,"mmmm")</f>
        <v>October</v>
      </c>
      <c r="S33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83" s="228"/>
      <c r="U3383" s="43">
        <f>IF(Planning[[#This Row],[Horas Planificadas]]&lt;&gt;0,+K3383/Planning[[#This Row],[Horas Planificadas]],0)</f>
        <v>0</v>
      </c>
      <c r="V3383" s="43">
        <f>IF(Planning[[#This Row],[Horas Planificadas]]&lt;&gt;0,Planning[[#This Row],[Horas utilizadas]]/Planning[[#This Row],[Horas Planificadas]],0)</f>
        <v>0</v>
      </c>
      <c r="W3383" s="44">
        <f>Planning[[#This Row],[Horas Planificadas]]+Planning[[#This Row],[Horas ajustadas adicionales]]</f>
        <v>0</v>
      </c>
      <c r="X3383" s="142"/>
    </row>
    <row r="3384" spans="1:24" ht="12.75" customHeight="1" x14ac:dyDescent="0.2">
      <c r="A3384" s="7"/>
      <c r="B3384" s="7"/>
      <c r="C3384" s="3"/>
      <c r="D3384" s="3" t="s">
        <v>623</v>
      </c>
      <c r="E3384" s="4"/>
      <c r="F3384" s="3" t="s">
        <v>123</v>
      </c>
      <c r="G3384" s="9"/>
      <c r="H3384" s="9"/>
      <c r="I3384" s="12"/>
      <c r="J3384" s="5" t="e">
        <f>SUM(SUMIFS(#REF!,#REF!,Planning[[#This Row],[Tipo de Tarea y especialidad]],#REF!,Planning[[#This Row],[Proyectos Reiwa]]),SUMIFS(#REF!,#REF!,Planning[[#This Row],[Tipo de Tarea y especialidad]],#REF!,Planning[[#This Row],[Proyectos]]))</f>
        <v>#REF!</v>
      </c>
      <c r="K3384" s="5" t="e">
        <f>Planning[[#This Row],[Horas Planificadas]]+Planning[[#This Row],[Horas ajustadas adicionales]]-Planning[[#This Row],[Horas utilizadas]]</f>
        <v>#REF!</v>
      </c>
      <c r="L3384" s="7"/>
      <c r="M3384" s="19" t="e">
        <f>Planning[[#This Row],[Saldo]]-Planning[[#This Row],[Saldo estimado]]</f>
        <v>#REF!</v>
      </c>
      <c r="N3384" s="60" t="e">
        <f>+SUMIFS(#REF!,#REF!,Planning[[#This Row],[Proyectos]],#REF!,Planning[[#This Row],[Tipo de Tarea y especialidad]])</f>
        <v>#REF!</v>
      </c>
      <c r="O3384" s="19">
        <f t="shared" si="104"/>
        <v>10</v>
      </c>
      <c r="P3384" s="19">
        <f t="shared" si="105"/>
        <v>2024</v>
      </c>
      <c r="Q33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84" s="19" t="str">
        <f>TEXT(Planning[[#This Row],[Mes]]*29,"mmmm")</f>
        <v>October</v>
      </c>
      <c r="S33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84" s="228"/>
      <c r="U3384" s="43">
        <f>IF(Planning[[#This Row],[Horas Planificadas]]&lt;&gt;0,+K3384/Planning[[#This Row],[Horas Planificadas]],0)</f>
        <v>0</v>
      </c>
      <c r="V3384" s="43">
        <f>IF(Planning[[#This Row],[Horas Planificadas]]&lt;&gt;0,Planning[[#This Row],[Horas utilizadas]]/Planning[[#This Row],[Horas Planificadas]],0)</f>
        <v>0</v>
      </c>
      <c r="W3384" s="44">
        <f>Planning[[#This Row],[Horas Planificadas]]+Planning[[#This Row],[Horas ajustadas adicionales]]</f>
        <v>0</v>
      </c>
      <c r="X3384" s="142"/>
    </row>
    <row r="3385" spans="1:24" ht="12.75" customHeight="1" x14ac:dyDescent="0.2">
      <c r="A3385" s="7"/>
      <c r="B3385" s="7"/>
      <c r="C3385" s="3"/>
      <c r="D3385" s="3" t="s">
        <v>623</v>
      </c>
      <c r="E3385" s="4"/>
      <c r="F3385" s="3" t="s">
        <v>124</v>
      </c>
      <c r="G3385" s="9"/>
      <c r="H3385" s="9"/>
      <c r="I3385" s="12"/>
      <c r="J3385" s="5" t="e">
        <f>SUM(SUMIFS(#REF!,#REF!,Planning[[#This Row],[Tipo de Tarea y especialidad]],#REF!,Planning[[#This Row],[Proyectos Reiwa]]),SUMIFS(#REF!,#REF!,Planning[[#This Row],[Tipo de Tarea y especialidad]],#REF!,Planning[[#This Row],[Proyectos]]))</f>
        <v>#REF!</v>
      </c>
      <c r="K3385" s="5" t="e">
        <f>Planning[[#This Row],[Horas Planificadas]]+Planning[[#This Row],[Horas ajustadas adicionales]]-Planning[[#This Row],[Horas utilizadas]]</f>
        <v>#REF!</v>
      </c>
      <c r="L3385" s="7"/>
      <c r="M3385" s="19" t="e">
        <f>Planning[[#This Row],[Saldo]]-Planning[[#This Row],[Saldo estimado]]</f>
        <v>#REF!</v>
      </c>
      <c r="N3385" s="60" t="e">
        <f>+SUMIFS(#REF!,#REF!,Planning[[#This Row],[Proyectos]],#REF!,Planning[[#This Row],[Tipo de Tarea y especialidad]])</f>
        <v>#REF!</v>
      </c>
      <c r="O3385" s="19">
        <f t="shared" si="104"/>
        <v>10</v>
      </c>
      <c r="P3385" s="19">
        <f t="shared" si="105"/>
        <v>2024</v>
      </c>
      <c r="Q33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85" s="19" t="str">
        <f>TEXT(Planning[[#This Row],[Mes]]*29,"mmmm")</f>
        <v>October</v>
      </c>
      <c r="S33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85" s="228"/>
      <c r="U3385" s="43">
        <f>IF(Planning[[#This Row],[Horas Planificadas]]&lt;&gt;0,+K3385/Planning[[#This Row],[Horas Planificadas]],0)</f>
        <v>0</v>
      </c>
      <c r="V3385" s="43">
        <f>IF(Planning[[#This Row],[Horas Planificadas]]&lt;&gt;0,Planning[[#This Row],[Horas utilizadas]]/Planning[[#This Row],[Horas Planificadas]],0)</f>
        <v>0</v>
      </c>
      <c r="W3385" s="44">
        <f>Planning[[#This Row],[Horas Planificadas]]+Planning[[#This Row],[Horas ajustadas adicionales]]</f>
        <v>0</v>
      </c>
      <c r="X3385" s="142"/>
    </row>
    <row r="3386" spans="1:24" ht="12.75" customHeight="1" x14ac:dyDescent="0.2">
      <c r="A3386" s="7"/>
      <c r="B3386" s="7"/>
      <c r="C3386" s="3"/>
      <c r="D3386" s="3" t="s">
        <v>623</v>
      </c>
      <c r="E3386" s="4"/>
      <c r="F3386" s="3" t="s">
        <v>125</v>
      </c>
      <c r="G3386" s="9"/>
      <c r="H3386" s="9"/>
      <c r="I3386" s="12"/>
      <c r="J3386" s="5" t="e">
        <f>SUM(SUMIFS(#REF!,#REF!,Planning[[#This Row],[Tipo de Tarea y especialidad]],#REF!,Planning[[#This Row],[Proyectos Reiwa]]),SUMIFS(#REF!,#REF!,Planning[[#This Row],[Tipo de Tarea y especialidad]],#REF!,Planning[[#This Row],[Proyectos]]))</f>
        <v>#REF!</v>
      </c>
      <c r="K3386" s="5" t="e">
        <f>Planning[[#This Row],[Horas Planificadas]]+Planning[[#This Row],[Horas ajustadas adicionales]]-Planning[[#This Row],[Horas utilizadas]]</f>
        <v>#REF!</v>
      </c>
      <c r="L3386" s="7"/>
      <c r="M3386" s="19" t="e">
        <f>Planning[[#This Row],[Saldo]]-Planning[[#This Row],[Saldo estimado]]</f>
        <v>#REF!</v>
      </c>
      <c r="N3386" s="60" t="e">
        <f>+SUMIFS(#REF!,#REF!,Planning[[#This Row],[Proyectos]],#REF!,Planning[[#This Row],[Tipo de Tarea y especialidad]])</f>
        <v>#REF!</v>
      </c>
      <c r="O3386" s="19">
        <f t="shared" si="104"/>
        <v>10</v>
      </c>
      <c r="P3386" s="19">
        <f t="shared" si="105"/>
        <v>2024</v>
      </c>
      <c r="Q33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86" s="19" t="str">
        <f>TEXT(Planning[[#This Row],[Mes]]*29,"mmmm")</f>
        <v>October</v>
      </c>
      <c r="S33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86" s="228"/>
      <c r="U3386" s="43">
        <f>IF(Planning[[#This Row],[Horas Planificadas]]&lt;&gt;0,+K3386/Planning[[#This Row],[Horas Planificadas]],0)</f>
        <v>0</v>
      </c>
      <c r="V3386" s="43">
        <f>IF(Planning[[#This Row],[Horas Planificadas]]&lt;&gt;0,Planning[[#This Row],[Horas utilizadas]]/Planning[[#This Row],[Horas Planificadas]],0)</f>
        <v>0</v>
      </c>
      <c r="W3386" s="44">
        <f>Planning[[#This Row],[Horas Planificadas]]+Planning[[#This Row],[Horas ajustadas adicionales]]</f>
        <v>0</v>
      </c>
      <c r="X3386" s="142"/>
    </row>
    <row r="3387" spans="1:24" ht="12.75" customHeight="1" x14ac:dyDescent="0.2">
      <c r="A3387" s="7"/>
      <c r="B3387" s="7"/>
      <c r="C3387" s="3"/>
      <c r="D3387" s="3" t="s">
        <v>623</v>
      </c>
      <c r="E3387" s="4"/>
      <c r="F3387" s="3" t="s">
        <v>126</v>
      </c>
      <c r="G3387" s="9"/>
      <c r="H3387" s="9"/>
      <c r="I3387" s="12"/>
      <c r="J3387" s="5" t="e">
        <f>SUM(SUMIFS(#REF!,#REF!,Planning[[#This Row],[Tipo de Tarea y especialidad]],#REF!,Planning[[#This Row],[Proyectos Reiwa]]),SUMIFS(#REF!,#REF!,Planning[[#This Row],[Tipo de Tarea y especialidad]],#REF!,Planning[[#This Row],[Proyectos]]))</f>
        <v>#REF!</v>
      </c>
      <c r="K3387" s="5" t="e">
        <f>Planning[[#This Row],[Horas Planificadas]]+Planning[[#This Row],[Horas ajustadas adicionales]]-Planning[[#This Row],[Horas utilizadas]]</f>
        <v>#REF!</v>
      </c>
      <c r="L3387" s="7"/>
      <c r="M3387" s="19" t="e">
        <f>Planning[[#This Row],[Saldo]]-Planning[[#This Row],[Saldo estimado]]</f>
        <v>#REF!</v>
      </c>
      <c r="N3387" s="60" t="e">
        <f>+SUMIFS(#REF!,#REF!,Planning[[#This Row],[Proyectos]],#REF!,Planning[[#This Row],[Tipo de Tarea y especialidad]])</f>
        <v>#REF!</v>
      </c>
      <c r="O3387" s="19">
        <f t="shared" si="104"/>
        <v>10</v>
      </c>
      <c r="P3387" s="19">
        <f t="shared" si="105"/>
        <v>2024</v>
      </c>
      <c r="Q33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87" s="19" t="str">
        <f>TEXT(Planning[[#This Row],[Mes]]*29,"mmmm")</f>
        <v>October</v>
      </c>
      <c r="S33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87" s="228"/>
      <c r="U3387" s="43">
        <f>IF(Planning[[#This Row],[Horas Planificadas]]&lt;&gt;0,+K3387/Planning[[#This Row],[Horas Planificadas]],0)</f>
        <v>0</v>
      </c>
      <c r="V3387" s="43">
        <f>IF(Planning[[#This Row],[Horas Planificadas]]&lt;&gt;0,Planning[[#This Row],[Horas utilizadas]]/Planning[[#This Row],[Horas Planificadas]],0)</f>
        <v>0</v>
      </c>
      <c r="W3387" s="44">
        <f>Planning[[#This Row],[Horas Planificadas]]+Planning[[#This Row],[Horas ajustadas adicionales]]</f>
        <v>0</v>
      </c>
      <c r="X3387" s="142"/>
    </row>
    <row r="3388" spans="1:24" ht="12.75" customHeight="1" x14ac:dyDescent="0.2">
      <c r="A3388" s="7"/>
      <c r="B3388" s="7"/>
      <c r="C3388" s="3"/>
      <c r="D3388" s="3" t="s">
        <v>623</v>
      </c>
      <c r="E3388" s="4"/>
      <c r="F3388" s="3" t="s">
        <v>127</v>
      </c>
      <c r="G3388" s="9"/>
      <c r="H3388" s="9"/>
      <c r="I3388" s="12"/>
      <c r="J3388" s="5" t="e">
        <f>SUM(SUMIFS(#REF!,#REF!,Planning[[#This Row],[Tipo de Tarea y especialidad]],#REF!,Planning[[#This Row],[Proyectos Reiwa]]),SUMIFS(#REF!,#REF!,Planning[[#This Row],[Tipo de Tarea y especialidad]],#REF!,Planning[[#This Row],[Proyectos]]))</f>
        <v>#REF!</v>
      </c>
      <c r="K3388" s="5" t="e">
        <f>Planning[[#This Row],[Horas Planificadas]]+Planning[[#This Row],[Horas ajustadas adicionales]]-Planning[[#This Row],[Horas utilizadas]]</f>
        <v>#REF!</v>
      </c>
      <c r="L3388" s="7"/>
      <c r="M3388" s="19" t="e">
        <f>Planning[[#This Row],[Saldo]]-Planning[[#This Row],[Saldo estimado]]</f>
        <v>#REF!</v>
      </c>
      <c r="N3388" s="60" t="e">
        <f>+SUMIFS(#REF!,#REF!,Planning[[#This Row],[Proyectos]],#REF!,Planning[[#This Row],[Tipo de Tarea y especialidad]])</f>
        <v>#REF!</v>
      </c>
      <c r="O3388" s="19">
        <f t="shared" si="104"/>
        <v>10</v>
      </c>
      <c r="P3388" s="19">
        <f t="shared" si="105"/>
        <v>2024</v>
      </c>
      <c r="Q33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88" s="19" t="str">
        <f>TEXT(Planning[[#This Row],[Mes]]*29,"mmmm")</f>
        <v>October</v>
      </c>
      <c r="S33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88" s="228"/>
      <c r="U3388" s="43">
        <f>IF(Planning[[#This Row],[Horas Planificadas]]&lt;&gt;0,+K3388/Planning[[#This Row],[Horas Planificadas]],0)</f>
        <v>0</v>
      </c>
      <c r="V3388" s="43">
        <f>IF(Planning[[#This Row],[Horas Planificadas]]&lt;&gt;0,Planning[[#This Row],[Horas utilizadas]]/Planning[[#This Row],[Horas Planificadas]],0)</f>
        <v>0</v>
      </c>
      <c r="W3388" s="44">
        <f>Planning[[#This Row],[Horas Planificadas]]+Planning[[#This Row],[Horas ajustadas adicionales]]</f>
        <v>0</v>
      </c>
      <c r="X3388" s="142"/>
    </row>
    <row r="3389" spans="1:24" ht="12.75" customHeight="1" x14ac:dyDescent="0.2">
      <c r="A3389" s="7"/>
      <c r="B3389" s="7"/>
      <c r="C3389" s="3"/>
      <c r="D3389" s="3" t="s">
        <v>623</v>
      </c>
      <c r="E3389" s="4"/>
      <c r="F3389" s="3" t="s">
        <v>128</v>
      </c>
      <c r="G3389" s="9"/>
      <c r="H3389" s="9"/>
      <c r="I3389" s="12"/>
      <c r="J3389" s="5" t="e">
        <f>SUM(SUMIFS(#REF!,#REF!,Planning[[#This Row],[Tipo de Tarea y especialidad]],#REF!,Planning[[#This Row],[Proyectos Reiwa]]),SUMIFS(#REF!,#REF!,Planning[[#This Row],[Tipo de Tarea y especialidad]],#REF!,Planning[[#This Row],[Proyectos]]))</f>
        <v>#REF!</v>
      </c>
      <c r="K3389" s="5" t="e">
        <f>Planning[[#This Row],[Horas Planificadas]]+Planning[[#This Row],[Horas ajustadas adicionales]]-Planning[[#This Row],[Horas utilizadas]]</f>
        <v>#REF!</v>
      </c>
      <c r="L3389" s="7"/>
      <c r="M3389" s="19" t="e">
        <f>Planning[[#This Row],[Saldo]]-Planning[[#This Row],[Saldo estimado]]</f>
        <v>#REF!</v>
      </c>
      <c r="N3389" s="60" t="e">
        <f>+SUMIFS(#REF!,#REF!,Planning[[#This Row],[Proyectos]],#REF!,Planning[[#This Row],[Tipo de Tarea y especialidad]])</f>
        <v>#REF!</v>
      </c>
      <c r="O3389" s="19">
        <f t="shared" si="104"/>
        <v>10</v>
      </c>
      <c r="P3389" s="19">
        <f t="shared" si="105"/>
        <v>2024</v>
      </c>
      <c r="Q33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89" s="19" t="str">
        <f>TEXT(Planning[[#This Row],[Mes]]*29,"mmmm")</f>
        <v>October</v>
      </c>
      <c r="S33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89" s="228"/>
      <c r="U3389" s="43">
        <f>IF(Planning[[#This Row],[Horas Planificadas]]&lt;&gt;0,+K3389/Planning[[#This Row],[Horas Planificadas]],0)</f>
        <v>0</v>
      </c>
      <c r="V3389" s="43">
        <f>IF(Planning[[#This Row],[Horas Planificadas]]&lt;&gt;0,Planning[[#This Row],[Horas utilizadas]]/Planning[[#This Row],[Horas Planificadas]],0)</f>
        <v>0</v>
      </c>
      <c r="W3389" s="44">
        <f>Planning[[#This Row],[Horas Planificadas]]+Planning[[#This Row],[Horas ajustadas adicionales]]</f>
        <v>0</v>
      </c>
      <c r="X3389" s="142"/>
    </row>
    <row r="3390" spans="1:24" ht="12.75" customHeight="1" x14ac:dyDescent="0.2">
      <c r="A3390" s="7"/>
      <c r="B3390" s="7"/>
      <c r="C3390" s="3"/>
      <c r="D3390" s="3" t="s">
        <v>623</v>
      </c>
      <c r="E3390" s="4" t="s">
        <v>31</v>
      </c>
      <c r="F3390" s="3" t="s">
        <v>31</v>
      </c>
      <c r="G3390" s="9"/>
      <c r="H3390" s="17">
        <v>0</v>
      </c>
      <c r="I3390" s="18"/>
      <c r="J3390" s="14" t="e">
        <f>+SUMIFS(#REF!,#REF!,Planning[[#This Row],[Tarifa]],#REF!,Planning[[#This Row],[Proyectos]])</f>
        <v>#REF!</v>
      </c>
      <c r="K3390" s="14" t="e">
        <f>Planning[[#This Row],[Horas Planificadas]]+Planning[[#This Row],[Horas ajustadas adicionales]]-Planning[[#This Row],[Horas utilizadas]]</f>
        <v>#REF!</v>
      </c>
      <c r="L3390" s="15"/>
      <c r="M3390" s="16" t="e">
        <f>Planning[[#This Row],[Saldo]]-Planning[[#This Row],[Saldo estimado]]</f>
        <v>#REF!</v>
      </c>
      <c r="N3390" s="60" t="e">
        <f>+SUMIFS(#REF!,#REF!,Planning[[#This Row],[Proyectos]],#REF!,Planning[[#This Row],[Tipo de Tarea y especialidad]])</f>
        <v>#REF!</v>
      </c>
      <c r="O3390" s="16">
        <f t="shared" si="104"/>
        <v>10</v>
      </c>
      <c r="P3390" s="16">
        <f t="shared" si="105"/>
        <v>2024</v>
      </c>
      <c r="Q3390" s="16" t="e">
        <f>+SUMIFS(#REF!,#REF!,Planning[[#This Row],[Tarifa]],#REF!,Planning[[#This Row],[Proyectos]],#REF!,Planning[[#This Row],[Mes]],#REF!,Planning[[#This Row],[Año]])</f>
        <v>#REF!</v>
      </c>
      <c r="R3390" s="16" t="str">
        <f>TEXT(Planning[[#This Row],[Mes]]*29,"mmmm")</f>
        <v>October</v>
      </c>
      <c r="S33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90" s="228"/>
      <c r="U3390" s="43">
        <f>IF(Planning[[#This Row],[Horas Planificadas]]&lt;&gt;0,+K3390/Planning[[#This Row],[Horas Planificadas]],0)</f>
        <v>0</v>
      </c>
      <c r="V3390" s="43">
        <f>IF(Planning[[#This Row],[Horas Planificadas]]&lt;&gt;0,Planning[[#This Row],[Horas utilizadas]]/Planning[[#This Row],[Horas Planificadas]],0)</f>
        <v>0</v>
      </c>
      <c r="W3390" s="44">
        <f>Planning[[#This Row],[Horas Planificadas]]+Planning[[#This Row],[Horas ajustadas adicionales]]</f>
        <v>0</v>
      </c>
      <c r="X3390" s="142"/>
    </row>
    <row r="3391" spans="1:24" ht="12.75" customHeight="1" x14ac:dyDescent="0.2">
      <c r="A3391" s="7"/>
      <c r="B3391" s="7"/>
      <c r="C3391" s="3"/>
      <c r="D3391" s="3" t="s">
        <v>623</v>
      </c>
      <c r="E3391" s="4" t="s">
        <v>32</v>
      </c>
      <c r="F3391" s="3"/>
      <c r="G3391" s="9"/>
      <c r="H3391" s="14">
        <f>SUM(H3392:H3394)</f>
        <v>0</v>
      </c>
      <c r="I3391" s="14"/>
      <c r="J3391" s="14" t="e">
        <f>SUM(J3392:J3394)</f>
        <v>#REF!</v>
      </c>
      <c r="K3391" s="15" t="e">
        <f>SUM(K3392:K3394)</f>
        <v>#REF!</v>
      </c>
      <c r="L3391" s="15">
        <f>SUM(L3392:L3394)</f>
        <v>0</v>
      </c>
      <c r="M3391" s="16" t="e">
        <f>SUM(M3392:M3394)</f>
        <v>#REF!</v>
      </c>
      <c r="N3391" s="60" t="e">
        <f>+SUMIFS(#REF!,#REF!,Planning[[#This Row],[Proyectos]],#REF!,Planning[[#This Row],[Tipo de Tarea y especialidad]])</f>
        <v>#REF!</v>
      </c>
      <c r="O3391" s="16">
        <f t="shared" si="104"/>
        <v>10</v>
      </c>
      <c r="P3391" s="16">
        <f t="shared" si="105"/>
        <v>2024</v>
      </c>
      <c r="Q3391" s="16" t="e">
        <f>SUM(Q3392:Q3394)</f>
        <v>#REF!</v>
      </c>
      <c r="R3391" s="16" t="str">
        <f>TEXT(Planning[[#This Row],[Mes]]*29,"mmmm")</f>
        <v>October</v>
      </c>
      <c r="S33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91" s="228"/>
      <c r="U3391" s="43">
        <f>IF(Planning[[#This Row],[Horas Planificadas]]&lt;&gt;0,+K3391/Planning[[#This Row],[Horas Planificadas]],0)</f>
        <v>0</v>
      </c>
      <c r="V3391" s="43">
        <f>IF(Planning[[#This Row],[Horas Planificadas]]&lt;&gt;0,Planning[[#This Row],[Horas utilizadas]]/Planning[[#This Row],[Horas Planificadas]],0)</f>
        <v>0</v>
      </c>
      <c r="W3391" s="44">
        <f>Planning[[#This Row],[Horas Planificadas]]+Planning[[#This Row],[Horas ajustadas adicionales]]</f>
        <v>0</v>
      </c>
      <c r="X3391" s="142"/>
    </row>
    <row r="3392" spans="1:24" ht="12.75" customHeight="1" x14ac:dyDescent="0.2">
      <c r="A3392" s="7"/>
      <c r="B3392" s="7"/>
      <c r="C3392" s="3"/>
      <c r="D3392" s="3" t="s">
        <v>623</v>
      </c>
      <c r="E3392" s="4"/>
      <c r="F3392" s="3" t="s">
        <v>129</v>
      </c>
      <c r="G3392" s="9"/>
      <c r="H3392" s="9"/>
      <c r="I3392" s="12"/>
      <c r="J3392" s="5" t="e">
        <f>SUM(SUMIFS(#REF!,#REF!,Planning[[#This Row],[Tipo de Tarea y especialidad]],#REF!,Planning[[#This Row],[Proyectos Reiwa]]),SUMIFS(#REF!,#REF!,Planning[[#This Row],[Tipo de Tarea y especialidad]],#REF!,Planning[[#This Row],[Proyectos]]))</f>
        <v>#REF!</v>
      </c>
      <c r="K3392" s="5" t="e">
        <f>Planning[[#This Row],[Horas Planificadas]]+Planning[[#This Row],[Horas ajustadas adicionales]]-Planning[[#This Row],[Horas utilizadas]]</f>
        <v>#REF!</v>
      </c>
      <c r="L3392" s="7"/>
      <c r="M3392" s="19" t="e">
        <f>Planning[[#This Row],[Saldo]]-Planning[[#This Row],[Saldo estimado]]</f>
        <v>#REF!</v>
      </c>
      <c r="N3392" s="60" t="e">
        <f>+SUMIFS(#REF!,#REF!,Planning[[#This Row],[Proyectos]],#REF!,Planning[[#This Row],[Tipo de Tarea y especialidad]])</f>
        <v>#REF!</v>
      </c>
      <c r="O3392" s="19">
        <f t="shared" si="104"/>
        <v>10</v>
      </c>
      <c r="P3392" s="19">
        <f t="shared" si="105"/>
        <v>2024</v>
      </c>
      <c r="Q33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92" s="19" t="str">
        <f>TEXT(Planning[[#This Row],[Mes]]*29,"mmmm")</f>
        <v>October</v>
      </c>
      <c r="S33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92" s="228"/>
      <c r="U3392" s="43">
        <f>IF(Planning[[#This Row],[Horas Planificadas]]&lt;&gt;0,+K3392/Planning[[#This Row],[Horas Planificadas]],0)</f>
        <v>0</v>
      </c>
      <c r="V3392" s="43">
        <f>IF(Planning[[#This Row],[Horas Planificadas]]&lt;&gt;0,Planning[[#This Row],[Horas utilizadas]]/Planning[[#This Row],[Horas Planificadas]],0)</f>
        <v>0</v>
      </c>
      <c r="W3392" s="44">
        <f>Planning[[#This Row],[Horas Planificadas]]+Planning[[#This Row],[Horas ajustadas adicionales]]</f>
        <v>0</v>
      </c>
      <c r="X3392" s="142"/>
    </row>
    <row r="3393" spans="1:24" ht="12.75" customHeight="1" x14ac:dyDescent="0.2">
      <c r="A3393" s="7"/>
      <c r="B3393" s="7"/>
      <c r="C3393" s="3"/>
      <c r="D3393" s="3" t="s">
        <v>623</v>
      </c>
      <c r="E3393" s="4"/>
      <c r="F3393" s="3" t="s">
        <v>130</v>
      </c>
      <c r="G3393" s="9"/>
      <c r="H3393" s="9"/>
      <c r="I3393" s="12"/>
      <c r="J3393" s="5" t="e">
        <f>SUM(SUMIFS(#REF!,#REF!,Planning[[#This Row],[Tipo de Tarea y especialidad]],#REF!,Planning[[#This Row],[Proyectos Reiwa]]),SUMIFS(#REF!,#REF!,Planning[[#This Row],[Tipo de Tarea y especialidad]],#REF!,Planning[[#This Row],[Proyectos]]))</f>
        <v>#REF!</v>
      </c>
      <c r="K3393" s="5" t="e">
        <f>Planning[[#This Row],[Horas Planificadas]]+Planning[[#This Row],[Horas ajustadas adicionales]]-Planning[[#This Row],[Horas utilizadas]]</f>
        <v>#REF!</v>
      </c>
      <c r="L3393" s="7"/>
      <c r="M3393" s="19" t="e">
        <f>Planning[[#This Row],[Saldo]]-Planning[[#This Row],[Saldo estimado]]</f>
        <v>#REF!</v>
      </c>
      <c r="N3393" s="60" t="e">
        <f>+SUMIFS(#REF!,#REF!,Planning[[#This Row],[Proyectos]],#REF!,Planning[[#This Row],[Tipo de Tarea y especialidad]])</f>
        <v>#REF!</v>
      </c>
      <c r="O3393" s="19">
        <f t="shared" si="104"/>
        <v>10</v>
      </c>
      <c r="P3393" s="19">
        <f t="shared" si="105"/>
        <v>2024</v>
      </c>
      <c r="Q33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93" s="19" t="str">
        <f>TEXT(Planning[[#This Row],[Mes]]*29,"mmmm")</f>
        <v>October</v>
      </c>
      <c r="S33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93" s="228"/>
      <c r="U3393" s="43">
        <f>IF(Planning[[#This Row],[Horas Planificadas]]&lt;&gt;0,+K3393/Planning[[#This Row],[Horas Planificadas]],0)</f>
        <v>0</v>
      </c>
      <c r="V3393" s="43">
        <f>IF(Planning[[#This Row],[Horas Planificadas]]&lt;&gt;0,Planning[[#This Row],[Horas utilizadas]]/Planning[[#This Row],[Horas Planificadas]],0)</f>
        <v>0</v>
      </c>
      <c r="W3393" s="44">
        <f>Planning[[#This Row],[Horas Planificadas]]+Planning[[#This Row],[Horas ajustadas adicionales]]</f>
        <v>0</v>
      </c>
      <c r="X3393" s="142"/>
    </row>
    <row r="3394" spans="1:24" ht="12.75" customHeight="1" x14ac:dyDescent="0.2">
      <c r="A3394" s="7"/>
      <c r="B3394" s="7"/>
      <c r="C3394" s="3"/>
      <c r="D3394" s="3" t="s">
        <v>623</v>
      </c>
      <c r="E3394" s="4"/>
      <c r="F3394" s="3" t="s">
        <v>131</v>
      </c>
      <c r="G3394" s="9"/>
      <c r="H3394" s="9"/>
      <c r="I3394" s="12"/>
      <c r="J3394" s="5" t="e">
        <f>SUM(SUMIFS(#REF!,#REF!,Planning[[#This Row],[Tipo de Tarea y especialidad]],#REF!,Planning[[#This Row],[Proyectos Reiwa]]),SUMIFS(#REF!,#REF!,Planning[[#This Row],[Tipo de Tarea y especialidad]],#REF!,Planning[[#This Row],[Proyectos]]))</f>
        <v>#REF!</v>
      </c>
      <c r="K3394" s="5" t="e">
        <f>Planning[[#This Row],[Horas Planificadas]]+Planning[[#This Row],[Horas ajustadas adicionales]]-Planning[[#This Row],[Horas utilizadas]]</f>
        <v>#REF!</v>
      </c>
      <c r="L3394" s="7"/>
      <c r="M3394" s="19" t="e">
        <f>Planning[[#This Row],[Saldo]]-Planning[[#This Row],[Saldo estimado]]</f>
        <v>#REF!</v>
      </c>
      <c r="N3394" s="60" t="e">
        <f>+SUMIFS(#REF!,#REF!,Planning[[#This Row],[Proyectos]],#REF!,Planning[[#This Row],[Tipo de Tarea y especialidad]])</f>
        <v>#REF!</v>
      </c>
      <c r="O3394" s="19">
        <f t="shared" si="104"/>
        <v>10</v>
      </c>
      <c r="P3394" s="19">
        <f t="shared" si="105"/>
        <v>2024</v>
      </c>
      <c r="Q33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94" s="19" t="str">
        <f>TEXT(Planning[[#This Row],[Mes]]*29,"mmmm")</f>
        <v>October</v>
      </c>
      <c r="S33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94" s="228"/>
      <c r="U3394" s="43">
        <f>IF(Planning[[#This Row],[Horas Planificadas]]&lt;&gt;0,+K3394/Planning[[#This Row],[Horas Planificadas]],0)</f>
        <v>0</v>
      </c>
      <c r="V3394" s="43">
        <f>IF(Planning[[#This Row],[Horas Planificadas]]&lt;&gt;0,Planning[[#This Row],[Horas utilizadas]]/Planning[[#This Row],[Horas Planificadas]],0)</f>
        <v>0</v>
      </c>
      <c r="W3394" s="44">
        <f>Planning[[#This Row],[Horas Planificadas]]+Planning[[#This Row],[Horas ajustadas adicionales]]</f>
        <v>0</v>
      </c>
      <c r="X3394" s="142"/>
    </row>
    <row r="3395" spans="1:24" ht="12.75" customHeight="1" x14ac:dyDescent="0.2">
      <c r="A3395" s="7" t="s">
        <v>204</v>
      </c>
      <c r="B3395" s="7" t="s">
        <v>169</v>
      </c>
      <c r="C3395" s="3"/>
      <c r="D3395" s="3" t="s">
        <v>624</v>
      </c>
      <c r="E3395" s="4" t="s">
        <v>28</v>
      </c>
      <c r="F3395" s="3"/>
      <c r="G3395" s="9"/>
      <c r="H3395" s="14">
        <f>SUM(H3396:H3397)</f>
        <v>270</v>
      </c>
      <c r="I3395" s="14"/>
      <c r="J3395" s="14" t="e">
        <f>SUM(J3396:J3397)</f>
        <v>#REF!</v>
      </c>
      <c r="K3395" s="15" t="e">
        <f>SUM(K3396:K3397)</f>
        <v>#REF!</v>
      </c>
      <c r="L3395" s="15">
        <f>SUM(L3396:L3397)</f>
        <v>104</v>
      </c>
      <c r="M3395" s="14" t="e">
        <f>SUM(M3396:M3397)</f>
        <v>#REF!</v>
      </c>
      <c r="N3395" s="66" t="e">
        <f>+SUMIFS(#REF!,#REF!,Planning[[#This Row],[Proyectos]],#REF!,Planning[[#This Row],[Tipo de Tarea y especialidad]])</f>
        <v>#REF!</v>
      </c>
      <c r="O3395" s="14">
        <f t="shared" si="104"/>
        <v>10</v>
      </c>
      <c r="P3395" s="14">
        <f t="shared" si="105"/>
        <v>2024</v>
      </c>
      <c r="Q3395" s="28" t="e">
        <f>SUM(Q3396:Q3397)</f>
        <v>#REF!</v>
      </c>
      <c r="R3395" s="14" t="str">
        <f>TEXT(Planning[[#This Row],[Mes]]*29,"mmmm")</f>
        <v>October</v>
      </c>
      <c r="S339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95" s="251" t="s">
        <v>625</v>
      </c>
      <c r="U3395" s="43" t="e">
        <f>IF(Planning[[#This Row],[Horas Planificadas]]&lt;&gt;0,+K3395/Planning[[#This Row],[Horas Planificadas]],0)</f>
        <v>#REF!</v>
      </c>
      <c r="V3395" s="43" t="e">
        <f>IF(Planning[[#This Row],[Horas Planificadas]]&lt;&gt;0,Planning[[#This Row],[Horas utilizadas]]/Planning[[#This Row],[Horas Planificadas]],0)</f>
        <v>#REF!</v>
      </c>
      <c r="W3395" s="44">
        <f>Planning[[#This Row],[Horas Planificadas]]+Planning[[#This Row],[Horas ajustadas adicionales]]</f>
        <v>270</v>
      </c>
      <c r="X3395" s="142"/>
    </row>
    <row r="3396" spans="1:24" ht="12.75" customHeight="1" x14ac:dyDescent="0.2">
      <c r="A3396" s="7" t="s">
        <v>204</v>
      </c>
      <c r="B3396" s="7" t="s">
        <v>169</v>
      </c>
      <c r="C3396" s="3"/>
      <c r="D3396" s="3" t="s">
        <v>624</v>
      </c>
      <c r="E3396" s="4"/>
      <c r="F3396" s="3" t="s">
        <v>120</v>
      </c>
      <c r="G3396" s="9"/>
      <c r="H3396" s="9"/>
      <c r="I3396" s="12"/>
      <c r="J3396" s="5" t="e">
        <f>SUM(SUMIFS(#REF!,#REF!,Planning[[#This Row],[Tipo de Tarea y especialidad]],#REF!,Planning[[#This Row],[Proyectos Reiwa]]),SUMIFS(#REF!,#REF!,Planning[[#This Row],[Tipo de Tarea y especialidad]],#REF!,Planning[[#This Row],[Proyectos]]))</f>
        <v>#REF!</v>
      </c>
      <c r="K3396" s="5" t="e">
        <f>Planning[[#This Row],[Horas Planificadas]]+Planning[[#This Row],[Horas ajustadas adicionales]]-Planning[[#This Row],[Horas utilizadas]]</f>
        <v>#REF!</v>
      </c>
      <c r="L3396" s="7">
        <v>0</v>
      </c>
      <c r="M3396" s="19" t="e">
        <f>Planning[[#This Row],[Saldo]]-Planning[[#This Row],[Saldo estimado]]</f>
        <v>#REF!</v>
      </c>
      <c r="N3396" s="60" t="e">
        <f>+SUMIFS(#REF!,#REF!,Planning[[#This Row],[Proyectos]],#REF!,Planning[[#This Row],[Tipo de Tarea y especialidad]])</f>
        <v>#REF!</v>
      </c>
      <c r="O3396" s="19">
        <f t="shared" si="104"/>
        <v>10</v>
      </c>
      <c r="P3396" s="19">
        <f t="shared" si="105"/>
        <v>2024</v>
      </c>
      <c r="Q33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96" s="34" t="str">
        <f>TEXT(Planning[[#This Row],[Mes]]*29,"mmmm")</f>
        <v>October</v>
      </c>
      <c r="S339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96" s="252"/>
      <c r="U3396" s="43">
        <f>IF(Planning[[#This Row],[Horas Planificadas]]&lt;&gt;0,+K3396/Planning[[#This Row],[Horas Planificadas]],0)</f>
        <v>0</v>
      </c>
      <c r="V3396" s="43">
        <f>IF(Planning[[#This Row],[Horas Planificadas]]&lt;&gt;0,Planning[[#This Row],[Horas utilizadas]]/Planning[[#This Row],[Horas Planificadas]],0)</f>
        <v>0</v>
      </c>
      <c r="W3396" s="44">
        <f>Planning[[#This Row],[Horas Planificadas]]+Planning[[#This Row],[Horas ajustadas adicionales]]</f>
        <v>0</v>
      </c>
      <c r="X3396" s="142"/>
    </row>
    <row r="3397" spans="1:24" ht="12.75" customHeight="1" x14ac:dyDescent="0.2">
      <c r="A3397" s="7" t="s">
        <v>204</v>
      </c>
      <c r="B3397" s="7" t="s">
        <v>169</v>
      </c>
      <c r="C3397" s="3"/>
      <c r="D3397" s="3" t="s">
        <v>624</v>
      </c>
      <c r="E3397" s="4"/>
      <c r="F3397" s="3" t="s">
        <v>121</v>
      </c>
      <c r="G3397" s="9">
        <v>270</v>
      </c>
      <c r="H3397" s="9">
        <v>270</v>
      </c>
      <c r="I3397" s="12"/>
      <c r="J3397" s="5" t="e">
        <f>SUM(SUMIFS(#REF!,#REF!,Planning[[#This Row],[Tipo de Tarea y especialidad]],#REF!,Planning[[#This Row],[Proyectos Reiwa]]),SUMIFS(#REF!,#REF!,Planning[[#This Row],[Tipo de Tarea y especialidad]],#REF!,Planning[[#This Row],[Proyectos]]))</f>
        <v>#REF!</v>
      </c>
      <c r="K3397" s="5" t="e">
        <f>Planning[[#This Row],[Horas Planificadas]]+Planning[[#This Row],[Horas ajustadas adicionales]]-Planning[[#This Row],[Horas utilizadas]]</f>
        <v>#REF!</v>
      </c>
      <c r="L3397" s="7">
        <v>104</v>
      </c>
      <c r="M3397" s="19" t="e">
        <f>Planning[[#This Row],[Saldo]]-Planning[[#This Row],[Saldo estimado]]</f>
        <v>#REF!</v>
      </c>
      <c r="N3397" s="60" t="e">
        <f>+SUMIFS(#REF!,#REF!,Planning[[#This Row],[Proyectos]],#REF!,Planning[[#This Row],[Tipo de Tarea y especialidad]])</f>
        <v>#REF!</v>
      </c>
      <c r="O3397" s="19">
        <f t="shared" si="104"/>
        <v>10</v>
      </c>
      <c r="P3397" s="19">
        <f t="shared" si="105"/>
        <v>2024</v>
      </c>
      <c r="Q33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97" s="34" t="str">
        <f>TEXT(Planning[[#This Row],[Mes]]*29,"mmmm")</f>
        <v>October</v>
      </c>
      <c r="S339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97" s="252"/>
      <c r="U3397" s="43" t="e">
        <f>IF(Planning[[#This Row],[Horas Planificadas]]&lt;&gt;0,+K3397/Planning[[#This Row],[Horas Planificadas]],0)</f>
        <v>#REF!</v>
      </c>
      <c r="V3397" s="43" t="e">
        <f>IF(Planning[[#This Row],[Horas Planificadas]]&lt;&gt;0,Planning[[#This Row],[Horas utilizadas]]/Planning[[#This Row],[Horas Planificadas]],0)</f>
        <v>#REF!</v>
      </c>
      <c r="W3397" s="44">
        <f>Planning[[#This Row],[Horas Planificadas]]+Planning[[#This Row],[Horas ajustadas adicionales]]</f>
        <v>270</v>
      </c>
      <c r="X3397" s="142"/>
    </row>
    <row r="3398" spans="1:24" ht="12.75" customHeight="1" x14ac:dyDescent="0.2">
      <c r="A3398" s="7" t="s">
        <v>204</v>
      </c>
      <c r="B3398" s="7" t="s">
        <v>169</v>
      </c>
      <c r="C3398" s="3"/>
      <c r="D3398" s="3" t="s">
        <v>624</v>
      </c>
      <c r="E3398" s="4" t="s">
        <v>30</v>
      </c>
      <c r="F3398" s="3"/>
      <c r="G3398" s="9"/>
      <c r="H3398" s="14">
        <f>SUM(H3399:H3405)</f>
        <v>630</v>
      </c>
      <c r="I3398" s="14"/>
      <c r="J3398" s="14" t="e">
        <f>SUM(J3399:J3405)</f>
        <v>#REF!</v>
      </c>
      <c r="K3398" s="15" t="e">
        <f>SUM(K3399:K3405)</f>
        <v>#REF!</v>
      </c>
      <c r="L3398" s="15">
        <f>SUM(L3399:L3405)</f>
        <v>49</v>
      </c>
      <c r="M3398" s="16" t="e">
        <f>SUM(M3399:M3405)</f>
        <v>#REF!</v>
      </c>
      <c r="N3398" s="60" t="e">
        <f>+SUMIFS(#REF!,#REF!,Planning[[#This Row],[Proyectos]],#REF!,Planning[[#This Row],[Tipo de Tarea y especialidad]])</f>
        <v>#REF!</v>
      </c>
      <c r="O3398" s="16">
        <f t="shared" si="104"/>
        <v>10</v>
      </c>
      <c r="P3398" s="16">
        <f t="shared" si="105"/>
        <v>2024</v>
      </c>
      <c r="Q3398" s="16" t="e">
        <f>SUM(Q3399:Q3405)</f>
        <v>#REF!</v>
      </c>
      <c r="R3398" s="35" t="str">
        <f>TEXT(Planning[[#This Row],[Mes]]*29,"mmmm")</f>
        <v>October</v>
      </c>
      <c r="S339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98" s="252"/>
      <c r="U3398" s="43" t="e">
        <f>IF(Planning[[#This Row],[Horas Planificadas]]&lt;&gt;0,+K3398/Planning[[#This Row],[Horas Planificadas]],0)</f>
        <v>#REF!</v>
      </c>
      <c r="V3398" s="43" t="e">
        <f>IF(Planning[[#This Row],[Horas Planificadas]]&lt;&gt;0,Planning[[#This Row],[Horas utilizadas]]/Planning[[#This Row],[Horas Planificadas]],0)</f>
        <v>#REF!</v>
      </c>
      <c r="W3398" s="44">
        <f>Planning[[#This Row],[Horas Planificadas]]+Planning[[#This Row],[Horas ajustadas adicionales]]</f>
        <v>630</v>
      </c>
      <c r="X3398" s="142"/>
    </row>
    <row r="3399" spans="1:24" ht="12.75" customHeight="1" x14ac:dyDescent="0.2">
      <c r="A3399" s="7" t="s">
        <v>204</v>
      </c>
      <c r="B3399" s="7" t="s">
        <v>169</v>
      </c>
      <c r="C3399" s="3"/>
      <c r="D3399" s="3" t="s">
        <v>624</v>
      </c>
      <c r="E3399" s="4"/>
      <c r="F3399" s="3" t="s">
        <v>122</v>
      </c>
      <c r="G3399" s="9">
        <v>207</v>
      </c>
      <c r="H3399" s="9">
        <v>162</v>
      </c>
      <c r="I3399" s="12"/>
      <c r="J3399" s="5" t="e">
        <f>SUM(SUMIFS(#REF!,#REF!,Planning[[#This Row],[Tipo de Tarea y especialidad]],#REF!,Planning[[#This Row],[Proyectos Reiwa]]),SUMIFS(#REF!,#REF!,Planning[[#This Row],[Tipo de Tarea y especialidad]],#REF!,Planning[[#This Row],[Proyectos]]))</f>
        <v>#REF!</v>
      </c>
      <c r="K3399" s="5" t="e">
        <f>Planning[[#This Row],[Horas Planificadas]]+Planning[[#This Row],[Horas ajustadas adicionales]]-Planning[[#This Row],[Horas utilizadas]]</f>
        <v>#REF!</v>
      </c>
      <c r="L3399" s="7">
        <v>0</v>
      </c>
      <c r="M3399" s="19" t="e">
        <f>Planning[[#This Row],[Saldo]]-Planning[[#This Row],[Saldo estimado]]</f>
        <v>#REF!</v>
      </c>
      <c r="N3399" s="60" t="e">
        <f>+SUMIFS(#REF!,#REF!,Planning[[#This Row],[Proyectos]],#REF!,Planning[[#This Row],[Tipo de Tarea y especialidad]])</f>
        <v>#REF!</v>
      </c>
      <c r="O3399" s="19">
        <f t="shared" ref="O3399:O3462" si="106">$L$4</f>
        <v>10</v>
      </c>
      <c r="P3399" s="19">
        <f t="shared" ref="P3399:P3462" si="107">$M$4</f>
        <v>2024</v>
      </c>
      <c r="Q33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399" s="34" t="str">
        <f>TEXT(Planning[[#This Row],[Mes]]*29,"mmmm")</f>
        <v>October</v>
      </c>
      <c r="S339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399" s="252"/>
      <c r="U3399" s="43" t="e">
        <f>IF(Planning[[#This Row],[Horas Planificadas]]&lt;&gt;0,+K3399/Planning[[#This Row],[Horas Planificadas]],0)</f>
        <v>#REF!</v>
      </c>
      <c r="V3399" s="43" t="e">
        <f>IF(Planning[[#This Row],[Horas Planificadas]]&lt;&gt;0,Planning[[#This Row],[Horas utilizadas]]/Planning[[#This Row],[Horas Planificadas]],0)</f>
        <v>#REF!</v>
      </c>
      <c r="W3399" s="44">
        <f>Planning[[#This Row],[Horas Planificadas]]+Planning[[#This Row],[Horas ajustadas adicionales]]</f>
        <v>162</v>
      </c>
      <c r="X3399" s="142"/>
    </row>
    <row r="3400" spans="1:24" ht="12.75" customHeight="1" x14ac:dyDescent="0.2">
      <c r="A3400" s="7" t="s">
        <v>204</v>
      </c>
      <c r="B3400" s="7" t="s">
        <v>169</v>
      </c>
      <c r="C3400" s="3"/>
      <c r="D3400" s="3" t="s">
        <v>624</v>
      </c>
      <c r="E3400" s="4"/>
      <c r="F3400" s="3" t="s">
        <v>123</v>
      </c>
      <c r="G3400" s="9">
        <v>333</v>
      </c>
      <c r="H3400" s="9">
        <v>243</v>
      </c>
      <c r="I3400" s="12"/>
      <c r="J3400" s="5" t="e">
        <f>SUM(SUMIFS(#REF!,#REF!,Planning[[#This Row],[Tipo de Tarea y especialidad]],#REF!,Planning[[#This Row],[Proyectos Reiwa]]),SUMIFS(#REF!,#REF!,Planning[[#This Row],[Tipo de Tarea y especialidad]],#REF!,Planning[[#This Row],[Proyectos]]))</f>
        <v>#REF!</v>
      </c>
      <c r="K3400" s="5" t="e">
        <f>Planning[[#This Row],[Horas Planificadas]]+Planning[[#This Row],[Horas ajustadas adicionales]]-Planning[[#This Row],[Horas utilizadas]]</f>
        <v>#REF!</v>
      </c>
      <c r="L3400" s="7">
        <v>18</v>
      </c>
      <c r="M3400" s="19" t="e">
        <f>Planning[[#This Row],[Saldo]]-Planning[[#This Row],[Saldo estimado]]</f>
        <v>#REF!</v>
      </c>
      <c r="N3400" s="60" t="e">
        <f>+SUMIFS(#REF!,#REF!,Planning[[#This Row],[Proyectos]],#REF!,Planning[[#This Row],[Tipo de Tarea y especialidad]])</f>
        <v>#REF!</v>
      </c>
      <c r="O3400" s="19">
        <f t="shared" si="106"/>
        <v>10</v>
      </c>
      <c r="P3400" s="19">
        <f t="shared" si="107"/>
        <v>2024</v>
      </c>
      <c r="Q34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00" s="34" t="str">
        <f>TEXT(Planning[[#This Row],[Mes]]*29,"mmmm")</f>
        <v>October</v>
      </c>
      <c r="S340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00" s="252"/>
      <c r="U3400" s="43" t="e">
        <f>IF(Planning[[#This Row],[Horas Planificadas]]&lt;&gt;0,+K3400/Planning[[#This Row],[Horas Planificadas]],0)</f>
        <v>#REF!</v>
      </c>
      <c r="V3400" s="43" t="e">
        <f>IF(Planning[[#This Row],[Horas Planificadas]]&lt;&gt;0,Planning[[#This Row],[Horas utilizadas]]/Planning[[#This Row],[Horas Planificadas]],0)</f>
        <v>#REF!</v>
      </c>
      <c r="W3400" s="44">
        <f>Planning[[#This Row],[Horas Planificadas]]+Planning[[#This Row],[Horas ajustadas adicionales]]</f>
        <v>243</v>
      </c>
      <c r="X3400" s="142"/>
    </row>
    <row r="3401" spans="1:24" ht="12.75" customHeight="1" x14ac:dyDescent="0.2">
      <c r="A3401" s="7" t="s">
        <v>204</v>
      </c>
      <c r="B3401" s="7" t="s">
        <v>169</v>
      </c>
      <c r="C3401" s="3"/>
      <c r="D3401" s="3" t="s">
        <v>624</v>
      </c>
      <c r="E3401" s="4"/>
      <c r="F3401" s="3" t="s">
        <v>124</v>
      </c>
      <c r="G3401" s="9"/>
      <c r="H3401" s="9"/>
      <c r="I3401" s="12"/>
      <c r="J3401" s="5" t="e">
        <f>SUM(SUMIFS(#REF!,#REF!,Planning[[#This Row],[Tipo de Tarea y especialidad]],#REF!,Planning[[#This Row],[Proyectos Reiwa]]),SUMIFS(#REF!,#REF!,Planning[[#This Row],[Tipo de Tarea y especialidad]],#REF!,Planning[[#This Row],[Proyectos]]))</f>
        <v>#REF!</v>
      </c>
      <c r="K3401" s="5" t="e">
        <f>Planning[[#This Row],[Horas Planificadas]]+Planning[[#This Row],[Horas ajustadas adicionales]]-Planning[[#This Row],[Horas utilizadas]]</f>
        <v>#REF!</v>
      </c>
      <c r="L3401" s="7">
        <v>0</v>
      </c>
      <c r="M3401" s="19" t="e">
        <f>Planning[[#This Row],[Saldo]]-Planning[[#This Row],[Saldo estimado]]</f>
        <v>#REF!</v>
      </c>
      <c r="N3401" s="60" t="e">
        <f>+SUMIFS(#REF!,#REF!,Planning[[#This Row],[Proyectos]],#REF!,Planning[[#This Row],[Tipo de Tarea y especialidad]])</f>
        <v>#REF!</v>
      </c>
      <c r="O3401" s="19">
        <f t="shared" si="106"/>
        <v>10</v>
      </c>
      <c r="P3401" s="19">
        <f t="shared" si="107"/>
        <v>2024</v>
      </c>
      <c r="Q34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01" s="34" t="str">
        <f>TEXT(Planning[[#This Row],[Mes]]*29,"mmmm")</f>
        <v>October</v>
      </c>
      <c r="S340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01" s="252"/>
      <c r="U3401" s="43">
        <f>IF(Planning[[#This Row],[Horas Planificadas]]&lt;&gt;0,+K3401/Planning[[#This Row],[Horas Planificadas]],0)</f>
        <v>0</v>
      </c>
      <c r="V3401" s="43">
        <f>IF(Planning[[#This Row],[Horas Planificadas]]&lt;&gt;0,Planning[[#This Row],[Horas utilizadas]]/Planning[[#This Row],[Horas Planificadas]],0)</f>
        <v>0</v>
      </c>
      <c r="W3401" s="44">
        <f>Planning[[#This Row],[Horas Planificadas]]+Planning[[#This Row],[Horas ajustadas adicionales]]</f>
        <v>0</v>
      </c>
      <c r="X3401" s="142"/>
    </row>
    <row r="3402" spans="1:24" ht="12.75" customHeight="1" x14ac:dyDescent="0.2">
      <c r="A3402" s="7" t="s">
        <v>204</v>
      </c>
      <c r="B3402" s="7" t="s">
        <v>169</v>
      </c>
      <c r="C3402" s="3"/>
      <c r="D3402" s="3" t="s">
        <v>624</v>
      </c>
      <c r="E3402" s="4"/>
      <c r="F3402" s="3" t="s">
        <v>125</v>
      </c>
      <c r="G3402" s="9"/>
      <c r="H3402" s="9">
        <v>90</v>
      </c>
      <c r="I3402" s="12"/>
      <c r="J3402" s="5" t="e">
        <f>SUM(SUMIFS(#REF!,#REF!,Planning[[#This Row],[Tipo de Tarea y especialidad]],#REF!,Planning[[#This Row],[Proyectos Reiwa]]),SUMIFS(#REF!,#REF!,Planning[[#This Row],[Tipo de Tarea y especialidad]],#REF!,Planning[[#This Row],[Proyectos]]))</f>
        <v>#REF!</v>
      </c>
      <c r="K3402" s="5" t="e">
        <f>Planning[[#This Row],[Horas Planificadas]]+Planning[[#This Row],[Horas ajustadas adicionales]]-Planning[[#This Row],[Horas utilizadas]]</f>
        <v>#REF!</v>
      </c>
      <c r="L3402" s="7">
        <v>27</v>
      </c>
      <c r="M3402" s="19" t="e">
        <f>Planning[[#This Row],[Saldo]]-Planning[[#This Row],[Saldo estimado]]</f>
        <v>#REF!</v>
      </c>
      <c r="N3402" s="60" t="e">
        <f>+SUMIFS(#REF!,#REF!,Planning[[#This Row],[Proyectos]],#REF!,Planning[[#This Row],[Tipo de Tarea y especialidad]])</f>
        <v>#REF!</v>
      </c>
      <c r="O3402" s="19">
        <f t="shared" si="106"/>
        <v>10</v>
      </c>
      <c r="P3402" s="19">
        <f t="shared" si="107"/>
        <v>2024</v>
      </c>
      <c r="Q34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02" s="34" t="str">
        <f>TEXT(Planning[[#This Row],[Mes]]*29,"mmmm")</f>
        <v>October</v>
      </c>
      <c r="S340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02" s="252"/>
      <c r="U3402" s="43" t="e">
        <f>IF(Planning[[#This Row],[Horas Planificadas]]&lt;&gt;0,+K3402/Planning[[#This Row],[Horas Planificadas]],0)</f>
        <v>#REF!</v>
      </c>
      <c r="V3402" s="43" t="e">
        <f>IF(Planning[[#This Row],[Horas Planificadas]]&lt;&gt;0,Planning[[#This Row],[Horas utilizadas]]/Planning[[#This Row],[Horas Planificadas]],0)</f>
        <v>#REF!</v>
      </c>
      <c r="W3402" s="44">
        <f>Planning[[#This Row],[Horas Planificadas]]+Planning[[#This Row],[Horas ajustadas adicionales]]</f>
        <v>90</v>
      </c>
      <c r="X3402" s="142"/>
    </row>
    <row r="3403" spans="1:24" ht="12.75" customHeight="1" x14ac:dyDescent="0.2">
      <c r="A3403" s="7" t="s">
        <v>204</v>
      </c>
      <c r="B3403" s="7" t="s">
        <v>169</v>
      </c>
      <c r="C3403" s="3"/>
      <c r="D3403" s="3" t="s">
        <v>624</v>
      </c>
      <c r="E3403" s="4"/>
      <c r="F3403" s="3" t="s">
        <v>126</v>
      </c>
      <c r="G3403" s="9"/>
      <c r="H3403" s="9">
        <v>45</v>
      </c>
      <c r="I3403" s="12"/>
      <c r="J3403" s="5" t="e">
        <f>SUM(SUMIFS(#REF!,#REF!,Planning[[#This Row],[Tipo de Tarea y especialidad]],#REF!,Planning[[#This Row],[Proyectos Reiwa]]),SUMIFS(#REF!,#REF!,Planning[[#This Row],[Tipo de Tarea y especialidad]],#REF!,Planning[[#This Row],[Proyectos]]))</f>
        <v>#REF!</v>
      </c>
      <c r="K3403" s="5" t="e">
        <f>Planning[[#This Row],[Horas Planificadas]]+Planning[[#This Row],[Horas ajustadas adicionales]]-Planning[[#This Row],[Horas utilizadas]]</f>
        <v>#REF!</v>
      </c>
      <c r="L3403" s="7">
        <v>0</v>
      </c>
      <c r="M3403" s="19" t="e">
        <f>Planning[[#This Row],[Saldo]]-Planning[[#This Row],[Saldo estimado]]</f>
        <v>#REF!</v>
      </c>
      <c r="N3403" s="60" t="e">
        <f>+SUMIFS(#REF!,#REF!,Planning[[#This Row],[Proyectos]],#REF!,Planning[[#This Row],[Tipo de Tarea y especialidad]])</f>
        <v>#REF!</v>
      </c>
      <c r="O3403" s="19">
        <f t="shared" si="106"/>
        <v>10</v>
      </c>
      <c r="P3403" s="19">
        <f t="shared" si="107"/>
        <v>2024</v>
      </c>
      <c r="Q34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03" s="34" t="str">
        <f>TEXT(Planning[[#This Row],[Mes]]*29,"mmmm")</f>
        <v>October</v>
      </c>
      <c r="S340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03" s="252"/>
      <c r="U3403" s="43" t="e">
        <f>IF(Planning[[#This Row],[Horas Planificadas]]&lt;&gt;0,+K3403/Planning[[#This Row],[Horas Planificadas]],0)</f>
        <v>#REF!</v>
      </c>
      <c r="V3403" s="43" t="e">
        <f>IF(Planning[[#This Row],[Horas Planificadas]]&lt;&gt;0,Planning[[#This Row],[Horas utilizadas]]/Planning[[#This Row],[Horas Planificadas]],0)</f>
        <v>#REF!</v>
      </c>
      <c r="W3403" s="44">
        <f>Planning[[#This Row],[Horas Planificadas]]+Planning[[#This Row],[Horas ajustadas adicionales]]</f>
        <v>45</v>
      </c>
      <c r="X3403" s="142"/>
    </row>
    <row r="3404" spans="1:24" ht="12.75" customHeight="1" x14ac:dyDescent="0.2">
      <c r="A3404" s="7" t="s">
        <v>204</v>
      </c>
      <c r="B3404" s="7" t="s">
        <v>169</v>
      </c>
      <c r="C3404" s="3"/>
      <c r="D3404" s="3" t="s">
        <v>624</v>
      </c>
      <c r="E3404" s="4"/>
      <c r="F3404" s="3" t="s">
        <v>127</v>
      </c>
      <c r="G3404" s="9"/>
      <c r="H3404" s="9">
        <v>90</v>
      </c>
      <c r="I3404" s="12"/>
      <c r="J3404" s="5" t="e">
        <f>SUM(SUMIFS(#REF!,#REF!,Planning[[#This Row],[Tipo de Tarea y especialidad]],#REF!,Planning[[#This Row],[Proyectos Reiwa]]),SUMIFS(#REF!,#REF!,Planning[[#This Row],[Tipo de Tarea y especialidad]],#REF!,Planning[[#This Row],[Proyectos]]))</f>
        <v>#REF!</v>
      </c>
      <c r="K3404" s="5" t="e">
        <f>Planning[[#This Row],[Horas Planificadas]]+Planning[[#This Row],[Horas ajustadas adicionales]]-Planning[[#This Row],[Horas utilizadas]]</f>
        <v>#REF!</v>
      </c>
      <c r="L3404" s="7">
        <v>4</v>
      </c>
      <c r="M3404" s="19" t="e">
        <f>Planning[[#This Row],[Saldo]]-Planning[[#This Row],[Saldo estimado]]</f>
        <v>#REF!</v>
      </c>
      <c r="N3404" s="60" t="e">
        <f>+SUMIFS(#REF!,#REF!,Planning[[#This Row],[Proyectos]],#REF!,Planning[[#This Row],[Tipo de Tarea y especialidad]])</f>
        <v>#REF!</v>
      </c>
      <c r="O3404" s="19">
        <f t="shared" si="106"/>
        <v>10</v>
      </c>
      <c r="P3404" s="19">
        <f t="shared" si="107"/>
        <v>2024</v>
      </c>
      <c r="Q34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04" s="34" t="str">
        <f>TEXT(Planning[[#This Row],[Mes]]*29,"mmmm")</f>
        <v>October</v>
      </c>
      <c r="S340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04" s="252"/>
      <c r="U3404" s="43" t="e">
        <f>IF(Planning[[#This Row],[Horas Planificadas]]&lt;&gt;0,+K3404/Planning[[#This Row],[Horas Planificadas]],0)</f>
        <v>#REF!</v>
      </c>
      <c r="V3404" s="43" t="e">
        <f>IF(Planning[[#This Row],[Horas Planificadas]]&lt;&gt;0,Planning[[#This Row],[Horas utilizadas]]/Planning[[#This Row],[Horas Planificadas]],0)</f>
        <v>#REF!</v>
      </c>
      <c r="W3404" s="44">
        <f>Planning[[#This Row],[Horas Planificadas]]+Planning[[#This Row],[Horas ajustadas adicionales]]</f>
        <v>90</v>
      </c>
      <c r="X3404" s="142"/>
    </row>
    <row r="3405" spans="1:24" ht="12.75" customHeight="1" x14ac:dyDescent="0.2">
      <c r="A3405" s="7" t="s">
        <v>204</v>
      </c>
      <c r="B3405" s="7" t="s">
        <v>169</v>
      </c>
      <c r="C3405" s="3"/>
      <c r="D3405" s="3" t="s">
        <v>624</v>
      </c>
      <c r="E3405" s="4"/>
      <c r="F3405" s="3" t="s">
        <v>128</v>
      </c>
      <c r="G3405" s="9"/>
      <c r="H3405" s="9"/>
      <c r="I3405" s="12"/>
      <c r="J3405" s="5" t="e">
        <f>SUM(SUMIFS(#REF!,#REF!,Planning[[#This Row],[Tipo de Tarea y especialidad]],#REF!,Planning[[#This Row],[Proyectos Reiwa]]),SUMIFS(#REF!,#REF!,Planning[[#This Row],[Tipo de Tarea y especialidad]],#REF!,Planning[[#This Row],[Proyectos]]))</f>
        <v>#REF!</v>
      </c>
      <c r="K3405" s="5" t="e">
        <f>Planning[[#This Row],[Horas Planificadas]]+Planning[[#This Row],[Horas ajustadas adicionales]]-Planning[[#This Row],[Horas utilizadas]]</f>
        <v>#REF!</v>
      </c>
      <c r="L3405" s="7">
        <v>0</v>
      </c>
      <c r="M3405" s="19" t="e">
        <f>Planning[[#This Row],[Saldo]]-Planning[[#This Row],[Saldo estimado]]</f>
        <v>#REF!</v>
      </c>
      <c r="N3405" s="60" t="e">
        <f>+SUMIFS(#REF!,#REF!,Planning[[#This Row],[Proyectos]],#REF!,Planning[[#This Row],[Tipo de Tarea y especialidad]])</f>
        <v>#REF!</v>
      </c>
      <c r="O3405" s="19">
        <f t="shared" si="106"/>
        <v>10</v>
      </c>
      <c r="P3405" s="19">
        <f t="shared" si="107"/>
        <v>2024</v>
      </c>
      <c r="Q34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05" s="34" t="str">
        <f>TEXT(Planning[[#This Row],[Mes]]*29,"mmmm")</f>
        <v>October</v>
      </c>
      <c r="S340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05" s="252"/>
      <c r="U3405" s="43">
        <f>IF(Planning[[#This Row],[Horas Planificadas]]&lt;&gt;0,+K3405/Planning[[#This Row],[Horas Planificadas]],0)</f>
        <v>0</v>
      </c>
      <c r="V3405" s="43">
        <f>IF(Planning[[#This Row],[Horas Planificadas]]&lt;&gt;0,Planning[[#This Row],[Horas utilizadas]]/Planning[[#This Row],[Horas Planificadas]],0)</f>
        <v>0</v>
      </c>
      <c r="W3405" s="44">
        <f>Planning[[#This Row],[Horas Planificadas]]+Planning[[#This Row],[Horas ajustadas adicionales]]</f>
        <v>0</v>
      </c>
      <c r="X3405" s="142"/>
    </row>
    <row r="3406" spans="1:24" ht="12.75" customHeight="1" x14ac:dyDescent="0.2">
      <c r="A3406" s="7" t="s">
        <v>204</v>
      </c>
      <c r="B3406" s="7" t="s">
        <v>169</v>
      </c>
      <c r="C3406" s="3"/>
      <c r="D3406" s="3" t="s">
        <v>624</v>
      </c>
      <c r="E3406" s="4" t="s">
        <v>31</v>
      </c>
      <c r="F3406" s="3" t="s">
        <v>31</v>
      </c>
      <c r="G3406" s="9">
        <v>225</v>
      </c>
      <c r="H3406" s="17">
        <f>Planning[[#This Row],[Horas Precálculo]]</f>
        <v>225</v>
      </c>
      <c r="I3406" s="18"/>
      <c r="J3406" s="14" t="e">
        <f>+SUMIFS(#REF!,#REF!,Planning[[#This Row],[Tarifa]],#REF!,Planning[[#This Row],[Proyectos]])</f>
        <v>#REF!</v>
      </c>
      <c r="K3406" s="14" t="e">
        <f>Planning[[#This Row],[Horas Planificadas]]+Planning[[#This Row],[Horas ajustadas adicionales]]-Planning[[#This Row],[Horas utilizadas]]</f>
        <v>#REF!</v>
      </c>
      <c r="L3406" s="15">
        <v>171</v>
      </c>
      <c r="M3406" s="16" t="e">
        <f>Planning[[#This Row],[Saldo]]-Planning[[#This Row],[Saldo estimado]]</f>
        <v>#REF!</v>
      </c>
      <c r="N3406" s="60" t="e">
        <f>+SUMIFS(#REF!,#REF!,Planning[[#This Row],[Proyectos]],#REF!,Planning[[#This Row],[Tipo de Tarea y especialidad]])</f>
        <v>#REF!</v>
      </c>
      <c r="O3406" s="16">
        <f t="shared" si="106"/>
        <v>10</v>
      </c>
      <c r="P3406" s="16">
        <f t="shared" si="107"/>
        <v>2024</v>
      </c>
      <c r="Q3406" s="16" t="e">
        <f>+SUMIFS(#REF!,#REF!,Planning[[#This Row],[Tarifa]],#REF!,Planning[[#This Row],[Proyectos]],#REF!,Planning[[#This Row],[Mes]],#REF!,Planning[[#This Row],[Año]])</f>
        <v>#REF!</v>
      </c>
      <c r="R3406" s="35" t="str">
        <f>TEXT(Planning[[#This Row],[Mes]]*29,"mmmm")</f>
        <v>October</v>
      </c>
      <c r="S340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06" s="252"/>
      <c r="U3406" s="43" t="e">
        <f>IF(Planning[[#This Row],[Horas Planificadas]]&lt;&gt;0,+K3406/Planning[[#This Row],[Horas Planificadas]],0)</f>
        <v>#REF!</v>
      </c>
      <c r="V3406" s="43" t="e">
        <f>IF(Planning[[#This Row],[Horas Planificadas]]&lt;&gt;0,Planning[[#This Row],[Horas utilizadas]]/Planning[[#This Row],[Horas Planificadas]],0)</f>
        <v>#REF!</v>
      </c>
      <c r="W3406" s="44">
        <f>Planning[[#This Row],[Horas Planificadas]]+Planning[[#This Row],[Horas ajustadas adicionales]]</f>
        <v>225</v>
      </c>
      <c r="X3406" s="142"/>
    </row>
    <row r="3407" spans="1:24" ht="12.75" customHeight="1" x14ac:dyDescent="0.2">
      <c r="A3407" s="7" t="s">
        <v>204</v>
      </c>
      <c r="B3407" s="7" t="s">
        <v>169</v>
      </c>
      <c r="C3407" s="3"/>
      <c r="D3407" s="3" t="s">
        <v>624</v>
      </c>
      <c r="E3407" s="4" t="s">
        <v>32</v>
      </c>
      <c r="F3407" s="3"/>
      <c r="G3407" s="9"/>
      <c r="H3407" s="14">
        <f>SUM(H3408:H3410)</f>
        <v>180</v>
      </c>
      <c r="I3407" s="14"/>
      <c r="J3407" s="14" t="e">
        <f>SUM(J3408:J3410)</f>
        <v>#REF!</v>
      </c>
      <c r="K3407" s="15" t="e">
        <f>SUM(K3408:K3410)</f>
        <v>#REF!</v>
      </c>
      <c r="L3407" s="15">
        <f>SUM(L3408:L3410)</f>
        <v>46</v>
      </c>
      <c r="M3407" s="16" t="e">
        <f>SUM(M3408:M3410)</f>
        <v>#REF!</v>
      </c>
      <c r="N3407" s="60" t="e">
        <f>+SUMIFS(#REF!,#REF!,Planning[[#This Row],[Proyectos]],#REF!,Planning[[#This Row],[Tipo de Tarea y especialidad]])</f>
        <v>#REF!</v>
      </c>
      <c r="O3407" s="16">
        <f t="shared" si="106"/>
        <v>10</v>
      </c>
      <c r="P3407" s="16">
        <f t="shared" si="107"/>
        <v>2024</v>
      </c>
      <c r="Q3407" s="16" t="e">
        <f>SUM(Q3408:Q3410)</f>
        <v>#REF!</v>
      </c>
      <c r="R3407" s="35" t="str">
        <f>TEXT(Planning[[#This Row],[Mes]]*29,"mmmm")</f>
        <v>October</v>
      </c>
      <c r="S340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07" s="252"/>
      <c r="U3407" s="43" t="e">
        <f>IF(Planning[[#This Row],[Horas Planificadas]]&lt;&gt;0,+K3407/Planning[[#This Row],[Horas Planificadas]],0)</f>
        <v>#REF!</v>
      </c>
      <c r="V3407" s="43" t="e">
        <f>IF(Planning[[#This Row],[Horas Planificadas]]&lt;&gt;0,Planning[[#This Row],[Horas utilizadas]]/Planning[[#This Row],[Horas Planificadas]],0)</f>
        <v>#REF!</v>
      </c>
      <c r="W3407" s="44">
        <f>Planning[[#This Row],[Horas Planificadas]]+Planning[[#This Row],[Horas ajustadas adicionales]]</f>
        <v>180</v>
      </c>
      <c r="X3407" s="142"/>
    </row>
    <row r="3408" spans="1:24" ht="12.75" customHeight="1" x14ac:dyDescent="0.2">
      <c r="A3408" s="7" t="s">
        <v>204</v>
      </c>
      <c r="B3408" s="7" t="s">
        <v>169</v>
      </c>
      <c r="C3408" s="3"/>
      <c r="D3408" s="3" t="s">
        <v>624</v>
      </c>
      <c r="E3408" s="4"/>
      <c r="F3408" s="3" t="s">
        <v>129</v>
      </c>
      <c r="G3408" s="9">
        <v>100</v>
      </c>
      <c r="H3408" s="9">
        <v>100</v>
      </c>
      <c r="I3408" s="12"/>
      <c r="J3408" s="5" t="e">
        <f>SUM(SUMIFS(#REF!,#REF!,Planning[[#This Row],[Tipo de Tarea y especialidad]],#REF!,Planning[[#This Row],[Proyectos Reiwa]]),SUMIFS(#REF!,#REF!,Planning[[#This Row],[Tipo de Tarea y especialidad]],#REF!,Planning[[#This Row],[Proyectos]]))</f>
        <v>#REF!</v>
      </c>
      <c r="K3408" s="5" t="e">
        <f>Planning[[#This Row],[Horas Planificadas]]+Planning[[#This Row],[Horas ajustadas adicionales]]-Planning[[#This Row],[Horas utilizadas]]</f>
        <v>#REF!</v>
      </c>
      <c r="L3408" s="7">
        <v>0</v>
      </c>
      <c r="M3408" s="19" t="e">
        <f>Planning[[#This Row],[Saldo]]-Planning[[#This Row],[Saldo estimado]]</f>
        <v>#REF!</v>
      </c>
      <c r="N3408" s="60" t="e">
        <f>+SUMIFS(#REF!,#REF!,Planning[[#This Row],[Proyectos]],#REF!,Planning[[#This Row],[Tipo de Tarea y especialidad]])</f>
        <v>#REF!</v>
      </c>
      <c r="O3408" s="19">
        <f t="shared" si="106"/>
        <v>10</v>
      </c>
      <c r="P3408" s="19">
        <f t="shared" si="107"/>
        <v>2024</v>
      </c>
      <c r="Q34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08" s="34" t="str">
        <f>TEXT(Planning[[#This Row],[Mes]]*29,"mmmm")</f>
        <v>October</v>
      </c>
      <c r="S340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08" s="252"/>
      <c r="U3408" s="43" t="e">
        <f>IF(Planning[[#This Row],[Horas Planificadas]]&lt;&gt;0,+K3408/Planning[[#This Row],[Horas Planificadas]],0)</f>
        <v>#REF!</v>
      </c>
      <c r="V3408" s="43" t="e">
        <f>IF(Planning[[#This Row],[Horas Planificadas]]&lt;&gt;0,Planning[[#This Row],[Horas utilizadas]]/Planning[[#This Row],[Horas Planificadas]],0)</f>
        <v>#REF!</v>
      </c>
      <c r="W3408" s="44">
        <f>Planning[[#This Row],[Horas Planificadas]]+Planning[[#This Row],[Horas ajustadas adicionales]]</f>
        <v>100</v>
      </c>
      <c r="X3408" s="142"/>
    </row>
    <row r="3409" spans="1:24" ht="12.75" customHeight="1" x14ac:dyDescent="0.2">
      <c r="A3409" s="7" t="s">
        <v>204</v>
      </c>
      <c r="B3409" s="7" t="s">
        <v>169</v>
      </c>
      <c r="C3409" s="3"/>
      <c r="D3409" s="3" t="s">
        <v>624</v>
      </c>
      <c r="E3409" s="4"/>
      <c r="F3409" s="3" t="s">
        <v>130</v>
      </c>
      <c r="G3409" s="9">
        <v>80</v>
      </c>
      <c r="H3409" s="9">
        <v>80</v>
      </c>
      <c r="I3409" s="12"/>
      <c r="J3409" s="5" t="e">
        <f>SUM(SUMIFS(#REF!,#REF!,Planning[[#This Row],[Tipo de Tarea y especialidad]],#REF!,Planning[[#This Row],[Proyectos Reiwa]]),SUMIFS(#REF!,#REF!,Planning[[#This Row],[Tipo de Tarea y especialidad]],#REF!,Planning[[#This Row],[Proyectos]]))</f>
        <v>#REF!</v>
      </c>
      <c r="K3409" s="5" t="e">
        <f>Planning[[#This Row],[Horas Planificadas]]+Planning[[#This Row],[Horas ajustadas adicionales]]-Planning[[#This Row],[Horas utilizadas]]</f>
        <v>#REF!</v>
      </c>
      <c r="L3409" s="7">
        <v>46</v>
      </c>
      <c r="M3409" s="19" t="e">
        <f>Planning[[#This Row],[Saldo]]-Planning[[#This Row],[Saldo estimado]]</f>
        <v>#REF!</v>
      </c>
      <c r="N3409" s="60" t="e">
        <f>+SUMIFS(#REF!,#REF!,Planning[[#This Row],[Proyectos]],#REF!,Planning[[#This Row],[Tipo de Tarea y especialidad]])</f>
        <v>#REF!</v>
      </c>
      <c r="O3409" s="19">
        <f t="shared" si="106"/>
        <v>10</v>
      </c>
      <c r="P3409" s="19">
        <f t="shared" si="107"/>
        <v>2024</v>
      </c>
      <c r="Q34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09" s="34" t="str">
        <f>TEXT(Planning[[#This Row],[Mes]]*29,"mmmm")</f>
        <v>October</v>
      </c>
      <c r="S340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09" s="252"/>
      <c r="U3409" s="43" t="e">
        <f>IF(Planning[[#This Row],[Horas Planificadas]]&lt;&gt;0,+K3409/Planning[[#This Row],[Horas Planificadas]],0)</f>
        <v>#REF!</v>
      </c>
      <c r="V3409" s="43" t="e">
        <f>IF(Planning[[#This Row],[Horas Planificadas]]&lt;&gt;0,Planning[[#This Row],[Horas utilizadas]]/Planning[[#This Row],[Horas Planificadas]],0)</f>
        <v>#REF!</v>
      </c>
      <c r="W3409" s="44">
        <f>Planning[[#This Row],[Horas Planificadas]]+Planning[[#This Row],[Horas ajustadas adicionales]]</f>
        <v>80</v>
      </c>
      <c r="X3409" s="142"/>
    </row>
    <row r="3410" spans="1:24" ht="12.75" customHeight="1" x14ac:dyDescent="0.2">
      <c r="A3410" s="7" t="s">
        <v>204</v>
      </c>
      <c r="B3410" s="7" t="s">
        <v>169</v>
      </c>
      <c r="C3410" s="3"/>
      <c r="D3410" s="3" t="s">
        <v>624</v>
      </c>
      <c r="E3410" s="4"/>
      <c r="F3410" s="3" t="s">
        <v>131</v>
      </c>
      <c r="G3410" s="9"/>
      <c r="H3410" s="9"/>
      <c r="I3410" s="12"/>
      <c r="J3410" s="5" t="e">
        <f>SUM(SUMIFS(#REF!,#REF!,Planning[[#This Row],[Tipo de Tarea y especialidad]],#REF!,Planning[[#This Row],[Proyectos Reiwa]]),SUMIFS(#REF!,#REF!,Planning[[#This Row],[Tipo de Tarea y especialidad]],#REF!,Planning[[#This Row],[Proyectos]]))</f>
        <v>#REF!</v>
      </c>
      <c r="K3410" s="5" t="e">
        <f>Planning[[#This Row],[Horas Planificadas]]+Planning[[#This Row],[Horas ajustadas adicionales]]-Planning[[#This Row],[Horas utilizadas]]</f>
        <v>#REF!</v>
      </c>
      <c r="L3410" s="7">
        <v>0</v>
      </c>
      <c r="M3410" s="19" t="e">
        <f>Planning[[#This Row],[Saldo]]-Planning[[#This Row],[Saldo estimado]]</f>
        <v>#REF!</v>
      </c>
      <c r="N3410" s="60" t="e">
        <f>+SUMIFS(#REF!,#REF!,Planning[[#This Row],[Proyectos]],#REF!,Planning[[#This Row],[Tipo de Tarea y especialidad]])</f>
        <v>#REF!</v>
      </c>
      <c r="O3410" s="19">
        <f t="shared" si="106"/>
        <v>10</v>
      </c>
      <c r="P3410" s="19">
        <f t="shared" si="107"/>
        <v>2024</v>
      </c>
      <c r="Q34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10" s="34" t="str">
        <f>TEXT(Planning[[#This Row],[Mes]]*29,"mmmm")</f>
        <v>October</v>
      </c>
      <c r="S341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10" s="253"/>
      <c r="U3410" s="43">
        <f>IF(Planning[[#This Row],[Horas Planificadas]]&lt;&gt;0,+K3410/Planning[[#This Row],[Horas Planificadas]],0)</f>
        <v>0</v>
      </c>
      <c r="V3410" s="43">
        <f>IF(Planning[[#This Row],[Horas Planificadas]]&lt;&gt;0,Planning[[#This Row],[Horas utilizadas]]/Planning[[#This Row],[Horas Planificadas]],0)</f>
        <v>0</v>
      </c>
      <c r="W3410" s="44">
        <f>Planning[[#This Row],[Horas Planificadas]]+Planning[[#This Row],[Horas ajustadas adicionales]]</f>
        <v>0</v>
      </c>
      <c r="X3410" s="142"/>
    </row>
    <row r="3411" spans="1:24" ht="12.75" customHeight="1" x14ac:dyDescent="0.2">
      <c r="A3411" s="7" t="s">
        <v>626</v>
      </c>
      <c r="B3411" s="7" t="s">
        <v>178</v>
      </c>
      <c r="C3411" s="3"/>
      <c r="D3411" s="3" t="s">
        <v>627</v>
      </c>
      <c r="E3411" s="4" t="s">
        <v>28</v>
      </c>
      <c r="F3411" s="3"/>
      <c r="G3411" s="9">
        <v>3164</v>
      </c>
      <c r="H3411" s="14">
        <f>SUM(H3412:H3413)</f>
        <v>3376</v>
      </c>
      <c r="I3411" s="14"/>
      <c r="J3411" s="14" t="e">
        <f>SUM(J3412:J3413)</f>
        <v>#REF!</v>
      </c>
      <c r="K3411" s="15" t="e">
        <f>SUM(K3412:K3413)</f>
        <v>#REF!</v>
      </c>
      <c r="L3411" s="15">
        <v>200</v>
      </c>
      <c r="M3411" s="14" t="e">
        <f>SUM(M3412:M3413)</f>
        <v>#REF!</v>
      </c>
      <c r="N3411" s="66" t="e">
        <f>+SUMIFS(#REF!,#REF!,Planning[[#This Row],[Proyectos]],#REF!,Planning[[#This Row],[Tipo de Tarea y especialidad]])</f>
        <v>#REF!</v>
      </c>
      <c r="O3411" s="14">
        <f t="shared" si="106"/>
        <v>10</v>
      </c>
      <c r="P3411" s="14">
        <f t="shared" si="107"/>
        <v>2024</v>
      </c>
      <c r="Q3411" s="28" t="e">
        <f>SUM(Q3412:Q3413)</f>
        <v>#REF!</v>
      </c>
      <c r="R3411" s="28" t="str">
        <f>TEXT(Planning[[#This Row],[Mes]]*29,"mmmm")</f>
        <v>October</v>
      </c>
      <c r="S34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11" s="192" t="s">
        <v>628</v>
      </c>
      <c r="U3411" s="43" t="e">
        <f>IF(Planning[[#This Row],[Horas Planificadas]]&lt;&gt;0,+K3411/Planning[[#This Row],[Horas Planificadas]],0)</f>
        <v>#REF!</v>
      </c>
      <c r="V3411" s="43" t="e">
        <f>IF(Planning[[#This Row],[Horas Planificadas]]&lt;&gt;0,Planning[[#This Row],[Horas utilizadas]]/Planning[[#This Row],[Horas Planificadas]],0)</f>
        <v>#REF!</v>
      </c>
      <c r="W3411" s="44">
        <f>Planning[[#This Row],[Horas Planificadas]]+Planning[[#This Row],[Horas ajustadas adicionales]]</f>
        <v>3376</v>
      </c>
      <c r="X3411" s="142"/>
    </row>
    <row r="3412" spans="1:24" ht="12.75" customHeight="1" x14ac:dyDescent="0.2">
      <c r="A3412" s="7" t="s">
        <v>626</v>
      </c>
      <c r="B3412" s="7" t="s">
        <v>178</v>
      </c>
      <c r="C3412" s="3"/>
      <c r="D3412" s="3" t="s">
        <v>627</v>
      </c>
      <c r="E3412" s="4"/>
      <c r="F3412" s="3" t="s">
        <v>120</v>
      </c>
      <c r="G3412" s="9"/>
      <c r="H3412" s="9">
        <v>2327</v>
      </c>
      <c r="I3412" s="12"/>
      <c r="J3412" s="5" t="e">
        <f>SUM(SUMIFS(#REF!,#REF!,Planning[[#This Row],[Tipo de Tarea y especialidad]],#REF!,Planning[[#This Row],[Proyectos Reiwa]]),SUMIFS(#REF!,#REF!,Planning[[#This Row],[Tipo de Tarea y especialidad]],#REF!,Planning[[#This Row],[Proyectos]]))</f>
        <v>#REF!</v>
      </c>
      <c r="K3412" s="5" t="e">
        <f>Planning[[#This Row],[Horas Planificadas]]+Planning[[#This Row],[Horas ajustadas adicionales]]-Planning[[#This Row],[Horas utilizadas]]</f>
        <v>#REF!</v>
      </c>
      <c r="L3412" s="7">
        <v>0</v>
      </c>
      <c r="M3412" s="19" t="e">
        <f>Planning[[#This Row],[Saldo]]-Planning[[#This Row],[Saldo estimado]]</f>
        <v>#REF!</v>
      </c>
      <c r="N3412" s="60" t="e">
        <f>+SUMIFS(#REF!,#REF!,Planning[[#This Row],[Proyectos]],#REF!,Planning[[#This Row],[Tipo de Tarea y especialidad]])</f>
        <v>#REF!</v>
      </c>
      <c r="O3412" s="19">
        <f t="shared" si="106"/>
        <v>10</v>
      </c>
      <c r="P3412" s="19">
        <f t="shared" si="107"/>
        <v>2024</v>
      </c>
      <c r="Q34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12" s="19" t="str">
        <f>TEXT(Planning[[#This Row],[Mes]]*29,"mmmm")</f>
        <v>October</v>
      </c>
      <c r="S34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12" s="193"/>
      <c r="U3412" s="43" t="e">
        <f>IF(Planning[[#This Row],[Horas Planificadas]]&lt;&gt;0,+K3412/Planning[[#This Row],[Horas Planificadas]],0)</f>
        <v>#REF!</v>
      </c>
      <c r="V3412" s="43" t="e">
        <f>IF(Planning[[#This Row],[Horas Planificadas]]&lt;&gt;0,Planning[[#This Row],[Horas utilizadas]]/Planning[[#This Row],[Horas Planificadas]],0)</f>
        <v>#REF!</v>
      </c>
      <c r="W3412" s="44">
        <f>Planning[[#This Row],[Horas Planificadas]]+Planning[[#This Row],[Horas ajustadas adicionales]]</f>
        <v>2327</v>
      </c>
      <c r="X3412" s="142"/>
    </row>
    <row r="3413" spans="1:24" ht="12.75" customHeight="1" x14ac:dyDescent="0.2">
      <c r="A3413" s="7" t="s">
        <v>626</v>
      </c>
      <c r="B3413" s="7" t="s">
        <v>178</v>
      </c>
      <c r="C3413" s="3"/>
      <c r="D3413" s="3" t="s">
        <v>627</v>
      </c>
      <c r="E3413" s="4"/>
      <c r="F3413" s="3" t="s">
        <v>121</v>
      </c>
      <c r="G3413" s="9"/>
      <c r="H3413" s="9">
        <v>1049</v>
      </c>
      <c r="I3413" s="12"/>
      <c r="J3413" s="5" t="e">
        <f>SUM(SUMIFS(#REF!,#REF!,Planning[[#This Row],[Tipo de Tarea y especialidad]],#REF!,Planning[[#This Row],[Proyectos Reiwa]]),SUMIFS(#REF!,#REF!,Planning[[#This Row],[Tipo de Tarea y especialidad]],#REF!,Planning[[#This Row],[Proyectos]]))</f>
        <v>#REF!</v>
      </c>
      <c r="K3413" s="5" t="e">
        <f>Planning[[#This Row],[Horas Planificadas]]+Planning[[#This Row],[Horas ajustadas adicionales]]-Planning[[#This Row],[Horas utilizadas]]</f>
        <v>#REF!</v>
      </c>
      <c r="L3413" s="7">
        <v>0</v>
      </c>
      <c r="M3413" s="19" t="e">
        <f>Planning[[#This Row],[Saldo]]-Planning[[#This Row],[Saldo estimado]]</f>
        <v>#REF!</v>
      </c>
      <c r="N3413" s="60" t="e">
        <f>+SUMIFS(#REF!,#REF!,Planning[[#This Row],[Proyectos]],#REF!,Planning[[#This Row],[Tipo de Tarea y especialidad]])</f>
        <v>#REF!</v>
      </c>
      <c r="O3413" s="19">
        <f t="shared" si="106"/>
        <v>10</v>
      </c>
      <c r="P3413" s="19">
        <f t="shared" si="107"/>
        <v>2024</v>
      </c>
      <c r="Q34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13" s="19" t="str">
        <f>TEXT(Planning[[#This Row],[Mes]]*29,"mmmm")</f>
        <v>October</v>
      </c>
      <c r="S34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13" s="193"/>
      <c r="U3413" s="43" t="e">
        <f>IF(Planning[[#This Row],[Horas Planificadas]]&lt;&gt;0,+K3413/Planning[[#This Row],[Horas Planificadas]],0)</f>
        <v>#REF!</v>
      </c>
      <c r="V3413" s="43" t="e">
        <f>IF(Planning[[#This Row],[Horas Planificadas]]&lt;&gt;0,Planning[[#This Row],[Horas utilizadas]]/Planning[[#This Row],[Horas Planificadas]],0)</f>
        <v>#REF!</v>
      </c>
      <c r="W3413" s="44">
        <f>Planning[[#This Row],[Horas Planificadas]]+Planning[[#This Row],[Horas ajustadas adicionales]]</f>
        <v>1049</v>
      </c>
      <c r="X3413" s="142"/>
    </row>
    <row r="3414" spans="1:24" ht="12.75" customHeight="1" x14ac:dyDescent="0.2">
      <c r="A3414" s="7" t="s">
        <v>626</v>
      </c>
      <c r="B3414" s="7" t="s">
        <v>178</v>
      </c>
      <c r="C3414" s="3"/>
      <c r="D3414" s="3" t="s">
        <v>627</v>
      </c>
      <c r="E3414" s="4" t="s">
        <v>30</v>
      </c>
      <c r="F3414" s="3"/>
      <c r="G3414" s="9">
        <v>2522</v>
      </c>
      <c r="H3414" s="14">
        <f>SUM(H3415:H3421)</f>
        <v>2717</v>
      </c>
      <c r="I3414" s="14"/>
      <c r="J3414" s="14" t="e">
        <f>SUM(J3415:J3421)</f>
        <v>#REF!</v>
      </c>
      <c r="K3414" s="15" t="e">
        <f>SUM(K3415:K3421)</f>
        <v>#REF!</v>
      </c>
      <c r="L3414" s="15">
        <v>0</v>
      </c>
      <c r="M3414" s="16" t="e">
        <f>SUM(M3415:M3421)</f>
        <v>#REF!</v>
      </c>
      <c r="N3414" s="60" t="e">
        <f>+SUMIFS(#REF!,#REF!,Planning[[#This Row],[Proyectos]],#REF!,Planning[[#This Row],[Tipo de Tarea y especialidad]])</f>
        <v>#REF!</v>
      </c>
      <c r="O3414" s="16">
        <f t="shared" si="106"/>
        <v>10</v>
      </c>
      <c r="P3414" s="16">
        <f t="shared" si="107"/>
        <v>2024</v>
      </c>
      <c r="Q3414" s="16" t="e">
        <f>SUM(Q3415:Q3421)</f>
        <v>#REF!</v>
      </c>
      <c r="R3414" s="16" t="str">
        <f>TEXT(Planning[[#This Row],[Mes]]*29,"mmmm")</f>
        <v>October</v>
      </c>
      <c r="S34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14" s="193"/>
      <c r="U3414" s="43" t="e">
        <f>IF(Planning[[#This Row],[Horas Planificadas]]&lt;&gt;0,+K3414/Planning[[#This Row],[Horas Planificadas]],0)</f>
        <v>#REF!</v>
      </c>
      <c r="V3414" s="43" t="e">
        <f>IF(Planning[[#This Row],[Horas Planificadas]]&lt;&gt;0,Planning[[#This Row],[Horas utilizadas]]/Planning[[#This Row],[Horas Planificadas]],0)</f>
        <v>#REF!</v>
      </c>
      <c r="W3414" s="44">
        <f>Planning[[#This Row],[Horas Planificadas]]+Planning[[#This Row],[Horas ajustadas adicionales]]</f>
        <v>2717</v>
      </c>
      <c r="X3414" s="142"/>
    </row>
    <row r="3415" spans="1:24" ht="12.75" customHeight="1" x14ac:dyDescent="0.2">
      <c r="A3415" s="7" t="s">
        <v>626</v>
      </c>
      <c r="B3415" s="7" t="s">
        <v>178</v>
      </c>
      <c r="C3415" s="3"/>
      <c r="D3415" s="3" t="s">
        <v>627</v>
      </c>
      <c r="E3415" s="4"/>
      <c r="F3415" s="3" t="s">
        <v>122</v>
      </c>
      <c r="G3415" s="9"/>
      <c r="H3415" s="9">
        <v>562</v>
      </c>
      <c r="I3415" s="12"/>
      <c r="J3415" s="5" t="e">
        <f>SUM(SUMIFS(#REF!,#REF!,Planning[[#This Row],[Tipo de Tarea y especialidad]],#REF!,Planning[[#This Row],[Proyectos Reiwa]]),SUMIFS(#REF!,#REF!,Planning[[#This Row],[Tipo de Tarea y especialidad]],#REF!,Planning[[#This Row],[Proyectos]]))</f>
        <v>#REF!</v>
      </c>
      <c r="K3415" s="5" t="e">
        <f>Planning[[#This Row],[Horas Planificadas]]+Planning[[#This Row],[Horas ajustadas adicionales]]-Planning[[#This Row],[Horas utilizadas]]</f>
        <v>#REF!</v>
      </c>
      <c r="L3415" s="7">
        <v>0</v>
      </c>
      <c r="M3415" s="19" t="e">
        <f>Planning[[#This Row],[Saldo]]-Planning[[#This Row],[Saldo estimado]]</f>
        <v>#REF!</v>
      </c>
      <c r="N3415" s="60" t="e">
        <f>+SUMIFS(#REF!,#REF!,Planning[[#This Row],[Proyectos]],#REF!,Planning[[#This Row],[Tipo de Tarea y especialidad]])</f>
        <v>#REF!</v>
      </c>
      <c r="O3415" s="19">
        <f t="shared" si="106"/>
        <v>10</v>
      </c>
      <c r="P3415" s="19">
        <f t="shared" si="107"/>
        <v>2024</v>
      </c>
      <c r="Q34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15" s="19" t="str">
        <f>TEXT(Planning[[#This Row],[Mes]]*29,"mmmm")</f>
        <v>October</v>
      </c>
      <c r="S34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15" s="193"/>
      <c r="U3415" s="43" t="e">
        <f>IF(Planning[[#This Row],[Horas Planificadas]]&lt;&gt;0,+K3415/Planning[[#This Row],[Horas Planificadas]],0)</f>
        <v>#REF!</v>
      </c>
      <c r="V3415" s="43" t="e">
        <f>IF(Planning[[#This Row],[Horas Planificadas]]&lt;&gt;0,Planning[[#This Row],[Horas utilizadas]]/Planning[[#This Row],[Horas Planificadas]],0)</f>
        <v>#REF!</v>
      </c>
      <c r="W3415" s="44">
        <f>Planning[[#This Row],[Horas Planificadas]]+Planning[[#This Row],[Horas ajustadas adicionales]]</f>
        <v>562</v>
      </c>
      <c r="X3415" s="142"/>
    </row>
    <row r="3416" spans="1:24" ht="12.75" customHeight="1" x14ac:dyDescent="0.2">
      <c r="A3416" s="7" t="s">
        <v>626</v>
      </c>
      <c r="B3416" s="7" t="s">
        <v>178</v>
      </c>
      <c r="C3416" s="3"/>
      <c r="D3416" s="3" t="s">
        <v>627</v>
      </c>
      <c r="E3416" s="4"/>
      <c r="F3416" s="3" t="s">
        <v>123</v>
      </c>
      <c r="G3416" s="9"/>
      <c r="H3416" s="9">
        <v>600</v>
      </c>
      <c r="I3416" s="12"/>
      <c r="J3416" s="5" t="e">
        <f>SUM(SUMIFS(#REF!,#REF!,Planning[[#This Row],[Tipo de Tarea y especialidad]],#REF!,Planning[[#This Row],[Proyectos Reiwa]]),SUMIFS(#REF!,#REF!,Planning[[#This Row],[Tipo de Tarea y especialidad]],#REF!,Planning[[#This Row],[Proyectos]]))</f>
        <v>#REF!</v>
      </c>
      <c r="K3416" s="5" t="e">
        <f>Planning[[#This Row],[Horas Planificadas]]+Planning[[#This Row],[Horas ajustadas adicionales]]-Planning[[#This Row],[Horas utilizadas]]</f>
        <v>#REF!</v>
      </c>
      <c r="L3416" s="7">
        <v>0</v>
      </c>
      <c r="M3416" s="19" t="e">
        <f>Planning[[#This Row],[Saldo]]-Planning[[#This Row],[Saldo estimado]]</f>
        <v>#REF!</v>
      </c>
      <c r="N3416" s="60" t="e">
        <f>+SUMIFS(#REF!,#REF!,Planning[[#This Row],[Proyectos]],#REF!,Planning[[#This Row],[Tipo de Tarea y especialidad]])</f>
        <v>#REF!</v>
      </c>
      <c r="O3416" s="19">
        <f t="shared" si="106"/>
        <v>10</v>
      </c>
      <c r="P3416" s="19">
        <f t="shared" si="107"/>
        <v>2024</v>
      </c>
      <c r="Q34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16" s="19" t="str">
        <f>TEXT(Planning[[#This Row],[Mes]]*29,"mmmm")</f>
        <v>October</v>
      </c>
      <c r="S34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16" s="193"/>
      <c r="U3416" s="43" t="e">
        <f>IF(Planning[[#This Row],[Horas Planificadas]]&lt;&gt;0,+K3416/Planning[[#This Row],[Horas Planificadas]],0)</f>
        <v>#REF!</v>
      </c>
      <c r="V3416" s="43" t="e">
        <f>IF(Planning[[#This Row],[Horas Planificadas]]&lt;&gt;0,Planning[[#This Row],[Horas utilizadas]]/Planning[[#This Row],[Horas Planificadas]],0)</f>
        <v>#REF!</v>
      </c>
      <c r="W3416" s="44">
        <f>Planning[[#This Row],[Horas Planificadas]]+Planning[[#This Row],[Horas ajustadas adicionales]]</f>
        <v>600</v>
      </c>
      <c r="X3416" s="142"/>
    </row>
    <row r="3417" spans="1:24" ht="12.75" customHeight="1" x14ac:dyDescent="0.2">
      <c r="A3417" s="7" t="s">
        <v>626</v>
      </c>
      <c r="B3417" s="7" t="s">
        <v>178</v>
      </c>
      <c r="C3417" s="3"/>
      <c r="D3417" s="3" t="s">
        <v>627</v>
      </c>
      <c r="E3417" s="4"/>
      <c r="F3417" s="3" t="s">
        <v>124</v>
      </c>
      <c r="G3417" s="9"/>
      <c r="H3417" s="9">
        <v>200</v>
      </c>
      <c r="I3417" s="12"/>
      <c r="J3417" s="5" t="e">
        <f>SUM(SUMIFS(#REF!,#REF!,Planning[[#This Row],[Tipo de Tarea y especialidad]],#REF!,Planning[[#This Row],[Proyectos Reiwa]]),SUMIFS(#REF!,#REF!,Planning[[#This Row],[Tipo de Tarea y especialidad]],#REF!,Planning[[#This Row],[Proyectos]]))</f>
        <v>#REF!</v>
      </c>
      <c r="K3417" s="5" t="e">
        <f>Planning[[#This Row],[Horas Planificadas]]+Planning[[#This Row],[Horas ajustadas adicionales]]-Planning[[#This Row],[Horas utilizadas]]</f>
        <v>#REF!</v>
      </c>
      <c r="L3417" s="7">
        <v>0</v>
      </c>
      <c r="M3417" s="19" t="e">
        <f>Planning[[#This Row],[Saldo]]-Planning[[#This Row],[Saldo estimado]]</f>
        <v>#REF!</v>
      </c>
      <c r="N3417" s="60" t="e">
        <f>+SUMIFS(#REF!,#REF!,Planning[[#This Row],[Proyectos]],#REF!,Planning[[#This Row],[Tipo de Tarea y especialidad]])</f>
        <v>#REF!</v>
      </c>
      <c r="O3417" s="19">
        <f t="shared" si="106"/>
        <v>10</v>
      </c>
      <c r="P3417" s="19">
        <f t="shared" si="107"/>
        <v>2024</v>
      </c>
      <c r="Q34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17" s="19" t="str">
        <f>TEXT(Planning[[#This Row],[Mes]]*29,"mmmm")</f>
        <v>October</v>
      </c>
      <c r="S34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17" s="193"/>
      <c r="U3417" s="43" t="e">
        <f>IF(Planning[[#This Row],[Horas Planificadas]]&lt;&gt;0,+K3417/Planning[[#This Row],[Horas Planificadas]],0)</f>
        <v>#REF!</v>
      </c>
      <c r="V3417" s="43" t="e">
        <f>IF(Planning[[#This Row],[Horas Planificadas]]&lt;&gt;0,Planning[[#This Row],[Horas utilizadas]]/Planning[[#This Row],[Horas Planificadas]],0)</f>
        <v>#REF!</v>
      </c>
      <c r="W3417" s="44">
        <f>Planning[[#This Row],[Horas Planificadas]]+Planning[[#This Row],[Horas ajustadas adicionales]]</f>
        <v>200</v>
      </c>
      <c r="X3417" s="142"/>
    </row>
    <row r="3418" spans="1:24" ht="12.75" customHeight="1" x14ac:dyDescent="0.2">
      <c r="A3418" s="7" t="s">
        <v>626</v>
      </c>
      <c r="B3418" s="7" t="s">
        <v>178</v>
      </c>
      <c r="C3418" s="3"/>
      <c r="D3418" s="3" t="s">
        <v>627</v>
      </c>
      <c r="E3418" s="4"/>
      <c r="F3418" s="3" t="s">
        <v>125</v>
      </c>
      <c r="G3418" s="9"/>
      <c r="H3418" s="9">
        <v>495</v>
      </c>
      <c r="I3418" s="12"/>
      <c r="J3418" s="5" t="e">
        <f>SUM(SUMIFS(#REF!,#REF!,Planning[[#This Row],[Tipo de Tarea y especialidad]],#REF!,Planning[[#This Row],[Proyectos Reiwa]]),SUMIFS(#REF!,#REF!,Planning[[#This Row],[Tipo de Tarea y especialidad]],#REF!,Planning[[#This Row],[Proyectos]]))</f>
        <v>#REF!</v>
      </c>
      <c r="K3418" s="5" t="e">
        <f>Planning[[#This Row],[Horas Planificadas]]+Planning[[#This Row],[Horas ajustadas adicionales]]-Planning[[#This Row],[Horas utilizadas]]</f>
        <v>#REF!</v>
      </c>
      <c r="L3418" s="7">
        <v>0</v>
      </c>
      <c r="M3418" s="19" t="e">
        <f>Planning[[#This Row],[Saldo]]-Planning[[#This Row],[Saldo estimado]]</f>
        <v>#REF!</v>
      </c>
      <c r="N3418" s="60" t="e">
        <f>+SUMIFS(#REF!,#REF!,Planning[[#This Row],[Proyectos]],#REF!,Planning[[#This Row],[Tipo de Tarea y especialidad]])</f>
        <v>#REF!</v>
      </c>
      <c r="O3418" s="19">
        <f t="shared" si="106"/>
        <v>10</v>
      </c>
      <c r="P3418" s="19">
        <f t="shared" si="107"/>
        <v>2024</v>
      </c>
      <c r="Q34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18" s="19" t="str">
        <f>TEXT(Planning[[#This Row],[Mes]]*29,"mmmm")</f>
        <v>October</v>
      </c>
      <c r="S34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18" s="193"/>
      <c r="U3418" s="43" t="e">
        <f>IF(Planning[[#This Row],[Horas Planificadas]]&lt;&gt;0,+K3418/Planning[[#This Row],[Horas Planificadas]],0)</f>
        <v>#REF!</v>
      </c>
      <c r="V3418" s="43" t="e">
        <f>IF(Planning[[#This Row],[Horas Planificadas]]&lt;&gt;0,Planning[[#This Row],[Horas utilizadas]]/Planning[[#This Row],[Horas Planificadas]],0)</f>
        <v>#REF!</v>
      </c>
      <c r="W3418" s="44">
        <f>Planning[[#This Row],[Horas Planificadas]]+Planning[[#This Row],[Horas ajustadas adicionales]]</f>
        <v>495</v>
      </c>
      <c r="X3418" s="142"/>
    </row>
    <row r="3419" spans="1:24" ht="12.75" customHeight="1" x14ac:dyDescent="0.2">
      <c r="A3419" s="7" t="s">
        <v>626</v>
      </c>
      <c r="B3419" s="7" t="s">
        <v>178</v>
      </c>
      <c r="C3419" s="3"/>
      <c r="D3419" s="3" t="s">
        <v>627</v>
      </c>
      <c r="E3419" s="4"/>
      <c r="F3419" s="3" t="s">
        <v>126</v>
      </c>
      <c r="G3419" s="9"/>
      <c r="H3419" s="9">
        <v>370</v>
      </c>
      <c r="I3419" s="12"/>
      <c r="J3419" s="5" t="e">
        <f>SUM(SUMIFS(#REF!,#REF!,Planning[[#This Row],[Tipo de Tarea y especialidad]],#REF!,Planning[[#This Row],[Proyectos Reiwa]]),SUMIFS(#REF!,#REF!,Planning[[#This Row],[Tipo de Tarea y especialidad]],#REF!,Planning[[#This Row],[Proyectos]]))</f>
        <v>#REF!</v>
      </c>
      <c r="K3419" s="5" t="e">
        <f>Planning[[#This Row],[Horas Planificadas]]+Planning[[#This Row],[Horas ajustadas adicionales]]-Planning[[#This Row],[Horas utilizadas]]</f>
        <v>#REF!</v>
      </c>
      <c r="L3419" s="7">
        <v>0</v>
      </c>
      <c r="M3419" s="19" t="e">
        <f>Planning[[#This Row],[Saldo]]-Planning[[#This Row],[Saldo estimado]]</f>
        <v>#REF!</v>
      </c>
      <c r="N3419" s="60" t="e">
        <f>+SUMIFS(#REF!,#REF!,Planning[[#This Row],[Proyectos]],#REF!,Planning[[#This Row],[Tipo de Tarea y especialidad]])</f>
        <v>#REF!</v>
      </c>
      <c r="O3419" s="19">
        <f t="shared" si="106"/>
        <v>10</v>
      </c>
      <c r="P3419" s="19">
        <f t="shared" si="107"/>
        <v>2024</v>
      </c>
      <c r="Q34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19" s="19" t="str">
        <f>TEXT(Planning[[#This Row],[Mes]]*29,"mmmm")</f>
        <v>October</v>
      </c>
      <c r="S34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19" s="193"/>
      <c r="U3419" s="43" t="e">
        <f>IF(Planning[[#This Row],[Horas Planificadas]]&lt;&gt;0,+K3419/Planning[[#This Row],[Horas Planificadas]],0)</f>
        <v>#REF!</v>
      </c>
      <c r="V3419" s="43" t="e">
        <f>IF(Planning[[#This Row],[Horas Planificadas]]&lt;&gt;0,Planning[[#This Row],[Horas utilizadas]]/Planning[[#This Row],[Horas Planificadas]],0)</f>
        <v>#REF!</v>
      </c>
      <c r="W3419" s="44">
        <f>Planning[[#This Row],[Horas Planificadas]]+Planning[[#This Row],[Horas ajustadas adicionales]]</f>
        <v>370</v>
      </c>
      <c r="X3419" s="142"/>
    </row>
    <row r="3420" spans="1:24" ht="12.75" customHeight="1" x14ac:dyDescent="0.2">
      <c r="A3420" s="7" t="s">
        <v>626</v>
      </c>
      <c r="B3420" s="7" t="s">
        <v>178</v>
      </c>
      <c r="C3420" s="3"/>
      <c r="D3420" s="3" t="s">
        <v>627</v>
      </c>
      <c r="E3420" s="4"/>
      <c r="F3420" s="3" t="s">
        <v>127</v>
      </c>
      <c r="G3420" s="9"/>
      <c r="H3420" s="9">
        <v>445</v>
      </c>
      <c r="I3420" s="12"/>
      <c r="J3420" s="5" t="e">
        <f>SUM(SUMIFS(#REF!,#REF!,Planning[[#This Row],[Tipo de Tarea y especialidad]],#REF!,Planning[[#This Row],[Proyectos Reiwa]]),SUMIFS(#REF!,#REF!,Planning[[#This Row],[Tipo de Tarea y especialidad]],#REF!,Planning[[#This Row],[Proyectos]]))</f>
        <v>#REF!</v>
      </c>
      <c r="K3420" s="5" t="e">
        <f>Planning[[#This Row],[Horas Planificadas]]+Planning[[#This Row],[Horas ajustadas adicionales]]-Planning[[#This Row],[Horas utilizadas]]</f>
        <v>#REF!</v>
      </c>
      <c r="L3420" s="7">
        <v>0</v>
      </c>
      <c r="M3420" s="19" t="e">
        <f>Planning[[#This Row],[Saldo]]-Planning[[#This Row],[Saldo estimado]]</f>
        <v>#REF!</v>
      </c>
      <c r="N3420" s="60" t="e">
        <f>+SUMIFS(#REF!,#REF!,Planning[[#This Row],[Proyectos]],#REF!,Planning[[#This Row],[Tipo de Tarea y especialidad]])</f>
        <v>#REF!</v>
      </c>
      <c r="O3420" s="19">
        <f t="shared" si="106"/>
        <v>10</v>
      </c>
      <c r="P3420" s="19">
        <f t="shared" si="107"/>
        <v>2024</v>
      </c>
      <c r="Q34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20" s="19" t="str">
        <f>TEXT(Planning[[#This Row],[Mes]]*29,"mmmm")</f>
        <v>October</v>
      </c>
      <c r="S34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20" s="193"/>
      <c r="U3420" s="43" t="e">
        <f>IF(Planning[[#This Row],[Horas Planificadas]]&lt;&gt;0,+K3420/Planning[[#This Row],[Horas Planificadas]],0)</f>
        <v>#REF!</v>
      </c>
      <c r="V3420" s="43" t="e">
        <f>IF(Planning[[#This Row],[Horas Planificadas]]&lt;&gt;0,Planning[[#This Row],[Horas utilizadas]]/Planning[[#This Row],[Horas Planificadas]],0)</f>
        <v>#REF!</v>
      </c>
      <c r="W3420" s="44">
        <f>Planning[[#This Row],[Horas Planificadas]]+Planning[[#This Row],[Horas ajustadas adicionales]]</f>
        <v>445</v>
      </c>
      <c r="X3420" s="142"/>
    </row>
    <row r="3421" spans="1:24" ht="12.75" customHeight="1" x14ac:dyDescent="0.2">
      <c r="A3421" s="7" t="s">
        <v>626</v>
      </c>
      <c r="B3421" s="7" t="s">
        <v>178</v>
      </c>
      <c r="C3421" s="3"/>
      <c r="D3421" s="3" t="s">
        <v>627</v>
      </c>
      <c r="E3421" s="4"/>
      <c r="F3421" s="3" t="s">
        <v>128</v>
      </c>
      <c r="G3421" s="9"/>
      <c r="H3421" s="9">
        <v>45</v>
      </c>
      <c r="I3421" s="12"/>
      <c r="J3421" s="5" t="e">
        <f>SUM(SUMIFS(#REF!,#REF!,Planning[[#This Row],[Tipo de Tarea y especialidad]],#REF!,Planning[[#This Row],[Proyectos Reiwa]]),SUMIFS(#REF!,#REF!,Planning[[#This Row],[Tipo de Tarea y especialidad]],#REF!,Planning[[#This Row],[Proyectos]]))</f>
        <v>#REF!</v>
      </c>
      <c r="K3421" s="5" t="e">
        <f>Planning[[#This Row],[Horas Planificadas]]+Planning[[#This Row],[Horas ajustadas adicionales]]-Planning[[#This Row],[Horas utilizadas]]</f>
        <v>#REF!</v>
      </c>
      <c r="L3421" s="7">
        <v>0</v>
      </c>
      <c r="M3421" s="19" t="e">
        <f>Planning[[#This Row],[Saldo]]-Planning[[#This Row],[Saldo estimado]]</f>
        <v>#REF!</v>
      </c>
      <c r="N3421" s="60" t="e">
        <f>+SUMIFS(#REF!,#REF!,Planning[[#This Row],[Proyectos]],#REF!,Planning[[#This Row],[Tipo de Tarea y especialidad]])</f>
        <v>#REF!</v>
      </c>
      <c r="O3421" s="19">
        <f t="shared" si="106"/>
        <v>10</v>
      </c>
      <c r="P3421" s="19">
        <f t="shared" si="107"/>
        <v>2024</v>
      </c>
      <c r="Q34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21" s="19" t="str">
        <f>TEXT(Planning[[#This Row],[Mes]]*29,"mmmm")</f>
        <v>October</v>
      </c>
      <c r="S34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21" s="193"/>
      <c r="U3421" s="43" t="e">
        <f>IF(Planning[[#This Row],[Horas Planificadas]]&lt;&gt;0,+K3421/Planning[[#This Row],[Horas Planificadas]],0)</f>
        <v>#REF!</v>
      </c>
      <c r="V3421" s="43" t="e">
        <f>IF(Planning[[#This Row],[Horas Planificadas]]&lt;&gt;0,Planning[[#This Row],[Horas utilizadas]]/Planning[[#This Row],[Horas Planificadas]],0)</f>
        <v>#REF!</v>
      </c>
      <c r="W3421" s="44">
        <f>Planning[[#This Row],[Horas Planificadas]]+Planning[[#This Row],[Horas ajustadas adicionales]]</f>
        <v>45</v>
      </c>
      <c r="X3421" s="142"/>
    </row>
    <row r="3422" spans="1:24" ht="12.75" customHeight="1" x14ac:dyDescent="0.2">
      <c r="A3422" s="7" t="s">
        <v>626</v>
      </c>
      <c r="B3422" s="7" t="s">
        <v>178</v>
      </c>
      <c r="C3422" s="3"/>
      <c r="D3422" s="3" t="s">
        <v>627</v>
      </c>
      <c r="E3422" s="4" t="s">
        <v>31</v>
      </c>
      <c r="F3422" s="3" t="s">
        <v>31</v>
      </c>
      <c r="G3422" s="9">
        <v>387</v>
      </c>
      <c r="H3422" s="17">
        <f>Planning[[#This Row],[Horas Precálculo]]</f>
        <v>387</v>
      </c>
      <c r="I3422" s="18"/>
      <c r="J3422" s="14" t="e">
        <f>+SUMIFS(#REF!,#REF!,Planning[[#This Row],[Tarifa]],#REF!,Planning[[#This Row],[Proyectos]])</f>
        <v>#REF!</v>
      </c>
      <c r="K3422" s="14" t="e">
        <f>Planning[[#This Row],[Horas Planificadas]]+Planning[[#This Row],[Horas ajustadas adicionales]]-Planning[[#This Row],[Horas utilizadas]]</f>
        <v>#REF!</v>
      </c>
      <c r="L3422" s="15">
        <v>0</v>
      </c>
      <c r="M3422" s="16" t="e">
        <f>Planning[[#This Row],[Saldo]]-Planning[[#This Row],[Saldo estimado]]</f>
        <v>#REF!</v>
      </c>
      <c r="N3422" s="60" t="e">
        <f>+SUMIFS(#REF!,#REF!,Planning[[#This Row],[Proyectos]],#REF!,Planning[[#This Row],[Tipo de Tarea y especialidad]])</f>
        <v>#REF!</v>
      </c>
      <c r="O3422" s="16">
        <f t="shared" si="106"/>
        <v>10</v>
      </c>
      <c r="P3422" s="16">
        <f t="shared" si="107"/>
        <v>2024</v>
      </c>
      <c r="Q3422" s="16" t="e">
        <f>+SUMIFS(#REF!,#REF!,Planning[[#This Row],[Tarifa]],#REF!,Planning[[#This Row],[Proyectos]],#REF!,Planning[[#This Row],[Mes]],#REF!,Planning[[#This Row],[Año]])</f>
        <v>#REF!</v>
      </c>
      <c r="R3422" s="16" t="str">
        <f>TEXT(Planning[[#This Row],[Mes]]*29,"mmmm")</f>
        <v>October</v>
      </c>
      <c r="S34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22" s="193"/>
      <c r="U3422" s="43" t="e">
        <f>IF(Planning[[#This Row],[Horas Planificadas]]&lt;&gt;0,+K3422/Planning[[#This Row],[Horas Planificadas]],0)</f>
        <v>#REF!</v>
      </c>
      <c r="V3422" s="43" t="e">
        <f>IF(Planning[[#This Row],[Horas Planificadas]]&lt;&gt;0,Planning[[#This Row],[Horas utilizadas]]/Planning[[#This Row],[Horas Planificadas]],0)</f>
        <v>#REF!</v>
      </c>
      <c r="W3422" s="44">
        <f>Planning[[#This Row],[Horas Planificadas]]+Planning[[#This Row],[Horas ajustadas adicionales]]</f>
        <v>387</v>
      </c>
      <c r="X3422" s="142"/>
    </row>
    <row r="3423" spans="1:24" ht="12.75" customHeight="1" x14ac:dyDescent="0.2">
      <c r="A3423" s="7" t="s">
        <v>626</v>
      </c>
      <c r="B3423" s="7" t="s">
        <v>178</v>
      </c>
      <c r="C3423" s="3"/>
      <c r="D3423" s="3" t="s">
        <v>627</v>
      </c>
      <c r="E3423" s="4" t="s">
        <v>32</v>
      </c>
      <c r="F3423" s="3"/>
      <c r="G3423" s="9">
        <v>929</v>
      </c>
      <c r="H3423" s="14">
        <f>SUM(H3424:H3426)</f>
        <v>929</v>
      </c>
      <c r="I3423" s="14"/>
      <c r="J3423" s="14" t="e">
        <f>SUM(J3424:J3426)</f>
        <v>#REF!</v>
      </c>
      <c r="K3423" s="15" t="e">
        <f>SUM(K3424:K3426)</f>
        <v>#REF!</v>
      </c>
      <c r="L3423" s="15">
        <f>SUM(L3424:L3426)</f>
        <v>0</v>
      </c>
      <c r="M3423" s="16" t="e">
        <f>SUM(M3424:M3426)</f>
        <v>#REF!</v>
      </c>
      <c r="N3423" s="60" t="e">
        <f>+SUMIFS(#REF!,#REF!,Planning[[#This Row],[Proyectos]],#REF!,Planning[[#This Row],[Tipo de Tarea y especialidad]])</f>
        <v>#REF!</v>
      </c>
      <c r="O3423" s="16">
        <f t="shared" si="106"/>
        <v>10</v>
      </c>
      <c r="P3423" s="16">
        <f t="shared" si="107"/>
        <v>2024</v>
      </c>
      <c r="Q3423" s="16" t="e">
        <f>SUM(Q3424:Q3426)</f>
        <v>#REF!</v>
      </c>
      <c r="R3423" s="16" t="str">
        <f>TEXT(Planning[[#This Row],[Mes]]*29,"mmmm")</f>
        <v>October</v>
      </c>
      <c r="S34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23" s="193"/>
      <c r="U3423" s="43" t="e">
        <f>IF(Planning[[#This Row],[Horas Planificadas]]&lt;&gt;0,+K3423/Planning[[#This Row],[Horas Planificadas]],0)</f>
        <v>#REF!</v>
      </c>
      <c r="V3423" s="43" t="e">
        <f>IF(Planning[[#This Row],[Horas Planificadas]]&lt;&gt;0,Planning[[#This Row],[Horas utilizadas]]/Planning[[#This Row],[Horas Planificadas]],0)</f>
        <v>#REF!</v>
      </c>
      <c r="W3423" s="44">
        <f>Planning[[#This Row],[Horas Planificadas]]+Planning[[#This Row],[Horas ajustadas adicionales]]</f>
        <v>929</v>
      </c>
      <c r="X3423" s="142"/>
    </row>
    <row r="3424" spans="1:24" ht="12.75" customHeight="1" x14ac:dyDescent="0.2">
      <c r="A3424" s="7" t="s">
        <v>626</v>
      </c>
      <c r="B3424" s="7" t="s">
        <v>178</v>
      </c>
      <c r="C3424" s="3"/>
      <c r="D3424" s="3" t="s">
        <v>627</v>
      </c>
      <c r="E3424" s="4"/>
      <c r="F3424" s="3" t="s">
        <v>129</v>
      </c>
      <c r="G3424" s="9"/>
      <c r="H3424" s="9">
        <v>411</v>
      </c>
      <c r="I3424" s="12"/>
      <c r="J3424" s="5" t="e">
        <f>SUM(SUMIFS(#REF!,#REF!,Planning[[#This Row],[Tipo de Tarea y especialidad]],#REF!,Planning[[#This Row],[Proyectos Reiwa]]),SUMIFS(#REF!,#REF!,Planning[[#This Row],[Tipo de Tarea y especialidad]],#REF!,Planning[[#This Row],[Proyectos]]))</f>
        <v>#REF!</v>
      </c>
      <c r="K3424" s="5" t="e">
        <f>Planning[[#This Row],[Horas Planificadas]]+Planning[[#This Row],[Horas ajustadas adicionales]]-Planning[[#This Row],[Horas utilizadas]]</f>
        <v>#REF!</v>
      </c>
      <c r="L3424" s="7">
        <v>0</v>
      </c>
      <c r="M3424" s="19" t="e">
        <f>Planning[[#This Row],[Saldo]]-Planning[[#This Row],[Saldo estimado]]</f>
        <v>#REF!</v>
      </c>
      <c r="N3424" s="60" t="e">
        <f>+SUMIFS(#REF!,#REF!,Planning[[#This Row],[Proyectos]],#REF!,Planning[[#This Row],[Tipo de Tarea y especialidad]])</f>
        <v>#REF!</v>
      </c>
      <c r="O3424" s="19">
        <f t="shared" si="106"/>
        <v>10</v>
      </c>
      <c r="P3424" s="19">
        <f t="shared" si="107"/>
        <v>2024</v>
      </c>
      <c r="Q34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24" s="19" t="str">
        <f>TEXT(Planning[[#This Row],[Mes]]*29,"mmmm")</f>
        <v>October</v>
      </c>
      <c r="S34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24" s="193"/>
      <c r="U3424" s="43" t="e">
        <f>IF(Planning[[#This Row],[Horas Planificadas]]&lt;&gt;0,+K3424/Planning[[#This Row],[Horas Planificadas]],0)</f>
        <v>#REF!</v>
      </c>
      <c r="V3424" s="43" t="e">
        <f>IF(Planning[[#This Row],[Horas Planificadas]]&lt;&gt;0,Planning[[#This Row],[Horas utilizadas]]/Planning[[#This Row],[Horas Planificadas]],0)</f>
        <v>#REF!</v>
      </c>
      <c r="W3424" s="44">
        <f>Planning[[#This Row],[Horas Planificadas]]+Planning[[#This Row],[Horas ajustadas adicionales]]</f>
        <v>411</v>
      </c>
      <c r="X3424" s="142"/>
    </row>
    <row r="3425" spans="1:24" ht="12.75" customHeight="1" x14ac:dyDescent="0.2">
      <c r="A3425" s="7" t="s">
        <v>626</v>
      </c>
      <c r="B3425" s="7" t="s">
        <v>178</v>
      </c>
      <c r="C3425" s="3"/>
      <c r="D3425" s="3" t="s">
        <v>627</v>
      </c>
      <c r="E3425" s="4"/>
      <c r="F3425" s="3" t="s">
        <v>130</v>
      </c>
      <c r="G3425" s="9"/>
      <c r="H3425" s="9">
        <v>351</v>
      </c>
      <c r="I3425" s="12"/>
      <c r="J3425" s="5" t="e">
        <f>SUM(SUMIFS(#REF!,#REF!,Planning[[#This Row],[Tipo de Tarea y especialidad]],#REF!,Planning[[#This Row],[Proyectos Reiwa]]),SUMIFS(#REF!,#REF!,Planning[[#This Row],[Tipo de Tarea y especialidad]],#REF!,Planning[[#This Row],[Proyectos]]))</f>
        <v>#REF!</v>
      </c>
      <c r="K3425" s="5" t="e">
        <f>Planning[[#This Row],[Horas Planificadas]]+Planning[[#This Row],[Horas ajustadas adicionales]]-Planning[[#This Row],[Horas utilizadas]]</f>
        <v>#REF!</v>
      </c>
      <c r="L3425" s="7">
        <v>0</v>
      </c>
      <c r="M3425" s="19" t="e">
        <f>Planning[[#This Row],[Saldo]]-Planning[[#This Row],[Saldo estimado]]</f>
        <v>#REF!</v>
      </c>
      <c r="N3425" s="60" t="e">
        <f>+SUMIFS(#REF!,#REF!,Planning[[#This Row],[Proyectos]],#REF!,Planning[[#This Row],[Tipo de Tarea y especialidad]])</f>
        <v>#REF!</v>
      </c>
      <c r="O3425" s="19">
        <f t="shared" si="106"/>
        <v>10</v>
      </c>
      <c r="P3425" s="19">
        <f t="shared" si="107"/>
        <v>2024</v>
      </c>
      <c r="Q34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25" s="19" t="str">
        <f>TEXT(Planning[[#This Row],[Mes]]*29,"mmmm")</f>
        <v>October</v>
      </c>
      <c r="S34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25" s="193"/>
      <c r="U3425" s="43" t="e">
        <f>IF(Planning[[#This Row],[Horas Planificadas]]&lt;&gt;0,+K3425/Planning[[#This Row],[Horas Planificadas]],0)</f>
        <v>#REF!</v>
      </c>
      <c r="V3425" s="43" t="e">
        <f>IF(Planning[[#This Row],[Horas Planificadas]]&lt;&gt;0,Planning[[#This Row],[Horas utilizadas]]/Planning[[#This Row],[Horas Planificadas]],0)</f>
        <v>#REF!</v>
      </c>
      <c r="W3425" s="44">
        <f>Planning[[#This Row],[Horas Planificadas]]+Planning[[#This Row],[Horas ajustadas adicionales]]</f>
        <v>351</v>
      </c>
      <c r="X3425" s="142"/>
    </row>
    <row r="3426" spans="1:24" ht="12.75" customHeight="1" x14ac:dyDescent="0.2">
      <c r="A3426" s="7" t="s">
        <v>626</v>
      </c>
      <c r="B3426" s="7" t="s">
        <v>178</v>
      </c>
      <c r="C3426" s="3"/>
      <c r="D3426" s="3" t="s">
        <v>627</v>
      </c>
      <c r="E3426" s="4"/>
      <c r="F3426" s="3" t="s">
        <v>131</v>
      </c>
      <c r="G3426" s="9"/>
      <c r="H3426" s="9">
        <v>167</v>
      </c>
      <c r="I3426" s="12"/>
      <c r="J3426" s="5" t="e">
        <f>SUM(SUMIFS(#REF!,#REF!,Planning[[#This Row],[Tipo de Tarea y especialidad]],#REF!,Planning[[#This Row],[Proyectos Reiwa]]),SUMIFS(#REF!,#REF!,Planning[[#This Row],[Tipo de Tarea y especialidad]],#REF!,Planning[[#This Row],[Proyectos]]))</f>
        <v>#REF!</v>
      </c>
      <c r="K3426" s="5" t="e">
        <f>Planning[[#This Row],[Horas Planificadas]]+Planning[[#This Row],[Horas ajustadas adicionales]]-Planning[[#This Row],[Horas utilizadas]]</f>
        <v>#REF!</v>
      </c>
      <c r="L3426" s="7">
        <v>0</v>
      </c>
      <c r="M3426" s="19" t="e">
        <f>Planning[[#This Row],[Saldo]]-Planning[[#This Row],[Saldo estimado]]</f>
        <v>#REF!</v>
      </c>
      <c r="N3426" s="60" t="e">
        <f>+SUMIFS(#REF!,#REF!,Planning[[#This Row],[Proyectos]],#REF!,Planning[[#This Row],[Tipo de Tarea y especialidad]])</f>
        <v>#REF!</v>
      </c>
      <c r="O3426" s="19">
        <f t="shared" si="106"/>
        <v>10</v>
      </c>
      <c r="P3426" s="19">
        <f t="shared" si="107"/>
        <v>2024</v>
      </c>
      <c r="Q34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26" s="19" t="str">
        <f>TEXT(Planning[[#This Row],[Mes]]*29,"mmmm")</f>
        <v>October</v>
      </c>
      <c r="S34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26" s="193"/>
      <c r="U3426" s="43" t="e">
        <f>IF(Planning[[#This Row],[Horas Planificadas]]&lt;&gt;0,+K3426/Planning[[#This Row],[Horas Planificadas]],0)</f>
        <v>#REF!</v>
      </c>
      <c r="V3426" s="43" t="e">
        <f>IF(Planning[[#This Row],[Horas Planificadas]]&lt;&gt;0,Planning[[#This Row],[Horas utilizadas]]/Planning[[#This Row],[Horas Planificadas]],0)</f>
        <v>#REF!</v>
      </c>
      <c r="W3426" s="44">
        <f>Planning[[#This Row],[Horas Planificadas]]+Planning[[#This Row],[Horas ajustadas adicionales]]</f>
        <v>167</v>
      </c>
      <c r="X3426" s="142"/>
    </row>
    <row r="3427" spans="1:24" ht="12.75" customHeight="1" x14ac:dyDescent="0.2">
      <c r="A3427" s="7" t="s">
        <v>204</v>
      </c>
      <c r="B3427" s="7" t="s">
        <v>288</v>
      </c>
      <c r="C3427" s="3"/>
      <c r="D3427" s="3" t="s">
        <v>629</v>
      </c>
      <c r="E3427" s="4" t="s">
        <v>28</v>
      </c>
      <c r="F3427" s="3"/>
      <c r="G3427" s="9">
        <v>375</v>
      </c>
      <c r="H3427" s="14">
        <f>SUM(H3428:H3429)</f>
        <v>375</v>
      </c>
      <c r="I3427" s="14"/>
      <c r="J3427" s="14" t="e">
        <f>SUM(J3428:J3429)</f>
        <v>#REF!</v>
      </c>
      <c r="K3427" s="15" t="e">
        <f>SUM(K3428:K3429)</f>
        <v>#REF!</v>
      </c>
      <c r="L3427" s="15">
        <f>SUM(L3428:L3429)</f>
        <v>149</v>
      </c>
      <c r="M3427" s="14" t="e">
        <f>SUM(M3428:M3429)</f>
        <v>#REF!</v>
      </c>
      <c r="N3427" s="66" t="e">
        <f>+SUMIFS(#REF!,#REF!,Planning[[#This Row],[Proyectos]],#REF!,Planning[[#This Row],[Tipo de Tarea y especialidad]])</f>
        <v>#REF!</v>
      </c>
      <c r="O3427" s="14">
        <f t="shared" si="106"/>
        <v>10</v>
      </c>
      <c r="P3427" s="14">
        <f t="shared" si="107"/>
        <v>2024</v>
      </c>
      <c r="Q3427" s="28" t="e">
        <f>SUM(Q3428:Q3429)</f>
        <v>#REF!</v>
      </c>
      <c r="R3427" s="28" t="str">
        <f>TEXT(Planning[[#This Row],[Mes]]*29,"mmmm")</f>
        <v>October</v>
      </c>
      <c r="S34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27" s="207" t="s">
        <v>630</v>
      </c>
      <c r="U3427" s="43" t="e">
        <f>IF(Planning[[#This Row],[Horas Planificadas]]&lt;&gt;0,+K3427/Planning[[#This Row],[Horas Planificadas]],0)</f>
        <v>#REF!</v>
      </c>
      <c r="V3427" s="43" t="e">
        <f>IF(Planning[[#This Row],[Horas Planificadas]]&lt;&gt;0,Planning[[#This Row],[Horas utilizadas]]/Planning[[#This Row],[Horas Planificadas]],0)</f>
        <v>#REF!</v>
      </c>
      <c r="W3427" s="44">
        <f>Planning[[#This Row],[Horas Planificadas]]+Planning[[#This Row],[Horas ajustadas adicionales]]</f>
        <v>375</v>
      </c>
      <c r="X3427" s="142"/>
    </row>
    <row r="3428" spans="1:24" ht="12.75" customHeight="1" x14ac:dyDescent="0.2">
      <c r="A3428" s="7" t="s">
        <v>204</v>
      </c>
      <c r="B3428" s="7" t="s">
        <v>288</v>
      </c>
      <c r="C3428" s="3"/>
      <c r="D3428" s="3" t="s">
        <v>629</v>
      </c>
      <c r="E3428" s="4"/>
      <c r="F3428" s="3" t="s">
        <v>120</v>
      </c>
      <c r="G3428" s="9"/>
      <c r="H3428" s="9">
        <v>290</v>
      </c>
      <c r="I3428" s="12"/>
      <c r="J3428" s="5" t="e">
        <f>SUM(SUMIFS(#REF!,#REF!,Planning[[#This Row],[Tipo de Tarea y especialidad]],#REF!,Planning[[#This Row],[Proyectos Reiwa]]),SUMIFS(#REF!,#REF!,Planning[[#This Row],[Tipo de Tarea y especialidad]],#REF!,Planning[[#This Row],[Proyectos]]))</f>
        <v>#REF!</v>
      </c>
      <c r="K3428" s="5" t="e">
        <f>Planning[[#This Row],[Horas Planificadas]]+Planning[[#This Row],[Horas ajustadas adicionales]]-Planning[[#This Row],[Horas utilizadas]]</f>
        <v>#REF!</v>
      </c>
      <c r="L3428" s="7">
        <v>119</v>
      </c>
      <c r="M3428" s="19" t="e">
        <f>Planning[[#This Row],[Saldo]]-Planning[[#This Row],[Saldo estimado]]</f>
        <v>#REF!</v>
      </c>
      <c r="N3428" s="60" t="e">
        <f>+SUMIFS(#REF!,#REF!,Planning[[#This Row],[Proyectos]],#REF!,Planning[[#This Row],[Tipo de Tarea y especialidad]])</f>
        <v>#REF!</v>
      </c>
      <c r="O3428" s="19">
        <f t="shared" si="106"/>
        <v>10</v>
      </c>
      <c r="P3428" s="19">
        <f t="shared" si="107"/>
        <v>2024</v>
      </c>
      <c r="Q34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28" s="19" t="str">
        <f>TEXT(Planning[[#This Row],[Mes]]*29,"mmmm")</f>
        <v>October</v>
      </c>
      <c r="S34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28" s="208"/>
      <c r="U3428" s="43" t="e">
        <f>IF(Planning[[#This Row],[Horas Planificadas]]&lt;&gt;0,+K3428/Planning[[#This Row],[Horas Planificadas]],0)</f>
        <v>#REF!</v>
      </c>
      <c r="V3428" s="43" t="e">
        <f>IF(Planning[[#This Row],[Horas Planificadas]]&lt;&gt;0,Planning[[#This Row],[Horas utilizadas]]/Planning[[#This Row],[Horas Planificadas]],0)</f>
        <v>#REF!</v>
      </c>
      <c r="W3428" s="44">
        <f>Planning[[#This Row],[Horas Planificadas]]+Planning[[#This Row],[Horas ajustadas adicionales]]</f>
        <v>290</v>
      </c>
      <c r="X3428" s="142"/>
    </row>
    <row r="3429" spans="1:24" ht="12.75" customHeight="1" x14ac:dyDescent="0.2">
      <c r="A3429" s="7" t="s">
        <v>204</v>
      </c>
      <c r="B3429" s="7" t="s">
        <v>288</v>
      </c>
      <c r="C3429" s="3"/>
      <c r="D3429" s="3" t="s">
        <v>629</v>
      </c>
      <c r="E3429" s="4"/>
      <c r="F3429" s="3" t="s">
        <v>121</v>
      </c>
      <c r="G3429" s="9"/>
      <c r="H3429" s="9">
        <v>85</v>
      </c>
      <c r="I3429" s="12"/>
      <c r="J3429" s="5" t="e">
        <f>SUM(SUMIFS(#REF!,#REF!,Planning[[#This Row],[Tipo de Tarea y especialidad]],#REF!,Planning[[#This Row],[Proyectos Reiwa]]),SUMIFS(#REF!,#REF!,Planning[[#This Row],[Tipo de Tarea y especialidad]],#REF!,Planning[[#This Row],[Proyectos]]))</f>
        <v>#REF!</v>
      </c>
      <c r="K3429" s="5" t="e">
        <f>Planning[[#This Row],[Horas Planificadas]]+Planning[[#This Row],[Horas ajustadas adicionales]]-Planning[[#This Row],[Horas utilizadas]]</f>
        <v>#REF!</v>
      </c>
      <c r="L3429" s="7">
        <v>30</v>
      </c>
      <c r="M3429" s="19" t="e">
        <f>Planning[[#This Row],[Saldo]]-Planning[[#This Row],[Saldo estimado]]</f>
        <v>#REF!</v>
      </c>
      <c r="N3429" s="60" t="e">
        <f>+SUMIFS(#REF!,#REF!,Planning[[#This Row],[Proyectos]],#REF!,Planning[[#This Row],[Tipo de Tarea y especialidad]])</f>
        <v>#REF!</v>
      </c>
      <c r="O3429" s="19">
        <f t="shared" si="106"/>
        <v>10</v>
      </c>
      <c r="P3429" s="19">
        <f t="shared" si="107"/>
        <v>2024</v>
      </c>
      <c r="Q34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29" s="19" t="str">
        <f>TEXT(Planning[[#This Row],[Mes]]*29,"mmmm")</f>
        <v>October</v>
      </c>
      <c r="S34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29" s="208"/>
      <c r="U3429" s="43" t="e">
        <f>IF(Planning[[#This Row],[Horas Planificadas]]&lt;&gt;0,+K3429/Planning[[#This Row],[Horas Planificadas]],0)</f>
        <v>#REF!</v>
      </c>
      <c r="V3429" s="43" t="e">
        <f>IF(Planning[[#This Row],[Horas Planificadas]]&lt;&gt;0,Planning[[#This Row],[Horas utilizadas]]/Planning[[#This Row],[Horas Planificadas]],0)</f>
        <v>#REF!</v>
      </c>
      <c r="W3429" s="44">
        <f>Planning[[#This Row],[Horas Planificadas]]+Planning[[#This Row],[Horas ajustadas adicionales]]</f>
        <v>85</v>
      </c>
      <c r="X3429" s="142"/>
    </row>
    <row r="3430" spans="1:24" ht="12.75" customHeight="1" x14ac:dyDescent="0.2">
      <c r="A3430" s="7" t="s">
        <v>204</v>
      </c>
      <c r="B3430" s="7" t="s">
        <v>288</v>
      </c>
      <c r="C3430" s="3"/>
      <c r="D3430" s="3" t="s">
        <v>629</v>
      </c>
      <c r="E3430" s="4" t="s">
        <v>30</v>
      </c>
      <c r="F3430" s="3"/>
      <c r="G3430" s="9">
        <v>451</v>
      </c>
      <c r="H3430" s="14">
        <f>SUM(H3431:H3437)</f>
        <v>451</v>
      </c>
      <c r="I3430" s="14"/>
      <c r="J3430" s="14" t="e">
        <f>SUM(J3431:J3437)</f>
        <v>#REF!</v>
      </c>
      <c r="K3430" s="15" t="e">
        <f>SUM(K3431:K3437)</f>
        <v>#REF!</v>
      </c>
      <c r="L3430" s="15">
        <f>SUM(L3431:L3437)</f>
        <v>189</v>
      </c>
      <c r="M3430" s="16" t="e">
        <f>SUM(M3431:M3437)</f>
        <v>#REF!</v>
      </c>
      <c r="N3430" s="60" t="e">
        <f>+SUMIFS(#REF!,#REF!,Planning[[#This Row],[Proyectos]],#REF!,Planning[[#This Row],[Tipo de Tarea y especialidad]])</f>
        <v>#REF!</v>
      </c>
      <c r="O3430" s="16">
        <f t="shared" si="106"/>
        <v>10</v>
      </c>
      <c r="P3430" s="16">
        <f t="shared" si="107"/>
        <v>2024</v>
      </c>
      <c r="Q3430" s="16" t="e">
        <f>SUM(Q3431:Q3437)</f>
        <v>#REF!</v>
      </c>
      <c r="R3430" s="16" t="str">
        <f>TEXT(Planning[[#This Row],[Mes]]*29,"mmmm")</f>
        <v>October</v>
      </c>
      <c r="S34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30" s="208"/>
      <c r="U3430" s="43" t="e">
        <f>IF(Planning[[#This Row],[Horas Planificadas]]&lt;&gt;0,+K3430/Planning[[#This Row],[Horas Planificadas]],0)</f>
        <v>#REF!</v>
      </c>
      <c r="V3430" s="43" t="e">
        <f>IF(Planning[[#This Row],[Horas Planificadas]]&lt;&gt;0,Planning[[#This Row],[Horas utilizadas]]/Planning[[#This Row],[Horas Planificadas]],0)</f>
        <v>#REF!</v>
      </c>
      <c r="W3430" s="44">
        <f>Planning[[#This Row],[Horas Planificadas]]+Planning[[#This Row],[Horas ajustadas adicionales]]</f>
        <v>451</v>
      </c>
      <c r="X3430" s="142"/>
    </row>
    <row r="3431" spans="1:24" ht="12.75" customHeight="1" x14ac:dyDescent="0.2">
      <c r="A3431" s="7" t="s">
        <v>204</v>
      </c>
      <c r="B3431" s="7" t="s">
        <v>288</v>
      </c>
      <c r="C3431" s="3"/>
      <c r="D3431" s="3" t="s">
        <v>629</v>
      </c>
      <c r="E3431" s="4"/>
      <c r="F3431" s="3" t="s">
        <v>122</v>
      </c>
      <c r="G3431" s="9"/>
      <c r="H3431" s="9"/>
      <c r="I3431" s="12"/>
      <c r="J3431" s="5" t="e">
        <f>SUM(SUMIFS(#REF!,#REF!,Planning[[#This Row],[Tipo de Tarea y especialidad]],#REF!,Planning[[#This Row],[Proyectos Reiwa]]),SUMIFS(#REF!,#REF!,Planning[[#This Row],[Tipo de Tarea y especialidad]],#REF!,Planning[[#This Row],[Proyectos]]))</f>
        <v>#REF!</v>
      </c>
      <c r="K3431" s="5" t="e">
        <f>Planning[[#This Row],[Horas Planificadas]]+Planning[[#This Row],[Horas ajustadas adicionales]]-Planning[[#This Row],[Horas utilizadas]]</f>
        <v>#REF!</v>
      </c>
      <c r="L3431" s="7"/>
      <c r="M3431" s="19" t="e">
        <f>Planning[[#This Row],[Saldo]]-Planning[[#This Row],[Saldo estimado]]</f>
        <v>#REF!</v>
      </c>
      <c r="N3431" s="60" t="e">
        <f>+SUMIFS(#REF!,#REF!,Planning[[#This Row],[Proyectos]],#REF!,Planning[[#This Row],[Tipo de Tarea y especialidad]])</f>
        <v>#REF!</v>
      </c>
      <c r="O3431" s="19">
        <f t="shared" si="106"/>
        <v>10</v>
      </c>
      <c r="P3431" s="19">
        <f t="shared" si="107"/>
        <v>2024</v>
      </c>
      <c r="Q34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31" s="19" t="str">
        <f>TEXT(Planning[[#This Row],[Mes]]*29,"mmmm")</f>
        <v>October</v>
      </c>
      <c r="S34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31" s="208"/>
      <c r="U3431" s="43">
        <f>IF(Planning[[#This Row],[Horas Planificadas]]&lt;&gt;0,+K3431/Planning[[#This Row],[Horas Planificadas]],0)</f>
        <v>0</v>
      </c>
      <c r="V3431" s="43">
        <f>IF(Planning[[#This Row],[Horas Planificadas]]&lt;&gt;0,Planning[[#This Row],[Horas utilizadas]]/Planning[[#This Row],[Horas Planificadas]],0)</f>
        <v>0</v>
      </c>
      <c r="W3431" s="44">
        <f>Planning[[#This Row],[Horas Planificadas]]+Planning[[#This Row],[Horas ajustadas adicionales]]</f>
        <v>0</v>
      </c>
      <c r="X3431" s="142"/>
    </row>
    <row r="3432" spans="1:24" ht="12.75" customHeight="1" x14ac:dyDescent="0.2">
      <c r="A3432" s="7" t="s">
        <v>204</v>
      </c>
      <c r="B3432" s="7" t="s">
        <v>288</v>
      </c>
      <c r="C3432" s="3"/>
      <c r="D3432" s="3" t="s">
        <v>629</v>
      </c>
      <c r="E3432" s="4"/>
      <c r="F3432" s="3" t="s">
        <v>123</v>
      </c>
      <c r="G3432" s="9"/>
      <c r="H3432" s="9">
        <v>261</v>
      </c>
      <c r="I3432" s="12"/>
      <c r="J3432" s="5" t="e">
        <f>SUM(SUMIFS(#REF!,#REF!,Planning[[#This Row],[Tipo de Tarea y especialidad]],#REF!,Planning[[#This Row],[Proyectos Reiwa]]),SUMIFS(#REF!,#REF!,Planning[[#This Row],[Tipo de Tarea y especialidad]],#REF!,Planning[[#This Row],[Proyectos]]))</f>
        <v>#REF!</v>
      </c>
      <c r="K3432" s="5" t="e">
        <f>Planning[[#This Row],[Horas Planificadas]]+Planning[[#This Row],[Horas ajustadas adicionales]]-Planning[[#This Row],[Horas utilizadas]]</f>
        <v>#REF!</v>
      </c>
      <c r="L3432" s="7">
        <v>69</v>
      </c>
      <c r="M3432" s="19" t="e">
        <f>Planning[[#This Row],[Saldo]]-Planning[[#This Row],[Saldo estimado]]</f>
        <v>#REF!</v>
      </c>
      <c r="N3432" s="60" t="e">
        <f>+SUMIFS(#REF!,#REF!,Planning[[#This Row],[Proyectos]],#REF!,Planning[[#This Row],[Tipo de Tarea y especialidad]])</f>
        <v>#REF!</v>
      </c>
      <c r="O3432" s="19">
        <f t="shared" si="106"/>
        <v>10</v>
      </c>
      <c r="P3432" s="19">
        <f t="shared" si="107"/>
        <v>2024</v>
      </c>
      <c r="Q34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32" s="19" t="str">
        <f>TEXT(Planning[[#This Row],[Mes]]*29,"mmmm")</f>
        <v>October</v>
      </c>
      <c r="S34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32" s="208"/>
      <c r="U3432" s="43" t="e">
        <f>IF(Planning[[#This Row],[Horas Planificadas]]&lt;&gt;0,+K3432/Planning[[#This Row],[Horas Planificadas]],0)</f>
        <v>#REF!</v>
      </c>
      <c r="V3432" s="43" t="e">
        <f>IF(Planning[[#This Row],[Horas Planificadas]]&lt;&gt;0,Planning[[#This Row],[Horas utilizadas]]/Planning[[#This Row],[Horas Planificadas]],0)</f>
        <v>#REF!</v>
      </c>
      <c r="W3432" s="44">
        <f>Planning[[#This Row],[Horas Planificadas]]+Planning[[#This Row],[Horas ajustadas adicionales]]</f>
        <v>261</v>
      </c>
      <c r="X3432" s="142"/>
    </row>
    <row r="3433" spans="1:24" ht="12.75" customHeight="1" x14ac:dyDescent="0.2">
      <c r="A3433" s="7" t="s">
        <v>204</v>
      </c>
      <c r="B3433" s="7" t="s">
        <v>288</v>
      </c>
      <c r="C3433" s="3"/>
      <c r="D3433" s="3" t="s">
        <v>629</v>
      </c>
      <c r="E3433" s="4"/>
      <c r="F3433" s="3" t="s">
        <v>124</v>
      </c>
      <c r="G3433" s="9"/>
      <c r="H3433" s="9">
        <v>190</v>
      </c>
      <c r="I3433" s="12"/>
      <c r="J3433" s="5" t="e">
        <f>SUM(SUMIFS(#REF!,#REF!,Planning[[#This Row],[Tipo de Tarea y especialidad]],#REF!,Planning[[#This Row],[Proyectos Reiwa]]),SUMIFS(#REF!,#REF!,Planning[[#This Row],[Tipo de Tarea y especialidad]],#REF!,Planning[[#This Row],[Proyectos]]))</f>
        <v>#REF!</v>
      </c>
      <c r="K3433" s="5" t="e">
        <f>Planning[[#This Row],[Horas Planificadas]]+Planning[[#This Row],[Horas ajustadas adicionales]]-Planning[[#This Row],[Horas utilizadas]]</f>
        <v>#REF!</v>
      </c>
      <c r="L3433" s="7">
        <v>20</v>
      </c>
      <c r="M3433" s="19" t="e">
        <f>Planning[[#This Row],[Saldo]]-Planning[[#This Row],[Saldo estimado]]</f>
        <v>#REF!</v>
      </c>
      <c r="N3433" s="60" t="e">
        <f>+SUMIFS(#REF!,#REF!,Planning[[#This Row],[Proyectos]],#REF!,Planning[[#This Row],[Tipo de Tarea y especialidad]])</f>
        <v>#REF!</v>
      </c>
      <c r="O3433" s="19">
        <f t="shared" si="106"/>
        <v>10</v>
      </c>
      <c r="P3433" s="19">
        <f t="shared" si="107"/>
        <v>2024</v>
      </c>
      <c r="Q34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33" s="19" t="str">
        <f>TEXT(Planning[[#This Row],[Mes]]*29,"mmmm")</f>
        <v>October</v>
      </c>
      <c r="S34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33" s="208"/>
      <c r="U3433" s="43" t="e">
        <f>IF(Planning[[#This Row],[Horas Planificadas]]&lt;&gt;0,+K3433/Planning[[#This Row],[Horas Planificadas]],0)</f>
        <v>#REF!</v>
      </c>
      <c r="V3433" s="43" t="e">
        <f>IF(Planning[[#This Row],[Horas Planificadas]]&lt;&gt;0,Planning[[#This Row],[Horas utilizadas]]/Planning[[#This Row],[Horas Planificadas]],0)</f>
        <v>#REF!</v>
      </c>
      <c r="W3433" s="44">
        <f>Planning[[#This Row],[Horas Planificadas]]+Planning[[#This Row],[Horas ajustadas adicionales]]</f>
        <v>190</v>
      </c>
      <c r="X3433" s="142"/>
    </row>
    <row r="3434" spans="1:24" ht="12.75" customHeight="1" x14ac:dyDescent="0.2">
      <c r="A3434" s="7" t="s">
        <v>204</v>
      </c>
      <c r="B3434" s="7" t="s">
        <v>288</v>
      </c>
      <c r="C3434" s="3"/>
      <c r="D3434" s="3" t="s">
        <v>629</v>
      </c>
      <c r="E3434" s="4"/>
      <c r="F3434" s="3" t="s">
        <v>125</v>
      </c>
      <c r="G3434" s="9"/>
      <c r="H3434" s="9"/>
      <c r="I3434" s="12"/>
      <c r="J3434" s="5" t="e">
        <f>SUM(SUMIFS(#REF!,#REF!,Planning[[#This Row],[Tipo de Tarea y especialidad]],#REF!,Planning[[#This Row],[Proyectos Reiwa]]),SUMIFS(#REF!,#REF!,Planning[[#This Row],[Tipo de Tarea y especialidad]],#REF!,Planning[[#This Row],[Proyectos]]))</f>
        <v>#REF!</v>
      </c>
      <c r="K3434" s="5" t="e">
        <f>Planning[[#This Row],[Horas Planificadas]]+Planning[[#This Row],[Horas ajustadas adicionales]]-Planning[[#This Row],[Horas utilizadas]]</f>
        <v>#REF!</v>
      </c>
      <c r="L3434" s="7"/>
      <c r="M3434" s="19" t="e">
        <f>Planning[[#This Row],[Saldo]]-Planning[[#This Row],[Saldo estimado]]</f>
        <v>#REF!</v>
      </c>
      <c r="N3434" s="60" t="e">
        <f>+SUMIFS(#REF!,#REF!,Planning[[#This Row],[Proyectos]],#REF!,Planning[[#This Row],[Tipo de Tarea y especialidad]])</f>
        <v>#REF!</v>
      </c>
      <c r="O3434" s="19">
        <f t="shared" si="106"/>
        <v>10</v>
      </c>
      <c r="P3434" s="19">
        <f t="shared" si="107"/>
        <v>2024</v>
      </c>
      <c r="Q34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34" s="19" t="str">
        <f>TEXT(Planning[[#This Row],[Mes]]*29,"mmmm")</f>
        <v>October</v>
      </c>
      <c r="S34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34" s="208"/>
      <c r="U3434" s="43">
        <f>IF(Planning[[#This Row],[Horas Planificadas]]&lt;&gt;0,+K3434/Planning[[#This Row],[Horas Planificadas]],0)</f>
        <v>0</v>
      </c>
      <c r="V3434" s="43">
        <f>IF(Planning[[#This Row],[Horas Planificadas]]&lt;&gt;0,Planning[[#This Row],[Horas utilizadas]]/Planning[[#This Row],[Horas Planificadas]],0)</f>
        <v>0</v>
      </c>
      <c r="W3434" s="44">
        <f>Planning[[#This Row],[Horas Planificadas]]+Planning[[#This Row],[Horas ajustadas adicionales]]</f>
        <v>0</v>
      </c>
      <c r="X3434" s="142"/>
    </row>
    <row r="3435" spans="1:24" ht="12.75" customHeight="1" x14ac:dyDescent="0.2">
      <c r="A3435" s="7" t="s">
        <v>204</v>
      </c>
      <c r="B3435" s="7" t="s">
        <v>288</v>
      </c>
      <c r="C3435" s="3"/>
      <c r="D3435" s="3" t="s">
        <v>629</v>
      </c>
      <c r="E3435" s="4"/>
      <c r="F3435" s="3" t="s">
        <v>126</v>
      </c>
      <c r="G3435" s="9"/>
      <c r="H3435" s="9"/>
      <c r="I3435" s="12"/>
      <c r="J3435" s="5" t="e">
        <f>SUM(SUMIFS(#REF!,#REF!,Planning[[#This Row],[Tipo de Tarea y especialidad]],#REF!,Planning[[#This Row],[Proyectos Reiwa]]),SUMIFS(#REF!,#REF!,Planning[[#This Row],[Tipo de Tarea y especialidad]],#REF!,Planning[[#This Row],[Proyectos]]))</f>
        <v>#REF!</v>
      </c>
      <c r="K3435" s="5" t="e">
        <f>Planning[[#This Row],[Horas Planificadas]]+Planning[[#This Row],[Horas ajustadas adicionales]]-Planning[[#This Row],[Horas utilizadas]]</f>
        <v>#REF!</v>
      </c>
      <c r="L3435" s="7"/>
      <c r="M3435" s="19" t="e">
        <f>Planning[[#This Row],[Saldo]]-Planning[[#This Row],[Saldo estimado]]</f>
        <v>#REF!</v>
      </c>
      <c r="N3435" s="60" t="e">
        <f>+SUMIFS(#REF!,#REF!,Planning[[#This Row],[Proyectos]],#REF!,Planning[[#This Row],[Tipo de Tarea y especialidad]])</f>
        <v>#REF!</v>
      </c>
      <c r="O3435" s="19">
        <f t="shared" si="106"/>
        <v>10</v>
      </c>
      <c r="P3435" s="19">
        <f t="shared" si="107"/>
        <v>2024</v>
      </c>
      <c r="Q34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35" s="19" t="str">
        <f>TEXT(Planning[[#This Row],[Mes]]*29,"mmmm")</f>
        <v>October</v>
      </c>
      <c r="S34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35" s="208"/>
      <c r="U3435" s="43">
        <f>IF(Planning[[#This Row],[Horas Planificadas]]&lt;&gt;0,+K3435/Planning[[#This Row],[Horas Planificadas]],0)</f>
        <v>0</v>
      </c>
      <c r="V3435" s="43">
        <f>IF(Planning[[#This Row],[Horas Planificadas]]&lt;&gt;0,Planning[[#This Row],[Horas utilizadas]]/Planning[[#This Row],[Horas Planificadas]],0)</f>
        <v>0</v>
      </c>
      <c r="W3435" s="44">
        <f>Planning[[#This Row],[Horas Planificadas]]+Planning[[#This Row],[Horas ajustadas adicionales]]</f>
        <v>0</v>
      </c>
      <c r="X3435" s="142"/>
    </row>
    <row r="3436" spans="1:24" ht="12.75" customHeight="1" x14ac:dyDescent="0.2">
      <c r="A3436" s="7" t="s">
        <v>204</v>
      </c>
      <c r="B3436" s="7" t="s">
        <v>288</v>
      </c>
      <c r="C3436" s="3"/>
      <c r="D3436" s="3" t="s">
        <v>629</v>
      </c>
      <c r="E3436" s="4"/>
      <c r="F3436" s="3" t="s">
        <v>127</v>
      </c>
      <c r="G3436" s="9"/>
      <c r="H3436" s="9"/>
      <c r="I3436" s="12"/>
      <c r="J3436" s="5" t="e">
        <f>SUM(SUMIFS(#REF!,#REF!,Planning[[#This Row],[Tipo de Tarea y especialidad]],#REF!,Planning[[#This Row],[Proyectos Reiwa]]),SUMIFS(#REF!,#REF!,Planning[[#This Row],[Tipo de Tarea y especialidad]],#REF!,Planning[[#This Row],[Proyectos]]))</f>
        <v>#REF!</v>
      </c>
      <c r="K3436" s="5" t="e">
        <f>Planning[[#This Row],[Horas Planificadas]]+Planning[[#This Row],[Horas ajustadas adicionales]]-Planning[[#This Row],[Horas utilizadas]]</f>
        <v>#REF!</v>
      </c>
      <c r="L3436" s="7"/>
      <c r="M3436" s="19" t="e">
        <f>Planning[[#This Row],[Saldo]]-Planning[[#This Row],[Saldo estimado]]</f>
        <v>#REF!</v>
      </c>
      <c r="N3436" s="60" t="e">
        <f>+SUMIFS(#REF!,#REF!,Planning[[#This Row],[Proyectos]],#REF!,Planning[[#This Row],[Tipo de Tarea y especialidad]])</f>
        <v>#REF!</v>
      </c>
      <c r="O3436" s="19">
        <f t="shared" si="106"/>
        <v>10</v>
      </c>
      <c r="P3436" s="19">
        <f t="shared" si="107"/>
        <v>2024</v>
      </c>
      <c r="Q34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36" s="19" t="str">
        <f>TEXT(Planning[[#This Row],[Mes]]*29,"mmmm")</f>
        <v>October</v>
      </c>
      <c r="S34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36" s="208"/>
      <c r="U3436" s="43">
        <f>IF(Planning[[#This Row],[Horas Planificadas]]&lt;&gt;0,+K3436/Planning[[#This Row],[Horas Planificadas]],0)</f>
        <v>0</v>
      </c>
      <c r="V3436" s="43">
        <f>IF(Planning[[#This Row],[Horas Planificadas]]&lt;&gt;0,Planning[[#This Row],[Horas utilizadas]]/Planning[[#This Row],[Horas Planificadas]],0)</f>
        <v>0</v>
      </c>
      <c r="W3436" s="44">
        <f>Planning[[#This Row],[Horas Planificadas]]+Planning[[#This Row],[Horas ajustadas adicionales]]</f>
        <v>0</v>
      </c>
      <c r="X3436" s="142"/>
    </row>
    <row r="3437" spans="1:24" ht="12.75" customHeight="1" x14ac:dyDescent="0.2">
      <c r="A3437" s="7" t="s">
        <v>204</v>
      </c>
      <c r="B3437" s="7" t="s">
        <v>288</v>
      </c>
      <c r="C3437" s="3"/>
      <c r="D3437" s="3" t="s">
        <v>629</v>
      </c>
      <c r="E3437" s="4"/>
      <c r="F3437" s="3" t="s">
        <v>128</v>
      </c>
      <c r="G3437" s="9"/>
      <c r="H3437" s="9"/>
      <c r="I3437" s="12"/>
      <c r="J3437" s="5" t="e">
        <f>SUM(SUMIFS(#REF!,#REF!,Planning[[#This Row],[Tipo de Tarea y especialidad]],#REF!,Planning[[#This Row],[Proyectos Reiwa]]),SUMIFS(#REF!,#REF!,Planning[[#This Row],[Tipo de Tarea y especialidad]],#REF!,Planning[[#This Row],[Proyectos]]))</f>
        <v>#REF!</v>
      </c>
      <c r="K3437" s="5" t="e">
        <f>Planning[[#This Row],[Horas Planificadas]]+Planning[[#This Row],[Horas ajustadas adicionales]]-Planning[[#This Row],[Horas utilizadas]]</f>
        <v>#REF!</v>
      </c>
      <c r="L3437" s="7">
        <v>100</v>
      </c>
      <c r="M3437" s="19" t="e">
        <f>Planning[[#This Row],[Saldo]]-Planning[[#This Row],[Saldo estimado]]</f>
        <v>#REF!</v>
      </c>
      <c r="N3437" s="60" t="e">
        <f>+SUMIFS(#REF!,#REF!,Planning[[#This Row],[Proyectos]],#REF!,Planning[[#This Row],[Tipo de Tarea y especialidad]])</f>
        <v>#REF!</v>
      </c>
      <c r="O3437" s="19">
        <f t="shared" si="106"/>
        <v>10</v>
      </c>
      <c r="P3437" s="19">
        <f t="shared" si="107"/>
        <v>2024</v>
      </c>
      <c r="Q34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37" s="19" t="str">
        <f>TEXT(Planning[[#This Row],[Mes]]*29,"mmmm")</f>
        <v>October</v>
      </c>
      <c r="S34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37" s="208"/>
      <c r="U3437" s="43">
        <f>IF(Planning[[#This Row],[Horas Planificadas]]&lt;&gt;0,+K3437/Planning[[#This Row],[Horas Planificadas]],0)</f>
        <v>0</v>
      </c>
      <c r="V3437" s="43">
        <f>IF(Planning[[#This Row],[Horas Planificadas]]&lt;&gt;0,Planning[[#This Row],[Horas utilizadas]]/Planning[[#This Row],[Horas Planificadas]],0)</f>
        <v>0</v>
      </c>
      <c r="W3437" s="44">
        <f>Planning[[#This Row],[Horas Planificadas]]+Planning[[#This Row],[Horas ajustadas adicionales]]</f>
        <v>0</v>
      </c>
      <c r="X3437" s="142"/>
    </row>
    <row r="3438" spans="1:24" ht="12.75" customHeight="1" x14ac:dyDescent="0.2">
      <c r="A3438" s="7" t="s">
        <v>204</v>
      </c>
      <c r="B3438" s="7" t="s">
        <v>288</v>
      </c>
      <c r="C3438" s="3"/>
      <c r="D3438" s="3" t="s">
        <v>629</v>
      </c>
      <c r="E3438" s="4" t="s">
        <v>31</v>
      </c>
      <c r="F3438" s="3" t="s">
        <v>31</v>
      </c>
      <c r="G3438" s="9"/>
      <c r="H3438" s="17">
        <f>Planning[[#This Row],[Horas Precálculo]]</f>
        <v>0</v>
      </c>
      <c r="I3438" s="18"/>
      <c r="J3438" s="14" t="e">
        <f>+SUMIFS(#REF!,#REF!,Planning[[#This Row],[Tarifa]],#REF!,Planning[[#This Row],[Proyectos]])</f>
        <v>#REF!</v>
      </c>
      <c r="K3438" s="14" t="e">
        <f>Planning[[#This Row],[Horas Planificadas]]+Planning[[#This Row],[Horas ajustadas adicionales]]-Planning[[#This Row],[Horas utilizadas]]</f>
        <v>#REF!</v>
      </c>
      <c r="L3438" s="15">
        <v>0</v>
      </c>
      <c r="M3438" s="16" t="e">
        <f>Planning[[#This Row],[Saldo]]-Planning[[#This Row],[Saldo estimado]]</f>
        <v>#REF!</v>
      </c>
      <c r="N3438" s="60" t="e">
        <f>+SUMIFS(#REF!,#REF!,Planning[[#This Row],[Proyectos]],#REF!,Planning[[#This Row],[Tipo de Tarea y especialidad]])</f>
        <v>#REF!</v>
      </c>
      <c r="O3438" s="16">
        <f t="shared" si="106"/>
        <v>10</v>
      </c>
      <c r="P3438" s="16">
        <f t="shared" si="107"/>
        <v>2024</v>
      </c>
      <c r="Q3438" s="16" t="e">
        <f>+SUMIFS(#REF!,#REF!,Planning[[#This Row],[Tarifa]],#REF!,Planning[[#This Row],[Proyectos]],#REF!,Planning[[#This Row],[Mes]],#REF!,Planning[[#This Row],[Año]])</f>
        <v>#REF!</v>
      </c>
      <c r="R3438" s="16" t="str">
        <f>TEXT(Planning[[#This Row],[Mes]]*29,"mmmm")</f>
        <v>October</v>
      </c>
      <c r="S34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38" s="208"/>
      <c r="U3438" s="43">
        <f>IF(Planning[[#This Row],[Horas Planificadas]]&lt;&gt;0,+K3438/Planning[[#This Row],[Horas Planificadas]],0)</f>
        <v>0</v>
      </c>
      <c r="V3438" s="43">
        <f>IF(Planning[[#This Row],[Horas Planificadas]]&lt;&gt;0,Planning[[#This Row],[Horas utilizadas]]/Planning[[#This Row],[Horas Planificadas]],0)</f>
        <v>0</v>
      </c>
      <c r="W3438" s="44">
        <f>Planning[[#This Row],[Horas Planificadas]]+Planning[[#This Row],[Horas ajustadas adicionales]]</f>
        <v>0</v>
      </c>
      <c r="X3438" s="142"/>
    </row>
    <row r="3439" spans="1:24" ht="12.75" customHeight="1" x14ac:dyDescent="0.2">
      <c r="A3439" s="7" t="s">
        <v>204</v>
      </c>
      <c r="B3439" s="7" t="s">
        <v>288</v>
      </c>
      <c r="C3439" s="3"/>
      <c r="D3439" s="3" t="s">
        <v>629</v>
      </c>
      <c r="E3439" s="4" t="s">
        <v>32</v>
      </c>
      <c r="F3439" s="3"/>
      <c r="G3439" s="9">
        <v>330</v>
      </c>
      <c r="H3439" s="14">
        <f>SUM(H3440:H3442)</f>
        <v>330</v>
      </c>
      <c r="I3439" s="14"/>
      <c r="J3439" s="14" t="e">
        <f>SUM(J3440:J3442)</f>
        <v>#REF!</v>
      </c>
      <c r="K3439" s="15" t="e">
        <f>SUM(K3440:K3442)</f>
        <v>#REF!</v>
      </c>
      <c r="L3439" s="15">
        <f>SUM(L3440:L3442)</f>
        <v>330</v>
      </c>
      <c r="M3439" s="16" t="e">
        <f>SUM(M3440:M3442)</f>
        <v>#REF!</v>
      </c>
      <c r="N3439" s="60" t="e">
        <f>+SUMIFS(#REF!,#REF!,Planning[[#This Row],[Proyectos]],#REF!,Planning[[#This Row],[Tipo de Tarea y especialidad]])</f>
        <v>#REF!</v>
      </c>
      <c r="O3439" s="16">
        <f t="shared" si="106"/>
        <v>10</v>
      </c>
      <c r="P3439" s="16">
        <f t="shared" si="107"/>
        <v>2024</v>
      </c>
      <c r="Q3439" s="16" t="e">
        <f>SUM(Q3440:Q3442)</f>
        <v>#REF!</v>
      </c>
      <c r="R3439" s="16" t="str">
        <f>TEXT(Planning[[#This Row],[Mes]]*29,"mmmm")</f>
        <v>October</v>
      </c>
      <c r="S34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39" s="208"/>
      <c r="U3439" s="43" t="e">
        <f>IF(Planning[[#This Row],[Horas Planificadas]]&lt;&gt;0,+K3439/Planning[[#This Row],[Horas Planificadas]],0)</f>
        <v>#REF!</v>
      </c>
      <c r="V3439" s="43" t="e">
        <f>IF(Planning[[#This Row],[Horas Planificadas]]&lt;&gt;0,Planning[[#This Row],[Horas utilizadas]]/Planning[[#This Row],[Horas Planificadas]],0)</f>
        <v>#REF!</v>
      </c>
      <c r="W3439" s="44">
        <f>Planning[[#This Row],[Horas Planificadas]]+Planning[[#This Row],[Horas ajustadas adicionales]]</f>
        <v>330</v>
      </c>
      <c r="X3439" s="142"/>
    </row>
    <row r="3440" spans="1:24" ht="12.75" customHeight="1" x14ac:dyDescent="0.2">
      <c r="A3440" s="7" t="s">
        <v>204</v>
      </c>
      <c r="B3440" s="7" t="s">
        <v>288</v>
      </c>
      <c r="C3440" s="3"/>
      <c r="D3440" s="3" t="s">
        <v>629</v>
      </c>
      <c r="E3440" s="4"/>
      <c r="F3440" s="3" t="s">
        <v>129</v>
      </c>
      <c r="G3440" s="9"/>
      <c r="H3440" s="9"/>
      <c r="I3440" s="12"/>
      <c r="J3440" s="5" t="e">
        <f>SUM(SUMIFS(#REF!,#REF!,Planning[[#This Row],[Tipo de Tarea y especialidad]],#REF!,Planning[[#This Row],[Proyectos Reiwa]]),SUMIFS(#REF!,#REF!,Planning[[#This Row],[Tipo de Tarea y especialidad]],#REF!,Planning[[#This Row],[Proyectos]]))</f>
        <v>#REF!</v>
      </c>
      <c r="K3440" s="5" t="e">
        <f>Planning[[#This Row],[Horas Planificadas]]+Planning[[#This Row],[Horas ajustadas adicionales]]-Planning[[#This Row],[Horas utilizadas]]</f>
        <v>#REF!</v>
      </c>
      <c r="L3440" s="7"/>
      <c r="M3440" s="19" t="e">
        <f>Planning[[#This Row],[Saldo]]-Planning[[#This Row],[Saldo estimado]]</f>
        <v>#REF!</v>
      </c>
      <c r="N3440" s="60" t="e">
        <f>+SUMIFS(#REF!,#REF!,Planning[[#This Row],[Proyectos]],#REF!,Planning[[#This Row],[Tipo de Tarea y especialidad]])</f>
        <v>#REF!</v>
      </c>
      <c r="O3440" s="19">
        <f t="shared" si="106"/>
        <v>10</v>
      </c>
      <c r="P3440" s="19">
        <f t="shared" si="107"/>
        <v>2024</v>
      </c>
      <c r="Q34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40" s="19" t="str">
        <f>TEXT(Planning[[#This Row],[Mes]]*29,"mmmm")</f>
        <v>October</v>
      </c>
      <c r="S34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40" s="208"/>
      <c r="U3440" s="43">
        <f>IF(Planning[[#This Row],[Horas Planificadas]]&lt;&gt;0,+K3440/Planning[[#This Row],[Horas Planificadas]],0)</f>
        <v>0</v>
      </c>
      <c r="V3440" s="43">
        <f>IF(Planning[[#This Row],[Horas Planificadas]]&lt;&gt;0,Planning[[#This Row],[Horas utilizadas]]/Planning[[#This Row],[Horas Planificadas]],0)</f>
        <v>0</v>
      </c>
      <c r="W3440" s="44">
        <f>Planning[[#This Row],[Horas Planificadas]]+Planning[[#This Row],[Horas ajustadas adicionales]]</f>
        <v>0</v>
      </c>
      <c r="X3440" s="142"/>
    </row>
    <row r="3441" spans="1:24" ht="12.75" customHeight="1" x14ac:dyDescent="0.2">
      <c r="A3441" s="7" t="s">
        <v>204</v>
      </c>
      <c r="B3441" s="7" t="s">
        <v>288</v>
      </c>
      <c r="C3441" s="3"/>
      <c r="D3441" s="3" t="s">
        <v>629</v>
      </c>
      <c r="E3441" s="4"/>
      <c r="F3441" s="3" t="s">
        <v>130</v>
      </c>
      <c r="G3441" s="9"/>
      <c r="H3441" s="9">
        <v>90</v>
      </c>
      <c r="I3441" s="12"/>
      <c r="J3441" s="5" t="e">
        <f>SUM(SUMIFS(#REF!,#REF!,Planning[[#This Row],[Tipo de Tarea y especialidad]],#REF!,Planning[[#This Row],[Proyectos Reiwa]]),SUMIFS(#REF!,#REF!,Planning[[#This Row],[Tipo de Tarea y especialidad]],#REF!,Planning[[#This Row],[Proyectos]]))</f>
        <v>#REF!</v>
      </c>
      <c r="K3441" s="5" t="e">
        <f>Planning[[#This Row],[Horas Planificadas]]+Planning[[#This Row],[Horas ajustadas adicionales]]-Planning[[#This Row],[Horas utilizadas]]</f>
        <v>#REF!</v>
      </c>
      <c r="L3441" s="7">
        <v>90</v>
      </c>
      <c r="M3441" s="19" t="e">
        <f>Planning[[#This Row],[Saldo]]-Planning[[#This Row],[Saldo estimado]]</f>
        <v>#REF!</v>
      </c>
      <c r="N3441" s="60" t="e">
        <f>+SUMIFS(#REF!,#REF!,Planning[[#This Row],[Proyectos]],#REF!,Planning[[#This Row],[Tipo de Tarea y especialidad]])</f>
        <v>#REF!</v>
      </c>
      <c r="O3441" s="19">
        <f t="shared" si="106"/>
        <v>10</v>
      </c>
      <c r="P3441" s="19">
        <f t="shared" si="107"/>
        <v>2024</v>
      </c>
      <c r="Q34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41" s="19" t="str">
        <f>TEXT(Planning[[#This Row],[Mes]]*29,"mmmm")</f>
        <v>October</v>
      </c>
      <c r="S34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41" s="208"/>
      <c r="U3441" s="43" t="e">
        <f>IF(Planning[[#This Row],[Horas Planificadas]]&lt;&gt;0,+K3441/Planning[[#This Row],[Horas Planificadas]],0)</f>
        <v>#REF!</v>
      </c>
      <c r="V3441" s="43" t="e">
        <f>IF(Planning[[#This Row],[Horas Planificadas]]&lt;&gt;0,Planning[[#This Row],[Horas utilizadas]]/Planning[[#This Row],[Horas Planificadas]],0)</f>
        <v>#REF!</v>
      </c>
      <c r="W3441" s="44">
        <f>Planning[[#This Row],[Horas Planificadas]]+Planning[[#This Row],[Horas ajustadas adicionales]]</f>
        <v>90</v>
      </c>
      <c r="X3441" s="142"/>
    </row>
    <row r="3442" spans="1:24" ht="12.75" customHeight="1" x14ac:dyDescent="0.2">
      <c r="A3442" s="7" t="s">
        <v>204</v>
      </c>
      <c r="B3442" s="7" t="s">
        <v>288</v>
      </c>
      <c r="C3442" s="3"/>
      <c r="D3442" s="3" t="s">
        <v>629</v>
      </c>
      <c r="E3442" s="4"/>
      <c r="F3442" s="3" t="s">
        <v>131</v>
      </c>
      <c r="G3442" s="9"/>
      <c r="H3442" s="9">
        <v>240</v>
      </c>
      <c r="I3442" s="12"/>
      <c r="J3442" s="5" t="e">
        <f>SUM(SUMIFS(#REF!,#REF!,Planning[[#This Row],[Tipo de Tarea y especialidad]],#REF!,Planning[[#This Row],[Proyectos Reiwa]]),SUMIFS(#REF!,#REF!,Planning[[#This Row],[Tipo de Tarea y especialidad]],#REF!,Planning[[#This Row],[Proyectos]]))</f>
        <v>#REF!</v>
      </c>
      <c r="K3442" s="5" t="e">
        <f>Planning[[#This Row],[Horas Planificadas]]+Planning[[#This Row],[Horas ajustadas adicionales]]-Planning[[#This Row],[Horas utilizadas]]</f>
        <v>#REF!</v>
      </c>
      <c r="L3442" s="7">
        <v>240</v>
      </c>
      <c r="M3442" s="19" t="e">
        <f>Planning[[#This Row],[Saldo]]-Planning[[#This Row],[Saldo estimado]]</f>
        <v>#REF!</v>
      </c>
      <c r="N3442" s="60" t="e">
        <f>+SUMIFS(#REF!,#REF!,Planning[[#This Row],[Proyectos]],#REF!,Planning[[#This Row],[Tipo de Tarea y especialidad]])</f>
        <v>#REF!</v>
      </c>
      <c r="O3442" s="19">
        <f t="shared" si="106"/>
        <v>10</v>
      </c>
      <c r="P3442" s="19">
        <f t="shared" si="107"/>
        <v>2024</v>
      </c>
      <c r="Q34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42" s="19" t="str">
        <f>TEXT(Planning[[#This Row],[Mes]]*29,"mmmm")</f>
        <v>October</v>
      </c>
      <c r="S34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42" s="208"/>
      <c r="U3442" s="43" t="e">
        <f>IF(Planning[[#This Row],[Horas Planificadas]]&lt;&gt;0,+K3442/Planning[[#This Row],[Horas Planificadas]],0)</f>
        <v>#REF!</v>
      </c>
      <c r="V3442" s="43" t="e">
        <f>IF(Planning[[#This Row],[Horas Planificadas]]&lt;&gt;0,Planning[[#This Row],[Horas utilizadas]]/Planning[[#This Row],[Horas Planificadas]],0)</f>
        <v>#REF!</v>
      </c>
      <c r="W3442" s="44">
        <f>Planning[[#This Row],[Horas Planificadas]]+Planning[[#This Row],[Horas ajustadas adicionales]]</f>
        <v>240</v>
      </c>
      <c r="X3442" s="142"/>
    </row>
    <row r="3443" spans="1:24" ht="12.75" customHeight="1" x14ac:dyDescent="0.2">
      <c r="A3443" s="7" t="s">
        <v>483</v>
      </c>
      <c r="B3443" s="7" t="s">
        <v>288</v>
      </c>
      <c r="C3443" s="3"/>
      <c r="D3443" s="3" t="s">
        <v>631</v>
      </c>
      <c r="E3443" s="4" t="s">
        <v>28</v>
      </c>
      <c r="F3443" s="3"/>
      <c r="G3443" s="9">
        <v>135</v>
      </c>
      <c r="H3443" s="14">
        <f>SUM(H3444:H3445)</f>
        <v>135</v>
      </c>
      <c r="I3443" s="14"/>
      <c r="J3443" s="14" t="e">
        <f>SUM(J3444:J3445)</f>
        <v>#REF!</v>
      </c>
      <c r="K3443" s="24" t="e">
        <f>+Planning[[#This Row],[Horas Planificadas]]+Planning[[#This Row],[Horas ajustadas adicionales]]-Planning[[#This Row],[Horas utilizadas]]</f>
        <v>#REF!</v>
      </c>
      <c r="L3443" s="15">
        <f>SUM(L3444:L3445)</f>
        <v>0</v>
      </c>
      <c r="M3443" s="14" t="e">
        <f>SUM(M3444:M3445)</f>
        <v>#REF!</v>
      </c>
      <c r="N3443" s="66" t="e">
        <f>+SUMIFS(#REF!,#REF!,Planning[[#This Row],[Proyectos]],#REF!,Planning[[#This Row],[Tipo de Tarea y especialidad]])</f>
        <v>#REF!</v>
      </c>
      <c r="O3443" s="14">
        <f t="shared" si="106"/>
        <v>10</v>
      </c>
      <c r="P3443" s="14">
        <f t="shared" si="107"/>
        <v>2024</v>
      </c>
      <c r="Q3443" s="28" t="e">
        <f>SUM(Q3444:Q3445)</f>
        <v>#REF!</v>
      </c>
      <c r="R3443" s="28" t="str">
        <f>TEXT(Planning[[#This Row],[Mes]]*29,"mmmm")</f>
        <v>October</v>
      </c>
      <c r="S34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43" s="207" t="s">
        <v>632</v>
      </c>
      <c r="U3443" s="43" t="e">
        <f>IF(Planning[[#This Row],[Horas Planificadas]]&lt;&gt;0,+K3443/Planning[[#This Row],[Horas Planificadas]],0)</f>
        <v>#REF!</v>
      </c>
      <c r="V3443" s="43" t="e">
        <f>IF(Planning[[#This Row],[Horas Planificadas]]&lt;&gt;0,Planning[[#This Row],[Horas utilizadas]]/Planning[[#This Row],[Horas Planificadas]],0)</f>
        <v>#REF!</v>
      </c>
      <c r="W3443" s="44">
        <f>Planning[[#This Row],[Horas Planificadas]]+Planning[[#This Row],[Horas ajustadas adicionales]]</f>
        <v>135</v>
      </c>
      <c r="X3443" s="142"/>
    </row>
    <row r="3444" spans="1:24" x14ac:dyDescent="0.2">
      <c r="A3444" s="7" t="s">
        <v>483</v>
      </c>
      <c r="B3444" s="7" t="s">
        <v>288</v>
      </c>
      <c r="C3444" s="3"/>
      <c r="D3444" s="3" t="s">
        <v>631</v>
      </c>
      <c r="E3444" s="4"/>
      <c r="F3444" s="3" t="s">
        <v>120</v>
      </c>
      <c r="G3444" s="9"/>
      <c r="H3444" s="9">
        <v>135</v>
      </c>
      <c r="I3444" s="12"/>
      <c r="J3444" s="5" t="e">
        <f>SUM(SUMIFS(#REF!,#REF!,Planning[[#This Row],[Tipo de Tarea y especialidad]],#REF!,Planning[[#This Row],[Proyectos Reiwa]]),SUMIFS(#REF!,#REF!,Planning[[#This Row],[Tipo de Tarea y especialidad]],#REF!,Planning[[#This Row],[Proyectos]]))</f>
        <v>#REF!</v>
      </c>
      <c r="K3444" s="5" t="e">
        <f>+Planning[[#This Row],[Horas Planificadas]]+Planning[[#This Row],[Horas ajustadas adicionales]]-Planning[[#This Row],[Horas utilizadas]]</f>
        <v>#REF!</v>
      </c>
      <c r="L3444" s="7"/>
      <c r="M3444" s="19" t="e">
        <f>Planning[[#This Row],[Saldo]]-Planning[[#This Row],[Saldo estimado]]</f>
        <v>#REF!</v>
      </c>
      <c r="N3444" s="60" t="e">
        <f>+SUMIFS(#REF!,#REF!,Planning[[#This Row],[Proyectos]],#REF!,Planning[[#This Row],[Tipo de Tarea y especialidad]])</f>
        <v>#REF!</v>
      </c>
      <c r="O3444" s="19">
        <f t="shared" si="106"/>
        <v>10</v>
      </c>
      <c r="P3444" s="19">
        <f t="shared" si="107"/>
        <v>2024</v>
      </c>
      <c r="Q34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44" s="19" t="str">
        <f>TEXT(Planning[[#This Row],[Mes]]*29,"mmmm")</f>
        <v>October</v>
      </c>
      <c r="S34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44" s="208"/>
      <c r="U3444" s="43" t="e">
        <f>IF(Planning[[#This Row],[Horas Planificadas]]&lt;&gt;0,+K3444/Planning[[#This Row],[Horas Planificadas]],0)</f>
        <v>#REF!</v>
      </c>
      <c r="V3444" s="43" t="e">
        <f>IF(Planning[[#This Row],[Horas Planificadas]]&lt;&gt;0,Planning[[#This Row],[Horas utilizadas]]/Planning[[#This Row],[Horas Planificadas]],0)</f>
        <v>#REF!</v>
      </c>
      <c r="W3444" s="44">
        <f>Planning[[#This Row],[Horas Planificadas]]+Planning[[#This Row],[Horas ajustadas adicionales]]</f>
        <v>135</v>
      </c>
      <c r="X3444" s="142"/>
    </row>
    <row r="3445" spans="1:24" x14ac:dyDescent="0.2">
      <c r="A3445" s="7" t="s">
        <v>483</v>
      </c>
      <c r="B3445" s="7" t="s">
        <v>288</v>
      </c>
      <c r="C3445" s="3"/>
      <c r="D3445" s="3" t="s">
        <v>631</v>
      </c>
      <c r="E3445" s="4"/>
      <c r="F3445" s="3" t="s">
        <v>121</v>
      </c>
      <c r="G3445" s="9"/>
      <c r="H3445" s="9">
        <v>0</v>
      </c>
      <c r="I3445" s="12"/>
      <c r="J3445" s="5" t="e">
        <f>SUM(SUMIFS(#REF!,#REF!,Planning[[#This Row],[Tipo de Tarea y especialidad]],#REF!,Planning[[#This Row],[Proyectos Reiwa]]),SUMIFS(#REF!,#REF!,Planning[[#This Row],[Tipo de Tarea y especialidad]],#REF!,Planning[[#This Row],[Proyectos]]))</f>
        <v>#REF!</v>
      </c>
      <c r="K3445" s="5" t="e">
        <f>+Planning[[#This Row],[Horas Planificadas]]+Planning[[#This Row],[Horas ajustadas adicionales]]-Planning[[#This Row],[Horas utilizadas]]</f>
        <v>#REF!</v>
      </c>
      <c r="L3445" s="7"/>
      <c r="M3445" s="19" t="e">
        <f>Planning[[#This Row],[Saldo]]-Planning[[#This Row],[Saldo estimado]]</f>
        <v>#REF!</v>
      </c>
      <c r="N3445" s="60" t="e">
        <f>+SUMIFS(#REF!,#REF!,Planning[[#This Row],[Proyectos]],#REF!,Planning[[#This Row],[Tipo de Tarea y especialidad]])</f>
        <v>#REF!</v>
      </c>
      <c r="O3445" s="19">
        <f t="shared" si="106"/>
        <v>10</v>
      </c>
      <c r="P3445" s="19">
        <f t="shared" si="107"/>
        <v>2024</v>
      </c>
      <c r="Q34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45" s="19" t="str">
        <f>TEXT(Planning[[#This Row],[Mes]]*29,"mmmm")</f>
        <v>October</v>
      </c>
      <c r="S34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45" s="208"/>
      <c r="U3445" s="43">
        <f>IF(Planning[[#This Row],[Horas Planificadas]]&lt;&gt;0,+K3445/Planning[[#This Row],[Horas Planificadas]],0)</f>
        <v>0</v>
      </c>
      <c r="V3445" s="43">
        <f>IF(Planning[[#This Row],[Horas Planificadas]]&lt;&gt;0,Planning[[#This Row],[Horas utilizadas]]/Planning[[#This Row],[Horas Planificadas]],0)</f>
        <v>0</v>
      </c>
      <c r="W3445" s="44">
        <f>Planning[[#This Row],[Horas Planificadas]]+Planning[[#This Row],[Horas ajustadas adicionales]]</f>
        <v>0</v>
      </c>
      <c r="X3445" s="142"/>
    </row>
    <row r="3446" spans="1:24" x14ac:dyDescent="0.2">
      <c r="A3446" s="7" t="s">
        <v>483</v>
      </c>
      <c r="B3446" s="7" t="s">
        <v>288</v>
      </c>
      <c r="C3446" s="3"/>
      <c r="D3446" s="3" t="s">
        <v>631</v>
      </c>
      <c r="E3446" s="4" t="s">
        <v>30</v>
      </c>
      <c r="F3446" s="3"/>
      <c r="G3446" s="9">
        <v>195</v>
      </c>
      <c r="H3446" s="14">
        <f>SUM(H3447:H3453)</f>
        <v>195</v>
      </c>
      <c r="I3446" s="14"/>
      <c r="J3446" s="14" t="e">
        <f>SUM(J3447:J3453)</f>
        <v>#REF!</v>
      </c>
      <c r="K3446" s="24" t="e">
        <f>+Planning[[#This Row],[Horas Planificadas]]+Planning[[#This Row],[Horas ajustadas adicionales]]-Planning[[#This Row],[Horas utilizadas]]</f>
        <v>#REF!</v>
      </c>
      <c r="L3446" s="15">
        <f>SUM(L3447:L3453)</f>
        <v>0</v>
      </c>
      <c r="M3446" s="16" t="e">
        <f>SUM(M3447:M3453)</f>
        <v>#REF!</v>
      </c>
      <c r="N3446" s="60" t="e">
        <f>+SUMIFS(#REF!,#REF!,Planning[[#This Row],[Proyectos]],#REF!,Planning[[#This Row],[Tipo de Tarea y especialidad]])</f>
        <v>#REF!</v>
      </c>
      <c r="O3446" s="16">
        <f t="shared" si="106"/>
        <v>10</v>
      </c>
      <c r="P3446" s="16">
        <f t="shared" si="107"/>
        <v>2024</v>
      </c>
      <c r="Q3446" s="16" t="e">
        <f>SUM(Q3447:Q3453)</f>
        <v>#REF!</v>
      </c>
      <c r="R3446" s="16" t="str">
        <f>TEXT(Planning[[#This Row],[Mes]]*29,"mmmm")</f>
        <v>October</v>
      </c>
      <c r="S34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46" s="208"/>
      <c r="U3446" s="43" t="e">
        <f>IF(Planning[[#This Row],[Horas Planificadas]]&lt;&gt;0,+K3446/Planning[[#This Row],[Horas Planificadas]],0)</f>
        <v>#REF!</v>
      </c>
      <c r="V3446" s="43" t="e">
        <f>IF(Planning[[#This Row],[Horas Planificadas]]&lt;&gt;0,Planning[[#This Row],[Horas utilizadas]]/Planning[[#This Row],[Horas Planificadas]],0)</f>
        <v>#REF!</v>
      </c>
      <c r="W3446" s="44">
        <f>Planning[[#This Row],[Horas Planificadas]]+Planning[[#This Row],[Horas ajustadas adicionales]]</f>
        <v>195</v>
      </c>
      <c r="X3446" s="142"/>
    </row>
    <row r="3447" spans="1:24" x14ac:dyDescent="0.2">
      <c r="A3447" s="7" t="s">
        <v>483</v>
      </c>
      <c r="B3447" s="7" t="s">
        <v>288</v>
      </c>
      <c r="C3447" s="3"/>
      <c r="D3447" s="3" t="s">
        <v>631</v>
      </c>
      <c r="E3447" s="4"/>
      <c r="F3447" s="3" t="s">
        <v>122</v>
      </c>
      <c r="G3447" s="9"/>
      <c r="H3447" s="9"/>
      <c r="I3447" s="12"/>
      <c r="J3447" s="5" t="e">
        <f>SUM(SUMIFS(#REF!,#REF!,Planning[[#This Row],[Tipo de Tarea y especialidad]],#REF!,Planning[[#This Row],[Proyectos Reiwa]]),SUMIFS(#REF!,#REF!,Planning[[#This Row],[Tipo de Tarea y especialidad]],#REF!,Planning[[#This Row],[Proyectos]]))</f>
        <v>#REF!</v>
      </c>
      <c r="K3447" s="5" t="e">
        <f>+Planning[[#This Row],[Horas Planificadas]]+Planning[[#This Row],[Horas ajustadas adicionales]]-Planning[[#This Row],[Horas utilizadas]]</f>
        <v>#REF!</v>
      </c>
      <c r="L3447" s="7"/>
      <c r="M3447" s="19" t="e">
        <f>Planning[[#This Row],[Saldo]]-Planning[[#This Row],[Saldo estimado]]</f>
        <v>#REF!</v>
      </c>
      <c r="N3447" s="60" t="e">
        <f>+SUMIFS(#REF!,#REF!,Planning[[#This Row],[Proyectos]],#REF!,Planning[[#This Row],[Tipo de Tarea y especialidad]])</f>
        <v>#REF!</v>
      </c>
      <c r="O3447" s="19">
        <f t="shared" si="106"/>
        <v>10</v>
      </c>
      <c r="P3447" s="19">
        <f t="shared" si="107"/>
        <v>2024</v>
      </c>
      <c r="Q34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47" s="19" t="str">
        <f>TEXT(Planning[[#This Row],[Mes]]*29,"mmmm")</f>
        <v>October</v>
      </c>
      <c r="S34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47" s="208"/>
      <c r="U3447" s="43">
        <f>IF(Planning[[#This Row],[Horas Planificadas]]&lt;&gt;0,+K3447/Planning[[#This Row],[Horas Planificadas]],0)</f>
        <v>0</v>
      </c>
      <c r="V3447" s="43">
        <f>IF(Planning[[#This Row],[Horas Planificadas]]&lt;&gt;0,Planning[[#This Row],[Horas utilizadas]]/Planning[[#This Row],[Horas Planificadas]],0)</f>
        <v>0</v>
      </c>
      <c r="W3447" s="44">
        <f>Planning[[#This Row],[Horas Planificadas]]+Planning[[#This Row],[Horas ajustadas adicionales]]</f>
        <v>0</v>
      </c>
      <c r="X3447" s="142"/>
    </row>
    <row r="3448" spans="1:24" x14ac:dyDescent="0.2">
      <c r="A3448" s="7" t="s">
        <v>483</v>
      </c>
      <c r="B3448" s="7" t="s">
        <v>288</v>
      </c>
      <c r="C3448" s="3"/>
      <c r="D3448" s="3" t="s">
        <v>631</v>
      </c>
      <c r="E3448" s="4"/>
      <c r="F3448" s="3" t="s">
        <v>123</v>
      </c>
      <c r="G3448" s="9"/>
      <c r="H3448" s="9"/>
      <c r="I3448" s="12"/>
      <c r="J3448" s="5" t="e">
        <f>SUM(SUMIFS(#REF!,#REF!,Planning[[#This Row],[Tipo de Tarea y especialidad]],#REF!,Planning[[#This Row],[Proyectos Reiwa]]),SUMIFS(#REF!,#REF!,Planning[[#This Row],[Tipo de Tarea y especialidad]],#REF!,Planning[[#This Row],[Proyectos]]))</f>
        <v>#REF!</v>
      </c>
      <c r="K3448" s="5" t="e">
        <f>+Planning[[#This Row],[Horas Planificadas]]+Planning[[#This Row],[Horas ajustadas adicionales]]-Planning[[#This Row],[Horas utilizadas]]</f>
        <v>#REF!</v>
      </c>
      <c r="L3448" s="7"/>
      <c r="M3448" s="19" t="e">
        <f>Planning[[#This Row],[Saldo]]-Planning[[#This Row],[Saldo estimado]]</f>
        <v>#REF!</v>
      </c>
      <c r="N3448" s="60" t="e">
        <f>+SUMIFS(#REF!,#REF!,Planning[[#This Row],[Proyectos]],#REF!,Planning[[#This Row],[Tipo de Tarea y especialidad]])</f>
        <v>#REF!</v>
      </c>
      <c r="O3448" s="19">
        <f t="shared" si="106"/>
        <v>10</v>
      </c>
      <c r="P3448" s="19">
        <f t="shared" si="107"/>
        <v>2024</v>
      </c>
      <c r="Q34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48" s="19" t="str">
        <f>TEXT(Planning[[#This Row],[Mes]]*29,"mmmm")</f>
        <v>October</v>
      </c>
      <c r="S34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48" s="208"/>
      <c r="U3448" s="43">
        <f>IF(Planning[[#This Row],[Horas Planificadas]]&lt;&gt;0,+K3448/Planning[[#This Row],[Horas Planificadas]],0)</f>
        <v>0</v>
      </c>
      <c r="V3448" s="43">
        <f>IF(Planning[[#This Row],[Horas Planificadas]]&lt;&gt;0,Planning[[#This Row],[Horas utilizadas]]/Planning[[#This Row],[Horas Planificadas]],0)</f>
        <v>0</v>
      </c>
      <c r="W3448" s="44">
        <f>Planning[[#This Row],[Horas Planificadas]]+Planning[[#This Row],[Horas ajustadas adicionales]]</f>
        <v>0</v>
      </c>
      <c r="X3448" s="142"/>
    </row>
    <row r="3449" spans="1:24" x14ac:dyDescent="0.2">
      <c r="A3449" s="7" t="s">
        <v>483</v>
      </c>
      <c r="B3449" s="7" t="s">
        <v>288</v>
      </c>
      <c r="C3449" s="3"/>
      <c r="D3449" s="3" t="s">
        <v>631</v>
      </c>
      <c r="E3449" s="4"/>
      <c r="F3449" s="3" t="s">
        <v>124</v>
      </c>
      <c r="G3449" s="9"/>
      <c r="H3449" s="9">
        <v>195</v>
      </c>
      <c r="I3449" s="12"/>
      <c r="J3449" s="5" t="e">
        <f>SUM(SUMIFS(#REF!,#REF!,Planning[[#This Row],[Tipo de Tarea y especialidad]],#REF!,Planning[[#This Row],[Proyectos Reiwa]]),SUMIFS(#REF!,#REF!,Planning[[#This Row],[Tipo de Tarea y especialidad]],#REF!,Planning[[#This Row],[Proyectos]]))</f>
        <v>#REF!</v>
      </c>
      <c r="K3449" s="5" t="e">
        <f>+Planning[[#This Row],[Horas Planificadas]]+Planning[[#This Row],[Horas ajustadas adicionales]]-Planning[[#This Row],[Horas utilizadas]]</f>
        <v>#REF!</v>
      </c>
      <c r="L3449" s="7">
        <v>0</v>
      </c>
      <c r="M3449" s="19" t="e">
        <f>Planning[[#This Row],[Saldo]]-Planning[[#This Row],[Saldo estimado]]</f>
        <v>#REF!</v>
      </c>
      <c r="N3449" s="60" t="e">
        <f>+SUMIFS(#REF!,#REF!,Planning[[#This Row],[Proyectos]],#REF!,Planning[[#This Row],[Tipo de Tarea y especialidad]])</f>
        <v>#REF!</v>
      </c>
      <c r="O3449" s="19">
        <f t="shared" si="106"/>
        <v>10</v>
      </c>
      <c r="P3449" s="19">
        <f t="shared" si="107"/>
        <v>2024</v>
      </c>
      <c r="Q34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49" s="19" t="str">
        <f>TEXT(Planning[[#This Row],[Mes]]*29,"mmmm")</f>
        <v>October</v>
      </c>
      <c r="S34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49" s="208"/>
      <c r="U3449" s="43" t="e">
        <f>IF(Planning[[#This Row],[Horas Planificadas]]&lt;&gt;0,+K3449/Planning[[#This Row],[Horas Planificadas]],0)</f>
        <v>#REF!</v>
      </c>
      <c r="V3449" s="43" t="e">
        <f>IF(Planning[[#This Row],[Horas Planificadas]]&lt;&gt;0,Planning[[#This Row],[Horas utilizadas]]/Planning[[#This Row],[Horas Planificadas]],0)</f>
        <v>#REF!</v>
      </c>
      <c r="W3449" s="44">
        <f>Planning[[#This Row],[Horas Planificadas]]+Planning[[#This Row],[Horas ajustadas adicionales]]</f>
        <v>195</v>
      </c>
      <c r="X3449" s="142"/>
    </row>
    <row r="3450" spans="1:24" x14ac:dyDescent="0.2">
      <c r="A3450" s="7" t="s">
        <v>483</v>
      </c>
      <c r="B3450" s="7" t="s">
        <v>288</v>
      </c>
      <c r="C3450" s="3"/>
      <c r="D3450" s="3" t="s">
        <v>631</v>
      </c>
      <c r="E3450" s="4"/>
      <c r="F3450" s="3" t="s">
        <v>125</v>
      </c>
      <c r="G3450" s="9"/>
      <c r="H3450" s="9"/>
      <c r="I3450" s="12"/>
      <c r="J3450" s="5" t="e">
        <f>SUM(SUMIFS(#REF!,#REF!,Planning[[#This Row],[Tipo de Tarea y especialidad]],#REF!,Planning[[#This Row],[Proyectos Reiwa]]),SUMIFS(#REF!,#REF!,Planning[[#This Row],[Tipo de Tarea y especialidad]],#REF!,Planning[[#This Row],[Proyectos]]))</f>
        <v>#REF!</v>
      </c>
      <c r="K3450" s="5" t="e">
        <f>+Planning[[#This Row],[Horas Planificadas]]+Planning[[#This Row],[Horas ajustadas adicionales]]-Planning[[#This Row],[Horas utilizadas]]</f>
        <v>#REF!</v>
      </c>
      <c r="L3450" s="7"/>
      <c r="M3450" s="19" t="e">
        <f>Planning[[#This Row],[Saldo]]-Planning[[#This Row],[Saldo estimado]]</f>
        <v>#REF!</v>
      </c>
      <c r="N3450" s="60" t="e">
        <f>+SUMIFS(#REF!,#REF!,Planning[[#This Row],[Proyectos]],#REF!,Planning[[#This Row],[Tipo de Tarea y especialidad]])</f>
        <v>#REF!</v>
      </c>
      <c r="O3450" s="19">
        <f t="shared" si="106"/>
        <v>10</v>
      </c>
      <c r="P3450" s="19">
        <f t="shared" si="107"/>
        <v>2024</v>
      </c>
      <c r="Q34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50" s="19" t="str">
        <f>TEXT(Planning[[#This Row],[Mes]]*29,"mmmm")</f>
        <v>October</v>
      </c>
      <c r="S34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50" s="208"/>
      <c r="U3450" s="43">
        <f>IF(Planning[[#This Row],[Horas Planificadas]]&lt;&gt;0,+K3450/Planning[[#This Row],[Horas Planificadas]],0)</f>
        <v>0</v>
      </c>
      <c r="V3450" s="43">
        <f>IF(Planning[[#This Row],[Horas Planificadas]]&lt;&gt;0,Planning[[#This Row],[Horas utilizadas]]/Planning[[#This Row],[Horas Planificadas]],0)</f>
        <v>0</v>
      </c>
      <c r="W3450" s="44">
        <f>Planning[[#This Row],[Horas Planificadas]]+Planning[[#This Row],[Horas ajustadas adicionales]]</f>
        <v>0</v>
      </c>
      <c r="X3450" s="142"/>
    </row>
    <row r="3451" spans="1:24" x14ac:dyDescent="0.2">
      <c r="A3451" s="7" t="s">
        <v>483</v>
      </c>
      <c r="B3451" s="7" t="s">
        <v>288</v>
      </c>
      <c r="C3451" s="3"/>
      <c r="D3451" s="3" t="s">
        <v>631</v>
      </c>
      <c r="E3451" s="4"/>
      <c r="F3451" s="3" t="s">
        <v>126</v>
      </c>
      <c r="G3451" s="9"/>
      <c r="H3451" s="9"/>
      <c r="I3451" s="12"/>
      <c r="J3451" s="5" t="e">
        <f>SUM(SUMIFS(#REF!,#REF!,Planning[[#This Row],[Tipo de Tarea y especialidad]],#REF!,Planning[[#This Row],[Proyectos Reiwa]]),SUMIFS(#REF!,#REF!,Planning[[#This Row],[Tipo de Tarea y especialidad]],#REF!,Planning[[#This Row],[Proyectos]]))</f>
        <v>#REF!</v>
      </c>
      <c r="K3451" s="5" t="e">
        <f>+Planning[[#This Row],[Horas Planificadas]]+Planning[[#This Row],[Horas ajustadas adicionales]]-Planning[[#This Row],[Horas utilizadas]]</f>
        <v>#REF!</v>
      </c>
      <c r="L3451" s="7"/>
      <c r="M3451" s="19" t="e">
        <f>Planning[[#This Row],[Saldo]]-Planning[[#This Row],[Saldo estimado]]</f>
        <v>#REF!</v>
      </c>
      <c r="N3451" s="60" t="e">
        <f>+SUMIFS(#REF!,#REF!,Planning[[#This Row],[Proyectos]],#REF!,Planning[[#This Row],[Tipo de Tarea y especialidad]])</f>
        <v>#REF!</v>
      </c>
      <c r="O3451" s="19">
        <f t="shared" si="106"/>
        <v>10</v>
      </c>
      <c r="P3451" s="19">
        <f t="shared" si="107"/>
        <v>2024</v>
      </c>
      <c r="Q34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51" s="19" t="str">
        <f>TEXT(Planning[[#This Row],[Mes]]*29,"mmmm")</f>
        <v>October</v>
      </c>
      <c r="S34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51" s="208"/>
      <c r="U3451" s="43">
        <f>IF(Planning[[#This Row],[Horas Planificadas]]&lt;&gt;0,+K3451/Planning[[#This Row],[Horas Planificadas]],0)</f>
        <v>0</v>
      </c>
      <c r="V3451" s="43">
        <f>IF(Planning[[#This Row],[Horas Planificadas]]&lt;&gt;0,Planning[[#This Row],[Horas utilizadas]]/Planning[[#This Row],[Horas Planificadas]],0)</f>
        <v>0</v>
      </c>
      <c r="W3451" s="44">
        <f>Planning[[#This Row],[Horas Planificadas]]+Planning[[#This Row],[Horas ajustadas adicionales]]</f>
        <v>0</v>
      </c>
      <c r="X3451" s="142"/>
    </row>
    <row r="3452" spans="1:24" x14ac:dyDescent="0.2">
      <c r="A3452" s="7" t="s">
        <v>483</v>
      </c>
      <c r="B3452" s="7" t="s">
        <v>288</v>
      </c>
      <c r="C3452" s="3"/>
      <c r="D3452" s="3" t="s">
        <v>631</v>
      </c>
      <c r="E3452" s="4"/>
      <c r="F3452" s="3" t="s">
        <v>127</v>
      </c>
      <c r="G3452" s="9"/>
      <c r="H3452" s="9"/>
      <c r="I3452" s="12"/>
      <c r="J3452" s="5" t="e">
        <f>SUM(SUMIFS(#REF!,#REF!,Planning[[#This Row],[Tipo de Tarea y especialidad]],#REF!,Planning[[#This Row],[Proyectos Reiwa]]),SUMIFS(#REF!,#REF!,Planning[[#This Row],[Tipo de Tarea y especialidad]],#REF!,Planning[[#This Row],[Proyectos]]))</f>
        <v>#REF!</v>
      </c>
      <c r="K3452" s="5" t="e">
        <f>+Planning[[#This Row],[Horas Planificadas]]+Planning[[#This Row],[Horas ajustadas adicionales]]-Planning[[#This Row],[Horas utilizadas]]</f>
        <v>#REF!</v>
      </c>
      <c r="L3452" s="7"/>
      <c r="M3452" s="19" t="e">
        <f>Planning[[#This Row],[Saldo]]-Planning[[#This Row],[Saldo estimado]]</f>
        <v>#REF!</v>
      </c>
      <c r="N3452" s="60" t="e">
        <f>+SUMIFS(#REF!,#REF!,Planning[[#This Row],[Proyectos]],#REF!,Planning[[#This Row],[Tipo de Tarea y especialidad]])</f>
        <v>#REF!</v>
      </c>
      <c r="O3452" s="19">
        <f t="shared" si="106"/>
        <v>10</v>
      </c>
      <c r="P3452" s="19">
        <f t="shared" si="107"/>
        <v>2024</v>
      </c>
      <c r="Q34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52" s="19" t="str">
        <f>TEXT(Planning[[#This Row],[Mes]]*29,"mmmm")</f>
        <v>October</v>
      </c>
      <c r="S34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52" s="208"/>
      <c r="U3452" s="43">
        <f>IF(Planning[[#This Row],[Horas Planificadas]]&lt;&gt;0,+K3452/Planning[[#This Row],[Horas Planificadas]],0)</f>
        <v>0</v>
      </c>
      <c r="V3452" s="43">
        <f>IF(Planning[[#This Row],[Horas Planificadas]]&lt;&gt;0,Planning[[#This Row],[Horas utilizadas]]/Planning[[#This Row],[Horas Planificadas]],0)</f>
        <v>0</v>
      </c>
      <c r="W3452" s="44">
        <f>Planning[[#This Row],[Horas Planificadas]]+Planning[[#This Row],[Horas ajustadas adicionales]]</f>
        <v>0</v>
      </c>
      <c r="X3452" s="142"/>
    </row>
    <row r="3453" spans="1:24" x14ac:dyDescent="0.2">
      <c r="A3453" s="7" t="s">
        <v>483</v>
      </c>
      <c r="B3453" s="7" t="s">
        <v>288</v>
      </c>
      <c r="C3453" s="3"/>
      <c r="D3453" s="3" t="s">
        <v>631</v>
      </c>
      <c r="E3453" s="4"/>
      <c r="F3453" s="3" t="s">
        <v>128</v>
      </c>
      <c r="G3453" s="9"/>
      <c r="H3453" s="9"/>
      <c r="I3453" s="12"/>
      <c r="J3453" s="5" t="e">
        <f>SUM(SUMIFS(#REF!,#REF!,Planning[[#This Row],[Tipo de Tarea y especialidad]],#REF!,Planning[[#This Row],[Proyectos Reiwa]]),SUMIFS(#REF!,#REF!,Planning[[#This Row],[Tipo de Tarea y especialidad]],#REF!,Planning[[#This Row],[Proyectos]]))</f>
        <v>#REF!</v>
      </c>
      <c r="K3453" s="5" t="e">
        <f>+Planning[[#This Row],[Horas Planificadas]]+Planning[[#This Row],[Horas ajustadas adicionales]]-Planning[[#This Row],[Horas utilizadas]]</f>
        <v>#REF!</v>
      </c>
      <c r="L3453" s="7"/>
      <c r="M3453" s="19" t="e">
        <f>Planning[[#This Row],[Saldo]]-Planning[[#This Row],[Saldo estimado]]</f>
        <v>#REF!</v>
      </c>
      <c r="N3453" s="60" t="e">
        <f>+SUMIFS(#REF!,#REF!,Planning[[#This Row],[Proyectos]],#REF!,Planning[[#This Row],[Tipo de Tarea y especialidad]])</f>
        <v>#REF!</v>
      </c>
      <c r="O3453" s="19">
        <f t="shared" si="106"/>
        <v>10</v>
      </c>
      <c r="P3453" s="19">
        <f t="shared" si="107"/>
        <v>2024</v>
      </c>
      <c r="Q34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53" s="19" t="str">
        <f>TEXT(Planning[[#This Row],[Mes]]*29,"mmmm")</f>
        <v>October</v>
      </c>
      <c r="S34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53" s="208"/>
      <c r="U3453" s="43">
        <f>IF(Planning[[#This Row],[Horas Planificadas]]&lt;&gt;0,+K3453/Planning[[#This Row],[Horas Planificadas]],0)</f>
        <v>0</v>
      </c>
      <c r="V3453" s="43">
        <f>IF(Planning[[#This Row],[Horas Planificadas]]&lt;&gt;0,Planning[[#This Row],[Horas utilizadas]]/Planning[[#This Row],[Horas Planificadas]],0)</f>
        <v>0</v>
      </c>
      <c r="W3453" s="44">
        <f>Planning[[#This Row],[Horas Planificadas]]+Planning[[#This Row],[Horas ajustadas adicionales]]</f>
        <v>0</v>
      </c>
      <c r="X3453" s="142"/>
    </row>
    <row r="3454" spans="1:24" x14ac:dyDescent="0.2">
      <c r="A3454" s="7" t="s">
        <v>483</v>
      </c>
      <c r="B3454" s="7" t="s">
        <v>288</v>
      </c>
      <c r="C3454" s="3"/>
      <c r="D3454" s="3" t="s">
        <v>631</v>
      </c>
      <c r="E3454" s="4" t="s">
        <v>31</v>
      </c>
      <c r="F3454" s="3" t="s">
        <v>31</v>
      </c>
      <c r="G3454" s="9"/>
      <c r="H3454" s="17">
        <f>Planning[[#This Row],[Horas Precálculo]]</f>
        <v>0</v>
      </c>
      <c r="I3454" s="18"/>
      <c r="J3454" s="14" t="e">
        <f>+SUMIFS(#REF!,#REF!,Planning[[#This Row],[Tarifa]],#REF!,Planning[[#This Row],[Proyectos]])</f>
        <v>#REF!</v>
      </c>
      <c r="K3454" s="14" t="e">
        <f>+Planning[[#This Row],[Horas Planificadas]]+Planning[[#This Row],[Horas ajustadas adicionales]]-Planning[[#This Row],[Horas utilizadas]]</f>
        <v>#REF!</v>
      </c>
      <c r="L3454" s="15">
        <v>0</v>
      </c>
      <c r="M3454" s="16" t="e">
        <f>Planning[[#This Row],[Saldo]]-Planning[[#This Row],[Saldo estimado]]</f>
        <v>#REF!</v>
      </c>
      <c r="N3454" s="60" t="e">
        <f>+SUMIFS(#REF!,#REF!,Planning[[#This Row],[Proyectos]],#REF!,Planning[[#This Row],[Tipo de Tarea y especialidad]])</f>
        <v>#REF!</v>
      </c>
      <c r="O3454" s="16">
        <f t="shared" si="106"/>
        <v>10</v>
      </c>
      <c r="P3454" s="16">
        <f t="shared" si="107"/>
        <v>2024</v>
      </c>
      <c r="Q3454" s="16" t="e">
        <f>+SUMIFS(#REF!,#REF!,Planning[[#This Row],[Tarifa]],#REF!,Planning[[#This Row],[Proyectos]],#REF!,Planning[[#This Row],[Mes]],#REF!,Planning[[#This Row],[Año]])</f>
        <v>#REF!</v>
      </c>
      <c r="R3454" s="16" t="str">
        <f>TEXT(Planning[[#This Row],[Mes]]*29,"mmmm")</f>
        <v>October</v>
      </c>
      <c r="S34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54" s="208"/>
      <c r="U3454" s="43">
        <f>IF(Planning[[#This Row],[Horas Planificadas]]&lt;&gt;0,+K3454/Planning[[#This Row],[Horas Planificadas]],0)</f>
        <v>0</v>
      </c>
      <c r="V3454" s="43">
        <f>IF(Planning[[#This Row],[Horas Planificadas]]&lt;&gt;0,Planning[[#This Row],[Horas utilizadas]]/Planning[[#This Row],[Horas Planificadas]],0)</f>
        <v>0</v>
      </c>
      <c r="W3454" s="44">
        <f>Planning[[#This Row],[Horas Planificadas]]+Planning[[#This Row],[Horas ajustadas adicionales]]</f>
        <v>0</v>
      </c>
      <c r="X3454" s="142"/>
    </row>
    <row r="3455" spans="1:24" ht="22.5" x14ac:dyDescent="0.2">
      <c r="A3455" s="7" t="s">
        <v>483</v>
      </c>
      <c r="B3455" s="7" t="s">
        <v>288</v>
      </c>
      <c r="C3455" s="3"/>
      <c r="D3455" s="3" t="s">
        <v>631</v>
      </c>
      <c r="E3455" s="4" t="s">
        <v>32</v>
      </c>
      <c r="F3455" s="3"/>
      <c r="G3455" s="9">
        <v>130</v>
      </c>
      <c r="H3455" s="14">
        <f>SUM(H3456:H3458)</f>
        <v>130</v>
      </c>
      <c r="I3455" s="14"/>
      <c r="J3455" s="14" t="e">
        <f>SUM(J3456:J3458)</f>
        <v>#REF!</v>
      </c>
      <c r="K3455" s="24" t="e">
        <f>+Planning[[#This Row],[Horas Planificadas]]+Planning[[#This Row],[Horas ajustadas adicionales]]-Planning[[#This Row],[Horas utilizadas]]</f>
        <v>#REF!</v>
      </c>
      <c r="L3455" s="15">
        <f>SUM(L3456:L3458)</f>
        <v>0</v>
      </c>
      <c r="M3455" s="16" t="e">
        <f>SUM(M3456:M3458)</f>
        <v>#REF!</v>
      </c>
      <c r="N3455" s="60" t="e">
        <f>+SUMIFS(#REF!,#REF!,Planning[[#This Row],[Proyectos]],#REF!,Planning[[#This Row],[Tipo de Tarea y especialidad]])</f>
        <v>#REF!</v>
      </c>
      <c r="O3455" s="16">
        <f t="shared" si="106"/>
        <v>10</v>
      </c>
      <c r="P3455" s="16">
        <f t="shared" si="107"/>
        <v>2024</v>
      </c>
      <c r="Q3455" s="16" t="e">
        <f>SUM(Q3456:Q3458)</f>
        <v>#REF!</v>
      </c>
      <c r="R3455" s="16" t="str">
        <f>TEXT(Planning[[#This Row],[Mes]]*29,"mmmm")</f>
        <v>October</v>
      </c>
      <c r="S34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55" s="208"/>
      <c r="U3455" s="43" t="e">
        <f>IF(Planning[[#This Row],[Horas Planificadas]]&lt;&gt;0,+K3455/Planning[[#This Row],[Horas Planificadas]],0)</f>
        <v>#REF!</v>
      </c>
      <c r="V3455" s="43" t="e">
        <f>IF(Planning[[#This Row],[Horas Planificadas]]&lt;&gt;0,Planning[[#This Row],[Horas utilizadas]]/Planning[[#This Row],[Horas Planificadas]],0)</f>
        <v>#REF!</v>
      </c>
      <c r="W3455" s="44">
        <f>Planning[[#This Row],[Horas Planificadas]]+Planning[[#This Row],[Horas ajustadas adicionales]]</f>
        <v>130</v>
      </c>
      <c r="X3455" s="142"/>
    </row>
    <row r="3456" spans="1:24" x14ac:dyDescent="0.2">
      <c r="A3456" s="7" t="s">
        <v>483</v>
      </c>
      <c r="B3456" s="7" t="s">
        <v>288</v>
      </c>
      <c r="C3456" s="3"/>
      <c r="D3456" s="3" t="s">
        <v>631</v>
      </c>
      <c r="E3456" s="4"/>
      <c r="F3456" s="3" t="s">
        <v>129</v>
      </c>
      <c r="G3456" s="9"/>
      <c r="H3456" s="9"/>
      <c r="I3456" s="12"/>
      <c r="J3456" s="5" t="e">
        <f>SUM(SUMIFS(#REF!,#REF!,Planning[[#This Row],[Tipo de Tarea y especialidad]],#REF!,Planning[[#This Row],[Proyectos Reiwa]]),SUMIFS(#REF!,#REF!,Planning[[#This Row],[Tipo de Tarea y especialidad]],#REF!,Planning[[#This Row],[Proyectos]]))</f>
        <v>#REF!</v>
      </c>
      <c r="K3456" s="5" t="e">
        <f>+Planning[[#This Row],[Horas Planificadas]]+Planning[[#This Row],[Horas ajustadas adicionales]]-Planning[[#This Row],[Horas utilizadas]]</f>
        <v>#REF!</v>
      </c>
      <c r="L3456" s="7"/>
      <c r="M3456" s="19" t="e">
        <f>Planning[[#This Row],[Saldo]]-Planning[[#This Row],[Saldo estimado]]</f>
        <v>#REF!</v>
      </c>
      <c r="N3456" s="60" t="e">
        <f>+SUMIFS(#REF!,#REF!,Planning[[#This Row],[Proyectos]],#REF!,Planning[[#This Row],[Tipo de Tarea y especialidad]])</f>
        <v>#REF!</v>
      </c>
      <c r="O3456" s="19">
        <f t="shared" si="106"/>
        <v>10</v>
      </c>
      <c r="P3456" s="19">
        <f t="shared" si="107"/>
        <v>2024</v>
      </c>
      <c r="Q34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56" s="19" t="str">
        <f>TEXT(Planning[[#This Row],[Mes]]*29,"mmmm")</f>
        <v>October</v>
      </c>
      <c r="S34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56" s="208"/>
      <c r="U3456" s="43">
        <f>IF(Planning[[#This Row],[Horas Planificadas]]&lt;&gt;0,+K3456/Planning[[#This Row],[Horas Planificadas]],0)</f>
        <v>0</v>
      </c>
      <c r="V3456" s="43">
        <f>IF(Planning[[#This Row],[Horas Planificadas]]&lt;&gt;0,Planning[[#This Row],[Horas utilizadas]]/Planning[[#This Row],[Horas Planificadas]],0)</f>
        <v>0</v>
      </c>
      <c r="W3456" s="44">
        <f>Planning[[#This Row],[Horas Planificadas]]+Planning[[#This Row],[Horas ajustadas adicionales]]</f>
        <v>0</v>
      </c>
      <c r="X3456" s="142"/>
    </row>
    <row r="3457" spans="1:24" x14ac:dyDescent="0.2">
      <c r="A3457" s="7" t="s">
        <v>483</v>
      </c>
      <c r="B3457" s="7" t="s">
        <v>288</v>
      </c>
      <c r="C3457" s="3"/>
      <c r="D3457" s="3" t="s">
        <v>631</v>
      </c>
      <c r="E3457" s="4"/>
      <c r="F3457" s="3" t="s">
        <v>130</v>
      </c>
      <c r="G3457" s="9"/>
      <c r="H3457" s="9"/>
      <c r="I3457" s="12"/>
      <c r="J3457" s="5" t="e">
        <f>SUM(SUMIFS(#REF!,#REF!,Planning[[#This Row],[Tipo de Tarea y especialidad]],#REF!,Planning[[#This Row],[Proyectos Reiwa]]),SUMIFS(#REF!,#REF!,Planning[[#This Row],[Tipo de Tarea y especialidad]],#REF!,Planning[[#This Row],[Proyectos]]))</f>
        <v>#REF!</v>
      </c>
      <c r="K3457" s="5" t="e">
        <f>+Planning[[#This Row],[Horas Planificadas]]+Planning[[#This Row],[Horas ajustadas adicionales]]-Planning[[#This Row],[Horas utilizadas]]</f>
        <v>#REF!</v>
      </c>
      <c r="L3457" s="7"/>
      <c r="M3457" s="19" t="e">
        <f>Planning[[#This Row],[Saldo]]-Planning[[#This Row],[Saldo estimado]]</f>
        <v>#REF!</v>
      </c>
      <c r="N3457" s="60" t="e">
        <f>+SUMIFS(#REF!,#REF!,Planning[[#This Row],[Proyectos]],#REF!,Planning[[#This Row],[Tipo de Tarea y especialidad]])</f>
        <v>#REF!</v>
      </c>
      <c r="O3457" s="19">
        <f t="shared" si="106"/>
        <v>10</v>
      </c>
      <c r="P3457" s="19">
        <f t="shared" si="107"/>
        <v>2024</v>
      </c>
      <c r="Q34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57" s="19" t="str">
        <f>TEXT(Planning[[#This Row],[Mes]]*29,"mmmm")</f>
        <v>October</v>
      </c>
      <c r="S34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57" s="208"/>
      <c r="U3457" s="43">
        <f>IF(Planning[[#This Row],[Horas Planificadas]]&lt;&gt;0,+K3457/Planning[[#This Row],[Horas Planificadas]],0)</f>
        <v>0</v>
      </c>
      <c r="V3457" s="43">
        <f>IF(Planning[[#This Row],[Horas Planificadas]]&lt;&gt;0,Planning[[#This Row],[Horas utilizadas]]/Planning[[#This Row],[Horas Planificadas]],0)</f>
        <v>0</v>
      </c>
      <c r="W3457" s="44">
        <f>Planning[[#This Row],[Horas Planificadas]]+Planning[[#This Row],[Horas ajustadas adicionales]]</f>
        <v>0</v>
      </c>
      <c r="X3457" s="142"/>
    </row>
    <row r="3458" spans="1:24" x14ac:dyDescent="0.2">
      <c r="A3458" s="7" t="s">
        <v>483</v>
      </c>
      <c r="B3458" s="7" t="s">
        <v>288</v>
      </c>
      <c r="C3458" s="3"/>
      <c r="D3458" s="3" t="s">
        <v>631</v>
      </c>
      <c r="E3458" s="4"/>
      <c r="F3458" s="3" t="s">
        <v>131</v>
      </c>
      <c r="G3458" s="9"/>
      <c r="H3458" s="9">
        <v>130</v>
      </c>
      <c r="I3458" s="12"/>
      <c r="J3458" s="5" t="e">
        <f>SUM(SUMIFS(#REF!,#REF!,Planning[[#This Row],[Tipo de Tarea y especialidad]],#REF!,Planning[[#This Row],[Proyectos Reiwa]]),SUMIFS(#REF!,#REF!,Planning[[#This Row],[Tipo de Tarea y especialidad]],#REF!,Planning[[#This Row],[Proyectos]]))</f>
        <v>#REF!</v>
      </c>
      <c r="K3458" s="5" t="e">
        <f>+Planning[[#This Row],[Horas Planificadas]]+Planning[[#This Row],[Horas ajustadas adicionales]]-Planning[[#This Row],[Horas utilizadas]]</f>
        <v>#REF!</v>
      </c>
      <c r="L3458" s="7">
        <v>0</v>
      </c>
      <c r="M3458" s="19" t="e">
        <f>Planning[[#This Row],[Saldo]]-Planning[[#This Row],[Saldo estimado]]</f>
        <v>#REF!</v>
      </c>
      <c r="N3458" s="60" t="e">
        <f>+SUMIFS(#REF!,#REF!,Planning[[#This Row],[Proyectos]],#REF!,Planning[[#This Row],[Tipo de Tarea y especialidad]])</f>
        <v>#REF!</v>
      </c>
      <c r="O3458" s="19">
        <f t="shared" si="106"/>
        <v>10</v>
      </c>
      <c r="P3458" s="19">
        <f t="shared" si="107"/>
        <v>2024</v>
      </c>
      <c r="Q34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58" s="19" t="str">
        <f>TEXT(Planning[[#This Row],[Mes]]*29,"mmmm")</f>
        <v>October</v>
      </c>
      <c r="S34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58" s="208"/>
      <c r="U3458" s="43" t="e">
        <f>IF(Planning[[#This Row],[Horas Planificadas]]&lt;&gt;0,+K3458/Planning[[#This Row],[Horas Planificadas]],0)</f>
        <v>#REF!</v>
      </c>
      <c r="V3458" s="43" t="e">
        <f>IF(Planning[[#This Row],[Horas Planificadas]]&lt;&gt;0,Planning[[#This Row],[Horas utilizadas]]/Planning[[#This Row],[Horas Planificadas]],0)</f>
        <v>#REF!</v>
      </c>
      <c r="W3458" s="44">
        <f>Planning[[#This Row],[Horas Planificadas]]+Planning[[#This Row],[Horas ajustadas adicionales]]</f>
        <v>130</v>
      </c>
      <c r="X3458" s="142"/>
    </row>
    <row r="3459" spans="1:24" ht="13.35" customHeight="1" x14ac:dyDescent="0.2">
      <c r="A3459" s="7" t="s">
        <v>294</v>
      </c>
      <c r="B3459" s="7" t="s">
        <v>220</v>
      </c>
      <c r="C3459" s="3"/>
      <c r="D3459" s="3" t="s">
        <v>633</v>
      </c>
      <c r="E3459" s="4" t="s">
        <v>28</v>
      </c>
      <c r="F3459" s="3"/>
      <c r="G3459" s="9"/>
      <c r="H3459" s="14">
        <f>SUM(H3460:H3461)</f>
        <v>1542</v>
      </c>
      <c r="I3459" s="14"/>
      <c r="J3459" s="14" t="e">
        <f>SUM(J3460:J3461)</f>
        <v>#REF!</v>
      </c>
      <c r="K3459" s="24" t="e">
        <f>+Planning[[#This Row],[Horas Planificadas]]+Planning[[#This Row],[Horas ajustadas adicionales]]-Planning[[#This Row],[Horas utilizadas]]</f>
        <v>#REF!</v>
      </c>
      <c r="L3459" s="15">
        <f>SUM(L3460:L3461)</f>
        <v>0</v>
      </c>
      <c r="M3459" s="14" t="e">
        <f>SUM(M3460:M3461)</f>
        <v>#REF!</v>
      </c>
      <c r="N3459" s="66" t="e">
        <f>+SUMIFS(#REF!,#REF!,Planning[[#This Row],[Proyectos]],#REF!,Planning[[#This Row],[Tipo de Tarea y especialidad]])</f>
        <v>#REF!</v>
      </c>
      <c r="O3459" s="14">
        <f t="shared" si="106"/>
        <v>10</v>
      </c>
      <c r="P3459" s="14">
        <f t="shared" si="107"/>
        <v>2024</v>
      </c>
      <c r="Q3459" s="28" t="e">
        <f>SUM(Q3460:Q3461)</f>
        <v>#REF!</v>
      </c>
      <c r="R3459" s="28" t="str">
        <f>TEXT(Planning[[#This Row],[Mes]]*29,"mmmm")</f>
        <v>October</v>
      </c>
      <c r="S34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59" s="235" t="s">
        <v>634</v>
      </c>
      <c r="U3459" s="43" t="e">
        <f>IF(Planning[[#This Row],[Horas Planificadas]]&lt;&gt;0,+K3459/Planning[[#This Row],[Horas Planificadas]],0)</f>
        <v>#REF!</v>
      </c>
      <c r="V3459" s="43" t="e">
        <f>IF(Planning[[#This Row],[Horas Planificadas]]&lt;&gt;0,Planning[[#This Row],[Horas utilizadas]]/Planning[[#This Row],[Horas Planificadas]],0)</f>
        <v>#REF!</v>
      </c>
      <c r="W3459" s="44">
        <f>Planning[[#This Row],[Horas Planificadas]]+Planning[[#This Row],[Horas ajustadas adicionales]]</f>
        <v>1542</v>
      </c>
      <c r="X3459" s="142"/>
    </row>
    <row r="3460" spans="1:24" x14ac:dyDescent="0.2">
      <c r="A3460" s="7" t="s">
        <v>204</v>
      </c>
      <c r="B3460" s="7" t="s">
        <v>220</v>
      </c>
      <c r="C3460" s="3"/>
      <c r="D3460" s="3" t="s">
        <v>633</v>
      </c>
      <c r="E3460" s="4"/>
      <c r="F3460" s="3" t="s">
        <v>120</v>
      </c>
      <c r="G3460" s="9">
        <v>1095</v>
      </c>
      <c r="H3460" s="9">
        <v>1095</v>
      </c>
      <c r="I3460" s="12"/>
      <c r="J3460" s="5" t="e">
        <f>SUM(SUMIFS(#REF!,#REF!,Planning[[#This Row],[Tipo de Tarea y especialidad]],#REF!,Planning[[#This Row],[Proyectos Reiwa]]),SUMIFS(#REF!,#REF!,Planning[[#This Row],[Tipo de Tarea y especialidad]],#REF!,Planning[[#This Row],[Proyectos]]))</f>
        <v>#REF!</v>
      </c>
      <c r="K3460" s="5" t="e">
        <f>+Planning[[#This Row],[Horas Planificadas]]+Planning[[#This Row],[Horas ajustadas adicionales]]-Planning[[#This Row],[Horas utilizadas]]</f>
        <v>#REF!</v>
      </c>
      <c r="L3460" s="7">
        <v>0</v>
      </c>
      <c r="M3460" s="19" t="e">
        <f>Planning[[#This Row],[Saldo]]-Planning[[#This Row],[Saldo estimado]]</f>
        <v>#REF!</v>
      </c>
      <c r="N3460" s="60" t="e">
        <f>+SUMIFS(#REF!,#REF!,Planning[[#This Row],[Proyectos]],#REF!,Planning[[#This Row],[Tipo de Tarea y especialidad]])</f>
        <v>#REF!</v>
      </c>
      <c r="O3460" s="19">
        <f t="shared" si="106"/>
        <v>10</v>
      </c>
      <c r="P3460" s="19">
        <f t="shared" si="107"/>
        <v>2024</v>
      </c>
      <c r="Q34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60" s="19" t="str">
        <f>TEXT(Planning[[#This Row],[Mes]]*29,"mmmm")</f>
        <v>October</v>
      </c>
      <c r="S34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60" s="239"/>
      <c r="U3460" s="43" t="e">
        <f>IF(Planning[[#This Row],[Horas Planificadas]]&lt;&gt;0,+K3460/Planning[[#This Row],[Horas Planificadas]],0)</f>
        <v>#REF!</v>
      </c>
      <c r="V3460" s="43" t="e">
        <f>IF(Planning[[#This Row],[Horas Planificadas]]&lt;&gt;0,Planning[[#This Row],[Horas utilizadas]]/Planning[[#This Row],[Horas Planificadas]],0)</f>
        <v>#REF!</v>
      </c>
      <c r="W3460" s="44">
        <f>Planning[[#This Row],[Horas Planificadas]]+Planning[[#This Row],[Horas ajustadas adicionales]]</f>
        <v>1095</v>
      </c>
      <c r="X3460" s="142"/>
    </row>
    <row r="3461" spans="1:24" x14ac:dyDescent="0.2">
      <c r="A3461" s="7" t="s">
        <v>204</v>
      </c>
      <c r="B3461" s="7" t="s">
        <v>220</v>
      </c>
      <c r="C3461" s="3"/>
      <c r="D3461" s="3" t="s">
        <v>633</v>
      </c>
      <c r="E3461" s="4"/>
      <c r="F3461" s="3" t="s">
        <v>121</v>
      </c>
      <c r="G3461" s="9">
        <v>447</v>
      </c>
      <c r="H3461" s="9">
        <v>447</v>
      </c>
      <c r="I3461" s="12"/>
      <c r="J3461" s="5" t="e">
        <f>SUM(SUMIFS(#REF!,#REF!,Planning[[#This Row],[Tipo de Tarea y especialidad]],#REF!,Planning[[#This Row],[Proyectos Reiwa]]),SUMIFS(#REF!,#REF!,Planning[[#This Row],[Tipo de Tarea y especialidad]],#REF!,Planning[[#This Row],[Proyectos]]))</f>
        <v>#REF!</v>
      </c>
      <c r="K3461" s="5" t="e">
        <f>+Planning[[#This Row],[Horas Planificadas]]+Planning[[#This Row],[Horas ajustadas adicionales]]-Planning[[#This Row],[Horas utilizadas]]</f>
        <v>#REF!</v>
      </c>
      <c r="L3461" s="7">
        <v>0</v>
      </c>
      <c r="M3461" s="19" t="e">
        <f>Planning[[#This Row],[Saldo]]-Planning[[#This Row],[Saldo estimado]]</f>
        <v>#REF!</v>
      </c>
      <c r="N3461" s="60" t="e">
        <f>+SUMIFS(#REF!,#REF!,Planning[[#This Row],[Proyectos]],#REF!,Planning[[#This Row],[Tipo de Tarea y especialidad]])</f>
        <v>#REF!</v>
      </c>
      <c r="O3461" s="19">
        <f t="shared" si="106"/>
        <v>10</v>
      </c>
      <c r="P3461" s="19">
        <f t="shared" si="107"/>
        <v>2024</v>
      </c>
      <c r="Q34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61" s="19" t="str">
        <f>TEXT(Planning[[#This Row],[Mes]]*29,"mmmm")</f>
        <v>October</v>
      </c>
      <c r="S34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61" s="239"/>
      <c r="U3461" s="43" t="e">
        <f>IF(Planning[[#This Row],[Horas Planificadas]]&lt;&gt;0,+K3461/Planning[[#This Row],[Horas Planificadas]],0)</f>
        <v>#REF!</v>
      </c>
      <c r="V3461" s="43" t="e">
        <f>IF(Planning[[#This Row],[Horas Planificadas]]&lt;&gt;0,Planning[[#This Row],[Horas utilizadas]]/Planning[[#This Row],[Horas Planificadas]],0)</f>
        <v>#REF!</v>
      </c>
      <c r="W3461" s="44">
        <f>Planning[[#This Row],[Horas Planificadas]]+Planning[[#This Row],[Horas ajustadas adicionales]]</f>
        <v>447</v>
      </c>
      <c r="X3461" s="142"/>
    </row>
    <row r="3462" spans="1:24" x14ac:dyDescent="0.2">
      <c r="A3462" s="7" t="s">
        <v>204</v>
      </c>
      <c r="B3462" s="7" t="s">
        <v>220</v>
      </c>
      <c r="C3462" s="3"/>
      <c r="D3462" s="3" t="s">
        <v>633</v>
      </c>
      <c r="E3462" s="4" t="s">
        <v>30</v>
      </c>
      <c r="F3462" s="3"/>
      <c r="G3462" s="9"/>
      <c r="H3462" s="14">
        <f>SUM(H3463:H3469)</f>
        <v>2228</v>
      </c>
      <c r="I3462" s="14"/>
      <c r="J3462" s="14" t="e">
        <f>SUM(J3463:J3469)</f>
        <v>#REF!</v>
      </c>
      <c r="K3462" s="24" t="e">
        <f>+Planning[[#This Row],[Horas Planificadas]]+Planning[[#This Row],[Horas ajustadas adicionales]]-Planning[[#This Row],[Horas utilizadas]]</f>
        <v>#REF!</v>
      </c>
      <c r="L3462" s="15">
        <f>SUM(L3463:L3469)</f>
        <v>0</v>
      </c>
      <c r="M3462" s="16" t="e">
        <f>SUM(M3463:M3469)</f>
        <v>#REF!</v>
      </c>
      <c r="N3462" s="60" t="e">
        <f>+SUMIFS(#REF!,#REF!,Planning[[#This Row],[Proyectos]],#REF!,Planning[[#This Row],[Tipo de Tarea y especialidad]])</f>
        <v>#REF!</v>
      </c>
      <c r="O3462" s="16">
        <f t="shared" si="106"/>
        <v>10</v>
      </c>
      <c r="P3462" s="16">
        <f t="shared" si="107"/>
        <v>2024</v>
      </c>
      <c r="Q3462" s="16" t="e">
        <f>SUM(Q3463:Q3469)</f>
        <v>#REF!</v>
      </c>
      <c r="R3462" s="16" t="str">
        <f>TEXT(Planning[[#This Row],[Mes]]*29,"mmmm")</f>
        <v>October</v>
      </c>
      <c r="S34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62" s="239"/>
      <c r="U3462" s="43" t="e">
        <f>IF(Planning[[#This Row],[Horas Planificadas]]&lt;&gt;0,+K3462/Planning[[#This Row],[Horas Planificadas]],0)</f>
        <v>#REF!</v>
      </c>
      <c r="V3462" s="43" t="e">
        <f>IF(Planning[[#This Row],[Horas Planificadas]]&lt;&gt;0,Planning[[#This Row],[Horas utilizadas]]/Planning[[#This Row],[Horas Planificadas]],0)</f>
        <v>#REF!</v>
      </c>
      <c r="W3462" s="44">
        <f>Planning[[#This Row],[Horas Planificadas]]+Planning[[#This Row],[Horas ajustadas adicionales]]</f>
        <v>2228</v>
      </c>
      <c r="X3462" s="142"/>
    </row>
    <row r="3463" spans="1:24" x14ac:dyDescent="0.2">
      <c r="A3463" s="7" t="s">
        <v>204</v>
      </c>
      <c r="B3463" s="7" t="s">
        <v>220</v>
      </c>
      <c r="C3463" s="3"/>
      <c r="D3463" s="3" t="s">
        <v>633</v>
      </c>
      <c r="E3463" s="4"/>
      <c r="F3463" s="3" t="s">
        <v>122</v>
      </c>
      <c r="G3463" s="9">
        <f>1395-250-360</f>
        <v>785</v>
      </c>
      <c r="H3463" s="9">
        <f>1395-250-360</f>
        <v>785</v>
      </c>
      <c r="I3463" s="12">
        <v>112</v>
      </c>
      <c r="J3463" s="5" t="e">
        <f>SUM(SUMIFS(#REF!,#REF!,Planning[[#This Row],[Tipo de Tarea y especialidad]],#REF!,Planning[[#This Row],[Proyectos Reiwa]]),SUMIFS(#REF!,#REF!,Planning[[#This Row],[Tipo de Tarea y especialidad]],#REF!,Planning[[#This Row],[Proyectos]]))</f>
        <v>#REF!</v>
      </c>
      <c r="K3463" s="5" t="e">
        <f>+Planning[[#This Row],[Horas Planificadas]]+Planning[[#This Row],[Horas ajustadas adicionales]]-Planning[[#This Row],[Horas utilizadas]]</f>
        <v>#REF!</v>
      </c>
      <c r="L3463" s="7">
        <v>0</v>
      </c>
      <c r="M3463" s="21" t="e">
        <f>Planning[[#This Row],[Saldo]]-Planning[[#This Row],[Saldo estimado]]</f>
        <v>#REF!</v>
      </c>
      <c r="N3463" s="67" t="e">
        <f>+SUMIFS(#REF!,#REF!,Planning[[#This Row],[Proyectos]],#REF!,Planning[[#This Row],[Tipo de Tarea y especialidad]])</f>
        <v>#REF!</v>
      </c>
      <c r="O3463" s="21">
        <f t="shared" ref="O3463:O3526" si="108">$L$4</f>
        <v>10</v>
      </c>
      <c r="P3463" s="21">
        <f t="shared" ref="P3463:P3526" si="109">$M$4</f>
        <v>2024</v>
      </c>
      <c r="Q34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63" s="19" t="str">
        <f>TEXT(Planning[[#This Row],[Mes]]*29,"mmmm")</f>
        <v>October</v>
      </c>
      <c r="S34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63" s="239"/>
      <c r="U3463" s="43" t="e">
        <f>IF(Planning[[#This Row],[Horas Planificadas]]&lt;&gt;0,+K3463/Planning[[#This Row],[Horas Planificadas]],0)</f>
        <v>#REF!</v>
      </c>
      <c r="V3463" s="43" t="e">
        <f>IF(Planning[[#This Row],[Horas Planificadas]]&lt;&gt;0,Planning[[#This Row],[Horas utilizadas]]/Planning[[#This Row],[Horas Planificadas]],0)</f>
        <v>#REF!</v>
      </c>
      <c r="W3463" s="44">
        <f>Planning[[#This Row],[Horas Planificadas]]+Planning[[#This Row],[Horas ajustadas adicionales]]</f>
        <v>897</v>
      </c>
      <c r="X3463" s="142"/>
    </row>
    <row r="3464" spans="1:24" x14ac:dyDescent="0.2">
      <c r="A3464" s="7" t="s">
        <v>204</v>
      </c>
      <c r="B3464" s="7" t="s">
        <v>220</v>
      </c>
      <c r="C3464" s="3"/>
      <c r="D3464" s="3" t="s">
        <v>633</v>
      </c>
      <c r="E3464" s="4"/>
      <c r="F3464" s="3" t="s">
        <v>123</v>
      </c>
      <c r="G3464" s="9">
        <f>715-360</f>
        <v>355</v>
      </c>
      <c r="H3464" s="9">
        <f>715-360</f>
        <v>355</v>
      </c>
      <c r="I3464" s="12"/>
      <c r="J3464" s="5" t="e">
        <f>SUM(SUMIFS(#REF!,#REF!,Planning[[#This Row],[Tipo de Tarea y especialidad]],#REF!,Planning[[#This Row],[Proyectos Reiwa]]),SUMIFS(#REF!,#REF!,Planning[[#This Row],[Tipo de Tarea y especialidad]],#REF!,Planning[[#This Row],[Proyectos]]))</f>
        <v>#REF!</v>
      </c>
      <c r="K3464" s="5" t="e">
        <f>+Planning[[#This Row],[Horas Planificadas]]+Planning[[#This Row],[Horas ajustadas adicionales]]-Planning[[#This Row],[Horas utilizadas]]</f>
        <v>#REF!</v>
      </c>
      <c r="L3464" s="7">
        <v>0</v>
      </c>
      <c r="M3464" s="19" t="e">
        <f>Planning[[#This Row],[Saldo]]-Planning[[#This Row],[Saldo estimado]]</f>
        <v>#REF!</v>
      </c>
      <c r="N3464" s="60" t="e">
        <f>+SUMIFS(#REF!,#REF!,Planning[[#This Row],[Proyectos]],#REF!,Planning[[#This Row],[Tipo de Tarea y especialidad]])</f>
        <v>#REF!</v>
      </c>
      <c r="O3464" s="19">
        <f t="shared" si="108"/>
        <v>10</v>
      </c>
      <c r="P3464" s="19">
        <f t="shared" si="109"/>
        <v>2024</v>
      </c>
      <c r="Q34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64" s="19" t="str">
        <f>TEXT(Planning[[#This Row],[Mes]]*29,"mmmm")</f>
        <v>October</v>
      </c>
      <c r="S34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64" s="239"/>
      <c r="U3464" s="43" t="e">
        <f>IF(Planning[[#This Row],[Horas Planificadas]]&lt;&gt;0,+K3464/Planning[[#This Row],[Horas Planificadas]],0)</f>
        <v>#REF!</v>
      </c>
      <c r="V3464" s="43" t="e">
        <f>IF(Planning[[#This Row],[Horas Planificadas]]&lt;&gt;0,Planning[[#This Row],[Horas utilizadas]]/Planning[[#This Row],[Horas Planificadas]],0)</f>
        <v>#REF!</v>
      </c>
      <c r="W3464" s="44">
        <f>Planning[[#This Row],[Horas Planificadas]]+Planning[[#This Row],[Horas ajustadas adicionales]]</f>
        <v>355</v>
      </c>
      <c r="X3464" s="142"/>
    </row>
    <row r="3465" spans="1:24" x14ac:dyDescent="0.2">
      <c r="A3465" s="7" t="s">
        <v>204</v>
      </c>
      <c r="B3465" s="7" t="s">
        <v>220</v>
      </c>
      <c r="C3465" s="3"/>
      <c r="D3465" s="3" t="s">
        <v>633</v>
      </c>
      <c r="E3465" s="4"/>
      <c r="F3465" s="3" t="s">
        <v>124</v>
      </c>
      <c r="G3465" s="9">
        <f>118-45</f>
        <v>73</v>
      </c>
      <c r="H3465" s="9">
        <f>118-45</f>
        <v>73</v>
      </c>
      <c r="I3465" s="12"/>
      <c r="J3465" s="5" t="e">
        <f>SUM(SUMIFS(#REF!,#REF!,Planning[[#This Row],[Tipo de Tarea y especialidad]],#REF!,Planning[[#This Row],[Proyectos Reiwa]]),SUMIFS(#REF!,#REF!,Planning[[#This Row],[Tipo de Tarea y especialidad]],#REF!,Planning[[#This Row],[Proyectos]]))</f>
        <v>#REF!</v>
      </c>
      <c r="K3465" s="5" t="e">
        <f>+Planning[[#This Row],[Horas Planificadas]]+Planning[[#This Row],[Horas ajustadas adicionales]]-Planning[[#This Row],[Horas utilizadas]]</f>
        <v>#REF!</v>
      </c>
      <c r="L3465" s="7">
        <v>0</v>
      </c>
      <c r="M3465" s="19" t="e">
        <f>Planning[[#This Row],[Saldo]]-Planning[[#This Row],[Saldo estimado]]</f>
        <v>#REF!</v>
      </c>
      <c r="N3465" s="60" t="e">
        <f>+SUMIFS(#REF!,#REF!,Planning[[#This Row],[Proyectos]],#REF!,Planning[[#This Row],[Tipo de Tarea y especialidad]])</f>
        <v>#REF!</v>
      </c>
      <c r="O3465" s="19">
        <f t="shared" si="108"/>
        <v>10</v>
      </c>
      <c r="P3465" s="19">
        <f t="shared" si="109"/>
        <v>2024</v>
      </c>
      <c r="Q34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65" s="19" t="str">
        <f>TEXT(Planning[[#This Row],[Mes]]*29,"mmmm")</f>
        <v>October</v>
      </c>
      <c r="S34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65" s="239"/>
      <c r="U3465" s="43" t="e">
        <f>IF(Planning[[#This Row],[Horas Planificadas]]&lt;&gt;0,+K3465/Planning[[#This Row],[Horas Planificadas]],0)</f>
        <v>#REF!</v>
      </c>
      <c r="V3465" s="43" t="e">
        <f>IF(Planning[[#This Row],[Horas Planificadas]]&lt;&gt;0,Planning[[#This Row],[Horas utilizadas]]/Planning[[#This Row],[Horas Planificadas]],0)</f>
        <v>#REF!</v>
      </c>
      <c r="W3465" s="44">
        <f>Planning[[#This Row],[Horas Planificadas]]+Planning[[#This Row],[Horas ajustadas adicionales]]</f>
        <v>73</v>
      </c>
      <c r="X3465" s="142"/>
    </row>
    <row r="3466" spans="1:24" x14ac:dyDescent="0.2">
      <c r="A3466" s="7" t="s">
        <v>204</v>
      </c>
      <c r="B3466" s="7" t="s">
        <v>220</v>
      </c>
      <c r="C3466" s="3"/>
      <c r="D3466" s="3" t="s">
        <v>633</v>
      </c>
      <c r="E3466" s="4"/>
      <c r="F3466" s="3" t="s">
        <v>125</v>
      </c>
      <c r="G3466" s="9">
        <v>250</v>
      </c>
      <c r="H3466" s="9">
        <v>250</v>
      </c>
      <c r="I3466" s="12"/>
      <c r="J3466" s="5" t="e">
        <f>SUM(SUMIFS(#REF!,#REF!,Planning[[#This Row],[Tipo de Tarea y especialidad]],#REF!,Planning[[#This Row],[Proyectos Reiwa]]),SUMIFS(#REF!,#REF!,Planning[[#This Row],[Tipo de Tarea y especialidad]],#REF!,Planning[[#This Row],[Proyectos]]))</f>
        <v>#REF!</v>
      </c>
      <c r="K3466" s="5" t="e">
        <f>+Planning[[#This Row],[Horas Planificadas]]+Planning[[#This Row],[Horas ajustadas adicionales]]-Planning[[#This Row],[Horas utilizadas]]</f>
        <v>#REF!</v>
      </c>
      <c r="L3466" s="7">
        <v>0</v>
      </c>
      <c r="M3466" s="19" t="e">
        <f>Planning[[#This Row],[Saldo]]-Planning[[#This Row],[Saldo estimado]]</f>
        <v>#REF!</v>
      </c>
      <c r="N3466" s="60" t="e">
        <f>+SUMIFS(#REF!,#REF!,Planning[[#This Row],[Proyectos]],#REF!,Planning[[#This Row],[Tipo de Tarea y especialidad]])</f>
        <v>#REF!</v>
      </c>
      <c r="O3466" s="19">
        <f t="shared" si="108"/>
        <v>10</v>
      </c>
      <c r="P3466" s="19">
        <f t="shared" si="109"/>
        <v>2024</v>
      </c>
      <c r="Q34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66" s="19" t="str">
        <f>TEXT(Planning[[#This Row],[Mes]]*29,"mmmm")</f>
        <v>October</v>
      </c>
      <c r="S34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66" s="239"/>
      <c r="U3466" s="43" t="e">
        <f>IF(Planning[[#This Row],[Horas Planificadas]]&lt;&gt;0,+K3466/Planning[[#This Row],[Horas Planificadas]],0)</f>
        <v>#REF!</v>
      </c>
      <c r="V3466" s="43" t="e">
        <f>IF(Planning[[#This Row],[Horas Planificadas]]&lt;&gt;0,Planning[[#This Row],[Horas utilizadas]]/Planning[[#This Row],[Horas Planificadas]],0)</f>
        <v>#REF!</v>
      </c>
      <c r="W3466" s="44">
        <f>Planning[[#This Row],[Horas Planificadas]]+Planning[[#This Row],[Horas ajustadas adicionales]]</f>
        <v>250</v>
      </c>
      <c r="X3466" s="142"/>
    </row>
    <row r="3467" spans="1:24" x14ac:dyDescent="0.2">
      <c r="A3467" s="7" t="s">
        <v>204</v>
      </c>
      <c r="B3467" s="7" t="s">
        <v>220</v>
      </c>
      <c r="C3467" s="3"/>
      <c r="D3467" s="3" t="s">
        <v>633</v>
      </c>
      <c r="E3467" s="4"/>
      <c r="F3467" s="3" t="s">
        <v>126</v>
      </c>
      <c r="G3467" s="9">
        <v>360</v>
      </c>
      <c r="H3467" s="9">
        <v>360</v>
      </c>
      <c r="I3467" s="12"/>
      <c r="J3467" s="5" t="e">
        <f>SUM(SUMIFS(#REF!,#REF!,Planning[[#This Row],[Tipo de Tarea y especialidad]],#REF!,Planning[[#This Row],[Proyectos Reiwa]]),SUMIFS(#REF!,#REF!,Planning[[#This Row],[Tipo de Tarea y especialidad]],#REF!,Planning[[#This Row],[Proyectos]]))</f>
        <v>#REF!</v>
      </c>
      <c r="K3467" s="5" t="e">
        <f>+Planning[[#This Row],[Horas Planificadas]]+Planning[[#This Row],[Horas ajustadas adicionales]]-Planning[[#This Row],[Horas utilizadas]]</f>
        <v>#REF!</v>
      </c>
      <c r="L3467" s="7">
        <v>0</v>
      </c>
      <c r="M3467" s="19" t="e">
        <f>Planning[[#This Row],[Saldo]]-Planning[[#This Row],[Saldo estimado]]</f>
        <v>#REF!</v>
      </c>
      <c r="N3467" s="60" t="e">
        <f>+SUMIFS(#REF!,#REF!,Planning[[#This Row],[Proyectos]],#REF!,Planning[[#This Row],[Tipo de Tarea y especialidad]])</f>
        <v>#REF!</v>
      </c>
      <c r="O3467" s="19">
        <f t="shared" si="108"/>
        <v>10</v>
      </c>
      <c r="P3467" s="19">
        <f t="shared" si="109"/>
        <v>2024</v>
      </c>
      <c r="Q34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67" s="19" t="str">
        <f>TEXT(Planning[[#This Row],[Mes]]*29,"mmmm")</f>
        <v>October</v>
      </c>
      <c r="S34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67" s="239"/>
      <c r="U3467" s="43" t="e">
        <f>IF(Planning[[#This Row],[Horas Planificadas]]&lt;&gt;0,+K3467/Planning[[#This Row],[Horas Planificadas]],0)</f>
        <v>#REF!</v>
      </c>
      <c r="V3467" s="43" t="e">
        <f>IF(Planning[[#This Row],[Horas Planificadas]]&lt;&gt;0,Planning[[#This Row],[Horas utilizadas]]/Planning[[#This Row],[Horas Planificadas]],0)</f>
        <v>#REF!</v>
      </c>
      <c r="W3467" s="44">
        <f>Planning[[#This Row],[Horas Planificadas]]+Planning[[#This Row],[Horas ajustadas adicionales]]</f>
        <v>360</v>
      </c>
      <c r="X3467" s="142"/>
    </row>
    <row r="3468" spans="1:24" x14ac:dyDescent="0.2">
      <c r="A3468" s="7" t="s">
        <v>204</v>
      </c>
      <c r="B3468" s="7" t="s">
        <v>220</v>
      </c>
      <c r="C3468" s="3"/>
      <c r="D3468" s="3" t="s">
        <v>633</v>
      </c>
      <c r="E3468" s="4"/>
      <c r="F3468" s="3" t="s">
        <v>127</v>
      </c>
      <c r="G3468" s="9">
        <v>360</v>
      </c>
      <c r="H3468" s="9">
        <v>360</v>
      </c>
      <c r="I3468" s="12"/>
      <c r="J3468" s="5" t="e">
        <f>SUM(SUMIFS(#REF!,#REF!,Planning[[#This Row],[Tipo de Tarea y especialidad]],#REF!,Planning[[#This Row],[Proyectos Reiwa]]),SUMIFS(#REF!,#REF!,Planning[[#This Row],[Tipo de Tarea y especialidad]],#REF!,Planning[[#This Row],[Proyectos]]))</f>
        <v>#REF!</v>
      </c>
      <c r="K3468" s="5" t="e">
        <f>+Planning[[#This Row],[Horas Planificadas]]+Planning[[#This Row],[Horas ajustadas adicionales]]-Planning[[#This Row],[Horas utilizadas]]</f>
        <v>#REF!</v>
      </c>
      <c r="L3468" s="7">
        <v>0</v>
      </c>
      <c r="M3468" s="21" t="e">
        <f>Planning[[#This Row],[Saldo]]-Planning[[#This Row],[Saldo estimado]]</f>
        <v>#REF!</v>
      </c>
      <c r="N3468" s="67" t="e">
        <f>+SUMIFS(#REF!,#REF!,Planning[[#This Row],[Proyectos]],#REF!,Planning[[#This Row],[Tipo de Tarea y especialidad]])</f>
        <v>#REF!</v>
      </c>
      <c r="O3468" s="21">
        <f t="shared" si="108"/>
        <v>10</v>
      </c>
      <c r="P3468" s="21">
        <f t="shared" si="109"/>
        <v>2024</v>
      </c>
      <c r="Q34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68" s="19" t="str">
        <f>TEXT(Planning[[#This Row],[Mes]]*29,"mmmm")</f>
        <v>October</v>
      </c>
      <c r="S34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68" s="239"/>
      <c r="U3468" s="43" t="e">
        <f>IF(Planning[[#This Row],[Horas Planificadas]]&lt;&gt;0,+K3468/Planning[[#This Row],[Horas Planificadas]],0)</f>
        <v>#REF!</v>
      </c>
      <c r="V3468" s="43" t="e">
        <f>IF(Planning[[#This Row],[Horas Planificadas]]&lt;&gt;0,Planning[[#This Row],[Horas utilizadas]]/Planning[[#This Row],[Horas Planificadas]],0)</f>
        <v>#REF!</v>
      </c>
      <c r="W3468" s="44">
        <f>Planning[[#This Row],[Horas Planificadas]]+Planning[[#This Row],[Horas ajustadas adicionales]]</f>
        <v>360</v>
      </c>
      <c r="X3468" s="142"/>
    </row>
    <row r="3469" spans="1:24" x14ac:dyDescent="0.2">
      <c r="A3469" s="7" t="s">
        <v>204</v>
      </c>
      <c r="B3469" s="7" t="s">
        <v>220</v>
      </c>
      <c r="C3469" s="3"/>
      <c r="D3469" s="3" t="s">
        <v>633</v>
      </c>
      <c r="E3469" s="4"/>
      <c r="F3469" s="3" t="s">
        <v>128</v>
      </c>
      <c r="G3469" s="9">
        <v>45</v>
      </c>
      <c r="H3469" s="9">
        <v>45</v>
      </c>
      <c r="I3469" s="12"/>
      <c r="J3469" s="5" t="e">
        <f>SUM(SUMIFS(#REF!,#REF!,Planning[[#This Row],[Tipo de Tarea y especialidad]],#REF!,Planning[[#This Row],[Proyectos Reiwa]]),SUMIFS(#REF!,#REF!,Planning[[#This Row],[Tipo de Tarea y especialidad]],#REF!,Planning[[#This Row],[Proyectos]]))</f>
        <v>#REF!</v>
      </c>
      <c r="K3469" s="5" t="e">
        <f>+Planning[[#This Row],[Horas Planificadas]]+Planning[[#This Row],[Horas ajustadas adicionales]]-Planning[[#This Row],[Horas utilizadas]]</f>
        <v>#REF!</v>
      </c>
      <c r="L3469" s="7">
        <v>0</v>
      </c>
      <c r="M3469" s="19" t="e">
        <f>Planning[[#This Row],[Saldo]]-Planning[[#This Row],[Saldo estimado]]</f>
        <v>#REF!</v>
      </c>
      <c r="N3469" s="60" t="e">
        <f>+SUMIFS(#REF!,#REF!,Planning[[#This Row],[Proyectos]],#REF!,Planning[[#This Row],[Tipo de Tarea y especialidad]])</f>
        <v>#REF!</v>
      </c>
      <c r="O3469" s="19">
        <f t="shared" si="108"/>
        <v>10</v>
      </c>
      <c r="P3469" s="19">
        <f t="shared" si="109"/>
        <v>2024</v>
      </c>
      <c r="Q34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69" s="19" t="str">
        <f>TEXT(Planning[[#This Row],[Mes]]*29,"mmmm")</f>
        <v>October</v>
      </c>
      <c r="S34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69" s="239"/>
      <c r="U3469" s="43" t="e">
        <f>IF(Planning[[#This Row],[Horas Planificadas]]&lt;&gt;0,+K3469/Planning[[#This Row],[Horas Planificadas]],0)</f>
        <v>#REF!</v>
      </c>
      <c r="V3469" s="43" t="e">
        <f>IF(Planning[[#This Row],[Horas Planificadas]]&lt;&gt;0,Planning[[#This Row],[Horas utilizadas]]/Planning[[#This Row],[Horas Planificadas]],0)</f>
        <v>#REF!</v>
      </c>
      <c r="W3469" s="44">
        <f>Planning[[#This Row],[Horas Planificadas]]+Planning[[#This Row],[Horas ajustadas adicionales]]</f>
        <v>45</v>
      </c>
      <c r="X3469" s="142"/>
    </row>
    <row r="3470" spans="1:24" x14ac:dyDescent="0.2">
      <c r="A3470" s="7" t="s">
        <v>204</v>
      </c>
      <c r="B3470" s="7" t="s">
        <v>220</v>
      </c>
      <c r="C3470" s="3"/>
      <c r="D3470" s="3" t="s">
        <v>633</v>
      </c>
      <c r="E3470" s="4" t="s">
        <v>31</v>
      </c>
      <c r="F3470" s="3" t="s">
        <v>31</v>
      </c>
      <c r="G3470" s="9"/>
      <c r="H3470" s="17">
        <f>Planning[[#This Row],[Horas Precálculo]]</f>
        <v>0</v>
      </c>
      <c r="I3470" s="18"/>
      <c r="J3470" s="14" t="e">
        <f>+SUMIFS(#REF!,#REF!,Planning[[#This Row],[Tarifa]],#REF!,Planning[[#This Row],[Proyectos]])</f>
        <v>#REF!</v>
      </c>
      <c r="K3470" s="14" t="e">
        <f>+Planning[[#This Row],[Horas Planificadas]]+Planning[[#This Row],[Horas ajustadas adicionales]]-Planning[[#This Row],[Horas utilizadas]]</f>
        <v>#REF!</v>
      </c>
      <c r="L3470" s="15">
        <v>0</v>
      </c>
      <c r="M3470" s="16" t="e">
        <f>Planning[[#This Row],[Saldo]]-Planning[[#This Row],[Saldo estimado]]</f>
        <v>#REF!</v>
      </c>
      <c r="N3470" s="60" t="e">
        <f>+SUMIFS(#REF!,#REF!,Planning[[#This Row],[Proyectos]],#REF!,Planning[[#This Row],[Tipo de Tarea y especialidad]])</f>
        <v>#REF!</v>
      </c>
      <c r="O3470" s="16">
        <f t="shared" si="108"/>
        <v>10</v>
      </c>
      <c r="P3470" s="16">
        <f t="shared" si="109"/>
        <v>2024</v>
      </c>
      <c r="Q3470" s="16" t="e">
        <f>+SUMIFS(#REF!,#REF!,Planning[[#This Row],[Tarifa]],#REF!,Planning[[#This Row],[Proyectos]],#REF!,Planning[[#This Row],[Mes]],#REF!,Planning[[#This Row],[Año]])</f>
        <v>#REF!</v>
      </c>
      <c r="R3470" s="16" t="str">
        <f>TEXT(Planning[[#This Row],[Mes]]*29,"mmmm")</f>
        <v>October</v>
      </c>
      <c r="S34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70" s="239"/>
      <c r="U3470" s="43">
        <f>IF(Planning[[#This Row],[Horas Planificadas]]&lt;&gt;0,+K3470/Planning[[#This Row],[Horas Planificadas]],0)</f>
        <v>0</v>
      </c>
      <c r="V3470" s="43">
        <f>IF(Planning[[#This Row],[Horas Planificadas]]&lt;&gt;0,Planning[[#This Row],[Horas utilizadas]]/Planning[[#This Row],[Horas Planificadas]],0)</f>
        <v>0</v>
      </c>
      <c r="W3470" s="44">
        <f>Planning[[#This Row],[Horas Planificadas]]+Planning[[#This Row],[Horas ajustadas adicionales]]</f>
        <v>0</v>
      </c>
      <c r="X3470" s="142"/>
    </row>
    <row r="3471" spans="1:24" ht="22.5" x14ac:dyDescent="0.2">
      <c r="A3471" s="7" t="s">
        <v>204</v>
      </c>
      <c r="B3471" s="7" t="s">
        <v>220</v>
      </c>
      <c r="C3471" s="3"/>
      <c r="D3471" s="3" t="s">
        <v>633</v>
      </c>
      <c r="E3471" s="4" t="s">
        <v>32</v>
      </c>
      <c r="F3471" s="3"/>
      <c r="G3471" s="9"/>
      <c r="H3471" s="14">
        <f>SUM(H3472:H3474)</f>
        <v>1010</v>
      </c>
      <c r="I3471" s="14"/>
      <c r="J3471" s="14" t="e">
        <f>SUM(J3472:J3474)</f>
        <v>#REF!</v>
      </c>
      <c r="K3471" s="24" t="e">
        <f>+Planning[[#This Row],[Horas Planificadas]]+Planning[[#This Row],[Horas ajustadas adicionales]]-Planning[[#This Row],[Horas utilizadas]]</f>
        <v>#REF!</v>
      </c>
      <c r="L3471" s="15">
        <f>SUM(L3472:L3474)</f>
        <v>0</v>
      </c>
      <c r="M3471" s="16" t="e">
        <f>SUM(M3472:M3474)</f>
        <v>#REF!</v>
      </c>
      <c r="N3471" s="60" t="e">
        <f>+SUMIFS(#REF!,#REF!,Planning[[#This Row],[Proyectos]],#REF!,Planning[[#This Row],[Tipo de Tarea y especialidad]])</f>
        <v>#REF!</v>
      </c>
      <c r="O3471" s="16">
        <f t="shared" si="108"/>
        <v>10</v>
      </c>
      <c r="P3471" s="16">
        <f t="shared" si="109"/>
        <v>2024</v>
      </c>
      <c r="Q3471" s="16" t="e">
        <f>SUM(Q3472:Q3474)</f>
        <v>#REF!</v>
      </c>
      <c r="R3471" s="16" t="str">
        <f>TEXT(Planning[[#This Row],[Mes]]*29,"mmmm")</f>
        <v>October</v>
      </c>
      <c r="S34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71" s="239"/>
      <c r="U3471" s="43" t="e">
        <f>IF(Planning[[#This Row],[Horas Planificadas]]&lt;&gt;0,+K3471/Planning[[#This Row],[Horas Planificadas]],0)</f>
        <v>#REF!</v>
      </c>
      <c r="V3471" s="43" t="e">
        <f>IF(Planning[[#This Row],[Horas Planificadas]]&lt;&gt;0,Planning[[#This Row],[Horas utilizadas]]/Planning[[#This Row],[Horas Planificadas]],0)</f>
        <v>#REF!</v>
      </c>
      <c r="W3471" s="44">
        <f>Planning[[#This Row],[Horas Planificadas]]+Planning[[#This Row],[Horas ajustadas adicionales]]</f>
        <v>1010</v>
      </c>
      <c r="X3471" s="142"/>
    </row>
    <row r="3472" spans="1:24" x14ac:dyDescent="0.2">
      <c r="A3472" s="7" t="s">
        <v>204</v>
      </c>
      <c r="B3472" s="7" t="s">
        <v>220</v>
      </c>
      <c r="C3472" s="3"/>
      <c r="D3472" s="3" t="s">
        <v>633</v>
      </c>
      <c r="E3472" s="4"/>
      <c r="F3472" s="3" t="s">
        <v>129</v>
      </c>
      <c r="G3472" s="9">
        <v>450</v>
      </c>
      <c r="H3472" s="9">
        <v>450</v>
      </c>
      <c r="I3472" s="12"/>
      <c r="J3472" s="5" t="e">
        <f>SUM(SUMIFS(#REF!,#REF!,Planning[[#This Row],[Tipo de Tarea y especialidad]],#REF!,Planning[[#This Row],[Proyectos Reiwa]]),SUMIFS(#REF!,#REF!,Planning[[#This Row],[Tipo de Tarea y especialidad]],#REF!,Planning[[#This Row],[Proyectos]]))</f>
        <v>#REF!</v>
      </c>
      <c r="K3472" s="5" t="e">
        <f>+Planning[[#This Row],[Horas Planificadas]]+Planning[[#This Row],[Horas ajustadas adicionales]]-Planning[[#This Row],[Horas utilizadas]]</f>
        <v>#REF!</v>
      </c>
      <c r="L3472" s="7">
        <v>0</v>
      </c>
      <c r="M3472" s="19" t="e">
        <f>Planning[[#This Row],[Saldo]]-Planning[[#This Row],[Saldo estimado]]</f>
        <v>#REF!</v>
      </c>
      <c r="N3472" s="60" t="e">
        <f>+SUMIFS(#REF!,#REF!,Planning[[#This Row],[Proyectos]],#REF!,Planning[[#This Row],[Tipo de Tarea y especialidad]])</f>
        <v>#REF!</v>
      </c>
      <c r="O3472" s="19">
        <f t="shared" si="108"/>
        <v>10</v>
      </c>
      <c r="P3472" s="19">
        <f t="shared" si="109"/>
        <v>2024</v>
      </c>
      <c r="Q34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72" s="19" t="str">
        <f>TEXT(Planning[[#This Row],[Mes]]*29,"mmmm")</f>
        <v>October</v>
      </c>
      <c r="S34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72" s="239"/>
      <c r="U3472" s="43" t="e">
        <f>IF(Planning[[#This Row],[Horas Planificadas]]&lt;&gt;0,+K3472/Planning[[#This Row],[Horas Planificadas]],0)</f>
        <v>#REF!</v>
      </c>
      <c r="V3472" s="43" t="e">
        <f>IF(Planning[[#This Row],[Horas Planificadas]]&lt;&gt;0,Planning[[#This Row],[Horas utilizadas]]/Planning[[#This Row],[Horas Planificadas]],0)</f>
        <v>#REF!</v>
      </c>
      <c r="W3472" s="44">
        <f>Planning[[#This Row],[Horas Planificadas]]+Planning[[#This Row],[Horas ajustadas adicionales]]</f>
        <v>450</v>
      </c>
      <c r="X3472" s="142"/>
    </row>
    <row r="3473" spans="1:24" x14ac:dyDescent="0.2">
      <c r="A3473" s="7" t="s">
        <v>204</v>
      </c>
      <c r="B3473" s="7" t="s">
        <v>220</v>
      </c>
      <c r="C3473" s="3"/>
      <c r="D3473" s="3" t="s">
        <v>633</v>
      </c>
      <c r="E3473" s="4"/>
      <c r="F3473" s="3" t="s">
        <v>130</v>
      </c>
      <c r="G3473" s="9">
        <v>410</v>
      </c>
      <c r="H3473" s="9">
        <v>410</v>
      </c>
      <c r="I3473" s="12"/>
      <c r="J3473" s="5" t="e">
        <f>SUM(SUMIFS(#REF!,#REF!,Planning[[#This Row],[Tipo de Tarea y especialidad]],#REF!,Planning[[#This Row],[Proyectos Reiwa]]),SUMIFS(#REF!,#REF!,Planning[[#This Row],[Tipo de Tarea y especialidad]],#REF!,Planning[[#This Row],[Proyectos]]))</f>
        <v>#REF!</v>
      </c>
      <c r="K3473" s="5" t="e">
        <f>+Planning[[#This Row],[Horas Planificadas]]+Planning[[#This Row],[Horas ajustadas adicionales]]-Planning[[#This Row],[Horas utilizadas]]</f>
        <v>#REF!</v>
      </c>
      <c r="L3473" s="7">
        <v>0</v>
      </c>
      <c r="M3473" s="19" t="e">
        <f>Planning[[#This Row],[Saldo]]-Planning[[#This Row],[Saldo estimado]]</f>
        <v>#REF!</v>
      </c>
      <c r="N3473" s="60" t="e">
        <f>+SUMIFS(#REF!,#REF!,Planning[[#This Row],[Proyectos]],#REF!,Planning[[#This Row],[Tipo de Tarea y especialidad]])</f>
        <v>#REF!</v>
      </c>
      <c r="O3473" s="19">
        <f t="shared" si="108"/>
        <v>10</v>
      </c>
      <c r="P3473" s="19">
        <f t="shared" si="109"/>
        <v>2024</v>
      </c>
      <c r="Q34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73" s="19" t="str">
        <f>TEXT(Planning[[#This Row],[Mes]]*29,"mmmm")</f>
        <v>October</v>
      </c>
      <c r="S34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73" s="239"/>
      <c r="U3473" s="43" t="e">
        <f>IF(Planning[[#This Row],[Horas Planificadas]]&lt;&gt;0,+K3473/Planning[[#This Row],[Horas Planificadas]],0)</f>
        <v>#REF!</v>
      </c>
      <c r="V3473" s="43" t="e">
        <f>IF(Planning[[#This Row],[Horas Planificadas]]&lt;&gt;0,Planning[[#This Row],[Horas utilizadas]]/Planning[[#This Row],[Horas Planificadas]],0)</f>
        <v>#REF!</v>
      </c>
      <c r="W3473" s="44">
        <f>Planning[[#This Row],[Horas Planificadas]]+Planning[[#This Row],[Horas ajustadas adicionales]]</f>
        <v>410</v>
      </c>
      <c r="X3473" s="142"/>
    </row>
    <row r="3474" spans="1:24" x14ac:dyDescent="0.2">
      <c r="A3474" s="7" t="s">
        <v>204</v>
      </c>
      <c r="B3474" s="7" t="s">
        <v>220</v>
      </c>
      <c r="C3474" s="3"/>
      <c r="D3474" s="3" t="s">
        <v>633</v>
      </c>
      <c r="E3474" s="4"/>
      <c r="F3474" s="3" t="s">
        <v>131</v>
      </c>
      <c r="G3474" s="9">
        <v>150</v>
      </c>
      <c r="H3474" s="9">
        <v>150</v>
      </c>
      <c r="I3474" s="12"/>
      <c r="J3474" s="5" t="e">
        <f>SUM(SUMIFS(#REF!,#REF!,Planning[[#This Row],[Tipo de Tarea y especialidad]],#REF!,Planning[[#This Row],[Proyectos Reiwa]]),SUMIFS(#REF!,#REF!,Planning[[#This Row],[Tipo de Tarea y especialidad]],#REF!,Planning[[#This Row],[Proyectos]]))</f>
        <v>#REF!</v>
      </c>
      <c r="K3474" s="5" t="e">
        <f>+Planning[[#This Row],[Horas Planificadas]]+Planning[[#This Row],[Horas ajustadas adicionales]]-Planning[[#This Row],[Horas utilizadas]]</f>
        <v>#REF!</v>
      </c>
      <c r="L3474" s="7">
        <v>0</v>
      </c>
      <c r="M3474" s="19" t="e">
        <f>Planning[[#This Row],[Saldo]]-Planning[[#This Row],[Saldo estimado]]</f>
        <v>#REF!</v>
      </c>
      <c r="N3474" s="60" t="e">
        <f>+SUMIFS(#REF!,#REF!,Planning[[#This Row],[Proyectos]],#REF!,Planning[[#This Row],[Tipo de Tarea y especialidad]])</f>
        <v>#REF!</v>
      </c>
      <c r="O3474" s="19">
        <f t="shared" si="108"/>
        <v>10</v>
      </c>
      <c r="P3474" s="19">
        <f t="shared" si="109"/>
        <v>2024</v>
      </c>
      <c r="Q34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74" s="19" t="str">
        <f>TEXT(Planning[[#This Row],[Mes]]*29,"mmmm")</f>
        <v>October</v>
      </c>
      <c r="S34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74" s="239"/>
      <c r="U3474" s="43" t="e">
        <f>IF(Planning[[#This Row],[Horas Planificadas]]&lt;&gt;0,+K3474/Planning[[#This Row],[Horas Planificadas]],0)</f>
        <v>#REF!</v>
      </c>
      <c r="V3474" s="43" t="e">
        <f>IF(Planning[[#This Row],[Horas Planificadas]]&lt;&gt;0,Planning[[#This Row],[Horas utilizadas]]/Planning[[#This Row],[Horas Planificadas]],0)</f>
        <v>#REF!</v>
      </c>
      <c r="W3474" s="44">
        <f>Planning[[#This Row],[Horas Planificadas]]+Planning[[#This Row],[Horas ajustadas adicionales]]</f>
        <v>150</v>
      </c>
      <c r="X3474" s="142"/>
    </row>
    <row r="3475" spans="1:24" ht="13.35" customHeight="1" x14ac:dyDescent="0.2">
      <c r="A3475" s="7" t="s">
        <v>483</v>
      </c>
      <c r="B3475" s="7" t="s">
        <v>178</v>
      </c>
      <c r="C3475" s="3"/>
      <c r="D3475" s="3" t="s">
        <v>635</v>
      </c>
      <c r="E3475" s="4" t="s">
        <v>28</v>
      </c>
      <c r="F3475" s="3"/>
      <c r="G3475" s="9">
        <v>63</v>
      </c>
      <c r="H3475" s="14">
        <f>SUM(H3476:H3477)</f>
        <v>66</v>
      </c>
      <c r="I3475" s="14"/>
      <c r="J3475" s="14" t="e">
        <f>SUM(J3476:J3477)</f>
        <v>#REF!</v>
      </c>
      <c r="K3475" s="15" t="e">
        <f>SUM(K3476:K3477)</f>
        <v>#REF!</v>
      </c>
      <c r="L3475" s="15">
        <f>SUM(L3476:L3477)</f>
        <v>0</v>
      </c>
      <c r="M3475" s="14" t="e">
        <f>SUM(M3476:M3477)</f>
        <v>#REF!</v>
      </c>
      <c r="N3475" s="66" t="e">
        <f>+SUMIFS(#REF!,#REF!,Planning[[#This Row],[Proyectos]],#REF!,Planning[[#This Row],[Tipo de Tarea y especialidad]])</f>
        <v>#REF!</v>
      </c>
      <c r="O3475" s="14">
        <f t="shared" si="108"/>
        <v>10</v>
      </c>
      <c r="P3475" s="14">
        <f t="shared" si="109"/>
        <v>2024</v>
      </c>
      <c r="Q3475" s="28" t="e">
        <f>SUM(Q3476:Q3477)</f>
        <v>#REF!</v>
      </c>
      <c r="R3475" s="28" t="str">
        <f>TEXT(Planning[[#This Row],[Mes]]*29,"mmmm")</f>
        <v>October</v>
      </c>
      <c r="S34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75" s="192" t="s">
        <v>636</v>
      </c>
      <c r="U3475" s="43" t="e">
        <f>IF(Planning[[#This Row],[Horas Planificadas]]&lt;&gt;0,+K3475/Planning[[#This Row],[Horas Planificadas]],0)</f>
        <v>#REF!</v>
      </c>
      <c r="V3475" s="43" t="e">
        <f>IF(Planning[[#This Row],[Horas Planificadas]]&lt;&gt;0,Planning[[#This Row],[Horas utilizadas]]/Planning[[#This Row],[Horas Planificadas]],0)</f>
        <v>#REF!</v>
      </c>
      <c r="W3475" s="44">
        <f>Planning[[#This Row],[Horas Planificadas]]+Planning[[#This Row],[Horas ajustadas adicionales]]</f>
        <v>66</v>
      </c>
      <c r="X3475" s="142"/>
    </row>
    <row r="3476" spans="1:24" x14ac:dyDescent="0.2">
      <c r="A3476" s="7" t="s">
        <v>483</v>
      </c>
      <c r="B3476" s="7" t="s">
        <v>178</v>
      </c>
      <c r="C3476" s="3"/>
      <c r="D3476" s="3" t="s">
        <v>635</v>
      </c>
      <c r="E3476" s="4"/>
      <c r="F3476" s="3" t="s">
        <v>120</v>
      </c>
      <c r="G3476" s="9"/>
      <c r="H3476" s="9">
        <v>30</v>
      </c>
      <c r="I3476" s="12"/>
      <c r="J3476" s="5" t="e">
        <f>SUM(SUMIFS(#REF!,#REF!,Planning[[#This Row],[Tipo de Tarea y especialidad]],#REF!,Planning[[#This Row],[Proyectos Reiwa]]),SUMIFS(#REF!,#REF!,Planning[[#This Row],[Tipo de Tarea y especialidad]],#REF!,Planning[[#This Row],[Proyectos]]))</f>
        <v>#REF!</v>
      </c>
      <c r="K3476" s="5" t="e">
        <f>Planning[[#This Row],[Horas Planificadas]]+Planning[[#This Row],[Horas ajustadas adicionales]]-Planning[[#This Row],[Horas utilizadas]]</f>
        <v>#REF!</v>
      </c>
      <c r="L3476" s="7">
        <v>0</v>
      </c>
      <c r="M3476" s="19" t="e">
        <f>Planning[[#This Row],[Saldo]]-Planning[[#This Row],[Saldo estimado]]</f>
        <v>#REF!</v>
      </c>
      <c r="N3476" s="60" t="e">
        <f>+SUMIFS(#REF!,#REF!,Planning[[#This Row],[Proyectos]],#REF!,Planning[[#This Row],[Tipo de Tarea y especialidad]])</f>
        <v>#REF!</v>
      </c>
      <c r="O3476" s="19">
        <f t="shared" si="108"/>
        <v>10</v>
      </c>
      <c r="P3476" s="19">
        <f t="shared" si="109"/>
        <v>2024</v>
      </c>
      <c r="Q34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76" s="19" t="str">
        <f>TEXT(Planning[[#This Row],[Mes]]*29,"mmmm")</f>
        <v>October</v>
      </c>
      <c r="S34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76" s="193"/>
      <c r="U3476" s="43" t="e">
        <f>IF(Planning[[#This Row],[Horas Planificadas]]&lt;&gt;0,+K3476/Planning[[#This Row],[Horas Planificadas]],0)</f>
        <v>#REF!</v>
      </c>
      <c r="V3476" s="43" t="e">
        <f>IF(Planning[[#This Row],[Horas Planificadas]]&lt;&gt;0,Planning[[#This Row],[Horas utilizadas]]/Planning[[#This Row],[Horas Planificadas]],0)</f>
        <v>#REF!</v>
      </c>
      <c r="W3476" s="44">
        <f>Planning[[#This Row],[Horas Planificadas]]+Planning[[#This Row],[Horas ajustadas adicionales]]</f>
        <v>30</v>
      </c>
      <c r="X3476" s="142"/>
    </row>
    <row r="3477" spans="1:24" x14ac:dyDescent="0.2">
      <c r="A3477" s="7" t="s">
        <v>483</v>
      </c>
      <c r="B3477" s="7" t="s">
        <v>178</v>
      </c>
      <c r="C3477" s="3"/>
      <c r="D3477" s="3" t="s">
        <v>635</v>
      </c>
      <c r="E3477" s="4"/>
      <c r="F3477" s="3" t="s">
        <v>121</v>
      </c>
      <c r="G3477" s="9"/>
      <c r="H3477" s="9">
        <v>36</v>
      </c>
      <c r="I3477" s="12"/>
      <c r="J3477" s="5" t="e">
        <f>SUM(SUMIFS(#REF!,#REF!,Planning[[#This Row],[Tipo de Tarea y especialidad]],#REF!,Planning[[#This Row],[Proyectos Reiwa]]),SUMIFS(#REF!,#REF!,Planning[[#This Row],[Tipo de Tarea y especialidad]],#REF!,Planning[[#This Row],[Proyectos]]))</f>
        <v>#REF!</v>
      </c>
      <c r="K3477" s="5" t="e">
        <f>Planning[[#This Row],[Horas Planificadas]]+Planning[[#This Row],[Horas ajustadas adicionales]]-Planning[[#This Row],[Horas utilizadas]]</f>
        <v>#REF!</v>
      </c>
      <c r="L3477" s="7">
        <v>0</v>
      </c>
      <c r="M3477" s="19" t="e">
        <f>Planning[[#This Row],[Saldo]]-Planning[[#This Row],[Saldo estimado]]</f>
        <v>#REF!</v>
      </c>
      <c r="N3477" s="60" t="e">
        <f>+SUMIFS(#REF!,#REF!,Planning[[#This Row],[Proyectos]],#REF!,Planning[[#This Row],[Tipo de Tarea y especialidad]])</f>
        <v>#REF!</v>
      </c>
      <c r="O3477" s="19">
        <f t="shared" si="108"/>
        <v>10</v>
      </c>
      <c r="P3477" s="19">
        <f t="shared" si="109"/>
        <v>2024</v>
      </c>
      <c r="Q34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77" s="19" t="str">
        <f>TEXT(Planning[[#This Row],[Mes]]*29,"mmmm")</f>
        <v>October</v>
      </c>
      <c r="S34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77" s="193"/>
      <c r="U3477" s="43" t="e">
        <f>IF(Planning[[#This Row],[Horas Planificadas]]&lt;&gt;0,+K3477/Planning[[#This Row],[Horas Planificadas]],0)</f>
        <v>#REF!</v>
      </c>
      <c r="V3477" s="43" t="e">
        <f>IF(Planning[[#This Row],[Horas Planificadas]]&lt;&gt;0,Planning[[#This Row],[Horas utilizadas]]/Planning[[#This Row],[Horas Planificadas]],0)</f>
        <v>#REF!</v>
      </c>
      <c r="W3477" s="44">
        <f>Planning[[#This Row],[Horas Planificadas]]+Planning[[#This Row],[Horas ajustadas adicionales]]</f>
        <v>36</v>
      </c>
      <c r="X3477" s="142"/>
    </row>
    <row r="3478" spans="1:24" x14ac:dyDescent="0.2">
      <c r="A3478" s="7" t="s">
        <v>483</v>
      </c>
      <c r="B3478" s="7" t="s">
        <v>178</v>
      </c>
      <c r="C3478" s="3"/>
      <c r="D3478" s="3" t="s">
        <v>635</v>
      </c>
      <c r="E3478" s="4" t="s">
        <v>30</v>
      </c>
      <c r="F3478" s="3"/>
      <c r="G3478" s="9">
        <v>171</v>
      </c>
      <c r="H3478" s="14">
        <f>SUM(H3479:H3485)</f>
        <v>171</v>
      </c>
      <c r="I3478" s="14"/>
      <c r="J3478" s="14" t="e">
        <f>SUM(J3479:J3485)</f>
        <v>#REF!</v>
      </c>
      <c r="K3478" s="15" t="e">
        <f>SUM(K3479:K3485)</f>
        <v>#REF!</v>
      </c>
      <c r="L3478" s="15">
        <f>SUM(L3479:L3485)</f>
        <v>0</v>
      </c>
      <c r="M3478" s="16" t="e">
        <f>SUM(M3479:M3485)</f>
        <v>#REF!</v>
      </c>
      <c r="N3478" s="60" t="e">
        <f>+SUMIFS(#REF!,#REF!,Planning[[#This Row],[Proyectos]],#REF!,Planning[[#This Row],[Tipo de Tarea y especialidad]])</f>
        <v>#REF!</v>
      </c>
      <c r="O3478" s="16">
        <f t="shared" si="108"/>
        <v>10</v>
      </c>
      <c r="P3478" s="16">
        <f t="shared" si="109"/>
        <v>2024</v>
      </c>
      <c r="Q3478" s="16" t="e">
        <f>SUM(Q3479:Q3485)</f>
        <v>#REF!</v>
      </c>
      <c r="R3478" s="16" t="str">
        <f>TEXT(Planning[[#This Row],[Mes]]*29,"mmmm")</f>
        <v>October</v>
      </c>
      <c r="S34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78" s="193"/>
      <c r="U3478" s="43" t="e">
        <f>IF(Planning[[#This Row],[Horas Planificadas]]&lt;&gt;0,+K3478/Planning[[#This Row],[Horas Planificadas]],0)</f>
        <v>#REF!</v>
      </c>
      <c r="V3478" s="43" t="e">
        <f>IF(Planning[[#This Row],[Horas Planificadas]]&lt;&gt;0,Planning[[#This Row],[Horas utilizadas]]/Planning[[#This Row],[Horas Planificadas]],0)</f>
        <v>#REF!</v>
      </c>
      <c r="W3478" s="44">
        <f>Planning[[#This Row],[Horas Planificadas]]+Planning[[#This Row],[Horas ajustadas adicionales]]</f>
        <v>171</v>
      </c>
      <c r="X3478" s="142"/>
    </row>
    <row r="3479" spans="1:24" x14ac:dyDescent="0.2">
      <c r="A3479" s="7" t="s">
        <v>483</v>
      </c>
      <c r="B3479" s="7" t="s">
        <v>178</v>
      </c>
      <c r="C3479" s="3"/>
      <c r="D3479" s="3" t="s">
        <v>635</v>
      </c>
      <c r="E3479" s="4"/>
      <c r="F3479" s="3" t="s">
        <v>122</v>
      </c>
      <c r="G3479" s="9"/>
      <c r="H3479" s="9">
        <v>0</v>
      </c>
      <c r="I3479" s="12"/>
      <c r="J3479" s="5" t="e">
        <f>SUM(SUMIFS(#REF!,#REF!,Planning[[#This Row],[Tipo de Tarea y especialidad]],#REF!,Planning[[#This Row],[Proyectos Reiwa]]),SUMIFS(#REF!,#REF!,Planning[[#This Row],[Tipo de Tarea y especialidad]],#REF!,Planning[[#This Row],[Proyectos]]))</f>
        <v>#REF!</v>
      </c>
      <c r="K3479" s="5" t="e">
        <f>Planning[[#This Row],[Horas Planificadas]]+Planning[[#This Row],[Horas ajustadas adicionales]]-Planning[[#This Row],[Horas utilizadas]]</f>
        <v>#REF!</v>
      </c>
      <c r="L3479" s="7">
        <v>0</v>
      </c>
      <c r="M3479" s="19" t="e">
        <f>Planning[[#This Row],[Saldo]]-Planning[[#This Row],[Saldo estimado]]</f>
        <v>#REF!</v>
      </c>
      <c r="N3479" s="60" t="e">
        <f>+SUMIFS(#REF!,#REF!,Planning[[#This Row],[Proyectos]],#REF!,Planning[[#This Row],[Tipo de Tarea y especialidad]])</f>
        <v>#REF!</v>
      </c>
      <c r="O3479" s="19">
        <f t="shared" si="108"/>
        <v>10</v>
      </c>
      <c r="P3479" s="19">
        <f t="shared" si="109"/>
        <v>2024</v>
      </c>
      <c r="Q34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79" s="19" t="str">
        <f>TEXT(Planning[[#This Row],[Mes]]*29,"mmmm")</f>
        <v>October</v>
      </c>
      <c r="S34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79" s="193"/>
      <c r="U3479" s="43">
        <f>IF(Planning[[#This Row],[Horas Planificadas]]&lt;&gt;0,+K3479/Planning[[#This Row],[Horas Planificadas]],0)</f>
        <v>0</v>
      </c>
      <c r="V3479" s="43">
        <f>IF(Planning[[#This Row],[Horas Planificadas]]&lt;&gt;0,Planning[[#This Row],[Horas utilizadas]]/Planning[[#This Row],[Horas Planificadas]],0)</f>
        <v>0</v>
      </c>
      <c r="W3479" s="44">
        <f>Planning[[#This Row],[Horas Planificadas]]+Planning[[#This Row],[Horas ajustadas adicionales]]</f>
        <v>0</v>
      </c>
      <c r="X3479" s="142"/>
    </row>
    <row r="3480" spans="1:24" x14ac:dyDescent="0.2">
      <c r="A3480" s="7" t="s">
        <v>483</v>
      </c>
      <c r="B3480" s="7" t="s">
        <v>178</v>
      </c>
      <c r="C3480" s="3"/>
      <c r="D3480" s="3" t="s">
        <v>635</v>
      </c>
      <c r="E3480" s="4"/>
      <c r="F3480" s="3" t="s">
        <v>123</v>
      </c>
      <c r="G3480" s="9"/>
      <c r="H3480" s="9">
        <v>45</v>
      </c>
      <c r="I3480" s="12"/>
      <c r="J3480" s="5" t="e">
        <f>SUM(SUMIFS(#REF!,#REF!,Planning[[#This Row],[Tipo de Tarea y especialidad]],#REF!,Planning[[#This Row],[Proyectos Reiwa]]),SUMIFS(#REF!,#REF!,Planning[[#This Row],[Tipo de Tarea y especialidad]],#REF!,Planning[[#This Row],[Proyectos]]))</f>
        <v>#REF!</v>
      </c>
      <c r="K3480" s="5" t="e">
        <f>Planning[[#This Row],[Horas Planificadas]]+Planning[[#This Row],[Horas ajustadas adicionales]]-Planning[[#This Row],[Horas utilizadas]]</f>
        <v>#REF!</v>
      </c>
      <c r="L3480" s="7">
        <v>0</v>
      </c>
      <c r="M3480" s="19" t="e">
        <f>Planning[[#This Row],[Saldo]]-Planning[[#This Row],[Saldo estimado]]</f>
        <v>#REF!</v>
      </c>
      <c r="N3480" s="60" t="e">
        <f>+SUMIFS(#REF!,#REF!,Planning[[#This Row],[Proyectos]],#REF!,Planning[[#This Row],[Tipo de Tarea y especialidad]])</f>
        <v>#REF!</v>
      </c>
      <c r="O3480" s="19">
        <f t="shared" si="108"/>
        <v>10</v>
      </c>
      <c r="P3480" s="19">
        <f t="shared" si="109"/>
        <v>2024</v>
      </c>
      <c r="Q34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80" s="19" t="str">
        <f>TEXT(Planning[[#This Row],[Mes]]*29,"mmmm")</f>
        <v>October</v>
      </c>
      <c r="S34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80" s="193"/>
      <c r="U3480" s="43" t="e">
        <f>IF(Planning[[#This Row],[Horas Planificadas]]&lt;&gt;0,+K3480/Planning[[#This Row],[Horas Planificadas]],0)</f>
        <v>#REF!</v>
      </c>
      <c r="V3480" s="43" t="e">
        <f>IF(Planning[[#This Row],[Horas Planificadas]]&lt;&gt;0,Planning[[#This Row],[Horas utilizadas]]/Planning[[#This Row],[Horas Planificadas]],0)</f>
        <v>#REF!</v>
      </c>
      <c r="W3480" s="44">
        <f>Planning[[#This Row],[Horas Planificadas]]+Planning[[#This Row],[Horas ajustadas adicionales]]</f>
        <v>45</v>
      </c>
      <c r="X3480" s="142"/>
    </row>
    <row r="3481" spans="1:24" x14ac:dyDescent="0.2">
      <c r="A3481" s="7" t="s">
        <v>483</v>
      </c>
      <c r="B3481" s="7" t="s">
        <v>178</v>
      </c>
      <c r="C3481" s="3"/>
      <c r="D3481" s="3" t="s">
        <v>635</v>
      </c>
      <c r="E3481" s="4"/>
      <c r="F3481" s="3" t="s">
        <v>124</v>
      </c>
      <c r="G3481" s="9"/>
      <c r="H3481" s="9">
        <v>0</v>
      </c>
      <c r="I3481" s="12"/>
      <c r="J3481" s="5" t="e">
        <f>SUM(SUMIFS(#REF!,#REF!,Planning[[#This Row],[Tipo de Tarea y especialidad]],#REF!,Planning[[#This Row],[Proyectos Reiwa]]),SUMIFS(#REF!,#REF!,Planning[[#This Row],[Tipo de Tarea y especialidad]],#REF!,Planning[[#This Row],[Proyectos]]))</f>
        <v>#REF!</v>
      </c>
      <c r="K3481" s="5" t="e">
        <f>Planning[[#This Row],[Horas Planificadas]]+Planning[[#This Row],[Horas ajustadas adicionales]]-Planning[[#This Row],[Horas utilizadas]]</f>
        <v>#REF!</v>
      </c>
      <c r="L3481" s="7">
        <v>0</v>
      </c>
      <c r="M3481" s="19" t="e">
        <f>Planning[[#This Row],[Saldo]]-Planning[[#This Row],[Saldo estimado]]</f>
        <v>#REF!</v>
      </c>
      <c r="N3481" s="60" t="e">
        <f>+SUMIFS(#REF!,#REF!,Planning[[#This Row],[Proyectos]],#REF!,Planning[[#This Row],[Tipo de Tarea y especialidad]])</f>
        <v>#REF!</v>
      </c>
      <c r="O3481" s="19">
        <f t="shared" si="108"/>
        <v>10</v>
      </c>
      <c r="P3481" s="19">
        <f t="shared" si="109"/>
        <v>2024</v>
      </c>
      <c r="Q34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81" s="19" t="str">
        <f>TEXT(Planning[[#This Row],[Mes]]*29,"mmmm")</f>
        <v>October</v>
      </c>
      <c r="S34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81" s="193"/>
      <c r="U3481" s="43">
        <f>IF(Planning[[#This Row],[Horas Planificadas]]&lt;&gt;0,+K3481/Planning[[#This Row],[Horas Planificadas]],0)</f>
        <v>0</v>
      </c>
      <c r="V3481" s="43">
        <f>IF(Planning[[#This Row],[Horas Planificadas]]&lt;&gt;0,Planning[[#This Row],[Horas utilizadas]]/Planning[[#This Row],[Horas Planificadas]],0)</f>
        <v>0</v>
      </c>
      <c r="W3481" s="44">
        <f>Planning[[#This Row],[Horas Planificadas]]+Planning[[#This Row],[Horas ajustadas adicionales]]</f>
        <v>0</v>
      </c>
      <c r="X3481" s="142"/>
    </row>
    <row r="3482" spans="1:24" x14ac:dyDescent="0.2">
      <c r="A3482" s="7" t="s">
        <v>483</v>
      </c>
      <c r="B3482" s="7" t="s">
        <v>178</v>
      </c>
      <c r="C3482" s="3"/>
      <c r="D3482" s="3" t="s">
        <v>635</v>
      </c>
      <c r="E3482" s="4"/>
      <c r="F3482" s="3" t="s">
        <v>125</v>
      </c>
      <c r="G3482" s="9"/>
      <c r="H3482" s="9">
        <v>72</v>
      </c>
      <c r="I3482" s="12"/>
      <c r="J3482" s="5" t="e">
        <f>SUM(SUMIFS(#REF!,#REF!,Planning[[#This Row],[Tipo de Tarea y especialidad]],#REF!,Planning[[#This Row],[Proyectos Reiwa]]),SUMIFS(#REF!,#REF!,Planning[[#This Row],[Tipo de Tarea y especialidad]],#REF!,Planning[[#This Row],[Proyectos]]))</f>
        <v>#REF!</v>
      </c>
      <c r="K3482" s="5" t="e">
        <f>Planning[[#This Row],[Horas Planificadas]]+Planning[[#This Row],[Horas ajustadas adicionales]]-Planning[[#This Row],[Horas utilizadas]]</f>
        <v>#REF!</v>
      </c>
      <c r="L3482" s="7">
        <v>0</v>
      </c>
      <c r="M3482" s="19" t="e">
        <f>Planning[[#This Row],[Saldo]]-Planning[[#This Row],[Saldo estimado]]</f>
        <v>#REF!</v>
      </c>
      <c r="N3482" s="60" t="e">
        <f>+SUMIFS(#REF!,#REF!,Planning[[#This Row],[Proyectos]],#REF!,Planning[[#This Row],[Tipo de Tarea y especialidad]])</f>
        <v>#REF!</v>
      </c>
      <c r="O3482" s="19">
        <f t="shared" si="108"/>
        <v>10</v>
      </c>
      <c r="P3482" s="19">
        <f t="shared" si="109"/>
        <v>2024</v>
      </c>
      <c r="Q34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82" s="19" t="str">
        <f>TEXT(Planning[[#This Row],[Mes]]*29,"mmmm")</f>
        <v>October</v>
      </c>
      <c r="S34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82" s="193"/>
      <c r="U3482" s="43" t="e">
        <f>IF(Planning[[#This Row],[Horas Planificadas]]&lt;&gt;0,+K3482/Planning[[#This Row],[Horas Planificadas]],0)</f>
        <v>#REF!</v>
      </c>
      <c r="V3482" s="43" t="e">
        <f>IF(Planning[[#This Row],[Horas Planificadas]]&lt;&gt;0,Planning[[#This Row],[Horas utilizadas]]/Planning[[#This Row],[Horas Planificadas]],0)</f>
        <v>#REF!</v>
      </c>
      <c r="W3482" s="44">
        <f>Planning[[#This Row],[Horas Planificadas]]+Planning[[#This Row],[Horas ajustadas adicionales]]</f>
        <v>72</v>
      </c>
      <c r="X3482" s="142"/>
    </row>
    <row r="3483" spans="1:24" x14ac:dyDescent="0.2">
      <c r="A3483" s="7" t="s">
        <v>483</v>
      </c>
      <c r="B3483" s="7" t="s">
        <v>178</v>
      </c>
      <c r="C3483" s="3"/>
      <c r="D3483" s="3" t="s">
        <v>635</v>
      </c>
      <c r="E3483" s="4"/>
      <c r="F3483" s="3" t="s">
        <v>126</v>
      </c>
      <c r="G3483" s="9"/>
      <c r="H3483" s="9">
        <v>0</v>
      </c>
      <c r="I3483" s="12"/>
      <c r="J3483" s="5" t="e">
        <f>SUM(SUMIFS(#REF!,#REF!,Planning[[#This Row],[Tipo de Tarea y especialidad]],#REF!,Planning[[#This Row],[Proyectos Reiwa]]),SUMIFS(#REF!,#REF!,Planning[[#This Row],[Tipo de Tarea y especialidad]],#REF!,Planning[[#This Row],[Proyectos]]))</f>
        <v>#REF!</v>
      </c>
      <c r="K3483" s="5" t="e">
        <f>Planning[[#This Row],[Horas Planificadas]]+Planning[[#This Row],[Horas ajustadas adicionales]]-Planning[[#This Row],[Horas utilizadas]]</f>
        <v>#REF!</v>
      </c>
      <c r="L3483" s="7">
        <v>0</v>
      </c>
      <c r="M3483" s="19" t="e">
        <f>Planning[[#This Row],[Saldo]]-Planning[[#This Row],[Saldo estimado]]</f>
        <v>#REF!</v>
      </c>
      <c r="N3483" s="60" t="e">
        <f>+SUMIFS(#REF!,#REF!,Planning[[#This Row],[Proyectos]],#REF!,Planning[[#This Row],[Tipo de Tarea y especialidad]])</f>
        <v>#REF!</v>
      </c>
      <c r="O3483" s="19">
        <f t="shared" si="108"/>
        <v>10</v>
      </c>
      <c r="P3483" s="19">
        <f t="shared" si="109"/>
        <v>2024</v>
      </c>
      <c r="Q34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83" s="19" t="str">
        <f>TEXT(Planning[[#This Row],[Mes]]*29,"mmmm")</f>
        <v>October</v>
      </c>
      <c r="S34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83" s="193"/>
      <c r="U3483" s="43">
        <f>IF(Planning[[#This Row],[Horas Planificadas]]&lt;&gt;0,+K3483/Planning[[#This Row],[Horas Planificadas]],0)</f>
        <v>0</v>
      </c>
      <c r="V3483" s="43">
        <f>IF(Planning[[#This Row],[Horas Planificadas]]&lt;&gt;0,Planning[[#This Row],[Horas utilizadas]]/Planning[[#This Row],[Horas Planificadas]],0)</f>
        <v>0</v>
      </c>
      <c r="W3483" s="44">
        <f>Planning[[#This Row],[Horas Planificadas]]+Planning[[#This Row],[Horas ajustadas adicionales]]</f>
        <v>0</v>
      </c>
      <c r="X3483" s="142"/>
    </row>
    <row r="3484" spans="1:24" x14ac:dyDescent="0.2">
      <c r="A3484" s="7" t="s">
        <v>483</v>
      </c>
      <c r="B3484" s="7" t="s">
        <v>178</v>
      </c>
      <c r="C3484" s="3"/>
      <c r="D3484" s="3" t="s">
        <v>635</v>
      </c>
      <c r="E3484" s="4"/>
      <c r="F3484" s="3" t="s">
        <v>127</v>
      </c>
      <c r="G3484" s="9"/>
      <c r="H3484" s="9">
        <v>54</v>
      </c>
      <c r="I3484" s="12"/>
      <c r="J3484" s="5" t="e">
        <f>SUM(SUMIFS(#REF!,#REF!,Planning[[#This Row],[Tipo de Tarea y especialidad]],#REF!,Planning[[#This Row],[Proyectos Reiwa]]),SUMIFS(#REF!,#REF!,Planning[[#This Row],[Tipo de Tarea y especialidad]],#REF!,Planning[[#This Row],[Proyectos]]))</f>
        <v>#REF!</v>
      </c>
      <c r="K3484" s="5" t="e">
        <f>Planning[[#This Row],[Horas Planificadas]]+Planning[[#This Row],[Horas ajustadas adicionales]]-Planning[[#This Row],[Horas utilizadas]]</f>
        <v>#REF!</v>
      </c>
      <c r="L3484" s="7">
        <v>0</v>
      </c>
      <c r="M3484" s="19" t="e">
        <f>Planning[[#This Row],[Saldo]]-Planning[[#This Row],[Saldo estimado]]</f>
        <v>#REF!</v>
      </c>
      <c r="N3484" s="60" t="e">
        <f>+SUMIFS(#REF!,#REF!,Planning[[#This Row],[Proyectos]],#REF!,Planning[[#This Row],[Tipo de Tarea y especialidad]])</f>
        <v>#REF!</v>
      </c>
      <c r="O3484" s="19">
        <f t="shared" si="108"/>
        <v>10</v>
      </c>
      <c r="P3484" s="19">
        <f t="shared" si="109"/>
        <v>2024</v>
      </c>
      <c r="Q34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84" s="19" t="str">
        <f>TEXT(Planning[[#This Row],[Mes]]*29,"mmmm")</f>
        <v>October</v>
      </c>
      <c r="S34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84" s="193"/>
      <c r="U3484" s="43" t="e">
        <f>IF(Planning[[#This Row],[Horas Planificadas]]&lt;&gt;0,+K3484/Planning[[#This Row],[Horas Planificadas]],0)</f>
        <v>#REF!</v>
      </c>
      <c r="V3484" s="43" t="e">
        <f>IF(Planning[[#This Row],[Horas Planificadas]]&lt;&gt;0,Planning[[#This Row],[Horas utilizadas]]/Planning[[#This Row],[Horas Planificadas]],0)</f>
        <v>#REF!</v>
      </c>
      <c r="W3484" s="44">
        <f>Planning[[#This Row],[Horas Planificadas]]+Planning[[#This Row],[Horas ajustadas adicionales]]</f>
        <v>54</v>
      </c>
      <c r="X3484" s="142"/>
    </row>
    <row r="3485" spans="1:24" x14ac:dyDescent="0.2">
      <c r="A3485" s="7" t="s">
        <v>483</v>
      </c>
      <c r="B3485" s="7" t="s">
        <v>178</v>
      </c>
      <c r="C3485" s="3"/>
      <c r="D3485" s="3" t="s">
        <v>635</v>
      </c>
      <c r="E3485" s="4"/>
      <c r="F3485" s="3" t="s">
        <v>128</v>
      </c>
      <c r="G3485" s="9"/>
      <c r="H3485" s="9">
        <v>0</v>
      </c>
      <c r="I3485" s="12"/>
      <c r="J3485" s="5" t="e">
        <f>SUM(SUMIFS(#REF!,#REF!,Planning[[#This Row],[Tipo de Tarea y especialidad]],#REF!,Planning[[#This Row],[Proyectos Reiwa]]),SUMIFS(#REF!,#REF!,Planning[[#This Row],[Tipo de Tarea y especialidad]],#REF!,Planning[[#This Row],[Proyectos]]))</f>
        <v>#REF!</v>
      </c>
      <c r="K3485" s="5" t="e">
        <f>Planning[[#This Row],[Horas Planificadas]]+Planning[[#This Row],[Horas ajustadas adicionales]]-Planning[[#This Row],[Horas utilizadas]]</f>
        <v>#REF!</v>
      </c>
      <c r="L3485" s="7">
        <v>0</v>
      </c>
      <c r="M3485" s="19" t="e">
        <f>Planning[[#This Row],[Saldo]]-Planning[[#This Row],[Saldo estimado]]</f>
        <v>#REF!</v>
      </c>
      <c r="N3485" s="60" t="e">
        <f>+SUMIFS(#REF!,#REF!,Planning[[#This Row],[Proyectos]],#REF!,Planning[[#This Row],[Tipo de Tarea y especialidad]])</f>
        <v>#REF!</v>
      </c>
      <c r="O3485" s="19">
        <f t="shared" si="108"/>
        <v>10</v>
      </c>
      <c r="P3485" s="19">
        <f t="shared" si="109"/>
        <v>2024</v>
      </c>
      <c r="Q34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85" s="19" t="str">
        <f>TEXT(Planning[[#This Row],[Mes]]*29,"mmmm")</f>
        <v>October</v>
      </c>
      <c r="S34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85" s="193"/>
      <c r="U3485" s="43">
        <f>IF(Planning[[#This Row],[Horas Planificadas]]&lt;&gt;0,+K3485/Planning[[#This Row],[Horas Planificadas]],0)</f>
        <v>0</v>
      </c>
      <c r="V3485" s="43">
        <f>IF(Planning[[#This Row],[Horas Planificadas]]&lt;&gt;0,Planning[[#This Row],[Horas utilizadas]]/Planning[[#This Row],[Horas Planificadas]],0)</f>
        <v>0</v>
      </c>
      <c r="W3485" s="44">
        <f>Planning[[#This Row],[Horas Planificadas]]+Planning[[#This Row],[Horas ajustadas adicionales]]</f>
        <v>0</v>
      </c>
      <c r="X3485" s="142"/>
    </row>
    <row r="3486" spans="1:24" x14ac:dyDescent="0.2">
      <c r="A3486" s="7" t="s">
        <v>483</v>
      </c>
      <c r="B3486" s="7" t="s">
        <v>178</v>
      </c>
      <c r="C3486" s="3"/>
      <c r="D3486" s="3" t="s">
        <v>635</v>
      </c>
      <c r="E3486" s="4" t="s">
        <v>31</v>
      </c>
      <c r="F3486" s="3" t="s">
        <v>31</v>
      </c>
      <c r="G3486" s="9">
        <v>36</v>
      </c>
      <c r="H3486" s="17">
        <f>Planning[[#This Row],[Horas Precálculo]]</f>
        <v>36</v>
      </c>
      <c r="I3486" s="18"/>
      <c r="J3486" s="14" t="e">
        <f>+SUMIFS(#REF!,#REF!,Planning[[#This Row],[Tarifa]],#REF!,Planning[[#This Row],[Proyectos]])</f>
        <v>#REF!</v>
      </c>
      <c r="K3486" s="14" t="e">
        <f>Planning[[#This Row],[Horas Planificadas]]+Planning[[#This Row],[Horas ajustadas adicionales]]-Planning[[#This Row],[Horas utilizadas]]</f>
        <v>#REF!</v>
      </c>
      <c r="L3486" s="15">
        <v>0</v>
      </c>
      <c r="M3486" s="16" t="e">
        <f>Planning[[#This Row],[Saldo]]-Planning[[#This Row],[Saldo estimado]]</f>
        <v>#REF!</v>
      </c>
      <c r="N3486" s="60" t="e">
        <f>+SUMIFS(#REF!,#REF!,Planning[[#This Row],[Proyectos]],#REF!,Planning[[#This Row],[Tipo de Tarea y especialidad]])</f>
        <v>#REF!</v>
      </c>
      <c r="O3486" s="16">
        <f t="shared" si="108"/>
        <v>10</v>
      </c>
      <c r="P3486" s="16">
        <f t="shared" si="109"/>
        <v>2024</v>
      </c>
      <c r="Q3486" s="16" t="e">
        <f>+SUMIFS(#REF!,#REF!,Planning[[#This Row],[Tarifa]],#REF!,Planning[[#This Row],[Proyectos]],#REF!,Planning[[#This Row],[Mes]],#REF!,Planning[[#This Row],[Año]])</f>
        <v>#REF!</v>
      </c>
      <c r="R3486" s="16" t="str">
        <f>TEXT(Planning[[#This Row],[Mes]]*29,"mmmm")</f>
        <v>October</v>
      </c>
      <c r="S34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86" s="193"/>
      <c r="U3486" s="43" t="e">
        <f>IF(Planning[[#This Row],[Horas Planificadas]]&lt;&gt;0,+K3486/Planning[[#This Row],[Horas Planificadas]],0)</f>
        <v>#REF!</v>
      </c>
      <c r="V3486" s="43" t="e">
        <f>IF(Planning[[#This Row],[Horas Planificadas]]&lt;&gt;0,Planning[[#This Row],[Horas utilizadas]]/Planning[[#This Row],[Horas Planificadas]],0)</f>
        <v>#REF!</v>
      </c>
      <c r="W3486" s="44">
        <f>Planning[[#This Row],[Horas Planificadas]]+Planning[[#This Row],[Horas ajustadas adicionales]]</f>
        <v>36</v>
      </c>
      <c r="X3486" s="142"/>
    </row>
    <row r="3487" spans="1:24" ht="22.5" x14ac:dyDescent="0.2">
      <c r="A3487" s="7" t="s">
        <v>483</v>
      </c>
      <c r="B3487" s="7" t="s">
        <v>178</v>
      </c>
      <c r="C3487" s="3"/>
      <c r="D3487" s="3" t="s">
        <v>635</v>
      </c>
      <c r="E3487" s="4" t="s">
        <v>32</v>
      </c>
      <c r="F3487" s="3"/>
      <c r="G3487" s="9">
        <v>104</v>
      </c>
      <c r="H3487" s="14">
        <f>SUM(H3488:H3490)</f>
        <v>80</v>
      </c>
      <c r="I3487" s="14"/>
      <c r="J3487" s="14" t="e">
        <f>SUM(J3488:J3490)</f>
        <v>#REF!</v>
      </c>
      <c r="K3487" s="15" t="e">
        <f>SUM(K3488:K3490)</f>
        <v>#REF!</v>
      </c>
      <c r="L3487" s="15">
        <f>SUM(L3488:L3490)</f>
        <v>0</v>
      </c>
      <c r="M3487" s="16" t="e">
        <f>SUM(M3488:M3490)</f>
        <v>#REF!</v>
      </c>
      <c r="N3487" s="60" t="e">
        <f>+SUMIFS(#REF!,#REF!,Planning[[#This Row],[Proyectos]],#REF!,Planning[[#This Row],[Tipo de Tarea y especialidad]])</f>
        <v>#REF!</v>
      </c>
      <c r="O3487" s="16">
        <f t="shared" si="108"/>
        <v>10</v>
      </c>
      <c r="P3487" s="16">
        <f t="shared" si="109"/>
        <v>2024</v>
      </c>
      <c r="Q3487" s="16" t="e">
        <f>SUM(Q3488:Q3490)</f>
        <v>#REF!</v>
      </c>
      <c r="R3487" s="16" t="str">
        <f>TEXT(Planning[[#This Row],[Mes]]*29,"mmmm")</f>
        <v>October</v>
      </c>
      <c r="S34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87" s="193"/>
      <c r="U3487" s="43" t="e">
        <f>IF(Planning[[#This Row],[Horas Planificadas]]&lt;&gt;0,+K3487/Planning[[#This Row],[Horas Planificadas]],0)</f>
        <v>#REF!</v>
      </c>
      <c r="V3487" s="43" t="e">
        <f>IF(Planning[[#This Row],[Horas Planificadas]]&lt;&gt;0,Planning[[#This Row],[Horas utilizadas]]/Planning[[#This Row],[Horas Planificadas]],0)</f>
        <v>#REF!</v>
      </c>
      <c r="W3487" s="44">
        <f>Planning[[#This Row],[Horas Planificadas]]+Planning[[#This Row],[Horas ajustadas adicionales]]</f>
        <v>80</v>
      </c>
      <c r="X3487" s="142"/>
    </row>
    <row r="3488" spans="1:24" x14ac:dyDescent="0.2">
      <c r="A3488" s="7" t="s">
        <v>483</v>
      </c>
      <c r="B3488" s="7" t="s">
        <v>178</v>
      </c>
      <c r="C3488" s="3"/>
      <c r="D3488" s="3" t="s">
        <v>635</v>
      </c>
      <c r="E3488" s="4"/>
      <c r="F3488" s="3" t="s">
        <v>129</v>
      </c>
      <c r="G3488" s="9"/>
      <c r="H3488" s="9">
        <v>0</v>
      </c>
      <c r="I3488" s="12"/>
      <c r="J3488" s="5" t="e">
        <f>SUM(SUMIFS(#REF!,#REF!,Planning[[#This Row],[Tipo de Tarea y especialidad]],#REF!,Planning[[#This Row],[Proyectos Reiwa]]),SUMIFS(#REF!,#REF!,Planning[[#This Row],[Tipo de Tarea y especialidad]],#REF!,Planning[[#This Row],[Proyectos]]))</f>
        <v>#REF!</v>
      </c>
      <c r="K3488" s="5" t="e">
        <f>Planning[[#This Row],[Horas Planificadas]]+Planning[[#This Row],[Horas ajustadas adicionales]]-Planning[[#This Row],[Horas utilizadas]]</f>
        <v>#REF!</v>
      </c>
      <c r="L3488" s="7">
        <v>0</v>
      </c>
      <c r="M3488" s="19" t="e">
        <f>Planning[[#This Row],[Saldo]]-Planning[[#This Row],[Saldo estimado]]</f>
        <v>#REF!</v>
      </c>
      <c r="N3488" s="60" t="e">
        <f>+SUMIFS(#REF!,#REF!,Planning[[#This Row],[Proyectos]],#REF!,Planning[[#This Row],[Tipo de Tarea y especialidad]])</f>
        <v>#REF!</v>
      </c>
      <c r="O3488" s="19">
        <f t="shared" si="108"/>
        <v>10</v>
      </c>
      <c r="P3488" s="19">
        <f t="shared" si="109"/>
        <v>2024</v>
      </c>
      <c r="Q34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88" s="19" t="str">
        <f>TEXT(Planning[[#This Row],[Mes]]*29,"mmmm")</f>
        <v>October</v>
      </c>
      <c r="S34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88" s="193"/>
      <c r="U3488" s="43">
        <f>IF(Planning[[#This Row],[Horas Planificadas]]&lt;&gt;0,+K3488/Planning[[#This Row],[Horas Planificadas]],0)</f>
        <v>0</v>
      </c>
      <c r="V3488" s="43">
        <f>IF(Planning[[#This Row],[Horas Planificadas]]&lt;&gt;0,Planning[[#This Row],[Horas utilizadas]]/Planning[[#This Row],[Horas Planificadas]],0)</f>
        <v>0</v>
      </c>
      <c r="W3488" s="44">
        <f>Planning[[#This Row],[Horas Planificadas]]+Planning[[#This Row],[Horas ajustadas adicionales]]</f>
        <v>0</v>
      </c>
      <c r="X3488" s="142"/>
    </row>
    <row r="3489" spans="1:24" x14ac:dyDescent="0.2">
      <c r="A3489" s="7" t="s">
        <v>483</v>
      </c>
      <c r="B3489" s="7" t="s">
        <v>178</v>
      </c>
      <c r="C3489" s="3"/>
      <c r="D3489" s="3" t="s">
        <v>635</v>
      </c>
      <c r="E3489" s="4"/>
      <c r="F3489" s="3" t="s">
        <v>130</v>
      </c>
      <c r="G3489" s="9"/>
      <c r="H3489" s="9">
        <v>80</v>
      </c>
      <c r="I3489" s="12"/>
      <c r="J3489" s="5" t="e">
        <f>SUM(SUMIFS(#REF!,#REF!,Planning[[#This Row],[Tipo de Tarea y especialidad]],#REF!,Planning[[#This Row],[Proyectos Reiwa]]),SUMIFS(#REF!,#REF!,Planning[[#This Row],[Tipo de Tarea y especialidad]],#REF!,Planning[[#This Row],[Proyectos]]))</f>
        <v>#REF!</v>
      </c>
      <c r="K3489" s="5" t="e">
        <f>Planning[[#This Row],[Horas Planificadas]]+Planning[[#This Row],[Horas ajustadas adicionales]]-Planning[[#This Row],[Horas utilizadas]]</f>
        <v>#REF!</v>
      </c>
      <c r="L3489" s="7">
        <v>0</v>
      </c>
      <c r="M3489" s="19" t="e">
        <f>Planning[[#This Row],[Saldo]]-Planning[[#This Row],[Saldo estimado]]</f>
        <v>#REF!</v>
      </c>
      <c r="N3489" s="60" t="e">
        <f>+SUMIFS(#REF!,#REF!,Planning[[#This Row],[Proyectos]],#REF!,Planning[[#This Row],[Tipo de Tarea y especialidad]])</f>
        <v>#REF!</v>
      </c>
      <c r="O3489" s="19">
        <f t="shared" si="108"/>
        <v>10</v>
      </c>
      <c r="P3489" s="19">
        <f t="shared" si="109"/>
        <v>2024</v>
      </c>
      <c r="Q34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89" s="19" t="str">
        <f>TEXT(Planning[[#This Row],[Mes]]*29,"mmmm")</f>
        <v>October</v>
      </c>
      <c r="S34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89" s="193"/>
      <c r="U3489" s="43" t="e">
        <f>IF(Planning[[#This Row],[Horas Planificadas]]&lt;&gt;0,+K3489/Planning[[#This Row],[Horas Planificadas]],0)</f>
        <v>#REF!</v>
      </c>
      <c r="V3489" s="43" t="e">
        <f>IF(Planning[[#This Row],[Horas Planificadas]]&lt;&gt;0,Planning[[#This Row],[Horas utilizadas]]/Planning[[#This Row],[Horas Planificadas]],0)</f>
        <v>#REF!</v>
      </c>
      <c r="W3489" s="44">
        <f>Planning[[#This Row],[Horas Planificadas]]+Planning[[#This Row],[Horas ajustadas adicionales]]</f>
        <v>80</v>
      </c>
      <c r="X3489" s="142"/>
    </row>
    <row r="3490" spans="1:24" x14ac:dyDescent="0.2">
      <c r="A3490" s="7" t="s">
        <v>483</v>
      </c>
      <c r="B3490" s="7" t="s">
        <v>178</v>
      </c>
      <c r="C3490" s="3"/>
      <c r="D3490" s="3" t="s">
        <v>635</v>
      </c>
      <c r="E3490" s="4"/>
      <c r="F3490" s="3" t="s">
        <v>131</v>
      </c>
      <c r="G3490" s="9"/>
      <c r="H3490" s="9">
        <v>0</v>
      </c>
      <c r="I3490" s="12"/>
      <c r="J3490" s="5" t="e">
        <f>SUM(SUMIFS(#REF!,#REF!,Planning[[#This Row],[Tipo de Tarea y especialidad]],#REF!,Planning[[#This Row],[Proyectos Reiwa]]),SUMIFS(#REF!,#REF!,Planning[[#This Row],[Tipo de Tarea y especialidad]],#REF!,Planning[[#This Row],[Proyectos]]))</f>
        <v>#REF!</v>
      </c>
      <c r="K3490" s="5" t="e">
        <f>Planning[[#This Row],[Horas Planificadas]]+Planning[[#This Row],[Horas ajustadas adicionales]]-Planning[[#This Row],[Horas utilizadas]]</f>
        <v>#REF!</v>
      </c>
      <c r="L3490" s="7">
        <v>0</v>
      </c>
      <c r="M3490" s="19" t="e">
        <f>Planning[[#This Row],[Saldo]]-Planning[[#This Row],[Saldo estimado]]</f>
        <v>#REF!</v>
      </c>
      <c r="N3490" s="60" t="e">
        <f>+SUMIFS(#REF!,#REF!,Planning[[#This Row],[Proyectos]],#REF!,Planning[[#This Row],[Tipo de Tarea y especialidad]])</f>
        <v>#REF!</v>
      </c>
      <c r="O3490" s="19">
        <f t="shared" si="108"/>
        <v>10</v>
      </c>
      <c r="P3490" s="19">
        <f t="shared" si="109"/>
        <v>2024</v>
      </c>
      <c r="Q34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90" s="19" t="str">
        <f>TEXT(Planning[[#This Row],[Mes]]*29,"mmmm")</f>
        <v>October</v>
      </c>
      <c r="S34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90" s="193"/>
      <c r="U3490" s="43">
        <f>IF(Planning[[#This Row],[Horas Planificadas]]&lt;&gt;0,+K3490/Planning[[#This Row],[Horas Planificadas]],0)</f>
        <v>0</v>
      </c>
      <c r="V3490" s="43">
        <f>IF(Planning[[#This Row],[Horas Planificadas]]&lt;&gt;0,Planning[[#This Row],[Horas utilizadas]]/Planning[[#This Row],[Horas Planificadas]],0)</f>
        <v>0</v>
      </c>
      <c r="W3490" s="44">
        <f>Planning[[#This Row],[Horas Planificadas]]+Planning[[#This Row],[Horas ajustadas adicionales]]</f>
        <v>0</v>
      </c>
      <c r="X3490" s="142"/>
    </row>
    <row r="3491" spans="1:24" ht="13.35" customHeight="1" x14ac:dyDescent="0.2">
      <c r="A3491" s="7" t="s">
        <v>483</v>
      </c>
      <c r="B3491" s="7" t="s">
        <v>288</v>
      </c>
      <c r="C3491" s="3"/>
      <c r="D3491" s="3" t="s">
        <v>637</v>
      </c>
      <c r="E3491" s="4" t="s">
        <v>28</v>
      </c>
      <c r="F3491" s="3"/>
      <c r="G3491" s="9"/>
      <c r="H3491" s="14">
        <f>SUM(H3492:H3493)</f>
        <v>0</v>
      </c>
      <c r="I3491" s="14"/>
      <c r="J3491" s="14" t="e">
        <f>SUM(J3492:J3493)</f>
        <v>#REF!</v>
      </c>
      <c r="K3491" s="24" t="e">
        <f>+Planning[[#This Row],[Horas Planificadas]]+Planning[[#This Row],[Horas ajustadas adicionales]]-Planning[[#This Row],[Horas utilizadas]]</f>
        <v>#REF!</v>
      </c>
      <c r="L3491" s="15">
        <f>SUM(L3492:L3493)</f>
        <v>0</v>
      </c>
      <c r="M3491" s="14" t="e">
        <f>SUM(M3492:M3493)</f>
        <v>#REF!</v>
      </c>
      <c r="N3491" s="66" t="e">
        <f>+SUMIFS(#REF!,#REF!,Planning[[#This Row],[Proyectos]],#REF!,Planning[[#This Row],[Tipo de Tarea y especialidad]])</f>
        <v>#REF!</v>
      </c>
      <c r="O3491" s="14">
        <f t="shared" si="108"/>
        <v>10</v>
      </c>
      <c r="P3491" s="14">
        <f t="shared" si="109"/>
        <v>2024</v>
      </c>
      <c r="Q3491" s="28" t="e">
        <f>SUM(Q3492:Q3493)</f>
        <v>#REF!</v>
      </c>
      <c r="R3491" s="28" t="str">
        <f>TEXT(Planning[[#This Row],[Mes]]*29,"mmmm")</f>
        <v>October</v>
      </c>
      <c r="S34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91" s="207" t="s">
        <v>638</v>
      </c>
      <c r="U3491" s="43">
        <f>IF(Planning[[#This Row],[Horas Planificadas]]&lt;&gt;0,+K3491/Planning[[#This Row],[Horas Planificadas]],0)</f>
        <v>0</v>
      </c>
      <c r="V3491" s="43">
        <f>IF(Planning[[#This Row],[Horas Planificadas]]&lt;&gt;0,Planning[[#This Row],[Horas utilizadas]]/Planning[[#This Row],[Horas Planificadas]],0)</f>
        <v>0</v>
      </c>
      <c r="W3491" s="44">
        <f>Planning[[#This Row],[Horas Planificadas]]+Planning[[#This Row],[Horas ajustadas adicionales]]</f>
        <v>0</v>
      </c>
      <c r="X3491" s="142"/>
    </row>
    <row r="3492" spans="1:24" x14ac:dyDescent="0.2">
      <c r="A3492" s="7" t="s">
        <v>483</v>
      </c>
      <c r="B3492" s="7" t="s">
        <v>288</v>
      </c>
      <c r="C3492" s="3"/>
      <c r="D3492" s="3" t="s">
        <v>637</v>
      </c>
      <c r="E3492" s="4"/>
      <c r="F3492" s="3" t="s">
        <v>120</v>
      </c>
      <c r="G3492" s="9"/>
      <c r="H3492" s="9"/>
      <c r="I3492" s="12"/>
      <c r="J3492" s="5" t="e">
        <f>SUM(SUMIFS(#REF!,#REF!,Planning[[#This Row],[Tipo de Tarea y especialidad]],#REF!,Planning[[#This Row],[Proyectos Reiwa]]),SUMIFS(#REF!,#REF!,Planning[[#This Row],[Tipo de Tarea y especialidad]],#REF!,Planning[[#This Row],[Proyectos]]))</f>
        <v>#REF!</v>
      </c>
      <c r="K3492" s="5" t="e">
        <f>+Planning[[#This Row],[Horas Planificadas]]+Planning[[#This Row],[Horas ajustadas adicionales]]-Planning[[#This Row],[Horas utilizadas]]</f>
        <v>#REF!</v>
      </c>
      <c r="L3492" s="7"/>
      <c r="M3492" s="19" t="e">
        <f>Planning[[#This Row],[Saldo]]-Planning[[#This Row],[Saldo estimado]]</f>
        <v>#REF!</v>
      </c>
      <c r="N3492" s="60" t="e">
        <f>+SUMIFS(#REF!,#REF!,Planning[[#This Row],[Proyectos]],#REF!,Planning[[#This Row],[Tipo de Tarea y especialidad]])</f>
        <v>#REF!</v>
      </c>
      <c r="O3492" s="19">
        <f t="shared" si="108"/>
        <v>10</v>
      </c>
      <c r="P3492" s="19">
        <f t="shared" si="109"/>
        <v>2024</v>
      </c>
      <c r="Q34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92" s="19" t="str">
        <f>TEXT(Planning[[#This Row],[Mes]]*29,"mmmm")</f>
        <v>October</v>
      </c>
      <c r="S34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92" s="208"/>
      <c r="U3492" s="43">
        <f>IF(Planning[[#This Row],[Horas Planificadas]]&lt;&gt;0,+K3492/Planning[[#This Row],[Horas Planificadas]],0)</f>
        <v>0</v>
      </c>
      <c r="V3492" s="43">
        <f>IF(Planning[[#This Row],[Horas Planificadas]]&lt;&gt;0,Planning[[#This Row],[Horas utilizadas]]/Planning[[#This Row],[Horas Planificadas]],0)</f>
        <v>0</v>
      </c>
      <c r="W3492" s="44">
        <f>Planning[[#This Row],[Horas Planificadas]]+Planning[[#This Row],[Horas ajustadas adicionales]]</f>
        <v>0</v>
      </c>
      <c r="X3492" s="142"/>
    </row>
    <row r="3493" spans="1:24" x14ac:dyDescent="0.2">
      <c r="A3493" s="7" t="s">
        <v>483</v>
      </c>
      <c r="B3493" s="7" t="s">
        <v>288</v>
      </c>
      <c r="C3493" s="3"/>
      <c r="D3493" s="3" t="s">
        <v>637</v>
      </c>
      <c r="E3493" s="4"/>
      <c r="F3493" s="3" t="s">
        <v>121</v>
      </c>
      <c r="G3493" s="9"/>
      <c r="H3493" s="9"/>
      <c r="I3493" s="12"/>
      <c r="J3493" s="5" t="e">
        <f>SUM(SUMIFS(#REF!,#REF!,Planning[[#This Row],[Tipo de Tarea y especialidad]],#REF!,Planning[[#This Row],[Proyectos Reiwa]]),SUMIFS(#REF!,#REF!,Planning[[#This Row],[Tipo de Tarea y especialidad]],#REF!,Planning[[#This Row],[Proyectos]]))</f>
        <v>#REF!</v>
      </c>
      <c r="K3493" s="5" t="e">
        <f>+Planning[[#This Row],[Horas Planificadas]]+Planning[[#This Row],[Horas ajustadas adicionales]]-Planning[[#This Row],[Horas utilizadas]]</f>
        <v>#REF!</v>
      </c>
      <c r="L3493" s="7"/>
      <c r="M3493" s="19" t="e">
        <f>Planning[[#This Row],[Saldo]]-Planning[[#This Row],[Saldo estimado]]</f>
        <v>#REF!</v>
      </c>
      <c r="N3493" s="60" t="e">
        <f>+SUMIFS(#REF!,#REF!,Planning[[#This Row],[Proyectos]],#REF!,Planning[[#This Row],[Tipo de Tarea y especialidad]])</f>
        <v>#REF!</v>
      </c>
      <c r="O3493" s="19">
        <f t="shared" si="108"/>
        <v>10</v>
      </c>
      <c r="P3493" s="19">
        <f t="shared" si="109"/>
        <v>2024</v>
      </c>
      <c r="Q34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93" s="19" t="str">
        <f>TEXT(Planning[[#This Row],[Mes]]*29,"mmmm")</f>
        <v>October</v>
      </c>
      <c r="S34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93" s="208"/>
      <c r="U3493" s="43">
        <f>IF(Planning[[#This Row],[Horas Planificadas]]&lt;&gt;0,+K3493/Planning[[#This Row],[Horas Planificadas]],0)</f>
        <v>0</v>
      </c>
      <c r="V3493" s="43">
        <f>IF(Planning[[#This Row],[Horas Planificadas]]&lt;&gt;0,Planning[[#This Row],[Horas utilizadas]]/Planning[[#This Row],[Horas Planificadas]],0)</f>
        <v>0</v>
      </c>
      <c r="W3493" s="44">
        <f>Planning[[#This Row],[Horas Planificadas]]+Planning[[#This Row],[Horas ajustadas adicionales]]</f>
        <v>0</v>
      </c>
      <c r="X3493" s="142"/>
    </row>
    <row r="3494" spans="1:24" x14ac:dyDescent="0.2">
      <c r="A3494" s="7" t="s">
        <v>483</v>
      </c>
      <c r="B3494" s="7" t="s">
        <v>288</v>
      </c>
      <c r="C3494" s="3"/>
      <c r="D3494" s="3" t="s">
        <v>637</v>
      </c>
      <c r="E3494" s="4" t="s">
        <v>30</v>
      </c>
      <c r="F3494" s="3"/>
      <c r="G3494" s="9">
        <v>36</v>
      </c>
      <c r="H3494" s="14">
        <f>SUM(H3495:H3501)</f>
        <v>36</v>
      </c>
      <c r="I3494" s="14"/>
      <c r="J3494" s="14" t="e">
        <f>SUM(J3495:J3501)</f>
        <v>#REF!</v>
      </c>
      <c r="K3494" s="24" t="e">
        <f>+Planning[[#This Row],[Horas Planificadas]]+Planning[[#This Row],[Horas ajustadas adicionales]]-Planning[[#This Row],[Horas utilizadas]]</f>
        <v>#REF!</v>
      </c>
      <c r="L3494" s="15">
        <f>SUM(L3495:L3501)</f>
        <v>0</v>
      </c>
      <c r="M3494" s="16" t="e">
        <f>SUM(M3495:M3501)</f>
        <v>#REF!</v>
      </c>
      <c r="N3494" s="60" t="e">
        <f>+SUMIFS(#REF!,#REF!,Planning[[#This Row],[Proyectos]],#REF!,Planning[[#This Row],[Tipo de Tarea y especialidad]])</f>
        <v>#REF!</v>
      </c>
      <c r="O3494" s="16">
        <f t="shared" si="108"/>
        <v>10</v>
      </c>
      <c r="P3494" s="16">
        <f t="shared" si="109"/>
        <v>2024</v>
      </c>
      <c r="Q3494" s="16" t="e">
        <f>SUM(Q3495:Q3501)</f>
        <v>#REF!</v>
      </c>
      <c r="R3494" s="16" t="str">
        <f>TEXT(Planning[[#This Row],[Mes]]*29,"mmmm")</f>
        <v>October</v>
      </c>
      <c r="S34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94" s="208"/>
      <c r="U3494" s="43" t="e">
        <f>IF(Planning[[#This Row],[Horas Planificadas]]&lt;&gt;0,+K3494/Planning[[#This Row],[Horas Planificadas]],0)</f>
        <v>#REF!</v>
      </c>
      <c r="V3494" s="43" t="e">
        <f>IF(Planning[[#This Row],[Horas Planificadas]]&lt;&gt;0,Planning[[#This Row],[Horas utilizadas]]/Planning[[#This Row],[Horas Planificadas]],0)</f>
        <v>#REF!</v>
      </c>
      <c r="W3494" s="44">
        <f>Planning[[#This Row],[Horas Planificadas]]+Planning[[#This Row],[Horas ajustadas adicionales]]</f>
        <v>36</v>
      </c>
      <c r="X3494" s="142"/>
    </row>
    <row r="3495" spans="1:24" x14ac:dyDescent="0.2">
      <c r="A3495" s="7" t="s">
        <v>483</v>
      </c>
      <c r="B3495" s="7" t="s">
        <v>288</v>
      </c>
      <c r="C3495" s="3"/>
      <c r="D3495" s="3" t="s">
        <v>637</v>
      </c>
      <c r="E3495" s="4"/>
      <c r="F3495" s="3" t="s">
        <v>122</v>
      </c>
      <c r="G3495" s="9"/>
      <c r="H3495" s="9"/>
      <c r="I3495" s="12"/>
      <c r="J3495" s="5" t="e">
        <f>SUM(SUMIFS(#REF!,#REF!,Planning[[#This Row],[Tipo de Tarea y especialidad]],#REF!,Planning[[#This Row],[Proyectos Reiwa]]),SUMIFS(#REF!,#REF!,Planning[[#This Row],[Tipo de Tarea y especialidad]],#REF!,Planning[[#This Row],[Proyectos]]))</f>
        <v>#REF!</v>
      </c>
      <c r="K3495" s="5" t="e">
        <f>+Planning[[#This Row],[Horas Planificadas]]+Planning[[#This Row],[Horas ajustadas adicionales]]-Planning[[#This Row],[Horas utilizadas]]</f>
        <v>#REF!</v>
      </c>
      <c r="L3495" s="7"/>
      <c r="M3495" s="19" t="e">
        <f>Planning[[#This Row],[Saldo]]-Planning[[#This Row],[Saldo estimado]]</f>
        <v>#REF!</v>
      </c>
      <c r="N3495" s="60" t="e">
        <f>+SUMIFS(#REF!,#REF!,Planning[[#This Row],[Proyectos]],#REF!,Planning[[#This Row],[Tipo de Tarea y especialidad]])</f>
        <v>#REF!</v>
      </c>
      <c r="O3495" s="19">
        <f t="shared" si="108"/>
        <v>10</v>
      </c>
      <c r="P3495" s="19">
        <f t="shared" si="109"/>
        <v>2024</v>
      </c>
      <c r="Q34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95" s="19" t="str">
        <f>TEXT(Planning[[#This Row],[Mes]]*29,"mmmm")</f>
        <v>October</v>
      </c>
      <c r="S34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95" s="208"/>
      <c r="U3495" s="43">
        <f>IF(Planning[[#This Row],[Horas Planificadas]]&lt;&gt;0,+K3495/Planning[[#This Row],[Horas Planificadas]],0)</f>
        <v>0</v>
      </c>
      <c r="V3495" s="43">
        <f>IF(Planning[[#This Row],[Horas Planificadas]]&lt;&gt;0,Planning[[#This Row],[Horas utilizadas]]/Planning[[#This Row],[Horas Planificadas]],0)</f>
        <v>0</v>
      </c>
      <c r="W3495" s="44">
        <f>Planning[[#This Row],[Horas Planificadas]]+Planning[[#This Row],[Horas ajustadas adicionales]]</f>
        <v>0</v>
      </c>
      <c r="X3495" s="142"/>
    </row>
    <row r="3496" spans="1:24" x14ac:dyDescent="0.2">
      <c r="A3496" s="7" t="s">
        <v>483</v>
      </c>
      <c r="B3496" s="7" t="s">
        <v>288</v>
      </c>
      <c r="C3496" s="3"/>
      <c r="D3496" s="3" t="s">
        <v>637</v>
      </c>
      <c r="E3496" s="4"/>
      <c r="F3496" s="3" t="s">
        <v>123</v>
      </c>
      <c r="G3496" s="9"/>
      <c r="H3496" s="9"/>
      <c r="I3496" s="12"/>
      <c r="J3496" s="5" t="e">
        <f>SUM(SUMIFS(#REF!,#REF!,Planning[[#This Row],[Tipo de Tarea y especialidad]],#REF!,Planning[[#This Row],[Proyectos Reiwa]]),SUMIFS(#REF!,#REF!,Planning[[#This Row],[Tipo de Tarea y especialidad]],#REF!,Planning[[#This Row],[Proyectos]]))</f>
        <v>#REF!</v>
      </c>
      <c r="K3496" s="5" t="e">
        <f>+Planning[[#This Row],[Horas Planificadas]]+Planning[[#This Row],[Horas ajustadas adicionales]]-Planning[[#This Row],[Horas utilizadas]]</f>
        <v>#REF!</v>
      </c>
      <c r="L3496" s="7"/>
      <c r="M3496" s="19" t="e">
        <f>Planning[[#This Row],[Saldo]]-Planning[[#This Row],[Saldo estimado]]</f>
        <v>#REF!</v>
      </c>
      <c r="N3496" s="60" t="e">
        <f>+SUMIFS(#REF!,#REF!,Planning[[#This Row],[Proyectos]],#REF!,Planning[[#This Row],[Tipo de Tarea y especialidad]])</f>
        <v>#REF!</v>
      </c>
      <c r="O3496" s="19">
        <f t="shared" si="108"/>
        <v>10</v>
      </c>
      <c r="P3496" s="19">
        <f t="shared" si="109"/>
        <v>2024</v>
      </c>
      <c r="Q34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96" s="19" t="str">
        <f>TEXT(Planning[[#This Row],[Mes]]*29,"mmmm")</f>
        <v>October</v>
      </c>
      <c r="S34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96" s="208"/>
      <c r="U3496" s="43">
        <f>IF(Planning[[#This Row],[Horas Planificadas]]&lt;&gt;0,+K3496/Planning[[#This Row],[Horas Planificadas]],0)</f>
        <v>0</v>
      </c>
      <c r="V3496" s="43">
        <f>IF(Planning[[#This Row],[Horas Planificadas]]&lt;&gt;0,Planning[[#This Row],[Horas utilizadas]]/Planning[[#This Row],[Horas Planificadas]],0)</f>
        <v>0</v>
      </c>
      <c r="W3496" s="44">
        <f>Planning[[#This Row],[Horas Planificadas]]+Planning[[#This Row],[Horas ajustadas adicionales]]</f>
        <v>0</v>
      </c>
      <c r="X3496" s="142"/>
    </row>
    <row r="3497" spans="1:24" x14ac:dyDescent="0.2">
      <c r="A3497" s="7" t="s">
        <v>483</v>
      </c>
      <c r="B3497" s="7" t="s">
        <v>288</v>
      </c>
      <c r="C3497" s="3"/>
      <c r="D3497" s="3" t="s">
        <v>637</v>
      </c>
      <c r="E3497" s="4"/>
      <c r="F3497" s="3" t="s">
        <v>124</v>
      </c>
      <c r="G3497" s="9"/>
      <c r="H3497" s="9">
        <v>36</v>
      </c>
      <c r="I3497" s="12"/>
      <c r="J3497" s="5" t="e">
        <f>SUM(SUMIFS(#REF!,#REF!,Planning[[#This Row],[Tipo de Tarea y especialidad]],#REF!,Planning[[#This Row],[Proyectos Reiwa]]),SUMIFS(#REF!,#REF!,Planning[[#This Row],[Tipo de Tarea y especialidad]],#REF!,Planning[[#This Row],[Proyectos]]))</f>
        <v>#REF!</v>
      </c>
      <c r="K3497" s="5" t="e">
        <f>+Planning[[#This Row],[Horas Planificadas]]+Planning[[#This Row],[Horas ajustadas adicionales]]-Planning[[#This Row],[Horas utilizadas]]</f>
        <v>#REF!</v>
      </c>
      <c r="L3497" s="7"/>
      <c r="M3497" s="19" t="e">
        <f>Planning[[#This Row],[Saldo]]-Planning[[#This Row],[Saldo estimado]]</f>
        <v>#REF!</v>
      </c>
      <c r="N3497" s="60" t="e">
        <f>+SUMIFS(#REF!,#REF!,Planning[[#This Row],[Proyectos]],#REF!,Planning[[#This Row],[Tipo de Tarea y especialidad]])</f>
        <v>#REF!</v>
      </c>
      <c r="O3497" s="19">
        <f t="shared" si="108"/>
        <v>10</v>
      </c>
      <c r="P3497" s="19">
        <f t="shared" si="109"/>
        <v>2024</v>
      </c>
      <c r="Q34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97" s="19" t="str">
        <f>TEXT(Planning[[#This Row],[Mes]]*29,"mmmm")</f>
        <v>October</v>
      </c>
      <c r="S34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97" s="208"/>
      <c r="U3497" s="43" t="e">
        <f>IF(Planning[[#This Row],[Horas Planificadas]]&lt;&gt;0,+K3497/Planning[[#This Row],[Horas Planificadas]],0)</f>
        <v>#REF!</v>
      </c>
      <c r="V3497" s="43" t="e">
        <f>IF(Planning[[#This Row],[Horas Planificadas]]&lt;&gt;0,Planning[[#This Row],[Horas utilizadas]]/Planning[[#This Row],[Horas Planificadas]],0)</f>
        <v>#REF!</v>
      </c>
      <c r="W3497" s="44">
        <f>Planning[[#This Row],[Horas Planificadas]]+Planning[[#This Row],[Horas ajustadas adicionales]]</f>
        <v>36</v>
      </c>
      <c r="X3497" s="142"/>
    </row>
    <row r="3498" spans="1:24" x14ac:dyDescent="0.2">
      <c r="A3498" s="7" t="s">
        <v>483</v>
      </c>
      <c r="B3498" s="7" t="s">
        <v>288</v>
      </c>
      <c r="C3498" s="3"/>
      <c r="D3498" s="3" t="s">
        <v>637</v>
      </c>
      <c r="E3498" s="4"/>
      <c r="F3498" s="3" t="s">
        <v>125</v>
      </c>
      <c r="G3498" s="9"/>
      <c r="H3498" s="9"/>
      <c r="I3498" s="12"/>
      <c r="J3498" s="5" t="e">
        <f>SUM(SUMIFS(#REF!,#REF!,Planning[[#This Row],[Tipo de Tarea y especialidad]],#REF!,Planning[[#This Row],[Proyectos Reiwa]]),SUMIFS(#REF!,#REF!,Planning[[#This Row],[Tipo de Tarea y especialidad]],#REF!,Planning[[#This Row],[Proyectos]]))</f>
        <v>#REF!</v>
      </c>
      <c r="K3498" s="5" t="e">
        <f>+Planning[[#This Row],[Horas Planificadas]]+Planning[[#This Row],[Horas ajustadas adicionales]]-Planning[[#This Row],[Horas utilizadas]]</f>
        <v>#REF!</v>
      </c>
      <c r="L3498" s="7"/>
      <c r="M3498" s="19" t="e">
        <f>Planning[[#This Row],[Saldo]]-Planning[[#This Row],[Saldo estimado]]</f>
        <v>#REF!</v>
      </c>
      <c r="N3498" s="60" t="e">
        <f>+SUMIFS(#REF!,#REF!,Planning[[#This Row],[Proyectos]],#REF!,Planning[[#This Row],[Tipo de Tarea y especialidad]])</f>
        <v>#REF!</v>
      </c>
      <c r="O3498" s="19">
        <f t="shared" si="108"/>
        <v>10</v>
      </c>
      <c r="P3498" s="19">
        <f t="shared" si="109"/>
        <v>2024</v>
      </c>
      <c r="Q34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98" s="19" t="str">
        <f>TEXT(Planning[[#This Row],[Mes]]*29,"mmmm")</f>
        <v>October</v>
      </c>
      <c r="S34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98" s="208"/>
      <c r="U3498" s="43">
        <f>IF(Planning[[#This Row],[Horas Planificadas]]&lt;&gt;0,+K3498/Planning[[#This Row],[Horas Planificadas]],0)</f>
        <v>0</v>
      </c>
      <c r="V3498" s="43">
        <f>IF(Planning[[#This Row],[Horas Planificadas]]&lt;&gt;0,Planning[[#This Row],[Horas utilizadas]]/Planning[[#This Row],[Horas Planificadas]],0)</f>
        <v>0</v>
      </c>
      <c r="W3498" s="44">
        <f>Planning[[#This Row],[Horas Planificadas]]+Planning[[#This Row],[Horas ajustadas adicionales]]</f>
        <v>0</v>
      </c>
      <c r="X3498" s="142"/>
    </row>
    <row r="3499" spans="1:24" x14ac:dyDescent="0.2">
      <c r="A3499" s="7" t="s">
        <v>483</v>
      </c>
      <c r="B3499" s="7" t="s">
        <v>288</v>
      </c>
      <c r="C3499" s="3"/>
      <c r="D3499" s="3" t="s">
        <v>637</v>
      </c>
      <c r="E3499" s="4"/>
      <c r="F3499" s="3" t="s">
        <v>126</v>
      </c>
      <c r="G3499" s="9"/>
      <c r="H3499" s="9"/>
      <c r="I3499" s="12"/>
      <c r="J3499" s="5" t="e">
        <f>SUM(SUMIFS(#REF!,#REF!,Planning[[#This Row],[Tipo de Tarea y especialidad]],#REF!,Planning[[#This Row],[Proyectos Reiwa]]),SUMIFS(#REF!,#REF!,Planning[[#This Row],[Tipo de Tarea y especialidad]],#REF!,Planning[[#This Row],[Proyectos]]))</f>
        <v>#REF!</v>
      </c>
      <c r="K3499" s="5" t="e">
        <f>+Planning[[#This Row],[Horas Planificadas]]+Planning[[#This Row],[Horas ajustadas adicionales]]-Planning[[#This Row],[Horas utilizadas]]</f>
        <v>#REF!</v>
      </c>
      <c r="L3499" s="7"/>
      <c r="M3499" s="19" t="e">
        <f>Planning[[#This Row],[Saldo]]-Planning[[#This Row],[Saldo estimado]]</f>
        <v>#REF!</v>
      </c>
      <c r="N3499" s="60" t="e">
        <f>+SUMIFS(#REF!,#REF!,Planning[[#This Row],[Proyectos]],#REF!,Planning[[#This Row],[Tipo de Tarea y especialidad]])</f>
        <v>#REF!</v>
      </c>
      <c r="O3499" s="19">
        <f t="shared" si="108"/>
        <v>10</v>
      </c>
      <c r="P3499" s="19">
        <f t="shared" si="109"/>
        <v>2024</v>
      </c>
      <c r="Q34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499" s="19" t="str">
        <f>TEXT(Planning[[#This Row],[Mes]]*29,"mmmm")</f>
        <v>October</v>
      </c>
      <c r="S34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499" s="208"/>
      <c r="U3499" s="43">
        <f>IF(Planning[[#This Row],[Horas Planificadas]]&lt;&gt;0,+K3499/Planning[[#This Row],[Horas Planificadas]],0)</f>
        <v>0</v>
      </c>
      <c r="V3499" s="43">
        <f>IF(Planning[[#This Row],[Horas Planificadas]]&lt;&gt;0,Planning[[#This Row],[Horas utilizadas]]/Planning[[#This Row],[Horas Planificadas]],0)</f>
        <v>0</v>
      </c>
      <c r="W3499" s="44">
        <f>Planning[[#This Row],[Horas Planificadas]]+Planning[[#This Row],[Horas ajustadas adicionales]]</f>
        <v>0</v>
      </c>
      <c r="X3499" s="142"/>
    </row>
    <row r="3500" spans="1:24" x14ac:dyDescent="0.2">
      <c r="A3500" s="7" t="s">
        <v>483</v>
      </c>
      <c r="B3500" s="7" t="s">
        <v>288</v>
      </c>
      <c r="C3500" s="3"/>
      <c r="D3500" s="3" t="s">
        <v>637</v>
      </c>
      <c r="E3500" s="4"/>
      <c r="F3500" s="3" t="s">
        <v>127</v>
      </c>
      <c r="G3500" s="9"/>
      <c r="H3500" s="9"/>
      <c r="I3500" s="12"/>
      <c r="J3500" s="5" t="e">
        <f>SUM(SUMIFS(#REF!,#REF!,Planning[[#This Row],[Tipo de Tarea y especialidad]],#REF!,Planning[[#This Row],[Proyectos Reiwa]]),SUMIFS(#REF!,#REF!,Planning[[#This Row],[Tipo de Tarea y especialidad]],#REF!,Planning[[#This Row],[Proyectos]]))</f>
        <v>#REF!</v>
      </c>
      <c r="K3500" s="5" t="e">
        <f>+Planning[[#This Row],[Horas Planificadas]]+Planning[[#This Row],[Horas ajustadas adicionales]]-Planning[[#This Row],[Horas utilizadas]]</f>
        <v>#REF!</v>
      </c>
      <c r="L3500" s="7"/>
      <c r="M3500" s="19" t="e">
        <f>Planning[[#This Row],[Saldo]]-Planning[[#This Row],[Saldo estimado]]</f>
        <v>#REF!</v>
      </c>
      <c r="N3500" s="60" t="e">
        <f>+SUMIFS(#REF!,#REF!,Planning[[#This Row],[Proyectos]],#REF!,Planning[[#This Row],[Tipo de Tarea y especialidad]])</f>
        <v>#REF!</v>
      </c>
      <c r="O3500" s="19">
        <f t="shared" si="108"/>
        <v>10</v>
      </c>
      <c r="P3500" s="19">
        <f t="shared" si="109"/>
        <v>2024</v>
      </c>
      <c r="Q35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00" s="19" t="str">
        <f>TEXT(Planning[[#This Row],[Mes]]*29,"mmmm")</f>
        <v>October</v>
      </c>
      <c r="S35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00" s="208"/>
      <c r="U3500" s="43">
        <f>IF(Planning[[#This Row],[Horas Planificadas]]&lt;&gt;0,+K3500/Planning[[#This Row],[Horas Planificadas]],0)</f>
        <v>0</v>
      </c>
      <c r="V3500" s="43">
        <f>IF(Planning[[#This Row],[Horas Planificadas]]&lt;&gt;0,Planning[[#This Row],[Horas utilizadas]]/Planning[[#This Row],[Horas Planificadas]],0)</f>
        <v>0</v>
      </c>
      <c r="W3500" s="44">
        <f>Planning[[#This Row],[Horas Planificadas]]+Planning[[#This Row],[Horas ajustadas adicionales]]</f>
        <v>0</v>
      </c>
      <c r="X3500" s="142"/>
    </row>
    <row r="3501" spans="1:24" x14ac:dyDescent="0.2">
      <c r="A3501" s="7" t="s">
        <v>483</v>
      </c>
      <c r="B3501" s="7" t="s">
        <v>288</v>
      </c>
      <c r="C3501" s="3"/>
      <c r="D3501" s="3" t="s">
        <v>637</v>
      </c>
      <c r="E3501" s="4"/>
      <c r="F3501" s="3" t="s">
        <v>128</v>
      </c>
      <c r="G3501" s="9"/>
      <c r="H3501" s="9"/>
      <c r="I3501" s="12"/>
      <c r="J3501" s="5" t="e">
        <f>SUM(SUMIFS(#REF!,#REF!,Planning[[#This Row],[Tipo de Tarea y especialidad]],#REF!,Planning[[#This Row],[Proyectos Reiwa]]),SUMIFS(#REF!,#REF!,Planning[[#This Row],[Tipo de Tarea y especialidad]],#REF!,Planning[[#This Row],[Proyectos]]))</f>
        <v>#REF!</v>
      </c>
      <c r="K3501" s="5" t="e">
        <f>+Planning[[#This Row],[Horas Planificadas]]+Planning[[#This Row],[Horas ajustadas adicionales]]-Planning[[#This Row],[Horas utilizadas]]</f>
        <v>#REF!</v>
      </c>
      <c r="L3501" s="7"/>
      <c r="M3501" s="19" t="e">
        <f>Planning[[#This Row],[Saldo]]-Planning[[#This Row],[Saldo estimado]]</f>
        <v>#REF!</v>
      </c>
      <c r="N3501" s="60" t="e">
        <f>+SUMIFS(#REF!,#REF!,Planning[[#This Row],[Proyectos]],#REF!,Planning[[#This Row],[Tipo de Tarea y especialidad]])</f>
        <v>#REF!</v>
      </c>
      <c r="O3501" s="19">
        <f t="shared" si="108"/>
        <v>10</v>
      </c>
      <c r="P3501" s="19">
        <f t="shared" si="109"/>
        <v>2024</v>
      </c>
      <c r="Q35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01" s="19" t="str">
        <f>TEXT(Planning[[#This Row],[Mes]]*29,"mmmm")</f>
        <v>October</v>
      </c>
      <c r="S35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01" s="208"/>
      <c r="U3501" s="43">
        <f>IF(Planning[[#This Row],[Horas Planificadas]]&lt;&gt;0,+K3501/Planning[[#This Row],[Horas Planificadas]],0)</f>
        <v>0</v>
      </c>
      <c r="V3501" s="43">
        <f>IF(Planning[[#This Row],[Horas Planificadas]]&lt;&gt;0,Planning[[#This Row],[Horas utilizadas]]/Planning[[#This Row],[Horas Planificadas]],0)</f>
        <v>0</v>
      </c>
      <c r="W3501" s="44">
        <f>Planning[[#This Row],[Horas Planificadas]]+Planning[[#This Row],[Horas ajustadas adicionales]]</f>
        <v>0</v>
      </c>
      <c r="X3501" s="142"/>
    </row>
    <row r="3502" spans="1:24" x14ac:dyDescent="0.2">
      <c r="A3502" s="7" t="s">
        <v>483</v>
      </c>
      <c r="B3502" s="7" t="s">
        <v>288</v>
      </c>
      <c r="C3502" s="3"/>
      <c r="D3502" s="3" t="s">
        <v>637</v>
      </c>
      <c r="E3502" s="4" t="s">
        <v>31</v>
      </c>
      <c r="F3502" s="3" t="s">
        <v>31</v>
      </c>
      <c r="G3502" s="9"/>
      <c r="H3502" s="17">
        <f>Planning[[#This Row],[Horas Precálculo]]</f>
        <v>0</v>
      </c>
      <c r="I3502" s="18"/>
      <c r="J3502" s="14" t="e">
        <f>+SUMIFS(#REF!,#REF!,Planning[[#This Row],[Tarifa]],#REF!,Planning[[#This Row],[Proyectos]])</f>
        <v>#REF!</v>
      </c>
      <c r="K3502" s="14" t="e">
        <f>+Planning[[#This Row],[Horas Planificadas]]+Planning[[#This Row],[Horas ajustadas adicionales]]-Planning[[#This Row],[Horas utilizadas]]</f>
        <v>#REF!</v>
      </c>
      <c r="L3502" s="15">
        <v>0</v>
      </c>
      <c r="M3502" s="16" t="e">
        <f>Planning[[#This Row],[Saldo]]-Planning[[#This Row],[Saldo estimado]]</f>
        <v>#REF!</v>
      </c>
      <c r="N3502" s="60" t="e">
        <f>+SUMIFS(#REF!,#REF!,Planning[[#This Row],[Proyectos]],#REF!,Planning[[#This Row],[Tipo de Tarea y especialidad]])</f>
        <v>#REF!</v>
      </c>
      <c r="O3502" s="16">
        <f t="shared" si="108"/>
        <v>10</v>
      </c>
      <c r="P3502" s="16">
        <f t="shared" si="109"/>
        <v>2024</v>
      </c>
      <c r="Q3502" s="16" t="e">
        <f>+SUMIFS(#REF!,#REF!,Planning[[#This Row],[Tarifa]],#REF!,Planning[[#This Row],[Proyectos]],#REF!,Planning[[#This Row],[Mes]],#REF!,Planning[[#This Row],[Año]])</f>
        <v>#REF!</v>
      </c>
      <c r="R3502" s="16" t="str">
        <f>TEXT(Planning[[#This Row],[Mes]]*29,"mmmm")</f>
        <v>October</v>
      </c>
      <c r="S35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02" s="208"/>
      <c r="U3502" s="43">
        <f>IF(Planning[[#This Row],[Horas Planificadas]]&lt;&gt;0,+K3502/Planning[[#This Row],[Horas Planificadas]],0)</f>
        <v>0</v>
      </c>
      <c r="V3502" s="43">
        <f>IF(Planning[[#This Row],[Horas Planificadas]]&lt;&gt;0,Planning[[#This Row],[Horas utilizadas]]/Planning[[#This Row],[Horas Planificadas]],0)</f>
        <v>0</v>
      </c>
      <c r="W3502" s="44">
        <f>Planning[[#This Row],[Horas Planificadas]]+Planning[[#This Row],[Horas ajustadas adicionales]]</f>
        <v>0</v>
      </c>
      <c r="X3502" s="142"/>
    </row>
    <row r="3503" spans="1:24" ht="22.5" x14ac:dyDescent="0.2">
      <c r="A3503" s="7" t="s">
        <v>483</v>
      </c>
      <c r="B3503" s="7" t="s">
        <v>288</v>
      </c>
      <c r="C3503" s="3"/>
      <c r="D3503" s="3" t="s">
        <v>637</v>
      </c>
      <c r="E3503" s="4" t="s">
        <v>32</v>
      </c>
      <c r="F3503" s="3"/>
      <c r="G3503" s="9">
        <v>30</v>
      </c>
      <c r="H3503" s="14">
        <f>SUM(H3504:H3506)</f>
        <v>30</v>
      </c>
      <c r="I3503" s="14"/>
      <c r="J3503" s="14" t="e">
        <f>SUM(J3504:J3506)</f>
        <v>#REF!</v>
      </c>
      <c r="K3503" s="24" t="e">
        <f>+Planning[[#This Row],[Horas Planificadas]]+Planning[[#This Row],[Horas ajustadas adicionales]]-Planning[[#This Row],[Horas utilizadas]]</f>
        <v>#REF!</v>
      </c>
      <c r="L3503" s="15">
        <f>SUM(L3504:L3506)</f>
        <v>0</v>
      </c>
      <c r="M3503" s="16" t="e">
        <f>SUM(M3504:M3506)</f>
        <v>#REF!</v>
      </c>
      <c r="N3503" s="60" t="e">
        <f>+SUMIFS(#REF!,#REF!,Planning[[#This Row],[Proyectos]],#REF!,Planning[[#This Row],[Tipo de Tarea y especialidad]])</f>
        <v>#REF!</v>
      </c>
      <c r="O3503" s="16">
        <f t="shared" si="108"/>
        <v>10</v>
      </c>
      <c r="P3503" s="16">
        <f t="shared" si="109"/>
        <v>2024</v>
      </c>
      <c r="Q3503" s="16" t="e">
        <f>SUM(Q3504:Q3506)</f>
        <v>#REF!</v>
      </c>
      <c r="R3503" s="16" t="str">
        <f>TEXT(Planning[[#This Row],[Mes]]*29,"mmmm")</f>
        <v>October</v>
      </c>
      <c r="S35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03" s="208"/>
      <c r="U3503" s="43" t="e">
        <f>IF(Planning[[#This Row],[Horas Planificadas]]&lt;&gt;0,+K3503/Planning[[#This Row],[Horas Planificadas]],0)</f>
        <v>#REF!</v>
      </c>
      <c r="V3503" s="43" t="e">
        <f>IF(Planning[[#This Row],[Horas Planificadas]]&lt;&gt;0,Planning[[#This Row],[Horas utilizadas]]/Planning[[#This Row],[Horas Planificadas]],0)</f>
        <v>#REF!</v>
      </c>
      <c r="W3503" s="44">
        <f>Planning[[#This Row],[Horas Planificadas]]+Planning[[#This Row],[Horas ajustadas adicionales]]</f>
        <v>30</v>
      </c>
      <c r="X3503" s="142"/>
    </row>
    <row r="3504" spans="1:24" x14ac:dyDescent="0.2">
      <c r="A3504" s="7" t="s">
        <v>483</v>
      </c>
      <c r="B3504" s="7" t="s">
        <v>288</v>
      </c>
      <c r="C3504" s="3"/>
      <c r="D3504" s="3" t="s">
        <v>637</v>
      </c>
      <c r="E3504" s="4"/>
      <c r="F3504" s="3" t="s">
        <v>129</v>
      </c>
      <c r="G3504" s="9"/>
      <c r="H3504" s="9"/>
      <c r="I3504" s="12"/>
      <c r="J3504" s="5" t="e">
        <f>SUM(SUMIFS(#REF!,#REF!,Planning[[#This Row],[Tipo de Tarea y especialidad]],#REF!,Planning[[#This Row],[Proyectos Reiwa]]),SUMIFS(#REF!,#REF!,Planning[[#This Row],[Tipo de Tarea y especialidad]],#REF!,Planning[[#This Row],[Proyectos]]))</f>
        <v>#REF!</v>
      </c>
      <c r="K3504" s="5" t="e">
        <f>+Planning[[#This Row],[Horas Planificadas]]+Planning[[#This Row],[Horas ajustadas adicionales]]-Planning[[#This Row],[Horas utilizadas]]</f>
        <v>#REF!</v>
      </c>
      <c r="L3504" s="7"/>
      <c r="M3504" s="19" t="e">
        <f>Planning[[#This Row],[Saldo]]-Planning[[#This Row],[Saldo estimado]]</f>
        <v>#REF!</v>
      </c>
      <c r="N3504" s="60" t="e">
        <f>+SUMIFS(#REF!,#REF!,Planning[[#This Row],[Proyectos]],#REF!,Planning[[#This Row],[Tipo de Tarea y especialidad]])</f>
        <v>#REF!</v>
      </c>
      <c r="O3504" s="19">
        <f t="shared" si="108"/>
        <v>10</v>
      </c>
      <c r="P3504" s="19">
        <f t="shared" si="109"/>
        <v>2024</v>
      </c>
      <c r="Q35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04" s="19" t="str">
        <f>TEXT(Planning[[#This Row],[Mes]]*29,"mmmm")</f>
        <v>October</v>
      </c>
      <c r="S35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04" s="208"/>
      <c r="U3504" s="43">
        <f>IF(Planning[[#This Row],[Horas Planificadas]]&lt;&gt;0,+K3504/Planning[[#This Row],[Horas Planificadas]],0)</f>
        <v>0</v>
      </c>
      <c r="V3504" s="43">
        <f>IF(Planning[[#This Row],[Horas Planificadas]]&lt;&gt;0,Planning[[#This Row],[Horas utilizadas]]/Planning[[#This Row],[Horas Planificadas]],0)</f>
        <v>0</v>
      </c>
      <c r="W3504" s="44">
        <f>Planning[[#This Row],[Horas Planificadas]]+Planning[[#This Row],[Horas ajustadas adicionales]]</f>
        <v>0</v>
      </c>
      <c r="X3504" s="142"/>
    </row>
    <row r="3505" spans="1:24" x14ac:dyDescent="0.2">
      <c r="A3505" s="7" t="s">
        <v>483</v>
      </c>
      <c r="B3505" s="7" t="s">
        <v>288</v>
      </c>
      <c r="C3505" s="3"/>
      <c r="D3505" s="3" t="s">
        <v>637</v>
      </c>
      <c r="E3505" s="4"/>
      <c r="F3505" s="3" t="s">
        <v>130</v>
      </c>
      <c r="G3505" s="9"/>
      <c r="H3505" s="9"/>
      <c r="I3505" s="12"/>
      <c r="J3505" s="5" t="e">
        <f>SUM(SUMIFS(#REF!,#REF!,Planning[[#This Row],[Tipo de Tarea y especialidad]],#REF!,Planning[[#This Row],[Proyectos Reiwa]]),SUMIFS(#REF!,#REF!,Planning[[#This Row],[Tipo de Tarea y especialidad]],#REF!,Planning[[#This Row],[Proyectos]]))</f>
        <v>#REF!</v>
      </c>
      <c r="K3505" s="5" t="e">
        <f>+Planning[[#This Row],[Horas Planificadas]]+Planning[[#This Row],[Horas ajustadas adicionales]]-Planning[[#This Row],[Horas utilizadas]]</f>
        <v>#REF!</v>
      </c>
      <c r="L3505" s="7"/>
      <c r="M3505" s="19" t="e">
        <f>Planning[[#This Row],[Saldo]]-Planning[[#This Row],[Saldo estimado]]</f>
        <v>#REF!</v>
      </c>
      <c r="N3505" s="60" t="e">
        <f>+SUMIFS(#REF!,#REF!,Planning[[#This Row],[Proyectos]],#REF!,Planning[[#This Row],[Tipo de Tarea y especialidad]])</f>
        <v>#REF!</v>
      </c>
      <c r="O3505" s="19">
        <f t="shared" si="108"/>
        <v>10</v>
      </c>
      <c r="P3505" s="19">
        <f t="shared" si="109"/>
        <v>2024</v>
      </c>
      <c r="Q35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05" s="19" t="str">
        <f>TEXT(Planning[[#This Row],[Mes]]*29,"mmmm")</f>
        <v>October</v>
      </c>
      <c r="S35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05" s="208"/>
      <c r="U3505" s="43">
        <f>IF(Planning[[#This Row],[Horas Planificadas]]&lt;&gt;0,+K3505/Planning[[#This Row],[Horas Planificadas]],0)</f>
        <v>0</v>
      </c>
      <c r="V3505" s="43">
        <f>IF(Planning[[#This Row],[Horas Planificadas]]&lt;&gt;0,Planning[[#This Row],[Horas utilizadas]]/Planning[[#This Row],[Horas Planificadas]],0)</f>
        <v>0</v>
      </c>
      <c r="W3505" s="44">
        <f>Planning[[#This Row],[Horas Planificadas]]+Planning[[#This Row],[Horas ajustadas adicionales]]</f>
        <v>0</v>
      </c>
      <c r="X3505" s="142"/>
    </row>
    <row r="3506" spans="1:24" x14ac:dyDescent="0.2">
      <c r="A3506" s="7" t="s">
        <v>483</v>
      </c>
      <c r="B3506" s="7" t="s">
        <v>288</v>
      </c>
      <c r="C3506" s="3"/>
      <c r="D3506" s="3" t="s">
        <v>637</v>
      </c>
      <c r="E3506" s="4"/>
      <c r="F3506" s="3" t="s">
        <v>131</v>
      </c>
      <c r="G3506" s="9"/>
      <c r="H3506" s="9">
        <v>30</v>
      </c>
      <c r="I3506" s="12"/>
      <c r="J3506" s="5" t="e">
        <f>SUM(SUMIFS(#REF!,#REF!,Planning[[#This Row],[Tipo de Tarea y especialidad]],#REF!,Planning[[#This Row],[Proyectos Reiwa]]),SUMIFS(#REF!,#REF!,Planning[[#This Row],[Tipo de Tarea y especialidad]],#REF!,Planning[[#This Row],[Proyectos]]))</f>
        <v>#REF!</v>
      </c>
      <c r="K3506" s="5" t="e">
        <f>+Planning[[#This Row],[Horas Planificadas]]+Planning[[#This Row],[Horas ajustadas adicionales]]-Planning[[#This Row],[Horas utilizadas]]</f>
        <v>#REF!</v>
      </c>
      <c r="L3506" s="7"/>
      <c r="M3506" s="19" t="e">
        <f>Planning[[#This Row],[Saldo]]-Planning[[#This Row],[Saldo estimado]]</f>
        <v>#REF!</v>
      </c>
      <c r="N3506" s="60" t="e">
        <f>+SUMIFS(#REF!,#REF!,Planning[[#This Row],[Proyectos]],#REF!,Planning[[#This Row],[Tipo de Tarea y especialidad]])</f>
        <v>#REF!</v>
      </c>
      <c r="O3506" s="19">
        <f t="shared" si="108"/>
        <v>10</v>
      </c>
      <c r="P3506" s="19">
        <f t="shared" si="109"/>
        <v>2024</v>
      </c>
      <c r="Q35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06" s="19" t="str">
        <f>TEXT(Planning[[#This Row],[Mes]]*29,"mmmm")</f>
        <v>October</v>
      </c>
      <c r="S35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06" s="208"/>
      <c r="U3506" s="43" t="e">
        <f>IF(Planning[[#This Row],[Horas Planificadas]]&lt;&gt;0,+K3506/Planning[[#This Row],[Horas Planificadas]],0)</f>
        <v>#REF!</v>
      </c>
      <c r="V3506" s="43" t="e">
        <f>IF(Planning[[#This Row],[Horas Planificadas]]&lt;&gt;0,Planning[[#This Row],[Horas utilizadas]]/Planning[[#This Row],[Horas Planificadas]],0)</f>
        <v>#REF!</v>
      </c>
      <c r="W3506" s="44">
        <f>Planning[[#This Row],[Horas Planificadas]]+Planning[[#This Row],[Horas ajustadas adicionales]]</f>
        <v>30</v>
      </c>
      <c r="X3506" s="142"/>
    </row>
    <row r="3507" spans="1:24" ht="22.5" x14ac:dyDescent="0.2">
      <c r="A3507" s="7" t="s">
        <v>389</v>
      </c>
      <c r="B3507" s="7" t="s">
        <v>118</v>
      </c>
      <c r="C3507" s="3"/>
      <c r="D3507" s="3" t="s">
        <v>639</v>
      </c>
      <c r="E3507" s="4" t="s">
        <v>28</v>
      </c>
      <c r="F3507" s="3"/>
      <c r="G3507" s="9">
        <v>285</v>
      </c>
      <c r="H3507" s="14">
        <f>SUM(H3508:H3509)</f>
        <v>285</v>
      </c>
      <c r="I3507" s="14"/>
      <c r="J3507" s="14" t="e">
        <f>SUM(J3508:J3509)</f>
        <v>#REF!</v>
      </c>
      <c r="K3507" s="15" t="e">
        <f>SUM(K3508:K3509)</f>
        <v>#REF!</v>
      </c>
      <c r="L3507" s="15">
        <f>SUM(L3508:L3509)</f>
        <v>9</v>
      </c>
      <c r="M3507" s="14" t="e">
        <f>SUM(M3508:M3509)</f>
        <v>#REF!</v>
      </c>
      <c r="N3507" s="66" t="e">
        <f>+SUMIFS(#REF!,#REF!,Planning[[#This Row],[Proyectos]],#REF!,Planning[[#This Row],[Tipo de Tarea y especialidad]])</f>
        <v>#REF!</v>
      </c>
      <c r="O3507" s="14">
        <f t="shared" si="108"/>
        <v>10</v>
      </c>
      <c r="P3507" s="14">
        <f t="shared" si="109"/>
        <v>2024</v>
      </c>
      <c r="Q3507" s="28" t="e">
        <f>SUM(Q3508:Q3509)</f>
        <v>#REF!</v>
      </c>
      <c r="R3507" s="28" t="str">
        <f>TEXT(Planning[[#This Row],[Mes]]*29,"mmmm")</f>
        <v>October</v>
      </c>
      <c r="S35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07" s="216" t="s">
        <v>640</v>
      </c>
      <c r="U3507" s="43" t="e">
        <f>IF(Planning[[#This Row],[Horas Planificadas]]&lt;&gt;0,+K3507/Planning[[#This Row],[Horas Planificadas]],0)</f>
        <v>#REF!</v>
      </c>
      <c r="V3507" s="43" t="e">
        <f>IF(Planning[[#This Row],[Horas Planificadas]]&lt;&gt;0,Planning[[#This Row],[Horas utilizadas]]/Planning[[#This Row],[Horas Planificadas]],0)</f>
        <v>#REF!</v>
      </c>
      <c r="W3507" s="44">
        <f>Planning[[#This Row],[Horas Planificadas]]+Planning[[#This Row],[Horas ajustadas adicionales]]</f>
        <v>285</v>
      </c>
      <c r="X3507" s="142"/>
    </row>
    <row r="3508" spans="1:24" x14ac:dyDescent="0.2">
      <c r="A3508" s="7" t="s">
        <v>389</v>
      </c>
      <c r="B3508" s="7" t="s">
        <v>118</v>
      </c>
      <c r="C3508" s="3"/>
      <c r="D3508" s="3" t="s">
        <v>639</v>
      </c>
      <c r="E3508" s="4"/>
      <c r="F3508" s="3" t="s">
        <v>120</v>
      </c>
      <c r="G3508" s="9"/>
      <c r="H3508" s="9">
        <v>150</v>
      </c>
      <c r="I3508" s="12"/>
      <c r="J3508" s="5" t="e">
        <f>SUM(SUMIFS(#REF!,#REF!,Planning[[#This Row],[Tipo de Tarea y especialidad]],#REF!,Planning[[#This Row],[Proyectos Reiwa]]),SUMIFS(#REF!,#REF!,Planning[[#This Row],[Tipo de Tarea y especialidad]],#REF!,Planning[[#This Row],[Proyectos]]))</f>
        <v>#REF!</v>
      </c>
      <c r="K3508" s="5" t="e">
        <f>Planning[[#This Row],[Horas Planificadas]]+Planning[[#This Row],[Horas ajustadas adicionales]]-Planning[[#This Row],[Horas utilizadas]]</f>
        <v>#REF!</v>
      </c>
      <c r="L3508" s="7">
        <v>0</v>
      </c>
      <c r="M3508" s="19" t="e">
        <f>Planning[[#This Row],[Saldo]]-Planning[[#This Row],[Saldo estimado]]</f>
        <v>#REF!</v>
      </c>
      <c r="N3508" s="60" t="e">
        <f>+SUMIFS(#REF!,#REF!,Planning[[#This Row],[Proyectos]],#REF!,Planning[[#This Row],[Tipo de Tarea y especialidad]])</f>
        <v>#REF!</v>
      </c>
      <c r="O3508" s="19">
        <f t="shared" si="108"/>
        <v>10</v>
      </c>
      <c r="P3508" s="19">
        <f t="shared" si="109"/>
        <v>2024</v>
      </c>
      <c r="Q35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08" s="19" t="str">
        <f>TEXT(Planning[[#This Row],[Mes]]*29,"mmmm")</f>
        <v>October</v>
      </c>
      <c r="S35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08" s="193"/>
      <c r="U3508" s="43" t="e">
        <f>IF(Planning[[#This Row],[Horas Planificadas]]&lt;&gt;0,+K3508/Planning[[#This Row],[Horas Planificadas]],0)</f>
        <v>#REF!</v>
      </c>
      <c r="V3508" s="43" t="e">
        <f>IF(Planning[[#This Row],[Horas Planificadas]]&lt;&gt;0,Planning[[#This Row],[Horas utilizadas]]/Planning[[#This Row],[Horas Planificadas]],0)</f>
        <v>#REF!</v>
      </c>
      <c r="W3508" s="44">
        <f>Planning[[#This Row],[Horas Planificadas]]+Planning[[#This Row],[Horas ajustadas adicionales]]</f>
        <v>150</v>
      </c>
      <c r="X3508" s="142"/>
    </row>
    <row r="3509" spans="1:24" x14ac:dyDescent="0.2">
      <c r="A3509" s="7" t="s">
        <v>389</v>
      </c>
      <c r="B3509" s="7" t="s">
        <v>118</v>
      </c>
      <c r="C3509" s="3"/>
      <c r="D3509" s="3" t="s">
        <v>639</v>
      </c>
      <c r="E3509" s="4"/>
      <c r="F3509" s="3" t="s">
        <v>121</v>
      </c>
      <c r="G3509" s="9"/>
      <c r="H3509" s="9">
        <v>135</v>
      </c>
      <c r="I3509" s="12"/>
      <c r="J3509" s="5" t="e">
        <f>SUM(SUMIFS(#REF!,#REF!,Planning[[#This Row],[Tipo de Tarea y especialidad]],#REF!,Planning[[#This Row],[Proyectos Reiwa]]),SUMIFS(#REF!,#REF!,Planning[[#This Row],[Tipo de Tarea y especialidad]],#REF!,Planning[[#This Row],[Proyectos]]))</f>
        <v>#REF!</v>
      </c>
      <c r="K3509" s="5" t="e">
        <f>Planning[[#This Row],[Horas Planificadas]]+Planning[[#This Row],[Horas ajustadas adicionales]]-Planning[[#This Row],[Horas utilizadas]]</f>
        <v>#REF!</v>
      </c>
      <c r="L3509" s="7">
        <v>9</v>
      </c>
      <c r="M3509" s="19" t="e">
        <f>Planning[[#This Row],[Saldo]]-Planning[[#This Row],[Saldo estimado]]</f>
        <v>#REF!</v>
      </c>
      <c r="N3509" s="60" t="e">
        <f>+SUMIFS(#REF!,#REF!,Planning[[#This Row],[Proyectos]],#REF!,Planning[[#This Row],[Tipo de Tarea y especialidad]])</f>
        <v>#REF!</v>
      </c>
      <c r="O3509" s="19">
        <f t="shared" si="108"/>
        <v>10</v>
      </c>
      <c r="P3509" s="19">
        <f t="shared" si="109"/>
        <v>2024</v>
      </c>
      <c r="Q35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09" s="19" t="str">
        <f>TEXT(Planning[[#This Row],[Mes]]*29,"mmmm")</f>
        <v>October</v>
      </c>
      <c r="S35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09" s="193"/>
      <c r="U3509" s="43" t="e">
        <f>IF(Planning[[#This Row],[Horas Planificadas]]&lt;&gt;0,+K3509/Planning[[#This Row],[Horas Planificadas]],0)</f>
        <v>#REF!</v>
      </c>
      <c r="V3509" s="43" t="e">
        <f>IF(Planning[[#This Row],[Horas Planificadas]]&lt;&gt;0,Planning[[#This Row],[Horas utilizadas]]/Planning[[#This Row],[Horas Planificadas]],0)</f>
        <v>#REF!</v>
      </c>
      <c r="W3509" s="44">
        <f>Planning[[#This Row],[Horas Planificadas]]+Planning[[#This Row],[Horas ajustadas adicionales]]</f>
        <v>135</v>
      </c>
      <c r="X3509" s="142"/>
    </row>
    <row r="3510" spans="1:24" x14ac:dyDescent="0.2">
      <c r="A3510" s="7" t="s">
        <v>389</v>
      </c>
      <c r="B3510" s="7" t="s">
        <v>118</v>
      </c>
      <c r="C3510" s="3"/>
      <c r="D3510" s="3" t="s">
        <v>639</v>
      </c>
      <c r="E3510" s="4" t="s">
        <v>30</v>
      </c>
      <c r="F3510" s="3"/>
      <c r="G3510" s="9">
        <v>171</v>
      </c>
      <c r="H3510" s="14">
        <f>SUM(H3511:H3517)</f>
        <v>171</v>
      </c>
      <c r="I3510" s="14"/>
      <c r="J3510" s="14" t="e">
        <f>SUM(J3511:J3517)</f>
        <v>#REF!</v>
      </c>
      <c r="K3510" s="15" t="e">
        <f>SUM(K3511:K3517)</f>
        <v>#REF!</v>
      </c>
      <c r="L3510" s="15">
        <f>SUM(L3511:L3517)</f>
        <v>54</v>
      </c>
      <c r="M3510" s="16" t="e">
        <f>SUM(M3511:M3517)</f>
        <v>#REF!</v>
      </c>
      <c r="N3510" s="60" t="e">
        <f>+SUMIFS(#REF!,#REF!,Planning[[#This Row],[Proyectos]],#REF!,Planning[[#This Row],[Tipo de Tarea y especialidad]])</f>
        <v>#REF!</v>
      </c>
      <c r="O3510" s="16">
        <f t="shared" si="108"/>
        <v>10</v>
      </c>
      <c r="P3510" s="16">
        <f t="shared" si="109"/>
        <v>2024</v>
      </c>
      <c r="Q3510" s="16" t="e">
        <f>SUM(Q3511:Q3517)</f>
        <v>#REF!</v>
      </c>
      <c r="R3510" s="16" t="str">
        <f>TEXT(Planning[[#This Row],[Mes]]*29,"mmmm")</f>
        <v>October</v>
      </c>
      <c r="S35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10" s="193"/>
      <c r="U3510" s="43" t="e">
        <f>IF(Planning[[#This Row],[Horas Planificadas]]&lt;&gt;0,+K3510/Planning[[#This Row],[Horas Planificadas]],0)</f>
        <v>#REF!</v>
      </c>
      <c r="V3510" s="43" t="e">
        <f>IF(Planning[[#This Row],[Horas Planificadas]]&lt;&gt;0,Planning[[#This Row],[Horas utilizadas]]/Planning[[#This Row],[Horas Planificadas]],0)</f>
        <v>#REF!</v>
      </c>
      <c r="W3510" s="44">
        <f>Planning[[#This Row],[Horas Planificadas]]+Planning[[#This Row],[Horas ajustadas adicionales]]</f>
        <v>171</v>
      </c>
      <c r="X3510" s="142"/>
    </row>
    <row r="3511" spans="1:24" x14ac:dyDescent="0.2">
      <c r="A3511" s="7" t="s">
        <v>389</v>
      </c>
      <c r="B3511" s="7" t="s">
        <v>118</v>
      </c>
      <c r="C3511" s="3"/>
      <c r="D3511" s="3" t="s">
        <v>639</v>
      </c>
      <c r="E3511" s="4"/>
      <c r="F3511" s="3" t="s">
        <v>122</v>
      </c>
      <c r="G3511" s="9"/>
      <c r="H3511" s="9">
        <v>54</v>
      </c>
      <c r="I3511" s="12"/>
      <c r="J3511" s="5" t="e">
        <f>SUM(SUMIFS(#REF!,#REF!,Planning[[#This Row],[Tipo de Tarea y especialidad]],#REF!,Planning[[#This Row],[Proyectos Reiwa]]),SUMIFS(#REF!,#REF!,Planning[[#This Row],[Tipo de Tarea y especialidad]],#REF!,Planning[[#This Row],[Proyectos]]))</f>
        <v>#REF!</v>
      </c>
      <c r="K3511" s="5" t="e">
        <f>Planning[[#This Row],[Horas Planificadas]]+Planning[[#This Row],[Horas ajustadas adicionales]]-Planning[[#This Row],[Horas utilizadas]]</f>
        <v>#REF!</v>
      </c>
      <c r="L3511" s="7">
        <v>36</v>
      </c>
      <c r="M3511" s="19" t="e">
        <f>Planning[[#This Row],[Saldo]]-Planning[[#This Row],[Saldo estimado]]</f>
        <v>#REF!</v>
      </c>
      <c r="N3511" s="60" t="e">
        <f>+SUMIFS(#REF!,#REF!,Planning[[#This Row],[Proyectos]],#REF!,Planning[[#This Row],[Tipo de Tarea y especialidad]])</f>
        <v>#REF!</v>
      </c>
      <c r="O3511" s="19">
        <f t="shared" si="108"/>
        <v>10</v>
      </c>
      <c r="P3511" s="19">
        <f t="shared" si="109"/>
        <v>2024</v>
      </c>
      <c r="Q35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11" s="19" t="str">
        <f>TEXT(Planning[[#This Row],[Mes]]*29,"mmmm")</f>
        <v>October</v>
      </c>
      <c r="S35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11" s="193"/>
      <c r="U3511" s="43" t="e">
        <f>IF(Planning[[#This Row],[Horas Planificadas]]&lt;&gt;0,+K3511/Planning[[#This Row],[Horas Planificadas]],0)</f>
        <v>#REF!</v>
      </c>
      <c r="V3511" s="43" t="e">
        <f>IF(Planning[[#This Row],[Horas Planificadas]]&lt;&gt;0,Planning[[#This Row],[Horas utilizadas]]/Planning[[#This Row],[Horas Planificadas]],0)</f>
        <v>#REF!</v>
      </c>
      <c r="W3511" s="44">
        <f>Planning[[#This Row],[Horas Planificadas]]+Planning[[#This Row],[Horas ajustadas adicionales]]</f>
        <v>54</v>
      </c>
      <c r="X3511" s="142"/>
    </row>
    <row r="3512" spans="1:24" x14ac:dyDescent="0.2">
      <c r="A3512" s="7" t="s">
        <v>389</v>
      </c>
      <c r="B3512" s="7" t="s">
        <v>118</v>
      </c>
      <c r="C3512" s="3"/>
      <c r="D3512" s="3" t="s">
        <v>639</v>
      </c>
      <c r="E3512" s="4"/>
      <c r="F3512" s="3" t="s">
        <v>123</v>
      </c>
      <c r="G3512" s="9"/>
      <c r="H3512" s="9"/>
      <c r="I3512" s="12"/>
      <c r="J3512" s="5" t="e">
        <f>SUM(SUMIFS(#REF!,#REF!,Planning[[#This Row],[Tipo de Tarea y especialidad]],#REF!,Planning[[#This Row],[Proyectos Reiwa]]),SUMIFS(#REF!,#REF!,Planning[[#This Row],[Tipo de Tarea y especialidad]],#REF!,Planning[[#This Row],[Proyectos]]))</f>
        <v>#REF!</v>
      </c>
      <c r="K3512" s="5" t="e">
        <f>Planning[[#This Row],[Horas Planificadas]]+Planning[[#This Row],[Horas ajustadas adicionales]]-Planning[[#This Row],[Horas utilizadas]]</f>
        <v>#REF!</v>
      </c>
      <c r="L3512" s="7"/>
      <c r="M3512" s="19" t="e">
        <f>Planning[[#This Row],[Saldo]]-Planning[[#This Row],[Saldo estimado]]</f>
        <v>#REF!</v>
      </c>
      <c r="N3512" s="60" t="e">
        <f>+SUMIFS(#REF!,#REF!,Planning[[#This Row],[Proyectos]],#REF!,Planning[[#This Row],[Tipo de Tarea y especialidad]])</f>
        <v>#REF!</v>
      </c>
      <c r="O3512" s="19">
        <f t="shared" si="108"/>
        <v>10</v>
      </c>
      <c r="P3512" s="19">
        <f t="shared" si="109"/>
        <v>2024</v>
      </c>
      <c r="Q35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12" s="19" t="str">
        <f>TEXT(Planning[[#This Row],[Mes]]*29,"mmmm")</f>
        <v>October</v>
      </c>
      <c r="S35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12" s="193"/>
      <c r="U3512" s="43">
        <f>IF(Planning[[#This Row],[Horas Planificadas]]&lt;&gt;0,+K3512/Planning[[#This Row],[Horas Planificadas]],0)</f>
        <v>0</v>
      </c>
      <c r="V3512" s="43">
        <f>IF(Planning[[#This Row],[Horas Planificadas]]&lt;&gt;0,Planning[[#This Row],[Horas utilizadas]]/Planning[[#This Row],[Horas Planificadas]],0)</f>
        <v>0</v>
      </c>
      <c r="W3512" s="44">
        <f>Planning[[#This Row],[Horas Planificadas]]+Planning[[#This Row],[Horas ajustadas adicionales]]</f>
        <v>0</v>
      </c>
      <c r="X3512" s="142"/>
    </row>
    <row r="3513" spans="1:24" x14ac:dyDescent="0.2">
      <c r="A3513" s="7" t="s">
        <v>389</v>
      </c>
      <c r="B3513" s="7" t="s">
        <v>118</v>
      </c>
      <c r="C3513" s="3"/>
      <c r="D3513" s="3" t="s">
        <v>639</v>
      </c>
      <c r="E3513" s="4"/>
      <c r="F3513" s="3" t="s">
        <v>124</v>
      </c>
      <c r="G3513" s="9"/>
      <c r="H3513" s="9"/>
      <c r="I3513" s="12"/>
      <c r="J3513" s="5" t="e">
        <f>SUM(SUMIFS(#REF!,#REF!,Planning[[#This Row],[Tipo de Tarea y especialidad]],#REF!,Planning[[#This Row],[Proyectos Reiwa]]),SUMIFS(#REF!,#REF!,Planning[[#This Row],[Tipo de Tarea y especialidad]],#REF!,Planning[[#This Row],[Proyectos]]))</f>
        <v>#REF!</v>
      </c>
      <c r="K3513" s="5" t="e">
        <f>Planning[[#This Row],[Horas Planificadas]]+Planning[[#This Row],[Horas ajustadas adicionales]]-Planning[[#This Row],[Horas utilizadas]]</f>
        <v>#REF!</v>
      </c>
      <c r="L3513" s="7"/>
      <c r="M3513" s="19" t="e">
        <f>Planning[[#This Row],[Saldo]]-Planning[[#This Row],[Saldo estimado]]</f>
        <v>#REF!</v>
      </c>
      <c r="N3513" s="60" t="e">
        <f>+SUMIFS(#REF!,#REF!,Planning[[#This Row],[Proyectos]],#REF!,Planning[[#This Row],[Tipo de Tarea y especialidad]])</f>
        <v>#REF!</v>
      </c>
      <c r="O3513" s="19">
        <f t="shared" si="108"/>
        <v>10</v>
      </c>
      <c r="P3513" s="19">
        <f t="shared" si="109"/>
        <v>2024</v>
      </c>
      <c r="Q35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13" s="19" t="str">
        <f>TEXT(Planning[[#This Row],[Mes]]*29,"mmmm")</f>
        <v>October</v>
      </c>
      <c r="S35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13" s="193"/>
      <c r="U3513" s="43">
        <f>IF(Planning[[#This Row],[Horas Planificadas]]&lt;&gt;0,+K3513/Planning[[#This Row],[Horas Planificadas]],0)</f>
        <v>0</v>
      </c>
      <c r="V3513" s="43">
        <f>IF(Planning[[#This Row],[Horas Planificadas]]&lt;&gt;0,Planning[[#This Row],[Horas utilizadas]]/Planning[[#This Row],[Horas Planificadas]],0)</f>
        <v>0</v>
      </c>
      <c r="W3513" s="44">
        <f>Planning[[#This Row],[Horas Planificadas]]+Planning[[#This Row],[Horas ajustadas adicionales]]</f>
        <v>0</v>
      </c>
      <c r="X3513" s="142"/>
    </row>
    <row r="3514" spans="1:24" x14ac:dyDescent="0.2">
      <c r="A3514" s="7" t="s">
        <v>389</v>
      </c>
      <c r="B3514" s="7" t="s">
        <v>118</v>
      </c>
      <c r="C3514" s="3"/>
      <c r="D3514" s="3" t="s">
        <v>639</v>
      </c>
      <c r="E3514" s="4"/>
      <c r="F3514" s="3" t="s">
        <v>125</v>
      </c>
      <c r="G3514" s="9"/>
      <c r="H3514" s="9">
        <v>81</v>
      </c>
      <c r="I3514" s="12"/>
      <c r="J3514" s="5" t="e">
        <f>SUM(SUMIFS(#REF!,#REF!,Planning[[#This Row],[Tipo de Tarea y especialidad]],#REF!,Planning[[#This Row],[Proyectos Reiwa]]),SUMIFS(#REF!,#REF!,Planning[[#This Row],[Tipo de Tarea y especialidad]],#REF!,Planning[[#This Row],[Proyectos]]))</f>
        <v>#REF!</v>
      </c>
      <c r="K3514" s="5" t="e">
        <f>Planning[[#This Row],[Horas Planificadas]]+Planning[[#This Row],[Horas ajustadas adicionales]]-Planning[[#This Row],[Horas utilizadas]]</f>
        <v>#REF!</v>
      </c>
      <c r="L3514" s="7">
        <v>18</v>
      </c>
      <c r="M3514" s="19" t="e">
        <f>Planning[[#This Row],[Saldo]]-Planning[[#This Row],[Saldo estimado]]</f>
        <v>#REF!</v>
      </c>
      <c r="N3514" s="60" t="e">
        <f>+SUMIFS(#REF!,#REF!,Planning[[#This Row],[Proyectos]],#REF!,Planning[[#This Row],[Tipo de Tarea y especialidad]])</f>
        <v>#REF!</v>
      </c>
      <c r="O3514" s="19">
        <f t="shared" si="108"/>
        <v>10</v>
      </c>
      <c r="P3514" s="19">
        <f t="shared" si="109"/>
        <v>2024</v>
      </c>
      <c r="Q35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14" s="19" t="str">
        <f>TEXT(Planning[[#This Row],[Mes]]*29,"mmmm")</f>
        <v>October</v>
      </c>
      <c r="S35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14" s="193"/>
      <c r="U3514" s="43" t="e">
        <f>IF(Planning[[#This Row],[Horas Planificadas]]&lt;&gt;0,+K3514/Planning[[#This Row],[Horas Planificadas]],0)</f>
        <v>#REF!</v>
      </c>
      <c r="V3514" s="43" t="e">
        <f>IF(Planning[[#This Row],[Horas Planificadas]]&lt;&gt;0,Planning[[#This Row],[Horas utilizadas]]/Planning[[#This Row],[Horas Planificadas]],0)</f>
        <v>#REF!</v>
      </c>
      <c r="W3514" s="44">
        <f>Planning[[#This Row],[Horas Planificadas]]+Planning[[#This Row],[Horas ajustadas adicionales]]</f>
        <v>81</v>
      </c>
      <c r="X3514" s="142"/>
    </row>
    <row r="3515" spans="1:24" x14ac:dyDescent="0.2">
      <c r="A3515" s="7" t="s">
        <v>389</v>
      </c>
      <c r="B3515" s="7" t="s">
        <v>118</v>
      </c>
      <c r="C3515" s="3"/>
      <c r="D3515" s="3" t="s">
        <v>639</v>
      </c>
      <c r="E3515" s="4"/>
      <c r="F3515" s="3" t="s">
        <v>126</v>
      </c>
      <c r="G3515" s="9"/>
      <c r="H3515" s="9">
        <v>36</v>
      </c>
      <c r="I3515" s="12"/>
      <c r="J3515" s="5" t="e">
        <f>SUM(SUMIFS(#REF!,#REF!,Planning[[#This Row],[Tipo de Tarea y especialidad]],#REF!,Planning[[#This Row],[Proyectos Reiwa]]),SUMIFS(#REF!,#REF!,Planning[[#This Row],[Tipo de Tarea y especialidad]],#REF!,Planning[[#This Row],[Proyectos]]))</f>
        <v>#REF!</v>
      </c>
      <c r="K3515" s="5" t="e">
        <f>Planning[[#This Row],[Horas Planificadas]]+Planning[[#This Row],[Horas ajustadas adicionales]]-Planning[[#This Row],[Horas utilizadas]]</f>
        <v>#REF!</v>
      </c>
      <c r="L3515" s="7">
        <v>0</v>
      </c>
      <c r="M3515" s="19" t="e">
        <f>Planning[[#This Row],[Saldo]]-Planning[[#This Row],[Saldo estimado]]</f>
        <v>#REF!</v>
      </c>
      <c r="N3515" s="60" t="e">
        <f>+SUMIFS(#REF!,#REF!,Planning[[#This Row],[Proyectos]],#REF!,Planning[[#This Row],[Tipo de Tarea y especialidad]])</f>
        <v>#REF!</v>
      </c>
      <c r="O3515" s="19">
        <f t="shared" si="108"/>
        <v>10</v>
      </c>
      <c r="P3515" s="19">
        <f t="shared" si="109"/>
        <v>2024</v>
      </c>
      <c r="Q35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15" s="19" t="str">
        <f>TEXT(Planning[[#This Row],[Mes]]*29,"mmmm")</f>
        <v>October</v>
      </c>
      <c r="S35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15" s="193"/>
      <c r="U3515" s="43" t="e">
        <f>IF(Planning[[#This Row],[Horas Planificadas]]&lt;&gt;0,+K3515/Planning[[#This Row],[Horas Planificadas]],0)</f>
        <v>#REF!</v>
      </c>
      <c r="V3515" s="43" t="e">
        <f>IF(Planning[[#This Row],[Horas Planificadas]]&lt;&gt;0,Planning[[#This Row],[Horas utilizadas]]/Planning[[#This Row],[Horas Planificadas]],0)</f>
        <v>#REF!</v>
      </c>
      <c r="W3515" s="44">
        <f>Planning[[#This Row],[Horas Planificadas]]+Planning[[#This Row],[Horas ajustadas adicionales]]</f>
        <v>36</v>
      </c>
      <c r="X3515" s="142"/>
    </row>
    <row r="3516" spans="1:24" x14ac:dyDescent="0.2">
      <c r="A3516" s="7" t="s">
        <v>389</v>
      </c>
      <c r="B3516" s="7" t="s">
        <v>118</v>
      </c>
      <c r="C3516" s="3"/>
      <c r="D3516" s="3" t="s">
        <v>639</v>
      </c>
      <c r="E3516" s="4"/>
      <c r="F3516" s="3" t="s">
        <v>127</v>
      </c>
      <c r="G3516" s="9"/>
      <c r="H3516" s="9"/>
      <c r="I3516" s="12"/>
      <c r="J3516" s="5" t="e">
        <f>SUM(SUMIFS(#REF!,#REF!,Planning[[#This Row],[Tipo de Tarea y especialidad]],#REF!,Planning[[#This Row],[Proyectos Reiwa]]),SUMIFS(#REF!,#REF!,Planning[[#This Row],[Tipo de Tarea y especialidad]],#REF!,Planning[[#This Row],[Proyectos]]))</f>
        <v>#REF!</v>
      </c>
      <c r="K3516" s="5" t="e">
        <f>Planning[[#This Row],[Horas Planificadas]]+Planning[[#This Row],[Horas ajustadas adicionales]]-Planning[[#This Row],[Horas utilizadas]]</f>
        <v>#REF!</v>
      </c>
      <c r="L3516" s="7"/>
      <c r="M3516" s="19" t="e">
        <f>Planning[[#This Row],[Saldo]]-Planning[[#This Row],[Saldo estimado]]</f>
        <v>#REF!</v>
      </c>
      <c r="N3516" s="60" t="e">
        <f>+SUMIFS(#REF!,#REF!,Planning[[#This Row],[Proyectos]],#REF!,Planning[[#This Row],[Tipo de Tarea y especialidad]])</f>
        <v>#REF!</v>
      </c>
      <c r="O3516" s="19">
        <f t="shared" si="108"/>
        <v>10</v>
      </c>
      <c r="P3516" s="19">
        <f t="shared" si="109"/>
        <v>2024</v>
      </c>
      <c r="Q35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16" s="19" t="str">
        <f>TEXT(Planning[[#This Row],[Mes]]*29,"mmmm")</f>
        <v>October</v>
      </c>
      <c r="S35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16" s="193"/>
      <c r="U3516" s="43">
        <f>IF(Planning[[#This Row],[Horas Planificadas]]&lt;&gt;0,+K3516/Planning[[#This Row],[Horas Planificadas]],0)</f>
        <v>0</v>
      </c>
      <c r="V3516" s="43">
        <f>IF(Planning[[#This Row],[Horas Planificadas]]&lt;&gt;0,Planning[[#This Row],[Horas utilizadas]]/Planning[[#This Row],[Horas Planificadas]],0)</f>
        <v>0</v>
      </c>
      <c r="W3516" s="44">
        <f>Planning[[#This Row],[Horas Planificadas]]+Planning[[#This Row],[Horas ajustadas adicionales]]</f>
        <v>0</v>
      </c>
      <c r="X3516" s="142"/>
    </row>
    <row r="3517" spans="1:24" x14ac:dyDescent="0.2">
      <c r="A3517" s="7" t="s">
        <v>389</v>
      </c>
      <c r="B3517" s="7" t="s">
        <v>118</v>
      </c>
      <c r="C3517" s="3"/>
      <c r="D3517" s="3" t="s">
        <v>639</v>
      </c>
      <c r="E3517" s="4"/>
      <c r="F3517" s="3" t="s">
        <v>128</v>
      </c>
      <c r="G3517" s="9"/>
      <c r="H3517" s="9"/>
      <c r="I3517" s="12"/>
      <c r="J3517" s="5" t="e">
        <f>SUM(SUMIFS(#REF!,#REF!,Planning[[#This Row],[Tipo de Tarea y especialidad]],#REF!,Planning[[#This Row],[Proyectos Reiwa]]),SUMIFS(#REF!,#REF!,Planning[[#This Row],[Tipo de Tarea y especialidad]],#REF!,Planning[[#This Row],[Proyectos]]))</f>
        <v>#REF!</v>
      </c>
      <c r="K3517" s="5" t="e">
        <f>Planning[[#This Row],[Horas Planificadas]]+Planning[[#This Row],[Horas ajustadas adicionales]]-Planning[[#This Row],[Horas utilizadas]]</f>
        <v>#REF!</v>
      </c>
      <c r="L3517" s="7"/>
      <c r="M3517" s="19" t="e">
        <f>Planning[[#This Row],[Saldo]]-Planning[[#This Row],[Saldo estimado]]</f>
        <v>#REF!</v>
      </c>
      <c r="N3517" s="60" t="e">
        <f>+SUMIFS(#REF!,#REF!,Planning[[#This Row],[Proyectos]],#REF!,Planning[[#This Row],[Tipo de Tarea y especialidad]])</f>
        <v>#REF!</v>
      </c>
      <c r="O3517" s="19">
        <f t="shared" si="108"/>
        <v>10</v>
      </c>
      <c r="P3517" s="19">
        <f t="shared" si="109"/>
        <v>2024</v>
      </c>
      <c r="Q35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17" s="19" t="str">
        <f>TEXT(Planning[[#This Row],[Mes]]*29,"mmmm")</f>
        <v>October</v>
      </c>
      <c r="S35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17" s="193"/>
      <c r="U3517" s="43">
        <f>IF(Planning[[#This Row],[Horas Planificadas]]&lt;&gt;0,+K3517/Planning[[#This Row],[Horas Planificadas]],0)</f>
        <v>0</v>
      </c>
      <c r="V3517" s="43">
        <f>IF(Planning[[#This Row],[Horas Planificadas]]&lt;&gt;0,Planning[[#This Row],[Horas utilizadas]]/Planning[[#This Row],[Horas Planificadas]],0)</f>
        <v>0</v>
      </c>
      <c r="W3517" s="44">
        <f>Planning[[#This Row],[Horas Planificadas]]+Planning[[#This Row],[Horas ajustadas adicionales]]</f>
        <v>0</v>
      </c>
      <c r="X3517" s="142"/>
    </row>
    <row r="3518" spans="1:24" x14ac:dyDescent="0.2">
      <c r="A3518" s="7" t="s">
        <v>389</v>
      </c>
      <c r="B3518" s="7" t="s">
        <v>118</v>
      </c>
      <c r="C3518" s="3"/>
      <c r="D3518" s="3" t="s">
        <v>639</v>
      </c>
      <c r="E3518" s="4" t="s">
        <v>31</v>
      </c>
      <c r="F3518" s="3" t="s">
        <v>31</v>
      </c>
      <c r="G3518" s="9">
        <v>54</v>
      </c>
      <c r="H3518" s="17">
        <f>Planning[[#This Row],[Horas Precálculo]]</f>
        <v>54</v>
      </c>
      <c r="I3518" s="18"/>
      <c r="J3518" s="14" t="e">
        <f>+SUMIFS(#REF!,#REF!,Planning[[#This Row],[Tarifa]],#REF!,Planning[[#This Row],[Proyectos]])</f>
        <v>#REF!</v>
      </c>
      <c r="K3518" s="14" t="e">
        <f>Planning[[#This Row],[Horas Planificadas]]+Planning[[#This Row],[Horas ajustadas adicionales]]-Planning[[#This Row],[Horas utilizadas]]</f>
        <v>#REF!</v>
      </c>
      <c r="L3518" s="15">
        <v>0</v>
      </c>
      <c r="M3518" s="16" t="e">
        <f>Planning[[#This Row],[Saldo]]-Planning[[#This Row],[Saldo estimado]]</f>
        <v>#REF!</v>
      </c>
      <c r="N3518" s="60" t="e">
        <f>+SUMIFS(#REF!,#REF!,Planning[[#This Row],[Proyectos]],#REF!,Planning[[#This Row],[Tipo de Tarea y especialidad]])</f>
        <v>#REF!</v>
      </c>
      <c r="O3518" s="16">
        <f t="shared" si="108"/>
        <v>10</v>
      </c>
      <c r="P3518" s="16">
        <f t="shared" si="109"/>
        <v>2024</v>
      </c>
      <c r="Q3518" s="16" t="e">
        <f>+SUMIFS(#REF!,#REF!,Planning[[#This Row],[Tarifa]],#REF!,Planning[[#This Row],[Proyectos]],#REF!,Planning[[#This Row],[Mes]],#REF!,Planning[[#This Row],[Año]])</f>
        <v>#REF!</v>
      </c>
      <c r="R3518" s="16" t="str">
        <f>TEXT(Planning[[#This Row],[Mes]]*29,"mmmm")</f>
        <v>October</v>
      </c>
      <c r="S35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18" s="193"/>
      <c r="U3518" s="43" t="e">
        <f>IF(Planning[[#This Row],[Horas Planificadas]]&lt;&gt;0,+K3518/Planning[[#This Row],[Horas Planificadas]],0)</f>
        <v>#REF!</v>
      </c>
      <c r="V3518" s="43" t="e">
        <f>IF(Planning[[#This Row],[Horas Planificadas]]&lt;&gt;0,Planning[[#This Row],[Horas utilizadas]]/Planning[[#This Row],[Horas Planificadas]],0)</f>
        <v>#REF!</v>
      </c>
      <c r="W3518" s="44">
        <f>Planning[[#This Row],[Horas Planificadas]]+Planning[[#This Row],[Horas ajustadas adicionales]]</f>
        <v>54</v>
      </c>
      <c r="X3518" s="142"/>
    </row>
    <row r="3519" spans="1:24" ht="22.5" x14ac:dyDescent="0.2">
      <c r="A3519" s="7" t="s">
        <v>389</v>
      </c>
      <c r="B3519" s="7" t="s">
        <v>118</v>
      </c>
      <c r="C3519" s="3"/>
      <c r="D3519" s="3" t="s">
        <v>639</v>
      </c>
      <c r="E3519" s="4" t="s">
        <v>32</v>
      </c>
      <c r="F3519" s="3"/>
      <c r="G3519" s="9">
        <v>39</v>
      </c>
      <c r="H3519" s="14">
        <f>SUM(H3520:H3522)</f>
        <v>39</v>
      </c>
      <c r="I3519" s="14"/>
      <c r="J3519" s="14" t="e">
        <f>SUM(J3520:J3522)</f>
        <v>#REF!</v>
      </c>
      <c r="K3519" s="15" t="e">
        <f>SUM(K3520:K3522)</f>
        <v>#REF!</v>
      </c>
      <c r="L3519" s="15">
        <f>SUM(L3520:L3522)</f>
        <v>39</v>
      </c>
      <c r="M3519" s="16" t="e">
        <f>SUM(M3520:M3522)</f>
        <v>#REF!</v>
      </c>
      <c r="N3519" s="60" t="e">
        <f>+SUMIFS(#REF!,#REF!,Planning[[#This Row],[Proyectos]],#REF!,Planning[[#This Row],[Tipo de Tarea y especialidad]])</f>
        <v>#REF!</v>
      </c>
      <c r="O3519" s="16">
        <f t="shared" si="108"/>
        <v>10</v>
      </c>
      <c r="P3519" s="16">
        <f t="shared" si="109"/>
        <v>2024</v>
      </c>
      <c r="Q3519" s="16" t="e">
        <f>SUM(Q3520:Q3522)</f>
        <v>#REF!</v>
      </c>
      <c r="R3519" s="16" t="str">
        <f>TEXT(Planning[[#This Row],[Mes]]*29,"mmmm")</f>
        <v>October</v>
      </c>
      <c r="S35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19" s="193"/>
      <c r="U3519" s="43" t="e">
        <f>IF(Planning[[#This Row],[Horas Planificadas]]&lt;&gt;0,+K3519/Planning[[#This Row],[Horas Planificadas]],0)</f>
        <v>#REF!</v>
      </c>
      <c r="V3519" s="43" t="e">
        <f>IF(Planning[[#This Row],[Horas Planificadas]]&lt;&gt;0,Planning[[#This Row],[Horas utilizadas]]/Planning[[#This Row],[Horas Planificadas]],0)</f>
        <v>#REF!</v>
      </c>
      <c r="W3519" s="44">
        <f>Planning[[#This Row],[Horas Planificadas]]+Planning[[#This Row],[Horas ajustadas adicionales]]</f>
        <v>39</v>
      </c>
      <c r="X3519" s="142"/>
    </row>
    <row r="3520" spans="1:24" x14ac:dyDescent="0.2">
      <c r="A3520" s="7" t="s">
        <v>389</v>
      </c>
      <c r="B3520" s="7" t="s">
        <v>118</v>
      </c>
      <c r="C3520" s="3"/>
      <c r="D3520" s="3" t="s">
        <v>639</v>
      </c>
      <c r="E3520" s="4"/>
      <c r="F3520" s="3" t="s">
        <v>129</v>
      </c>
      <c r="G3520" s="9"/>
      <c r="H3520" s="9">
        <v>39</v>
      </c>
      <c r="I3520" s="12"/>
      <c r="J3520" s="5" t="e">
        <f>SUM(SUMIFS(#REF!,#REF!,Planning[[#This Row],[Tipo de Tarea y especialidad]],#REF!,Planning[[#This Row],[Proyectos Reiwa]]),SUMIFS(#REF!,#REF!,Planning[[#This Row],[Tipo de Tarea y especialidad]],#REF!,Planning[[#This Row],[Proyectos]]))</f>
        <v>#REF!</v>
      </c>
      <c r="K3520" s="5" t="e">
        <f>Planning[[#This Row],[Horas Planificadas]]+Planning[[#This Row],[Horas ajustadas adicionales]]-Planning[[#This Row],[Horas utilizadas]]</f>
        <v>#REF!</v>
      </c>
      <c r="L3520" s="7">
        <v>39</v>
      </c>
      <c r="M3520" s="19" t="e">
        <f>Planning[[#This Row],[Saldo]]-Planning[[#This Row],[Saldo estimado]]</f>
        <v>#REF!</v>
      </c>
      <c r="N3520" s="60" t="e">
        <f>+SUMIFS(#REF!,#REF!,Planning[[#This Row],[Proyectos]],#REF!,Planning[[#This Row],[Tipo de Tarea y especialidad]])</f>
        <v>#REF!</v>
      </c>
      <c r="O3520" s="19">
        <f t="shared" si="108"/>
        <v>10</v>
      </c>
      <c r="P3520" s="19">
        <f t="shared" si="109"/>
        <v>2024</v>
      </c>
      <c r="Q35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20" s="19" t="str">
        <f>TEXT(Planning[[#This Row],[Mes]]*29,"mmmm")</f>
        <v>October</v>
      </c>
      <c r="S35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20" s="193"/>
      <c r="U3520" s="43" t="e">
        <f>IF(Planning[[#This Row],[Horas Planificadas]]&lt;&gt;0,+K3520/Planning[[#This Row],[Horas Planificadas]],0)</f>
        <v>#REF!</v>
      </c>
      <c r="V3520" s="43" t="e">
        <f>IF(Planning[[#This Row],[Horas Planificadas]]&lt;&gt;0,Planning[[#This Row],[Horas utilizadas]]/Planning[[#This Row],[Horas Planificadas]],0)</f>
        <v>#REF!</v>
      </c>
      <c r="W3520" s="44">
        <f>Planning[[#This Row],[Horas Planificadas]]+Planning[[#This Row],[Horas ajustadas adicionales]]</f>
        <v>39</v>
      </c>
      <c r="X3520" s="142"/>
    </row>
    <row r="3521" spans="1:24" x14ac:dyDescent="0.2">
      <c r="A3521" s="7" t="s">
        <v>389</v>
      </c>
      <c r="B3521" s="7" t="s">
        <v>118</v>
      </c>
      <c r="C3521" s="3"/>
      <c r="D3521" s="3" t="s">
        <v>639</v>
      </c>
      <c r="E3521" s="4"/>
      <c r="F3521" s="3" t="s">
        <v>130</v>
      </c>
      <c r="G3521" s="9"/>
      <c r="H3521" s="9"/>
      <c r="I3521" s="12"/>
      <c r="J3521" s="5" t="e">
        <f>SUM(SUMIFS(#REF!,#REF!,Planning[[#This Row],[Tipo de Tarea y especialidad]],#REF!,Planning[[#This Row],[Proyectos Reiwa]]),SUMIFS(#REF!,#REF!,Planning[[#This Row],[Tipo de Tarea y especialidad]],#REF!,Planning[[#This Row],[Proyectos]]))</f>
        <v>#REF!</v>
      </c>
      <c r="K3521" s="5" t="e">
        <f>Planning[[#This Row],[Horas Planificadas]]+Planning[[#This Row],[Horas ajustadas adicionales]]-Planning[[#This Row],[Horas utilizadas]]</f>
        <v>#REF!</v>
      </c>
      <c r="L3521" s="7"/>
      <c r="M3521" s="19" t="e">
        <f>Planning[[#This Row],[Saldo]]-Planning[[#This Row],[Saldo estimado]]</f>
        <v>#REF!</v>
      </c>
      <c r="N3521" s="60" t="e">
        <f>+SUMIFS(#REF!,#REF!,Planning[[#This Row],[Proyectos]],#REF!,Planning[[#This Row],[Tipo de Tarea y especialidad]])</f>
        <v>#REF!</v>
      </c>
      <c r="O3521" s="19">
        <f t="shared" si="108"/>
        <v>10</v>
      </c>
      <c r="P3521" s="19">
        <f t="shared" si="109"/>
        <v>2024</v>
      </c>
      <c r="Q35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21" s="19" t="str">
        <f>TEXT(Planning[[#This Row],[Mes]]*29,"mmmm")</f>
        <v>October</v>
      </c>
      <c r="S35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21" s="193"/>
      <c r="U3521" s="43">
        <f>IF(Planning[[#This Row],[Horas Planificadas]]&lt;&gt;0,+K3521/Planning[[#This Row],[Horas Planificadas]],0)</f>
        <v>0</v>
      </c>
      <c r="V3521" s="43">
        <f>IF(Planning[[#This Row],[Horas Planificadas]]&lt;&gt;0,Planning[[#This Row],[Horas utilizadas]]/Planning[[#This Row],[Horas Planificadas]],0)</f>
        <v>0</v>
      </c>
      <c r="W3521" s="44">
        <f>Planning[[#This Row],[Horas Planificadas]]+Planning[[#This Row],[Horas ajustadas adicionales]]</f>
        <v>0</v>
      </c>
      <c r="X3521" s="142"/>
    </row>
    <row r="3522" spans="1:24" x14ac:dyDescent="0.2">
      <c r="A3522" s="7" t="s">
        <v>389</v>
      </c>
      <c r="B3522" s="7" t="s">
        <v>118</v>
      </c>
      <c r="C3522" s="3"/>
      <c r="D3522" s="3" t="s">
        <v>639</v>
      </c>
      <c r="E3522" s="4"/>
      <c r="F3522" s="3" t="s">
        <v>131</v>
      </c>
      <c r="G3522" s="9"/>
      <c r="H3522" s="9"/>
      <c r="I3522" s="12"/>
      <c r="J3522" s="5" t="e">
        <f>SUM(SUMIFS(#REF!,#REF!,Planning[[#This Row],[Tipo de Tarea y especialidad]],#REF!,Planning[[#This Row],[Proyectos Reiwa]]),SUMIFS(#REF!,#REF!,Planning[[#This Row],[Tipo de Tarea y especialidad]],#REF!,Planning[[#This Row],[Proyectos]]))</f>
        <v>#REF!</v>
      </c>
      <c r="K3522" s="5" t="e">
        <f>Planning[[#This Row],[Horas Planificadas]]+Planning[[#This Row],[Horas ajustadas adicionales]]-Planning[[#This Row],[Horas utilizadas]]</f>
        <v>#REF!</v>
      </c>
      <c r="L3522" s="7"/>
      <c r="M3522" s="19" t="e">
        <f>Planning[[#This Row],[Saldo]]-Planning[[#This Row],[Saldo estimado]]</f>
        <v>#REF!</v>
      </c>
      <c r="N3522" s="60" t="e">
        <f>+SUMIFS(#REF!,#REF!,Planning[[#This Row],[Proyectos]],#REF!,Planning[[#This Row],[Tipo de Tarea y especialidad]])</f>
        <v>#REF!</v>
      </c>
      <c r="O3522" s="19">
        <f t="shared" si="108"/>
        <v>10</v>
      </c>
      <c r="P3522" s="19">
        <f t="shared" si="109"/>
        <v>2024</v>
      </c>
      <c r="Q35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22" s="19" t="str">
        <f>TEXT(Planning[[#This Row],[Mes]]*29,"mmmm")</f>
        <v>October</v>
      </c>
      <c r="S35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22" s="193"/>
      <c r="U3522" s="43">
        <f>IF(Planning[[#This Row],[Horas Planificadas]]&lt;&gt;0,+K3522/Planning[[#This Row],[Horas Planificadas]],0)</f>
        <v>0</v>
      </c>
      <c r="V3522" s="43">
        <f>IF(Planning[[#This Row],[Horas Planificadas]]&lt;&gt;0,Planning[[#This Row],[Horas utilizadas]]/Planning[[#This Row],[Horas Planificadas]],0)</f>
        <v>0</v>
      </c>
      <c r="W3522" s="44">
        <f>Planning[[#This Row],[Horas Planificadas]]+Planning[[#This Row],[Horas ajustadas adicionales]]</f>
        <v>0</v>
      </c>
      <c r="X3522" s="142"/>
    </row>
    <row r="3523" spans="1:24" ht="12.75" customHeight="1" x14ac:dyDescent="0.2">
      <c r="A3523" s="7" t="s">
        <v>294</v>
      </c>
      <c r="B3523" s="7" t="s">
        <v>205</v>
      </c>
      <c r="C3523" s="3"/>
      <c r="D3523" s="3" t="s">
        <v>641</v>
      </c>
      <c r="E3523" s="4" t="s">
        <v>28</v>
      </c>
      <c r="F3523" s="3"/>
      <c r="G3523" s="9">
        <v>212</v>
      </c>
      <c r="H3523" s="14">
        <f>SUBTOTAL(9,H3524:H3525)</f>
        <v>260</v>
      </c>
      <c r="I3523" s="14"/>
      <c r="J3523" s="14" t="e">
        <f>SUM(J3524:J3525)</f>
        <v>#REF!</v>
      </c>
      <c r="K3523" s="18" t="e">
        <f>SUM(K3524:K3525)</f>
        <v>#REF!</v>
      </c>
      <c r="L3523" s="15">
        <f>SUM(L3524:L3525)</f>
        <v>0</v>
      </c>
      <c r="M3523" s="14" t="e">
        <f>SUM(M3524:M3525)</f>
        <v>#REF!</v>
      </c>
      <c r="N3523" s="66" t="e">
        <f>+SUMIFS(#REF!,#REF!,Planning[[#This Row],[Proyectos]],#REF!,Planning[[#This Row],[Tipo de Tarea y especialidad]])</f>
        <v>#REF!</v>
      </c>
      <c r="O3523" s="14">
        <f t="shared" si="108"/>
        <v>10</v>
      </c>
      <c r="P3523" s="14">
        <f t="shared" si="109"/>
        <v>2024</v>
      </c>
      <c r="Q3523" s="28" t="e">
        <f>SUM(Q3524:Q3525)</f>
        <v>#REF!</v>
      </c>
      <c r="R3523" s="28" t="str">
        <f>TEXT(Planning[[#This Row],[Mes]]*29,"mmmm")</f>
        <v>October</v>
      </c>
      <c r="S35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23" s="192" t="s">
        <v>642</v>
      </c>
      <c r="U3523" s="43" t="e">
        <f>IF(Planning[[#This Row],[Horas Planificadas]]&lt;&gt;0,+K3523/Planning[[#This Row],[Horas Planificadas]],0)</f>
        <v>#REF!</v>
      </c>
      <c r="V3523" s="43" t="e">
        <f>IF(Planning[[#This Row],[Horas Planificadas]]&lt;&gt;0,Planning[[#This Row],[Horas utilizadas]]/Planning[[#This Row],[Horas Planificadas]],0)</f>
        <v>#REF!</v>
      </c>
      <c r="W3523" s="44">
        <f>Planning[[#This Row],[Horas Planificadas]]+Planning[[#This Row],[Horas ajustadas adicionales]]</f>
        <v>260</v>
      </c>
      <c r="X3523" s="142"/>
    </row>
    <row r="3524" spans="1:24" x14ac:dyDescent="0.2">
      <c r="A3524" s="7" t="s">
        <v>294</v>
      </c>
      <c r="B3524" s="7" t="s">
        <v>205</v>
      </c>
      <c r="C3524" s="3"/>
      <c r="D3524" s="3" t="s">
        <v>641</v>
      </c>
      <c r="E3524" s="4"/>
      <c r="F3524" s="3" t="s">
        <v>120</v>
      </c>
      <c r="G3524" s="9"/>
      <c r="H3524" s="9">
        <f>150+30</f>
        <v>180</v>
      </c>
      <c r="I3524" s="12"/>
      <c r="J3524" s="5" t="e">
        <f>SUM(SUMIFS(#REF!,#REF!,Planning[[#This Row],[Tipo de Tarea y especialidad]],#REF!,Planning[[#This Row],[Proyectos Reiwa]]),SUMIFS(#REF!,#REF!,Planning[[#This Row],[Tipo de Tarea y especialidad]],#REF!,Planning[[#This Row],[Proyectos]]))</f>
        <v>#REF!</v>
      </c>
      <c r="K3524" s="5" t="e">
        <f>Planning[[#This Row],[Horas Planificadas]]+Planning[[#This Row],[Horas ajustadas adicionales]]-Planning[[#This Row],[Horas utilizadas]]</f>
        <v>#REF!</v>
      </c>
      <c r="L3524" s="7">
        <v>0</v>
      </c>
      <c r="M3524" s="19" t="e">
        <f>Planning[[#This Row],[Saldo]]-Planning[[#This Row],[Saldo estimado]]</f>
        <v>#REF!</v>
      </c>
      <c r="N3524" s="60" t="e">
        <f>+SUMIFS(#REF!,#REF!,Planning[[#This Row],[Proyectos]],#REF!,Planning[[#This Row],[Tipo de Tarea y especialidad]])</f>
        <v>#REF!</v>
      </c>
      <c r="O3524" s="19">
        <f t="shared" si="108"/>
        <v>10</v>
      </c>
      <c r="P3524" s="19">
        <f t="shared" si="109"/>
        <v>2024</v>
      </c>
      <c r="Q35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24" s="19" t="str">
        <f>TEXT(Planning[[#This Row],[Mes]]*29,"mmmm")</f>
        <v>October</v>
      </c>
      <c r="S35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24" s="193"/>
      <c r="U3524" s="43" t="e">
        <f>IF(Planning[[#This Row],[Horas Planificadas]]&lt;&gt;0,+K3524/Planning[[#This Row],[Horas Planificadas]],0)</f>
        <v>#REF!</v>
      </c>
      <c r="V3524" s="43" t="e">
        <f>IF(Planning[[#This Row],[Horas Planificadas]]&lt;&gt;0,Planning[[#This Row],[Horas utilizadas]]/Planning[[#This Row],[Horas Planificadas]],0)</f>
        <v>#REF!</v>
      </c>
      <c r="W3524" s="44">
        <f>Planning[[#This Row],[Horas Planificadas]]+Planning[[#This Row],[Horas ajustadas adicionales]]</f>
        <v>180</v>
      </c>
      <c r="X3524" s="142"/>
    </row>
    <row r="3525" spans="1:24" x14ac:dyDescent="0.2">
      <c r="A3525" s="7" t="s">
        <v>294</v>
      </c>
      <c r="B3525" s="7" t="s">
        <v>205</v>
      </c>
      <c r="C3525" s="3"/>
      <c r="D3525" s="3" t="s">
        <v>641</v>
      </c>
      <c r="E3525" s="4"/>
      <c r="F3525" s="3" t="s">
        <v>121</v>
      </c>
      <c r="G3525" s="9"/>
      <c r="H3525" s="9">
        <f>62+18</f>
        <v>80</v>
      </c>
      <c r="I3525" s="12"/>
      <c r="J3525" s="5" t="e">
        <f>SUM(SUMIFS(#REF!,#REF!,Planning[[#This Row],[Tipo de Tarea y especialidad]],#REF!,Planning[[#This Row],[Proyectos Reiwa]]),SUMIFS(#REF!,#REF!,Planning[[#This Row],[Tipo de Tarea y especialidad]],#REF!,Planning[[#This Row],[Proyectos]]))</f>
        <v>#REF!</v>
      </c>
      <c r="K3525" s="5" t="e">
        <f>Planning[[#This Row],[Horas Planificadas]]+Planning[[#This Row],[Horas ajustadas adicionales]]-Planning[[#This Row],[Horas utilizadas]]</f>
        <v>#REF!</v>
      </c>
      <c r="L3525" s="7">
        <v>0</v>
      </c>
      <c r="M3525" s="19" t="e">
        <f>Planning[[#This Row],[Saldo]]-Planning[[#This Row],[Saldo estimado]]</f>
        <v>#REF!</v>
      </c>
      <c r="N3525" s="60" t="e">
        <f>+SUMIFS(#REF!,#REF!,Planning[[#This Row],[Proyectos]],#REF!,Planning[[#This Row],[Tipo de Tarea y especialidad]])</f>
        <v>#REF!</v>
      </c>
      <c r="O3525" s="19">
        <f t="shared" si="108"/>
        <v>10</v>
      </c>
      <c r="P3525" s="19">
        <f t="shared" si="109"/>
        <v>2024</v>
      </c>
      <c r="Q35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25" s="19" t="str">
        <f>TEXT(Planning[[#This Row],[Mes]]*29,"mmmm")</f>
        <v>October</v>
      </c>
      <c r="S35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25" s="193"/>
      <c r="U3525" s="43" t="e">
        <f>IF(Planning[[#This Row],[Horas Planificadas]]&lt;&gt;0,+K3525/Planning[[#This Row],[Horas Planificadas]],0)</f>
        <v>#REF!</v>
      </c>
      <c r="V3525" s="43" t="e">
        <f>IF(Planning[[#This Row],[Horas Planificadas]]&lt;&gt;0,Planning[[#This Row],[Horas utilizadas]]/Planning[[#This Row],[Horas Planificadas]],0)</f>
        <v>#REF!</v>
      </c>
      <c r="W3525" s="44">
        <f>Planning[[#This Row],[Horas Planificadas]]+Planning[[#This Row],[Horas ajustadas adicionales]]</f>
        <v>80</v>
      </c>
      <c r="X3525" s="142"/>
    </row>
    <row r="3526" spans="1:24" x14ac:dyDescent="0.2">
      <c r="A3526" s="7" t="s">
        <v>294</v>
      </c>
      <c r="B3526" s="7" t="s">
        <v>205</v>
      </c>
      <c r="C3526" s="3"/>
      <c r="D3526" s="3" t="s">
        <v>641</v>
      </c>
      <c r="E3526" s="4" t="s">
        <v>30</v>
      </c>
      <c r="F3526" s="3"/>
      <c r="G3526" s="9">
        <v>213</v>
      </c>
      <c r="H3526" s="14">
        <f>SUBTOTAL(9,H3527:H3533)</f>
        <v>258</v>
      </c>
      <c r="I3526" s="14"/>
      <c r="J3526" s="14" t="e">
        <f>SUM(J3527:J3533)</f>
        <v>#REF!</v>
      </c>
      <c r="K3526" s="18" t="e">
        <f>SUM(K3527:K3533)</f>
        <v>#REF!</v>
      </c>
      <c r="L3526" s="15">
        <f>SUM(L3527:L3533)</f>
        <v>0</v>
      </c>
      <c r="M3526" s="16" t="e">
        <f>SUM(M3527:M3533)</f>
        <v>#REF!</v>
      </c>
      <c r="N3526" s="60" t="e">
        <f>+SUMIFS(#REF!,#REF!,Planning[[#This Row],[Proyectos]],#REF!,Planning[[#This Row],[Tipo de Tarea y especialidad]])</f>
        <v>#REF!</v>
      </c>
      <c r="O3526" s="16">
        <f t="shared" si="108"/>
        <v>10</v>
      </c>
      <c r="P3526" s="16">
        <f t="shared" si="109"/>
        <v>2024</v>
      </c>
      <c r="Q3526" s="16" t="e">
        <f>SUM(Q3527:Q3533)</f>
        <v>#REF!</v>
      </c>
      <c r="R3526" s="16" t="str">
        <f>TEXT(Planning[[#This Row],[Mes]]*29,"mmmm")</f>
        <v>October</v>
      </c>
      <c r="S35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26" s="193"/>
      <c r="U3526" s="43" t="e">
        <f>IF(Planning[[#This Row],[Horas Planificadas]]&lt;&gt;0,+K3526/Planning[[#This Row],[Horas Planificadas]],0)</f>
        <v>#REF!</v>
      </c>
      <c r="V3526" s="43" t="e">
        <f>IF(Planning[[#This Row],[Horas Planificadas]]&lt;&gt;0,Planning[[#This Row],[Horas utilizadas]]/Planning[[#This Row],[Horas Planificadas]],0)</f>
        <v>#REF!</v>
      </c>
      <c r="W3526" s="44">
        <f>Planning[[#This Row],[Horas Planificadas]]+Planning[[#This Row],[Horas ajustadas adicionales]]</f>
        <v>258</v>
      </c>
      <c r="X3526" s="142"/>
    </row>
    <row r="3527" spans="1:24" x14ac:dyDescent="0.2">
      <c r="A3527" s="7" t="s">
        <v>294</v>
      </c>
      <c r="B3527" s="7" t="s">
        <v>205</v>
      </c>
      <c r="C3527" s="3"/>
      <c r="D3527" s="3" t="s">
        <v>641</v>
      </c>
      <c r="E3527" s="4"/>
      <c r="F3527" s="3" t="s">
        <v>122</v>
      </c>
      <c r="G3527" s="9"/>
      <c r="H3527" s="9"/>
      <c r="I3527" s="12"/>
      <c r="J3527" s="5" t="e">
        <f>SUM(SUMIFS(#REF!,#REF!,Planning[[#This Row],[Tipo de Tarea y especialidad]],#REF!,Planning[[#This Row],[Proyectos Reiwa]]),SUMIFS(#REF!,#REF!,Planning[[#This Row],[Tipo de Tarea y especialidad]],#REF!,Planning[[#This Row],[Proyectos]]))</f>
        <v>#REF!</v>
      </c>
      <c r="K3527" s="5" t="e">
        <f>Planning[[#This Row],[Horas Planificadas]]+Planning[[#This Row],[Horas ajustadas adicionales]]-Planning[[#This Row],[Horas utilizadas]]</f>
        <v>#REF!</v>
      </c>
      <c r="L3527" s="7"/>
      <c r="M3527" s="19" t="e">
        <f>Planning[[#This Row],[Saldo]]-Planning[[#This Row],[Saldo estimado]]</f>
        <v>#REF!</v>
      </c>
      <c r="N3527" s="60" t="e">
        <f>+SUMIFS(#REF!,#REF!,Planning[[#This Row],[Proyectos]],#REF!,Planning[[#This Row],[Tipo de Tarea y especialidad]])</f>
        <v>#REF!</v>
      </c>
      <c r="O3527" s="19">
        <f t="shared" ref="O3527:O3590" si="110">$L$4</f>
        <v>10</v>
      </c>
      <c r="P3527" s="19">
        <f t="shared" ref="P3527:P3590" si="111">$M$4</f>
        <v>2024</v>
      </c>
      <c r="Q35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27" s="19" t="str">
        <f>TEXT(Planning[[#This Row],[Mes]]*29,"mmmm")</f>
        <v>October</v>
      </c>
      <c r="S35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27" s="193"/>
      <c r="U3527" s="43">
        <f>IF(Planning[[#This Row],[Horas Planificadas]]&lt;&gt;0,+K3527/Planning[[#This Row],[Horas Planificadas]],0)</f>
        <v>0</v>
      </c>
      <c r="V3527" s="43">
        <f>IF(Planning[[#This Row],[Horas Planificadas]]&lt;&gt;0,Planning[[#This Row],[Horas utilizadas]]/Planning[[#This Row],[Horas Planificadas]],0)</f>
        <v>0</v>
      </c>
      <c r="W3527" s="44">
        <f>Planning[[#This Row],[Horas Planificadas]]+Planning[[#This Row],[Horas ajustadas adicionales]]</f>
        <v>0</v>
      </c>
      <c r="X3527" s="142"/>
    </row>
    <row r="3528" spans="1:24" x14ac:dyDescent="0.2">
      <c r="A3528" s="7" t="s">
        <v>294</v>
      </c>
      <c r="B3528" s="7" t="s">
        <v>205</v>
      </c>
      <c r="C3528" s="3"/>
      <c r="D3528" s="3" t="s">
        <v>641</v>
      </c>
      <c r="E3528" s="4"/>
      <c r="F3528" s="3" t="s">
        <v>123</v>
      </c>
      <c r="G3528" s="9"/>
      <c r="H3528" s="9">
        <f>81+3*9</f>
        <v>108</v>
      </c>
      <c r="I3528" s="12"/>
      <c r="J3528" s="5" t="e">
        <f>SUM(SUMIFS(#REF!,#REF!,Planning[[#This Row],[Tipo de Tarea y especialidad]],#REF!,Planning[[#This Row],[Proyectos Reiwa]]),SUMIFS(#REF!,#REF!,Planning[[#This Row],[Tipo de Tarea y especialidad]],#REF!,Planning[[#This Row],[Proyectos]]))</f>
        <v>#REF!</v>
      </c>
      <c r="K3528" s="5" t="e">
        <f>Planning[[#This Row],[Horas Planificadas]]+Planning[[#This Row],[Horas ajustadas adicionales]]-Planning[[#This Row],[Horas utilizadas]]</f>
        <v>#REF!</v>
      </c>
      <c r="L3528" s="7">
        <v>0</v>
      </c>
      <c r="M3528" s="19" t="e">
        <f>Planning[[#This Row],[Saldo]]-Planning[[#This Row],[Saldo estimado]]</f>
        <v>#REF!</v>
      </c>
      <c r="N3528" s="60" t="e">
        <f>+SUMIFS(#REF!,#REF!,Planning[[#This Row],[Proyectos]],#REF!,Planning[[#This Row],[Tipo de Tarea y especialidad]])</f>
        <v>#REF!</v>
      </c>
      <c r="O3528" s="19">
        <f t="shared" si="110"/>
        <v>10</v>
      </c>
      <c r="P3528" s="19">
        <f t="shared" si="111"/>
        <v>2024</v>
      </c>
      <c r="Q35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28" s="19" t="str">
        <f>TEXT(Planning[[#This Row],[Mes]]*29,"mmmm")</f>
        <v>October</v>
      </c>
      <c r="S35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28" s="193"/>
      <c r="U3528" s="43" t="e">
        <f>IF(Planning[[#This Row],[Horas Planificadas]]&lt;&gt;0,+K3528/Planning[[#This Row],[Horas Planificadas]],0)</f>
        <v>#REF!</v>
      </c>
      <c r="V3528" s="43" t="e">
        <f>IF(Planning[[#This Row],[Horas Planificadas]]&lt;&gt;0,Planning[[#This Row],[Horas utilizadas]]/Planning[[#This Row],[Horas Planificadas]],0)</f>
        <v>#REF!</v>
      </c>
      <c r="W3528" s="44">
        <f>Planning[[#This Row],[Horas Planificadas]]+Planning[[#This Row],[Horas ajustadas adicionales]]</f>
        <v>108</v>
      </c>
      <c r="X3528" s="142"/>
    </row>
    <row r="3529" spans="1:24" x14ac:dyDescent="0.2">
      <c r="A3529" s="7" t="s">
        <v>294</v>
      </c>
      <c r="B3529" s="7" t="s">
        <v>205</v>
      </c>
      <c r="C3529" s="3"/>
      <c r="D3529" s="3" t="s">
        <v>641</v>
      </c>
      <c r="E3529" s="4"/>
      <c r="F3529" s="3" t="s">
        <v>124</v>
      </c>
      <c r="G3529" s="9"/>
      <c r="H3529" s="9"/>
      <c r="I3529" s="12"/>
      <c r="J3529" s="5" t="e">
        <f>SUM(SUMIFS(#REF!,#REF!,Planning[[#This Row],[Tipo de Tarea y especialidad]],#REF!,Planning[[#This Row],[Proyectos Reiwa]]),SUMIFS(#REF!,#REF!,Planning[[#This Row],[Tipo de Tarea y especialidad]],#REF!,Planning[[#This Row],[Proyectos]]))</f>
        <v>#REF!</v>
      </c>
      <c r="K3529" s="5" t="e">
        <f>Planning[[#This Row],[Horas Planificadas]]+Planning[[#This Row],[Horas ajustadas adicionales]]-Planning[[#This Row],[Horas utilizadas]]</f>
        <v>#REF!</v>
      </c>
      <c r="L3529" s="7"/>
      <c r="M3529" s="19" t="e">
        <f>Planning[[#This Row],[Saldo]]-Planning[[#This Row],[Saldo estimado]]</f>
        <v>#REF!</v>
      </c>
      <c r="N3529" s="60" t="e">
        <f>+SUMIFS(#REF!,#REF!,Planning[[#This Row],[Proyectos]],#REF!,Planning[[#This Row],[Tipo de Tarea y especialidad]])</f>
        <v>#REF!</v>
      </c>
      <c r="O3529" s="19">
        <f t="shared" si="110"/>
        <v>10</v>
      </c>
      <c r="P3529" s="19">
        <f t="shared" si="111"/>
        <v>2024</v>
      </c>
      <c r="Q35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29" s="19" t="str">
        <f>TEXT(Planning[[#This Row],[Mes]]*29,"mmmm")</f>
        <v>October</v>
      </c>
      <c r="S35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29" s="193"/>
      <c r="U3529" s="43">
        <f>IF(Planning[[#This Row],[Horas Planificadas]]&lt;&gt;0,+K3529/Planning[[#This Row],[Horas Planificadas]],0)</f>
        <v>0</v>
      </c>
      <c r="V3529" s="43">
        <f>IF(Planning[[#This Row],[Horas Planificadas]]&lt;&gt;0,Planning[[#This Row],[Horas utilizadas]]/Planning[[#This Row],[Horas Planificadas]],0)</f>
        <v>0</v>
      </c>
      <c r="W3529" s="44">
        <f>Planning[[#This Row],[Horas Planificadas]]+Planning[[#This Row],[Horas ajustadas adicionales]]</f>
        <v>0</v>
      </c>
      <c r="X3529" s="142"/>
    </row>
    <row r="3530" spans="1:24" x14ac:dyDescent="0.2">
      <c r="A3530" s="7" t="s">
        <v>294</v>
      </c>
      <c r="B3530" s="7" t="s">
        <v>205</v>
      </c>
      <c r="C3530" s="3"/>
      <c r="D3530" s="3" t="s">
        <v>641</v>
      </c>
      <c r="E3530" s="4"/>
      <c r="F3530" s="3" t="s">
        <v>125</v>
      </c>
      <c r="G3530" s="9"/>
      <c r="H3530" s="9">
        <f>69+2*9</f>
        <v>87</v>
      </c>
      <c r="I3530" s="12"/>
      <c r="J3530" s="5" t="e">
        <f>SUM(SUMIFS(#REF!,#REF!,Planning[[#This Row],[Tipo de Tarea y especialidad]],#REF!,Planning[[#This Row],[Proyectos Reiwa]]),SUMIFS(#REF!,#REF!,Planning[[#This Row],[Tipo de Tarea y especialidad]],#REF!,Planning[[#This Row],[Proyectos]]))</f>
        <v>#REF!</v>
      </c>
      <c r="K3530" s="5" t="e">
        <f>Planning[[#This Row],[Horas Planificadas]]+Planning[[#This Row],[Horas ajustadas adicionales]]-Planning[[#This Row],[Horas utilizadas]]</f>
        <v>#REF!</v>
      </c>
      <c r="L3530" s="7">
        <v>0</v>
      </c>
      <c r="M3530" s="19" t="e">
        <f>Planning[[#This Row],[Saldo]]-Planning[[#This Row],[Saldo estimado]]</f>
        <v>#REF!</v>
      </c>
      <c r="N3530" s="60" t="e">
        <f>+SUMIFS(#REF!,#REF!,Planning[[#This Row],[Proyectos]],#REF!,Planning[[#This Row],[Tipo de Tarea y especialidad]])</f>
        <v>#REF!</v>
      </c>
      <c r="O3530" s="19">
        <f t="shared" si="110"/>
        <v>10</v>
      </c>
      <c r="P3530" s="19">
        <f t="shared" si="111"/>
        <v>2024</v>
      </c>
      <c r="Q35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30" s="19" t="str">
        <f>TEXT(Planning[[#This Row],[Mes]]*29,"mmmm")</f>
        <v>October</v>
      </c>
      <c r="S35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30" s="193"/>
      <c r="U3530" s="43" t="e">
        <f>IF(Planning[[#This Row],[Horas Planificadas]]&lt;&gt;0,+K3530/Planning[[#This Row],[Horas Planificadas]],0)</f>
        <v>#REF!</v>
      </c>
      <c r="V3530" s="43" t="e">
        <f>IF(Planning[[#This Row],[Horas Planificadas]]&lt;&gt;0,Planning[[#This Row],[Horas utilizadas]]/Planning[[#This Row],[Horas Planificadas]],0)</f>
        <v>#REF!</v>
      </c>
      <c r="W3530" s="44">
        <f>Planning[[#This Row],[Horas Planificadas]]+Planning[[#This Row],[Horas ajustadas adicionales]]</f>
        <v>87</v>
      </c>
      <c r="X3530" s="142"/>
    </row>
    <row r="3531" spans="1:24" x14ac:dyDescent="0.2">
      <c r="A3531" s="7" t="s">
        <v>294</v>
      </c>
      <c r="B3531" s="7" t="s">
        <v>205</v>
      </c>
      <c r="C3531" s="3"/>
      <c r="D3531" s="3" t="s">
        <v>641</v>
      </c>
      <c r="E3531" s="4"/>
      <c r="F3531" s="3" t="s">
        <v>126</v>
      </c>
      <c r="G3531" s="9"/>
      <c r="H3531" s="9"/>
      <c r="I3531" s="12"/>
      <c r="J3531" s="5" t="e">
        <f>SUM(SUMIFS(#REF!,#REF!,Planning[[#This Row],[Tipo de Tarea y especialidad]],#REF!,Planning[[#This Row],[Proyectos Reiwa]]),SUMIFS(#REF!,#REF!,Planning[[#This Row],[Tipo de Tarea y especialidad]],#REF!,Planning[[#This Row],[Proyectos]]))</f>
        <v>#REF!</v>
      </c>
      <c r="K3531" s="5" t="e">
        <f>Planning[[#This Row],[Horas Planificadas]]+Planning[[#This Row],[Horas ajustadas adicionales]]-Planning[[#This Row],[Horas utilizadas]]</f>
        <v>#REF!</v>
      </c>
      <c r="L3531" s="7"/>
      <c r="M3531" s="19" t="e">
        <f>Planning[[#This Row],[Saldo]]-Planning[[#This Row],[Saldo estimado]]</f>
        <v>#REF!</v>
      </c>
      <c r="N3531" s="60" t="e">
        <f>+SUMIFS(#REF!,#REF!,Planning[[#This Row],[Proyectos]],#REF!,Planning[[#This Row],[Tipo de Tarea y especialidad]])</f>
        <v>#REF!</v>
      </c>
      <c r="O3531" s="19">
        <f t="shared" si="110"/>
        <v>10</v>
      </c>
      <c r="P3531" s="19">
        <f t="shared" si="111"/>
        <v>2024</v>
      </c>
      <c r="Q35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31" s="19" t="str">
        <f>TEXT(Planning[[#This Row],[Mes]]*29,"mmmm")</f>
        <v>October</v>
      </c>
      <c r="S35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31" s="193"/>
      <c r="U3531" s="43">
        <f>IF(Planning[[#This Row],[Horas Planificadas]]&lt;&gt;0,+K3531/Planning[[#This Row],[Horas Planificadas]],0)</f>
        <v>0</v>
      </c>
      <c r="V3531" s="43">
        <f>IF(Planning[[#This Row],[Horas Planificadas]]&lt;&gt;0,Planning[[#This Row],[Horas utilizadas]]/Planning[[#This Row],[Horas Planificadas]],0)</f>
        <v>0</v>
      </c>
      <c r="W3531" s="44">
        <f>Planning[[#This Row],[Horas Planificadas]]+Planning[[#This Row],[Horas ajustadas adicionales]]</f>
        <v>0</v>
      </c>
      <c r="X3531" s="142"/>
    </row>
    <row r="3532" spans="1:24" x14ac:dyDescent="0.2">
      <c r="A3532" s="7" t="s">
        <v>294</v>
      </c>
      <c r="B3532" s="7" t="s">
        <v>205</v>
      </c>
      <c r="C3532" s="3"/>
      <c r="D3532" s="3" t="s">
        <v>641</v>
      </c>
      <c r="E3532" s="4"/>
      <c r="F3532" s="3" t="s">
        <v>127</v>
      </c>
      <c r="G3532" s="9"/>
      <c r="H3532" s="9">
        <v>63</v>
      </c>
      <c r="I3532" s="12"/>
      <c r="J3532" s="5" t="e">
        <f>SUM(SUMIFS(#REF!,#REF!,Planning[[#This Row],[Tipo de Tarea y especialidad]],#REF!,Planning[[#This Row],[Proyectos Reiwa]]),SUMIFS(#REF!,#REF!,Planning[[#This Row],[Tipo de Tarea y especialidad]],#REF!,Planning[[#This Row],[Proyectos]]))</f>
        <v>#REF!</v>
      </c>
      <c r="K3532" s="5" t="e">
        <f>Planning[[#This Row],[Horas Planificadas]]+Planning[[#This Row],[Horas ajustadas adicionales]]-Planning[[#This Row],[Horas utilizadas]]</f>
        <v>#REF!</v>
      </c>
      <c r="L3532" s="7">
        <v>0</v>
      </c>
      <c r="M3532" s="19" t="e">
        <f>Planning[[#This Row],[Saldo]]-Planning[[#This Row],[Saldo estimado]]</f>
        <v>#REF!</v>
      </c>
      <c r="N3532" s="60" t="e">
        <f>+SUMIFS(#REF!,#REF!,Planning[[#This Row],[Proyectos]],#REF!,Planning[[#This Row],[Tipo de Tarea y especialidad]])</f>
        <v>#REF!</v>
      </c>
      <c r="O3532" s="19">
        <f t="shared" si="110"/>
        <v>10</v>
      </c>
      <c r="P3532" s="19">
        <f t="shared" si="111"/>
        <v>2024</v>
      </c>
      <c r="Q35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32" s="19" t="str">
        <f>TEXT(Planning[[#This Row],[Mes]]*29,"mmmm")</f>
        <v>October</v>
      </c>
      <c r="S35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32" s="193"/>
      <c r="U3532" s="43" t="e">
        <f>IF(Planning[[#This Row],[Horas Planificadas]]&lt;&gt;0,+K3532/Planning[[#This Row],[Horas Planificadas]],0)</f>
        <v>#REF!</v>
      </c>
      <c r="V3532" s="43" t="e">
        <f>IF(Planning[[#This Row],[Horas Planificadas]]&lt;&gt;0,Planning[[#This Row],[Horas utilizadas]]/Planning[[#This Row],[Horas Planificadas]],0)</f>
        <v>#REF!</v>
      </c>
      <c r="W3532" s="44">
        <f>Planning[[#This Row],[Horas Planificadas]]+Planning[[#This Row],[Horas ajustadas adicionales]]</f>
        <v>63</v>
      </c>
      <c r="X3532" s="142"/>
    </row>
    <row r="3533" spans="1:24" x14ac:dyDescent="0.2">
      <c r="A3533" s="7" t="s">
        <v>294</v>
      </c>
      <c r="B3533" s="7" t="s">
        <v>205</v>
      </c>
      <c r="C3533" s="3"/>
      <c r="D3533" s="3" t="s">
        <v>641</v>
      </c>
      <c r="E3533" s="4"/>
      <c r="F3533" s="3" t="s">
        <v>128</v>
      </c>
      <c r="G3533" s="9"/>
      <c r="H3533" s="9"/>
      <c r="I3533" s="12"/>
      <c r="J3533" s="5" t="e">
        <f>SUM(SUMIFS(#REF!,#REF!,Planning[[#This Row],[Tipo de Tarea y especialidad]],#REF!,Planning[[#This Row],[Proyectos Reiwa]]),SUMIFS(#REF!,#REF!,Planning[[#This Row],[Tipo de Tarea y especialidad]],#REF!,Planning[[#This Row],[Proyectos]]))</f>
        <v>#REF!</v>
      </c>
      <c r="K3533" s="5" t="e">
        <f>Planning[[#This Row],[Horas Planificadas]]+Planning[[#This Row],[Horas ajustadas adicionales]]-Planning[[#This Row],[Horas utilizadas]]</f>
        <v>#REF!</v>
      </c>
      <c r="L3533" s="7"/>
      <c r="M3533" s="19" t="e">
        <f>Planning[[#This Row],[Saldo]]-Planning[[#This Row],[Saldo estimado]]</f>
        <v>#REF!</v>
      </c>
      <c r="N3533" s="60" t="e">
        <f>+SUMIFS(#REF!,#REF!,Planning[[#This Row],[Proyectos]],#REF!,Planning[[#This Row],[Tipo de Tarea y especialidad]])</f>
        <v>#REF!</v>
      </c>
      <c r="O3533" s="19">
        <f t="shared" si="110"/>
        <v>10</v>
      </c>
      <c r="P3533" s="19">
        <f t="shared" si="111"/>
        <v>2024</v>
      </c>
      <c r="Q35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33" s="19" t="str">
        <f>TEXT(Planning[[#This Row],[Mes]]*29,"mmmm")</f>
        <v>October</v>
      </c>
      <c r="S35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33" s="193"/>
      <c r="U3533" s="43">
        <f>IF(Planning[[#This Row],[Horas Planificadas]]&lt;&gt;0,+K3533/Planning[[#This Row],[Horas Planificadas]],0)</f>
        <v>0</v>
      </c>
      <c r="V3533" s="43">
        <f>IF(Planning[[#This Row],[Horas Planificadas]]&lt;&gt;0,Planning[[#This Row],[Horas utilizadas]]/Planning[[#This Row],[Horas Planificadas]],0)</f>
        <v>0</v>
      </c>
      <c r="W3533" s="44">
        <f>Planning[[#This Row],[Horas Planificadas]]+Planning[[#This Row],[Horas ajustadas adicionales]]</f>
        <v>0</v>
      </c>
      <c r="X3533" s="142"/>
    </row>
    <row r="3534" spans="1:24" x14ac:dyDescent="0.2">
      <c r="A3534" s="7" t="s">
        <v>294</v>
      </c>
      <c r="B3534" s="7" t="s">
        <v>205</v>
      </c>
      <c r="C3534" s="3"/>
      <c r="D3534" s="3" t="s">
        <v>641</v>
      </c>
      <c r="E3534" s="4" t="s">
        <v>31</v>
      </c>
      <c r="F3534" s="3" t="s">
        <v>31</v>
      </c>
      <c r="G3534" s="9">
        <v>45</v>
      </c>
      <c r="H3534" s="17">
        <v>45</v>
      </c>
      <c r="I3534" s="18"/>
      <c r="J3534" s="14" t="e">
        <f>+SUMIFS(#REF!,#REF!,Planning[[#This Row],[Tarifa]],#REF!,Planning[[#This Row],[Proyectos]])</f>
        <v>#REF!</v>
      </c>
      <c r="K3534" s="14" t="e">
        <f>Planning[[#This Row],[Horas Planificadas]]+Planning[[#This Row],[Horas ajustadas adicionales]]-Planning[[#This Row],[Horas utilizadas]]</f>
        <v>#REF!</v>
      </c>
      <c r="L3534" s="15">
        <v>0</v>
      </c>
      <c r="M3534" s="16" t="e">
        <f>Planning[[#This Row],[Saldo]]-Planning[[#This Row],[Saldo estimado]]</f>
        <v>#REF!</v>
      </c>
      <c r="N3534" s="60" t="e">
        <f>+SUMIFS(#REF!,#REF!,Planning[[#This Row],[Proyectos]],#REF!,Planning[[#This Row],[Tipo de Tarea y especialidad]])</f>
        <v>#REF!</v>
      </c>
      <c r="O3534" s="16">
        <f t="shared" si="110"/>
        <v>10</v>
      </c>
      <c r="P3534" s="16">
        <f t="shared" si="111"/>
        <v>2024</v>
      </c>
      <c r="Q3534" s="16" t="e">
        <f>+SUMIFS(#REF!,#REF!,Planning[[#This Row],[Tarifa]],#REF!,Planning[[#This Row],[Proyectos]],#REF!,Planning[[#This Row],[Mes]],#REF!,Planning[[#This Row],[Año]])</f>
        <v>#REF!</v>
      </c>
      <c r="R3534" s="16" t="str">
        <f>TEXT(Planning[[#This Row],[Mes]]*29,"mmmm")</f>
        <v>October</v>
      </c>
      <c r="S35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34" s="193"/>
      <c r="U3534" s="43" t="e">
        <f>IF(Planning[[#This Row],[Horas Planificadas]]&lt;&gt;0,+K3534/Planning[[#This Row],[Horas Planificadas]],0)</f>
        <v>#REF!</v>
      </c>
      <c r="V3534" s="43" t="e">
        <f>IF(Planning[[#This Row],[Horas Planificadas]]&lt;&gt;0,Planning[[#This Row],[Horas utilizadas]]/Planning[[#This Row],[Horas Planificadas]],0)</f>
        <v>#REF!</v>
      </c>
      <c r="W3534" s="44">
        <f>Planning[[#This Row],[Horas Planificadas]]+Planning[[#This Row],[Horas ajustadas adicionales]]</f>
        <v>45</v>
      </c>
      <c r="X3534" s="142"/>
    </row>
    <row r="3535" spans="1:24" ht="22.5" x14ac:dyDescent="0.2">
      <c r="A3535" s="7" t="s">
        <v>294</v>
      </c>
      <c r="B3535" s="7" t="s">
        <v>205</v>
      </c>
      <c r="C3535" s="3"/>
      <c r="D3535" s="3" t="s">
        <v>641</v>
      </c>
      <c r="E3535" s="4" t="s">
        <v>32</v>
      </c>
      <c r="F3535" s="3"/>
      <c r="G3535" s="9">
        <v>40</v>
      </c>
      <c r="H3535" s="14">
        <f>SUBTOTAL(9,H3536:H3538)</f>
        <v>40</v>
      </c>
      <c r="I3535" s="14"/>
      <c r="J3535" s="14" t="e">
        <f>SUM(J3536:J3538)</f>
        <v>#REF!</v>
      </c>
      <c r="K3535" s="18" t="e">
        <f>SUM(K3536:K3538)</f>
        <v>#REF!</v>
      </c>
      <c r="L3535" s="15">
        <f>SUM(L3536:L3538)</f>
        <v>0</v>
      </c>
      <c r="M3535" s="16" t="e">
        <f>SUM(M3536:M3538)</f>
        <v>#REF!</v>
      </c>
      <c r="N3535" s="60" t="e">
        <f>+SUMIFS(#REF!,#REF!,Planning[[#This Row],[Proyectos]],#REF!,Planning[[#This Row],[Tipo de Tarea y especialidad]])</f>
        <v>#REF!</v>
      </c>
      <c r="O3535" s="16">
        <f t="shared" si="110"/>
        <v>10</v>
      </c>
      <c r="P3535" s="16">
        <f t="shared" si="111"/>
        <v>2024</v>
      </c>
      <c r="Q3535" s="16" t="e">
        <f>SUM(Q3536:Q3538)</f>
        <v>#REF!</v>
      </c>
      <c r="R3535" s="16" t="str">
        <f>TEXT(Planning[[#This Row],[Mes]]*29,"mmmm")</f>
        <v>October</v>
      </c>
      <c r="S35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35" s="193"/>
      <c r="U3535" s="43" t="e">
        <f>IF(Planning[[#This Row],[Horas Planificadas]]&lt;&gt;0,+K3535/Planning[[#This Row],[Horas Planificadas]],0)</f>
        <v>#REF!</v>
      </c>
      <c r="V3535" s="43" t="e">
        <f>IF(Planning[[#This Row],[Horas Planificadas]]&lt;&gt;0,Planning[[#This Row],[Horas utilizadas]]/Planning[[#This Row],[Horas Planificadas]],0)</f>
        <v>#REF!</v>
      </c>
      <c r="W3535" s="44">
        <f>Planning[[#This Row],[Horas Planificadas]]+Planning[[#This Row],[Horas ajustadas adicionales]]</f>
        <v>40</v>
      </c>
      <c r="X3535" s="142"/>
    </row>
    <row r="3536" spans="1:24" x14ac:dyDescent="0.2">
      <c r="A3536" s="7" t="s">
        <v>294</v>
      </c>
      <c r="B3536" s="7" t="s">
        <v>205</v>
      </c>
      <c r="C3536" s="3"/>
      <c r="D3536" s="3" t="s">
        <v>641</v>
      </c>
      <c r="E3536" s="4"/>
      <c r="F3536" s="3" t="s">
        <v>129</v>
      </c>
      <c r="G3536" s="9"/>
      <c r="H3536" s="9"/>
      <c r="I3536" s="12"/>
      <c r="J3536" s="5" t="e">
        <f>SUM(SUMIFS(#REF!,#REF!,Planning[[#This Row],[Tipo de Tarea y especialidad]],#REF!,Planning[[#This Row],[Proyectos Reiwa]]),SUMIFS(#REF!,#REF!,Planning[[#This Row],[Tipo de Tarea y especialidad]],#REF!,Planning[[#This Row],[Proyectos]]))</f>
        <v>#REF!</v>
      </c>
      <c r="K3536" s="5" t="e">
        <f>Planning[[#This Row],[Horas Planificadas]]+Planning[[#This Row],[Horas ajustadas adicionales]]-Planning[[#This Row],[Horas utilizadas]]</f>
        <v>#REF!</v>
      </c>
      <c r="L3536" s="7"/>
      <c r="M3536" s="19" t="e">
        <f>Planning[[#This Row],[Saldo]]-Planning[[#This Row],[Saldo estimado]]</f>
        <v>#REF!</v>
      </c>
      <c r="N3536" s="60" t="e">
        <f>+SUMIFS(#REF!,#REF!,Planning[[#This Row],[Proyectos]],#REF!,Planning[[#This Row],[Tipo de Tarea y especialidad]])</f>
        <v>#REF!</v>
      </c>
      <c r="O3536" s="19">
        <f t="shared" si="110"/>
        <v>10</v>
      </c>
      <c r="P3536" s="19">
        <f t="shared" si="111"/>
        <v>2024</v>
      </c>
      <c r="Q35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36" s="19" t="str">
        <f>TEXT(Planning[[#This Row],[Mes]]*29,"mmmm")</f>
        <v>October</v>
      </c>
      <c r="S35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36" s="193"/>
      <c r="U3536" s="43">
        <f>IF(Planning[[#This Row],[Horas Planificadas]]&lt;&gt;0,+K3536/Planning[[#This Row],[Horas Planificadas]],0)</f>
        <v>0</v>
      </c>
      <c r="V3536" s="43">
        <f>IF(Planning[[#This Row],[Horas Planificadas]]&lt;&gt;0,Planning[[#This Row],[Horas utilizadas]]/Planning[[#This Row],[Horas Planificadas]],0)</f>
        <v>0</v>
      </c>
      <c r="W3536" s="44">
        <f>Planning[[#This Row],[Horas Planificadas]]+Planning[[#This Row],[Horas ajustadas adicionales]]</f>
        <v>0</v>
      </c>
      <c r="X3536" s="142"/>
    </row>
    <row r="3537" spans="1:24" x14ac:dyDescent="0.2">
      <c r="A3537" s="7" t="s">
        <v>294</v>
      </c>
      <c r="B3537" s="7" t="s">
        <v>205</v>
      </c>
      <c r="C3537" s="3"/>
      <c r="D3537" s="3" t="s">
        <v>641</v>
      </c>
      <c r="E3537" s="4"/>
      <c r="F3537" s="3" t="s">
        <v>130</v>
      </c>
      <c r="G3537" s="9"/>
      <c r="H3537" s="9">
        <v>40</v>
      </c>
      <c r="I3537" s="12"/>
      <c r="J3537" s="5" t="e">
        <f>SUM(SUMIFS(#REF!,#REF!,Planning[[#This Row],[Tipo de Tarea y especialidad]],#REF!,Planning[[#This Row],[Proyectos Reiwa]]),SUMIFS(#REF!,#REF!,Planning[[#This Row],[Tipo de Tarea y especialidad]],#REF!,Planning[[#This Row],[Proyectos]]))</f>
        <v>#REF!</v>
      </c>
      <c r="K3537" s="5" t="e">
        <f>Planning[[#This Row],[Horas Planificadas]]+Planning[[#This Row],[Horas ajustadas adicionales]]-Planning[[#This Row],[Horas utilizadas]]</f>
        <v>#REF!</v>
      </c>
      <c r="L3537" s="7">
        <v>0</v>
      </c>
      <c r="M3537" s="19" t="e">
        <f>Planning[[#This Row],[Saldo]]-Planning[[#This Row],[Saldo estimado]]</f>
        <v>#REF!</v>
      </c>
      <c r="N3537" s="60" t="e">
        <f>+SUMIFS(#REF!,#REF!,Planning[[#This Row],[Proyectos]],#REF!,Planning[[#This Row],[Tipo de Tarea y especialidad]])</f>
        <v>#REF!</v>
      </c>
      <c r="O3537" s="19">
        <f t="shared" si="110"/>
        <v>10</v>
      </c>
      <c r="P3537" s="19">
        <f t="shared" si="111"/>
        <v>2024</v>
      </c>
      <c r="Q35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37" s="19" t="str">
        <f>TEXT(Planning[[#This Row],[Mes]]*29,"mmmm")</f>
        <v>October</v>
      </c>
      <c r="S35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37" s="193"/>
      <c r="U3537" s="43" t="e">
        <f>IF(Planning[[#This Row],[Horas Planificadas]]&lt;&gt;0,+K3537/Planning[[#This Row],[Horas Planificadas]],0)</f>
        <v>#REF!</v>
      </c>
      <c r="V3537" s="43" t="e">
        <f>IF(Planning[[#This Row],[Horas Planificadas]]&lt;&gt;0,Planning[[#This Row],[Horas utilizadas]]/Planning[[#This Row],[Horas Planificadas]],0)</f>
        <v>#REF!</v>
      </c>
      <c r="W3537" s="44">
        <f>Planning[[#This Row],[Horas Planificadas]]+Planning[[#This Row],[Horas ajustadas adicionales]]</f>
        <v>40</v>
      </c>
      <c r="X3537" s="142"/>
    </row>
    <row r="3538" spans="1:24" x14ac:dyDescent="0.2">
      <c r="A3538" s="7" t="s">
        <v>294</v>
      </c>
      <c r="B3538" s="7" t="s">
        <v>205</v>
      </c>
      <c r="C3538" s="3"/>
      <c r="D3538" s="3" t="s">
        <v>641</v>
      </c>
      <c r="E3538" s="4"/>
      <c r="F3538" s="3" t="s">
        <v>131</v>
      </c>
      <c r="G3538" s="9"/>
      <c r="H3538" s="9"/>
      <c r="I3538" s="12"/>
      <c r="J3538" s="5" t="e">
        <f>SUM(SUMIFS(#REF!,#REF!,Planning[[#This Row],[Tipo de Tarea y especialidad]],#REF!,Planning[[#This Row],[Proyectos Reiwa]]),SUMIFS(#REF!,#REF!,Planning[[#This Row],[Tipo de Tarea y especialidad]],#REF!,Planning[[#This Row],[Proyectos]]))</f>
        <v>#REF!</v>
      </c>
      <c r="K3538" s="5" t="e">
        <f>Planning[[#This Row],[Horas Planificadas]]+Planning[[#This Row],[Horas ajustadas adicionales]]-Planning[[#This Row],[Horas utilizadas]]</f>
        <v>#REF!</v>
      </c>
      <c r="L3538" s="7"/>
      <c r="M3538" s="19" t="e">
        <f>Planning[[#This Row],[Saldo]]-Planning[[#This Row],[Saldo estimado]]</f>
        <v>#REF!</v>
      </c>
      <c r="N3538" s="60" t="e">
        <f>+SUMIFS(#REF!,#REF!,Planning[[#This Row],[Proyectos]],#REF!,Planning[[#This Row],[Tipo de Tarea y especialidad]])</f>
        <v>#REF!</v>
      </c>
      <c r="O3538" s="19">
        <f t="shared" si="110"/>
        <v>10</v>
      </c>
      <c r="P3538" s="19">
        <f t="shared" si="111"/>
        <v>2024</v>
      </c>
      <c r="Q35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38" s="19" t="str">
        <f>TEXT(Planning[[#This Row],[Mes]]*29,"mmmm")</f>
        <v>October</v>
      </c>
      <c r="S35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38" s="193"/>
      <c r="U3538" s="43">
        <f>IF(Planning[[#This Row],[Horas Planificadas]]&lt;&gt;0,+K3538/Planning[[#This Row],[Horas Planificadas]],0)</f>
        <v>0</v>
      </c>
      <c r="V3538" s="43">
        <f>IF(Planning[[#This Row],[Horas Planificadas]]&lt;&gt;0,Planning[[#This Row],[Horas utilizadas]]/Planning[[#This Row],[Horas Planificadas]],0)</f>
        <v>0</v>
      </c>
      <c r="W3538" s="44">
        <f>Planning[[#This Row],[Horas Planificadas]]+Planning[[#This Row],[Horas ajustadas adicionales]]</f>
        <v>0</v>
      </c>
      <c r="X3538" s="142"/>
    </row>
    <row r="3539" spans="1:24" ht="12.75" customHeight="1" x14ac:dyDescent="0.2">
      <c r="A3539" s="7" t="s">
        <v>483</v>
      </c>
      <c r="B3539" s="7" t="s">
        <v>220</v>
      </c>
      <c r="C3539" s="3"/>
      <c r="D3539" s="3" t="s">
        <v>643</v>
      </c>
      <c r="E3539" s="4" t="s">
        <v>28</v>
      </c>
      <c r="F3539" s="3"/>
      <c r="G3539" s="9"/>
      <c r="H3539" s="14">
        <f>SUM(H3540:H3541)</f>
        <v>318</v>
      </c>
      <c r="I3539" s="14"/>
      <c r="J3539" s="14" t="e">
        <f>SUM(J3540:J3541)</f>
        <v>#REF!</v>
      </c>
      <c r="K3539" s="14" t="e">
        <f>+Planning[[#This Row],[Horas Planificadas]]+Planning[[#This Row],[Horas ajustadas adicionales]]-Planning[[#This Row],[Horas utilizadas]]</f>
        <v>#REF!</v>
      </c>
      <c r="L3539" s="15">
        <f>SUM(L3540:L3541)</f>
        <v>18</v>
      </c>
      <c r="M3539" s="14" t="e">
        <f>SUM(M3540:M3541)</f>
        <v>#REF!</v>
      </c>
      <c r="N3539" s="66" t="e">
        <f>+SUMIFS(#REF!,#REF!,Planning[[#This Row],[Proyectos]],#REF!,Planning[[#This Row],[Tipo de Tarea y especialidad]])</f>
        <v>#REF!</v>
      </c>
      <c r="O3539" s="14">
        <f t="shared" si="110"/>
        <v>10</v>
      </c>
      <c r="P3539" s="14">
        <f t="shared" si="111"/>
        <v>2024</v>
      </c>
      <c r="Q3539" s="28" t="e">
        <f>SUM(Q3540:Q3541)</f>
        <v>#REF!</v>
      </c>
      <c r="R3539" s="28" t="str">
        <f>TEXT(Planning[[#This Row],[Mes]]*29,"mmmm")</f>
        <v>October</v>
      </c>
      <c r="S35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39" s="235" t="s">
        <v>644</v>
      </c>
      <c r="U3539" s="43" t="e">
        <f>IF(Planning[[#This Row],[Horas Planificadas]]&lt;&gt;0,+K3539/Planning[[#This Row],[Horas Planificadas]],0)</f>
        <v>#REF!</v>
      </c>
      <c r="V3539" s="43" t="e">
        <f>IF(Planning[[#This Row],[Horas Planificadas]]&lt;&gt;0,Planning[[#This Row],[Horas utilizadas]]/Planning[[#This Row],[Horas Planificadas]],0)</f>
        <v>#REF!</v>
      </c>
      <c r="W3539" s="44">
        <f>Planning[[#This Row],[Horas Planificadas]]+Planning[[#This Row],[Horas ajustadas adicionales]]</f>
        <v>318</v>
      </c>
      <c r="X3539" s="142"/>
    </row>
    <row r="3540" spans="1:24" x14ac:dyDescent="0.2">
      <c r="A3540" s="7" t="s">
        <v>483</v>
      </c>
      <c r="B3540" s="7" t="s">
        <v>220</v>
      </c>
      <c r="C3540" s="3"/>
      <c r="D3540" s="3" t="s">
        <v>643</v>
      </c>
      <c r="E3540" s="4"/>
      <c r="F3540" s="3" t="s">
        <v>120</v>
      </c>
      <c r="G3540" s="9">
        <v>81</v>
      </c>
      <c r="H3540" s="9">
        <v>81</v>
      </c>
      <c r="I3540" s="12"/>
      <c r="J3540" s="5" t="e">
        <f>SUM(SUMIFS(#REF!,#REF!,Planning[[#This Row],[Tipo de Tarea y especialidad]],#REF!,Planning[[#This Row],[Proyectos Reiwa]]),SUMIFS(#REF!,#REF!,Planning[[#This Row],[Tipo de Tarea y especialidad]],#REF!,Planning[[#This Row],[Proyectos]]))</f>
        <v>#REF!</v>
      </c>
      <c r="K3540" s="5" t="e">
        <f>+Planning[[#This Row],[Horas Planificadas]]+Planning[[#This Row],[Horas ajustadas adicionales]]-Planning[[#This Row],[Horas utilizadas]]</f>
        <v>#REF!</v>
      </c>
      <c r="L3540" s="7">
        <v>0</v>
      </c>
      <c r="M3540" s="19" t="e">
        <f>Planning[[#This Row],[Saldo]]-Planning[[#This Row],[Saldo estimado]]</f>
        <v>#REF!</v>
      </c>
      <c r="N3540" s="60" t="e">
        <f>+SUMIFS(#REF!,#REF!,Planning[[#This Row],[Proyectos]],#REF!,Planning[[#This Row],[Tipo de Tarea y especialidad]])</f>
        <v>#REF!</v>
      </c>
      <c r="O3540" s="19">
        <f t="shared" si="110"/>
        <v>10</v>
      </c>
      <c r="P3540" s="19">
        <f t="shared" si="111"/>
        <v>2024</v>
      </c>
      <c r="Q35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40" s="19" t="str">
        <f>TEXT(Planning[[#This Row],[Mes]]*29,"mmmm")</f>
        <v>October</v>
      </c>
      <c r="S35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40" s="239"/>
      <c r="U3540" s="43" t="e">
        <f>IF(Planning[[#This Row],[Horas Planificadas]]&lt;&gt;0,+K3540/Planning[[#This Row],[Horas Planificadas]],0)</f>
        <v>#REF!</v>
      </c>
      <c r="V3540" s="43" t="e">
        <f>IF(Planning[[#This Row],[Horas Planificadas]]&lt;&gt;0,Planning[[#This Row],[Horas utilizadas]]/Planning[[#This Row],[Horas Planificadas]],0)</f>
        <v>#REF!</v>
      </c>
      <c r="W3540" s="44">
        <f>Planning[[#This Row],[Horas Planificadas]]+Planning[[#This Row],[Horas ajustadas adicionales]]</f>
        <v>81</v>
      </c>
      <c r="X3540" s="142"/>
    </row>
    <row r="3541" spans="1:24" x14ac:dyDescent="0.2">
      <c r="A3541" s="7" t="s">
        <v>483</v>
      </c>
      <c r="B3541" s="7" t="s">
        <v>220</v>
      </c>
      <c r="C3541" s="3"/>
      <c r="D3541" s="3" t="s">
        <v>643</v>
      </c>
      <c r="E3541" s="4"/>
      <c r="F3541" s="3" t="s">
        <v>121</v>
      </c>
      <c r="G3541" s="9">
        <v>237</v>
      </c>
      <c r="H3541" s="9">
        <v>237</v>
      </c>
      <c r="I3541" s="12"/>
      <c r="J3541" s="5" t="e">
        <f>SUM(SUMIFS(#REF!,#REF!,Planning[[#This Row],[Tipo de Tarea y especialidad]],#REF!,Planning[[#This Row],[Proyectos Reiwa]]),SUMIFS(#REF!,#REF!,Planning[[#This Row],[Tipo de Tarea y especialidad]],#REF!,Planning[[#This Row],[Proyectos]]))</f>
        <v>#REF!</v>
      </c>
      <c r="K3541" s="5" t="e">
        <f>+Planning[[#This Row],[Horas Planificadas]]+Planning[[#This Row],[Horas ajustadas adicionales]]-Planning[[#This Row],[Horas utilizadas]]</f>
        <v>#REF!</v>
      </c>
      <c r="L3541" s="7">
        <v>18</v>
      </c>
      <c r="M3541" s="19" t="e">
        <f>Planning[[#This Row],[Saldo]]-Planning[[#This Row],[Saldo estimado]]</f>
        <v>#REF!</v>
      </c>
      <c r="N3541" s="60" t="e">
        <f>+SUMIFS(#REF!,#REF!,Planning[[#This Row],[Proyectos]],#REF!,Planning[[#This Row],[Tipo de Tarea y especialidad]])</f>
        <v>#REF!</v>
      </c>
      <c r="O3541" s="19">
        <f t="shared" si="110"/>
        <v>10</v>
      </c>
      <c r="P3541" s="19">
        <f t="shared" si="111"/>
        <v>2024</v>
      </c>
      <c r="Q35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41" s="19" t="str">
        <f>TEXT(Planning[[#This Row],[Mes]]*29,"mmmm")</f>
        <v>October</v>
      </c>
      <c r="S35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41" s="239"/>
      <c r="U3541" s="43" t="e">
        <f>IF(Planning[[#This Row],[Horas Planificadas]]&lt;&gt;0,+K3541/Planning[[#This Row],[Horas Planificadas]],0)</f>
        <v>#REF!</v>
      </c>
      <c r="V3541" s="43" t="e">
        <f>IF(Planning[[#This Row],[Horas Planificadas]]&lt;&gt;0,Planning[[#This Row],[Horas utilizadas]]/Planning[[#This Row],[Horas Planificadas]],0)</f>
        <v>#REF!</v>
      </c>
      <c r="W3541" s="44">
        <f>Planning[[#This Row],[Horas Planificadas]]+Planning[[#This Row],[Horas ajustadas adicionales]]</f>
        <v>237</v>
      </c>
      <c r="X3541" s="142"/>
    </row>
    <row r="3542" spans="1:24" x14ac:dyDescent="0.2">
      <c r="A3542" s="7" t="s">
        <v>483</v>
      </c>
      <c r="B3542" s="7" t="s">
        <v>220</v>
      </c>
      <c r="C3542" s="3"/>
      <c r="D3542" s="3" t="s">
        <v>643</v>
      </c>
      <c r="E3542" s="4" t="s">
        <v>30</v>
      </c>
      <c r="F3542" s="3"/>
      <c r="G3542" s="9"/>
      <c r="H3542" s="14">
        <f>SUM(H3543:H3549)</f>
        <v>498</v>
      </c>
      <c r="I3542" s="14"/>
      <c r="J3542" s="14" t="e">
        <f>SUM(J3543:J3549)</f>
        <v>#REF!</v>
      </c>
      <c r="K3542" s="14" t="e">
        <f>+Planning[[#This Row],[Horas Planificadas]]+Planning[[#This Row],[Horas ajustadas adicionales]]-Planning[[#This Row],[Horas utilizadas]]</f>
        <v>#REF!</v>
      </c>
      <c r="L3542" s="15">
        <f>SUM(L3543:L3549)</f>
        <v>0</v>
      </c>
      <c r="M3542" s="16" t="e">
        <f>SUM(M3543:M3549)</f>
        <v>#REF!</v>
      </c>
      <c r="N3542" s="60" t="e">
        <f>+SUMIFS(#REF!,#REF!,Planning[[#This Row],[Proyectos]],#REF!,Planning[[#This Row],[Tipo de Tarea y especialidad]])</f>
        <v>#REF!</v>
      </c>
      <c r="O3542" s="16">
        <f t="shared" si="110"/>
        <v>10</v>
      </c>
      <c r="P3542" s="16">
        <f t="shared" si="111"/>
        <v>2024</v>
      </c>
      <c r="Q3542" s="16" t="e">
        <f>SUM(Q3543:Q3549)</f>
        <v>#REF!</v>
      </c>
      <c r="R3542" s="16" t="str">
        <f>TEXT(Planning[[#This Row],[Mes]]*29,"mmmm")</f>
        <v>October</v>
      </c>
      <c r="S35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42" s="239"/>
      <c r="U3542" s="43" t="e">
        <f>IF(Planning[[#This Row],[Horas Planificadas]]&lt;&gt;0,+K3542/Planning[[#This Row],[Horas Planificadas]],0)</f>
        <v>#REF!</v>
      </c>
      <c r="V3542" s="43" t="e">
        <f>IF(Planning[[#This Row],[Horas Planificadas]]&lt;&gt;0,Planning[[#This Row],[Horas utilizadas]]/Planning[[#This Row],[Horas Planificadas]],0)</f>
        <v>#REF!</v>
      </c>
      <c r="W3542" s="44">
        <f>Planning[[#This Row],[Horas Planificadas]]+Planning[[#This Row],[Horas ajustadas adicionales]]</f>
        <v>498</v>
      </c>
      <c r="X3542" s="142"/>
    </row>
    <row r="3543" spans="1:24" x14ac:dyDescent="0.2">
      <c r="A3543" s="7" t="s">
        <v>483</v>
      </c>
      <c r="B3543" s="7" t="s">
        <v>220</v>
      </c>
      <c r="C3543" s="3"/>
      <c r="D3543" s="3" t="s">
        <v>643</v>
      </c>
      <c r="E3543" s="4"/>
      <c r="F3543" s="3" t="s">
        <v>122</v>
      </c>
      <c r="G3543" s="9">
        <v>210</v>
      </c>
      <c r="H3543" s="9">
        <v>210</v>
      </c>
      <c r="I3543" s="12"/>
      <c r="J3543" s="5" t="e">
        <f>SUM(SUMIFS(#REF!,#REF!,Planning[[#This Row],[Tipo de Tarea y especialidad]],#REF!,Planning[[#This Row],[Proyectos Reiwa]]),SUMIFS(#REF!,#REF!,Planning[[#This Row],[Tipo de Tarea y especialidad]],#REF!,Planning[[#This Row],[Proyectos]]))</f>
        <v>#REF!</v>
      </c>
      <c r="K3543" s="5" t="e">
        <f>+Planning[[#This Row],[Horas Planificadas]]+Planning[[#This Row],[Horas ajustadas adicionales]]-Planning[[#This Row],[Horas utilizadas]]</f>
        <v>#REF!</v>
      </c>
      <c r="L3543" s="7">
        <v>0</v>
      </c>
      <c r="M3543" s="19" t="e">
        <f>Planning[[#This Row],[Saldo]]-Planning[[#This Row],[Saldo estimado]]</f>
        <v>#REF!</v>
      </c>
      <c r="N3543" s="60" t="e">
        <f>+SUMIFS(#REF!,#REF!,Planning[[#This Row],[Proyectos]],#REF!,Planning[[#This Row],[Tipo de Tarea y especialidad]])</f>
        <v>#REF!</v>
      </c>
      <c r="O3543" s="19">
        <f t="shared" si="110"/>
        <v>10</v>
      </c>
      <c r="P3543" s="19">
        <f t="shared" si="111"/>
        <v>2024</v>
      </c>
      <c r="Q35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43" s="19" t="str">
        <f>TEXT(Planning[[#This Row],[Mes]]*29,"mmmm")</f>
        <v>October</v>
      </c>
      <c r="S35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43" s="239"/>
      <c r="U3543" s="43" t="e">
        <f>IF(Planning[[#This Row],[Horas Planificadas]]&lt;&gt;0,+K3543/Planning[[#This Row],[Horas Planificadas]],0)</f>
        <v>#REF!</v>
      </c>
      <c r="V3543" s="43" t="e">
        <f>IF(Planning[[#This Row],[Horas Planificadas]]&lt;&gt;0,Planning[[#This Row],[Horas utilizadas]]/Planning[[#This Row],[Horas Planificadas]],0)</f>
        <v>#REF!</v>
      </c>
      <c r="W3543" s="44">
        <f>Planning[[#This Row],[Horas Planificadas]]+Planning[[#This Row],[Horas ajustadas adicionales]]</f>
        <v>210</v>
      </c>
      <c r="X3543" s="142"/>
    </row>
    <row r="3544" spans="1:24" x14ac:dyDescent="0.2">
      <c r="A3544" s="7" t="s">
        <v>483</v>
      </c>
      <c r="B3544" s="7" t="s">
        <v>220</v>
      </c>
      <c r="C3544" s="3"/>
      <c r="D3544" s="3" t="s">
        <v>643</v>
      </c>
      <c r="E3544" s="4"/>
      <c r="F3544" s="3" t="s">
        <v>123</v>
      </c>
      <c r="G3544" s="9">
        <v>0</v>
      </c>
      <c r="H3544" s="9">
        <v>0</v>
      </c>
      <c r="I3544" s="12"/>
      <c r="J3544" s="5" t="e">
        <f>SUM(SUMIFS(#REF!,#REF!,Planning[[#This Row],[Tipo de Tarea y especialidad]],#REF!,Planning[[#This Row],[Proyectos Reiwa]]),SUMIFS(#REF!,#REF!,Planning[[#This Row],[Tipo de Tarea y especialidad]],#REF!,Planning[[#This Row],[Proyectos]]))</f>
        <v>#REF!</v>
      </c>
      <c r="K3544" s="5" t="e">
        <f>+Planning[[#This Row],[Horas Planificadas]]+Planning[[#This Row],[Horas ajustadas adicionales]]-Planning[[#This Row],[Horas utilizadas]]</f>
        <v>#REF!</v>
      </c>
      <c r="L3544" s="7">
        <v>0</v>
      </c>
      <c r="M3544" s="19" t="e">
        <f>Planning[[#This Row],[Saldo]]-Planning[[#This Row],[Saldo estimado]]</f>
        <v>#REF!</v>
      </c>
      <c r="N3544" s="60" t="e">
        <f>+SUMIFS(#REF!,#REF!,Planning[[#This Row],[Proyectos]],#REF!,Planning[[#This Row],[Tipo de Tarea y especialidad]])</f>
        <v>#REF!</v>
      </c>
      <c r="O3544" s="19">
        <f t="shared" si="110"/>
        <v>10</v>
      </c>
      <c r="P3544" s="19">
        <f t="shared" si="111"/>
        <v>2024</v>
      </c>
      <c r="Q35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44" s="19" t="str">
        <f>TEXT(Planning[[#This Row],[Mes]]*29,"mmmm")</f>
        <v>October</v>
      </c>
      <c r="S35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44" s="239"/>
      <c r="U3544" s="43">
        <f>IF(Planning[[#This Row],[Horas Planificadas]]&lt;&gt;0,+K3544/Planning[[#This Row],[Horas Planificadas]],0)</f>
        <v>0</v>
      </c>
      <c r="V3544" s="43">
        <f>IF(Planning[[#This Row],[Horas Planificadas]]&lt;&gt;0,Planning[[#This Row],[Horas utilizadas]]/Planning[[#This Row],[Horas Planificadas]],0)</f>
        <v>0</v>
      </c>
      <c r="W3544" s="44">
        <f>Planning[[#This Row],[Horas Planificadas]]+Planning[[#This Row],[Horas ajustadas adicionales]]</f>
        <v>0</v>
      </c>
      <c r="X3544" s="142"/>
    </row>
    <row r="3545" spans="1:24" x14ac:dyDescent="0.2">
      <c r="A3545" s="7" t="s">
        <v>483</v>
      </c>
      <c r="B3545" s="7" t="s">
        <v>220</v>
      </c>
      <c r="C3545" s="3"/>
      <c r="D3545" s="3" t="s">
        <v>643</v>
      </c>
      <c r="E3545" s="4"/>
      <c r="F3545" s="3" t="s">
        <v>124</v>
      </c>
      <c r="G3545" s="9">
        <v>0</v>
      </c>
      <c r="H3545" s="9">
        <v>0</v>
      </c>
      <c r="I3545" s="12"/>
      <c r="J3545" s="5" t="e">
        <f>SUM(SUMIFS(#REF!,#REF!,Planning[[#This Row],[Tipo de Tarea y especialidad]],#REF!,Planning[[#This Row],[Proyectos Reiwa]]),SUMIFS(#REF!,#REF!,Planning[[#This Row],[Tipo de Tarea y especialidad]],#REF!,Planning[[#This Row],[Proyectos]]))</f>
        <v>#REF!</v>
      </c>
      <c r="K3545" s="5" t="e">
        <f>+Planning[[#This Row],[Horas Planificadas]]+Planning[[#This Row],[Horas ajustadas adicionales]]-Planning[[#This Row],[Horas utilizadas]]</f>
        <v>#REF!</v>
      </c>
      <c r="L3545" s="7">
        <v>0</v>
      </c>
      <c r="M3545" s="19" t="e">
        <f>Planning[[#This Row],[Saldo]]-Planning[[#This Row],[Saldo estimado]]</f>
        <v>#REF!</v>
      </c>
      <c r="N3545" s="60" t="e">
        <f>+SUMIFS(#REF!,#REF!,Planning[[#This Row],[Proyectos]],#REF!,Planning[[#This Row],[Tipo de Tarea y especialidad]])</f>
        <v>#REF!</v>
      </c>
      <c r="O3545" s="19">
        <f t="shared" si="110"/>
        <v>10</v>
      </c>
      <c r="P3545" s="19">
        <f t="shared" si="111"/>
        <v>2024</v>
      </c>
      <c r="Q35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45" s="19" t="str">
        <f>TEXT(Planning[[#This Row],[Mes]]*29,"mmmm")</f>
        <v>October</v>
      </c>
      <c r="S35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45" s="239"/>
      <c r="U3545" s="43">
        <f>IF(Planning[[#This Row],[Horas Planificadas]]&lt;&gt;0,+K3545/Planning[[#This Row],[Horas Planificadas]],0)</f>
        <v>0</v>
      </c>
      <c r="V3545" s="43">
        <f>IF(Planning[[#This Row],[Horas Planificadas]]&lt;&gt;0,Planning[[#This Row],[Horas utilizadas]]/Planning[[#This Row],[Horas Planificadas]],0)</f>
        <v>0</v>
      </c>
      <c r="W3545" s="44">
        <f>Planning[[#This Row],[Horas Planificadas]]+Planning[[#This Row],[Horas ajustadas adicionales]]</f>
        <v>0</v>
      </c>
      <c r="X3545" s="142"/>
    </row>
    <row r="3546" spans="1:24" x14ac:dyDescent="0.2">
      <c r="A3546" s="7" t="s">
        <v>483</v>
      </c>
      <c r="B3546" s="7" t="s">
        <v>220</v>
      </c>
      <c r="C3546" s="3"/>
      <c r="D3546" s="3" t="s">
        <v>643</v>
      </c>
      <c r="E3546" s="4"/>
      <c r="F3546" s="3" t="s">
        <v>125</v>
      </c>
      <c r="G3546" s="9">
        <v>108</v>
      </c>
      <c r="H3546" s="9">
        <v>108</v>
      </c>
      <c r="I3546" s="12"/>
      <c r="J3546" s="5" t="e">
        <f>SUM(SUMIFS(#REF!,#REF!,Planning[[#This Row],[Tipo de Tarea y especialidad]],#REF!,Planning[[#This Row],[Proyectos Reiwa]]),SUMIFS(#REF!,#REF!,Planning[[#This Row],[Tipo de Tarea y especialidad]],#REF!,Planning[[#This Row],[Proyectos]]))</f>
        <v>#REF!</v>
      </c>
      <c r="K3546" s="5" t="e">
        <f>+Planning[[#This Row],[Horas Planificadas]]+Planning[[#This Row],[Horas ajustadas adicionales]]-Planning[[#This Row],[Horas utilizadas]]</f>
        <v>#REF!</v>
      </c>
      <c r="L3546" s="7">
        <v>0</v>
      </c>
      <c r="M3546" s="19" t="e">
        <f>Planning[[#This Row],[Saldo]]-Planning[[#This Row],[Saldo estimado]]</f>
        <v>#REF!</v>
      </c>
      <c r="N3546" s="60" t="e">
        <f>+SUMIFS(#REF!,#REF!,Planning[[#This Row],[Proyectos]],#REF!,Planning[[#This Row],[Tipo de Tarea y especialidad]])</f>
        <v>#REF!</v>
      </c>
      <c r="O3546" s="19">
        <f t="shared" si="110"/>
        <v>10</v>
      </c>
      <c r="P3546" s="19">
        <f t="shared" si="111"/>
        <v>2024</v>
      </c>
      <c r="Q35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46" s="19" t="str">
        <f>TEXT(Planning[[#This Row],[Mes]]*29,"mmmm")</f>
        <v>October</v>
      </c>
      <c r="S35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46" s="239"/>
      <c r="U3546" s="43" t="e">
        <f>IF(Planning[[#This Row],[Horas Planificadas]]&lt;&gt;0,+K3546/Planning[[#This Row],[Horas Planificadas]],0)</f>
        <v>#REF!</v>
      </c>
      <c r="V3546" s="43" t="e">
        <f>IF(Planning[[#This Row],[Horas Planificadas]]&lt;&gt;0,Planning[[#This Row],[Horas utilizadas]]/Planning[[#This Row],[Horas Planificadas]],0)</f>
        <v>#REF!</v>
      </c>
      <c r="W3546" s="44">
        <f>Planning[[#This Row],[Horas Planificadas]]+Planning[[#This Row],[Horas ajustadas adicionales]]</f>
        <v>108</v>
      </c>
      <c r="X3546" s="142"/>
    </row>
    <row r="3547" spans="1:24" x14ac:dyDescent="0.2">
      <c r="A3547" s="7" t="s">
        <v>483</v>
      </c>
      <c r="B3547" s="7" t="s">
        <v>220</v>
      </c>
      <c r="C3547" s="3"/>
      <c r="D3547" s="3" t="s">
        <v>643</v>
      </c>
      <c r="E3547" s="4"/>
      <c r="F3547" s="3" t="s">
        <v>126</v>
      </c>
      <c r="G3547" s="9">
        <v>180</v>
      </c>
      <c r="H3547" s="9">
        <v>180</v>
      </c>
      <c r="I3547" s="12"/>
      <c r="J3547" s="5" t="e">
        <f>SUM(SUMIFS(#REF!,#REF!,Planning[[#This Row],[Tipo de Tarea y especialidad]],#REF!,Planning[[#This Row],[Proyectos Reiwa]]),SUMIFS(#REF!,#REF!,Planning[[#This Row],[Tipo de Tarea y especialidad]],#REF!,Planning[[#This Row],[Proyectos]]))</f>
        <v>#REF!</v>
      </c>
      <c r="K3547" s="5" t="e">
        <f>+Planning[[#This Row],[Horas Planificadas]]+Planning[[#This Row],[Horas ajustadas adicionales]]-Planning[[#This Row],[Horas utilizadas]]</f>
        <v>#REF!</v>
      </c>
      <c r="L3547" s="7">
        <v>0</v>
      </c>
      <c r="M3547" s="19" t="e">
        <f>Planning[[#This Row],[Saldo]]-Planning[[#This Row],[Saldo estimado]]</f>
        <v>#REF!</v>
      </c>
      <c r="N3547" s="60" t="e">
        <f>+SUMIFS(#REF!,#REF!,Planning[[#This Row],[Proyectos]],#REF!,Planning[[#This Row],[Tipo de Tarea y especialidad]])</f>
        <v>#REF!</v>
      </c>
      <c r="O3547" s="19">
        <f t="shared" si="110"/>
        <v>10</v>
      </c>
      <c r="P3547" s="19">
        <f t="shared" si="111"/>
        <v>2024</v>
      </c>
      <c r="Q35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47" s="19" t="str">
        <f>TEXT(Planning[[#This Row],[Mes]]*29,"mmmm")</f>
        <v>October</v>
      </c>
      <c r="S35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47" s="239"/>
      <c r="U3547" s="43" t="e">
        <f>IF(Planning[[#This Row],[Horas Planificadas]]&lt;&gt;0,+K3547/Planning[[#This Row],[Horas Planificadas]],0)</f>
        <v>#REF!</v>
      </c>
      <c r="V3547" s="43" t="e">
        <f>IF(Planning[[#This Row],[Horas Planificadas]]&lt;&gt;0,Planning[[#This Row],[Horas utilizadas]]/Planning[[#This Row],[Horas Planificadas]],0)</f>
        <v>#REF!</v>
      </c>
      <c r="W3547" s="44">
        <f>Planning[[#This Row],[Horas Planificadas]]+Planning[[#This Row],[Horas ajustadas adicionales]]</f>
        <v>180</v>
      </c>
      <c r="X3547" s="142"/>
    </row>
    <row r="3548" spans="1:24" x14ac:dyDescent="0.2">
      <c r="A3548" s="7" t="s">
        <v>483</v>
      </c>
      <c r="B3548" s="7" t="s">
        <v>220</v>
      </c>
      <c r="C3548" s="3"/>
      <c r="D3548" s="3" t="s">
        <v>643</v>
      </c>
      <c r="E3548" s="4"/>
      <c r="F3548" s="3" t="s">
        <v>127</v>
      </c>
      <c r="G3548" s="9">
        <v>0</v>
      </c>
      <c r="H3548" s="9">
        <v>0</v>
      </c>
      <c r="I3548" s="12"/>
      <c r="J3548" s="5" t="e">
        <f>SUM(SUMIFS(#REF!,#REF!,Planning[[#This Row],[Tipo de Tarea y especialidad]],#REF!,Planning[[#This Row],[Proyectos Reiwa]]),SUMIFS(#REF!,#REF!,Planning[[#This Row],[Tipo de Tarea y especialidad]],#REF!,Planning[[#This Row],[Proyectos]]))</f>
        <v>#REF!</v>
      </c>
      <c r="K3548" s="5" t="e">
        <f>+Planning[[#This Row],[Horas Planificadas]]+Planning[[#This Row],[Horas ajustadas adicionales]]-Planning[[#This Row],[Horas utilizadas]]</f>
        <v>#REF!</v>
      </c>
      <c r="L3548" s="7">
        <v>0</v>
      </c>
      <c r="M3548" s="19" t="e">
        <f>Planning[[#This Row],[Saldo]]-Planning[[#This Row],[Saldo estimado]]</f>
        <v>#REF!</v>
      </c>
      <c r="N3548" s="60" t="e">
        <f>+SUMIFS(#REF!,#REF!,Planning[[#This Row],[Proyectos]],#REF!,Planning[[#This Row],[Tipo de Tarea y especialidad]])</f>
        <v>#REF!</v>
      </c>
      <c r="O3548" s="19">
        <f t="shared" si="110"/>
        <v>10</v>
      </c>
      <c r="P3548" s="19">
        <f t="shared" si="111"/>
        <v>2024</v>
      </c>
      <c r="Q35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48" s="19" t="str">
        <f>TEXT(Planning[[#This Row],[Mes]]*29,"mmmm")</f>
        <v>October</v>
      </c>
      <c r="S35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48" s="239"/>
      <c r="U3548" s="43">
        <f>IF(Planning[[#This Row],[Horas Planificadas]]&lt;&gt;0,+K3548/Planning[[#This Row],[Horas Planificadas]],0)</f>
        <v>0</v>
      </c>
      <c r="V3548" s="43">
        <f>IF(Planning[[#This Row],[Horas Planificadas]]&lt;&gt;0,Planning[[#This Row],[Horas utilizadas]]/Planning[[#This Row],[Horas Planificadas]],0)</f>
        <v>0</v>
      </c>
      <c r="W3548" s="44">
        <f>Planning[[#This Row],[Horas Planificadas]]+Planning[[#This Row],[Horas ajustadas adicionales]]</f>
        <v>0</v>
      </c>
      <c r="X3548" s="142"/>
    </row>
    <row r="3549" spans="1:24" x14ac:dyDescent="0.2">
      <c r="A3549" s="7" t="s">
        <v>483</v>
      </c>
      <c r="B3549" s="7" t="s">
        <v>220</v>
      </c>
      <c r="C3549" s="3"/>
      <c r="D3549" s="3" t="s">
        <v>643</v>
      </c>
      <c r="E3549" s="4"/>
      <c r="F3549" s="3" t="s">
        <v>128</v>
      </c>
      <c r="G3549" s="9">
        <v>0</v>
      </c>
      <c r="H3549" s="9">
        <v>0</v>
      </c>
      <c r="I3549" s="12"/>
      <c r="J3549" s="5" t="e">
        <f>SUM(SUMIFS(#REF!,#REF!,Planning[[#This Row],[Tipo de Tarea y especialidad]],#REF!,Planning[[#This Row],[Proyectos Reiwa]]),SUMIFS(#REF!,#REF!,Planning[[#This Row],[Tipo de Tarea y especialidad]],#REF!,Planning[[#This Row],[Proyectos]]))</f>
        <v>#REF!</v>
      </c>
      <c r="K3549" s="5" t="e">
        <f>+Planning[[#This Row],[Horas Planificadas]]+Planning[[#This Row],[Horas ajustadas adicionales]]-Planning[[#This Row],[Horas utilizadas]]</f>
        <v>#REF!</v>
      </c>
      <c r="L3549" s="7">
        <v>0</v>
      </c>
      <c r="M3549" s="19" t="e">
        <f>Planning[[#This Row],[Saldo]]-Planning[[#This Row],[Saldo estimado]]</f>
        <v>#REF!</v>
      </c>
      <c r="N3549" s="60" t="e">
        <f>+SUMIFS(#REF!,#REF!,Planning[[#This Row],[Proyectos]],#REF!,Planning[[#This Row],[Tipo de Tarea y especialidad]])</f>
        <v>#REF!</v>
      </c>
      <c r="O3549" s="19">
        <f t="shared" si="110"/>
        <v>10</v>
      </c>
      <c r="P3549" s="19">
        <f t="shared" si="111"/>
        <v>2024</v>
      </c>
      <c r="Q35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49" s="19" t="str">
        <f>TEXT(Planning[[#This Row],[Mes]]*29,"mmmm")</f>
        <v>October</v>
      </c>
      <c r="S35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49" s="239"/>
      <c r="U3549" s="43">
        <f>IF(Planning[[#This Row],[Horas Planificadas]]&lt;&gt;0,+K3549/Planning[[#This Row],[Horas Planificadas]],0)</f>
        <v>0</v>
      </c>
      <c r="V3549" s="43">
        <f>IF(Planning[[#This Row],[Horas Planificadas]]&lt;&gt;0,Planning[[#This Row],[Horas utilizadas]]/Planning[[#This Row],[Horas Planificadas]],0)</f>
        <v>0</v>
      </c>
      <c r="W3549" s="44">
        <f>Planning[[#This Row],[Horas Planificadas]]+Planning[[#This Row],[Horas ajustadas adicionales]]</f>
        <v>0</v>
      </c>
      <c r="X3549" s="142"/>
    </row>
    <row r="3550" spans="1:24" x14ac:dyDescent="0.2">
      <c r="A3550" s="7" t="s">
        <v>483</v>
      </c>
      <c r="B3550" s="7" t="s">
        <v>220</v>
      </c>
      <c r="C3550" s="3"/>
      <c r="D3550" s="3" t="s">
        <v>643</v>
      </c>
      <c r="E3550" s="4" t="s">
        <v>31</v>
      </c>
      <c r="F3550" s="3" t="s">
        <v>31</v>
      </c>
      <c r="G3550" s="9"/>
      <c r="H3550" s="17">
        <f>Planning[[#This Row],[Horas Precálculo]]</f>
        <v>0</v>
      </c>
      <c r="I3550" s="18"/>
      <c r="J3550" s="14" t="e">
        <f>+SUMIFS(#REF!,#REF!,Planning[[#This Row],[Tarifa]],#REF!,Planning[[#This Row],[Proyectos]])</f>
        <v>#REF!</v>
      </c>
      <c r="K3550" s="14" t="e">
        <f>+Planning[[#This Row],[Horas Planificadas]]+Planning[[#This Row],[Horas ajustadas adicionales]]-Planning[[#This Row],[Horas utilizadas]]</f>
        <v>#REF!</v>
      </c>
      <c r="L3550" s="15">
        <v>0</v>
      </c>
      <c r="M3550" s="16" t="e">
        <f>Planning[[#This Row],[Saldo]]-Planning[[#This Row],[Saldo estimado]]</f>
        <v>#REF!</v>
      </c>
      <c r="N3550" s="60" t="e">
        <f>+SUMIFS(#REF!,#REF!,Planning[[#This Row],[Proyectos]],#REF!,Planning[[#This Row],[Tipo de Tarea y especialidad]])</f>
        <v>#REF!</v>
      </c>
      <c r="O3550" s="16">
        <f t="shared" si="110"/>
        <v>10</v>
      </c>
      <c r="P3550" s="16">
        <f t="shared" si="111"/>
        <v>2024</v>
      </c>
      <c r="Q3550" s="16" t="e">
        <f>+SUMIFS(#REF!,#REF!,Planning[[#This Row],[Tarifa]],#REF!,Planning[[#This Row],[Proyectos]],#REF!,Planning[[#This Row],[Mes]],#REF!,Planning[[#This Row],[Año]])</f>
        <v>#REF!</v>
      </c>
      <c r="R3550" s="16" t="str">
        <f>TEXT(Planning[[#This Row],[Mes]]*29,"mmmm")</f>
        <v>October</v>
      </c>
      <c r="S35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50" s="239"/>
      <c r="U3550" s="43">
        <f>IF(Planning[[#This Row],[Horas Planificadas]]&lt;&gt;0,+K3550/Planning[[#This Row],[Horas Planificadas]],0)</f>
        <v>0</v>
      </c>
      <c r="V3550" s="43">
        <f>IF(Planning[[#This Row],[Horas Planificadas]]&lt;&gt;0,Planning[[#This Row],[Horas utilizadas]]/Planning[[#This Row],[Horas Planificadas]],0)</f>
        <v>0</v>
      </c>
      <c r="W3550" s="44">
        <f>Planning[[#This Row],[Horas Planificadas]]+Planning[[#This Row],[Horas ajustadas adicionales]]</f>
        <v>0</v>
      </c>
      <c r="X3550" s="142"/>
    </row>
    <row r="3551" spans="1:24" ht="22.5" x14ac:dyDescent="0.2">
      <c r="A3551" s="7" t="s">
        <v>483</v>
      </c>
      <c r="B3551" s="7" t="s">
        <v>220</v>
      </c>
      <c r="C3551" s="3"/>
      <c r="D3551" s="3" t="s">
        <v>643</v>
      </c>
      <c r="E3551" s="4" t="s">
        <v>32</v>
      </c>
      <c r="F3551" s="3"/>
      <c r="G3551" s="9"/>
      <c r="H3551" s="14">
        <f>SUM(H3552:H3554)</f>
        <v>197</v>
      </c>
      <c r="I3551" s="14"/>
      <c r="J3551" s="14" t="e">
        <f>SUM(J3552:J3554)</f>
        <v>#REF!</v>
      </c>
      <c r="K3551" s="14" t="e">
        <f>+Planning[[#This Row],[Horas Planificadas]]+Planning[[#This Row],[Horas ajustadas adicionales]]-Planning[[#This Row],[Horas utilizadas]]</f>
        <v>#REF!</v>
      </c>
      <c r="L3551" s="15">
        <f>SUM(L3552:L3554)</f>
        <v>0</v>
      </c>
      <c r="M3551" s="16" t="e">
        <f>SUM(M3552:M3554)</f>
        <v>#REF!</v>
      </c>
      <c r="N3551" s="60" t="e">
        <f>+SUMIFS(#REF!,#REF!,Planning[[#This Row],[Proyectos]],#REF!,Planning[[#This Row],[Tipo de Tarea y especialidad]])</f>
        <v>#REF!</v>
      </c>
      <c r="O3551" s="16">
        <f t="shared" si="110"/>
        <v>10</v>
      </c>
      <c r="P3551" s="16">
        <f t="shared" si="111"/>
        <v>2024</v>
      </c>
      <c r="Q3551" s="16" t="e">
        <f>SUM(Q3552:Q3554)</f>
        <v>#REF!</v>
      </c>
      <c r="R3551" s="16" t="str">
        <f>TEXT(Planning[[#This Row],[Mes]]*29,"mmmm")</f>
        <v>October</v>
      </c>
      <c r="S35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51" s="239"/>
      <c r="U3551" s="43" t="e">
        <f>IF(Planning[[#This Row],[Horas Planificadas]]&lt;&gt;0,+K3551/Planning[[#This Row],[Horas Planificadas]],0)</f>
        <v>#REF!</v>
      </c>
      <c r="V3551" s="43" t="e">
        <f>IF(Planning[[#This Row],[Horas Planificadas]]&lt;&gt;0,Planning[[#This Row],[Horas utilizadas]]/Planning[[#This Row],[Horas Planificadas]],0)</f>
        <v>#REF!</v>
      </c>
      <c r="W3551" s="44">
        <f>Planning[[#This Row],[Horas Planificadas]]+Planning[[#This Row],[Horas ajustadas adicionales]]</f>
        <v>197</v>
      </c>
      <c r="X3551" s="142"/>
    </row>
    <row r="3552" spans="1:24" x14ac:dyDescent="0.2">
      <c r="A3552" s="7" t="s">
        <v>483</v>
      </c>
      <c r="B3552" s="7" t="s">
        <v>220</v>
      </c>
      <c r="C3552" s="3"/>
      <c r="D3552" s="3" t="s">
        <v>643</v>
      </c>
      <c r="E3552" s="4"/>
      <c r="F3552" s="3" t="s">
        <v>129</v>
      </c>
      <c r="G3552" s="9">
        <v>197</v>
      </c>
      <c r="H3552" s="9">
        <v>197</v>
      </c>
      <c r="I3552" s="12"/>
      <c r="J3552" s="5" t="e">
        <f>SUM(SUMIFS(#REF!,#REF!,Planning[[#This Row],[Tipo de Tarea y especialidad]],#REF!,Planning[[#This Row],[Proyectos Reiwa]]),SUMIFS(#REF!,#REF!,Planning[[#This Row],[Tipo de Tarea y especialidad]],#REF!,Planning[[#This Row],[Proyectos]]))</f>
        <v>#REF!</v>
      </c>
      <c r="K3552" s="5" t="e">
        <f>+Planning[[#This Row],[Horas Planificadas]]+Planning[[#This Row],[Horas ajustadas adicionales]]-Planning[[#This Row],[Horas utilizadas]]</f>
        <v>#REF!</v>
      </c>
      <c r="L3552" s="7">
        <v>0</v>
      </c>
      <c r="M3552" s="19" t="e">
        <f>Planning[[#This Row],[Saldo]]-Planning[[#This Row],[Saldo estimado]]</f>
        <v>#REF!</v>
      </c>
      <c r="N3552" s="60" t="e">
        <f>+SUMIFS(#REF!,#REF!,Planning[[#This Row],[Proyectos]],#REF!,Planning[[#This Row],[Tipo de Tarea y especialidad]])</f>
        <v>#REF!</v>
      </c>
      <c r="O3552" s="19">
        <f t="shared" si="110"/>
        <v>10</v>
      </c>
      <c r="P3552" s="19">
        <f t="shared" si="111"/>
        <v>2024</v>
      </c>
      <c r="Q35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52" s="19" t="str">
        <f>TEXT(Planning[[#This Row],[Mes]]*29,"mmmm")</f>
        <v>October</v>
      </c>
      <c r="S35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52" s="239"/>
      <c r="U3552" s="43" t="e">
        <f>IF(Planning[[#This Row],[Horas Planificadas]]&lt;&gt;0,+K3552/Planning[[#This Row],[Horas Planificadas]],0)</f>
        <v>#REF!</v>
      </c>
      <c r="V3552" s="43" t="e">
        <f>IF(Planning[[#This Row],[Horas Planificadas]]&lt;&gt;0,Planning[[#This Row],[Horas utilizadas]]/Planning[[#This Row],[Horas Planificadas]],0)</f>
        <v>#REF!</v>
      </c>
      <c r="W3552" s="44">
        <f>Planning[[#This Row],[Horas Planificadas]]+Planning[[#This Row],[Horas ajustadas adicionales]]</f>
        <v>197</v>
      </c>
      <c r="X3552" s="142"/>
    </row>
    <row r="3553" spans="1:24" x14ac:dyDescent="0.2">
      <c r="A3553" s="7" t="s">
        <v>483</v>
      </c>
      <c r="B3553" s="7" t="s">
        <v>220</v>
      </c>
      <c r="C3553" s="3"/>
      <c r="D3553" s="3" t="s">
        <v>643</v>
      </c>
      <c r="E3553" s="4"/>
      <c r="F3553" s="3" t="s">
        <v>130</v>
      </c>
      <c r="G3553" s="9">
        <v>0</v>
      </c>
      <c r="H3553" s="9">
        <v>0</v>
      </c>
      <c r="I3553" s="12"/>
      <c r="J3553" s="5" t="e">
        <f>SUM(SUMIFS(#REF!,#REF!,Planning[[#This Row],[Tipo de Tarea y especialidad]],#REF!,Planning[[#This Row],[Proyectos Reiwa]]),SUMIFS(#REF!,#REF!,Planning[[#This Row],[Tipo de Tarea y especialidad]],#REF!,Planning[[#This Row],[Proyectos]]))</f>
        <v>#REF!</v>
      </c>
      <c r="K3553" s="5" t="e">
        <f>+Planning[[#This Row],[Horas Planificadas]]+Planning[[#This Row],[Horas ajustadas adicionales]]-Planning[[#This Row],[Horas utilizadas]]</f>
        <v>#REF!</v>
      </c>
      <c r="L3553" s="7">
        <v>0</v>
      </c>
      <c r="M3553" s="19" t="e">
        <f>Planning[[#This Row],[Saldo]]-Planning[[#This Row],[Saldo estimado]]</f>
        <v>#REF!</v>
      </c>
      <c r="N3553" s="60" t="e">
        <f>+SUMIFS(#REF!,#REF!,Planning[[#This Row],[Proyectos]],#REF!,Planning[[#This Row],[Tipo de Tarea y especialidad]])</f>
        <v>#REF!</v>
      </c>
      <c r="O3553" s="19">
        <f t="shared" si="110"/>
        <v>10</v>
      </c>
      <c r="P3553" s="19">
        <f t="shared" si="111"/>
        <v>2024</v>
      </c>
      <c r="Q35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53" s="19" t="str">
        <f>TEXT(Planning[[#This Row],[Mes]]*29,"mmmm")</f>
        <v>October</v>
      </c>
      <c r="S35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53" s="239"/>
      <c r="U3553" s="43">
        <f>IF(Planning[[#This Row],[Horas Planificadas]]&lt;&gt;0,+K3553/Planning[[#This Row],[Horas Planificadas]],0)</f>
        <v>0</v>
      </c>
      <c r="V3553" s="43">
        <f>IF(Planning[[#This Row],[Horas Planificadas]]&lt;&gt;0,Planning[[#This Row],[Horas utilizadas]]/Planning[[#This Row],[Horas Planificadas]],0)</f>
        <v>0</v>
      </c>
      <c r="W3553" s="44">
        <f>Planning[[#This Row],[Horas Planificadas]]+Planning[[#This Row],[Horas ajustadas adicionales]]</f>
        <v>0</v>
      </c>
      <c r="X3553" s="142"/>
    </row>
    <row r="3554" spans="1:24" x14ac:dyDescent="0.2">
      <c r="A3554" s="7" t="s">
        <v>483</v>
      </c>
      <c r="B3554" s="7" t="s">
        <v>220</v>
      </c>
      <c r="C3554" s="3"/>
      <c r="D3554" s="3" t="s">
        <v>643</v>
      </c>
      <c r="E3554" s="4"/>
      <c r="F3554" s="3" t="s">
        <v>131</v>
      </c>
      <c r="G3554" s="9">
        <v>0</v>
      </c>
      <c r="H3554" s="9">
        <v>0</v>
      </c>
      <c r="I3554" s="12"/>
      <c r="J3554" s="5" t="e">
        <f>SUM(SUMIFS(#REF!,#REF!,Planning[[#This Row],[Tipo de Tarea y especialidad]],#REF!,Planning[[#This Row],[Proyectos Reiwa]]),SUMIFS(#REF!,#REF!,Planning[[#This Row],[Tipo de Tarea y especialidad]],#REF!,Planning[[#This Row],[Proyectos]]))</f>
        <v>#REF!</v>
      </c>
      <c r="K3554" s="5" t="e">
        <f>+Planning[[#This Row],[Horas Planificadas]]+Planning[[#This Row],[Horas ajustadas adicionales]]-Planning[[#This Row],[Horas utilizadas]]</f>
        <v>#REF!</v>
      </c>
      <c r="L3554" s="7">
        <v>0</v>
      </c>
      <c r="M3554" s="19" t="e">
        <f>Planning[[#This Row],[Saldo]]-Planning[[#This Row],[Saldo estimado]]</f>
        <v>#REF!</v>
      </c>
      <c r="N3554" s="60" t="e">
        <f>+SUMIFS(#REF!,#REF!,Planning[[#This Row],[Proyectos]],#REF!,Planning[[#This Row],[Tipo de Tarea y especialidad]])</f>
        <v>#REF!</v>
      </c>
      <c r="O3554" s="19">
        <f t="shared" si="110"/>
        <v>10</v>
      </c>
      <c r="P3554" s="19">
        <f t="shared" si="111"/>
        <v>2024</v>
      </c>
      <c r="Q35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54" s="19" t="str">
        <f>TEXT(Planning[[#This Row],[Mes]]*29,"mmmm")</f>
        <v>October</v>
      </c>
      <c r="S35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54" s="239"/>
      <c r="U3554" s="43">
        <f>IF(Planning[[#This Row],[Horas Planificadas]]&lt;&gt;0,+K3554/Planning[[#This Row],[Horas Planificadas]],0)</f>
        <v>0</v>
      </c>
      <c r="V3554" s="43">
        <f>IF(Planning[[#This Row],[Horas Planificadas]]&lt;&gt;0,Planning[[#This Row],[Horas utilizadas]]/Planning[[#This Row],[Horas Planificadas]],0)</f>
        <v>0</v>
      </c>
      <c r="W3554" s="44">
        <f>Planning[[#This Row],[Horas Planificadas]]+Planning[[#This Row],[Horas ajustadas adicionales]]</f>
        <v>0</v>
      </c>
      <c r="X3554" s="142"/>
    </row>
    <row r="3555" spans="1:24" ht="22.5" x14ac:dyDescent="0.2">
      <c r="A3555" s="7" t="s">
        <v>483</v>
      </c>
      <c r="B3555" s="7" t="s">
        <v>205</v>
      </c>
      <c r="C3555" s="3"/>
      <c r="D3555" s="3" t="s">
        <v>645</v>
      </c>
      <c r="E3555" s="4" t="s">
        <v>28</v>
      </c>
      <c r="F3555" s="3"/>
      <c r="G3555" s="9">
        <v>0</v>
      </c>
      <c r="H3555" s="14">
        <f>SUBTOTAL(9,H3556:H3557)</f>
        <v>0</v>
      </c>
      <c r="I3555" s="14"/>
      <c r="J3555" s="14" t="e">
        <f>SUM(J3556:J3557)</f>
        <v>#REF!</v>
      </c>
      <c r="K3555" s="18" t="e">
        <f>SUM(K3556:K3557)</f>
        <v>#REF!</v>
      </c>
      <c r="L3555" s="15" t="e">
        <f>SUM(L3556:L3557)</f>
        <v>#REF!</v>
      </c>
      <c r="M3555" s="14" t="e">
        <f>SUM(M3556:M3557)</f>
        <v>#REF!</v>
      </c>
      <c r="N3555" s="66" t="e">
        <f>+SUMIFS(#REF!,#REF!,Planning[[#This Row],[Proyectos]],#REF!,Planning[[#This Row],[Tipo de Tarea y especialidad]])</f>
        <v>#REF!</v>
      </c>
      <c r="O3555" s="14">
        <f t="shared" si="110"/>
        <v>10</v>
      </c>
      <c r="P3555" s="14">
        <f t="shared" si="111"/>
        <v>2024</v>
      </c>
      <c r="Q3555" s="28" t="e">
        <f>SUM(Q3556:Q3557)</f>
        <v>#REF!</v>
      </c>
      <c r="R3555" s="28" t="str">
        <f>TEXT(Planning[[#This Row],[Mes]]*29,"mmmm")</f>
        <v>October</v>
      </c>
      <c r="S35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55" s="192" t="s">
        <v>646</v>
      </c>
      <c r="U3555" s="43">
        <f>IF(Planning[[#This Row],[Horas Planificadas]]&lt;&gt;0,+K3555/Planning[[#This Row],[Horas Planificadas]],0)</f>
        <v>0</v>
      </c>
      <c r="V3555" s="43">
        <f>IF(Planning[[#This Row],[Horas Planificadas]]&lt;&gt;0,Planning[[#This Row],[Horas utilizadas]]/Planning[[#This Row],[Horas Planificadas]],0)</f>
        <v>0</v>
      </c>
      <c r="W3555" s="44">
        <f>Planning[[#This Row],[Horas Planificadas]]+Planning[[#This Row],[Horas ajustadas adicionales]]</f>
        <v>0</v>
      </c>
      <c r="X3555" s="142"/>
    </row>
    <row r="3556" spans="1:24" x14ac:dyDescent="0.2">
      <c r="A3556" s="7" t="s">
        <v>483</v>
      </c>
      <c r="B3556" s="7" t="s">
        <v>205</v>
      </c>
      <c r="C3556" s="3"/>
      <c r="D3556" s="3" t="s">
        <v>645</v>
      </c>
      <c r="E3556" s="4"/>
      <c r="F3556" s="3" t="s">
        <v>120</v>
      </c>
      <c r="G3556" s="9"/>
      <c r="H3556" s="9">
        <v>0</v>
      </c>
      <c r="I3556" s="12"/>
      <c r="J3556" s="5" t="e">
        <f>SUM(SUMIFS(#REF!,#REF!,Planning[[#This Row],[Tipo de Tarea y especialidad]],#REF!,Planning[[#This Row],[Proyectos Reiwa]]),SUMIFS(#REF!,#REF!,Planning[[#This Row],[Tipo de Tarea y especialidad]],#REF!,Planning[[#This Row],[Proyectos]]))</f>
        <v>#REF!</v>
      </c>
      <c r="K3556" s="5" t="e">
        <f>Planning[[#This Row],[Horas Planificadas]]+Planning[[#This Row],[Horas ajustadas adicionales]]-Planning[[#This Row],[Horas utilizadas]]</f>
        <v>#REF!</v>
      </c>
      <c r="L3556" s="7" t="e">
        <f>Planning[[#This Row],[Saldo]]</f>
        <v>#REF!</v>
      </c>
      <c r="M3556" s="19" t="e">
        <f>Planning[[#This Row],[Saldo]]-Planning[[#This Row],[Saldo estimado]]</f>
        <v>#REF!</v>
      </c>
      <c r="N3556" s="60" t="e">
        <f>+SUMIFS(#REF!,#REF!,Planning[[#This Row],[Proyectos]],#REF!,Planning[[#This Row],[Tipo de Tarea y especialidad]])</f>
        <v>#REF!</v>
      </c>
      <c r="O3556" s="19">
        <f t="shared" si="110"/>
        <v>10</v>
      </c>
      <c r="P3556" s="19">
        <f t="shared" si="111"/>
        <v>2024</v>
      </c>
      <c r="Q35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56" s="19" t="str">
        <f>TEXT(Planning[[#This Row],[Mes]]*29,"mmmm")</f>
        <v>October</v>
      </c>
      <c r="S35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56" s="193"/>
      <c r="U3556" s="43">
        <f>IF(Planning[[#This Row],[Horas Planificadas]]&lt;&gt;0,+K3556/Planning[[#This Row],[Horas Planificadas]],0)</f>
        <v>0</v>
      </c>
      <c r="V3556" s="43">
        <f>IF(Planning[[#This Row],[Horas Planificadas]]&lt;&gt;0,Planning[[#This Row],[Horas utilizadas]]/Planning[[#This Row],[Horas Planificadas]],0)</f>
        <v>0</v>
      </c>
      <c r="W3556" s="44">
        <f>Planning[[#This Row],[Horas Planificadas]]+Planning[[#This Row],[Horas ajustadas adicionales]]</f>
        <v>0</v>
      </c>
      <c r="X3556" s="142"/>
    </row>
    <row r="3557" spans="1:24" x14ac:dyDescent="0.2">
      <c r="A3557" s="7" t="s">
        <v>483</v>
      </c>
      <c r="B3557" s="7" t="s">
        <v>205</v>
      </c>
      <c r="C3557" s="3"/>
      <c r="D3557" s="3" t="s">
        <v>645</v>
      </c>
      <c r="E3557" s="4"/>
      <c r="F3557" s="3" t="s">
        <v>121</v>
      </c>
      <c r="G3557" s="9"/>
      <c r="H3557" s="9">
        <v>0</v>
      </c>
      <c r="I3557" s="12"/>
      <c r="J3557" s="5" t="e">
        <f>SUM(SUMIFS(#REF!,#REF!,Planning[[#This Row],[Tipo de Tarea y especialidad]],#REF!,Planning[[#This Row],[Proyectos Reiwa]]),SUMIFS(#REF!,#REF!,Planning[[#This Row],[Tipo de Tarea y especialidad]],#REF!,Planning[[#This Row],[Proyectos]]))</f>
        <v>#REF!</v>
      </c>
      <c r="K3557" s="5" t="e">
        <f>Planning[[#This Row],[Horas Planificadas]]+Planning[[#This Row],[Horas ajustadas adicionales]]-Planning[[#This Row],[Horas utilizadas]]</f>
        <v>#REF!</v>
      </c>
      <c r="L3557" s="7" t="e">
        <f>Planning[[#This Row],[Saldo]]</f>
        <v>#REF!</v>
      </c>
      <c r="M3557" s="19" t="e">
        <f>Planning[[#This Row],[Saldo]]-Planning[[#This Row],[Saldo estimado]]</f>
        <v>#REF!</v>
      </c>
      <c r="N3557" s="60" t="e">
        <f>+SUMIFS(#REF!,#REF!,Planning[[#This Row],[Proyectos]],#REF!,Planning[[#This Row],[Tipo de Tarea y especialidad]])</f>
        <v>#REF!</v>
      </c>
      <c r="O3557" s="19">
        <f t="shared" si="110"/>
        <v>10</v>
      </c>
      <c r="P3557" s="19">
        <f t="shared" si="111"/>
        <v>2024</v>
      </c>
      <c r="Q35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57" s="19" t="str">
        <f>TEXT(Planning[[#This Row],[Mes]]*29,"mmmm")</f>
        <v>October</v>
      </c>
      <c r="S35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57" s="193"/>
      <c r="U3557" s="43">
        <f>IF(Planning[[#This Row],[Horas Planificadas]]&lt;&gt;0,+K3557/Planning[[#This Row],[Horas Planificadas]],0)</f>
        <v>0</v>
      </c>
      <c r="V3557" s="43">
        <f>IF(Planning[[#This Row],[Horas Planificadas]]&lt;&gt;0,Planning[[#This Row],[Horas utilizadas]]/Planning[[#This Row],[Horas Planificadas]],0)</f>
        <v>0</v>
      </c>
      <c r="W3557" s="44">
        <f>Planning[[#This Row],[Horas Planificadas]]+Planning[[#This Row],[Horas ajustadas adicionales]]</f>
        <v>0</v>
      </c>
      <c r="X3557" s="142"/>
    </row>
    <row r="3558" spans="1:24" x14ac:dyDescent="0.2">
      <c r="A3558" s="7" t="s">
        <v>483</v>
      </c>
      <c r="B3558" s="7" t="s">
        <v>205</v>
      </c>
      <c r="C3558" s="3"/>
      <c r="D3558" s="3" t="s">
        <v>645</v>
      </c>
      <c r="E3558" s="4" t="s">
        <v>30</v>
      </c>
      <c r="F3558" s="3"/>
      <c r="G3558" s="9">
        <v>500</v>
      </c>
      <c r="H3558" s="14">
        <f>SUBTOTAL(9,H3559:H3565)</f>
        <v>500</v>
      </c>
      <c r="I3558" s="14"/>
      <c r="J3558" s="14" t="e">
        <f>SUM(J3559:J3565)</f>
        <v>#REF!</v>
      </c>
      <c r="K3558" s="18" t="e">
        <f>SUM(K3559:K3565)</f>
        <v>#REF!</v>
      </c>
      <c r="L3558" s="15" t="e">
        <f>SUM(L3559:L3565)</f>
        <v>#REF!</v>
      </c>
      <c r="M3558" s="16" t="e">
        <f>SUM(M3559:M3565)</f>
        <v>#REF!</v>
      </c>
      <c r="N3558" s="60" t="e">
        <f>+SUMIFS(#REF!,#REF!,Planning[[#This Row],[Proyectos]],#REF!,Planning[[#This Row],[Tipo de Tarea y especialidad]])</f>
        <v>#REF!</v>
      </c>
      <c r="O3558" s="16">
        <f t="shared" si="110"/>
        <v>10</v>
      </c>
      <c r="P3558" s="16">
        <f t="shared" si="111"/>
        <v>2024</v>
      </c>
      <c r="Q3558" s="16" t="e">
        <f>SUM(Q3559:Q3565)</f>
        <v>#REF!</v>
      </c>
      <c r="R3558" s="16" t="str">
        <f>TEXT(Planning[[#This Row],[Mes]]*29,"mmmm")</f>
        <v>October</v>
      </c>
      <c r="S35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58" s="193"/>
      <c r="U3558" s="43" t="e">
        <f>IF(Planning[[#This Row],[Horas Planificadas]]&lt;&gt;0,+K3558/Planning[[#This Row],[Horas Planificadas]],0)</f>
        <v>#REF!</v>
      </c>
      <c r="V3558" s="43" t="e">
        <f>IF(Planning[[#This Row],[Horas Planificadas]]&lt;&gt;0,Planning[[#This Row],[Horas utilizadas]]/Planning[[#This Row],[Horas Planificadas]],0)</f>
        <v>#REF!</v>
      </c>
      <c r="W3558" s="44">
        <f>Planning[[#This Row],[Horas Planificadas]]+Planning[[#This Row],[Horas ajustadas adicionales]]</f>
        <v>500</v>
      </c>
      <c r="X3558" s="142"/>
    </row>
    <row r="3559" spans="1:24" x14ac:dyDescent="0.2">
      <c r="A3559" s="7" t="s">
        <v>483</v>
      </c>
      <c r="B3559" s="7" t="s">
        <v>205</v>
      </c>
      <c r="C3559" s="3"/>
      <c r="D3559" s="3" t="s">
        <v>645</v>
      </c>
      <c r="E3559" s="4"/>
      <c r="F3559" s="3" t="s">
        <v>122</v>
      </c>
      <c r="G3559" s="9"/>
      <c r="H3559" s="9"/>
      <c r="I3559" s="12"/>
      <c r="J3559" s="5" t="e">
        <f>SUM(SUMIFS(#REF!,#REF!,Planning[[#This Row],[Tipo de Tarea y especialidad]],#REF!,Planning[[#This Row],[Proyectos Reiwa]]),SUMIFS(#REF!,#REF!,Planning[[#This Row],[Tipo de Tarea y especialidad]],#REF!,Planning[[#This Row],[Proyectos]]))</f>
        <v>#REF!</v>
      </c>
      <c r="K3559" s="5" t="e">
        <f>Planning[[#This Row],[Horas Planificadas]]+Planning[[#This Row],[Horas ajustadas adicionales]]-Planning[[#This Row],[Horas utilizadas]]</f>
        <v>#REF!</v>
      </c>
      <c r="L3559" s="7"/>
      <c r="M3559" s="19" t="e">
        <f>Planning[[#This Row],[Saldo]]-Planning[[#This Row],[Saldo estimado]]</f>
        <v>#REF!</v>
      </c>
      <c r="N3559" s="60" t="e">
        <f>+SUMIFS(#REF!,#REF!,Planning[[#This Row],[Proyectos]],#REF!,Planning[[#This Row],[Tipo de Tarea y especialidad]])</f>
        <v>#REF!</v>
      </c>
      <c r="O3559" s="19">
        <f t="shared" si="110"/>
        <v>10</v>
      </c>
      <c r="P3559" s="19">
        <f t="shared" si="111"/>
        <v>2024</v>
      </c>
      <c r="Q35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59" s="19" t="str">
        <f>TEXT(Planning[[#This Row],[Mes]]*29,"mmmm")</f>
        <v>October</v>
      </c>
      <c r="S35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59" s="193"/>
      <c r="U3559" s="43">
        <f>IF(Planning[[#This Row],[Horas Planificadas]]&lt;&gt;0,+K3559/Planning[[#This Row],[Horas Planificadas]],0)</f>
        <v>0</v>
      </c>
      <c r="V3559" s="43">
        <f>IF(Planning[[#This Row],[Horas Planificadas]]&lt;&gt;0,Planning[[#This Row],[Horas utilizadas]]/Planning[[#This Row],[Horas Planificadas]],0)</f>
        <v>0</v>
      </c>
      <c r="W3559" s="44">
        <f>Planning[[#This Row],[Horas Planificadas]]+Planning[[#This Row],[Horas ajustadas adicionales]]</f>
        <v>0</v>
      </c>
      <c r="X3559" s="142"/>
    </row>
    <row r="3560" spans="1:24" x14ac:dyDescent="0.2">
      <c r="A3560" s="7" t="s">
        <v>483</v>
      </c>
      <c r="B3560" s="7" t="s">
        <v>205</v>
      </c>
      <c r="C3560" s="3"/>
      <c r="D3560" s="3" t="s">
        <v>645</v>
      </c>
      <c r="E3560" s="4"/>
      <c r="F3560" s="3" t="s">
        <v>123</v>
      </c>
      <c r="G3560" s="9"/>
      <c r="H3560" s="9">
        <v>410</v>
      </c>
      <c r="I3560" s="12"/>
      <c r="J3560" s="5" t="e">
        <f>SUM(SUMIFS(#REF!,#REF!,Planning[[#This Row],[Tipo de Tarea y especialidad]],#REF!,Planning[[#This Row],[Proyectos Reiwa]]),SUMIFS(#REF!,#REF!,Planning[[#This Row],[Tipo de Tarea y especialidad]],#REF!,Planning[[#This Row],[Proyectos]]))</f>
        <v>#REF!</v>
      </c>
      <c r="K3560" s="5" t="e">
        <f>Planning[[#This Row],[Horas Planificadas]]+Planning[[#This Row],[Horas ajustadas adicionales]]-Planning[[#This Row],[Horas utilizadas]]</f>
        <v>#REF!</v>
      </c>
      <c r="L3560" s="7" t="e">
        <f>Planning[[#This Row],[Saldo]]</f>
        <v>#REF!</v>
      </c>
      <c r="M3560" s="19" t="e">
        <f>Planning[[#This Row],[Saldo]]-Planning[[#This Row],[Saldo estimado]]</f>
        <v>#REF!</v>
      </c>
      <c r="N3560" s="60" t="e">
        <f>+SUMIFS(#REF!,#REF!,Planning[[#This Row],[Proyectos]],#REF!,Planning[[#This Row],[Tipo de Tarea y especialidad]])</f>
        <v>#REF!</v>
      </c>
      <c r="O3560" s="19">
        <f t="shared" si="110"/>
        <v>10</v>
      </c>
      <c r="P3560" s="19">
        <f t="shared" si="111"/>
        <v>2024</v>
      </c>
      <c r="Q35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60" s="19" t="str">
        <f>TEXT(Planning[[#This Row],[Mes]]*29,"mmmm")</f>
        <v>October</v>
      </c>
      <c r="S35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60" s="193"/>
      <c r="U3560" s="43" t="e">
        <f>IF(Planning[[#This Row],[Horas Planificadas]]&lt;&gt;0,+K3560/Planning[[#This Row],[Horas Planificadas]],0)</f>
        <v>#REF!</v>
      </c>
      <c r="V3560" s="43" t="e">
        <f>IF(Planning[[#This Row],[Horas Planificadas]]&lt;&gt;0,Planning[[#This Row],[Horas utilizadas]]/Planning[[#This Row],[Horas Planificadas]],0)</f>
        <v>#REF!</v>
      </c>
      <c r="W3560" s="44">
        <f>Planning[[#This Row],[Horas Planificadas]]+Planning[[#This Row],[Horas ajustadas adicionales]]</f>
        <v>410</v>
      </c>
      <c r="X3560" s="142"/>
    </row>
    <row r="3561" spans="1:24" x14ac:dyDescent="0.2">
      <c r="A3561" s="7" t="s">
        <v>483</v>
      </c>
      <c r="B3561" s="7" t="s">
        <v>205</v>
      </c>
      <c r="C3561" s="3"/>
      <c r="D3561" s="3" t="s">
        <v>645</v>
      </c>
      <c r="E3561" s="4"/>
      <c r="F3561" s="3" t="s">
        <v>124</v>
      </c>
      <c r="G3561" s="9"/>
      <c r="H3561" s="9"/>
      <c r="I3561" s="12"/>
      <c r="J3561" s="5" t="e">
        <f>SUM(SUMIFS(#REF!,#REF!,Planning[[#This Row],[Tipo de Tarea y especialidad]],#REF!,Planning[[#This Row],[Proyectos Reiwa]]),SUMIFS(#REF!,#REF!,Planning[[#This Row],[Tipo de Tarea y especialidad]],#REF!,Planning[[#This Row],[Proyectos]]))</f>
        <v>#REF!</v>
      </c>
      <c r="K3561" s="5" t="e">
        <f>Planning[[#This Row],[Horas Planificadas]]+Planning[[#This Row],[Horas ajustadas adicionales]]-Planning[[#This Row],[Horas utilizadas]]</f>
        <v>#REF!</v>
      </c>
      <c r="L3561" s="7"/>
      <c r="M3561" s="19" t="e">
        <f>Planning[[#This Row],[Saldo]]-Planning[[#This Row],[Saldo estimado]]</f>
        <v>#REF!</v>
      </c>
      <c r="N3561" s="60" t="e">
        <f>+SUMIFS(#REF!,#REF!,Planning[[#This Row],[Proyectos]],#REF!,Planning[[#This Row],[Tipo de Tarea y especialidad]])</f>
        <v>#REF!</v>
      </c>
      <c r="O3561" s="19">
        <f t="shared" si="110"/>
        <v>10</v>
      </c>
      <c r="P3561" s="19">
        <f t="shared" si="111"/>
        <v>2024</v>
      </c>
      <c r="Q35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61" s="19" t="str">
        <f>TEXT(Planning[[#This Row],[Mes]]*29,"mmmm")</f>
        <v>October</v>
      </c>
      <c r="S35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61" s="193"/>
      <c r="U3561" s="43">
        <f>IF(Planning[[#This Row],[Horas Planificadas]]&lt;&gt;0,+K3561/Planning[[#This Row],[Horas Planificadas]],0)</f>
        <v>0</v>
      </c>
      <c r="V3561" s="43">
        <f>IF(Planning[[#This Row],[Horas Planificadas]]&lt;&gt;0,Planning[[#This Row],[Horas utilizadas]]/Planning[[#This Row],[Horas Planificadas]],0)</f>
        <v>0</v>
      </c>
      <c r="W3561" s="44">
        <f>Planning[[#This Row],[Horas Planificadas]]+Planning[[#This Row],[Horas ajustadas adicionales]]</f>
        <v>0</v>
      </c>
      <c r="X3561" s="142"/>
    </row>
    <row r="3562" spans="1:24" x14ac:dyDescent="0.2">
      <c r="A3562" s="7" t="s">
        <v>483</v>
      </c>
      <c r="B3562" s="7" t="s">
        <v>205</v>
      </c>
      <c r="C3562" s="3"/>
      <c r="D3562" s="3" t="s">
        <v>645</v>
      </c>
      <c r="E3562" s="4"/>
      <c r="F3562" s="3" t="s">
        <v>125</v>
      </c>
      <c r="G3562" s="9"/>
      <c r="H3562" s="9">
        <v>90</v>
      </c>
      <c r="I3562" s="12"/>
      <c r="J3562" s="5" t="e">
        <f>SUM(SUMIFS(#REF!,#REF!,Planning[[#This Row],[Tipo de Tarea y especialidad]],#REF!,Planning[[#This Row],[Proyectos Reiwa]]),SUMIFS(#REF!,#REF!,Planning[[#This Row],[Tipo de Tarea y especialidad]],#REF!,Planning[[#This Row],[Proyectos]]))</f>
        <v>#REF!</v>
      </c>
      <c r="K3562" s="5" t="e">
        <f>Planning[[#This Row],[Horas Planificadas]]+Planning[[#This Row],[Horas ajustadas adicionales]]-Planning[[#This Row],[Horas utilizadas]]</f>
        <v>#REF!</v>
      </c>
      <c r="L3562" s="7" t="e">
        <f>Planning[[#This Row],[Saldo]]</f>
        <v>#REF!</v>
      </c>
      <c r="M3562" s="19" t="e">
        <f>Planning[[#This Row],[Saldo]]-Planning[[#This Row],[Saldo estimado]]</f>
        <v>#REF!</v>
      </c>
      <c r="N3562" s="60" t="e">
        <f>+SUMIFS(#REF!,#REF!,Planning[[#This Row],[Proyectos]],#REF!,Planning[[#This Row],[Tipo de Tarea y especialidad]])</f>
        <v>#REF!</v>
      </c>
      <c r="O3562" s="19">
        <f t="shared" si="110"/>
        <v>10</v>
      </c>
      <c r="P3562" s="19">
        <f t="shared" si="111"/>
        <v>2024</v>
      </c>
      <c r="Q35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62" s="19" t="str">
        <f>TEXT(Planning[[#This Row],[Mes]]*29,"mmmm")</f>
        <v>October</v>
      </c>
      <c r="S35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62" s="193"/>
      <c r="U3562" s="43" t="e">
        <f>IF(Planning[[#This Row],[Horas Planificadas]]&lt;&gt;0,+K3562/Planning[[#This Row],[Horas Planificadas]],0)</f>
        <v>#REF!</v>
      </c>
      <c r="V3562" s="43" t="e">
        <f>IF(Planning[[#This Row],[Horas Planificadas]]&lt;&gt;0,Planning[[#This Row],[Horas utilizadas]]/Planning[[#This Row],[Horas Planificadas]],0)</f>
        <v>#REF!</v>
      </c>
      <c r="W3562" s="44">
        <f>Planning[[#This Row],[Horas Planificadas]]+Planning[[#This Row],[Horas ajustadas adicionales]]</f>
        <v>90</v>
      </c>
      <c r="X3562" s="142"/>
    </row>
    <row r="3563" spans="1:24" x14ac:dyDescent="0.2">
      <c r="A3563" s="7" t="s">
        <v>483</v>
      </c>
      <c r="B3563" s="7" t="s">
        <v>205</v>
      </c>
      <c r="C3563" s="3"/>
      <c r="D3563" s="3" t="s">
        <v>645</v>
      </c>
      <c r="E3563" s="4"/>
      <c r="F3563" s="3" t="s">
        <v>126</v>
      </c>
      <c r="G3563" s="9"/>
      <c r="H3563" s="9"/>
      <c r="I3563" s="12"/>
      <c r="J3563" s="5" t="e">
        <f>SUM(SUMIFS(#REF!,#REF!,Planning[[#This Row],[Tipo de Tarea y especialidad]],#REF!,Planning[[#This Row],[Proyectos Reiwa]]),SUMIFS(#REF!,#REF!,Planning[[#This Row],[Tipo de Tarea y especialidad]],#REF!,Planning[[#This Row],[Proyectos]]))</f>
        <v>#REF!</v>
      </c>
      <c r="K3563" s="5" t="e">
        <f>Planning[[#This Row],[Horas Planificadas]]+Planning[[#This Row],[Horas ajustadas adicionales]]-Planning[[#This Row],[Horas utilizadas]]</f>
        <v>#REF!</v>
      </c>
      <c r="L3563" s="7"/>
      <c r="M3563" s="19" t="e">
        <f>Planning[[#This Row],[Saldo]]-Planning[[#This Row],[Saldo estimado]]</f>
        <v>#REF!</v>
      </c>
      <c r="N3563" s="60" t="e">
        <f>+SUMIFS(#REF!,#REF!,Planning[[#This Row],[Proyectos]],#REF!,Planning[[#This Row],[Tipo de Tarea y especialidad]])</f>
        <v>#REF!</v>
      </c>
      <c r="O3563" s="19">
        <f t="shared" si="110"/>
        <v>10</v>
      </c>
      <c r="P3563" s="19">
        <f t="shared" si="111"/>
        <v>2024</v>
      </c>
      <c r="Q35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63" s="19" t="str">
        <f>TEXT(Planning[[#This Row],[Mes]]*29,"mmmm")</f>
        <v>October</v>
      </c>
      <c r="S35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63" s="193"/>
      <c r="U3563" s="43">
        <f>IF(Planning[[#This Row],[Horas Planificadas]]&lt;&gt;0,+K3563/Planning[[#This Row],[Horas Planificadas]],0)</f>
        <v>0</v>
      </c>
      <c r="V3563" s="43">
        <f>IF(Planning[[#This Row],[Horas Planificadas]]&lt;&gt;0,Planning[[#This Row],[Horas utilizadas]]/Planning[[#This Row],[Horas Planificadas]],0)</f>
        <v>0</v>
      </c>
      <c r="W3563" s="44">
        <f>Planning[[#This Row],[Horas Planificadas]]+Planning[[#This Row],[Horas ajustadas adicionales]]</f>
        <v>0</v>
      </c>
      <c r="X3563" s="142"/>
    </row>
    <row r="3564" spans="1:24" x14ac:dyDescent="0.2">
      <c r="A3564" s="7" t="s">
        <v>483</v>
      </c>
      <c r="B3564" s="7" t="s">
        <v>205</v>
      </c>
      <c r="C3564" s="3"/>
      <c r="D3564" s="3" t="s">
        <v>645</v>
      </c>
      <c r="E3564" s="4"/>
      <c r="F3564" s="3" t="s">
        <v>127</v>
      </c>
      <c r="G3564" s="9"/>
      <c r="H3564" s="9"/>
      <c r="I3564" s="12"/>
      <c r="J3564" s="5" t="e">
        <f>SUM(SUMIFS(#REF!,#REF!,Planning[[#This Row],[Tipo de Tarea y especialidad]],#REF!,Planning[[#This Row],[Proyectos Reiwa]]),SUMIFS(#REF!,#REF!,Planning[[#This Row],[Tipo de Tarea y especialidad]],#REF!,Planning[[#This Row],[Proyectos]]))</f>
        <v>#REF!</v>
      </c>
      <c r="K3564" s="5" t="e">
        <f>Planning[[#This Row],[Horas Planificadas]]+Planning[[#This Row],[Horas ajustadas adicionales]]-Planning[[#This Row],[Horas utilizadas]]</f>
        <v>#REF!</v>
      </c>
      <c r="L3564" s="7">
        <v>0</v>
      </c>
      <c r="M3564" s="19" t="e">
        <f>Planning[[#This Row],[Saldo]]-Planning[[#This Row],[Saldo estimado]]</f>
        <v>#REF!</v>
      </c>
      <c r="N3564" s="60" t="e">
        <f>+SUMIFS(#REF!,#REF!,Planning[[#This Row],[Proyectos]],#REF!,Planning[[#This Row],[Tipo de Tarea y especialidad]])</f>
        <v>#REF!</v>
      </c>
      <c r="O3564" s="19">
        <f t="shared" si="110"/>
        <v>10</v>
      </c>
      <c r="P3564" s="19">
        <f t="shared" si="111"/>
        <v>2024</v>
      </c>
      <c r="Q35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64" s="19" t="str">
        <f>TEXT(Planning[[#This Row],[Mes]]*29,"mmmm")</f>
        <v>October</v>
      </c>
      <c r="S35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64" s="193"/>
      <c r="U3564" s="43">
        <f>IF(Planning[[#This Row],[Horas Planificadas]]&lt;&gt;0,+K3564/Planning[[#This Row],[Horas Planificadas]],0)</f>
        <v>0</v>
      </c>
      <c r="V3564" s="43">
        <f>IF(Planning[[#This Row],[Horas Planificadas]]&lt;&gt;0,Planning[[#This Row],[Horas utilizadas]]/Planning[[#This Row],[Horas Planificadas]],0)</f>
        <v>0</v>
      </c>
      <c r="W3564" s="44">
        <f>Planning[[#This Row],[Horas Planificadas]]+Planning[[#This Row],[Horas ajustadas adicionales]]</f>
        <v>0</v>
      </c>
      <c r="X3564" s="142"/>
    </row>
    <row r="3565" spans="1:24" x14ac:dyDescent="0.2">
      <c r="A3565" s="7" t="s">
        <v>483</v>
      </c>
      <c r="B3565" s="7" t="s">
        <v>205</v>
      </c>
      <c r="C3565" s="3"/>
      <c r="D3565" s="3" t="s">
        <v>645</v>
      </c>
      <c r="E3565" s="4"/>
      <c r="F3565" s="3" t="s">
        <v>128</v>
      </c>
      <c r="G3565" s="9"/>
      <c r="H3565" s="9"/>
      <c r="I3565" s="12"/>
      <c r="J3565" s="5" t="e">
        <f>SUM(SUMIFS(#REF!,#REF!,Planning[[#This Row],[Tipo de Tarea y especialidad]],#REF!,Planning[[#This Row],[Proyectos Reiwa]]),SUMIFS(#REF!,#REF!,Planning[[#This Row],[Tipo de Tarea y especialidad]],#REF!,Planning[[#This Row],[Proyectos]]))</f>
        <v>#REF!</v>
      </c>
      <c r="K3565" s="5" t="e">
        <f>Planning[[#This Row],[Horas Planificadas]]+Planning[[#This Row],[Horas ajustadas adicionales]]-Planning[[#This Row],[Horas utilizadas]]</f>
        <v>#REF!</v>
      </c>
      <c r="L3565" s="7"/>
      <c r="M3565" s="19" t="e">
        <f>Planning[[#This Row],[Saldo]]-Planning[[#This Row],[Saldo estimado]]</f>
        <v>#REF!</v>
      </c>
      <c r="N3565" s="60" t="e">
        <f>+SUMIFS(#REF!,#REF!,Planning[[#This Row],[Proyectos]],#REF!,Planning[[#This Row],[Tipo de Tarea y especialidad]])</f>
        <v>#REF!</v>
      </c>
      <c r="O3565" s="19">
        <f t="shared" si="110"/>
        <v>10</v>
      </c>
      <c r="P3565" s="19">
        <f t="shared" si="111"/>
        <v>2024</v>
      </c>
      <c r="Q35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65" s="19" t="str">
        <f>TEXT(Planning[[#This Row],[Mes]]*29,"mmmm")</f>
        <v>October</v>
      </c>
      <c r="S35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65" s="193"/>
      <c r="U3565" s="43">
        <f>IF(Planning[[#This Row],[Horas Planificadas]]&lt;&gt;0,+K3565/Planning[[#This Row],[Horas Planificadas]],0)</f>
        <v>0</v>
      </c>
      <c r="V3565" s="43">
        <f>IF(Planning[[#This Row],[Horas Planificadas]]&lt;&gt;0,Planning[[#This Row],[Horas utilizadas]]/Planning[[#This Row],[Horas Planificadas]],0)</f>
        <v>0</v>
      </c>
      <c r="W3565" s="44">
        <f>Planning[[#This Row],[Horas Planificadas]]+Planning[[#This Row],[Horas ajustadas adicionales]]</f>
        <v>0</v>
      </c>
      <c r="X3565" s="142"/>
    </row>
    <row r="3566" spans="1:24" x14ac:dyDescent="0.2">
      <c r="A3566" s="7" t="s">
        <v>483</v>
      </c>
      <c r="B3566" s="7" t="s">
        <v>205</v>
      </c>
      <c r="C3566" s="3"/>
      <c r="D3566" s="3" t="s">
        <v>645</v>
      </c>
      <c r="E3566" s="4" t="s">
        <v>31</v>
      </c>
      <c r="F3566" s="3" t="s">
        <v>31</v>
      </c>
      <c r="G3566" s="9">
        <v>45</v>
      </c>
      <c r="H3566" s="17">
        <v>34</v>
      </c>
      <c r="I3566" s="18"/>
      <c r="J3566" s="14" t="e">
        <f>+SUMIFS(#REF!,#REF!,Planning[[#This Row],[Tarifa]],#REF!,Planning[[#This Row],[Proyectos]])</f>
        <v>#REF!</v>
      </c>
      <c r="K3566" s="14" t="e">
        <f>Planning[[#This Row],[Horas Planificadas]]+Planning[[#This Row],[Horas ajustadas adicionales]]-Planning[[#This Row],[Horas utilizadas]]</f>
        <v>#REF!</v>
      </c>
      <c r="L3566" s="15" t="e">
        <f>Planning[[#This Row],[Saldo]]</f>
        <v>#REF!</v>
      </c>
      <c r="M3566" s="16" t="e">
        <f>Planning[[#This Row],[Saldo]]-Planning[[#This Row],[Saldo estimado]]</f>
        <v>#REF!</v>
      </c>
      <c r="N3566" s="60" t="e">
        <f>+SUMIFS(#REF!,#REF!,Planning[[#This Row],[Proyectos]],#REF!,Planning[[#This Row],[Tipo de Tarea y especialidad]])</f>
        <v>#REF!</v>
      </c>
      <c r="O3566" s="16">
        <f t="shared" si="110"/>
        <v>10</v>
      </c>
      <c r="P3566" s="16">
        <f t="shared" si="111"/>
        <v>2024</v>
      </c>
      <c r="Q3566" s="16" t="e">
        <f>+SUMIFS(#REF!,#REF!,Planning[[#This Row],[Tarifa]],#REF!,Planning[[#This Row],[Proyectos]],#REF!,Planning[[#This Row],[Mes]],#REF!,Planning[[#This Row],[Año]])</f>
        <v>#REF!</v>
      </c>
      <c r="R3566" s="16" t="str">
        <f>TEXT(Planning[[#This Row],[Mes]]*29,"mmmm")</f>
        <v>October</v>
      </c>
      <c r="S35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66" s="193"/>
      <c r="U3566" s="43" t="e">
        <f>IF(Planning[[#This Row],[Horas Planificadas]]&lt;&gt;0,+K3566/Planning[[#This Row],[Horas Planificadas]],0)</f>
        <v>#REF!</v>
      </c>
      <c r="V3566" s="43" t="e">
        <f>IF(Planning[[#This Row],[Horas Planificadas]]&lt;&gt;0,Planning[[#This Row],[Horas utilizadas]]/Planning[[#This Row],[Horas Planificadas]],0)</f>
        <v>#REF!</v>
      </c>
      <c r="W3566" s="44">
        <f>Planning[[#This Row],[Horas Planificadas]]+Planning[[#This Row],[Horas ajustadas adicionales]]</f>
        <v>34</v>
      </c>
      <c r="X3566" s="142"/>
    </row>
    <row r="3567" spans="1:24" ht="22.5" x14ac:dyDescent="0.2">
      <c r="A3567" s="7" t="s">
        <v>483</v>
      </c>
      <c r="B3567" s="7" t="s">
        <v>205</v>
      </c>
      <c r="C3567" s="3"/>
      <c r="D3567" s="3" t="s">
        <v>645</v>
      </c>
      <c r="E3567" s="4" t="s">
        <v>32</v>
      </c>
      <c r="F3567" s="3"/>
      <c r="G3567" s="9">
        <v>40</v>
      </c>
      <c r="H3567" s="14">
        <f>SUBTOTAL(9,H3568:H3570)</f>
        <v>162</v>
      </c>
      <c r="I3567" s="14"/>
      <c r="J3567" s="14" t="e">
        <f>SUM(J3568:J3570)</f>
        <v>#REF!</v>
      </c>
      <c r="K3567" s="18" t="e">
        <f>SUM(K3568:K3570)</f>
        <v>#REF!</v>
      </c>
      <c r="L3567" s="15">
        <f>SUM(L3568:L3570)</f>
        <v>0</v>
      </c>
      <c r="M3567" s="16" t="e">
        <f>SUM(M3568:M3570)</f>
        <v>#REF!</v>
      </c>
      <c r="N3567" s="60" t="e">
        <f>+SUMIFS(#REF!,#REF!,Planning[[#This Row],[Proyectos]],#REF!,Planning[[#This Row],[Tipo de Tarea y especialidad]])</f>
        <v>#REF!</v>
      </c>
      <c r="O3567" s="16">
        <f t="shared" si="110"/>
        <v>10</v>
      </c>
      <c r="P3567" s="16">
        <f t="shared" si="111"/>
        <v>2024</v>
      </c>
      <c r="Q3567" s="16" t="e">
        <f>SUM(Q3568:Q3570)</f>
        <v>#REF!</v>
      </c>
      <c r="R3567" s="16" t="str">
        <f>TEXT(Planning[[#This Row],[Mes]]*29,"mmmm")</f>
        <v>October</v>
      </c>
      <c r="S35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67" s="193"/>
      <c r="U3567" s="43" t="e">
        <f>IF(Planning[[#This Row],[Horas Planificadas]]&lt;&gt;0,+K3567/Planning[[#This Row],[Horas Planificadas]],0)</f>
        <v>#REF!</v>
      </c>
      <c r="V3567" s="43" t="e">
        <f>IF(Planning[[#This Row],[Horas Planificadas]]&lt;&gt;0,Planning[[#This Row],[Horas utilizadas]]/Planning[[#This Row],[Horas Planificadas]],0)</f>
        <v>#REF!</v>
      </c>
      <c r="W3567" s="44">
        <f>Planning[[#This Row],[Horas Planificadas]]+Planning[[#This Row],[Horas ajustadas adicionales]]</f>
        <v>162</v>
      </c>
      <c r="X3567" s="142"/>
    </row>
    <row r="3568" spans="1:24" x14ac:dyDescent="0.2">
      <c r="A3568" s="7" t="s">
        <v>483</v>
      </c>
      <c r="B3568" s="7" t="s">
        <v>205</v>
      </c>
      <c r="C3568" s="3"/>
      <c r="D3568" s="3" t="s">
        <v>645</v>
      </c>
      <c r="E3568" s="4"/>
      <c r="F3568" s="3" t="s">
        <v>129</v>
      </c>
      <c r="G3568" s="9"/>
      <c r="H3568" s="9"/>
      <c r="I3568" s="12"/>
      <c r="J3568" s="5" t="e">
        <f>SUM(SUMIFS(#REF!,#REF!,Planning[[#This Row],[Tipo de Tarea y especialidad]],#REF!,Planning[[#This Row],[Proyectos Reiwa]]),SUMIFS(#REF!,#REF!,Planning[[#This Row],[Tipo de Tarea y especialidad]],#REF!,Planning[[#This Row],[Proyectos]]))</f>
        <v>#REF!</v>
      </c>
      <c r="K3568" s="5" t="e">
        <f>Planning[[#This Row],[Horas Planificadas]]+Planning[[#This Row],[Horas ajustadas adicionales]]-Planning[[#This Row],[Horas utilizadas]]</f>
        <v>#REF!</v>
      </c>
      <c r="L3568" s="7"/>
      <c r="M3568" s="19" t="e">
        <f>Planning[[#This Row],[Saldo]]-Planning[[#This Row],[Saldo estimado]]</f>
        <v>#REF!</v>
      </c>
      <c r="N3568" s="60" t="e">
        <f>+SUMIFS(#REF!,#REF!,Planning[[#This Row],[Proyectos]],#REF!,Planning[[#This Row],[Tipo de Tarea y especialidad]])</f>
        <v>#REF!</v>
      </c>
      <c r="O3568" s="19">
        <f t="shared" si="110"/>
        <v>10</v>
      </c>
      <c r="P3568" s="19">
        <f t="shared" si="111"/>
        <v>2024</v>
      </c>
      <c r="Q35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68" s="19" t="str">
        <f>TEXT(Planning[[#This Row],[Mes]]*29,"mmmm")</f>
        <v>October</v>
      </c>
      <c r="S35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68" s="193"/>
      <c r="U3568" s="43">
        <f>IF(Planning[[#This Row],[Horas Planificadas]]&lt;&gt;0,+K3568/Planning[[#This Row],[Horas Planificadas]],0)</f>
        <v>0</v>
      </c>
      <c r="V3568" s="43">
        <f>IF(Planning[[#This Row],[Horas Planificadas]]&lt;&gt;0,Planning[[#This Row],[Horas utilizadas]]/Planning[[#This Row],[Horas Planificadas]],0)</f>
        <v>0</v>
      </c>
      <c r="W3568" s="44">
        <f>Planning[[#This Row],[Horas Planificadas]]+Planning[[#This Row],[Horas ajustadas adicionales]]</f>
        <v>0</v>
      </c>
      <c r="X3568" s="142"/>
    </row>
    <row r="3569" spans="1:24" x14ac:dyDescent="0.2">
      <c r="A3569" s="7" t="s">
        <v>483</v>
      </c>
      <c r="B3569" s="7" t="s">
        <v>205</v>
      </c>
      <c r="C3569" s="3"/>
      <c r="D3569" s="3" t="s">
        <v>645</v>
      </c>
      <c r="E3569" s="4"/>
      <c r="F3569" s="3" t="s">
        <v>130</v>
      </c>
      <c r="G3569" s="9"/>
      <c r="H3569" s="9">
        <v>162</v>
      </c>
      <c r="I3569" s="12"/>
      <c r="J3569" s="5" t="e">
        <f>SUM(SUMIFS(#REF!,#REF!,Planning[[#This Row],[Tipo de Tarea y especialidad]],#REF!,Planning[[#This Row],[Proyectos Reiwa]]),SUMIFS(#REF!,#REF!,Planning[[#This Row],[Tipo de Tarea y especialidad]],#REF!,Planning[[#This Row],[Proyectos]]))</f>
        <v>#REF!</v>
      </c>
      <c r="K3569" s="5" t="e">
        <f>Planning[[#This Row],[Horas Planificadas]]+Planning[[#This Row],[Horas ajustadas adicionales]]-Planning[[#This Row],[Horas utilizadas]]</f>
        <v>#REF!</v>
      </c>
      <c r="L3569" s="7">
        <v>0</v>
      </c>
      <c r="M3569" s="19" t="e">
        <f>Planning[[#This Row],[Saldo]]-Planning[[#This Row],[Saldo estimado]]</f>
        <v>#REF!</v>
      </c>
      <c r="N3569" s="60" t="e">
        <f>+SUMIFS(#REF!,#REF!,Planning[[#This Row],[Proyectos]],#REF!,Planning[[#This Row],[Tipo de Tarea y especialidad]])</f>
        <v>#REF!</v>
      </c>
      <c r="O3569" s="19">
        <f t="shared" si="110"/>
        <v>10</v>
      </c>
      <c r="P3569" s="19">
        <f t="shared" si="111"/>
        <v>2024</v>
      </c>
      <c r="Q35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69" s="19" t="str">
        <f>TEXT(Planning[[#This Row],[Mes]]*29,"mmmm")</f>
        <v>October</v>
      </c>
      <c r="S35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69" s="193"/>
      <c r="U3569" s="43" t="e">
        <f>IF(Planning[[#This Row],[Horas Planificadas]]&lt;&gt;0,+K3569/Planning[[#This Row],[Horas Planificadas]],0)</f>
        <v>#REF!</v>
      </c>
      <c r="V3569" s="43" t="e">
        <f>IF(Planning[[#This Row],[Horas Planificadas]]&lt;&gt;0,Planning[[#This Row],[Horas utilizadas]]/Planning[[#This Row],[Horas Planificadas]],0)</f>
        <v>#REF!</v>
      </c>
      <c r="W3569" s="44">
        <f>Planning[[#This Row],[Horas Planificadas]]+Planning[[#This Row],[Horas ajustadas adicionales]]</f>
        <v>162</v>
      </c>
      <c r="X3569" s="142"/>
    </row>
    <row r="3570" spans="1:24" x14ac:dyDescent="0.2">
      <c r="A3570" s="7" t="s">
        <v>483</v>
      </c>
      <c r="B3570" s="7" t="s">
        <v>205</v>
      </c>
      <c r="C3570" s="3"/>
      <c r="D3570" s="3" t="s">
        <v>645</v>
      </c>
      <c r="E3570" s="4"/>
      <c r="F3570" s="3" t="s">
        <v>131</v>
      </c>
      <c r="G3570" s="9"/>
      <c r="H3570" s="9"/>
      <c r="I3570" s="12"/>
      <c r="J3570" s="5" t="e">
        <f>SUM(SUMIFS(#REF!,#REF!,Planning[[#This Row],[Tipo de Tarea y especialidad]],#REF!,Planning[[#This Row],[Proyectos Reiwa]]),SUMIFS(#REF!,#REF!,Planning[[#This Row],[Tipo de Tarea y especialidad]],#REF!,Planning[[#This Row],[Proyectos]]))</f>
        <v>#REF!</v>
      </c>
      <c r="K3570" s="5" t="e">
        <f>Planning[[#This Row],[Horas Planificadas]]+Planning[[#This Row],[Horas ajustadas adicionales]]-Planning[[#This Row],[Horas utilizadas]]</f>
        <v>#REF!</v>
      </c>
      <c r="L3570" s="7"/>
      <c r="M3570" s="19" t="e">
        <f>Planning[[#This Row],[Saldo]]-Planning[[#This Row],[Saldo estimado]]</f>
        <v>#REF!</v>
      </c>
      <c r="N3570" s="60" t="e">
        <f>+SUMIFS(#REF!,#REF!,Planning[[#This Row],[Proyectos]],#REF!,Planning[[#This Row],[Tipo de Tarea y especialidad]])</f>
        <v>#REF!</v>
      </c>
      <c r="O3570" s="19">
        <f t="shared" si="110"/>
        <v>10</v>
      </c>
      <c r="P3570" s="19">
        <f t="shared" si="111"/>
        <v>2024</v>
      </c>
      <c r="Q35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70" s="19" t="str">
        <f>TEXT(Planning[[#This Row],[Mes]]*29,"mmmm")</f>
        <v>October</v>
      </c>
      <c r="S35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70" s="193"/>
      <c r="U3570" s="43">
        <f>IF(Planning[[#This Row],[Horas Planificadas]]&lt;&gt;0,+K3570/Planning[[#This Row],[Horas Planificadas]],0)</f>
        <v>0</v>
      </c>
      <c r="V3570" s="43">
        <f>IF(Planning[[#This Row],[Horas Planificadas]]&lt;&gt;0,Planning[[#This Row],[Horas utilizadas]]/Planning[[#This Row],[Horas Planificadas]],0)</f>
        <v>0</v>
      </c>
      <c r="W3570" s="44">
        <f>Planning[[#This Row],[Horas Planificadas]]+Planning[[#This Row],[Horas ajustadas adicionales]]</f>
        <v>0</v>
      </c>
      <c r="X3570" s="142"/>
    </row>
    <row r="3571" spans="1:24" ht="12.75" customHeight="1" x14ac:dyDescent="0.2">
      <c r="A3571" s="7" t="s">
        <v>204</v>
      </c>
      <c r="B3571" s="7" t="s">
        <v>118</v>
      </c>
      <c r="C3571" s="3"/>
      <c r="D3571" s="3" t="s">
        <v>647</v>
      </c>
      <c r="E3571" s="4" t="s">
        <v>28</v>
      </c>
      <c r="F3571" s="3"/>
      <c r="G3571" s="9">
        <v>590</v>
      </c>
      <c r="H3571" s="14">
        <f>SUM(H3572:H3573)</f>
        <v>667</v>
      </c>
      <c r="I3571" s="14"/>
      <c r="J3571" s="14" t="e">
        <f>SUM(J3572:J3573)</f>
        <v>#REF!</v>
      </c>
      <c r="K3571" s="18" t="e">
        <f>SUM(K3572:K3573)</f>
        <v>#REF!</v>
      </c>
      <c r="L3571" s="15">
        <f>SUM(L3572:L3573)</f>
        <v>54</v>
      </c>
      <c r="M3571" s="14" t="e">
        <f>SUM(M3572:M3573)</f>
        <v>#REF!</v>
      </c>
      <c r="N3571" s="66" t="e">
        <f>+SUMIFS(#REF!,#REF!,Planning[[#This Row],[Proyectos]],#REF!,Planning[[#This Row],[Tipo de Tarea y especialidad]])</f>
        <v>#REF!</v>
      </c>
      <c r="O3571" s="14">
        <f t="shared" si="110"/>
        <v>10</v>
      </c>
      <c r="P3571" s="14">
        <f t="shared" si="111"/>
        <v>2024</v>
      </c>
      <c r="Q3571" s="28" t="e">
        <f>SUM(Q3572:Q3573)</f>
        <v>#REF!</v>
      </c>
      <c r="R3571" s="28" t="str">
        <f>TEXT(Planning[[#This Row],[Mes]]*29,"mmmm")</f>
        <v>October</v>
      </c>
      <c r="S35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71" s="216" t="s">
        <v>648</v>
      </c>
      <c r="U3571" s="43" t="e">
        <f>IF(Planning[[#This Row],[Horas Planificadas]]&lt;&gt;0,+K3571/Planning[[#This Row],[Horas Planificadas]],0)</f>
        <v>#REF!</v>
      </c>
      <c r="V3571" s="43" t="e">
        <f>IF(Planning[[#This Row],[Horas Planificadas]]&lt;&gt;0,Planning[[#This Row],[Horas utilizadas]]/Planning[[#This Row],[Horas Planificadas]],0)</f>
        <v>#REF!</v>
      </c>
      <c r="W3571" s="44">
        <f>Planning[[#This Row],[Horas Planificadas]]+Planning[[#This Row],[Horas ajustadas adicionales]]</f>
        <v>667</v>
      </c>
      <c r="X3571" s="142"/>
    </row>
    <row r="3572" spans="1:24" x14ac:dyDescent="0.2">
      <c r="A3572" s="7" t="s">
        <v>204</v>
      </c>
      <c r="B3572" s="7" t="s">
        <v>118</v>
      </c>
      <c r="C3572" s="3"/>
      <c r="D3572" s="3" t="s">
        <v>647</v>
      </c>
      <c r="E3572" s="4"/>
      <c r="F3572" s="3" t="s">
        <v>120</v>
      </c>
      <c r="G3572" s="9"/>
      <c r="H3572" s="9">
        <v>370</v>
      </c>
      <c r="I3572" s="12"/>
      <c r="J3572" s="5" t="e">
        <f>SUM(SUMIFS(#REF!,#REF!,Planning[[#This Row],[Tipo de Tarea y especialidad]],#REF!,Planning[[#This Row],[Proyectos Reiwa]]),SUMIFS(#REF!,#REF!,Planning[[#This Row],[Tipo de Tarea y especialidad]],#REF!,Planning[[#This Row],[Proyectos]]))</f>
        <v>#REF!</v>
      </c>
      <c r="K3572" s="5" t="e">
        <f>Planning[[#This Row],[Horas Planificadas]]+Planning[[#This Row],[Horas ajustadas adicionales]]-Planning[[#This Row],[Horas utilizadas]]</f>
        <v>#REF!</v>
      </c>
      <c r="L3572" s="7">
        <v>27</v>
      </c>
      <c r="M3572" s="19" t="e">
        <f>Planning[[#This Row],[Saldo]]-Planning[[#This Row],[Saldo estimado]]</f>
        <v>#REF!</v>
      </c>
      <c r="N3572" s="60" t="e">
        <f>+SUMIFS(#REF!,#REF!,Planning[[#This Row],[Proyectos]],#REF!,Planning[[#This Row],[Tipo de Tarea y especialidad]])</f>
        <v>#REF!</v>
      </c>
      <c r="O3572" s="19">
        <f t="shared" si="110"/>
        <v>10</v>
      </c>
      <c r="P3572" s="19">
        <f t="shared" si="111"/>
        <v>2024</v>
      </c>
      <c r="Q35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72" s="19" t="str">
        <f>TEXT(Planning[[#This Row],[Mes]]*29,"mmmm")</f>
        <v>October</v>
      </c>
      <c r="S35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72" s="193"/>
      <c r="U3572" s="43" t="e">
        <f>IF(Planning[[#This Row],[Horas Planificadas]]&lt;&gt;0,+K3572/Planning[[#This Row],[Horas Planificadas]],0)</f>
        <v>#REF!</v>
      </c>
      <c r="V3572" s="43" t="e">
        <f>IF(Planning[[#This Row],[Horas Planificadas]]&lt;&gt;0,Planning[[#This Row],[Horas utilizadas]]/Planning[[#This Row],[Horas Planificadas]],0)</f>
        <v>#REF!</v>
      </c>
      <c r="W3572" s="44">
        <f>Planning[[#This Row],[Horas Planificadas]]+Planning[[#This Row],[Horas ajustadas adicionales]]</f>
        <v>370</v>
      </c>
      <c r="X3572" s="142"/>
    </row>
    <row r="3573" spans="1:24" x14ac:dyDescent="0.2">
      <c r="A3573" s="7" t="s">
        <v>204</v>
      </c>
      <c r="B3573" s="7" t="s">
        <v>118</v>
      </c>
      <c r="C3573" s="3"/>
      <c r="D3573" s="3" t="s">
        <v>647</v>
      </c>
      <c r="E3573" s="4"/>
      <c r="F3573" s="3" t="s">
        <v>121</v>
      </c>
      <c r="G3573" s="9"/>
      <c r="H3573" s="9">
        <v>297</v>
      </c>
      <c r="I3573" s="12"/>
      <c r="J3573" s="5" t="e">
        <f>SUM(SUMIFS(#REF!,#REF!,Planning[[#This Row],[Tipo de Tarea y especialidad]],#REF!,Planning[[#This Row],[Proyectos Reiwa]]),SUMIFS(#REF!,#REF!,Planning[[#This Row],[Tipo de Tarea y especialidad]],#REF!,Planning[[#This Row],[Proyectos]]))</f>
        <v>#REF!</v>
      </c>
      <c r="K3573" s="5" t="e">
        <f>Planning[[#This Row],[Horas Planificadas]]+Planning[[#This Row],[Horas ajustadas adicionales]]-Planning[[#This Row],[Horas utilizadas]]</f>
        <v>#REF!</v>
      </c>
      <c r="L3573" s="7">
        <v>27</v>
      </c>
      <c r="M3573" s="19" t="e">
        <f>Planning[[#This Row],[Saldo]]-Planning[[#This Row],[Saldo estimado]]</f>
        <v>#REF!</v>
      </c>
      <c r="N3573" s="60" t="e">
        <f>+SUMIFS(#REF!,#REF!,Planning[[#This Row],[Proyectos]],#REF!,Planning[[#This Row],[Tipo de Tarea y especialidad]])</f>
        <v>#REF!</v>
      </c>
      <c r="O3573" s="19">
        <f t="shared" si="110"/>
        <v>10</v>
      </c>
      <c r="P3573" s="19">
        <f t="shared" si="111"/>
        <v>2024</v>
      </c>
      <c r="Q35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73" s="19" t="str">
        <f>TEXT(Planning[[#This Row],[Mes]]*29,"mmmm")</f>
        <v>October</v>
      </c>
      <c r="S35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73" s="193"/>
      <c r="U3573" s="43" t="e">
        <f>IF(Planning[[#This Row],[Horas Planificadas]]&lt;&gt;0,+K3573/Planning[[#This Row],[Horas Planificadas]],0)</f>
        <v>#REF!</v>
      </c>
      <c r="V3573" s="43" t="e">
        <f>IF(Planning[[#This Row],[Horas Planificadas]]&lt;&gt;0,Planning[[#This Row],[Horas utilizadas]]/Planning[[#This Row],[Horas Planificadas]],0)</f>
        <v>#REF!</v>
      </c>
      <c r="W3573" s="44">
        <f>Planning[[#This Row],[Horas Planificadas]]+Planning[[#This Row],[Horas ajustadas adicionales]]</f>
        <v>297</v>
      </c>
      <c r="X3573" s="142"/>
    </row>
    <row r="3574" spans="1:24" x14ac:dyDescent="0.2">
      <c r="A3574" s="7" t="s">
        <v>204</v>
      </c>
      <c r="B3574" s="7" t="s">
        <v>118</v>
      </c>
      <c r="C3574" s="3"/>
      <c r="D3574" s="3" t="s">
        <v>647</v>
      </c>
      <c r="E3574" s="4" t="s">
        <v>30</v>
      </c>
      <c r="F3574" s="3"/>
      <c r="G3574" s="9">
        <v>406</v>
      </c>
      <c r="H3574" s="14">
        <f>SUM(H3575:H3581)</f>
        <v>398</v>
      </c>
      <c r="I3574" s="14"/>
      <c r="J3574" s="14" t="e">
        <f>SUM(J3575:J3581)</f>
        <v>#REF!</v>
      </c>
      <c r="K3574" s="18" t="e">
        <f>SUM(K3575:K3581)</f>
        <v>#REF!</v>
      </c>
      <c r="L3574" s="15">
        <f>SUM(L3575:L3581)</f>
        <v>178</v>
      </c>
      <c r="M3574" s="16" t="e">
        <f>SUM(M3575:M3581)</f>
        <v>#REF!</v>
      </c>
      <c r="N3574" s="60" t="e">
        <f>+SUMIFS(#REF!,#REF!,Planning[[#This Row],[Proyectos]],#REF!,Planning[[#This Row],[Tipo de Tarea y especialidad]])</f>
        <v>#REF!</v>
      </c>
      <c r="O3574" s="16">
        <f t="shared" si="110"/>
        <v>10</v>
      </c>
      <c r="P3574" s="16">
        <f t="shared" si="111"/>
        <v>2024</v>
      </c>
      <c r="Q3574" s="16" t="e">
        <f>SUM(Q3575:Q3581)</f>
        <v>#REF!</v>
      </c>
      <c r="R3574" s="16" t="str">
        <f>TEXT(Planning[[#This Row],[Mes]]*29,"mmmm")</f>
        <v>October</v>
      </c>
      <c r="S35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74" s="193"/>
      <c r="U3574" s="43" t="e">
        <f>IF(Planning[[#This Row],[Horas Planificadas]]&lt;&gt;0,+K3574/Planning[[#This Row],[Horas Planificadas]],0)</f>
        <v>#REF!</v>
      </c>
      <c r="V3574" s="43" t="e">
        <f>IF(Planning[[#This Row],[Horas Planificadas]]&lt;&gt;0,Planning[[#This Row],[Horas utilizadas]]/Planning[[#This Row],[Horas Planificadas]],0)</f>
        <v>#REF!</v>
      </c>
      <c r="W3574" s="44">
        <f>Planning[[#This Row],[Horas Planificadas]]+Planning[[#This Row],[Horas ajustadas adicionales]]</f>
        <v>398</v>
      </c>
      <c r="X3574" s="142"/>
    </row>
    <row r="3575" spans="1:24" x14ac:dyDescent="0.2">
      <c r="A3575" s="7" t="s">
        <v>204</v>
      </c>
      <c r="B3575" s="7" t="s">
        <v>118</v>
      </c>
      <c r="C3575" s="3"/>
      <c r="D3575" s="3" t="s">
        <v>647</v>
      </c>
      <c r="E3575" s="4"/>
      <c r="F3575" s="3" t="s">
        <v>122</v>
      </c>
      <c r="G3575" s="9"/>
      <c r="H3575" s="9">
        <v>101</v>
      </c>
      <c r="I3575" s="12"/>
      <c r="J3575" s="5" t="e">
        <f>SUM(SUMIFS(#REF!,#REF!,Planning[[#This Row],[Tipo de Tarea y especialidad]],#REF!,Planning[[#This Row],[Proyectos Reiwa]]),SUMIFS(#REF!,#REF!,Planning[[#This Row],[Tipo de Tarea y especialidad]],#REF!,Planning[[#This Row],[Proyectos]]))</f>
        <v>#REF!</v>
      </c>
      <c r="K3575" s="5" t="e">
        <f>Planning[[#This Row],[Horas Planificadas]]+Planning[[#This Row],[Horas ajustadas adicionales]]-Planning[[#This Row],[Horas utilizadas]]</f>
        <v>#REF!</v>
      </c>
      <c r="L3575" s="7">
        <v>23</v>
      </c>
      <c r="M3575" s="19" t="e">
        <f>Planning[[#This Row],[Saldo]]-Planning[[#This Row],[Saldo estimado]]</f>
        <v>#REF!</v>
      </c>
      <c r="N3575" s="60" t="e">
        <f>+SUMIFS(#REF!,#REF!,Planning[[#This Row],[Proyectos]],#REF!,Planning[[#This Row],[Tipo de Tarea y especialidad]])</f>
        <v>#REF!</v>
      </c>
      <c r="O3575" s="19">
        <f t="shared" si="110"/>
        <v>10</v>
      </c>
      <c r="P3575" s="19">
        <f t="shared" si="111"/>
        <v>2024</v>
      </c>
      <c r="Q35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75" s="19" t="str">
        <f>TEXT(Planning[[#This Row],[Mes]]*29,"mmmm")</f>
        <v>October</v>
      </c>
      <c r="S35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75" s="193"/>
      <c r="U3575" s="43" t="e">
        <f>IF(Planning[[#This Row],[Horas Planificadas]]&lt;&gt;0,+K3575/Planning[[#This Row],[Horas Planificadas]],0)</f>
        <v>#REF!</v>
      </c>
      <c r="V3575" s="43" t="e">
        <f>IF(Planning[[#This Row],[Horas Planificadas]]&lt;&gt;0,Planning[[#This Row],[Horas utilizadas]]/Planning[[#This Row],[Horas Planificadas]],0)</f>
        <v>#REF!</v>
      </c>
      <c r="W3575" s="44">
        <f>Planning[[#This Row],[Horas Planificadas]]+Planning[[#This Row],[Horas ajustadas adicionales]]</f>
        <v>101</v>
      </c>
      <c r="X3575" s="142"/>
    </row>
    <row r="3576" spans="1:24" x14ac:dyDescent="0.2">
      <c r="A3576" s="7" t="s">
        <v>204</v>
      </c>
      <c r="B3576" s="7" t="s">
        <v>118</v>
      </c>
      <c r="C3576" s="3"/>
      <c r="D3576" s="3" t="s">
        <v>647</v>
      </c>
      <c r="E3576" s="4"/>
      <c r="F3576" s="3" t="s">
        <v>123</v>
      </c>
      <c r="G3576" s="9"/>
      <c r="H3576" s="9"/>
      <c r="I3576" s="12"/>
      <c r="J3576" s="5" t="e">
        <f>SUM(SUMIFS(#REF!,#REF!,Planning[[#This Row],[Tipo de Tarea y especialidad]],#REF!,Planning[[#This Row],[Proyectos Reiwa]]),SUMIFS(#REF!,#REF!,Planning[[#This Row],[Tipo de Tarea y especialidad]],#REF!,Planning[[#This Row],[Proyectos]]))</f>
        <v>#REF!</v>
      </c>
      <c r="K3576" s="5" t="e">
        <f>Planning[[#This Row],[Horas Planificadas]]+Planning[[#This Row],[Horas ajustadas adicionales]]-Planning[[#This Row],[Horas utilizadas]]</f>
        <v>#REF!</v>
      </c>
      <c r="L3576" s="7"/>
      <c r="M3576" s="19" t="e">
        <f>Planning[[#This Row],[Saldo]]-Planning[[#This Row],[Saldo estimado]]</f>
        <v>#REF!</v>
      </c>
      <c r="N3576" s="60" t="e">
        <f>+SUMIFS(#REF!,#REF!,Planning[[#This Row],[Proyectos]],#REF!,Planning[[#This Row],[Tipo de Tarea y especialidad]])</f>
        <v>#REF!</v>
      </c>
      <c r="O3576" s="19">
        <f t="shared" si="110"/>
        <v>10</v>
      </c>
      <c r="P3576" s="19">
        <f t="shared" si="111"/>
        <v>2024</v>
      </c>
      <c r="Q35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76" s="19" t="str">
        <f>TEXT(Planning[[#This Row],[Mes]]*29,"mmmm")</f>
        <v>October</v>
      </c>
      <c r="S35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76" s="193"/>
      <c r="U3576" s="43">
        <f>IF(Planning[[#This Row],[Horas Planificadas]]&lt;&gt;0,+K3576/Planning[[#This Row],[Horas Planificadas]],0)</f>
        <v>0</v>
      </c>
      <c r="V3576" s="43">
        <f>IF(Planning[[#This Row],[Horas Planificadas]]&lt;&gt;0,Planning[[#This Row],[Horas utilizadas]]/Planning[[#This Row],[Horas Planificadas]],0)</f>
        <v>0</v>
      </c>
      <c r="W3576" s="44">
        <f>Planning[[#This Row],[Horas Planificadas]]+Planning[[#This Row],[Horas ajustadas adicionales]]</f>
        <v>0</v>
      </c>
      <c r="X3576" s="142"/>
    </row>
    <row r="3577" spans="1:24" x14ac:dyDescent="0.2">
      <c r="A3577" s="7" t="s">
        <v>204</v>
      </c>
      <c r="B3577" s="7" t="s">
        <v>118</v>
      </c>
      <c r="C3577" s="3"/>
      <c r="D3577" s="3" t="s">
        <v>647</v>
      </c>
      <c r="E3577" s="4"/>
      <c r="F3577" s="3" t="s">
        <v>124</v>
      </c>
      <c r="G3577" s="9"/>
      <c r="H3577" s="9"/>
      <c r="I3577" s="12"/>
      <c r="J3577" s="5" t="e">
        <f>SUM(SUMIFS(#REF!,#REF!,Planning[[#This Row],[Tipo de Tarea y especialidad]],#REF!,Planning[[#This Row],[Proyectos Reiwa]]),SUMIFS(#REF!,#REF!,Planning[[#This Row],[Tipo de Tarea y especialidad]],#REF!,Planning[[#This Row],[Proyectos]]))</f>
        <v>#REF!</v>
      </c>
      <c r="K3577" s="5" t="e">
        <f>Planning[[#This Row],[Horas Planificadas]]+Planning[[#This Row],[Horas ajustadas adicionales]]-Planning[[#This Row],[Horas utilizadas]]</f>
        <v>#REF!</v>
      </c>
      <c r="L3577" s="7"/>
      <c r="M3577" s="19" t="e">
        <f>Planning[[#This Row],[Saldo]]-Planning[[#This Row],[Saldo estimado]]</f>
        <v>#REF!</v>
      </c>
      <c r="N3577" s="60" t="e">
        <f>+SUMIFS(#REF!,#REF!,Planning[[#This Row],[Proyectos]],#REF!,Planning[[#This Row],[Tipo de Tarea y especialidad]])</f>
        <v>#REF!</v>
      </c>
      <c r="O3577" s="19">
        <f t="shared" si="110"/>
        <v>10</v>
      </c>
      <c r="P3577" s="19">
        <f t="shared" si="111"/>
        <v>2024</v>
      </c>
      <c r="Q35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77" s="19" t="str">
        <f>TEXT(Planning[[#This Row],[Mes]]*29,"mmmm")</f>
        <v>October</v>
      </c>
      <c r="S35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77" s="193"/>
      <c r="U3577" s="43">
        <f>IF(Planning[[#This Row],[Horas Planificadas]]&lt;&gt;0,+K3577/Planning[[#This Row],[Horas Planificadas]],0)</f>
        <v>0</v>
      </c>
      <c r="V3577" s="43">
        <f>IF(Planning[[#This Row],[Horas Planificadas]]&lt;&gt;0,Planning[[#This Row],[Horas utilizadas]]/Planning[[#This Row],[Horas Planificadas]],0)</f>
        <v>0</v>
      </c>
      <c r="W3577" s="44">
        <f>Planning[[#This Row],[Horas Planificadas]]+Planning[[#This Row],[Horas ajustadas adicionales]]</f>
        <v>0</v>
      </c>
      <c r="X3577" s="142"/>
    </row>
    <row r="3578" spans="1:24" x14ac:dyDescent="0.2">
      <c r="A3578" s="7" t="s">
        <v>204</v>
      </c>
      <c r="B3578" s="7" t="s">
        <v>118</v>
      </c>
      <c r="C3578" s="3"/>
      <c r="D3578" s="3" t="s">
        <v>647</v>
      </c>
      <c r="E3578" s="4"/>
      <c r="F3578" s="3" t="s">
        <v>125</v>
      </c>
      <c r="G3578" s="9"/>
      <c r="H3578" s="9">
        <v>135</v>
      </c>
      <c r="I3578" s="12"/>
      <c r="J3578" s="5" t="e">
        <f>SUM(SUMIFS(#REF!,#REF!,Planning[[#This Row],[Tipo de Tarea y especialidad]],#REF!,Planning[[#This Row],[Proyectos Reiwa]]),SUMIFS(#REF!,#REF!,Planning[[#This Row],[Tipo de Tarea y especialidad]],#REF!,Planning[[#This Row],[Proyectos]]))</f>
        <v>#REF!</v>
      </c>
      <c r="K3578" s="5" t="e">
        <f>Planning[[#This Row],[Horas Planificadas]]+Planning[[#This Row],[Horas ajustadas adicionales]]-Planning[[#This Row],[Horas utilizadas]]</f>
        <v>#REF!</v>
      </c>
      <c r="L3578" s="7">
        <v>45</v>
      </c>
      <c r="M3578" s="19" t="e">
        <f>Planning[[#This Row],[Saldo]]-Planning[[#This Row],[Saldo estimado]]</f>
        <v>#REF!</v>
      </c>
      <c r="N3578" s="60" t="e">
        <f>+SUMIFS(#REF!,#REF!,Planning[[#This Row],[Proyectos]],#REF!,Planning[[#This Row],[Tipo de Tarea y especialidad]])</f>
        <v>#REF!</v>
      </c>
      <c r="O3578" s="19">
        <f t="shared" si="110"/>
        <v>10</v>
      </c>
      <c r="P3578" s="19">
        <f t="shared" si="111"/>
        <v>2024</v>
      </c>
      <c r="Q35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78" s="19" t="str">
        <f>TEXT(Planning[[#This Row],[Mes]]*29,"mmmm")</f>
        <v>October</v>
      </c>
      <c r="S35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78" s="193"/>
      <c r="U3578" s="43" t="e">
        <f>IF(Planning[[#This Row],[Horas Planificadas]]&lt;&gt;0,+K3578/Planning[[#This Row],[Horas Planificadas]],0)</f>
        <v>#REF!</v>
      </c>
      <c r="V3578" s="43" t="e">
        <f>IF(Planning[[#This Row],[Horas Planificadas]]&lt;&gt;0,Planning[[#This Row],[Horas utilizadas]]/Planning[[#This Row],[Horas Planificadas]],0)</f>
        <v>#REF!</v>
      </c>
      <c r="W3578" s="44">
        <f>Planning[[#This Row],[Horas Planificadas]]+Planning[[#This Row],[Horas ajustadas adicionales]]</f>
        <v>135</v>
      </c>
      <c r="X3578" s="142"/>
    </row>
    <row r="3579" spans="1:24" x14ac:dyDescent="0.2">
      <c r="A3579" s="7" t="s">
        <v>204</v>
      </c>
      <c r="B3579" s="7" t="s">
        <v>118</v>
      </c>
      <c r="C3579" s="3"/>
      <c r="D3579" s="3" t="s">
        <v>647</v>
      </c>
      <c r="E3579" s="4"/>
      <c r="F3579" s="3" t="s">
        <v>126</v>
      </c>
      <c r="G3579" s="9"/>
      <c r="H3579" s="9">
        <v>162</v>
      </c>
      <c r="I3579" s="12"/>
      <c r="J3579" s="5" t="e">
        <f>SUM(SUMIFS(#REF!,#REF!,Planning[[#This Row],[Tipo de Tarea y especialidad]],#REF!,Planning[[#This Row],[Proyectos Reiwa]]),SUMIFS(#REF!,#REF!,Planning[[#This Row],[Tipo de Tarea y especialidad]],#REF!,Planning[[#This Row],[Proyectos]]))</f>
        <v>#REF!</v>
      </c>
      <c r="K3579" s="5" t="e">
        <f>Planning[[#This Row],[Horas Planificadas]]+Planning[[#This Row],[Horas ajustadas adicionales]]-Planning[[#This Row],[Horas utilizadas]]</f>
        <v>#REF!</v>
      </c>
      <c r="L3579" s="7">
        <v>110</v>
      </c>
      <c r="M3579" s="19" t="e">
        <f>Planning[[#This Row],[Saldo]]-Planning[[#This Row],[Saldo estimado]]</f>
        <v>#REF!</v>
      </c>
      <c r="N3579" s="60" t="e">
        <f>+SUMIFS(#REF!,#REF!,Planning[[#This Row],[Proyectos]],#REF!,Planning[[#This Row],[Tipo de Tarea y especialidad]])</f>
        <v>#REF!</v>
      </c>
      <c r="O3579" s="19">
        <f t="shared" si="110"/>
        <v>10</v>
      </c>
      <c r="P3579" s="19">
        <f t="shared" si="111"/>
        <v>2024</v>
      </c>
      <c r="Q35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79" s="19" t="str">
        <f>TEXT(Planning[[#This Row],[Mes]]*29,"mmmm")</f>
        <v>October</v>
      </c>
      <c r="S35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79" s="193"/>
      <c r="U3579" s="43" t="e">
        <f>IF(Planning[[#This Row],[Horas Planificadas]]&lt;&gt;0,+K3579/Planning[[#This Row],[Horas Planificadas]],0)</f>
        <v>#REF!</v>
      </c>
      <c r="V3579" s="43" t="e">
        <f>IF(Planning[[#This Row],[Horas Planificadas]]&lt;&gt;0,Planning[[#This Row],[Horas utilizadas]]/Planning[[#This Row],[Horas Planificadas]],0)</f>
        <v>#REF!</v>
      </c>
      <c r="W3579" s="44">
        <f>Planning[[#This Row],[Horas Planificadas]]+Planning[[#This Row],[Horas ajustadas adicionales]]</f>
        <v>162</v>
      </c>
      <c r="X3579" s="142"/>
    </row>
    <row r="3580" spans="1:24" x14ac:dyDescent="0.2">
      <c r="A3580" s="7" t="s">
        <v>204</v>
      </c>
      <c r="B3580" s="7" t="s">
        <v>118</v>
      </c>
      <c r="C3580" s="3"/>
      <c r="D3580" s="3" t="s">
        <v>647</v>
      </c>
      <c r="E3580" s="4"/>
      <c r="F3580" s="3" t="s">
        <v>127</v>
      </c>
      <c r="G3580" s="9"/>
      <c r="H3580" s="9"/>
      <c r="I3580" s="12"/>
      <c r="J3580" s="5" t="e">
        <f>SUM(SUMIFS(#REF!,#REF!,Planning[[#This Row],[Tipo de Tarea y especialidad]],#REF!,Planning[[#This Row],[Proyectos Reiwa]]),SUMIFS(#REF!,#REF!,Planning[[#This Row],[Tipo de Tarea y especialidad]],#REF!,Planning[[#This Row],[Proyectos]]))</f>
        <v>#REF!</v>
      </c>
      <c r="K3580" s="5" t="e">
        <f>Planning[[#This Row],[Horas Planificadas]]+Planning[[#This Row],[Horas ajustadas adicionales]]-Planning[[#This Row],[Horas utilizadas]]</f>
        <v>#REF!</v>
      </c>
      <c r="L3580" s="7"/>
      <c r="M3580" s="19" t="e">
        <f>Planning[[#This Row],[Saldo]]-Planning[[#This Row],[Saldo estimado]]</f>
        <v>#REF!</v>
      </c>
      <c r="N3580" s="60" t="e">
        <f>+SUMIFS(#REF!,#REF!,Planning[[#This Row],[Proyectos]],#REF!,Planning[[#This Row],[Tipo de Tarea y especialidad]])</f>
        <v>#REF!</v>
      </c>
      <c r="O3580" s="19">
        <f t="shared" si="110"/>
        <v>10</v>
      </c>
      <c r="P3580" s="19">
        <f t="shared" si="111"/>
        <v>2024</v>
      </c>
      <c r="Q35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80" s="19" t="str">
        <f>TEXT(Planning[[#This Row],[Mes]]*29,"mmmm")</f>
        <v>October</v>
      </c>
      <c r="S35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80" s="193"/>
      <c r="U3580" s="43">
        <f>IF(Planning[[#This Row],[Horas Planificadas]]&lt;&gt;0,+K3580/Planning[[#This Row],[Horas Planificadas]],0)</f>
        <v>0</v>
      </c>
      <c r="V3580" s="43">
        <f>IF(Planning[[#This Row],[Horas Planificadas]]&lt;&gt;0,Planning[[#This Row],[Horas utilizadas]]/Planning[[#This Row],[Horas Planificadas]],0)</f>
        <v>0</v>
      </c>
      <c r="W3580" s="44">
        <f>Planning[[#This Row],[Horas Planificadas]]+Planning[[#This Row],[Horas ajustadas adicionales]]</f>
        <v>0</v>
      </c>
      <c r="X3580" s="142"/>
    </row>
    <row r="3581" spans="1:24" x14ac:dyDescent="0.2">
      <c r="A3581" s="7" t="s">
        <v>204</v>
      </c>
      <c r="B3581" s="7" t="s">
        <v>118</v>
      </c>
      <c r="C3581" s="3"/>
      <c r="D3581" s="3" t="s">
        <v>647</v>
      </c>
      <c r="E3581" s="4"/>
      <c r="F3581" s="3" t="s">
        <v>128</v>
      </c>
      <c r="G3581" s="9"/>
      <c r="H3581" s="9"/>
      <c r="I3581" s="12"/>
      <c r="J3581" s="5" t="e">
        <f>SUM(SUMIFS(#REF!,#REF!,Planning[[#This Row],[Tipo de Tarea y especialidad]],#REF!,Planning[[#This Row],[Proyectos Reiwa]]),SUMIFS(#REF!,#REF!,Planning[[#This Row],[Tipo de Tarea y especialidad]],#REF!,Planning[[#This Row],[Proyectos]]))</f>
        <v>#REF!</v>
      </c>
      <c r="K3581" s="5" t="e">
        <f>Planning[[#This Row],[Horas Planificadas]]+Planning[[#This Row],[Horas ajustadas adicionales]]-Planning[[#This Row],[Horas utilizadas]]</f>
        <v>#REF!</v>
      </c>
      <c r="L3581" s="7"/>
      <c r="M3581" s="19" t="e">
        <f>Planning[[#This Row],[Saldo]]-Planning[[#This Row],[Saldo estimado]]</f>
        <v>#REF!</v>
      </c>
      <c r="N3581" s="60" t="e">
        <f>+SUMIFS(#REF!,#REF!,Planning[[#This Row],[Proyectos]],#REF!,Planning[[#This Row],[Tipo de Tarea y especialidad]])</f>
        <v>#REF!</v>
      </c>
      <c r="O3581" s="19">
        <f t="shared" si="110"/>
        <v>10</v>
      </c>
      <c r="P3581" s="19">
        <f t="shared" si="111"/>
        <v>2024</v>
      </c>
      <c r="Q35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81" s="19" t="str">
        <f>TEXT(Planning[[#This Row],[Mes]]*29,"mmmm")</f>
        <v>October</v>
      </c>
      <c r="S35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81" s="193"/>
      <c r="U3581" s="43">
        <f>IF(Planning[[#This Row],[Horas Planificadas]]&lt;&gt;0,+K3581/Planning[[#This Row],[Horas Planificadas]],0)</f>
        <v>0</v>
      </c>
      <c r="V3581" s="43">
        <f>IF(Planning[[#This Row],[Horas Planificadas]]&lt;&gt;0,Planning[[#This Row],[Horas utilizadas]]/Planning[[#This Row],[Horas Planificadas]],0)</f>
        <v>0</v>
      </c>
      <c r="W3581" s="44">
        <f>Planning[[#This Row],[Horas Planificadas]]+Planning[[#This Row],[Horas ajustadas adicionales]]</f>
        <v>0</v>
      </c>
      <c r="X3581" s="142"/>
    </row>
    <row r="3582" spans="1:24" x14ac:dyDescent="0.2">
      <c r="A3582" s="7" t="s">
        <v>204</v>
      </c>
      <c r="B3582" s="7" t="s">
        <v>118</v>
      </c>
      <c r="C3582" s="3"/>
      <c r="D3582" s="3" t="s">
        <v>647</v>
      </c>
      <c r="E3582" s="4" t="s">
        <v>31</v>
      </c>
      <c r="F3582" s="3" t="s">
        <v>31</v>
      </c>
      <c r="G3582" s="9">
        <v>66</v>
      </c>
      <c r="H3582" s="17">
        <f>Planning[[#This Row],[Horas Precálculo]]</f>
        <v>66</v>
      </c>
      <c r="I3582" s="18"/>
      <c r="J3582" s="14" t="e">
        <f>+SUMIFS(#REF!,#REF!,Planning[[#This Row],[Tarifa]],#REF!,Planning[[#This Row],[Proyectos]])</f>
        <v>#REF!</v>
      </c>
      <c r="K3582" s="14" t="e">
        <f>Planning[[#This Row],[Horas Planificadas]]+Planning[[#This Row],[Horas ajustadas adicionales]]-Planning[[#This Row],[Horas utilizadas]]</f>
        <v>#REF!</v>
      </c>
      <c r="L3582" s="15">
        <v>42</v>
      </c>
      <c r="M3582" s="16" t="e">
        <f>Planning[[#This Row],[Saldo]]-Planning[[#This Row],[Saldo estimado]]</f>
        <v>#REF!</v>
      </c>
      <c r="N3582" s="60" t="e">
        <f>+SUMIFS(#REF!,#REF!,Planning[[#This Row],[Proyectos]],#REF!,Planning[[#This Row],[Tipo de Tarea y especialidad]])</f>
        <v>#REF!</v>
      </c>
      <c r="O3582" s="16">
        <f t="shared" si="110"/>
        <v>10</v>
      </c>
      <c r="P3582" s="16">
        <f t="shared" si="111"/>
        <v>2024</v>
      </c>
      <c r="Q3582" s="16" t="e">
        <f>+SUMIFS(#REF!,#REF!,Planning[[#This Row],[Tarifa]],#REF!,Planning[[#This Row],[Proyectos]],#REF!,Planning[[#This Row],[Mes]],#REF!,Planning[[#This Row],[Año]])</f>
        <v>#REF!</v>
      </c>
      <c r="R3582" s="16" t="str">
        <f>TEXT(Planning[[#This Row],[Mes]]*29,"mmmm")</f>
        <v>October</v>
      </c>
      <c r="S35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82" s="193"/>
      <c r="U3582" s="43" t="e">
        <f>IF(Planning[[#This Row],[Horas Planificadas]]&lt;&gt;0,+K3582/Planning[[#This Row],[Horas Planificadas]],0)</f>
        <v>#REF!</v>
      </c>
      <c r="V3582" s="43" t="e">
        <f>IF(Planning[[#This Row],[Horas Planificadas]]&lt;&gt;0,Planning[[#This Row],[Horas utilizadas]]/Planning[[#This Row],[Horas Planificadas]],0)</f>
        <v>#REF!</v>
      </c>
      <c r="W3582" s="44">
        <f>Planning[[#This Row],[Horas Planificadas]]+Planning[[#This Row],[Horas ajustadas adicionales]]</f>
        <v>66</v>
      </c>
      <c r="X3582" s="142"/>
    </row>
    <row r="3583" spans="1:24" ht="22.5" x14ac:dyDescent="0.2">
      <c r="A3583" s="7" t="s">
        <v>204</v>
      </c>
      <c r="B3583" s="7" t="s">
        <v>118</v>
      </c>
      <c r="C3583" s="3"/>
      <c r="D3583" s="3" t="s">
        <v>647</v>
      </c>
      <c r="E3583" s="4" t="s">
        <v>32</v>
      </c>
      <c r="F3583" s="3"/>
      <c r="G3583" s="9"/>
      <c r="H3583" s="14">
        <f>SUM(H3584:H3586)</f>
        <v>0</v>
      </c>
      <c r="I3583" s="14"/>
      <c r="J3583" s="14" t="e">
        <f>SUM(J3584:J3586)</f>
        <v>#REF!</v>
      </c>
      <c r="K3583" s="18" t="e">
        <f>SUM(K3584:K3586)</f>
        <v>#REF!</v>
      </c>
      <c r="L3583" s="15">
        <f>SUM(L3584:L3586)</f>
        <v>0</v>
      </c>
      <c r="M3583" s="16" t="e">
        <f>SUM(M3584:M3586)</f>
        <v>#REF!</v>
      </c>
      <c r="N3583" s="60" t="e">
        <f>+SUMIFS(#REF!,#REF!,Planning[[#This Row],[Proyectos]],#REF!,Planning[[#This Row],[Tipo de Tarea y especialidad]])</f>
        <v>#REF!</v>
      </c>
      <c r="O3583" s="16">
        <f t="shared" si="110"/>
        <v>10</v>
      </c>
      <c r="P3583" s="16">
        <f t="shared" si="111"/>
        <v>2024</v>
      </c>
      <c r="Q3583" s="16" t="e">
        <f>SUM(Q3584:Q3586)</f>
        <v>#REF!</v>
      </c>
      <c r="R3583" s="16" t="str">
        <f>TEXT(Planning[[#This Row],[Mes]]*29,"mmmm")</f>
        <v>October</v>
      </c>
      <c r="S35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83" s="193"/>
      <c r="U3583" s="43">
        <f>IF(Planning[[#This Row],[Horas Planificadas]]&lt;&gt;0,+K3583/Planning[[#This Row],[Horas Planificadas]],0)</f>
        <v>0</v>
      </c>
      <c r="V3583" s="43">
        <f>IF(Planning[[#This Row],[Horas Planificadas]]&lt;&gt;0,Planning[[#This Row],[Horas utilizadas]]/Planning[[#This Row],[Horas Planificadas]],0)</f>
        <v>0</v>
      </c>
      <c r="W3583" s="44">
        <f>Planning[[#This Row],[Horas Planificadas]]+Planning[[#This Row],[Horas ajustadas adicionales]]</f>
        <v>0</v>
      </c>
      <c r="X3583" s="142"/>
    </row>
    <row r="3584" spans="1:24" x14ac:dyDescent="0.2">
      <c r="A3584" s="7" t="s">
        <v>204</v>
      </c>
      <c r="B3584" s="7" t="s">
        <v>118</v>
      </c>
      <c r="C3584" s="3"/>
      <c r="D3584" s="3" t="s">
        <v>647</v>
      </c>
      <c r="E3584" s="4"/>
      <c r="F3584" s="3" t="s">
        <v>129</v>
      </c>
      <c r="G3584" s="9"/>
      <c r="H3584" s="9"/>
      <c r="I3584" s="12"/>
      <c r="J3584" s="5" t="e">
        <f>SUM(SUMIFS(#REF!,#REF!,Planning[[#This Row],[Tipo de Tarea y especialidad]],#REF!,Planning[[#This Row],[Proyectos Reiwa]]),SUMIFS(#REF!,#REF!,Planning[[#This Row],[Tipo de Tarea y especialidad]],#REF!,Planning[[#This Row],[Proyectos]]))</f>
        <v>#REF!</v>
      </c>
      <c r="K3584" s="5" t="e">
        <f>Planning[[#This Row],[Horas Planificadas]]+Planning[[#This Row],[Horas ajustadas adicionales]]-Planning[[#This Row],[Horas utilizadas]]</f>
        <v>#REF!</v>
      </c>
      <c r="L3584" s="7"/>
      <c r="M3584" s="19" t="e">
        <f>Planning[[#This Row],[Saldo]]-Planning[[#This Row],[Saldo estimado]]</f>
        <v>#REF!</v>
      </c>
      <c r="N3584" s="60" t="e">
        <f>+SUMIFS(#REF!,#REF!,Planning[[#This Row],[Proyectos]],#REF!,Planning[[#This Row],[Tipo de Tarea y especialidad]])</f>
        <v>#REF!</v>
      </c>
      <c r="O3584" s="19">
        <f t="shared" si="110"/>
        <v>10</v>
      </c>
      <c r="P3584" s="19">
        <f t="shared" si="111"/>
        <v>2024</v>
      </c>
      <c r="Q35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84" s="19" t="str">
        <f>TEXT(Planning[[#This Row],[Mes]]*29,"mmmm")</f>
        <v>October</v>
      </c>
      <c r="S35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84" s="193"/>
      <c r="U3584" s="43">
        <f>IF(Planning[[#This Row],[Horas Planificadas]]&lt;&gt;0,+K3584/Planning[[#This Row],[Horas Planificadas]],0)</f>
        <v>0</v>
      </c>
      <c r="V3584" s="43">
        <f>IF(Planning[[#This Row],[Horas Planificadas]]&lt;&gt;0,Planning[[#This Row],[Horas utilizadas]]/Planning[[#This Row],[Horas Planificadas]],0)</f>
        <v>0</v>
      </c>
      <c r="W3584" s="44">
        <f>Planning[[#This Row],[Horas Planificadas]]+Planning[[#This Row],[Horas ajustadas adicionales]]</f>
        <v>0</v>
      </c>
      <c r="X3584" s="142"/>
    </row>
    <row r="3585" spans="1:24" x14ac:dyDescent="0.2">
      <c r="A3585" s="7" t="s">
        <v>204</v>
      </c>
      <c r="B3585" s="7" t="s">
        <v>118</v>
      </c>
      <c r="C3585" s="3"/>
      <c r="D3585" s="3" t="s">
        <v>647</v>
      </c>
      <c r="E3585" s="4"/>
      <c r="F3585" s="3" t="s">
        <v>130</v>
      </c>
      <c r="G3585" s="9"/>
      <c r="H3585" s="9"/>
      <c r="I3585" s="12"/>
      <c r="J3585" s="5" t="e">
        <f>SUM(SUMIFS(#REF!,#REF!,Planning[[#This Row],[Tipo de Tarea y especialidad]],#REF!,Planning[[#This Row],[Proyectos Reiwa]]),SUMIFS(#REF!,#REF!,Planning[[#This Row],[Tipo de Tarea y especialidad]],#REF!,Planning[[#This Row],[Proyectos]]))</f>
        <v>#REF!</v>
      </c>
      <c r="K3585" s="5" t="e">
        <f>Planning[[#This Row],[Horas Planificadas]]+Planning[[#This Row],[Horas ajustadas adicionales]]-Planning[[#This Row],[Horas utilizadas]]</f>
        <v>#REF!</v>
      </c>
      <c r="L3585" s="7"/>
      <c r="M3585" s="19" t="e">
        <f>Planning[[#This Row],[Saldo]]-Planning[[#This Row],[Saldo estimado]]</f>
        <v>#REF!</v>
      </c>
      <c r="N3585" s="60" t="e">
        <f>+SUMIFS(#REF!,#REF!,Planning[[#This Row],[Proyectos]],#REF!,Planning[[#This Row],[Tipo de Tarea y especialidad]])</f>
        <v>#REF!</v>
      </c>
      <c r="O3585" s="19">
        <f t="shared" si="110"/>
        <v>10</v>
      </c>
      <c r="P3585" s="19">
        <f t="shared" si="111"/>
        <v>2024</v>
      </c>
      <c r="Q35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85" s="19" t="str">
        <f>TEXT(Planning[[#This Row],[Mes]]*29,"mmmm")</f>
        <v>October</v>
      </c>
      <c r="S35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85" s="193"/>
      <c r="U3585" s="43">
        <f>IF(Planning[[#This Row],[Horas Planificadas]]&lt;&gt;0,+K3585/Planning[[#This Row],[Horas Planificadas]],0)</f>
        <v>0</v>
      </c>
      <c r="V3585" s="43">
        <f>IF(Planning[[#This Row],[Horas Planificadas]]&lt;&gt;0,Planning[[#This Row],[Horas utilizadas]]/Planning[[#This Row],[Horas Planificadas]],0)</f>
        <v>0</v>
      </c>
      <c r="W3585" s="44">
        <f>Planning[[#This Row],[Horas Planificadas]]+Planning[[#This Row],[Horas ajustadas adicionales]]</f>
        <v>0</v>
      </c>
      <c r="X3585" s="142"/>
    </row>
    <row r="3586" spans="1:24" x14ac:dyDescent="0.2">
      <c r="A3586" s="7" t="s">
        <v>204</v>
      </c>
      <c r="B3586" s="7" t="s">
        <v>118</v>
      </c>
      <c r="C3586" s="3"/>
      <c r="D3586" s="3" t="s">
        <v>647</v>
      </c>
      <c r="E3586" s="4"/>
      <c r="F3586" s="3" t="s">
        <v>131</v>
      </c>
      <c r="G3586" s="9"/>
      <c r="H3586" s="9"/>
      <c r="I3586" s="12"/>
      <c r="J3586" s="5" t="e">
        <f>SUM(SUMIFS(#REF!,#REF!,Planning[[#This Row],[Tipo de Tarea y especialidad]],#REF!,Planning[[#This Row],[Proyectos Reiwa]]),SUMIFS(#REF!,#REF!,Planning[[#This Row],[Tipo de Tarea y especialidad]],#REF!,Planning[[#This Row],[Proyectos]]))</f>
        <v>#REF!</v>
      </c>
      <c r="K3586" s="5" t="e">
        <f>Planning[[#This Row],[Horas Planificadas]]+Planning[[#This Row],[Horas ajustadas adicionales]]-Planning[[#This Row],[Horas utilizadas]]</f>
        <v>#REF!</v>
      </c>
      <c r="L3586" s="7"/>
      <c r="M3586" s="19" t="e">
        <f>Planning[[#This Row],[Saldo]]-Planning[[#This Row],[Saldo estimado]]</f>
        <v>#REF!</v>
      </c>
      <c r="N3586" s="60" t="e">
        <f>+SUMIFS(#REF!,#REF!,Planning[[#This Row],[Proyectos]],#REF!,Planning[[#This Row],[Tipo de Tarea y especialidad]])</f>
        <v>#REF!</v>
      </c>
      <c r="O3586" s="19">
        <f t="shared" si="110"/>
        <v>10</v>
      </c>
      <c r="P3586" s="19">
        <f t="shared" si="111"/>
        <v>2024</v>
      </c>
      <c r="Q35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86" s="19" t="str">
        <f>TEXT(Planning[[#This Row],[Mes]]*29,"mmmm")</f>
        <v>October</v>
      </c>
      <c r="S35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86" s="193"/>
      <c r="U3586" s="43">
        <f>IF(Planning[[#This Row],[Horas Planificadas]]&lt;&gt;0,+K3586/Planning[[#This Row],[Horas Planificadas]],0)</f>
        <v>0</v>
      </c>
      <c r="V3586" s="43">
        <f>IF(Planning[[#This Row],[Horas Planificadas]]&lt;&gt;0,Planning[[#This Row],[Horas utilizadas]]/Planning[[#This Row],[Horas Planificadas]],0)</f>
        <v>0</v>
      </c>
      <c r="W3586" s="44">
        <f>Planning[[#This Row],[Horas Planificadas]]+Planning[[#This Row],[Horas ajustadas adicionales]]</f>
        <v>0</v>
      </c>
      <c r="X3586" s="142"/>
    </row>
    <row r="3587" spans="1:24" ht="12.75" customHeight="1" x14ac:dyDescent="0.2">
      <c r="A3587" s="7" t="s">
        <v>483</v>
      </c>
      <c r="B3587" s="7" t="s">
        <v>178</v>
      </c>
      <c r="C3587" s="3"/>
      <c r="D3587" s="3" t="s">
        <v>649</v>
      </c>
      <c r="E3587" s="4" t="s">
        <v>28</v>
      </c>
      <c r="F3587" s="3"/>
      <c r="G3587" s="9">
        <v>0</v>
      </c>
      <c r="H3587" s="14">
        <f>SUM(H3588:H3589)</f>
        <v>0</v>
      </c>
      <c r="I3587" s="14"/>
      <c r="J3587" s="14" t="e">
        <f>SUM(J3588:J3589)</f>
        <v>#REF!</v>
      </c>
      <c r="K3587" s="14" t="e">
        <f>+Planning[[#This Row],[Horas Planificadas]]+Planning[[#This Row],[Horas ajustadas adicionales]]-Planning[[#This Row],[Horas utilizadas]]</f>
        <v>#REF!</v>
      </c>
      <c r="L3587" s="15">
        <f>SUM(L3588:L3589)</f>
        <v>0</v>
      </c>
      <c r="M3587" s="14" t="e">
        <f>SUM(M3588:M3589)</f>
        <v>#REF!</v>
      </c>
      <c r="N3587" s="66" t="e">
        <f>+SUMIFS(#REF!,#REF!,Planning[[#This Row],[Proyectos]],#REF!,Planning[[#This Row],[Tipo de Tarea y especialidad]])</f>
        <v>#REF!</v>
      </c>
      <c r="O3587" s="14">
        <f t="shared" si="110"/>
        <v>10</v>
      </c>
      <c r="P3587" s="14">
        <f t="shared" si="111"/>
        <v>2024</v>
      </c>
      <c r="Q3587" s="28" t="e">
        <f>SUM(Q3588:Q3589)</f>
        <v>#REF!</v>
      </c>
      <c r="R3587" s="28" t="str">
        <f>TEXT(Planning[[#This Row],[Mes]]*29,"mmmm")</f>
        <v>October</v>
      </c>
      <c r="S35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87" s="192" t="s">
        <v>650</v>
      </c>
      <c r="U3587" s="43">
        <f>IF(Planning[[#This Row],[Horas Planificadas]]&lt;&gt;0,+K3587/Planning[[#This Row],[Horas Planificadas]],0)</f>
        <v>0</v>
      </c>
      <c r="V3587" s="43">
        <f>IF(Planning[[#This Row],[Horas Planificadas]]&lt;&gt;0,Planning[[#This Row],[Horas utilizadas]]/Planning[[#This Row],[Horas Planificadas]],0)</f>
        <v>0</v>
      </c>
      <c r="W3587" s="44">
        <f>Planning[[#This Row],[Horas Planificadas]]+Planning[[#This Row],[Horas ajustadas adicionales]]</f>
        <v>0</v>
      </c>
      <c r="X3587" s="142"/>
    </row>
    <row r="3588" spans="1:24" ht="12.75" customHeight="1" x14ac:dyDescent="0.2">
      <c r="A3588" s="7" t="s">
        <v>483</v>
      </c>
      <c r="B3588" s="7" t="s">
        <v>178</v>
      </c>
      <c r="C3588" s="3"/>
      <c r="D3588" s="3" t="s">
        <v>649</v>
      </c>
      <c r="E3588" s="4"/>
      <c r="F3588" s="3" t="s">
        <v>120</v>
      </c>
      <c r="G3588" s="9">
        <v>0</v>
      </c>
      <c r="H3588" s="9">
        <v>0</v>
      </c>
      <c r="I3588" s="12"/>
      <c r="J3588" s="5" t="e">
        <f>SUM(SUMIFS(#REF!,#REF!,Planning[[#This Row],[Tipo de Tarea y especialidad]],#REF!,Planning[[#This Row],[Proyectos Reiwa]]),SUMIFS(#REF!,#REF!,Planning[[#This Row],[Tipo de Tarea y especialidad]],#REF!,Planning[[#This Row],[Proyectos]]))</f>
        <v>#REF!</v>
      </c>
      <c r="K3588" s="5" t="e">
        <f>+Planning[[#This Row],[Horas Planificadas]]+Planning[[#This Row],[Horas ajustadas adicionales]]-Planning[[#This Row],[Horas utilizadas]]</f>
        <v>#REF!</v>
      </c>
      <c r="L3588" s="7"/>
      <c r="M3588" s="19" t="e">
        <f>Planning[[#This Row],[Saldo]]-Planning[[#This Row],[Saldo estimado]]</f>
        <v>#REF!</v>
      </c>
      <c r="N3588" s="60" t="e">
        <f>+SUMIFS(#REF!,#REF!,Planning[[#This Row],[Proyectos]],#REF!,Planning[[#This Row],[Tipo de Tarea y especialidad]])</f>
        <v>#REF!</v>
      </c>
      <c r="O3588" s="19">
        <f t="shared" si="110"/>
        <v>10</v>
      </c>
      <c r="P3588" s="19">
        <f t="shared" si="111"/>
        <v>2024</v>
      </c>
      <c r="Q35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88" s="19" t="str">
        <f>TEXT(Planning[[#This Row],[Mes]]*29,"mmmm")</f>
        <v>October</v>
      </c>
      <c r="S35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88" s="193"/>
      <c r="U3588" s="43">
        <f>IF(Planning[[#This Row],[Horas Planificadas]]&lt;&gt;0,+K3588/Planning[[#This Row],[Horas Planificadas]],0)</f>
        <v>0</v>
      </c>
      <c r="V3588" s="43">
        <f>IF(Planning[[#This Row],[Horas Planificadas]]&lt;&gt;0,Planning[[#This Row],[Horas utilizadas]]/Planning[[#This Row],[Horas Planificadas]],0)</f>
        <v>0</v>
      </c>
      <c r="W3588" s="44">
        <f>Planning[[#This Row],[Horas Planificadas]]+Planning[[#This Row],[Horas ajustadas adicionales]]</f>
        <v>0</v>
      </c>
      <c r="X3588" s="142"/>
    </row>
    <row r="3589" spans="1:24" ht="12.75" customHeight="1" x14ac:dyDescent="0.2">
      <c r="A3589" s="7" t="s">
        <v>483</v>
      </c>
      <c r="B3589" s="7" t="s">
        <v>178</v>
      </c>
      <c r="C3589" s="3"/>
      <c r="D3589" s="3" t="s">
        <v>649</v>
      </c>
      <c r="E3589" s="4"/>
      <c r="F3589" s="3" t="s">
        <v>121</v>
      </c>
      <c r="G3589" s="9">
        <v>0</v>
      </c>
      <c r="H3589" s="9">
        <v>0</v>
      </c>
      <c r="I3589" s="12"/>
      <c r="J3589" s="5" t="e">
        <f>SUM(SUMIFS(#REF!,#REF!,Planning[[#This Row],[Tipo de Tarea y especialidad]],#REF!,Planning[[#This Row],[Proyectos Reiwa]]),SUMIFS(#REF!,#REF!,Planning[[#This Row],[Tipo de Tarea y especialidad]],#REF!,Planning[[#This Row],[Proyectos]]))</f>
        <v>#REF!</v>
      </c>
      <c r="K3589" s="5" t="e">
        <f>+Planning[[#This Row],[Horas Planificadas]]+Planning[[#This Row],[Horas ajustadas adicionales]]-Planning[[#This Row],[Horas utilizadas]]</f>
        <v>#REF!</v>
      </c>
      <c r="L3589" s="7"/>
      <c r="M3589" s="19" t="e">
        <f>Planning[[#This Row],[Saldo]]-Planning[[#This Row],[Saldo estimado]]</f>
        <v>#REF!</v>
      </c>
      <c r="N3589" s="60" t="e">
        <f>+SUMIFS(#REF!,#REF!,Planning[[#This Row],[Proyectos]],#REF!,Planning[[#This Row],[Tipo de Tarea y especialidad]])</f>
        <v>#REF!</v>
      </c>
      <c r="O3589" s="19">
        <f t="shared" si="110"/>
        <v>10</v>
      </c>
      <c r="P3589" s="19">
        <f t="shared" si="111"/>
        <v>2024</v>
      </c>
      <c r="Q35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89" s="19" t="str">
        <f>TEXT(Planning[[#This Row],[Mes]]*29,"mmmm")</f>
        <v>October</v>
      </c>
      <c r="S35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89" s="193"/>
      <c r="U3589" s="43">
        <f>IF(Planning[[#This Row],[Horas Planificadas]]&lt;&gt;0,+K3589/Planning[[#This Row],[Horas Planificadas]],0)</f>
        <v>0</v>
      </c>
      <c r="V3589" s="43">
        <f>IF(Planning[[#This Row],[Horas Planificadas]]&lt;&gt;0,Planning[[#This Row],[Horas utilizadas]]/Planning[[#This Row],[Horas Planificadas]],0)</f>
        <v>0</v>
      </c>
      <c r="W3589" s="44">
        <f>Planning[[#This Row],[Horas Planificadas]]+Planning[[#This Row],[Horas ajustadas adicionales]]</f>
        <v>0</v>
      </c>
      <c r="X3589" s="142"/>
    </row>
    <row r="3590" spans="1:24" ht="12.75" customHeight="1" x14ac:dyDescent="0.2">
      <c r="A3590" s="7" t="s">
        <v>483</v>
      </c>
      <c r="B3590" s="7" t="s">
        <v>178</v>
      </c>
      <c r="C3590" s="3"/>
      <c r="D3590" s="3" t="s">
        <v>649</v>
      </c>
      <c r="E3590" s="4" t="s">
        <v>30</v>
      </c>
      <c r="F3590" s="3"/>
      <c r="G3590" s="9">
        <v>189</v>
      </c>
      <c r="H3590" s="14">
        <f>SUM(H3591:H3597)</f>
        <v>189</v>
      </c>
      <c r="I3590" s="14"/>
      <c r="J3590" s="14" t="e">
        <f>SUM(J3591:J3597)</f>
        <v>#REF!</v>
      </c>
      <c r="K3590" s="14" t="e">
        <f>+Planning[[#This Row],[Horas Planificadas]]+Planning[[#This Row],[Horas ajustadas adicionales]]-Planning[[#This Row],[Horas utilizadas]]</f>
        <v>#REF!</v>
      </c>
      <c r="L3590" s="15">
        <f>SUM(L3591:L3597)</f>
        <v>0</v>
      </c>
      <c r="M3590" s="16" t="e">
        <f>SUM(M3591:M3597)</f>
        <v>#REF!</v>
      </c>
      <c r="N3590" s="60" t="e">
        <f>+SUMIFS(#REF!,#REF!,Planning[[#This Row],[Proyectos]],#REF!,Planning[[#This Row],[Tipo de Tarea y especialidad]])</f>
        <v>#REF!</v>
      </c>
      <c r="O3590" s="16">
        <f t="shared" si="110"/>
        <v>10</v>
      </c>
      <c r="P3590" s="16">
        <f t="shared" si="111"/>
        <v>2024</v>
      </c>
      <c r="Q3590" s="16" t="e">
        <f>SUM(Q3591:Q3597)</f>
        <v>#REF!</v>
      </c>
      <c r="R3590" s="16" t="str">
        <f>TEXT(Planning[[#This Row],[Mes]]*29,"mmmm")</f>
        <v>October</v>
      </c>
      <c r="S35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90" s="193"/>
      <c r="U3590" s="43" t="e">
        <f>IF(Planning[[#This Row],[Horas Planificadas]]&lt;&gt;0,+K3590/Planning[[#This Row],[Horas Planificadas]],0)</f>
        <v>#REF!</v>
      </c>
      <c r="V3590" s="43" t="e">
        <f>IF(Planning[[#This Row],[Horas Planificadas]]&lt;&gt;0,Planning[[#This Row],[Horas utilizadas]]/Planning[[#This Row],[Horas Planificadas]],0)</f>
        <v>#REF!</v>
      </c>
      <c r="W3590" s="44">
        <f>Planning[[#This Row],[Horas Planificadas]]+Planning[[#This Row],[Horas ajustadas adicionales]]</f>
        <v>189</v>
      </c>
      <c r="X3590" s="142"/>
    </row>
    <row r="3591" spans="1:24" ht="12.75" customHeight="1" x14ac:dyDescent="0.2">
      <c r="A3591" s="7" t="s">
        <v>483</v>
      </c>
      <c r="B3591" s="7" t="s">
        <v>178</v>
      </c>
      <c r="C3591" s="3"/>
      <c r="D3591" s="3" t="s">
        <v>649</v>
      </c>
      <c r="E3591" s="4"/>
      <c r="F3591" s="3" t="s">
        <v>122</v>
      </c>
      <c r="G3591" s="9">
        <v>0</v>
      </c>
      <c r="H3591" s="9">
        <v>0</v>
      </c>
      <c r="I3591" s="12"/>
      <c r="J3591" s="5" t="e">
        <f>SUM(SUMIFS(#REF!,#REF!,Planning[[#This Row],[Tipo de Tarea y especialidad]],#REF!,Planning[[#This Row],[Proyectos Reiwa]]),SUMIFS(#REF!,#REF!,Planning[[#This Row],[Tipo de Tarea y especialidad]],#REF!,Planning[[#This Row],[Proyectos]]))</f>
        <v>#REF!</v>
      </c>
      <c r="K3591" s="5" t="e">
        <f>+Planning[[#This Row],[Horas Planificadas]]+Planning[[#This Row],[Horas ajustadas adicionales]]-Planning[[#This Row],[Horas utilizadas]]</f>
        <v>#REF!</v>
      </c>
      <c r="L3591" s="7"/>
      <c r="M3591" s="19" t="e">
        <f>Planning[[#This Row],[Saldo]]-Planning[[#This Row],[Saldo estimado]]</f>
        <v>#REF!</v>
      </c>
      <c r="N3591" s="60" t="e">
        <f>+SUMIFS(#REF!,#REF!,Planning[[#This Row],[Proyectos]],#REF!,Planning[[#This Row],[Tipo de Tarea y especialidad]])</f>
        <v>#REF!</v>
      </c>
      <c r="O3591" s="19">
        <f t="shared" ref="O3591:O3654" si="112">$L$4</f>
        <v>10</v>
      </c>
      <c r="P3591" s="19">
        <f t="shared" ref="P3591:P3654" si="113">$M$4</f>
        <v>2024</v>
      </c>
      <c r="Q35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91" s="19" t="str">
        <f>TEXT(Planning[[#This Row],[Mes]]*29,"mmmm")</f>
        <v>October</v>
      </c>
      <c r="S35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91" s="193"/>
      <c r="U3591" s="43">
        <f>IF(Planning[[#This Row],[Horas Planificadas]]&lt;&gt;0,+K3591/Planning[[#This Row],[Horas Planificadas]],0)</f>
        <v>0</v>
      </c>
      <c r="V3591" s="43">
        <f>IF(Planning[[#This Row],[Horas Planificadas]]&lt;&gt;0,Planning[[#This Row],[Horas utilizadas]]/Planning[[#This Row],[Horas Planificadas]],0)</f>
        <v>0</v>
      </c>
      <c r="W3591" s="44">
        <f>Planning[[#This Row],[Horas Planificadas]]+Planning[[#This Row],[Horas ajustadas adicionales]]</f>
        <v>0</v>
      </c>
      <c r="X3591" s="142"/>
    </row>
    <row r="3592" spans="1:24" ht="12.75" customHeight="1" x14ac:dyDescent="0.2">
      <c r="A3592" s="7" t="s">
        <v>483</v>
      </c>
      <c r="B3592" s="7" t="s">
        <v>178</v>
      </c>
      <c r="C3592" s="3"/>
      <c r="D3592" s="3" t="s">
        <v>649</v>
      </c>
      <c r="E3592" s="4"/>
      <c r="F3592" s="3" t="s">
        <v>123</v>
      </c>
      <c r="G3592" s="9">
        <v>63</v>
      </c>
      <c r="H3592" s="9">
        <v>63</v>
      </c>
      <c r="I3592" s="12"/>
      <c r="J3592" s="5" t="e">
        <f>SUM(SUMIFS(#REF!,#REF!,Planning[[#This Row],[Tipo de Tarea y especialidad]],#REF!,Planning[[#This Row],[Proyectos Reiwa]]),SUMIFS(#REF!,#REF!,Planning[[#This Row],[Tipo de Tarea y especialidad]],#REF!,Planning[[#This Row],[Proyectos]]))</f>
        <v>#REF!</v>
      </c>
      <c r="K3592" s="5" t="e">
        <f>+Planning[[#This Row],[Horas Planificadas]]+Planning[[#This Row],[Horas ajustadas adicionales]]-Planning[[#This Row],[Horas utilizadas]]</f>
        <v>#REF!</v>
      </c>
      <c r="L3592" s="7"/>
      <c r="M3592" s="19" t="e">
        <f>Planning[[#This Row],[Saldo]]-Planning[[#This Row],[Saldo estimado]]</f>
        <v>#REF!</v>
      </c>
      <c r="N3592" s="60" t="e">
        <f>+SUMIFS(#REF!,#REF!,Planning[[#This Row],[Proyectos]],#REF!,Planning[[#This Row],[Tipo de Tarea y especialidad]])</f>
        <v>#REF!</v>
      </c>
      <c r="O3592" s="19">
        <f t="shared" si="112"/>
        <v>10</v>
      </c>
      <c r="P3592" s="19">
        <f t="shared" si="113"/>
        <v>2024</v>
      </c>
      <c r="Q35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92" s="19" t="str">
        <f>TEXT(Planning[[#This Row],[Mes]]*29,"mmmm")</f>
        <v>October</v>
      </c>
      <c r="S35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92" s="193"/>
      <c r="U3592" s="43" t="e">
        <f>IF(Planning[[#This Row],[Horas Planificadas]]&lt;&gt;0,+K3592/Planning[[#This Row],[Horas Planificadas]],0)</f>
        <v>#REF!</v>
      </c>
      <c r="V3592" s="43" t="e">
        <f>IF(Planning[[#This Row],[Horas Planificadas]]&lt;&gt;0,Planning[[#This Row],[Horas utilizadas]]/Planning[[#This Row],[Horas Planificadas]],0)</f>
        <v>#REF!</v>
      </c>
      <c r="W3592" s="44">
        <f>Planning[[#This Row],[Horas Planificadas]]+Planning[[#This Row],[Horas ajustadas adicionales]]</f>
        <v>63</v>
      </c>
      <c r="X3592" s="142"/>
    </row>
    <row r="3593" spans="1:24" ht="12.75" customHeight="1" x14ac:dyDescent="0.2">
      <c r="A3593" s="7" t="s">
        <v>483</v>
      </c>
      <c r="B3593" s="7" t="s">
        <v>178</v>
      </c>
      <c r="C3593" s="3"/>
      <c r="D3593" s="3" t="s">
        <v>649</v>
      </c>
      <c r="E3593" s="4"/>
      <c r="F3593" s="3" t="s">
        <v>124</v>
      </c>
      <c r="G3593" s="9">
        <v>0</v>
      </c>
      <c r="H3593" s="9">
        <v>0</v>
      </c>
      <c r="I3593" s="12"/>
      <c r="J3593" s="5" t="e">
        <f>SUM(SUMIFS(#REF!,#REF!,Planning[[#This Row],[Tipo de Tarea y especialidad]],#REF!,Planning[[#This Row],[Proyectos Reiwa]]),SUMIFS(#REF!,#REF!,Planning[[#This Row],[Tipo de Tarea y especialidad]],#REF!,Planning[[#This Row],[Proyectos]]))</f>
        <v>#REF!</v>
      </c>
      <c r="K3593" s="5" t="e">
        <f>+Planning[[#This Row],[Horas Planificadas]]+Planning[[#This Row],[Horas ajustadas adicionales]]-Planning[[#This Row],[Horas utilizadas]]</f>
        <v>#REF!</v>
      </c>
      <c r="L3593" s="7"/>
      <c r="M3593" s="19" t="e">
        <f>Planning[[#This Row],[Saldo]]-Planning[[#This Row],[Saldo estimado]]</f>
        <v>#REF!</v>
      </c>
      <c r="N3593" s="60" t="e">
        <f>+SUMIFS(#REF!,#REF!,Planning[[#This Row],[Proyectos]],#REF!,Planning[[#This Row],[Tipo de Tarea y especialidad]])</f>
        <v>#REF!</v>
      </c>
      <c r="O3593" s="19">
        <f t="shared" si="112"/>
        <v>10</v>
      </c>
      <c r="P3593" s="19">
        <f t="shared" si="113"/>
        <v>2024</v>
      </c>
      <c r="Q35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93" s="19" t="str">
        <f>TEXT(Planning[[#This Row],[Mes]]*29,"mmmm")</f>
        <v>October</v>
      </c>
      <c r="S35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93" s="193"/>
      <c r="U3593" s="43">
        <f>IF(Planning[[#This Row],[Horas Planificadas]]&lt;&gt;0,+K3593/Planning[[#This Row],[Horas Planificadas]],0)</f>
        <v>0</v>
      </c>
      <c r="V3593" s="43">
        <f>IF(Planning[[#This Row],[Horas Planificadas]]&lt;&gt;0,Planning[[#This Row],[Horas utilizadas]]/Planning[[#This Row],[Horas Planificadas]],0)</f>
        <v>0</v>
      </c>
      <c r="W3593" s="44">
        <f>Planning[[#This Row],[Horas Planificadas]]+Planning[[#This Row],[Horas ajustadas adicionales]]</f>
        <v>0</v>
      </c>
      <c r="X3593" s="142"/>
    </row>
    <row r="3594" spans="1:24" ht="12.75" customHeight="1" x14ac:dyDescent="0.2">
      <c r="A3594" s="7" t="s">
        <v>483</v>
      </c>
      <c r="B3594" s="7" t="s">
        <v>178</v>
      </c>
      <c r="C3594" s="3"/>
      <c r="D3594" s="3" t="s">
        <v>649</v>
      </c>
      <c r="E3594" s="4"/>
      <c r="F3594" s="3" t="s">
        <v>125</v>
      </c>
      <c r="G3594" s="9">
        <v>45</v>
      </c>
      <c r="H3594" s="9">
        <v>45</v>
      </c>
      <c r="I3594" s="12"/>
      <c r="J3594" s="5" t="e">
        <f>SUM(SUMIFS(#REF!,#REF!,Planning[[#This Row],[Tipo de Tarea y especialidad]],#REF!,Planning[[#This Row],[Proyectos Reiwa]]),SUMIFS(#REF!,#REF!,Planning[[#This Row],[Tipo de Tarea y especialidad]],#REF!,Planning[[#This Row],[Proyectos]]))</f>
        <v>#REF!</v>
      </c>
      <c r="K3594" s="5" t="e">
        <f>+Planning[[#This Row],[Horas Planificadas]]+Planning[[#This Row],[Horas ajustadas adicionales]]-Planning[[#This Row],[Horas utilizadas]]</f>
        <v>#REF!</v>
      </c>
      <c r="L3594" s="7"/>
      <c r="M3594" s="19" t="e">
        <f>Planning[[#This Row],[Saldo]]-Planning[[#This Row],[Saldo estimado]]</f>
        <v>#REF!</v>
      </c>
      <c r="N3594" s="60" t="e">
        <f>+SUMIFS(#REF!,#REF!,Planning[[#This Row],[Proyectos]],#REF!,Planning[[#This Row],[Tipo de Tarea y especialidad]])</f>
        <v>#REF!</v>
      </c>
      <c r="O3594" s="19">
        <f t="shared" si="112"/>
        <v>10</v>
      </c>
      <c r="P3594" s="19">
        <f t="shared" si="113"/>
        <v>2024</v>
      </c>
      <c r="Q35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94" s="19" t="str">
        <f>TEXT(Planning[[#This Row],[Mes]]*29,"mmmm")</f>
        <v>October</v>
      </c>
      <c r="S35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94" s="193"/>
      <c r="U3594" s="43" t="e">
        <f>IF(Planning[[#This Row],[Horas Planificadas]]&lt;&gt;0,+K3594/Planning[[#This Row],[Horas Planificadas]],0)</f>
        <v>#REF!</v>
      </c>
      <c r="V3594" s="43" t="e">
        <f>IF(Planning[[#This Row],[Horas Planificadas]]&lt;&gt;0,Planning[[#This Row],[Horas utilizadas]]/Planning[[#This Row],[Horas Planificadas]],0)</f>
        <v>#REF!</v>
      </c>
      <c r="W3594" s="44">
        <f>Planning[[#This Row],[Horas Planificadas]]+Planning[[#This Row],[Horas ajustadas adicionales]]</f>
        <v>45</v>
      </c>
      <c r="X3594" s="142"/>
    </row>
    <row r="3595" spans="1:24" ht="12.75" customHeight="1" x14ac:dyDescent="0.2">
      <c r="A3595" s="7" t="s">
        <v>483</v>
      </c>
      <c r="B3595" s="7" t="s">
        <v>178</v>
      </c>
      <c r="C3595" s="3"/>
      <c r="D3595" s="3" t="s">
        <v>649</v>
      </c>
      <c r="E3595" s="4"/>
      <c r="F3595" s="3" t="s">
        <v>126</v>
      </c>
      <c r="G3595" s="9">
        <v>0</v>
      </c>
      <c r="H3595" s="9">
        <v>0</v>
      </c>
      <c r="I3595" s="12"/>
      <c r="J3595" s="5" t="e">
        <f>SUM(SUMIFS(#REF!,#REF!,Planning[[#This Row],[Tipo de Tarea y especialidad]],#REF!,Planning[[#This Row],[Proyectos Reiwa]]),SUMIFS(#REF!,#REF!,Planning[[#This Row],[Tipo de Tarea y especialidad]],#REF!,Planning[[#This Row],[Proyectos]]))</f>
        <v>#REF!</v>
      </c>
      <c r="K3595" s="5" t="e">
        <f>+Planning[[#This Row],[Horas Planificadas]]+Planning[[#This Row],[Horas ajustadas adicionales]]-Planning[[#This Row],[Horas utilizadas]]</f>
        <v>#REF!</v>
      </c>
      <c r="L3595" s="7"/>
      <c r="M3595" s="19" t="e">
        <f>Planning[[#This Row],[Saldo]]-Planning[[#This Row],[Saldo estimado]]</f>
        <v>#REF!</v>
      </c>
      <c r="N3595" s="60" t="e">
        <f>+SUMIFS(#REF!,#REF!,Planning[[#This Row],[Proyectos]],#REF!,Planning[[#This Row],[Tipo de Tarea y especialidad]])</f>
        <v>#REF!</v>
      </c>
      <c r="O3595" s="19">
        <f t="shared" si="112"/>
        <v>10</v>
      </c>
      <c r="P3595" s="19">
        <f t="shared" si="113"/>
        <v>2024</v>
      </c>
      <c r="Q35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95" s="19" t="str">
        <f>TEXT(Planning[[#This Row],[Mes]]*29,"mmmm")</f>
        <v>October</v>
      </c>
      <c r="S35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95" s="193"/>
      <c r="U3595" s="43">
        <f>IF(Planning[[#This Row],[Horas Planificadas]]&lt;&gt;0,+K3595/Planning[[#This Row],[Horas Planificadas]],0)</f>
        <v>0</v>
      </c>
      <c r="V3595" s="43">
        <f>IF(Planning[[#This Row],[Horas Planificadas]]&lt;&gt;0,Planning[[#This Row],[Horas utilizadas]]/Planning[[#This Row],[Horas Planificadas]],0)</f>
        <v>0</v>
      </c>
      <c r="W3595" s="44">
        <f>Planning[[#This Row],[Horas Planificadas]]+Planning[[#This Row],[Horas ajustadas adicionales]]</f>
        <v>0</v>
      </c>
      <c r="X3595" s="142"/>
    </row>
    <row r="3596" spans="1:24" ht="12.75" customHeight="1" x14ac:dyDescent="0.2">
      <c r="A3596" s="7" t="s">
        <v>483</v>
      </c>
      <c r="B3596" s="7" t="s">
        <v>178</v>
      </c>
      <c r="C3596" s="3"/>
      <c r="D3596" s="3" t="s">
        <v>649</v>
      </c>
      <c r="E3596" s="4"/>
      <c r="F3596" s="3" t="s">
        <v>127</v>
      </c>
      <c r="G3596" s="9">
        <v>81</v>
      </c>
      <c r="H3596" s="9">
        <v>81</v>
      </c>
      <c r="I3596" s="12"/>
      <c r="J3596" s="5" t="e">
        <f>SUM(SUMIFS(#REF!,#REF!,Planning[[#This Row],[Tipo de Tarea y especialidad]],#REF!,Planning[[#This Row],[Proyectos Reiwa]]),SUMIFS(#REF!,#REF!,Planning[[#This Row],[Tipo de Tarea y especialidad]],#REF!,Planning[[#This Row],[Proyectos]]))</f>
        <v>#REF!</v>
      </c>
      <c r="K3596" s="5" t="e">
        <f>+Planning[[#This Row],[Horas Planificadas]]+Planning[[#This Row],[Horas ajustadas adicionales]]-Planning[[#This Row],[Horas utilizadas]]</f>
        <v>#REF!</v>
      </c>
      <c r="L3596" s="7"/>
      <c r="M3596" s="19" t="e">
        <f>Planning[[#This Row],[Saldo]]-Planning[[#This Row],[Saldo estimado]]</f>
        <v>#REF!</v>
      </c>
      <c r="N3596" s="60" t="e">
        <f>+SUMIFS(#REF!,#REF!,Planning[[#This Row],[Proyectos]],#REF!,Planning[[#This Row],[Tipo de Tarea y especialidad]])</f>
        <v>#REF!</v>
      </c>
      <c r="O3596" s="19">
        <f t="shared" si="112"/>
        <v>10</v>
      </c>
      <c r="P3596" s="19">
        <f t="shared" si="113"/>
        <v>2024</v>
      </c>
      <c r="Q35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96" s="19" t="str">
        <f>TEXT(Planning[[#This Row],[Mes]]*29,"mmmm")</f>
        <v>October</v>
      </c>
      <c r="S35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96" s="193"/>
      <c r="U3596" s="43" t="e">
        <f>IF(Planning[[#This Row],[Horas Planificadas]]&lt;&gt;0,+K3596/Planning[[#This Row],[Horas Planificadas]],0)</f>
        <v>#REF!</v>
      </c>
      <c r="V3596" s="43" t="e">
        <f>IF(Planning[[#This Row],[Horas Planificadas]]&lt;&gt;0,Planning[[#This Row],[Horas utilizadas]]/Planning[[#This Row],[Horas Planificadas]],0)</f>
        <v>#REF!</v>
      </c>
      <c r="W3596" s="44">
        <f>Planning[[#This Row],[Horas Planificadas]]+Planning[[#This Row],[Horas ajustadas adicionales]]</f>
        <v>81</v>
      </c>
      <c r="X3596" s="142"/>
    </row>
    <row r="3597" spans="1:24" ht="12.75" customHeight="1" x14ac:dyDescent="0.2">
      <c r="A3597" s="7" t="s">
        <v>483</v>
      </c>
      <c r="B3597" s="7" t="s">
        <v>178</v>
      </c>
      <c r="C3597" s="3"/>
      <c r="D3597" s="3" t="s">
        <v>649</v>
      </c>
      <c r="E3597" s="4"/>
      <c r="F3597" s="3" t="s">
        <v>128</v>
      </c>
      <c r="G3597" s="9">
        <v>0</v>
      </c>
      <c r="H3597" s="9">
        <v>0</v>
      </c>
      <c r="I3597" s="12"/>
      <c r="J3597" s="5" t="e">
        <f>SUM(SUMIFS(#REF!,#REF!,Planning[[#This Row],[Tipo de Tarea y especialidad]],#REF!,Planning[[#This Row],[Proyectos Reiwa]]),SUMIFS(#REF!,#REF!,Planning[[#This Row],[Tipo de Tarea y especialidad]],#REF!,Planning[[#This Row],[Proyectos]]))</f>
        <v>#REF!</v>
      </c>
      <c r="K3597" s="5" t="e">
        <f>+Planning[[#This Row],[Horas Planificadas]]+Planning[[#This Row],[Horas ajustadas adicionales]]-Planning[[#This Row],[Horas utilizadas]]</f>
        <v>#REF!</v>
      </c>
      <c r="L3597" s="7"/>
      <c r="M3597" s="19" t="e">
        <f>Planning[[#This Row],[Saldo]]-Planning[[#This Row],[Saldo estimado]]</f>
        <v>#REF!</v>
      </c>
      <c r="N3597" s="60" t="e">
        <f>+SUMIFS(#REF!,#REF!,Planning[[#This Row],[Proyectos]],#REF!,Planning[[#This Row],[Tipo de Tarea y especialidad]])</f>
        <v>#REF!</v>
      </c>
      <c r="O3597" s="19">
        <f t="shared" si="112"/>
        <v>10</v>
      </c>
      <c r="P3597" s="19">
        <f t="shared" si="113"/>
        <v>2024</v>
      </c>
      <c r="Q35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597" s="19" t="str">
        <f>TEXT(Planning[[#This Row],[Mes]]*29,"mmmm")</f>
        <v>October</v>
      </c>
      <c r="S35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97" s="193"/>
      <c r="U3597" s="43">
        <f>IF(Planning[[#This Row],[Horas Planificadas]]&lt;&gt;0,+K3597/Planning[[#This Row],[Horas Planificadas]],0)</f>
        <v>0</v>
      </c>
      <c r="V3597" s="43">
        <f>IF(Planning[[#This Row],[Horas Planificadas]]&lt;&gt;0,Planning[[#This Row],[Horas utilizadas]]/Planning[[#This Row],[Horas Planificadas]],0)</f>
        <v>0</v>
      </c>
      <c r="W3597" s="44">
        <f>Planning[[#This Row],[Horas Planificadas]]+Planning[[#This Row],[Horas ajustadas adicionales]]</f>
        <v>0</v>
      </c>
      <c r="X3597" s="142"/>
    </row>
    <row r="3598" spans="1:24" ht="12.75" customHeight="1" x14ac:dyDescent="0.2">
      <c r="A3598" s="7" t="s">
        <v>483</v>
      </c>
      <c r="B3598" s="7" t="s">
        <v>178</v>
      </c>
      <c r="C3598" s="3"/>
      <c r="D3598" s="3" t="s">
        <v>649</v>
      </c>
      <c r="E3598" s="4" t="s">
        <v>31</v>
      </c>
      <c r="F3598" s="3" t="s">
        <v>31</v>
      </c>
      <c r="G3598" s="9">
        <v>45</v>
      </c>
      <c r="H3598" s="17">
        <f>Planning[[#This Row],[Horas Precálculo]]</f>
        <v>45</v>
      </c>
      <c r="I3598" s="18"/>
      <c r="J3598" s="14" t="e">
        <f>+SUMIFS(#REF!,#REF!,Planning[[#This Row],[Tarifa]],#REF!,Planning[[#This Row],[Proyectos]])</f>
        <v>#REF!</v>
      </c>
      <c r="K3598" s="14" t="e">
        <f>+Planning[[#This Row],[Horas Planificadas]]+Planning[[#This Row],[Horas ajustadas adicionales]]-Planning[[#This Row],[Horas utilizadas]]</f>
        <v>#REF!</v>
      </c>
      <c r="L3598" s="15">
        <v>0</v>
      </c>
      <c r="M3598" s="16" t="e">
        <f>Planning[[#This Row],[Saldo]]-Planning[[#This Row],[Saldo estimado]]</f>
        <v>#REF!</v>
      </c>
      <c r="N3598" s="60" t="e">
        <f>+SUMIFS(#REF!,#REF!,Planning[[#This Row],[Proyectos]],#REF!,Planning[[#This Row],[Tipo de Tarea y especialidad]])</f>
        <v>#REF!</v>
      </c>
      <c r="O3598" s="16">
        <f t="shared" si="112"/>
        <v>10</v>
      </c>
      <c r="P3598" s="16">
        <f t="shared" si="113"/>
        <v>2024</v>
      </c>
      <c r="Q3598" s="16" t="e">
        <f>+SUMIFS(#REF!,#REF!,Planning[[#This Row],[Tarifa]],#REF!,Planning[[#This Row],[Proyectos]],#REF!,Planning[[#This Row],[Mes]],#REF!,Planning[[#This Row],[Año]])</f>
        <v>#REF!</v>
      </c>
      <c r="R3598" s="16" t="str">
        <f>TEXT(Planning[[#This Row],[Mes]]*29,"mmmm")</f>
        <v>October</v>
      </c>
      <c r="S35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98" s="193"/>
      <c r="U3598" s="43" t="e">
        <f>IF(Planning[[#This Row],[Horas Planificadas]]&lt;&gt;0,+K3598/Planning[[#This Row],[Horas Planificadas]],0)</f>
        <v>#REF!</v>
      </c>
      <c r="V3598" s="43" t="e">
        <f>IF(Planning[[#This Row],[Horas Planificadas]]&lt;&gt;0,Planning[[#This Row],[Horas utilizadas]]/Planning[[#This Row],[Horas Planificadas]],0)</f>
        <v>#REF!</v>
      </c>
      <c r="W3598" s="44">
        <f>Planning[[#This Row],[Horas Planificadas]]+Planning[[#This Row],[Horas ajustadas adicionales]]</f>
        <v>45</v>
      </c>
      <c r="X3598" s="142"/>
    </row>
    <row r="3599" spans="1:24" ht="12.75" customHeight="1" x14ac:dyDescent="0.2">
      <c r="A3599" s="7" t="s">
        <v>483</v>
      </c>
      <c r="B3599" s="7" t="s">
        <v>178</v>
      </c>
      <c r="C3599" s="3"/>
      <c r="D3599" s="3" t="s">
        <v>649</v>
      </c>
      <c r="E3599" s="4" t="s">
        <v>32</v>
      </c>
      <c r="F3599" s="3"/>
      <c r="G3599" s="9">
        <v>80</v>
      </c>
      <c r="H3599" s="14">
        <f>SUM(H3600:H3602)</f>
        <v>80</v>
      </c>
      <c r="I3599" s="14"/>
      <c r="J3599" s="14" t="e">
        <f>SUM(J3600:J3602)</f>
        <v>#REF!</v>
      </c>
      <c r="K3599" s="14" t="e">
        <f>+Planning[[#This Row],[Horas Planificadas]]+Planning[[#This Row],[Horas ajustadas adicionales]]-Planning[[#This Row],[Horas utilizadas]]</f>
        <v>#REF!</v>
      </c>
      <c r="L3599" s="15">
        <f>SUM(L3600:L3602)</f>
        <v>0</v>
      </c>
      <c r="M3599" s="16" t="e">
        <f>SUM(M3600:M3602)</f>
        <v>#REF!</v>
      </c>
      <c r="N3599" s="60" t="e">
        <f>+SUMIFS(#REF!,#REF!,Planning[[#This Row],[Proyectos]],#REF!,Planning[[#This Row],[Tipo de Tarea y especialidad]])</f>
        <v>#REF!</v>
      </c>
      <c r="O3599" s="16">
        <f t="shared" si="112"/>
        <v>10</v>
      </c>
      <c r="P3599" s="16">
        <f t="shared" si="113"/>
        <v>2024</v>
      </c>
      <c r="Q3599" s="16" t="e">
        <f>SUM(Q3600:Q3602)</f>
        <v>#REF!</v>
      </c>
      <c r="R3599" s="16" t="str">
        <f>TEXT(Planning[[#This Row],[Mes]]*29,"mmmm")</f>
        <v>October</v>
      </c>
      <c r="S35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599" s="193"/>
      <c r="U3599" s="43" t="e">
        <f>IF(Planning[[#This Row],[Horas Planificadas]]&lt;&gt;0,+K3599/Planning[[#This Row],[Horas Planificadas]],0)</f>
        <v>#REF!</v>
      </c>
      <c r="V3599" s="43" t="e">
        <f>IF(Planning[[#This Row],[Horas Planificadas]]&lt;&gt;0,Planning[[#This Row],[Horas utilizadas]]/Planning[[#This Row],[Horas Planificadas]],0)</f>
        <v>#REF!</v>
      </c>
      <c r="W3599" s="44">
        <f>Planning[[#This Row],[Horas Planificadas]]+Planning[[#This Row],[Horas ajustadas adicionales]]</f>
        <v>80</v>
      </c>
      <c r="X3599" s="142"/>
    </row>
    <row r="3600" spans="1:24" ht="12.75" customHeight="1" x14ac:dyDescent="0.2">
      <c r="A3600" s="7" t="s">
        <v>483</v>
      </c>
      <c r="B3600" s="7" t="s">
        <v>178</v>
      </c>
      <c r="C3600" s="3"/>
      <c r="D3600" s="3" t="s">
        <v>649</v>
      </c>
      <c r="E3600" s="4"/>
      <c r="F3600" s="3" t="s">
        <v>129</v>
      </c>
      <c r="G3600" s="9">
        <v>0</v>
      </c>
      <c r="H3600" s="9">
        <v>0</v>
      </c>
      <c r="I3600" s="12"/>
      <c r="J3600" s="5" t="e">
        <f>SUM(SUMIFS(#REF!,#REF!,Planning[[#This Row],[Tipo de Tarea y especialidad]],#REF!,Planning[[#This Row],[Proyectos Reiwa]]),SUMIFS(#REF!,#REF!,Planning[[#This Row],[Tipo de Tarea y especialidad]],#REF!,Planning[[#This Row],[Proyectos]]))</f>
        <v>#REF!</v>
      </c>
      <c r="K3600" s="5" t="e">
        <f>+Planning[[#This Row],[Horas Planificadas]]+Planning[[#This Row],[Horas ajustadas adicionales]]-Planning[[#This Row],[Horas utilizadas]]</f>
        <v>#REF!</v>
      </c>
      <c r="L3600" s="7"/>
      <c r="M3600" s="19" t="e">
        <f>Planning[[#This Row],[Saldo]]-Planning[[#This Row],[Saldo estimado]]</f>
        <v>#REF!</v>
      </c>
      <c r="N3600" s="60" t="e">
        <f>+SUMIFS(#REF!,#REF!,Planning[[#This Row],[Proyectos]],#REF!,Planning[[#This Row],[Tipo de Tarea y especialidad]])</f>
        <v>#REF!</v>
      </c>
      <c r="O3600" s="19">
        <f t="shared" si="112"/>
        <v>10</v>
      </c>
      <c r="P3600" s="19">
        <f t="shared" si="113"/>
        <v>2024</v>
      </c>
      <c r="Q36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00" s="19" t="str">
        <f>TEXT(Planning[[#This Row],[Mes]]*29,"mmmm")</f>
        <v>October</v>
      </c>
      <c r="S36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00" s="193"/>
      <c r="U3600" s="43">
        <f>IF(Planning[[#This Row],[Horas Planificadas]]&lt;&gt;0,+K3600/Planning[[#This Row],[Horas Planificadas]],0)</f>
        <v>0</v>
      </c>
      <c r="V3600" s="43">
        <f>IF(Planning[[#This Row],[Horas Planificadas]]&lt;&gt;0,Planning[[#This Row],[Horas utilizadas]]/Planning[[#This Row],[Horas Planificadas]],0)</f>
        <v>0</v>
      </c>
      <c r="W3600" s="44">
        <f>Planning[[#This Row],[Horas Planificadas]]+Planning[[#This Row],[Horas ajustadas adicionales]]</f>
        <v>0</v>
      </c>
      <c r="X3600" s="142"/>
    </row>
    <row r="3601" spans="1:24" ht="12.75" customHeight="1" x14ac:dyDescent="0.2">
      <c r="A3601" s="7" t="s">
        <v>483</v>
      </c>
      <c r="B3601" s="7" t="s">
        <v>178</v>
      </c>
      <c r="C3601" s="3"/>
      <c r="D3601" s="3" t="s">
        <v>649</v>
      </c>
      <c r="E3601" s="4"/>
      <c r="F3601" s="3" t="s">
        <v>130</v>
      </c>
      <c r="G3601" s="9">
        <v>80</v>
      </c>
      <c r="H3601" s="9">
        <v>80</v>
      </c>
      <c r="I3601" s="12"/>
      <c r="J3601" s="5" t="e">
        <f>SUM(SUMIFS(#REF!,#REF!,Planning[[#This Row],[Tipo de Tarea y especialidad]],#REF!,Planning[[#This Row],[Proyectos Reiwa]]),SUMIFS(#REF!,#REF!,Planning[[#This Row],[Tipo de Tarea y especialidad]],#REF!,Planning[[#This Row],[Proyectos]]))</f>
        <v>#REF!</v>
      </c>
      <c r="K3601" s="5" t="e">
        <f>+Planning[[#This Row],[Horas Planificadas]]+Planning[[#This Row],[Horas ajustadas adicionales]]-Planning[[#This Row],[Horas utilizadas]]</f>
        <v>#REF!</v>
      </c>
      <c r="L3601" s="7"/>
      <c r="M3601" s="19" t="e">
        <f>Planning[[#This Row],[Saldo]]-Planning[[#This Row],[Saldo estimado]]</f>
        <v>#REF!</v>
      </c>
      <c r="N3601" s="60" t="e">
        <f>+SUMIFS(#REF!,#REF!,Planning[[#This Row],[Proyectos]],#REF!,Planning[[#This Row],[Tipo de Tarea y especialidad]])</f>
        <v>#REF!</v>
      </c>
      <c r="O3601" s="19">
        <f t="shared" si="112"/>
        <v>10</v>
      </c>
      <c r="P3601" s="19">
        <f t="shared" si="113"/>
        <v>2024</v>
      </c>
      <c r="Q36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01" s="19" t="str">
        <f>TEXT(Planning[[#This Row],[Mes]]*29,"mmmm")</f>
        <v>October</v>
      </c>
      <c r="S36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01" s="193"/>
      <c r="U3601" s="43" t="e">
        <f>IF(Planning[[#This Row],[Horas Planificadas]]&lt;&gt;0,+K3601/Planning[[#This Row],[Horas Planificadas]],0)</f>
        <v>#REF!</v>
      </c>
      <c r="V3601" s="43" t="e">
        <f>IF(Planning[[#This Row],[Horas Planificadas]]&lt;&gt;0,Planning[[#This Row],[Horas utilizadas]]/Planning[[#This Row],[Horas Planificadas]],0)</f>
        <v>#REF!</v>
      </c>
      <c r="W3601" s="44">
        <f>Planning[[#This Row],[Horas Planificadas]]+Planning[[#This Row],[Horas ajustadas adicionales]]</f>
        <v>80</v>
      </c>
      <c r="X3601" s="142"/>
    </row>
    <row r="3602" spans="1:24" ht="12.75" customHeight="1" x14ac:dyDescent="0.2">
      <c r="A3602" s="7" t="s">
        <v>483</v>
      </c>
      <c r="B3602" s="7" t="s">
        <v>178</v>
      </c>
      <c r="C3602" s="3"/>
      <c r="D3602" s="3" t="s">
        <v>649</v>
      </c>
      <c r="E3602" s="4"/>
      <c r="F3602" s="3" t="s">
        <v>131</v>
      </c>
      <c r="G3602" s="9">
        <v>0</v>
      </c>
      <c r="H3602" s="9">
        <v>0</v>
      </c>
      <c r="I3602" s="12"/>
      <c r="J3602" s="5" t="e">
        <f>SUM(SUMIFS(#REF!,#REF!,Planning[[#This Row],[Tipo de Tarea y especialidad]],#REF!,Planning[[#This Row],[Proyectos Reiwa]]),SUMIFS(#REF!,#REF!,Planning[[#This Row],[Tipo de Tarea y especialidad]],#REF!,Planning[[#This Row],[Proyectos]]))</f>
        <v>#REF!</v>
      </c>
      <c r="K3602" s="5" t="e">
        <f>+Planning[[#This Row],[Horas Planificadas]]+Planning[[#This Row],[Horas ajustadas adicionales]]-Planning[[#This Row],[Horas utilizadas]]</f>
        <v>#REF!</v>
      </c>
      <c r="L3602" s="7"/>
      <c r="M3602" s="19" t="e">
        <f>Planning[[#This Row],[Saldo]]-Planning[[#This Row],[Saldo estimado]]</f>
        <v>#REF!</v>
      </c>
      <c r="N3602" s="60" t="e">
        <f>+SUMIFS(#REF!,#REF!,Planning[[#This Row],[Proyectos]],#REF!,Planning[[#This Row],[Tipo de Tarea y especialidad]])</f>
        <v>#REF!</v>
      </c>
      <c r="O3602" s="19">
        <f t="shared" si="112"/>
        <v>10</v>
      </c>
      <c r="P3602" s="19">
        <f t="shared" si="113"/>
        <v>2024</v>
      </c>
      <c r="Q36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02" s="19" t="str">
        <f>TEXT(Planning[[#This Row],[Mes]]*29,"mmmm")</f>
        <v>October</v>
      </c>
      <c r="S36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02" s="193"/>
      <c r="U3602" s="43">
        <f>IF(Planning[[#This Row],[Horas Planificadas]]&lt;&gt;0,+K3602/Planning[[#This Row],[Horas Planificadas]],0)</f>
        <v>0</v>
      </c>
      <c r="V3602" s="43">
        <f>IF(Planning[[#This Row],[Horas Planificadas]]&lt;&gt;0,Planning[[#This Row],[Horas utilizadas]]/Planning[[#This Row],[Horas Planificadas]],0)</f>
        <v>0</v>
      </c>
      <c r="W3602" s="44">
        <f>Planning[[#This Row],[Horas Planificadas]]+Planning[[#This Row],[Horas ajustadas adicionales]]</f>
        <v>0</v>
      </c>
      <c r="X3602" s="142"/>
    </row>
    <row r="3603" spans="1:24" ht="22.5" x14ac:dyDescent="0.2">
      <c r="A3603" s="7" t="s">
        <v>483</v>
      </c>
      <c r="B3603" s="7" t="s">
        <v>651</v>
      </c>
      <c r="C3603" s="3"/>
      <c r="D3603" s="3" t="s">
        <v>652</v>
      </c>
      <c r="E3603" s="4" t="s">
        <v>28</v>
      </c>
      <c r="F3603" s="3"/>
      <c r="G3603" s="9"/>
      <c r="H3603" s="14">
        <f>SUM(H3604:H3605)</f>
        <v>990</v>
      </c>
      <c r="I3603" s="14"/>
      <c r="J3603" s="14" t="e">
        <f>SUM(J3604:J3605)</f>
        <v>#REF!</v>
      </c>
      <c r="K3603" s="14" t="e">
        <f>+Planning[[#This Row],[Horas Planificadas]]+Planning[[#This Row],[Horas ajustadas adicionales]]-Planning[[#This Row],[Horas utilizadas]]</f>
        <v>#REF!</v>
      </c>
      <c r="L3603" s="15">
        <f>SUM(L3604:L3605)</f>
        <v>80</v>
      </c>
      <c r="M3603" s="14" t="e">
        <f>SUM(M3604:M3605)</f>
        <v>#REF!</v>
      </c>
      <c r="N3603" s="66" t="e">
        <f>+SUMIFS(#REF!,#REF!,Planning[[#This Row],[Proyectos]],#REF!,Planning[[#This Row],[Tipo de Tarea y especialidad]])</f>
        <v>#REF!</v>
      </c>
      <c r="O3603" s="14">
        <f t="shared" si="112"/>
        <v>10</v>
      </c>
      <c r="P3603" s="14">
        <f t="shared" si="113"/>
        <v>2024</v>
      </c>
      <c r="Q3603" s="28" t="e">
        <f>SUM(Q3604:Q3605)</f>
        <v>#REF!</v>
      </c>
      <c r="R3603" s="28" t="str">
        <f>TEXT(Planning[[#This Row],[Mes]]*29,"mmmm")</f>
        <v>October</v>
      </c>
      <c r="S36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03" s="192" t="s">
        <v>653</v>
      </c>
      <c r="U3603" s="43" t="e">
        <f>IF(Planning[[#This Row],[Horas Planificadas]]&lt;&gt;0,+K3603/Planning[[#This Row],[Horas Planificadas]],0)</f>
        <v>#REF!</v>
      </c>
      <c r="V3603" s="43" t="e">
        <f>IF(Planning[[#This Row],[Horas Planificadas]]&lt;&gt;0,Planning[[#This Row],[Horas utilizadas]]/Planning[[#This Row],[Horas Planificadas]],0)</f>
        <v>#REF!</v>
      </c>
      <c r="W3603" s="44">
        <f>Planning[[#This Row],[Horas Planificadas]]+Planning[[#This Row],[Horas ajustadas adicionales]]</f>
        <v>990</v>
      </c>
      <c r="X3603" s="142"/>
    </row>
    <row r="3604" spans="1:24" x14ac:dyDescent="0.2">
      <c r="A3604" s="7" t="s">
        <v>483</v>
      </c>
      <c r="B3604" s="7" t="s">
        <v>651</v>
      </c>
      <c r="C3604" s="3"/>
      <c r="D3604" s="3" t="s">
        <v>652</v>
      </c>
      <c r="E3604" s="4"/>
      <c r="F3604" s="3" t="s">
        <v>120</v>
      </c>
      <c r="G3604" s="9"/>
      <c r="H3604" s="9">
        <v>550</v>
      </c>
      <c r="I3604" s="12"/>
      <c r="J3604" s="5" t="e">
        <f>SUM(SUMIFS(#REF!,#REF!,Planning[[#This Row],[Tipo de Tarea y especialidad]],#REF!,Planning[[#This Row],[Proyectos Reiwa]]),SUMIFS(#REF!,#REF!,Planning[[#This Row],[Tipo de Tarea y especialidad]],#REF!,Planning[[#This Row],[Proyectos]]))</f>
        <v>#REF!</v>
      </c>
      <c r="K3604" s="5" t="e">
        <f>+Planning[[#This Row],[Horas Planificadas]]+Planning[[#This Row],[Horas ajustadas adicionales]]-Planning[[#This Row],[Horas utilizadas]]</f>
        <v>#REF!</v>
      </c>
      <c r="L3604" s="7"/>
      <c r="M3604" s="19" t="e">
        <f>Planning[[#This Row],[Saldo]]-Planning[[#This Row],[Saldo estimado]]</f>
        <v>#REF!</v>
      </c>
      <c r="N3604" s="60" t="e">
        <f>+SUMIFS(#REF!,#REF!,Planning[[#This Row],[Proyectos]],#REF!,Planning[[#This Row],[Tipo de Tarea y especialidad]])</f>
        <v>#REF!</v>
      </c>
      <c r="O3604" s="19">
        <f t="shared" si="112"/>
        <v>10</v>
      </c>
      <c r="P3604" s="19">
        <f t="shared" si="113"/>
        <v>2024</v>
      </c>
      <c r="Q36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04" s="19" t="str">
        <f>TEXT(Planning[[#This Row],[Mes]]*29,"mmmm")</f>
        <v>October</v>
      </c>
      <c r="S36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04" s="193"/>
      <c r="U3604" s="43" t="e">
        <f>IF(Planning[[#This Row],[Horas Planificadas]]&lt;&gt;0,+K3604/Planning[[#This Row],[Horas Planificadas]],0)</f>
        <v>#REF!</v>
      </c>
      <c r="V3604" s="43" t="e">
        <f>IF(Planning[[#This Row],[Horas Planificadas]]&lt;&gt;0,Planning[[#This Row],[Horas utilizadas]]/Planning[[#This Row],[Horas Planificadas]],0)</f>
        <v>#REF!</v>
      </c>
      <c r="W3604" s="44">
        <f>Planning[[#This Row],[Horas Planificadas]]+Planning[[#This Row],[Horas ajustadas adicionales]]</f>
        <v>550</v>
      </c>
      <c r="X3604" s="142"/>
    </row>
    <row r="3605" spans="1:24" x14ac:dyDescent="0.2">
      <c r="A3605" s="7" t="s">
        <v>483</v>
      </c>
      <c r="B3605" s="7" t="s">
        <v>651</v>
      </c>
      <c r="C3605" s="3"/>
      <c r="D3605" s="3" t="s">
        <v>652</v>
      </c>
      <c r="E3605" s="4"/>
      <c r="F3605" s="3" t="s">
        <v>121</v>
      </c>
      <c r="G3605" s="9"/>
      <c r="H3605" s="9">
        <v>440</v>
      </c>
      <c r="I3605" s="12"/>
      <c r="J3605" s="5" t="e">
        <f>SUM(SUMIFS(#REF!,#REF!,Planning[[#This Row],[Tipo de Tarea y especialidad]],#REF!,Planning[[#This Row],[Proyectos Reiwa]]),SUMIFS(#REF!,#REF!,Planning[[#This Row],[Tipo de Tarea y especialidad]],#REF!,Planning[[#This Row],[Proyectos]]))</f>
        <v>#REF!</v>
      </c>
      <c r="K3605" s="5" t="e">
        <f>+Planning[[#This Row],[Horas Planificadas]]+Planning[[#This Row],[Horas ajustadas adicionales]]-Planning[[#This Row],[Horas utilizadas]]</f>
        <v>#REF!</v>
      </c>
      <c r="L3605" s="7">
        <v>80</v>
      </c>
      <c r="M3605" s="19" t="e">
        <f>Planning[[#This Row],[Saldo]]-Planning[[#This Row],[Saldo estimado]]</f>
        <v>#REF!</v>
      </c>
      <c r="N3605" s="60" t="e">
        <f>+SUMIFS(#REF!,#REF!,Planning[[#This Row],[Proyectos]],#REF!,Planning[[#This Row],[Tipo de Tarea y especialidad]])</f>
        <v>#REF!</v>
      </c>
      <c r="O3605" s="19">
        <f t="shared" si="112"/>
        <v>10</v>
      </c>
      <c r="P3605" s="19">
        <f t="shared" si="113"/>
        <v>2024</v>
      </c>
      <c r="Q36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05" s="19" t="str">
        <f>TEXT(Planning[[#This Row],[Mes]]*29,"mmmm")</f>
        <v>October</v>
      </c>
      <c r="S36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05" s="193"/>
      <c r="U3605" s="43" t="e">
        <f>IF(Planning[[#This Row],[Horas Planificadas]]&lt;&gt;0,+K3605/Planning[[#This Row],[Horas Planificadas]],0)</f>
        <v>#REF!</v>
      </c>
      <c r="V3605" s="43" t="e">
        <f>IF(Planning[[#This Row],[Horas Planificadas]]&lt;&gt;0,Planning[[#This Row],[Horas utilizadas]]/Planning[[#This Row],[Horas Planificadas]],0)</f>
        <v>#REF!</v>
      </c>
      <c r="W3605" s="44">
        <f>Planning[[#This Row],[Horas Planificadas]]+Planning[[#This Row],[Horas ajustadas adicionales]]</f>
        <v>440</v>
      </c>
      <c r="X3605" s="142"/>
    </row>
    <row r="3606" spans="1:24" x14ac:dyDescent="0.2">
      <c r="A3606" s="7" t="s">
        <v>483</v>
      </c>
      <c r="B3606" s="7" t="s">
        <v>651</v>
      </c>
      <c r="C3606" s="3"/>
      <c r="D3606" s="3" t="s">
        <v>652</v>
      </c>
      <c r="E3606" s="4" t="s">
        <v>30</v>
      </c>
      <c r="F3606" s="3"/>
      <c r="G3606" s="9"/>
      <c r="H3606" s="14">
        <f>SUM(H3607:H3613)</f>
        <v>725</v>
      </c>
      <c r="I3606" s="14"/>
      <c r="J3606" s="14" t="e">
        <f>SUM(J3607:J3613)</f>
        <v>#REF!</v>
      </c>
      <c r="K3606" s="14" t="e">
        <f>+Planning[[#This Row],[Horas Planificadas]]+Planning[[#This Row],[Horas ajustadas adicionales]]-Planning[[#This Row],[Horas utilizadas]]</f>
        <v>#REF!</v>
      </c>
      <c r="L3606" s="15">
        <f>SUM(L3607:L3613)</f>
        <v>134</v>
      </c>
      <c r="M3606" s="16" t="e">
        <f>SUM(M3607:M3613)</f>
        <v>#REF!</v>
      </c>
      <c r="N3606" s="60" t="e">
        <f>+SUMIFS(#REF!,#REF!,Planning[[#This Row],[Proyectos]],#REF!,Planning[[#This Row],[Tipo de Tarea y especialidad]])</f>
        <v>#REF!</v>
      </c>
      <c r="O3606" s="16">
        <f t="shared" si="112"/>
        <v>10</v>
      </c>
      <c r="P3606" s="16">
        <f t="shared" si="113"/>
        <v>2024</v>
      </c>
      <c r="Q3606" s="16" t="e">
        <f>SUM(Q3607:Q3613)</f>
        <v>#REF!</v>
      </c>
      <c r="R3606" s="16" t="str">
        <f>TEXT(Planning[[#This Row],[Mes]]*29,"mmmm")</f>
        <v>October</v>
      </c>
      <c r="S36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06" s="193"/>
      <c r="U3606" s="43" t="e">
        <f>IF(Planning[[#This Row],[Horas Planificadas]]&lt;&gt;0,+K3606/Planning[[#This Row],[Horas Planificadas]],0)</f>
        <v>#REF!</v>
      </c>
      <c r="V3606" s="43" t="e">
        <f>IF(Planning[[#This Row],[Horas Planificadas]]&lt;&gt;0,Planning[[#This Row],[Horas utilizadas]]/Planning[[#This Row],[Horas Planificadas]],0)</f>
        <v>#REF!</v>
      </c>
      <c r="W3606" s="44">
        <f>Planning[[#This Row],[Horas Planificadas]]+Planning[[#This Row],[Horas ajustadas adicionales]]</f>
        <v>725</v>
      </c>
      <c r="X3606" s="142"/>
    </row>
    <row r="3607" spans="1:24" x14ac:dyDescent="0.2">
      <c r="A3607" s="7" t="s">
        <v>483</v>
      </c>
      <c r="B3607" s="7" t="s">
        <v>651</v>
      </c>
      <c r="C3607" s="3"/>
      <c r="D3607" s="3" t="s">
        <v>652</v>
      </c>
      <c r="E3607" s="4"/>
      <c r="F3607" s="3" t="s">
        <v>122</v>
      </c>
      <c r="G3607" s="9"/>
      <c r="H3607" s="9">
        <v>0</v>
      </c>
      <c r="I3607" s="12"/>
      <c r="J3607" s="5" t="e">
        <f>SUM(SUMIFS(#REF!,#REF!,Planning[[#This Row],[Tipo de Tarea y especialidad]],#REF!,Planning[[#This Row],[Proyectos Reiwa]]),SUMIFS(#REF!,#REF!,Planning[[#This Row],[Tipo de Tarea y especialidad]],#REF!,Planning[[#This Row],[Proyectos]]))</f>
        <v>#REF!</v>
      </c>
      <c r="K3607" s="5" t="e">
        <f>+Planning[[#This Row],[Horas Planificadas]]+Planning[[#This Row],[Horas ajustadas adicionales]]-Planning[[#This Row],[Horas utilizadas]]</f>
        <v>#REF!</v>
      </c>
      <c r="L3607" s="7"/>
      <c r="M3607" s="19" t="e">
        <f>Planning[[#This Row],[Saldo]]-Planning[[#This Row],[Saldo estimado]]</f>
        <v>#REF!</v>
      </c>
      <c r="N3607" s="60" t="e">
        <f>+SUMIFS(#REF!,#REF!,Planning[[#This Row],[Proyectos]],#REF!,Planning[[#This Row],[Tipo de Tarea y especialidad]])</f>
        <v>#REF!</v>
      </c>
      <c r="O3607" s="19">
        <f t="shared" si="112"/>
        <v>10</v>
      </c>
      <c r="P3607" s="19">
        <f t="shared" si="113"/>
        <v>2024</v>
      </c>
      <c r="Q36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07" s="19" t="str">
        <f>TEXT(Planning[[#This Row],[Mes]]*29,"mmmm")</f>
        <v>October</v>
      </c>
      <c r="S36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07" s="193"/>
      <c r="U3607" s="43">
        <f>IF(Planning[[#This Row],[Horas Planificadas]]&lt;&gt;0,+K3607/Planning[[#This Row],[Horas Planificadas]],0)</f>
        <v>0</v>
      </c>
      <c r="V3607" s="43">
        <f>IF(Planning[[#This Row],[Horas Planificadas]]&lt;&gt;0,Planning[[#This Row],[Horas utilizadas]]/Planning[[#This Row],[Horas Planificadas]],0)</f>
        <v>0</v>
      </c>
      <c r="W3607" s="44">
        <f>Planning[[#This Row],[Horas Planificadas]]+Planning[[#This Row],[Horas ajustadas adicionales]]</f>
        <v>0</v>
      </c>
      <c r="X3607" s="142"/>
    </row>
    <row r="3608" spans="1:24" x14ac:dyDescent="0.2">
      <c r="A3608" s="7" t="s">
        <v>483</v>
      </c>
      <c r="B3608" s="7" t="s">
        <v>651</v>
      </c>
      <c r="C3608" s="3"/>
      <c r="D3608" s="3" t="s">
        <v>652</v>
      </c>
      <c r="E3608" s="4"/>
      <c r="F3608" s="3" t="s">
        <v>123</v>
      </c>
      <c r="G3608" s="9"/>
      <c r="H3608" s="9">
        <v>725</v>
      </c>
      <c r="I3608" s="12"/>
      <c r="J3608" s="5" t="e">
        <f>SUM(SUMIFS(#REF!,#REF!,Planning[[#This Row],[Tipo de Tarea y especialidad]],#REF!,Planning[[#This Row],[Proyectos Reiwa]]),SUMIFS(#REF!,#REF!,Planning[[#This Row],[Tipo de Tarea y especialidad]],#REF!,Planning[[#This Row],[Proyectos]]))</f>
        <v>#REF!</v>
      </c>
      <c r="K3608" s="5" t="e">
        <f>+Planning[[#This Row],[Horas Planificadas]]+Planning[[#This Row],[Horas ajustadas adicionales]]-Planning[[#This Row],[Horas utilizadas]]</f>
        <v>#REF!</v>
      </c>
      <c r="L3608" s="7">
        <v>80</v>
      </c>
      <c r="M3608" s="19" t="e">
        <f>Planning[[#This Row],[Saldo]]-Planning[[#This Row],[Saldo estimado]]</f>
        <v>#REF!</v>
      </c>
      <c r="N3608" s="60" t="e">
        <f>+SUMIFS(#REF!,#REF!,Planning[[#This Row],[Proyectos]],#REF!,Planning[[#This Row],[Tipo de Tarea y especialidad]])</f>
        <v>#REF!</v>
      </c>
      <c r="O3608" s="19">
        <f t="shared" si="112"/>
        <v>10</v>
      </c>
      <c r="P3608" s="19">
        <f t="shared" si="113"/>
        <v>2024</v>
      </c>
      <c r="Q36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08" s="19" t="str">
        <f>TEXT(Planning[[#This Row],[Mes]]*29,"mmmm")</f>
        <v>October</v>
      </c>
      <c r="S36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08" s="193"/>
      <c r="U3608" s="43" t="e">
        <f>IF(Planning[[#This Row],[Horas Planificadas]]&lt;&gt;0,+K3608/Planning[[#This Row],[Horas Planificadas]],0)</f>
        <v>#REF!</v>
      </c>
      <c r="V3608" s="43" t="e">
        <f>IF(Planning[[#This Row],[Horas Planificadas]]&lt;&gt;0,Planning[[#This Row],[Horas utilizadas]]/Planning[[#This Row],[Horas Planificadas]],0)</f>
        <v>#REF!</v>
      </c>
      <c r="W3608" s="44">
        <f>Planning[[#This Row],[Horas Planificadas]]+Planning[[#This Row],[Horas ajustadas adicionales]]</f>
        <v>725</v>
      </c>
      <c r="X3608" s="142"/>
    </row>
    <row r="3609" spans="1:24" x14ac:dyDescent="0.2">
      <c r="A3609" s="7" t="s">
        <v>483</v>
      </c>
      <c r="B3609" s="7" t="s">
        <v>651</v>
      </c>
      <c r="C3609" s="3"/>
      <c r="D3609" s="3" t="s">
        <v>652</v>
      </c>
      <c r="E3609" s="4"/>
      <c r="F3609" s="3" t="s">
        <v>124</v>
      </c>
      <c r="G3609" s="9"/>
      <c r="H3609" s="9"/>
      <c r="I3609" s="12"/>
      <c r="J3609" s="5" t="e">
        <f>SUM(SUMIFS(#REF!,#REF!,Planning[[#This Row],[Tipo de Tarea y especialidad]],#REF!,Planning[[#This Row],[Proyectos Reiwa]]),SUMIFS(#REF!,#REF!,Planning[[#This Row],[Tipo de Tarea y especialidad]],#REF!,Planning[[#This Row],[Proyectos]]))</f>
        <v>#REF!</v>
      </c>
      <c r="K3609" s="5" t="e">
        <f>+Planning[[#This Row],[Horas Planificadas]]+Planning[[#This Row],[Horas ajustadas adicionales]]-Planning[[#This Row],[Horas utilizadas]]</f>
        <v>#REF!</v>
      </c>
      <c r="L3609" s="7"/>
      <c r="M3609" s="19" t="e">
        <f>Planning[[#This Row],[Saldo]]-Planning[[#This Row],[Saldo estimado]]</f>
        <v>#REF!</v>
      </c>
      <c r="N3609" s="60" t="e">
        <f>+SUMIFS(#REF!,#REF!,Planning[[#This Row],[Proyectos]],#REF!,Planning[[#This Row],[Tipo de Tarea y especialidad]])</f>
        <v>#REF!</v>
      </c>
      <c r="O3609" s="19">
        <f t="shared" si="112"/>
        <v>10</v>
      </c>
      <c r="P3609" s="19">
        <f t="shared" si="113"/>
        <v>2024</v>
      </c>
      <c r="Q36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09" s="19" t="str">
        <f>TEXT(Planning[[#This Row],[Mes]]*29,"mmmm")</f>
        <v>October</v>
      </c>
      <c r="S36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09" s="193"/>
      <c r="U3609" s="43">
        <f>IF(Planning[[#This Row],[Horas Planificadas]]&lt;&gt;0,+K3609/Planning[[#This Row],[Horas Planificadas]],0)</f>
        <v>0</v>
      </c>
      <c r="V3609" s="43">
        <f>IF(Planning[[#This Row],[Horas Planificadas]]&lt;&gt;0,Planning[[#This Row],[Horas utilizadas]]/Planning[[#This Row],[Horas Planificadas]],0)</f>
        <v>0</v>
      </c>
      <c r="W3609" s="44">
        <f>Planning[[#This Row],[Horas Planificadas]]+Planning[[#This Row],[Horas ajustadas adicionales]]</f>
        <v>0</v>
      </c>
      <c r="X3609" s="142"/>
    </row>
    <row r="3610" spans="1:24" x14ac:dyDescent="0.2">
      <c r="A3610" s="7" t="s">
        <v>483</v>
      </c>
      <c r="B3610" s="7" t="s">
        <v>651</v>
      </c>
      <c r="C3610" s="3"/>
      <c r="D3610" s="3" t="s">
        <v>652</v>
      </c>
      <c r="E3610" s="4"/>
      <c r="F3610" s="3" t="s">
        <v>125</v>
      </c>
      <c r="G3610" s="9"/>
      <c r="H3610" s="9"/>
      <c r="I3610" s="12"/>
      <c r="J3610" s="5" t="e">
        <f>SUM(SUMIFS(#REF!,#REF!,Planning[[#This Row],[Tipo de Tarea y especialidad]],#REF!,Planning[[#This Row],[Proyectos Reiwa]]),SUMIFS(#REF!,#REF!,Planning[[#This Row],[Tipo de Tarea y especialidad]],#REF!,Planning[[#This Row],[Proyectos]]))</f>
        <v>#REF!</v>
      </c>
      <c r="K3610" s="5" t="e">
        <f>+Planning[[#This Row],[Horas Planificadas]]+Planning[[#This Row],[Horas ajustadas adicionales]]-Planning[[#This Row],[Horas utilizadas]]</f>
        <v>#REF!</v>
      </c>
      <c r="L3610" s="7">
        <v>54</v>
      </c>
      <c r="M3610" s="19" t="e">
        <f>Planning[[#This Row],[Saldo]]-Planning[[#This Row],[Saldo estimado]]</f>
        <v>#REF!</v>
      </c>
      <c r="N3610" s="60" t="e">
        <f>+SUMIFS(#REF!,#REF!,Planning[[#This Row],[Proyectos]],#REF!,Planning[[#This Row],[Tipo de Tarea y especialidad]])</f>
        <v>#REF!</v>
      </c>
      <c r="O3610" s="19">
        <f t="shared" si="112"/>
        <v>10</v>
      </c>
      <c r="P3610" s="19">
        <f t="shared" si="113"/>
        <v>2024</v>
      </c>
      <c r="Q36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10" s="19" t="str">
        <f>TEXT(Planning[[#This Row],[Mes]]*29,"mmmm")</f>
        <v>October</v>
      </c>
      <c r="S36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10" s="193"/>
      <c r="U3610" s="43">
        <f>IF(Planning[[#This Row],[Horas Planificadas]]&lt;&gt;0,+K3610/Planning[[#This Row],[Horas Planificadas]],0)</f>
        <v>0</v>
      </c>
      <c r="V3610" s="43">
        <f>IF(Planning[[#This Row],[Horas Planificadas]]&lt;&gt;0,Planning[[#This Row],[Horas utilizadas]]/Planning[[#This Row],[Horas Planificadas]],0)</f>
        <v>0</v>
      </c>
      <c r="W3610" s="44">
        <f>Planning[[#This Row],[Horas Planificadas]]+Planning[[#This Row],[Horas ajustadas adicionales]]</f>
        <v>0</v>
      </c>
      <c r="X3610" s="142"/>
    </row>
    <row r="3611" spans="1:24" x14ac:dyDescent="0.2">
      <c r="A3611" s="7" t="s">
        <v>483</v>
      </c>
      <c r="B3611" s="7" t="s">
        <v>651</v>
      </c>
      <c r="C3611" s="3"/>
      <c r="D3611" s="3" t="s">
        <v>652</v>
      </c>
      <c r="E3611" s="4"/>
      <c r="F3611" s="3" t="s">
        <v>126</v>
      </c>
      <c r="G3611" s="9"/>
      <c r="H3611" s="9"/>
      <c r="I3611" s="12"/>
      <c r="J3611" s="5" t="e">
        <f>SUM(SUMIFS(#REF!,#REF!,Planning[[#This Row],[Tipo de Tarea y especialidad]],#REF!,Planning[[#This Row],[Proyectos Reiwa]]),SUMIFS(#REF!,#REF!,Planning[[#This Row],[Tipo de Tarea y especialidad]],#REF!,Planning[[#This Row],[Proyectos]]))</f>
        <v>#REF!</v>
      </c>
      <c r="K3611" s="5" t="e">
        <f>+Planning[[#This Row],[Horas Planificadas]]+Planning[[#This Row],[Horas ajustadas adicionales]]-Planning[[#This Row],[Horas utilizadas]]</f>
        <v>#REF!</v>
      </c>
      <c r="L3611" s="7"/>
      <c r="M3611" s="19" t="e">
        <f>Planning[[#This Row],[Saldo]]-Planning[[#This Row],[Saldo estimado]]</f>
        <v>#REF!</v>
      </c>
      <c r="N3611" s="60" t="e">
        <f>+SUMIFS(#REF!,#REF!,Planning[[#This Row],[Proyectos]],#REF!,Planning[[#This Row],[Tipo de Tarea y especialidad]])</f>
        <v>#REF!</v>
      </c>
      <c r="O3611" s="19">
        <f t="shared" si="112"/>
        <v>10</v>
      </c>
      <c r="P3611" s="19">
        <f t="shared" si="113"/>
        <v>2024</v>
      </c>
      <c r="Q36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11" s="19" t="str">
        <f>TEXT(Planning[[#This Row],[Mes]]*29,"mmmm")</f>
        <v>October</v>
      </c>
      <c r="S36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11" s="193"/>
      <c r="U3611" s="43">
        <f>IF(Planning[[#This Row],[Horas Planificadas]]&lt;&gt;0,+K3611/Planning[[#This Row],[Horas Planificadas]],0)</f>
        <v>0</v>
      </c>
      <c r="V3611" s="43">
        <f>IF(Planning[[#This Row],[Horas Planificadas]]&lt;&gt;0,Planning[[#This Row],[Horas utilizadas]]/Planning[[#This Row],[Horas Planificadas]],0)</f>
        <v>0</v>
      </c>
      <c r="W3611" s="44">
        <f>Planning[[#This Row],[Horas Planificadas]]+Planning[[#This Row],[Horas ajustadas adicionales]]</f>
        <v>0</v>
      </c>
      <c r="X3611" s="142"/>
    </row>
    <row r="3612" spans="1:24" x14ac:dyDescent="0.2">
      <c r="A3612" s="7" t="s">
        <v>483</v>
      </c>
      <c r="B3612" s="7" t="s">
        <v>651</v>
      </c>
      <c r="C3612" s="3"/>
      <c r="D3612" s="3" t="s">
        <v>652</v>
      </c>
      <c r="E3612" s="4"/>
      <c r="F3612" s="3" t="s">
        <v>127</v>
      </c>
      <c r="G3612" s="9"/>
      <c r="H3612" s="9"/>
      <c r="I3612" s="12"/>
      <c r="J3612" s="5" t="e">
        <f>SUM(SUMIFS(#REF!,#REF!,Planning[[#This Row],[Tipo de Tarea y especialidad]],#REF!,Planning[[#This Row],[Proyectos Reiwa]]),SUMIFS(#REF!,#REF!,Planning[[#This Row],[Tipo de Tarea y especialidad]],#REF!,Planning[[#This Row],[Proyectos]]))</f>
        <v>#REF!</v>
      </c>
      <c r="K3612" s="5" t="e">
        <f>+Planning[[#This Row],[Horas Planificadas]]+Planning[[#This Row],[Horas ajustadas adicionales]]-Planning[[#This Row],[Horas utilizadas]]</f>
        <v>#REF!</v>
      </c>
      <c r="L3612" s="7"/>
      <c r="M3612" s="19" t="e">
        <f>Planning[[#This Row],[Saldo]]-Planning[[#This Row],[Saldo estimado]]</f>
        <v>#REF!</v>
      </c>
      <c r="N3612" s="60" t="e">
        <f>+SUMIFS(#REF!,#REF!,Planning[[#This Row],[Proyectos]],#REF!,Planning[[#This Row],[Tipo de Tarea y especialidad]])</f>
        <v>#REF!</v>
      </c>
      <c r="O3612" s="19">
        <f t="shared" si="112"/>
        <v>10</v>
      </c>
      <c r="P3612" s="19">
        <f t="shared" si="113"/>
        <v>2024</v>
      </c>
      <c r="Q36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12" s="19" t="str">
        <f>TEXT(Planning[[#This Row],[Mes]]*29,"mmmm")</f>
        <v>October</v>
      </c>
      <c r="S36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12" s="193"/>
      <c r="U3612" s="43">
        <f>IF(Planning[[#This Row],[Horas Planificadas]]&lt;&gt;0,+K3612/Planning[[#This Row],[Horas Planificadas]],0)</f>
        <v>0</v>
      </c>
      <c r="V3612" s="43">
        <f>IF(Planning[[#This Row],[Horas Planificadas]]&lt;&gt;0,Planning[[#This Row],[Horas utilizadas]]/Planning[[#This Row],[Horas Planificadas]],0)</f>
        <v>0</v>
      </c>
      <c r="W3612" s="44">
        <f>Planning[[#This Row],[Horas Planificadas]]+Planning[[#This Row],[Horas ajustadas adicionales]]</f>
        <v>0</v>
      </c>
      <c r="X3612" s="142"/>
    </row>
    <row r="3613" spans="1:24" x14ac:dyDescent="0.2">
      <c r="A3613" s="7" t="s">
        <v>483</v>
      </c>
      <c r="B3613" s="7" t="s">
        <v>651</v>
      </c>
      <c r="C3613" s="3"/>
      <c r="D3613" s="3" t="s">
        <v>652</v>
      </c>
      <c r="E3613" s="4"/>
      <c r="F3613" s="3" t="s">
        <v>128</v>
      </c>
      <c r="G3613" s="9"/>
      <c r="H3613" s="9"/>
      <c r="I3613" s="12"/>
      <c r="J3613" s="5" t="e">
        <f>SUM(SUMIFS(#REF!,#REF!,Planning[[#This Row],[Tipo de Tarea y especialidad]],#REF!,Planning[[#This Row],[Proyectos Reiwa]]),SUMIFS(#REF!,#REF!,Planning[[#This Row],[Tipo de Tarea y especialidad]],#REF!,Planning[[#This Row],[Proyectos]]))</f>
        <v>#REF!</v>
      </c>
      <c r="K3613" s="5" t="e">
        <f>+Planning[[#This Row],[Horas Planificadas]]+Planning[[#This Row],[Horas ajustadas adicionales]]-Planning[[#This Row],[Horas utilizadas]]</f>
        <v>#REF!</v>
      </c>
      <c r="L3613" s="7"/>
      <c r="M3613" s="19" t="e">
        <f>Planning[[#This Row],[Saldo]]-Planning[[#This Row],[Saldo estimado]]</f>
        <v>#REF!</v>
      </c>
      <c r="N3613" s="60" t="e">
        <f>+SUMIFS(#REF!,#REF!,Planning[[#This Row],[Proyectos]],#REF!,Planning[[#This Row],[Tipo de Tarea y especialidad]])</f>
        <v>#REF!</v>
      </c>
      <c r="O3613" s="19">
        <f t="shared" si="112"/>
        <v>10</v>
      </c>
      <c r="P3613" s="19">
        <f t="shared" si="113"/>
        <v>2024</v>
      </c>
      <c r="Q36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13" s="19" t="str">
        <f>TEXT(Planning[[#This Row],[Mes]]*29,"mmmm")</f>
        <v>October</v>
      </c>
      <c r="S36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13" s="193"/>
      <c r="U3613" s="43">
        <f>IF(Planning[[#This Row],[Horas Planificadas]]&lt;&gt;0,+K3613/Planning[[#This Row],[Horas Planificadas]],0)</f>
        <v>0</v>
      </c>
      <c r="V3613" s="43">
        <f>IF(Planning[[#This Row],[Horas Planificadas]]&lt;&gt;0,Planning[[#This Row],[Horas utilizadas]]/Planning[[#This Row],[Horas Planificadas]],0)</f>
        <v>0</v>
      </c>
      <c r="W3613" s="44">
        <f>Planning[[#This Row],[Horas Planificadas]]+Planning[[#This Row],[Horas ajustadas adicionales]]</f>
        <v>0</v>
      </c>
      <c r="X3613" s="142"/>
    </row>
    <row r="3614" spans="1:24" x14ac:dyDescent="0.2">
      <c r="A3614" s="7" t="s">
        <v>483</v>
      </c>
      <c r="B3614" s="7" t="s">
        <v>651</v>
      </c>
      <c r="C3614" s="3"/>
      <c r="D3614" s="3" t="s">
        <v>652</v>
      </c>
      <c r="E3614" s="4" t="s">
        <v>31</v>
      </c>
      <c r="F3614" s="3" t="s">
        <v>31</v>
      </c>
      <c r="G3614" s="9"/>
      <c r="H3614" s="17">
        <v>198</v>
      </c>
      <c r="I3614" s="18"/>
      <c r="J3614" s="14" t="e">
        <f>+SUMIFS(#REF!,#REF!,Planning[[#This Row],[Tarifa]],#REF!,Planning[[#This Row],[Proyectos]])</f>
        <v>#REF!</v>
      </c>
      <c r="K3614" s="14" t="e">
        <f>+Planning[[#This Row],[Horas Planificadas]]+Planning[[#This Row],[Horas ajustadas adicionales]]-Planning[[#This Row],[Horas utilizadas]]</f>
        <v>#REF!</v>
      </c>
      <c r="L3614" s="15">
        <v>0</v>
      </c>
      <c r="M3614" s="16" t="e">
        <f>Planning[[#This Row],[Saldo]]-Planning[[#This Row],[Saldo estimado]]</f>
        <v>#REF!</v>
      </c>
      <c r="N3614" s="60" t="e">
        <f>+SUMIFS(#REF!,#REF!,Planning[[#This Row],[Proyectos]],#REF!,Planning[[#This Row],[Tipo de Tarea y especialidad]])</f>
        <v>#REF!</v>
      </c>
      <c r="O3614" s="16">
        <f t="shared" si="112"/>
        <v>10</v>
      </c>
      <c r="P3614" s="16">
        <f t="shared" si="113"/>
        <v>2024</v>
      </c>
      <c r="Q3614" s="16" t="e">
        <f>+SUMIFS(#REF!,#REF!,Planning[[#This Row],[Tarifa]],#REF!,Planning[[#This Row],[Proyectos]],#REF!,Planning[[#This Row],[Mes]],#REF!,Planning[[#This Row],[Año]])</f>
        <v>#REF!</v>
      </c>
      <c r="R3614" s="16" t="str">
        <f>TEXT(Planning[[#This Row],[Mes]]*29,"mmmm")</f>
        <v>October</v>
      </c>
      <c r="S36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14" s="193"/>
      <c r="U3614" s="43" t="e">
        <f>IF(Planning[[#This Row],[Horas Planificadas]]&lt;&gt;0,+K3614/Planning[[#This Row],[Horas Planificadas]],0)</f>
        <v>#REF!</v>
      </c>
      <c r="V3614" s="43" t="e">
        <f>IF(Planning[[#This Row],[Horas Planificadas]]&lt;&gt;0,Planning[[#This Row],[Horas utilizadas]]/Planning[[#This Row],[Horas Planificadas]],0)</f>
        <v>#REF!</v>
      </c>
      <c r="W3614" s="44">
        <f>Planning[[#This Row],[Horas Planificadas]]+Planning[[#This Row],[Horas ajustadas adicionales]]</f>
        <v>198</v>
      </c>
      <c r="X3614" s="142"/>
    </row>
    <row r="3615" spans="1:24" ht="22.5" x14ac:dyDescent="0.2">
      <c r="A3615" s="7" t="s">
        <v>483</v>
      </c>
      <c r="B3615" s="7" t="s">
        <v>651</v>
      </c>
      <c r="C3615" s="3"/>
      <c r="D3615" s="3" t="s">
        <v>652</v>
      </c>
      <c r="E3615" s="4" t="s">
        <v>32</v>
      </c>
      <c r="F3615" s="3"/>
      <c r="G3615" s="9"/>
      <c r="H3615" s="14">
        <f>SUM(H3616:H3618)</f>
        <v>247</v>
      </c>
      <c r="I3615" s="14"/>
      <c r="J3615" s="14" t="e">
        <f>SUM(J3616:J3618)</f>
        <v>#REF!</v>
      </c>
      <c r="K3615" s="14" t="e">
        <f>+Planning[[#This Row],[Horas Planificadas]]+Planning[[#This Row],[Horas ajustadas adicionales]]-Planning[[#This Row],[Horas utilizadas]]</f>
        <v>#REF!</v>
      </c>
      <c r="L3615" s="15">
        <f>SUM(L3616:L3618)</f>
        <v>0</v>
      </c>
      <c r="M3615" s="16" t="e">
        <f>SUM(M3616:M3618)</f>
        <v>#REF!</v>
      </c>
      <c r="N3615" s="60" t="e">
        <f>+SUMIFS(#REF!,#REF!,Planning[[#This Row],[Proyectos]],#REF!,Planning[[#This Row],[Tipo de Tarea y especialidad]])</f>
        <v>#REF!</v>
      </c>
      <c r="O3615" s="16">
        <f t="shared" si="112"/>
        <v>10</v>
      </c>
      <c r="P3615" s="16">
        <f t="shared" si="113"/>
        <v>2024</v>
      </c>
      <c r="Q3615" s="16" t="e">
        <f>SUM(Q3616:Q3618)</f>
        <v>#REF!</v>
      </c>
      <c r="R3615" s="16" t="str">
        <f>TEXT(Planning[[#This Row],[Mes]]*29,"mmmm")</f>
        <v>October</v>
      </c>
      <c r="S36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15" s="193"/>
      <c r="U3615" s="43" t="e">
        <f>IF(Planning[[#This Row],[Horas Planificadas]]&lt;&gt;0,+K3615/Planning[[#This Row],[Horas Planificadas]],0)</f>
        <v>#REF!</v>
      </c>
      <c r="V3615" s="43" t="e">
        <f>IF(Planning[[#This Row],[Horas Planificadas]]&lt;&gt;0,Planning[[#This Row],[Horas utilizadas]]/Planning[[#This Row],[Horas Planificadas]],0)</f>
        <v>#REF!</v>
      </c>
      <c r="W3615" s="44">
        <f>Planning[[#This Row],[Horas Planificadas]]+Planning[[#This Row],[Horas ajustadas adicionales]]</f>
        <v>247</v>
      </c>
      <c r="X3615" s="142"/>
    </row>
    <row r="3616" spans="1:24" x14ac:dyDescent="0.2">
      <c r="A3616" s="7" t="s">
        <v>483</v>
      </c>
      <c r="B3616" s="7" t="s">
        <v>651</v>
      </c>
      <c r="C3616" s="3"/>
      <c r="D3616" s="3" t="s">
        <v>652</v>
      </c>
      <c r="E3616" s="4"/>
      <c r="F3616" s="3" t="s">
        <v>129</v>
      </c>
      <c r="G3616" s="9"/>
      <c r="H3616" s="9"/>
      <c r="I3616" s="12"/>
      <c r="J3616" s="5" t="e">
        <f>SUM(SUMIFS(#REF!,#REF!,Planning[[#This Row],[Tipo de Tarea y especialidad]],#REF!,Planning[[#This Row],[Proyectos Reiwa]]),SUMIFS(#REF!,#REF!,Planning[[#This Row],[Tipo de Tarea y especialidad]],#REF!,Planning[[#This Row],[Proyectos]]))</f>
        <v>#REF!</v>
      </c>
      <c r="K3616" s="5" t="e">
        <f>+Planning[[#This Row],[Horas Planificadas]]+Planning[[#This Row],[Horas ajustadas adicionales]]-Planning[[#This Row],[Horas utilizadas]]</f>
        <v>#REF!</v>
      </c>
      <c r="L3616" s="7"/>
      <c r="M3616" s="19" t="e">
        <f>Planning[[#This Row],[Saldo]]-Planning[[#This Row],[Saldo estimado]]</f>
        <v>#REF!</v>
      </c>
      <c r="N3616" s="60" t="e">
        <f>+SUMIFS(#REF!,#REF!,Planning[[#This Row],[Proyectos]],#REF!,Planning[[#This Row],[Tipo de Tarea y especialidad]])</f>
        <v>#REF!</v>
      </c>
      <c r="O3616" s="19">
        <f t="shared" si="112"/>
        <v>10</v>
      </c>
      <c r="P3616" s="19">
        <f t="shared" si="113"/>
        <v>2024</v>
      </c>
      <c r="Q36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16" s="19" t="str">
        <f>TEXT(Planning[[#This Row],[Mes]]*29,"mmmm")</f>
        <v>October</v>
      </c>
      <c r="S36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16" s="193"/>
      <c r="U3616" s="43">
        <f>IF(Planning[[#This Row],[Horas Planificadas]]&lt;&gt;0,+K3616/Planning[[#This Row],[Horas Planificadas]],0)</f>
        <v>0</v>
      </c>
      <c r="V3616" s="43">
        <f>IF(Planning[[#This Row],[Horas Planificadas]]&lt;&gt;0,Planning[[#This Row],[Horas utilizadas]]/Planning[[#This Row],[Horas Planificadas]],0)</f>
        <v>0</v>
      </c>
      <c r="W3616" s="44">
        <f>Planning[[#This Row],[Horas Planificadas]]+Planning[[#This Row],[Horas ajustadas adicionales]]</f>
        <v>0</v>
      </c>
      <c r="X3616" s="142"/>
    </row>
    <row r="3617" spans="1:24" x14ac:dyDescent="0.2">
      <c r="A3617" s="7" t="s">
        <v>483</v>
      </c>
      <c r="B3617" s="7" t="s">
        <v>651</v>
      </c>
      <c r="C3617" s="3"/>
      <c r="D3617" s="3" t="s">
        <v>652</v>
      </c>
      <c r="E3617" s="4"/>
      <c r="F3617" s="3" t="s">
        <v>130</v>
      </c>
      <c r="G3617" s="9"/>
      <c r="H3617" s="9">
        <v>247</v>
      </c>
      <c r="I3617" s="12"/>
      <c r="J3617" s="5" t="e">
        <f>SUM(SUMIFS(#REF!,#REF!,Planning[[#This Row],[Tipo de Tarea y especialidad]],#REF!,Planning[[#This Row],[Proyectos Reiwa]]),SUMIFS(#REF!,#REF!,Planning[[#This Row],[Tipo de Tarea y especialidad]],#REF!,Planning[[#This Row],[Proyectos]]))</f>
        <v>#REF!</v>
      </c>
      <c r="K3617" s="5" t="e">
        <f>+Planning[[#This Row],[Horas Planificadas]]+Planning[[#This Row],[Horas ajustadas adicionales]]-Planning[[#This Row],[Horas utilizadas]]</f>
        <v>#REF!</v>
      </c>
      <c r="L3617" s="7"/>
      <c r="M3617" s="19" t="e">
        <f>Planning[[#This Row],[Saldo]]-Planning[[#This Row],[Saldo estimado]]</f>
        <v>#REF!</v>
      </c>
      <c r="N3617" s="60" t="e">
        <f>+SUMIFS(#REF!,#REF!,Planning[[#This Row],[Proyectos]],#REF!,Planning[[#This Row],[Tipo de Tarea y especialidad]])</f>
        <v>#REF!</v>
      </c>
      <c r="O3617" s="19">
        <f t="shared" si="112"/>
        <v>10</v>
      </c>
      <c r="P3617" s="19">
        <f t="shared" si="113"/>
        <v>2024</v>
      </c>
      <c r="Q36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17" s="19" t="str">
        <f>TEXT(Planning[[#This Row],[Mes]]*29,"mmmm")</f>
        <v>October</v>
      </c>
      <c r="S36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17" s="193"/>
      <c r="U3617" s="43" t="e">
        <f>IF(Planning[[#This Row],[Horas Planificadas]]&lt;&gt;0,+K3617/Planning[[#This Row],[Horas Planificadas]],0)</f>
        <v>#REF!</v>
      </c>
      <c r="V3617" s="43" t="e">
        <f>IF(Planning[[#This Row],[Horas Planificadas]]&lt;&gt;0,Planning[[#This Row],[Horas utilizadas]]/Planning[[#This Row],[Horas Planificadas]],0)</f>
        <v>#REF!</v>
      </c>
      <c r="W3617" s="44">
        <f>Planning[[#This Row],[Horas Planificadas]]+Planning[[#This Row],[Horas ajustadas adicionales]]</f>
        <v>247</v>
      </c>
      <c r="X3617" s="142"/>
    </row>
    <row r="3618" spans="1:24" x14ac:dyDescent="0.2">
      <c r="A3618" s="7" t="s">
        <v>483</v>
      </c>
      <c r="B3618" s="7" t="s">
        <v>651</v>
      </c>
      <c r="C3618" s="3"/>
      <c r="D3618" s="3" t="s">
        <v>652</v>
      </c>
      <c r="E3618" s="4"/>
      <c r="F3618" s="3" t="s">
        <v>131</v>
      </c>
      <c r="G3618" s="9"/>
      <c r="H3618" s="9"/>
      <c r="I3618" s="12"/>
      <c r="J3618" s="5" t="e">
        <f>SUM(SUMIFS(#REF!,#REF!,Planning[[#This Row],[Tipo de Tarea y especialidad]],#REF!,Planning[[#This Row],[Proyectos Reiwa]]),SUMIFS(#REF!,#REF!,Planning[[#This Row],[Tipo de Tarea y especialidad]],#REF!,Planning[[#This Row],[Proyectos]]))</f>
        <v>#REF!</v>
      </c>
      <c r="K3618" s="5" t="e">
        <f>+Planning[[#This Row],[Horas Planificadas]]+Planning[[#This Row],[Horas ajustadas adicionales]]-Planning[[#This Row],[Horas utilizadas]]</f>
        <v>#REF!</v>
      </c>
      <c r="L3618" s="7"/>
      <c r="M3618" s="19" t="e">
        <f>Planning[[#This Row],[Saldo]]-Planning[[#This Row],[Saldo estimado]]</f>
        <v>#REF!</v>
      </c>
      <c r="N3618" s="60" t="e">
        <f>+SUMIFS(#REF!,#REF!,Planning[[#This Row],[Proyectos]],#REF!,Planning[[#This Row],[Tipo de Tarea y especialidad]])</f>
        <v>#REF!</v>
      </c>
      <c r="O3618" s="19">
        <f t="shared" si="112"/>
        <v>10</v>
      </c>
      <c r="P3618" s="19">
        <f t="shared" si="113"/>
        <v>2024</v>
      </c>
      <c r="Q36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18" s="19" t="str">
        <f>TEXT(Planning[[#This Row],[Mes]]*29,"mmmm")</f>
        <v>October</v>
      </c>
      <c r="S36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18" s="193"/>
      <c r="U3618" s="43">
        <f>IF(Planning[[#This Row],[Horas Planificadas]]&lt;&gt;0,+K3618/Planning[[#This Row],[Horas Planificadas]],0)</f>
        <v>0</v>
      </c>
      <c r="V3618" s="43">
        <f>IF(Planning[[#This Row],[Horas Planificadas]]&lt;&gt;0,Planning[[#This Row],[Horas utilizadas]]/Planning[[#This Row],[Horas Planificadas]],0)</f>
        <v>0</v>
      </c>
      <c r="W3618" s="44">
        <f>Planning[[#This Row],[Horas Planificadas]]+Planning[[#This Row],[Horas ajustadas adicionales]]</f>
        <v>0</v>
      </c>
      <c r="X3618" s="142"/>
    </row>
    <row r="3619" spans="1:24" ht="12.75" customHeight="1" x14ac:dyDescent="0.2">
      <c r="A3619" s="7" t="s">
        <v>626</v>
      </c>
      <c r="B3619" s="7" t="s">
        <v>205</v>
      </c>
      <c r="C3619" s="3"/>
      <c r="D3619" s="3" t="s">
        <v>654</v>
      </c>
      <c r="E3619" s="4" t="s">
        <v>28</v>
      </c>
      <c r="F3619" s="3"/>
      <c r="G3619" s="9">
        <v>212</v>
      </c>
      <c r="H3619" s="14">
        <f>SUBTOTAL(9,H3620:H3621)</f>
        <v>379</v>
      </c>
      <c r="I3619" s="14"/>
      <c r="J3619" s="14" t="e">
        <f>SUM(J3620:J3621)</f>
        <v>#REF!</v>
      </c>
      <c r="K3619" s="18" t="e">
        <f>SUM(K3620:K3621)</f>
        <v>#REF!</v>
      </c>
      <c r="L3619" s="15">
        <f>SUM(L3620:L3621)</f>
        <v>18</v>
      </c>
      <c r="M3619" s="14" t="e">
        <f>SUM(M3620:M3621)</f>
        <v>#REF!</v>
      </c>
      <c r="N3619" s="66" t="e">
        <f>+SUMIFS(#REF!,#REF!,Planning[[#This Row],[Proyectos]],#REF!,Planning[[#This Row],[Tipo de Tarea y especialidad]])</f>
        <v>#REF!</v>
      </c>
      <c r="O3619" s="14">
        <f t="shared" si="112"/>
        <v>10</v>
      </c>
      <c r="P3619" s="14">
        <f t="shared" si="113"/>
        <v>2024</v>
      </c>
      <c r="Q3619" s="28" t="e">
        <f>SUM(Q3620:Q3621)</f>
        <v>#REF!</v>
      </c>
      <c r="R3619" s="28" t="str">
        <f>TEXT(Planning[[#This Row],[Mes]]*29,"mmmm")</f>
        <v>October</v>
      </c>
      <c r="S36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19" s="215" t="s">
        <v>655</v>
      </c>
      <c r="U3619" s="43" t="e">
        <f>IF(Planning[[#This Row],[Horas Planificadas]]&lt;&gt;0,+K3619/Planning[[#This Row],[Horas Planificadas]],0)</f>
        <v>#REF!</v>
      </c>
      <c r="V3619" s="43" t="e">
        <f>IF(Planning[[#This Row],[Horas Planificadas]]&lt;&gt;0,Planning[[#This Row],[Horas utilizadas]]/Planning[[#This Row],[Horas Planificadas]],0)</f>
        <v>#REF!</v>
      </c>
      <c r="W3619" s="44">
        <f>Planning[[#This Row],[Horas Planificadas]]+Planning[[#This Row],[Horas ajustadas adicionales]]</f>
        <v>379</v>
      </c>
      <c r="X3619" s="142"/>
    </row>
    <row r="3620" spans="1:24" ht="12.75" customHeight="1" x14ac:dyDescent="0.2">
      <c r="A3620" s="7" t="s">
        <v>626</v>
      </c>
      <c r="B3620" s="7" t="s">
        <v>205</v>
      </c>
      <c r="C3620" s="3"/>
      <c r="D3620" s="3" t="s">
        <v>654</v>
      </c>
      <c r="E3620" s="4"/>
      <c r="F3620" s="3" t="s">
        <v>120</v>
      </c>
      <c r="G3620" s="9"/>
      <c r="H3620" s="9">
        <v>300</v>
      </c>
      <c r="I3620" s="12"/>
      <c r="J3620" s="5" t="e">
        <f>SUM(SUMIFS(#REF!,#REF!,Planning[[#This Row],[Tipo de Tarea y especialidad]],#REF!,Planning[[#This Row],[Proyectos Reiwa]]),SUMIFS(#REF!,#REF!,Planning[[#This Row],[Tipo de Tarea y especialidad]],#REF!,Planning[[#This Row],[Proyectos]]))</f>
        <v>#REF!</v>
      </c>
      <c r="K3620" s="5" t="e">
        <f>Planning[[#This Row],[Horas Planificadas]]+Planning[[#This Row],[Horas ajustadas adicionales]]-Planning[[#This Row],[Horas utilizadas]]</f>
        <v>#REF!</v>
      </c>
      <c r="L3620" s="7">
        <v>0</v>
      </c>
      <c r="M3620" s="19" t="e">
        <f>Planning[[#This Row],[Saldo]]-Planning[[#This Row],[Saldo estimado]]</f>
        <v>#REF!</v>
      </c>
      <c r="N3620" s="60" t="e">
        <f>+SUMIFS(#REF!,#REF!,Planning[[#This Row],[Proyectos]],#REF!,Planning[[#This Row],[Tipo de Tarea y especialidad]])</f>
        <v>#REF!</v>
      </c>
      <c r="O3620" s="19">
        <f t="shared" si="112"/>
        <v>10</v>
      </c>
      <c r="P3620" s="19">
        <f t="shared" si="113"/>
        <v>2024</v>
      </c>
      <c r="Q36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20" s="19" t="str">
        <f>TEXT(Planning[[#This Row],[Mes]]*29,"mmmm")</f>
        <v>October</v>
      </c>
      <c r="S36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20" s="193"/>
      <c r="U3620" s="43" t="e">
        <f>IF(Planning[[#This Row],[Horas Planificadas]]&lt;&gt;0,+K3620/Planning[[#This Row],[Horas Planificadas]],0)</f>
        <v>#REF!</v>
      </c>
      <c r="V3620" s="43" t="e">
        <f>IF(Planning[[#This Row],[Horas Planificadas]]&lt;&gt;0,Planning[[#This Row],[Horas utilizadas]]/Planning[[#This Row],[Horas Planificadas]],0)</f>
        <v>#REF!</v>
      </c>
      <c r="W3620" s="44">
        <f>Planning[[#This Row],[Horas Planificadas]]+Planning[[#This Row],[Horas ajustadas adicionales]]</f>
        <v>300</v>
      </c>
      <c r="X3620" s="142"/>
    </row>
    <row r="3621" spans="1:24" ht="12.75" customHeight="1" x14ac:dyDescent="0.2">
      <c r="A3621" s="7" t="s">
        <v>626</v>
      </c>
      <c r="B3621" s="7" t="s">
        <v>205</v>
      </c>
      <c r="C3621" s="3"/>
      <c r="D3621" s="3" t="s">
        <v>654</v>
      </c>
      <c r="E3621" s="4"/>
      <c r="F3621" s="3" t="s">
        <v>121</v>
      </c>
      <c r="G3621" s="9"/>
      <c r="H3621" s="9">
        <v>79</v>
      </c>
      <c r="I3621" s="12"/>
      <c r="J3621" s="5" t="e">
        <f>SUM(SUMIFS(#REF!,#REF!,Planning[[#This Row],[Tipo de Tarea y especialidad]],#REF!,Planning[[#This Row],[Proyectos Reiwa]]),SUMIFS(#REF!,#REF!,Planning[[#This Row],[Tipo de Tarea y especialidad]],#REF!,Planning[[#This Row],[Proyectos]]))</f>
        <v>#REF!</v>
      </c>
      <c r="K3621" s="5" t="e">
        <f>Planning[[#This Row],[Horas Planificadas]]+Planning[[#This Row],[Horas ajustadas adicionales]]-Planning[[#This Row],[Horas utilizadas]]</f>
        <v>#REF!</v>
      </c>
      <c r="L3621" s="7">
        <v>18</v>
      </c>
      <c r="M3621" s="19" t="e">
        <f>Planning[[#This Row],[Saldo]]-Planning[[#This Row],[Saldo estimado]]</f>
        <v>#REF!</v>
      </c>
      <c r="N3621" s="60" t="e">
        <f>+SUMIFS(#REF!,#REF!,Planning[[#This Row],[Proyectos]],#REF!,Planning[[#This Row],[Tipo de Tarea y especialidad]])</f>
        <v>#REF!</v>
      </c>
      <c r="O3621" s="19">
        <f t="shared" si="112"/>
        <v>10</v>
      </c>
      <c r="P3621" s="19">
        <f t="shared" si="113"/>
        <v>2024</v>
      </c>
      <c r="Q36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21" s="19" t="str">
        <f>TEXT(Planning[[#This Row],[Mes]]*29,"mmmm")</f>
        <v>October</v>
      </c>
      <c r="S36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21" s="193"/>
      <c r="U3621" s="43" t="e">
        <f>IF(Planning[[#This Row],[Horas Planificadas]]&lt;&gt;0,+K3621/Planning[[#This Row],[Horas Planificadas]],0)</f>
        <v>#REF!</v>
      </c>
      <c r="V3621" s="43" t="e">
        <f>IF(Planning[[#This Row],[Horas Planificadas]]&lt;&gt;0,Planning[[#This Row],[Horas utilizadas]]/Planning[[#This Row],[Horas Planificadas]],0)</f>
        <v>#REF!</v>
      </c>
      <c r="W3621" s="44">
        <f>Planning[[#This Row],[Horas Planificadas]]+Planning[[#This Row],[Horas ajustadas adicionales]]</f>
        <v>79</v>
      </c>
      <c r="X3621" s="142"/>
    </row>
    <row r="3622" spans="1:24" ht="12.75" customHeight="1" x14ac:dyDescent="0.2">
      <c r="A3622" s="7" t="s">
        <v>626</v>
      </c>
      <c r="B3622" s="7" t="s">
        <v>205</v>
      </c>
      <c r="C3622" s="3"/>
      <c r="D3622" s="3" t="s">
        <v>654</v>
      </c>
      <c r="E3622" s="4" t="s">
        <v>30</v>
      </c>
      <c r="F3622" s="3"/>
      <c r="G3622" s="9">
        <v>213</v>
      </c>
      <c r="H3622" s="14">
        <f>SUBTOTAL(9,H3623:H3629)</f>
        <v>298</v>
      </c>
      <c r="I3622" s="14"/>
      <c r="J3622" s="14" t="e">
        <f>SUM(J3623:J3629)</f>
        <v>#REF!</v>
      </c>
      <c r="K3622" s="18" t="e">
        <f>SUM(K3623:K3629)</f>
        <v>#REF!</v>
      </c>
      <c r="L3622" s="15" t="e">
        <f>SUM(L3623:L3629)</f>
        <v>#REF!</v>
      </c>
      <c r="M3622" s="16" t="e">
        <f>SUM(M3623:M3629)</f>
        <v>#REF!</v>
      </c>
      <c r="N3622" s="60" t="e">
        <f>+SUMIFS(#REF!,#REF!,Planning[[#This Row],[Proyectos]],#REF!,Planning[[#This Row],[Tipo de Tarea y especialidad]])</f>
        <v>#REF!</v>
      </c>
      <c r="O3622" s="16">
        <f t="shared" si="112"/>
        <v>10</v>
      </c>
      <c r="P3622" s="16">
        <f t="shared" si="113"/>
        <v>2024</v>
      </c>
      <c r="Q3622" s="16" t="e">
        <f>SUM(Q3623:Q3629)</f>
        <v>#REF!</v>
      </c>
      <c r="R3622" s="16" t="str">
        <f>TEXT(Planning[[#This Row],[Mes]]*29,"mmmm")</f>
        <v>October</v>
      </c>
      <c r="S36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22" s="193"/>
      <c r="U3622" s="43" t="e">
        <f>IF(Planning[[#This Row],[Horas Planificadas]]&lt;&gt;0,+K3622/Planning[[#This Row],[Horas Planificadas]],0)</f>
        <v>#REF!</v>
      </c>
      <c r="V3622" s="43" t="e">
        <f>IF(Planning[[#This Row],[Horas Planificadas]]&lt;&gt;0,Planning[[#This Row],[Horas utilizadas]]/Planning[[#This Row],[Horas Planificadas]],0)</f>
        <v>#REF!</v>
      </c>
      <c r="W3622" s="44">
        <f>Planning[[#This Row],[Horas Planificadas]]+Planning[[#This Row],[Horas ajustadas adicionales]]</f>
        <v>298</v>
      </c>
      <c r="X3622" s="142"/>
    </row>
    <row r="3623" spans="1:24" ht="12.75" customHeight="1" x14ac:dyDescent="0.2">
      <c r="A3623" s="7" t="s">
        <v>626</v>
      </c>
      <c r="B3623" s="7" t="s">
        <v>205</v>
      </c>
      <c r="C3623" s="3"/>
      <c r="D3623" s="3" t="s">
        <v>654</v>
      </c>
      <c r="E3623" s="4"/>
      <c r="F3623" s="3" t="s">
        <v>122</v>
      </c>
      <c r="G3623" s="9"/>
      <c r="H3623" s="9"/>
      <c r="I3623" s="12"/>
      <c r="J3623" s="5" t="e">
        <f>SUM(SUMIFS(#REF!,#REF!,Planning[[#This Row],[Tipo de Tarea y especialidad]],#REF!,Planning[[#This Row],[Proyectos Reiwa]]),SUMIFS(#REF!,#REF!,Planning[[#This Row],[Tipo de Tarea y especialidad]],#REF!,Planning[[#This Row],[Proyectos]]))</f>
        <v>#REF!</v>
      </c>
      <c r="K3623" s="5" t="e">
        <f>Planning[[#This Row],[Horas Planificadas]]+Planning[[#This Row],[Horas ajustadas adicionales]]-Planning[[#This Row],[Horas utilizadas]]</f>
        <v>#REF!</v>
      </c>
      <c r="L3623" s="7"/>
      <c r="M3623" s="19" t="e">
        <f>Planning[[#This Row],[Saldo]]-Planning[[#This Row],[Saldo estimado]]</f>
        <v>#REF!</v>
      </c>
      <c r="N3623" s="60" t="e">
        <f>+SUMIFS(#REF!,#REF!,Planning[[#This Row],[Proyectos]],#REF!,Planning[[#This Row],[Tipo de Tarea y especialidad]])</f>
        <v>#REF!</v>
      </c>
      <c r="O3623" s="19">
        <f t="shared" si="112"/>
        <v>10</v>
      </c>
      <c r="P3623" s="19">
        <f t="shared" si="113"/>
        <v>2024</v>
      </c>
      <c r="Q36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23" s="19" t="str">
        <f>TEXT(Planning[[#This Row],[Mes]]*29,"mmmm")</f>
        <v>October</v>
      </c>
      <c r="S36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23" s="193"/>
      <c r="U3623" s="43">
        <f>IF(Planning[[#This Row],[Horas Planificadas]]&lt;&gt;0,+K3623/Planning[[#This Row],[Horas Planificadas]],0)</f>
        <v>0</v>
      </c>
      <c r="V3623" s="43">
        <f>IF(Planning[[#This Row],[Horas Planificadas]]&lt;&gt;0,Planning[[#This Row],[Horas utilizadas]]/Planning[[#This Row],[Horas Planificadas]],0)</f>
        <v>0</v>
      </c>
      <c r="W3623" s="44">
        <f>Planning[[#This Row],[Horas Planificadas]]+Planning[[#This Row],[Horas ajustadas adicionales]]</f>
        <v>0</v>
      </c>
      <c r="X3623" s="142"/>
    </row>
    <row r="3624" spans="1:24" ht="12.75" customHeight="1" x14ac:dyDescent="0.2">
      <c r="A3624" s="7" t="s">
        <v>626</v>
      </c>
      <c r="B3624" s="7" t="s">
        <v>205</v>
      </c>
      <c r="C3624" s="3"/>
      <c r="D3624" s="3" t="s">
        <v>654</v>
      </c>
      <c r="E3624" s="4"/>
      <c r="F3624" s="3" t="s">
        <v>123</v>
      </c>
      <c r="G3624" s="9"/>
      <c r="H3624" s="9">
        <v>118</v>
      </c>
      <c r="I3624" s="12"/>
      <c r="J3624" s="5" t="e">
        <f>SUM(SUMIFS(#REF!,#REF!,Planning[[#This Row],[Tipo de Tarea y especialidad]],#REF!,Planning[[#This Row],[Proyectos Reiwa]]),SUMIFS(#REF!,#REF!,Planning[[#This Row],[Tipo de Tarea y especialidad]],#REF!,Planning[[#This Row],[Proyectos]]))</f>
        <v>#REF!</v>
      </c>
      <c r="K3624" s="5" t="e">
        <f>Planning[[#This Row],[Horas Planificadas]]+Planning[[#This Row],[Horas ajustadas adicionales]]-Planning[[#This Row],[Horas utilizadas]]</f>
        <v>#REF!</v>
      </c>
      <c r="L3624" s="7" t="e">
        <f>Planning[[#This Row],[Saldo]]</f>
        <v>#REF!</v>
      </c>
      <c r="M3624" s="19" t="e">
        <f>Planning[[#This Row],[Saldo]]-Planning[[#This Row],[Saldo estimado]]</f>
        <v>#REF!</v>
      </c>
      <c r="N3624" s="60" t="e">
        <f>+SUMIFS(#REF!,#REF!,Planning[[#This Row],[Proyectos]],#REF!,Planning[[#This Row],[Tipo de Tarea y especialidad]])</f>
        <v>#REF!</v>
      </c>
      <c r="O3624" s="19">
        <f t="shared" si="112"/>
        <v>10</v>
      </c>
      <c r="P3624" s="19">
        <f t="shared" si="113"/>
        <v>2024</v>
      </c>
      <c r="Q36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24" s="19" t="str">
        <f>TEXT(Planning[[#This Row],[Mes]]*29,"mmmm")</f>
        <v>October</v>
      </c>
      <c r="S36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24" s="193"/>
      <c r="U3624" s="43" t="e">
        <f>IF(Planning[[#This Row],[Horas Planificadas]]&lt;&gt;0,+K3624/Planning[[#This Row],[Horas Planificadas]],0)</f>
        <v>#REF!</v>
      </c>
      <c r="V3624" s="43" t="e">
        <f>IF(Planning[[#This Row],[Horas Planificadas]]&lt;&gt;0,Planning[[#This Row],[Horas utilizadas]]/Planning[[#This Row],[Horas Planificadas]],0)</f>
        <v>#REF!</v>
      </c>
      <c r="W3624" s="44">
        <f>Planning[[#This Row],[Horas Planificadas]]+Planning[[#This Row],[Horas ajustadas adicionales]]</f>
        <v>118</v>
      </c>
      <c r="X3624" s="142"/>
    </row>
    <row r="3625" spans="1:24" ht="12.75" customHeight="1" x14ac:dyDescent="0.2">
      <c r="A3625" s="7" t="s">
        <v>626</v>
      </c>
      <c r="B3625" s="7" t="s">
        <v>205</v>
      </c>
      <c r="C3625" s="3"/>
      <c r="D3625" s="3" t="s">
        <v>654</v>
      </c>
      <c r="E3625" s="4"/>
      <c r="F3625" s="3" t="s">
        <v>124</v>
      </c>
      <c r="G3625" s="9"/>
      <c r="H3625" s="9"/>
      <c r="I3625" s="12"/>
      <c r="J3625" s="5" t="e">
        <f>SUM(SUMIFS(#REF!,#REF!,Planning[[#This Row],[Tipo de Tarea y especialidad]],#REF!,Planning[[#This Row],[Proyectos Reiwa]]),SUMIFS(#REF!,#REF!,Planning[[#This Row],[Tipo de Tarea y especialidad]],#REF!,Planning[[#This Row],[Proyectos]]))</f>
        <v>#REF!</v>
      </c>
      <c r="K3625" s="5" t="e">
        <f>Planning[[#This Row],[Horas Planificadas]]+Planning[[#This Row],[Horas ajustadas adicionales]]-Planning[[#This Row],[Horas utilizadas]]</f>
        <v>#REF!</v>
      </c>
      <c r="L3625" s="7"/>
      <c r="M3625" s="19" t="e">
        <f>Planning[[#This Row],[Saldo]]-Planning[[#This Row],[Saldo estimado]]</f>
        <v>#REF!</v>
      </c>
      <c r="N3625" s="60" t="e">
        <f>+SUMIFS(#REF!,#REF!,Planning[[#This Row],[Proyectos]],#REF!,Planning[[#This Row],[Tipo de Tarea y especialidad]])</f>
        <v>#REF!</v>
      </c>
      <c r="O3625" s="19">
        <f t="shared" si="112"/>
        <v>10</v>
      </c>
      <c r="P3625" s="19">
        <f t="shared" si="113"/>
        <v>2024</v>
      </c>
      <c r="Q36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25" s="19" t="str">
        <f>TEXT(Planning[[#This Row],[Mes]]*29,"mmmm")</f>
        <v>October</v>
      </c>
      <c r="S36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25" s="193"/>
      <c r="U3625" s="43">
        <f>IF(Planning[[#This Row],[Horas Planificadas]]&lt;&gt;0,+K3625/Planning[[#This Row],[Horas Planificadas]],0)</f>
        <v>0</v>
      </c>
      <c r="V3625" s="43">
        <f>IF(Planning[[#This Row],[Horas Planificadas]]&lt;&gt;0,Planning[[#This Row],[Horas utilizadas]]/Planning[[#This Row],[Horas Planificadas]],0)</f>
        <v>0</v>
      </c>
      <c r="W3625" s="44">
        <f>Planning[[#This Row],[Horas Planificadas]]+Planning[[#This Row],[Horas ajustadas adicionales]]</f>
        <v>0</v>
      </c>
      <c r="X3625" s="142"/>
    </row>
    <row r="3626" spans="1:24" ht="12.75" customHeight="1" x14ac:dyDescent="0.2">
      <c r="A3626" s="7" t="s">
        <v>626</v>
      </c>
      <c r="B3626" s="7" t="s">
        <v>205</v>
      </c>
      <c r="C3626" s="3"/>
      <c r="D3626" s="3" t="s">
        <v>654</v>
      </c>
      <c r="E3626" s="4"/>
      <c r="F3626" s="3" t="s">
        <v>125</v>
      </c>
      <c r="G3626" s="9"/>
      <c r="H3626" s="9">
        <v>90</v>
      </c>
      <c r="I3626" s="12"/>
      <c r="J3626" s="5" t="e">
        <f>SUM(SUMIFS(#REF!,#REF!,Planning[[#This Row],[Tipo de Tarea y especialidad]],#REF!,Planning[[#This Row],[Proyectos Reiwa]]),SUMIFS(#REF!,#REF!,Planning[[#This Row],[Tipo de Tarea y especialidad]],#REF!,Planning[[#This Row],[Proyectos]]))</f>
        <v>#REF!</v>
      </c>
      <c r="K3626" s="5" t="e">
        <f>Planning[[#This Row],[Horas Planificadas]]+Planning[[#This Row],[Horas ajustadas adicionales]]-Planning[[#This Row],[Horas utilizadas]]</f>
        <v>#REF!</v>
      </c>
      <c r="L3626" s="7">
        <v>27</v>
      </c>
      <c r="M3626" s="19" t="e">
        <f>Planning[[#This Row],[Saldo]]-Planning[[#This Row],[Saldo estimado]]</f>
        <v>#REF!</v>
      </c>
      <c r="N3626" s="60" t="e">
        <f>+SUMIFS(#REF!,#REF!,Planning[[#This Row],[Proyectos]],#REF!,Planning[[#This Row],[Tipo de Tarea y especialidad]])</f>
        <v>#REF!</v>
      </c>
      <c r="O3626" s="19">
        <f t="shared" si="112"/>
        <v>10</v>
      </c>
      <c r="P3626" s="19">
        <f t="shared" si="113"/>
        <v>2024</v>
      </c>
      <c r="Q36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26" s="19" t="str">
        <f>TEXT(Planning[[#This Row],[Mes]]*29,"mmmm")</f>
        <v>October</v>
      </c>
      <c r="S36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26" s="193"/>
      <c r="U3626" s="43" t="e">
        <f>IF(Planning[[#This Row],[Horas Planificadas]]&lt;&gt;0,+K3626/Planning[[#This Row],[Horas Planificadas]],0)</f>
        <v>#REF!</v>
      </c>
      <c r="V3626" s="43" t="e">
        <f>IF(Planning[[#This Row],[Horas Planificadas]]&lt;&gt;0,Planning[[#This Row],[Horas utilizadas]]/Planning[[#This Row],[Horas Planificadas]],0)</f>
        <v>#REF!</v>
      </c>
      <c r="W3626" s="44">
        <f>Planning[[#This Row],[Horas Planificadas]]+Planning[[#This Row],[Horas ajustadas adicionales]]</f>
        <v>90</v>
      </c>
      <c r="X3626" s="142"/>
    </row>
    <row r="3627" spans="1:24" ht="12.75" customHeight="1" x14ac:dyDescent="0.2">
      <c r="A3627" s="7" t="s">
        <v>626</v>
      </c>
      <c r="B3627" s="7" t="s">
        <v>205</v>
      </c>
      <c r="C3627" s="3"/>
      <c r="D3627" s="3" t="s">
        <v>654</v>
      </c>
      <c r="E3627" s="4"/>
      <c r="F3627" s="3" t="s">
        <v>126</v>
      </c>
      <c r="G3627" s="9"/>
      <c r="H3627" s="9"/>
      <c r="I3627" s="12"/>
      <c r="J3627" s="5" t="e">
        <f>SUM(SUMIFS(#REF!,#REF!,Planning[[#This Row],[Tipo de Tarea y especialidad]],#REF!,Planning[[#This Row],[Proyectos Reiwa]]),SUMIFS(#REF!,#REF!,Planning[[#This Row],[Tipo de Tarea y especialidad]],#REF!,Planning[[#This Row],[Proyectos]]))</f>
        <v>#REF!</v>
      </c>
      <c r="K3627" s="5" t="e">
        <f>Planning[[#This Row],[Horas Planificadas]]+Planning[[#This Row],[Horas ajustadas adicionales]]-Planning[[#This Row],[Horas utilizadas]]</f>
        <v>#REF!</v>
      </c>
      <c r="L3627" s="7"/>
      <c r="M3627" s="19" t="e">
        <f>Planning[[#This Row],[Saldo]]-Planning[[#This Row],[Saldo estimado]]</f>
        <v>#REF!</v>
      </c>
      <c r="N3627" s="60" t="e">
        <f>+SUMIFS(#REF!,#REF!,Planning[[#This Row],[Proyectos]],#REF!,Planning[[#This Row],[Tipo de Tarea y especialidad]])</f>
        <v>#REF!</v>
      </c>
      <c r="O3627" s="19">
        <f t="shared" si="112"/>
        <v>10</v>
      </c>
      <c r="P3627" s="19">
        <f t="shared" si="113"/>
        <v>2024</v>
      </c>
      <c r="Q36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27" s="19" t="str">
        <f>TEXT(Planning[[#This Row],[Mes]]*29,"mmmm")</f>
        <v>October</v>
      </c>
      <c r="S36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27" s="193"/>
      <c r="U3627" s="43">
        <f>IF(Planning[[#This Row],[Horas Planificadas]]&lt;&gt;0,+K3627/Planning[[#This Row],[Horas Planificadas]],0)</f>
        <v>0</v>
      </c>
      <c r="V3627" s="43">
        <f>IF(Planning[[#This Row],[Horas Planificadas]]&lt;&gt;0,Planning[[#This Row],[Horas utilizadas]]/Planning[[#This Row],[Horas Planificadas]],0)</f>
        <v>0</v>
      </c>
      <c r="W3627" s="44">
        <f>Planning[[#This Row],[Horas Planificadas]]+Planning[[#This Row],[Horas ajustadas adicionales]]</f>
        <v>0</v>
      </c>
      <c r="X3627" s="142"/>
    </row>
    <row r="3628" spans="1:24" ht="12.75" customHeight="1" x14ac:dyDescent="0.2">
      <c r="A3628" s="7" t="s">
        <v>626</v>
      </c>
      <c r="B3628" s="7" t="s">
        <v>205</v>
      </c>
      <c r="C3628" s="3"/>
      <c r="D3628" s="3" t="s">
        <v>654</v>
      </c>
      <c r="E3628" s="4"/>
      <c r="F3628" s="3" t="s">
        <v>127</v>
      </c>
      <c r="G3628" s="9"/>
      <c r="H3628" s="9">
        <v>90</v>
      </c>
      <c r="I3628" s="12"/>
      <c r="J3628" s="5" t="e">
        <f>SUM(SUMIFS(#REF!,#REF!,Planning[[#This Row],[Tipo de Tarea y especialidad]],#REF!,Planning[[#This Row],[Proyectos Reiwa]]),SUMIFS(#REF!,#REF!,Planning[[#This Row],[Tipo de Tarea y especialidad]],#REF!,Planning[[#This Row],[Proyectos]]))</f>
        <v>#REF!</v>
      </c>
      <c r="K3628" s="5" t="e">
        <f>Planning[[#This Row],[Horas Planificadas]]+Planning[[#This Row],[Horas ajustadas adicionales]]-Planning[[#This Row],[Horas utilizadas]]</f>
        <v>#REF!</v>
      </c>
      <c r="L3628" s="7">
        <v>0</v>
      </c>
      <c r="M3628" s="19" t="e">
        <f>Planning[[#This Row],[Saldo]]-Planning[[#This Row],[Saldo estimado]]</f>
        <v>#REF!</v>
      </c>
      <c r="N3628" s="60" t="e">
        <f>+SUMIFS(#REF!,#REF!,Planning[[#This Row],[Proyectos]],#REF!,Planning[[#This Row],[Tipo de Tarea y especialidad]])</f>
        <v>#REF!</v>
      </c>
      <c r="O3628" s="19">
        <f t="shared" si="112"/>
        <v>10</v>
      </c>
      <c r="P3628" s="19">
        <f t="shared" si="113"/>
        <v>2024</v>
      </c>
      <c r="Q36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28" s="19" t="str">
        <f>TEXT(Planning[[#This Row],[Mes]]*29,"mmmm")</f>
        <v>October</v>
      </c>
      <c r="S36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28" s="193"/>
      <c r="U3628" s="43" t="e">
        <f>IF(Planning[[#This Row],[Horas Planificadas]]&lt;&gt;0,+K3628/Planning[[#This Row],[Horas Planificadas]],0)</f>
        <v>#REF!</v>
      </c>
      <c r="V3628" s="43" t="e">
        <f>IF(Planning[[#This Row],[Horas Planificadas]]&lt;&gt;0,Planning[[#This Row],[Horas utilizadas]]/Planning[[#This Row],[Horas Planificadas]],0)</f>
        <v>#REF!</v>
      </c>
      <c r="W3628" s="44">
        <f>Planning[[#This Row],[Horas Planificadas]]+Planning[[#This Row],[Horas ajustadas adicionales]]</f>
        <v>90</v>
      </c>
      <c r="X3628" s="142"/>
    </row>
    <row r="3629" spans="1:24" ht="12.75" customHeight="1" x14ac:dyDescent="0.2">
      <c r="A3629" s="7" t="s">
        <v>626</v>
      </c>
      <c r="B3629" s="7" t="s">
        <v>205</v>
      </c>
      <c r="C3629" s="3"/>
      <c r="D3629" s="3" t="s">
        <v>654</v>
      </c>
      <c r="E3629" s="4"/>
      <c r="F3629" s="3" t="s">
        <v>128</v>
      </c>
      <c r="G3629" s="9"/>
      <c r="H3629" s="9"/>
      <c r="I3629" s="12"/>
      <c r="J3629" s="5" t="e">
        <f>SUM(SUMIFS(#REF!,#REF!,Planning[[#This Row],[Tipo de Tarea y especialidad]],#REF!,Planning[[#This Row],[Proyectos Reiwa]]),SUMIFS(#REF!,#REF!,Planning[[#This Row],[Tipo de Tarea y especialidad]],#REF!,Planning[[#This Row],[Proyectos]]))</f>
        <v>#REF!</v>
      </c>
      <c r="K3629" s="5" t="e">
        <f>Planning[[#This Row],[Horas Planificadas]]+Planning[[#This Row],[Horas ajustadas adicionales]]-Planning[[#This Row],[Horas utilizadas]]</f>
        <v>#REF!</v>
      </c>
      <c r="L3629" s="7"/>
      <c r="M3629" s="19" t="e">
        <f>Planning[[#This Row],[Saldo]]-Planning[[#This Row],[Saldo estimado]]</f>
        <v>#REF!</v>
      </c>
      <c r="N3629" s="60" t="e">
        <f>+SUMIFS(#REF!,#REF!,Planning[[#This Row],[Proyectos]],#REF!,Planning[[#This Row],[Tipo de Tarea y especialidad]])</f>
        <v>#REF!</v>
      </c>
      <c r="O3629" s="19">
        <f t="shared" si="112"/>
        <v>10</v>
      </c>
      <c r="P3629" s="19">
        <f t="shared" si="113"/>
        <v>2024</v>
      </c>
      <c r="Q36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29" s="19" t="str">
        <f>TEXT(Planning[[#This Row],[Mes]]*29,"mmmm")</f>
        <v>October</v>
      </c>
      <c r="S36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29" s="193"/>
      <c r="U3629" s="43">
        <f>IF(Planning[[#This Row],[Horas Planificadas]]&lt;&gt;0,+K3629/Planning[[#This Row],[Horas Planificadas]],0)</f>
        <v>0</v>
      </c>
      <c r="V3629" s="43">
        <f>IF(Planning[[#This Row],[Horas Planificadas]]&lt;&gt;0,Planning[[#This Row],[Horas utilizadas]]/Planning[[#This Row],[Horas Planificadas]],0)</f>
        <v>0</v>
      </c>
      <c r="W3629" s="44">
        <f>Planning[[#This Row],[Horas Planificadas]]+Planning[[#This Row],[Horas ajustadas adicionales]]</f>
        <v>0</v>
      </c>
      <c r="X3629" s="142"/>
    </row>
    <row r="3630" spans="1:24" ht="12.75" customHeight="1" x14ac:dyDescent="0.2">
      <c r="A3630" s="7" t="s">
        <v>626</v>
      </c>
      <c r="B3630" s="7" t="s">
        <v>205</v>
      </c>
      <c r="C3630" s="3"/>
      <c r="D3630" s="3" t="s">
        <v>654</v>
      </c>
      <c r="E3630" s="4" t="s">
        <v>31</v>
      </c>
      <c r="F3630" s="3" t="s">
        <v>31</v>
      </c>
      <c r="G3630" s="9">
        <v>45</v>
      </c>
      <c r="H3630" s="17">
        <v>90</v>
      </c>
      <c r="I3630" s="18"/>
      <c r="J3630" s="14" t="e">
        <f>+SUMIFS(#REF!,#REF!,Planning[[#This Row],[Tarifa]],#REF!,Planning[[#This Row],[Proyectos]])</f>
        <v>#REF!</v>
      </c>
      <c r="K3630" s="14" t="e">
        <f>Planning[[#This Row],[Horas Planificadas]]+Planning[[#This Row],[Horas ajustadas adicionales]]-Planning[[#This Row],[Horas utilizadas]]</f>
        <v>#REF!</v>
      </c>
      <c r="L3630" s="15" t="e">
        <f>Planning[[#This Row],[Saldo]]</f>
        <v>#REF!</v>
      </c>
      <c r="M3630" s="16" t="e">
        <f>Planning[[#This Row],[Saldo]]-Planning[[#This Row],[Saldo estimado]]</f>
        <v>#REF!</v>
      </c>
      <c r="N3630" s="60" t="e">
        <f>+SUMIFS(#REF!,#REF!,Planning[[#This Row],[Proyectos]],#REF!,Planning[[#This Row],[Tipo de Tarea y especialidad]])</f>
        <v>#REF!</v>
      </c>
      <c r="O3630" s="16">
        <f t="shared" si="112"/>
        <v>10</v>
      </c>
      <c r="P3630" s="16">
        <f t="shared" si="113"/>
        <v>2024</v>
      </c>
      <c r="Q3630" s="16" t="e">
        <f>+SUMIFS(#REF!,#REF!,Planning[[#This Row],[Tarifa]],#REF!,Planning[[#This Row],[Proyectos]],#REF!,Planning[[#This Row],[Mes]],#REF!,Planning[[#This Row],[Año]])</f>
        <v>#REF!</v>
      </c>
      <c r="R3630" s="16" t="str">
        <f>TEXT(Planning[[#This Row],[Mes]]*29,"mmmm")</f>
        <v>October</v>
      </c>
      <c r="S36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30" s="193"/>
      <c r="U3630" s="43" t="e">
        <f>IF(Planning[[#This Row],[Horas Planificadas]]&lt;&gt;0,+K3630/Planning[[#This Row],[Horas Planificadas]],0)</f>
        <v>#REF!</v>
      </c>
      <c r="V3630" s="43" t="e">
        <f>IF(Planning[[#This Row],[Horas Planificadas]]&lt;&gt;0,Planning[[#This Row],[Horas utilizadas]]/Planning[[#This Row],[Horas Planificadas]],0)</f>
        <v>#REF!</v>
      </c>
      <c r="W3630" s="44">
        <f>Planning[[#This Row],[Horas Planificadas]]+Planning[[#This Row],[Horas ajustadas adicionales]]</f>
        <v>90</v>
      </c>
      <c r="X3630" s="142"/>
    </row>
    <row r="3631" spans="1:24" ht="12.75" customHeight="1" x14ac:dyDescent="0.2">
      <c r="A3631" s="7" t="s">
        <v>626</v>
      </c>
      <c r="B3631" s="7" t="s">
        <v>205</v>
      </c>
      <c r="C3631" s="3"/>
      <c r="D3631" s="3" t="s">
        <v>654</v>
      </c>
      <c r="E3631" s="4" t="s">
        <v>32</v>
      </c>
      <c r="F3631" s="3"/>
      <c r="G3631" s="9">
        <v>40</v>
      </c>
      <c r="H3631" s="14">
        <f>SUBTOTAL(9,H3632:H3634)</f>
        <v>140</v>
      </c>
      <c r="I3631" s="14"/>
      <c r="J3631" s="14" t="e">
        <f>SUM(J3632:J3634)</f>
        <v>#REF!</v>
      </c>
      <c r="K3631" s="18" t="e">
        <f>SUM(K3632:K3634)</f>
        <v>#REF!</v>
      </c>
      <c r="L3631" s="15" t="e">
        <f>SUM(L3632:L3634)</f>
        <v>#REF!</v>
      </c>
      <c r="M3631" s="16" t="e">
        <f>SUM(M3632:M3634)</f>
        <v>#REF!</v>
      </c>
      <c r="N3631" s="60" t="e">
        <f>+SUMIFS(#REF!,#REF!,Planning[[#This Row],[Proyectos]],#REF!,Planning[[#This Row],[Tipo de Tarea y especialidad]])</f>
        <v>#REF!</v>
      </c>
      <c r="O3631" s="16">
        <f t="shared" si="112"/>
        <v>10</v>
      </c>
      <c r="P3631" s="16">
        <f t="shared" si="113"/>
        <v>2024</v>
      </c>
      <c r="Q3631" s="16" t="e">
        <f>SUM(Q3632:Q3634)</f>
        <v>#REF!</v>
      </c>
      <c r="R3631" s="16" t="str">
        <f>TEXT(Planning[[#This Row],[Mes]]*29,"mmmm")</f>
        <v>October</v>
      </c>
      <c r="S36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31" s="193"/>
      <c r="U3631" s="43" t="e">
        <f>IF(Planning[[#This Row],[Horas Planificadas]]&lt;&gt;0,+K3631/Planning[[#This Row],[Horas Planificadas]],0)</f>
        <v>#REF!</v>
      </c>
      <c r="V3631" s="43" t="e">
        <f>IF(Planning[[#This Row],[Horas Planificadas]]&lt;&gt;0,Planning[[#This Row],[Horas utilizadas]]/Planning[[#This Row],[Horas Planificadas]],0)</f>
        <v>#REF!</v>
      </c>
      <c r="W3631" s="44">
        <f>Planning[[#This Row],[Horas Planificadas]]+Planning[[#This Row],[Horas ajustadas adicionales]]</f>
        <v>140</v>
      </c>
      <c r="X3631" s="142"/>
    </row>
    <row r="3632" spans="1:24" ht="12.75" customHeight="1" x14ac:dyDescent="0.2">
      <c r="A3632" s="7" t="s">
        <v>626</v>
      </c>
      <c r="B3632" s="7" t="s">
        <v>205</v>
      </c>
      <c r="C3632" s="3"/>
      <c r="D3632" s="3" t="s">
        <v>654</v>
      </c>
      <c r="E3632" s="4"/>
      <c r="F3632" s="3" t="s">
        <v>129</v>
      </c>
      <c r="G3632" s="9"/>
      <c r="H3632" s="9"/>
      <c r="I3632" s="12"/>
      <c r="J3632" s="5" t="e">
        <f>SUM(SUMIFS(#REF!,#REF!,Planning[[#This Row],[Tipo de Tarea y especialidad]],#REF!,Planning[[#This Row],[Proyectos Reiwa]]),SUMIFS(#REF!,#REF!,Planning[[#This Row],[Tipo de Tarea y especialidad]],#REF!,Planning[[#This Row],[Proyectos]]))</f>
        <v>#REF!</v>
      </c>
      <c r="K3632" s="5" t="e">
        <f>Planning[[#This Row],[Horas Planificadas]]+Planning[[#This Row],[Horas ajustadas adicionales]]-Planning[[#This Row],[Horas utilizadas]]</f>
        <v>#REF!</v>
      </c>
      <c r="L3632" s="7"/>
      <c r="M3632" s="19" t="e">
        <f>Planning[[#This Row],[Saldo]]-Planning[[#This Row],[Saldo estimado]]</f>
        <v>#REF!</v>
      </c>
      <c r="N3632" s="60" t="e">
        <f>+SUMIFS(#REF!,#REF!,Planning[[#This Row],[Proyectos]],#REF!,Planning[[#This Row],[Tipo de Tarea y especialidad]])</f>
        <v>#REF!</v>
      </c>
      <c r="O3632" s="19">
        <f t="shared" si="112"/>
        <v>10</v>
      </c>
      <c r="P3632" s="19">
        <f t="shared" si="113"/>
        <v>2024</v>
      </c>
      <c r="Q36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32" s="19" t="str">
        <f>TEXT(Planning[[#This Row],[Mes]]*29,"mmmm")</f>
        <v>October</v>
      </c>
      <c r="S36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32" s="193"/>
      <c r="U3632" s="43">
        <f>IF(Planning[[#This Row],[Horas Planificadas]]&lt;&gt;0,+K3632/Planning[[#This Row],[Horas Planificadas]],0)</f>
        <v>0</v>
      </c>
      <c r="V3632" s="43">
        <f>IF(Planning[[#This Row],[Horas Planificadas]]&lt;&gt;0,Planning[[#This Row],[Horas utilizadas]]/Planning[[#This Row],[Horas Planificadas]],0)</f>
        <v>0</v>
      </c>
      <c r="W3632" s="44">
        <f>Planning[[#This Row],[Horas Planificadas]]+Planning[[#This Row],[Horas ajustadas adicionales]]</f>
        <v>0</v>
      </c>
      <c r="X3632" s="142"/>
    </row>
    <row r="3633" spans="1:24" ht="12.75" customHeight="1" x14ac:dyDescent="0.2">
      <c r="A3633" s="7" t="s">
        <v>626</v>
      </c>
      <c r="B3633" s="7" t="s">
        <v>205</v>
      </c>
      <c r="C3633" s="3"/>
      <c r="D3633" s="3" t="s">
        <v>654</v>
      </c>
      <c r="E3633" s="4"/>
      <c r="F3633" s="3" t="s">
        <v>130</v>
      </c>
      <c r="G3633" s="9"/>
      <c r="H3633" s="9">
        <v>140</v>
      </c>
      <c r="I3633" s="12"/>
      <c r="J3633" s="5" t="e">
        <f>SUM(SUMIFS(#REF!,#REF!,Planning[[#This Row],[Tipo de Tarea y especialidad]],#REF!,Planning[[#This Row],[Proyectos Reiwa]]),SUMIFS(#REF!,#REF!,Planning[[#This Row],[Tipo de Tarea y especialidad]],#REF!,Planning[[#This Row],[Proyectos]]))</f>
        <v>#REF!</v>
      </c>
      <c r="K3633" s="5" t="e">
        <f>Planning[[#This Row],[Horas Planificadas]]+Planning[[#This Row],[Horas ajustadas adicionales]]-Planning[[#This Row],[Horas utilizadas]]</f>
        <v>#REF!</v>
      </c>
      <c r="L3633" s="7" t="e">
        <f>Planning[[#This Row],[Saldo]]</f>
        <v>#REF!</v>
      </c>
      <c r="M3633" s="19" t="e">
        <f>Planning[[#This Row],[Saldo]]-Planning[[#This Row],[Saldo estimado]]</f>
        <v>#REF!</v>
      </c>
      <c r="N3633" s="60" t="e">
        <f>+SUMIFS(#REF!,#REF!,Planning[[#This Row],[Proyectos]],#REF!,Planning[[#This Row],[Tipo de Tarea y especialidad]])</f>
        <v>#REF!</v>
      </c>
      <c r="O3633" s="19">
        <f t="shared" si="112"/>
        <v>10</v>
      </c>
      <c r="P3633" s="19">
        <f t="shared" si="113"/>
        <v>2024</v>
      </c>
      <c r="Q36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33" s="19" t="str">
        <f>TEXT(Planning[[#This Row],[Mes]]*29,"mmmm")</f>
        <v>October</v>
      </c>
      <c r="S36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33" s="193"/>
      <c r="U3633" s="43" t="e">
        <f>IF(Planning[[#This Row],[Horas Planificadas]]&lt;&gt;0,+K3633/Planning[[#This Row],[Horas Planificadas]],0)</f>
        <v>#REF!</v>
      </c>
      <c r="V3633" s="43" t="e">
        <f>IF(Planning[[#This Row],[Horas Planificadas]]&lt;&gt;0,Planning[[#This Row],[Horas utilizadas]]/Planning[[#This Row],[Horas Planificadas]],0)</f>
        <v>#REF!</v>
      </c>
      <c r="W3633" s="44">
        <f>Planning[[#This Row],[Horas Planificadas]]+Planning[[#This Row],[Horas ajustadas adicionales]]</f>
        <v>140</v>
      </c>
      <c r="X3633" s="142"/>
    </row>
    <row r="3634" spans="1:24" ht="12.75" customHeight="1" x14ac:dyDescent="0.2">
      <c r="A3634" s="7" t="s">
        <v>626</v>
      </c>
      <c r="B3634" s="7" t="s">
        <v>205</v>
      </c>
      <c r="C3634" s="3"/>
      <c r="D3634" s="3" t="s">
        <v>654</v>
      </c>
      <c r="E3634" s="4"/>
      <c r="F3634" s="3" t="s">
        <v>131</v>
      </c>
      <c r="G3634" s="9"/>
      <c r="H3634" s="9"/>
      <c r="I3634" s="12"/>
      <c r="J3634" s="5" t="e">
        <f>SUM(SUMIFS(#REF!,#REF!,Planning[[#This Row],[Tipo de Tarea y especialidad]],#REF!,Planning[[#This Row],[Proyectos Reiwa]]),SUMIFS(#REF!,#REF!,Planning[[#This Row],[Tipo de Tarea y especialidad]],#REF!,Planning[[#This Row],[Proyectos]]))</f>
        <v>#REF!</v>
      </c>
      <c r="K3634" s="5" t="e">
        <f>Planning[[#This Row],[Horas Planificadas]]+Planning[[#This Row],[Horas ajustadas adicionales]]-Planning[[#This Row],[Horas utilizadas]]</f>
        <v>#REF!</v>
      </c>
      <c r="L3634" s="7"/>
      <c r="M3634" s="19" t="e">
        <f>Planning[[#This Row],[Saldo]]-Planning[[#This Row],[Saldo estimado]]</f>
        <v>#REF!</v>
      </c>
      <c r="N3634" s="60" t="e">
        <f>+SUMIFS(#REF!,#REF!,Planning[[#This Row],[Proyectos]],#REF!,Planning[[#This Row],[Tipo de Tarea y especialidad]])</f>
        <v>#REF!</v>
      </c>
      <c r="O3634" s="19">
        <f t="shared" si="112"/>
        <v>10</v>
      </c>
      <c r="P3634" s="19">
        <f t="shared" si="113"/>
        <v>2024</v>
      </c>
      <c r="Q36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34" s="19" t="str">
        <f>TEXT(Planning[[#This Row],[Mes]]*29,"mmmm")</f>
        <v>October</v>
      </c>
      <c r="S36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34" s="193"/>
      <c r="U3634" s="43">
        <f>IF(Planning[[#This Row],[Horas Planificadas]]&lt;&gt;0,+K3634/Planning[[#This Row],[Horas Planificadas]],0)</f>
        <v>0</v>
      </c>
      <c r="V3634" s="43">
        <f>IF(Planning[[#This Row],[Horas Planificadas]]&lt;&gt;0,Planning[[#This Row],[Horas utilizadas]]/Planning[[#This Row],[Horas Planificadas]],0)</f>
        <v>0</v>
      </c>
      <c r="W3634" s="44">
        <f>Planning[[#This Row],[Horas Planificadas]]+Planning[[#This Row],[Horas ajustadas adicionales]]</f>
        <v>0</v>
      </c>
      <c r="X3634" s="142"/>
    </row>
    <row r="3635" spans="1:24" ht="12.75" customHeight="1" x14ac:dyDescent="0.2">
      <c r="A3635" s="7" t="s">
        <v>483</v>
      </c>
      <c r="B3635" s="7" t="s">
        <v>288</v>
      </c>
      <c r="C3635" s="3"/>
      <c r="D3635" s="3" t="s">
        <v>656</v>
      </c>
      <c r="E3635" s="4" t="s">
        <v>28</v>
      </c>
      <c r="F3635" s="3"/>
      <c r="G3635" s="9">
        <v>8</v>
      </c>
      <c r="H3635" s="14">
        <f>SUM(H3636:H3637)</f>
        <v>8</v>
      </c>
      <c r="I3635" s="14"/>
      <c r="J3635" s="14" t="e">
        <f>SUM(J3636:J3637)</f>
        <v>#REF!</v>
      </c>
      <c r="K3635" s="14" t="e">
        <f>+Planning[[#This Row],[Horas Planificadas]]+Planning[[#This Row],[Horas ajustadas adicionales]]-Planning[[#This Row],[Horas utilizadas]]</f>
        <v>#REF!</v>
      </c>
      <c r="L3635" s="15">
        <f>SUM(L3636:L3637)</f>
        <v>0</v>
      </c>
      <c r="M3635" s="14" t="e">
        <f>SUM(M3636:M3637)</f>
        <v>#REF!</v>
      </c>
      <c r="N3635" s="66" t="e">
        <f>+SUMIFS(#REF!,#REF!,Planning[[#This Row],[Proyectos]],#REF!,Planning[[#This Row],[Tipo de Tarea y especialidad]])</f>
        <v>#REF!</v>
      </c>
      <c r="O3635" s="14">
        <f t="shared" si="112"/>
        <v>10</v>
      </c>
      <c r="P3635" s="14">
        <f t="shared" si="113"/>
        <v>2024</v>
      </c>
      <c r="Q3635" s="28" t="e">
        <f>SUM(Q3636:Q3637)</f>
        <v>#REF!</v>
      </c>
      <c r="R3635" s="28" t="str">
        <f>TEXT(Planning[[#This Row],[Mes]]*29,"mmmm")</f>
        <v>October</v>
      </c>
      <c r="S36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35" s="207" t="s">
        <v>657</v>
      </c>
      <c r="U3635" s="43" t="e">
        <f>IF(Planning[[#This Row],[Horas Planificadas]]&lt;&gt;0,+K3635/Planning[[#This Row],[Horas Planificadas]],0)</f>
        <v>#REF!</v>
      </c>
      <c r="V3635" s="43" t="e">
        <f>IF(Planning[[#This Row],[Horas Planificadas]]&lt;&gt;0,Planning[[#This Row],[Horas utilizadas]]/Planning[[#This Row],[Horas Planificadas]],0)</f>
        <v>#REF!</v>
      </c>
      <c r="W3635" s="44">
        <f>Planning[[#This Row],[Horas Planificadas]]+Planning[[#This Row],[Horas ajustadas adicionales]]</f>
        <v>8</v>
      </c>
      <c r="X3635" s="142"/>
    </row>
    <row r="3636" spans="1:24" ht="12.75" customHeight="1" x14ac:dyDescent="0.2">
      <c r="A3636" s="7" t="s">
        <v>483</v>
      </c>
      <c r="B3636" s="7" t="s">
        <v>288</v>
      </c>
      <c r="C3636" s="3"/>
      <c r="D3636" s="3" t="s">
        <v>656</v>
      </c>
      <c r="E3636" s="4"/>
      <c r="F3636" s="3" t="s">
        <v>120</v>
      </c>
      <c r="G3636" s="9"/>
      <c r="H3636" s="9">
        <v>8</v>
      </c>
      <c r="I3636" s="12"/>
      <c r="J3636" s="5" t="e">
        <f>SUM(SUMIFS(#REF!,#REF!,Planning[[#This Row],[Tipo de Tarea y especialidad]],#REF!,Planning[[#This Row],[Proyectos Reiwa]]),SUMIFS(#REF!,#REF!,Planning[[#This Row],[Tipo de Tarea y especialidad]],#REF!,Planning[[#This Row],[Proyectos]]))</f>
        <v>#REF!</v>
      </c>
      <c r="K3636" s="5" t="e">
        <f>+Planning[[#This Row],[Horas Planificadas]]+Planning[[#This Row],[Horas ajustadas adicionales]]-Planning[[#This Row],[Horas utilizadas]]</f>
        <v>#REF!</v>
      </c>
      <c r="L3636" s="7"/>
      <c r="M3636" s="19" t="e">
        <f>Planning[[#This Row],[Saldo]]-Planning[[#This Row],[Saldo estimado]]</f>
        <v>#REF!</v>
      </c>
      <c r="N3636" s="60" t="e">
        <f>+SUMIFS(#REF!,#REF!,Planning[[#This Row],[Proyectos]],#REF!,Planning[[#This Row],[Tipo de Tarea y especialidad]])</f>
        <v>#REF!</v>
      </c>
      <c r="O3636" s="19">
        <f t="shared" si="112"/>
        <v>10</v>
      </c>
      <c r="P3636" s="19">
        <f t="shared" si="113"/>
        <v>2024</v>
      </c>
      <c r="Q36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36" s="19" t="str">
        <f>TEXT(Planning[[#This Row],[Mes]]*29,"mmmm")</f>
        <v>October</v>
      </c>
      <c r="S36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36" s="208"/>
      <c r="U3636" s="43" t="e">
        <f>IF(Planning[[#This Row],[Horas Planificadas]]&lt;&gt;0,+K3636/Planning[[#This Row],[Horas Planificadas]],0)</f>
        <v>#REF!</v>
      </c>
      <c r="V3636" s="43" t="e">
        <f>IF(Planning[[#This Row],[Horas Planificadas]]&lt;&gt;0,Planning[[#This Row],[Horas utilizadas]]/Planning[[#This Row],[Horas Planificadas]],0)</f>
        <v>#REF!</v>
      </c>
      <c r="W3636" s="44">
        <f>Planning[[#This Row],[Horas Planificadas]]+Planning[[#This Row],[Horas ajustadas adicionales]]</f>
        <v>8</v>
      </c>
      <c r="X3636" s="142"/>
    </row>
    <row r="3637" spans="1:24" ht="12.75" customHeight="1" x14ac:dyDescent="0.2">
      <c r="A3637" s="7" t="s">
        <v>483</v>
      </c>
      <c r="B3637" s="7" t="s">
        <v>288</v>
      </c>
      <c r="C3637" s="3"/>
      <c r="D3637" s="3" t="s">
        <v>656</v>
      </c>
      <c r="E3637" s="4"/>
      <c r="F3637" s="3" t="s">
        <v>121</v>
      </c>
      <c r="G3637" s="9"/>
      <c r="H3637" s="9"/>
      <c r="I3637" s="12"/>
      <c r="J3637" s="5" t="e">
        <f>SUM(SUMIFS(#REF!,#REF!,Planning[[#This Row],[Tipo de Tarea y especialidad]],#REF!,Planning[[#This Row],[Proyectos Reiwa]]),SUMIFS(#REF!,#REF!,Planning[[#This Row],[Tipo de Tarea y especialidad]],#REF!,Planning[[#This Row],[Proyectos]]))</f>
        <v>#REF!</v>
      </c>
      <c r="K3637" s="5" t="e">
        <f>+Planning[[#This Row],[Horas Planificadas]]+Planning[[#This Row],[Horas ajustadas adicionales]]-Planning[[#This Row],[Horas utilizadas]]</f>
        <v>#REF!</v>
      </c>
      <c r="L3637" s="7"/>
      <c r="M3637" s="19" t="e">
        <f>Planning[[#This Row],[Saldo]]-Planning[[#This Row],[Saldo estimado]]</f>
        <v>#REF!</v>
      </c>
      <c r="N3637" s="60" t="e">
        <f>+SUMIFS(#REF!,#REF!,Planning[[#This Row],[Proyectos]],#REF!,Planning[[#This Row],[Tipo de Tarea y especialidad]])</f>
        <v>#REF!</v>
      </c>
      <c r="O3637" s="19">
        <f t="shared" si="112"/>
        <v>10</v>
      </c>
      <c r="P3637" s="19">
        <f t="shared" si="113"/>
        <v>2024</v>
      </c>
      <c r="Q36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37" s="19" t="str">
        <f>TEXT(Planning[[#This Row],[Mes]]*29,"mmmm")</f>
        <v>October</v>
      </c>
      <c r="S36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37" s="208"/>
      <c r="U3637" s="43">
        <f>IF(Planning[[#This Row],[Horas Planificadas]]&lt;&gt;0,+K3637/Planning[[#This Row],[Horas Planificadas]],0)</f>
        <v>0</v>
      </c>
      <c r="V3637" s="43">
        <f>IF(Planning[[#This Row],[Horas Planificadas]]&lt;&gt;0,Planning[[#This Row],[Horas utilizadas]]/Planning[[#This Row],[Horas Planificadas]],0)</f>
        <v>0</v>
      </c>
      <c r="W3637" s="44">
        <f>Planning[[#This Row],[Horas Planificadas]]+Planning[[#This Row],[Horas ajustadas adicionales]]</f>
        <v>0</v>
      </c>
      <c r="X3637" s="142"/>
    </row>
    <row r="3638" spans="1:24" ht="12.75" customHeight="1" x14ac:dyDescent="0.2">
      <c r="A3638" s="7" t="s">
        <v>483</v>
      </c>
      <c r="B3638" s="7" t="s">
        <v>288</v>
      </c>
      <c r="C3638" s="3"/>
      <c r="D3638" s="3" t="s">
        <v>656</v>
      </c>
      <c r="E3638" s="4" t="s">
        <v>30</v>
      </c>
      <c r="F3638" s="3"/>
      <c r="G3638" s="9">
        <v>54</v>
      </c>
      <c r="H3638" s="14">
        <f>SUM(H3639:H3645)</f>
        <v>54</v>
      </c>
      <c r="I3638" s="14"/>
      <c r="J3638" s="14" t="e">
        <f>SUM(J3639:J3645)</f>
        <v>#REF!</v>
      </c>
      <c r="K3638" s="14" t="e">
        <f>+Planning[[#This Row],[Horas Planificadas]]+Planning[[#This Row],[Horas ajustadas adicionales]]-Planning[[#This Row],[Horas utilizadas]]</f>
        <v>#REF!</v>
      </c>
      <c r="L3638" s="15">
        <f>SUM(L3639:L3645)</f>
        <v>0</v>
      </c>
      <c r="M3638" s="16" t="e">
        <f>SUM(M3639:M3645)</f>
        <v>#REF!</v>
      </c>
      <c r="N3638" s="60" t="e">
        <f>+SUMIFS(#REF!,#REF!,Planning[[#This Row],[Proyectos]],#REF!,Planning[[#This Row],[Tipo de Tarea y especialidad]])</f>
        <v>#REF!</v>
      </c>
      <c r="O3638" s="16">
        <f t="shared" si="112"/>
        <v>10</v>
      </c>
      <c r="P3638" s="16">
        <f t="shared" si="113"/>
        <v>2024</v>
      </c>
      <c r="Q3638" s="16" t="e">
        <f>SUM(Q3639:Q3645)</f>
        <v>#REF!</v>
      </c>
      <c r="R3638" s="16" t="str">
        <f>TEXT(Planning[[#This Row],[Mes]]*29,"mmmm")</f>
        <v>October</v>
      </c>
      <c r="S36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38" s="208"/>
      <c r="U3638" s="43" t="e">
        <f>IF(Planning[[#This Row],[Horas Planificadas]]&lt;&gt;0,+K3638/Planning[[#This Row],[Horas Planificadas]],0)</f>
        <v>#REF!</v>
      </c>
      <c r="V3638" s="43" t="e">
        <f>IF(Planning[[#This Row],[Horas Planificadas]]&lt;&gt;0,Planning[[#This Row],[Horas utilizadas]]/Planning[[#This Row],[Horas Planificadas]],0)</f>
        <v>#REF!</v>
      </c>
      <c r="W3638" s="44">
        <f>Planning[[#This Row],[Horas Planificadas]]+Planning[[#This Row],[Horas ajustadas adicionales]]</f>
        <v>54</v>
      </c>
      <c r="X3638" s="142"/>
    </row>
    <row r="3639" spans="1:24" ht="12.75" customHeight="1" x14ac:dyDescent="0.2">
      <c r="A3639" s="7" t="s">
        <v>483</v>
      </c>
      <c r="B3639" s="7" t="s">
        <v>288</v>
      </c>
      <c r="C3639" s="3"/>
      <c r="D3639" s="3" t="s">
        <v>656</v>
      </c>
      <c r="E3639" s="4"/>
      <c r="F3639" s="3" t="s">
        <v>122</v>
      </c>
      <c r="G3639" s="9"/>
      <c r="H3639" s="9"/>
      <c r="I3639" s="12"/>
      <c r="J3639" s="5" t="e">
        <f>SUM(SUMIFS(#REF!,#REF!,Planning[[#This Row],[Tipo de Tarea y especialidad]],#REF!,Planning[[#This Row],[Proyectos Reiwa]]),SUMIFS(#REF!,#REF!,Planning[[#This Row],[Tipo de Tarea y especialidad]],#REF!,Planning[[#This Row],[Proyectos]]))</f>
        <v>#REF!</v>
      </c>
      <c r="K3639" s="5" t="e">
        <f>+Planning[[#This Row],[Horas Planificadas]]+Planning[[#This Row],[Horas ajustadas adicionales]]-Planning[[#This Row],[Horas utilizadas]]</f>
        <v>#REF!</v>
      </c>
      <c r="L3639" s="7"/>
      <c r="M3639" s="19" t="e">
        <f>Planning[[#This Row],[Saldo]]-Planning[[#This Row],[Saldo estimado]]</f>
        <v>#REF!</v>
      </c>
      <c r="N3639" s="60" t="e">
        <f>+SUMIFS(#REF!,#REF!,Planning[[#This Row],[Proyectos]],#REF!,Planning[[#This Row],[Tipo de Tarea y especialidad]])</f>
        <v>#REF!</v>
      </c>
      <c r="O3639" s="19">
        <f t="shared" si="112"/>
        <v>10</v>
      </c>
      <c r="P3639" s="19">
        <f t="shared" si="113"/>
        <v>2024</v>
      </c>
      <c r="Q36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39" s="19" t="str">
        <f>TEXT(Planning[[#This Row],[Mes]]*29,"mmmm")</f>
        <v>October</v>
      </c>
      <c r="S36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39" s="208"/>
      <c r="U3639" s="43">
        <f>IF(Planning[[#This Row],[Horas Planificadas]]&lt;&gt;0,+K3639/Planning[[#This Row],[Horas Planificadas]],0)</f>
        <v>0</v>
      </c>
      <c r="V3639" s="43">
        <f>IF(Planning[[#This Row],[Horas Planificadas]]&lt;&gt;0,Planning[[#This Row],[Horas utilizadas]]/Planning[[#This Row],[Horas Planificadas]],0)</f>
        <v>0</v>
      </c>
      <c r="W3639" s="44">
        <f>Planning[[#This Row],[Horas Planificadas]]+Planning[[#This Row],[Horas ajustadas adicionales]]</f>
        <v>0</v>
      </c>
      <c r="X3639" s="142"/>
    </row>
    <row r="3640" spans="1:24" ht="12.75" customHeight="1" x14ac:dyDescent="0.2">
      <c r="A3640" s="7" t="s">
        <v>483</v>
      </c>
      <c r="B3640" s="7" t="s">
        <v>288</v>
      </c>
      <c r="C3640" s="3"/>
      <c r="D3640" s="3" t="s">
        <v>656</v>
      </c>
      <c r="E3640" s="4"/>
      <c r="F3640" s="3" t="s">
        <v>123</v>
      </c>
      <c r="G3640" s="9"/>
      <c r="H3640" s="9"/>
      <c r="I3640" s="12"/>
      <c r="J3640" s="5" t="e">
        <f>SUM(SUMIFS(#REF!,#REF!,Planning[[#This Row],[Tipo de Tarea y especialidad]],#REF!,Planning[[#This Row],[Proyectos Reiwa]]),SUMIFS(#REF!,#REF!,Planning[[#This Row],[Tipo de Tarea y especialidad]],#REF!,Planning[[#This Row],[Proyectos]]))</f>
        <v>#REF!</v>
      </c>
      <c r="K3640" s="5" t="e">
        <f>+Planning[[#This Row],[Horas Planificadas]]+Planning[[#This Row],[Horas ajustadas adicionales]]-Planning[[#This Row],[Horas utilizadas]]</f>
        <v>#REF!</v>
      </c>
      <c r="L3640" s="7"/>
      <c r="M3640" s="19" t="e">
        <f>Planning[[#This Row],[Saldo]]-Planning[[#This Row],[Saldo estimado]]</f>
        <v>#REF!</v>
      </c>
      <c r="N3640" s="60" t="e">
        <f>+SUMIFS(#REF!,#REF!,Planning[[#This Row],[Proyectos]],#REF!,Planning[[#This Row],[Tipo de Tarea y especialidad]])</f>
        <v>#REF!</v>
      </c>
      <c r="O3640" s="19">
        <f t="shared" si="112"/>
        <v>10</v>
      </c>
      <c r="P3640" s="19">
        <f t="shared" si="113"/>
        <v>2024</v>
      </c>
      <c r="Q36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40" s="19" t="str">
        <f>TEXT(Planning[[#This Row],[Mes]]*29,"mmmm")</f>
        <v>October</v>
      </c>
      <c r="S36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40" s="208"/>
      <c r="U3640" s="43">
        <f>IF(Planning[[#This Row],[Horas Planificadas]]&lt;&gt;0,+K3640/Planning[[#This Row],[Horas Planificadas]],0)</f>
        <v>0</v>
      </c>
      <c r="V3640" s="43">
        <f>IF(Planning[[#This Row],[Horas Planificadas]]&lt;&gt;0,Planning[[#This Row],[Horas utilizadas]]/Planning[[#This Row],[Horas Planificadas]],0)</f>
        <v>0</v>
      </c>
      <c r="W3640" s="44">
        <f>Planning[[#This Row],[Horas Planificadas]]+Planning[[#This Row],[Horas ajustadas adicionales]]</f>
        <v>0</v>
      </c>
      <c r="X3640" s="142"/>
    </row>
    <row r="3641" spans="1:24" ht="12.75" customHeight="1" x14ac:dyDescent="0.2">
      <c r="A3641" s="7" t="s">
        <v>483</v>
      </c>
      <c r="B3641" s="7" t="s">
        <v>288</v>
      </c>
      <c r="C3641" s="3"/>
      <c r="D3641" s="3" t="s">
        <v>656</v>
      </c>
      <c r="E3641" s="4"/>
      <c r="F3641" s="3" t="s">
        <v>124</v>
      </c>
      <c r="G3641" s="9"/>
      <c r="H3641" s="9">
        <v>54</v>
      </c>
      <c r="I3641" s="12"/>
      <c r="J3641" s="5" t="e">
        <f>SUM(SUMIFS(#REF!,#REF!,Planning[[#This Row],[Tipo de Tarea y especialidad]],#REF!,Planning[[#This Row],[Proyectos Reiwa]]),SUMIFS(#REF!,#REF!,Planning[[#This Row],[Tipo de Tarea y especialidad]],#REF!,Planning[[#This Row],[Proyectos]]))</f>
        <v>#REF!</v>
      </c>
      <c r="K3641" s="5" t="e">
        <f>+Planning[[#This Row],[Horas Planificadas]]+Planning[[#This Row],[Horas ajustadas adicionales]]-Planning[[#This Row],[Horas utilizadas]]</f>
        <v>#REF!</v>
      </c>
      <c r="L3641" s="7"/>
      <c r="M3641" s="19" t="e">
        <f>Planning[[#This Row],[Saldo]]-Planning[[#This Row],[Saldo estimado]]</f>
        <v>#REF!</v>
      </c>
      <c r="N3641" s="60" t="e">
        <f>+SUMIFS(#REF!,#REF!,Planning[[#This Row],[Proyectos]],#REF!,Planning[[#This Row],[Tipo de Tarea y especialidad]])</f>
        <v>#REF!</v>
      </c>
      <c r="O3641" s="19">
        <f t="shared" si="112"/>
        <v>10</v>
      </c>
      <c r="P3641" s="19">
        <f t="shared" si="113"/>
        <v>2024</v>
      </c>
      <c r="Q36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41" s="19" t="str">
        <f>TEXT(Planning[[#This Row],[Mes]]*29,"mmmm")</f>
        <v>October</v>
      </c>
      <c r="S36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41" s="208"/>
      <c r="U3641" s="43" t="e">
        <f>IF(Planning[[#This Row],[Horas Planificadas]]&lt;&gt;0,+K3641/Planning[[#This Row],[Horas Planificadas]],0)</f>
        <v>#REF!</v>
      </c>
      <c r="V3641" s="43" t="e">
        <f>IF(Planning[[#This Row],[Horas Planificadas]]&lt;&gt;0,Planning[[#This Row],[Horas utilizadas]]/Planning[[#This Row],[Horas Planificadas]],0)</f>
        <v>#REF!</v>
      </c>
      <c r="W3641" s="44">
        <f>Planning[[#This Row],[Horas Planificadas]]+Planning[[#This Row],[Horas ajustadas adicionales]]</f>
        <v>54</v>
      </c>
      <c r="X3641" s="142"/>
    </row>
    <row r="3642" spans="1:24" ht="12.75" customHeight="1" x14ac:dyDescent="0.2">
      <c r="A3642" s="7" t="s">
        <v>483</v>
      </c>
      <c r="B3642" s="7" t="s">
        <v>288</v>
      </c>
      <c r="C3642" s="3"/>
      <c r="D3642" s="3" t="s">
        <v>656</v>
      </c>
      <c r="E3642" s="4"/>
      <c r="F3642" s="3" t="s">
        <v>125</v>
      </c>
      <c r="G3642" s="9"/>
      <c r="H3642" s="9"/>
      <c r="I3642" s="12"/>
      <c r="J3642" s="5" t="e">
        <f>SUM(SUMIFS(#REF!,#REF!,Planning[[#This Row],[Tipo de Tarea y especialidad]],#REF!,Planning[[#This Row],[Proyectos Reiwa]]),SUMIFS(#REF!,#REF!,Planning[[#This Row],[Tipo de Tarea y especialidad]],#REF!,Planning[[#This Row],[Proyectos]]))</f>
        <v>#REF!</v>
      </c>
      <c r="K3642" s="5" t="e">
        <f>+Planning[[#This Row],[Horas Planificadas]]+Planning[[#This Row],[Horas ajustadas adicionales]]-Planning[[#This Row],[Horas utilizadas]]</f>
        <v>#REF!</v>
      </c>
      <c r="L3642" s="7"/>
      <c r="M3642" s="19" t="e">
        <f>Planning[[#This Row],[Saldo]]-Planning[[#This Row],[Saldo estimado]]</f>
        <v>#REF!</v>
      </c>
      <c r="N3642" s="60" t="e">
        <f>+SUMIFS(#REF!,#REF!,Planning[[#This Row],[Proyectos]],#REF!,Planning[[#This Row],[Tipo de Tarea y especialidad]])</f>
        <v>#REF!</v>
      </c>
      <c r="O3642" s="19">
        <f t="shared" si="112"/>
        <v>10</v>
      </c>
      <c r="P3642" s="19">
        <f t="shared" si="113"/>
        <v>2024</v>
      </c>
      <c r="Q36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42" s="19" t="str">
        <f>TEXT(Planning[[#This Row],[Mes]]*29,"mmmm")</f>
        <v>October</v>
      </c>
      <c r="S36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42" s="208"/>
      <c r="U3642" s="43">
        <f>IF(Planning[[#This Row],[Horas Planificadas]]&lt;&gt;0,+K3642/Planning[[#This Row],[Horas Planificadas]],0)</f>
        <v>0</v>
      </c>
      <c r="V3642" s="43">
        <f>IF(Planning[[#This Row],[Horas Planificadas]]&lt;&gt;0,Planning[[#This Row],[Horas utilizadas]]/Planning[[#This Row],[Horas Planificadas]],0)</f>
        <v>0</v>
      </c>
      <c r="W3642" s="44">
        <f>Planning[[#This Row],[Horas Planificadas]]+Planning[[#This Row],[Horas ajustadas adicionales]]</f>
        <v>0</v>
      </c>
      <c r="X3642" s="142"/>
    </row>
    <row r="3643" spans="1:24" ht="12.75" customHeight="1" x14ac:dyDescent="0.2">
      <c r="A3643" s="7" t="s">
        <v>483</v>
      </c>
      <c r="B3643" s="7" t="s">
        <v>288</v>
      </c>
      <c r="C3643" s="3"/>
      <c r="D3643" s="3" t="s">
        <v>656</v>
      </c>
      <c r="E3643" s="4"/>
      <c r="F3643" s="3" t="s">
        <v>126</v>
      </c>
      <c r="G3643" s="9"/>
      <c r="H3643" s="9"/>
      <c r="I3643" s="12"/>
      <c r="J3643" s="5" t="e">
        <f>SUM(SUMIFS(#REF!,#REF!,Planning[[#This Row],[Tipo de Tarea y especialidad]],#REF!,Planning[[#This Row],[Proyectos Reiwa]]),SUMIFS(#REF!,#REF!,Planning[[#This Row],[Tipo de Tarea y especialidad]],#REF!,Planning[[#This Row],[Proyectos]]))</f>
        <v>#REF!</v>
      </c>
      <c r="K3643" s="5" t="e">
        <f>+Planning[[#This Row],[Horas Planificadas]]+Planning[[#This Row],[Horas ajustadas adicionales]]-Planning[[#This Row],[Horas utilizadas]]</f>
        <v>#REF!</v>
      </c>
      <c r="L3643" s="7"/>
      <c r="M3643" s="19" t="e">
        <f>Planning[[#This Row],[Saldo]]-Planning[[#This Row],[Saldo estimado]]</f>
        <v>#REF!</v>
      </c>
      <c r="N3643" s="60" t="e">
        <f>+SUMIFS(#REF!,#REF!,Planning[[#This Row],[Proyectos]],#REF!,Planning[[#This Row],[Tipo de Tarea y especialidad]])</f>
        <v>#REF!</v>
      </c>
      <c r="O3643" s="19">
        <f t="shared" si="112"/>
        <v>10</v>
      </c>
      <c r="P3643" s="19">
        <f t="shared" si="113"/>
        <v>2024</v>
      </c>
      <c r="Q36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43" s="19" t="str">
        <f>TEXT(Planning[[#This Row],[Mes]]*29,"mmmm")</f>
        <v>October</v>
      </c>
      <c r="S36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43" s="208"/>
      <c r="U3643" s="43">
        <f>IF(Planning[[#This Row],[Horas Planificadas]]&lt;&gt;0,+K3643/Planning[[#This Row],[Horas Planificadas]],0)</f>
        <v>0</v>
      </c>
      <c r="V3643" s="43">
        <f>IF(Planning[[#This Row],[Horas Planificadas]]&lt;&gt;0,Planning[[#This Row],[Horas utilizadas]]/Planning[[#This Row],[Horas Planificadas]],0)</f>
        <v>0</v>
      </c>
      <c r="W3643" s="44">
        <f>Planning[[#This Row],[Horas Planificadas]]+Planning[[#This Row],[Horas ajustadas adicionales]]</f>
        <v>0</v>
      </c>
      <c r="X3643" s="142"/>
    </row>
    <row r="3644" spans="1:24" ht="12.75" customHeight="1" x14ac:dyDescent="0.2">
      <c r="A3644" s="7" t="s">
        <v>483</v>
      </c>
      <c r="B3644" s="7" t="s">
        <v>288</v>
      </c>
      <c r="C3644" s="3"/>
      <c r="D3644" s="3" t="s">
        <v>656</v>
      </c>
      <c r="E3644" s="4"/>
      <c r="F3644" s="3" t="s">
        <v>127</v>
      </c>
      <c r="G3644" s="9"/>
      <c r="H3644" s="9"/>
      <c r="I3644" s="12"/>
      <c r="J3644" s="5" t="e">
        <f>SUM(SUMIFS(#REF!,#REF!,Planning[[#This Row],[Tipo de Tarea y especialidad]],#REF!,Planning[[#This Row],[Proyectos Reiwa]]),SUMIFS(#REF!,#REF!,Planning[[#This Row],[Tipo de Tarea y especialidad]],#REF!,Planning[[#This Row],[Proyectos]]))</f>
        <v>#REF!</v>
      </c>
      <c r="K3644" s="5" t="e">
        <f>+Planning[[#This Row],[Horas Planificadas]]+Planning[[#This Row],[Horas ajustadas adicionales]]-Planning[[#This Row],[Horas utilizadas]]</f>
        <v>#REF!</v>
      </c>
      <c r="L3644" s="7"/>
      <c r="M3644" s="19" t="e">
        <f>Planning[[#This Row],[Saldo]]-Planning[[#This Row],[Saldo estimado]]</f>
        <v>#REF!</v>
      </c>
      <c r="N3644" s="60" t="e">
        <f>+SUMIFS(#REF!,#REF!,Planning[[#This Row],[Proyectos]],#REF!,Planning[[#This Row],[Tipo de Tarea y especialidad]])</f>
        <v>#REF!</v>
      </c>
      <c r="O3644" s="19">
        <f t="shared" si="112"/>
        <v>10</v>
      </c>
      <c r="P3644" s="19">
        <f t="shared" si="113"/>
        <v>2024</v>
      </c>
      <c r="Q36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44" s="19" t="str">
        <f>TEXT(Planning[[#This Row],[Mes]]*29,"mmmm")</f>
        <v>October</v>
      </c>
      <c r="S36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44" s="208"/>
      <c r="U3644" s="43">
        <f>IF(Planning[[#This Row],[Horas Planificadas]]&lt;&gt;0,+K3644/Planning[[#This Row],[Horas Planificadas]],0)</f>
        <v>0</v>
      </c>
      <c r="V3644" s="43">
        <f>IF(Planning[[#This Row],[Horas Planificadas]]&lt;&gt;0,Planning[[#This Row],[Horas utilizadas]]/Planning[[#This Row],[Horas Planificadas]],0)</f>
        <v>0</v>
      </c>
      <c r="W3644" s="44">
        <f>Planning[[#This Row],[Horas Planificadas]]+Planning[[#This Row],[Horas ajustadas adicionales]]</f>
        <v>0</v>
      </c>
      <c r="X3644" s="142"/>
    </row>
    <row r="3645" spans="1:24" ht="12.75" customHeight="1" x14ac:dyDescent="0.2">
      <c r="A3645" s="7" t="s">
        <v>483</v>
      </c>
      <c r="B3645" s="7" t="s">
        <v>288</v>
      </c>
      <c r="C3645" s="3"/>
      <c r="D3645" s="3" t="s">
        <v>656</v>
      </c>
      <c r="E3645" s="4"/>
      <c r="F3645" s="3" t="s">
        <v>128</v>
      </c>
      <c r="G3645" s="9"/>
      <c r="H3645" s="9"/>
      <c r="I3645" s="12"/>
      <c r="J3645" s="5" t="e">
        <f>SUM(SUMIFS(#REF!,#REF!,Planning[[#This Row],[Tipo de Tarea y especialidad]],#REF!,Planning[[#This Row],[Proyectos Reiwa]]),SUMIFS(#REF!,#REF!,Planning[[#This Row],[Tipo de Tarea y especialidad]],#REF!,Planning[[#This Row],[Proyectos]]))</f>
        <v>#REF!</v>
      </c>
      <c r="K3645" s="5" t="e">
        <f>+Planning[[#This Row],[Horas Planificadas]]+Planning[[#This Row],[Horas ajustadas adicionales]]-Planning[[#This Row],[Horas utilizadas]]</f>
        <v>#REF!</v>
      </c>
      <c r="L3645" s="7"/>
      <c r="M3645" s="19" t="e">
        <f>Planning[[#This Row],[Saldo]]-Planning[[#This Row],[Saldo estimado]]</f>
        <v>#REF!</v>
      </c>
      <c r="N3645" s="60" t="e">
        <f>+SUMIFS(#REF!,#REF!,Planning[[#This Row],[Proyectos]],#REF!,Planning[[#This Row],[Tipo de Tarea y especialidad]])</f>
        <v>#REF!</v>
      </c>
      <c r="O3645" s="19">
        <f t="shared" si="112"/>
        <v>10</v>
      </c>
      <c r="P3645" s="19">
        <f t="shared" si="113"/>
        <v>2024</v>
      </c>
      <c r="Q36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45" s="19" t="str">
        <f>TEXT(Planning[[#This Row],[Mes]]*29,"mmmm")</f>
        <v>October</v>
      </c>
      <c r="S36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45" s="208"/>
      <c r="U3645" s="43">
        <f>IF(Planning[[#This Row],[Horas Planificadas]]&lt;&gt;0,+K3645/Planning[[#This Row],[Horas Planificadas]],0)</f>
        <v>0</v>
      </c>
      <c r="V3645" s="43">
        <f>IF(Planning[[#This Row],[Horas Planificadas]]&lt;&gt;0,Planning[[#This Row],[Horas utilizadas]]/Planning[[#This Row],[Horas Planificadas]],0)</f>
        <v>0</v>
      </c>
      <c r="W3645" s="44">
        <f>Planning[[#This Row],[Horas Planificadas]]+Planning[[#This Row],[Horas ajustadas adicionales]]</f>
        <v>0</v>
      </c>
      <c r="X3645" s="142"/>
    </row>
    <row r="3646" spans="1:24" ht="12.75" customHeight="1" x14ac:dyDescent="0.2">
      <c r="A3646" s="7" t="s">
        <v>483</v>
      </c>
      <c r="B3646" s="7" t="s">
        <v>288</v>
      </c>
      <c r="C3646" s="3"/>
      <c r="D3646" s="3" t="s">
        <v>656</v>
      </c>
      <c r="E3646" s="4" t="s">
        <v>31</v>
      </c>
      <c r="F3646" s="3" t="s">
        <v>31</v>
      </c>
      <c r="G3646" s="9"/>
      <c r="H3646" s="17">
        <f>Planning[[#This Row],[Horas Precálculo]]</f>
        <v>0</v>
      </c>
      <c r="I3646" s="18"/>
      <c r="J3646" s="14" t="e">
        <f>+SUMIFS(#REF!,#REF!,Planning[[#This Row],[Tarifa]],#REF!,Planning[[#This Row],[Proyectos]])</f>
        <v>#REF!</v>
      </c>
      <c r="K3646" s="14" t="e">
        <f>+Planning[[#This Row],[Horas Planificadas]]+Planning[[#This Row],[Horas ajustadas adicionales]]-Planning[[#This Row],[Horas utilizadas]]</f>
        <v>#REF!</v>
      </c>
      <c r="L3646" s="15">
        <v>0</v>
      </c>
      <c r="M3646" s="16" t="e">
        <f>Planning[[#This Row],[Saldo]]-Planning[[#This Row],[Saldo estimado]]</f>
        <v>#REF!</v>
      </c>
      <c r="N3646" s="60" t="e">
        <f>+SUMIFS(#REF!,#REF!,Planning[[#This Row],[Proyectos]],#REF!,Planning[[#This Row],[Tipo de Tarea y especialidad]])</f>
        <v>#REF!</v>
      </c>
      <c r="O3646" s="16">
        <f t="shared" si="112"/>
        <v>10</v>
      </c>
      <c r="P3646" s="16">
        <f t="shared" si="113"/>
        <v>2024</v>
      </c>
      <c r="Q3646" s="16" t="e">
        <f>+SUMIFS(#REF!,#REF!,Planning[[#This Row],[Tarifa]],#REF!,Planning[[#This Row],[Proyectos]],#REF!,Planning[[#This Row],[Mes]],#REF!,Planning[[#This Row],[Año]])</f>
        <v>#REF!</v>
      </c>
      <c r="R3646" s="16" t="str">
        <f>TEXT(Planning[[#This Row],[Mes]]*29,"mmmm")</f>
        <v>October</v>
      </c>
      <c r="S36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46" s="208"/>
      <c r="U3646" s="43">
        <f>IF(Planning[[#This Row],[Horas Planificadas]]&lt;&gt;0,+K3646/Planning[[#This Row],[Horas Planificadas]],0)</f>
        <v>0</v>
      </c>
      <c r="V3646" s="43">
        <f>IF(Planning[[#This Row],[Horas Planificadas]]&lt;&gt;0,Planning[[#This Row],[Horas utilizadas]]/Planning[[#This Row],[Horas Planificadas]],0)</f>
        <v>0</v>
      </c>
      <c r="W3646" s="44">
        <f>Planning[[#This Row],[Horas Planificadas]]+Planning[[#This Row],[Horas ajustadas adicionales]]</f>
        <v>0</v>
      </c>
      <c r="X3646" s="142"/>
    </row>
    <row r="3647" spans="1:24" ht="12.75" customHeight="1" x14ac:dyDescent="0.2">
      <c r="A3647" s="7" t="s">
        <v>483</v>
      </c>
      <c r="B3647" s="7" t="s">
        <v>288</v>
      </c>
      <c r="C3647" s="3"/>
      <c r="D3647" s="3" t="s">
        <v>656</v>
      </c>
      <c r="E3647" s="4" t="s">
        <v>32</v>
      </c>
      <c r="F3647" s="3"/>
      <c r="G3647" s="9">
        <v>60</v>
      </c>
      <c r="H3647" s="14">
        <f>SUM(H3648:H3650)</f>
        <v>60</v>
      </c>
      <c r="I3647" s="14"/>
      <c r="J3647" s="14" t="e">
        <f>SUM(J3648:J3650)</f>
        <v>#REF!</v>
      </c>
      <c r="K3647" s="14" t="e">
        <f>+Planning[[#This Row],[Horas Planificadas]]+Planning[[#This Row],[Horas ajustadas adicionales]]-Planning[[#This Row],[Horas utilizadas]]</f>
        <v>#REF!</v>
      </c>
      <c r="L3647" s="15">
        <f>SUM(L3648:L3650)</f>
        <v>0</v>
      </c>
      <c r="M3647" s="16" t="e">
        <f>SUM(M3648:M3650)</f>
        <v>#REF!</v>
      </c>
      <c r="N3647" s="60" t="e">
        <f>+SUMIFS(#REF!,#REF!,Planning[[#This Row],[Proyectos]],#REF!,Planning[[#This Row],[Tipo de Tarea y especialidad]])</f>
        <v>#REF!</v>
      </c>
      <c r="O3647" s="16">
        <f t="shared" si="112"/>
        <v>10</v>
      </c>
      <c r="P3647" s="16">
        <f t="shared" si="113"/>
        <v>2024</v>
      </c>
      <c r="Q3647" s="16" t="e">
        <f>SUM(Q3648:Q3650)</f>
        <v>#REF!</v>
      </c>
      <c r="R3647" s="16" t="str">
        <f>TEXT(Planning[[#This Row],[Mes]]*29,"mmmm")</f>
        <v>October</v>
      </c>
      <c r="S36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47" s="208"/>
      <c r="U3647" s="43" t="e">
        <f>IF(Planning[[#This Row],[Horas Planificadas]]&lt;&gt;0,+K3647/Planning[[#This Row],[Horas Planificadas]],0)</f>
        <v>#REF!</v>
      </c>
      <c r="V3647" s="43" t="e">
        <f>IF(Planning[[#This Row],[Horas Planificadas]]&lt;&gt;0,Planning[[#This Row],[Horas utilizadas]]/Planning[[#This Row],[Horas Planificadas]],0)</f>
        <v>#REF!</v>
      </c>
      <c r="W3647" s="44">
        <f>Planning[[#This Row],[Horas Planificadas]]+Planning[[#This Row],[Horas ajustadas adicionales]]</f>
        <v>60</v>
      </c>
      <c r="X3647" s="142"/>
    </row>
    <row r="3648" spans="1:24" ht="12.75" customHeight="1" x14ac:dyDescent="0.2">
      <c r="A3648" s="7" t="s">
        <v>483</v>
      </c>
      <c r="B3648" s="7" t="s">
        <v>288</v>
      </c>
      <c r="C3648" s="3"/>
      <c r="D3648" s="3" t="s">
        <v>656</v>
      </c>
      <c r="E3648" s="4"/>
      <c r="F3648" s="3" t="s">
        <v>129</v>
      </c>
      <c r="G3648" s="9"/>
      <c r="H3648" s="9"/>
      <c r="I3648" s="12"/>
      <c r="J3648" s="5" t="e">
        <f>SUM(SUMIFS(#REF!,#REF!,Planning[[#This Row],[Tipo de Tarea y especialidad]],#REF!,Planning[[#This Row],[Proyectos Reiwa]]),SUMIFS(#REF!,#REF!,Planning[[#This Row],[Tipo de Tarea y especialidad]],#REF!,Planning[[#This Row],[Proyectos]]))</f>
        <v>#REF!</v>
      </c>
      <c r="K3648" s="5" t="e">
        <f>+Planning[[#This Row],[Horas Planificadas]]+Planning[[#This Row],[Horas ajustadas adicionales]]-Planning[[#This Row],[Horas utilizadas]]</f>
        <v>#REF!</v>
      </c>
      <c r="L3648" s="7"/>
      <c r="M3648" s="19" t="e">
        <f>Planning[[#This Row],[Saldo]]-Planning[[#This Row],[Saldo estimado]]</f>
        <v>#REF!</v>
      </c>
      <c r="N3648" s="60" t="e">
        <f>+SUMIFS(#REF!,#REF!,Planning[[#This Row],[Proyectos]],#REF!,Planning[[#This Row],[Tipo de Tarea y especialidad]])</f>
        <v>#REF!</v>
      </c>
      <c r="O3648" s="19">
        <f t="shared" si="112"/>
        <v>10</v>
      </c>
      <c r="P3648" s="19">
        <f t="shared" si="113"/>
        <v>2024</v>
      </c>
      <c r="Q36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48" s="19" t="str">
        <f>TEXT(Planning[[#This Row],[Mes]]*29,"mmmm")</f>
        <v>October</v>
      </c>
      <c r="S36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48" s="208"/>
      <c r="U3648" s="43">
        <f>IF(Planning[[#This Row],[Horas Planificadas]]&lt;&gt;0,+K3648/Planning[[#This Row],[Horas Planificadas]],0)</f>
        <v>0</v>
      </c>
      <c r="V3648" s="43">
        <f>IF(Planning[[#This Row],[Horas Planificadas]]&lt;&gt;0,Planning[[#This Row],[Horas utilizadas]]/Planning[[#This Row],[Horas Planificadas]],0)</f>
        <v>0</v>
      </c>
      <c r="W3648" s="44">
        <f>Planning[[#This Row],[Horas Planificadas]]+Planning[[#This Row],[Horas ajustadas adicionales]]</f>
        <v>0</v>
      </c>
      <c r="X3648" s="142"/>
    </row>
    <row r="3649" spans="1:24" ht="12.75" customHeight="1" x14ac:dyDescent="0.2">
      <c r="A3649" s="7" t="s">
        <v>483</v>
      </c>
      <c r="B3649" s="7" t="s">
        <v>288</v>
      </c>
      <c r="C3649" s="3"/>
      <c r="D3649" s="3" t="s">
        <v>656</v>
      </c>
      <c r="E3649" s="4"/>
      <c r="F3649" s="3" t="s">
        <v>130</v>
      </c>
      <c r="G3649" s="9"/>
      <c r="H3649" s="9"/>
      <c r="I3649" s="12"/>
      <c r="J3649" s="5" t="e">
        <f>SUM(SUMIFS(#REF!,#REF!,Planning[[#This Row],[Tipo de Tarea y especialidad]],#REF!,Planning[[#This Row],[Proyectos Reiwa]]),SUMIFS(#REF!,#REF!,Planning[[#This Row],[Tipo de Tarea y especialidad]],#REF!,Planning[[#This Row],[Proyectos]]))</f>
        <v>#REF!</v>
      </c>
      <c r="K3649" s="5" t="e">
        <f>+Planning[[#This Row],[Horas Planificadas]]+Planning[[#This Row],[Horas ajustadas adicionales]]-Planning[[#This Row],[Horas utilizadas]]</f>
        <v>#REF!</v>
      </c>
      <c r="L3649" s="7"/>
      <c r="M3649" s="19" t="e">
        <f>Planning[[#This Row],[Saldo]]-Planning[[#This Row],[Saldo estimado]]</f>
        <v>#REF!</v>
      </c>
      <c r="N3649" s="60" t="e">
        <f>+SUMIFS(#REF!,#REF!,Planning[[#This Row],[Proyectos]],#REF!,Planning[[#This Row],[Tipo de Tarea y especialidad]])</f>
        <v>#REF!</v>
      </c>
      <c r="O3649" s="19">
        <f t="shared" si="112"/>
        <v>10</v>
      </c>
      <c r="P3649" s="19">
        <f t="shared" si="113"/>
        <v>2024</v>
      </c>
      <c r="Q36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49" s="19" t="str">
        <f>TEXT(Planning[[#This Row],[Mes]]*29,"mmmm")</f>
        <v>October</v>
      </c>
      <c r="S36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49" s="208"/>
      <c r="U3649" s="43">
        <f>IF(Planning[[#This Row],[Horas Planificadas]]&lt;&gt;0,+K3649/Planning[[#This Row],[Horas Planificadas]],0)</f>
        <v>0</v>
      </c>
      <c r="V3649" s="43">
        <f>IF(Planning[[#This Row],[Horas Planificadas]]&lt;&gt;0,Planning[[#This Row],[Horas utilizadas]]/Planning[[#This Row],[Horas Planificadas]],0)</f>
        <v>0</v>
      </c>
      <c r="W3649" s="44">
        <f>Planning[[#This Row],[Horas Planificadas]]+Planning[[#This Row],[Horas ajustadas adicionales]]</f>
        <v>0</v>
      </c>
      <c r="X3649" s="142"/>
    </row>
    <row r="3650" spans="1:24" ht="12.75" customHeight="1" x14ac:dyDescent="0.2">
      <c r="A3650" s="7" t="s">
        <v>483</v>
      </c>
      <c r="B3650" s="7" t="s">
        <v>288</v>
      </c>
      <c r="C3650" s="3"/>
      <c r="D3650" s="3" t="s">
        <v>656</v>
      </c>
      <c r="E3650" s="4"/>
      <c r="F3650" s="3" t="s">
        <v>131</v>
      </c>
      <c r="G3650" s="9"/>
      <c r="H3650" s="9">
        <v>60</v>
      </c>
      <c r="I3650" s="12"/>
      <c r="J3650" s="5" t="e">
        <f>SUM(SUMIFS(#REF!,#REF!,Planning[[#This Row],[Tipo de Tarea y especialidad]],#REF!,Planning[[#This Row],[Proyectos Reiwa]]),SUMIFS(#REF!,#REF!,Planning[[#This Row],[Tipo de Tarea y especialidad]],#REF!,Planning[[#This Row],[Proyectos]]))</f>
        <v>#REF!</v>
      </c>
      <c r="K3650" s="5" t="e">
        <f>+Planning[[#This Row],[Horas Planificadas]]+Planning[[#This Row],[Horas ajustadas adicionales]]-Planning[[#This Row],[Horas utilizadas]]</f>
        <v>#REF!</v>
      </c>
      <c r="L3650" s="7">
        <v>0</v>
      </c>
      <c r="M3650" s="19" t="e">
        <f>Planning[[#This Row],[Saldo]]-Planning[[#This Row],[Saldo estimado]]</f>
        <v>#REF!</v>
      </c>
      <c r="N3650" s="60" t="e">
        <f>+SUMIFS(#REF!,#REF!,Planning[[#This Row],[Proyectos]],#REF!,Planning[[#This Row],[Tipo de Tarea y especialidad]])</f>
        <v>#REF!</v>
      </c>
      <c r="O3650" s="19">
        <f t="shared" si="112"/>
        <v>10</v>
      </c>
      <c r="P3650" s="19">
        <f t="shared" si="113"/>
        <v>2024</v>
      </c>
      <c r="Q36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50" s="19" t="str">
        <f>TEXT(Planning[[#This Row],[Mes]]*29,"mmmm")</f>
        <v>October</v>
      </c>
      <c r="S36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50" s="208"/>
      <c r="U3650" s="43" t="e">
        <f>IF(Planning[[#This Row],[Horas Planificadas]]&lt;&gt;0,+K3650/Planning[[#This Row],[Horas Planificadas]],0)</f>
        <v>#REF!</v>
      </c>
      <c r="V3650" s="43" t="e">
        <f>IF(Planning[[#This Row],[Horas Planificadas]]&lt;&gt;0,Planning[[#This Row],[Horas utilizadas]]/Planning[[#This Row],[Horas Planificadas]],0)</f>
        <v>#REF!</v>
      </c>
      <c r="W3650" s="44">
        <f>Planning[[#This Row],[Horas Planificadas]]+Planning[[#This Row],[Horas ajustadas adicionales]]</f>
        <v>60</v>
      </c>
      <c r="X3650" s="142"/>
    </row>
    <row r="3651" spans="1:24" ht="12.75" customHeight="1" x14ac:dyDescent="0.2">
      <c r="A3651" s="7" t="s">
        <v>483</v>
      </c>
      <c r="B3651" s="7" t="s">
        <v>169</v>
      </c>
      <c r="C3651" s="3"/>
      <c r="D3651" s="3" t="s">
        <v>658</v>
      </c>
      <c r="E3651" s="4" t="s">
        <v>28</v>
      </c>
      <c r="F3651" s="3"/>
      <c r="G3651" s="9">
        <v>380</v>
      </c>
      <c r="H3651" s="14">
        <f>SUM(H3652:H3653)</f>
        <v>470</v>
      </c>
      <c r="I3651" s="14"/>
      <c r="J3651" s="14" t="e">
        <f>SUM(J3652:J3653)</f>
        <v>#REF!</v>
      </c>
      <c r="K3651" s="14" t="e">
        <f>+Planning[[#This Row],[Horas Planificadas]]+Planning[[#This Row],[Horas ajustadas adicionales]]-Planning[[#This Row],[Horas utilizadas]]</f>
        <v>#REF!</v>
      </c>
      <c r="L3651" s="15">
        <f>SUM(L3652:L3653)</f>
        <v>0</v>
      </c>
      <c r="M3651" s="14" t="e">
        <f>SUM(M3652:M3653)</f>
        <v>#REF!</v>
      </c>
      <c r="N3651" s="66" t="e">
        <f>+SUMIFS(#REF!,#REF!,Planning[[#This Row],[Proyectos]],#REF!,Planning[[#This Row],[Tipo de Tarea y especialidad]])</f>
        <v>#REF!</v>
      </c>
      <c r="O3651" s="14">
        <f t="shared" si="112"/>
        <v>10</v>
      </c>
      <c r="P3651" s="14">
        <f t="shared" si="113"/>
        <v>2024</v>
      </c>
      <c r="Q3651" s="28" t="e">
        <f>SUM(Q3652:Q3653)</f>
        <v>#REF!</v>
      </c>
      <c r="R3651" s="28" t="str">
        <f>TEXT(Planning[[#This Row],[Mes]]*29,"mmmm")</f>
        <v>October</v>
      </c>
      <c r="S36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51" s="192" t="s">
        <v>659</v>
      </c>
      <c r="U3651" s="43" t="e">
        <f>IF(Planning[[#This Row],[Horas Planificadas]]&lt;&gt;0,+K3651/Planning[[#This Row],[Horas Planificadas]],0)</f>
        <v>#REF!</v>
      </c>
      <c r="V3651" s="43" t="e">
        <f>IF(Planning[[#This Row],[Horas Planificadas]]&lt;&gt;0,Planning[[#This Row],[Horas utilizadas]]/Planning[[#This Row],[Horas Planificadas]],0)</f>
        <v>#REF!</v>
      </c>
      <c r="W3651" s="44">
        <f>Planning[[#This Row],[Horas Planificadas]]+Planning[[#This Row],[Horas ajustadas adicionales]]</f>
        <v>470</v>
      </c>
      <c r="X3651" s="142"/>
    </row>
    <row r="3652" spans="1:24" ht="12.75" customHeight="1" x14ac:dyDescent="0.2">
      <c r="A3652" s="7" t="s">
        <v>483</v>
      </c>
      <c r="B3652" s="7" t="s">
        <v>169</v>
      </c>
      <c r="C3652" s="3"/>
      <c r="D3652" s="3" t="s">
        <v>658</v>
      </c>
      <c r="E3652" s="4"/>
      <c r="F3652" s="3" t="s">
        <v>120</v>
      </c>
      <c r="G3652" s="9">
        <v>280</v>
      </c>
      <c r="H3652" s="9">
        <v>280</v>
      </c>
      <c r="I3652" s="12"/>
      <c r="J3652" s="5" t="e">
        <f>SUM(SUMIFS(#REF!,#REF!,Planning[[#This Row],[Tipo de Tarea y especialidad]],#REF!,Planning[[#This Row],[Proyectos Reiwa]]),SUMIFS(#REF!,#REF!,Planning[[#This Row],[Tipo de Tarea y especialidad]],#REF!,Planning[[#This Row],[Proyectos]]))</f>
        <v>#REF!</v>
      </c>
      <c r="K3652" s="5" t="e">
        <f>+Planning[[#This Row],[Horas Planificadas]]+Planning[[#This Row],[Horas ajustadas adicionales]]-Planning[[#This Row],[Horas utilizadas]]</f>
        <v>#REF!</v>
      </c>
      <c r="L3652" s="7">
        <v>0</v>
      </c>
      <c r="M3652" s="19" t="e">
        <f>Planning[[#This Row],[Saldo]]-Planning[[#This Row],[Saldo estimado]]</f>
        <v>#REF!</v>
      </c>
      <c r="N3652" s="60" t="e">
        <f>+SUMIFS(#REF!,#REF!,Planning[[#This Row],[Proyectos]],#REF!,Planning[[#This Row],[Tipo de Tarea y especialidad]])</f>
        <v>#REF!</v>
      </c>
      <c r="O3652" s="19">
        <f t="shared" si="112"/>
        <v>10</v>
      </c>
      <c r="P3652" s="19">
        <f t="shared" si="113"/>
        <v>2024</v>
      </c>
      <c r="Q36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52" s="19" t="str">
        <f>TEXT(Planning[[#This Row],[Mes]]*29,"mmmm")</f>
        <v>October</v>
      </c>
      <c r="S36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52" s="193"/>
      <c r="U3652" s="43" t="e">
        <f>IF(Planning[[#This Row],[Horas Planificadas]]&lt;&gt;0,+K3652/Planning[[#This Row],[Horas Planificadas]],0)</f>
        <v>#REF!</v>
      </c>
      <c r="V3652" s="43" t="e">
        <f>IF(Planning[[#This Row],[Horas Planificadas]]&lt;&gt;0,Planning[[#This Row],[Horas utilizadas]]/Planning[[#This Row],[Horas Planificadas]],0)</f>
        <v>#REF!</v>
      </c>
      <c r="W3652" s="44">
        <f>Planning[[#This Row],[Horas Planificadas]]+Planning[[#This Row],[Horas ajustadas adicionales]]</f>
        <v>280</v>
      </c>
      <c r="X3652" s="142"/>
    </row>
    <row r="3653" spans="1:24" ht="12.75" customHeight="1" x14ac:dyDescent="0.2">
      <c r="A3653" s="7" t="s">
        <v>483</v>
      </c>
      <c r="B3653" s="7" t="s">
        <v>169</v>
      </c>
      <c r="C3653" s="3"/>
      <c r="D3653" s="3" t="s">
        <v>658</v>
      </c>
      <c r="E3653" s="4"/>
      <c r="F3653" s="3" t="s">
        <v>121</v>
      </c>
      <c r="G3653" s="9">
        <v>100</v>
      </c>
      <c r="H3653" s="9">
        <v>190</v>
      </c>
      <c r="I3653" s="12"/>
      <c r="J3653" s="5" t="e">
        <f>SUM(SUMIFS(#REF!,#REF!,Planning[[#This Row],[Tipo de Tarea y especialidad]],#REF!,Planning[[#This Row],[Proyectos Reiwa]]),SUMIFS(#REF!,#REF!,Planning[[#This Row],[Tipo de Tarea y especialidad]],#REF!,Planning[[#This Row],[Proyectos]]))</f>
        <v>#REF!</v>
      </c>
      <c r="K3653" s="5" t="e">
        <f>+Planning[[#This Row],[Horas Planificadas]]+Planning[[#This Row],[Horas ajustadas adicionales]]-Planning[[#This Row],[Horas utilizadas]]</f>
        <v>#REF!</v>
      </c>
      <c r="L3653" s="7">
        <v>0</v>
      </c>
      <c r="M3653" s="19" t="e">
        <f>Planning[[#This Row],[Saldo]]-Planning[[#This Row],[Saldo estimado]]</f>
        <v>#REF!</v>
      </c>
      <c r="N3653" s="60" t="e">
        <f>+SUMIFS(#REF!,#REF!,Planning[[#This Row],[Proyectos]],#REF!,Planning[[#This Row],[Tipo de Tarea y especialidad]])</f>
        <v>#REF!</v>
      </c>
      <c r="O3653" s="19">
        <f t="shared" si="112"/>
        <v>10</v>
      </c>
      <c r="P3653" s="19">
        <f t="shared" si="113"/>
        <v>2024</v>
      </c>
      <c r="Q36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53" s="19" t="str">
        <f>TEXT(Planning[[#This Row],[Mes]]*29,"mmmm")</f>
        <v>October</v>
      </c>
      <c r="S36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53" s="193"/>
      <c r="U3653" s="43" t="e">
        <f>IF(Planning[[#This Row],[Horas Planificadas]]&lt;&gt;0,+K3653/Planning[[#This Row],[Horas Planificadas]],0)</f>
        <v>#REF!</v>
      </c>
      <c r="V3653" s="43" t="e">
        <f>IF(Planning[[#This Row],[Horas Planificadas]]&lt;&gt;0,Planning[[#This Row],[Horas utilizadas]]/Planning[[#This Row],[Horas Planificadas]],0)</f>
        <v>#REF!</v>
      </c>
      <c r="W3653" s="44">
        <f>Planning[[#This Row],[Horas Planificadas]]+Planning[[#This Row],[Horas ajustadas adicionales]]</f>
        <v>190</v>
      </c>
      <c r="X3653" s="142"/>
    </row>
    <row r="3654" spans="1:24" ht="12.75" customHeight="1" x14ac:dyDescent="0.2">
      <c r="A3654" s="7" t="s">
        <v>483</v>
      </c>
      <c r="B3654" s="7" t="s">
        <v>169</v>
      </c>
      <c r="C3654" s="3"/>
      <c r="D3654" s="3" t="s">
        <v>658</v>
      </c>
      <c r="E3654" s="4" t="s">
        <v>30</v>
      </c>
      <c r="F3654" s="3"/>
      <c r="G3654" s="9">
        <v>249</v>
      </c>
      <c r="H3654" s="14">
        <f>SUM(H3655:H3661)</f>
        <v>411</v>
      </c>
      <c r="I3654" s="14"/>
      <c r="J3654" s="14" t="e">
        <f>SUM(J3655:J3661)</f>
        <v>#REF!</v>
      </c>
      <c r="K3654" s="14" t="e">
        <f>+Planning[[#This Row],[Horas Planificadas]]+Planning[[#This Row],[Horas ajustadas adicionales]]-Planning[[#This Row],[Horas utilizadas]]</f>
        <v>#REF!</v>
      </c>
      <c r="L3654" s="15">
        <f>SUM(L3655:L3661)</f>
        <v>0</v>
      </c>
      <c r="M3654" s="16" t="e">
        <f>SUM(M3655:M3661)</f>
        <v>#REF!</v>
      </c>
      <c r="N3654" s="60" t="e">
        <f>+SUMIFS(#REF!,#REF!,Planning[[#This Row],[Proyectos]],#REF!,Planning[[#This Row],[Tipo de Tarea y especialidad]])</f>
        <v>#REF!</v>
      </c>
      <c r="O3654" s="16">
        <f t="shared" si="112"/>
        <v>10</v>
      </c>
      <c r="P3654" s="16">
        <f t="shared" si="113"/>
        <v>2024</v>
      </c>
      <c r="Q3654" s="16" t="e">
        <f>SUM(Q3655:Q3661)</f>
        <v>#REF!</v>
      </c>
      <c r="R3654" s="16" t="str">
        <f>TEXT(Planning[[#This Row],[Mes]]*29,"mmmm")</f>
        <v>October</v>
      </c>
      <c r="S36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54" s="193"/>
      <c r="U3654" s="43" t="e">
        <f>IF(Planning[[#This Row],[Horas Planificadas]]&lt;&gt;0,+K3654/Planning[[#This Row],[Horas Planificadas]],0)</f>
        <v>#REF!</v>
      </c>
      <c r="V3654" s="43" t="e">
        <f>IF(Planning[[#This Row],[Horas Planificadas]]&lt;&gt;0,Planning[[#This Row],[Horas utilizadas]]/Planning[[#This Row],[Horas Planificadas]],0)</f>
        <v>#REF!</v>
      </c>
      <c r="W3654" s="44">
        <f>Planning[[#This Row],[Horas Planificadas]]+Planning[[#This Row],[Horas ajustadas adicionales]]</f>
        <v>411</v>
      </c>
      <c r="X3654" s="142"/>
    </row>
    <row r="3655" spans="1:24" ht="12.75" customHeight="1" x14ac:dyDescent="0.2">
      <c r="A3655" s="7" t="s">
        <v>483</v>
      </c>
      <c r="B3655" s="7" t="s">
        <v>169</v>
      </c>
      <c r="C3655" s="3"/>
      <c r="D3655" s="3" t="s">
        <v>658</v>
      </c>
      <c r="E3655" s="4"/>
      <c r="F3655" s="3" t="s">
        <v>122</v>
      </c>
      <c r="G3655" s="9">
        <v>150</v>
      </c>
      <c r="H3655" s="9">
        <v>150</v>
      </c>
      <c r="I3655" s="12"/>
      <c r="J3655" s="5" t="e">
        <f>SUM(SUMIFS(#REF!,#REF!,Planning[[#This Row],[Tipo de Tarea y especialidad]],#REF!,Planning[[#This Row],[Proyectos Reiwa]]),SUMIFS(#REF!,#REF!,Planning[[#This Row],[Tipo de Tarea y especialidad]],#REF!,Planning[[#This Row],[Proyectos]]))</f>
        <v>#REF!</v>
      </c>
      <c r="K3655" s="5" t="e">
        <f>+Planning[[#This Row],[Horas Planificadas]]+Planning[[#This Row],[Horas ajustadas adicionales]]-Planning[[#This Row],[Horas utilizadas]]</f>
        <v>#REF!</v>
      </c>
      <c r="L3655" s="7">
        <v>0</v>
      </c>
      <c r="M3655" s="19" t="e">
        <f>Planning[[#This Row],[Saldo]]-Planning[[#This Row],[Saldo estimado]]</f>
        <v>#REF!</v>
      </c>
      <c r="N3655" s="60" t="e">
        <f>+SUMIFS(#REF!,#REF!,Planning[[#This Row],[Proyectos]],#REF!,Planning[[#This Row],[Tipo de Tarea y especialidad]])</f>
        <v>#REF!</v>
      </c>
      <c r="O3655" s="19">
        <f t="shared" ref="O3655:O3718" si="114">$L$4</f>
        <v>10</v>
      </c>
      <c r="P3655" s="19">
        <f t="shared" ref="P3655:P3718" si="115">$M$4</f>
        <v>2024</v>
      </c>
      <c r="Q36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55" s="19" t="str">
        <f>TEXT(Planning[[#This Row],[Mes]]*29,"mmmm")</f>
        <v>October</v>
      </c>
      <c r="S36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55" s="193"/>
      <c r="U3655" s="43" t="e">
        <f>IF(Planning[[#This Row],[Horas Planificadas]]&lt;&gt;0,+K3655/Planning[[#This Row],[Horas Planificadas]],0)</f>
        <v>#REF!</v>
      </c>
      <c r="V3655" s="43" t="e">
        <f>IF(Planning[[#This Row],[Horas Planificadas]]&lt;&gt;0,Planning[[#This Row],[Horas utilizadas]]/Planning[[#This Row],[Horas Planificadas]],0)</f>
        <v>#REF!</v>
      </c>
      <c r="W3655" s="44">
        <f>Planning[[#This Row],[Horas Planificadas]]+Planning[[#This Row],[Horas ajustadas adicionales]]</f>
        <v>150</v>
      </c>
      <c r="X3655" s="142"/>
    </row>
    <row r="3656" spans="1:24" ht="12.75" customHeight="1" x14ac:dyDescent="0.2">
      <c r="A3656" s="7" t="s">
        <v>483</v>
      </c>
      <c r="B3656" s="7" t="s">
        <v>169</v>
      </c>
      <c r="C3656" s="3"/>
      <c r="D3656" s="3" t="s">
        <v>658</v>
      </c>
      <c r="E3656" s="4"/>
      <c r="F3656" s="3" t="s">
        <v>123</v>
      </c>
      <c r="G3656" s="9"/>
      <c r="H3656" s="9">
        <v>0</v>
      </c>
      <c r="I3656" s="12"/>
      <c r="J3656" s="5" t="e">
        <f>SUM(SUMIFS(#REF!,#REF!,Planning[[#This Row],[Tipo de Tarea y especialidad]],#REF!,Planning[[#This Row],[Proyectos Reiwa]]),SUMIFS(#REF!,#REF!,Planning[[#This Row],[Tipo de Tarea y especialidad]],#REF!,Planning[[#This Row],[Proyectos]]))</f>
        <v>#REF!</v>
      </c>
      <c r="K3656" s="5" t="e">
        <f>+Planning[[#This Row],[Horas Planificadas]]+Planning[[#This Row],[Horas ajustadas adicionales]]-Planning[[#This Row],[Horas utilizadas]]</f>
        <v>#REF!</v>
      </c>
      <c r="L3656" s="7">
        <v>0</v>
      </c>
      <c r="M3656" s="19" t="e">
        <f>Planning[[#This Row],[Saldo]]-Planning[[#This Row],[Saldo estimado]]</f>
        <v>#REF!</v>
      </c>
      <c r="N3656" s="60" t="e">
        <f>+SUMIFS(#REF!,#REF!,Planning[[#This Row],[Proyectos]],#REF!,Planning[[#This Row],[Tipo de Tarea y especialidad]])</f>
        <v>#REF!</v>
      </c>
      <c r="O3656" s="19">
        <f t="shared" si="114"/>
        <v>10</v>
      </c>
      <c r="P3656" s="19">
        <f t="shared" si="115"/>
        <v>2024</v>
      </c>
      <c r="Q36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56" s="19" t="str">
        <f>TEXT(Planning[[#This Row],[Mes]]*29,"mmmm")</f>
        <v>October</v>
      </c>
      <c r="S36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56" s="193"/>
      <c r="U3656" s="43">
        <f>IF(Planning[[#This Row],[Horas Planificadas]]&lt;&gt;0,+K3656/Planning[[#This Row],[Horas Planificadas]],0)</f>
        <v>0</v>
      </c>
      <c r="V3656" s="43">
        <f>IF(Planning[[#This Row],[Horas Planificadas]]&lt;&gt;0,Planning[[#This Row],[Horas utilizadas]]/Planning[[#This Row],[Horas Planificadas]],0)</f>
        <v>0</v>
      </c>
      <c r="W3656" s="44">
        <f>Planning[[#This Row],[Horas Planificadas]]+Planning[[#This Row],[Horas ajustadas adicionales]]</f>
        <v>0</v>
      </c>
      <c r="X3656" s="142"/>
    </row>
    <row r="3657" spans="1:24" ht="12.75" customHeight="1" x14ac:dyDescent="0.2">
      <c r="A3657" s="7" t="s">
        <v>483</v>
      </c>
      <c r="B3657" s="7" t="s">
        <v>169</v>
      </c>
      <c r="C3657" s="3"/>
      <c r="D3657" s="3" t="s">
        <v>658</v>
      </c>
      <c r="E3657" s="4"/>
      <c r="F3657" s="3" t="s">
        <v>124</v>
      </c>
      <c r="G3657" s="9"/>
      <c r="H3657" s="9">
        <v>0</v>
      </c>
      <c r="I3657" s="12"/>
      <c r="J3657" s="5" t="e">
        <f>SUM(SUMIFS(#REF!,#REF!,Planning[[#This Row],[Tipo de Tarea y especialidad]],#REF!,Planning[[#This Row],[Proyectos Reiwa]]),SUMIFS(#REF!,#REF!,Planning[[#This Row],[Tipo de Tarea y especialidad]],#REF!,Planning[[#This Row],[Proyectos]]))</f>
        <v>#REF!</v>
      </c>
      <c r="K3657" s="5" t="e">
        <f>+Planning[[#This Row],[Horas Planificadas]]+Planning[[#This Row],[Horas ajustadas adicionales]]-Planning[[#This Row],[Horas utilizadas]]</f>
        <v>#REF!</v>
      </c>
      <c r="L3657" s="7">
        <v>0</v>
      </c>
      <c r="M3657" s="19" t="e">
        <f>Planning[[#This Row],[Saldo]]-Planning[[#This Row],[Saldo estimado]]</f>
        <v>#REF!</v>
      </c>
      <c r="N3657" s="60" t="e">
        <f>+SUMIFS(#REF!,#REF!,Planning[[#This Row],[Proyectos]],#REF!,Planning[[#This Row],[Tipo de Tarea y especialidad]])</f>
        <v>#REF!</v>
      </c>
      <c r="O3657" s="19">
        <f t="shared" si="114"/>
        <v>10</v>
      </c>
      <c r="P3657" s="19">
        <f t="shared" si="115"/>
        <v>2024</v>
      </c>
      <c r="Q36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57" s="19" t="str">
        <f>TEXT(Planning[[#This Row],[Mes]]*29,"mmmm")</f>
        <v>October</v>
      </c>
      <c r="S36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57" s="193"/>
      <c r="U3657" s="43">
        <f>IF(Planning[[#This Row],[Horas Planificadas]]&lt;&gt;0,+K3657/Planning[[#This Row],[Horas Planificadas]],0)</f>
        <v>0</v>
      </c>
      <c r="V3657" s="43">
        <f>IF(Planning[[#This Row],[Horas Planificadas]]&lt;&gt;0,Planning[[#This Row],[Horas utilizadas]]/Planning[[#This Row],[Horas Planificadas]],0)</f>
        <v>0</v>
      </c>
      <c r="W3657" s="44">
        <f>Planning[[#This Row],[Horas Planificadas]]+Planning[[#This Row],[Horas ajustadas adicionales]]</f>
        <v>0</v>
      </c>
      <c r="X3657" s="142"/>
    </row>
    <row r="3658" spans="1:24" ht="12.75" customHeight="1" x14ac:dyDescent="0.2">
      <c r="A3658" s="7" t="s">
        <v>483</v>
      </c>
      <c r="B3658" s="7" t="s">
        <v>169</v>
      </c>
      <c r="C3658" s="3"/>
      <c r="D3658" s="3" t="s">
        <v>658</v>
      </c>
      <c r="E3658" s="4"/>
      <c r="F3658" s="3" t="s">
        <v>125</v>
      </c>
      <c r="G3658" s="9"/>
      <c r="H3658" s="9">
        <f>90+27</f>
        <v>117</v>
      </c>
      <c r="I3658" s="12"/>
      <c r="J3658" s="5" t="e">
        <f>SUM(SUMIFS(#REF!,#REF!,Planning[[#This Row],[Tipo de Tarea y especialidad]],#REF!,Planning[[#This Row],[Proyectos Reiwa]]),SUMIFS(#REF!,#REF!,Planning[[#This Row],[Tipo de Tarea y especialidad]],#REF!,Planning[[#This Row],[Proyectos]]))</f>
        <v>#REF!</v>
      </c>
      <c r="K3658" s="5" t="e">
        <f>+Planning[[#This Row],[Horas Planificadas]]+Planning[[#This Row],[Horas ajustadas adicionales]]-Planning[[#This Row],[Horas utilizadas]]</f>
        <v>#REF!</v>
      </c>
      <c r="L3658" s="7">
        <v>0</v>
      </c>
      <c r="M3658" s="19" t="e">
        <f>Planning[[#This Row],[Saldo]]-Planning[[#This Row],[Saldo estimado]]</f>
        <v>#REF!</v>
      </c>
      <c r="N3658" s="60" t="e">
        <f>+SUMIFS(#REF!,#REF!,Planning[[#This Row],[Proyectos]],#REF!,Planning[[#This Row],[Tipo de Tarea y especialidad]])</f>
        <v>#REF!</v>
      </c>
      <c r="O3658" s="19">
        <f t="shared" si="114"/>
        <v>10</v>
      </c>
      <c r="P3658" s="19">
        <f t="shared" si="115"/>
        <v>2024</v>
      </c>
      <c r="Q36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58" s="19" t="str">
        <f>TEXT(Planning[[#This Row],[Mes]]*29,"mmmm")</f>
        <v>October</v>
      </c>
      <c r="S36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58" s="193"/>
      <c r="U3658" s="43" t="e">
        <f>IF(Planning[[#This Row],[Horas Planificadas]]&lt;&gt;0,+K3658/Planning[[#This Row],[Horas Planificadas]],0)</f>
        <v>#REF!</v>
      </c>
      <c r="V3658" s="43" t="e">
        <f>IF(Planning[[#This Row],[Horas Planificadas]]&lt;&gt;0,Planning[[#This Row],[Horas utilizadas]]/Planning[[#This Row],[Horas Planificadas]],0)</f>
        <v>#REF!</v>
      </c>
      <c r="W3658" s="44">
        <f>Planning[[#This Row],[Horas Planificadas]]+Planning[[#This Row],[Horas ajustadas adicionales]]</f>
        <v>117</v>
      </c>
      <c r="X3658" s="142"/>
    </row>
    <row r="3659" spans="1:24" ht="12.75" customHeight="1" x14ac:dyDescent="0.2">
      <c r="A3659" s="7" t="s">
        <v>483</v>
      </c>
      <c r="B3659" s="7" t="s">
        <v>169</v>
      </c>
      <c r="C3659" s="3"/>
      <c r="D3659" s="3" t="s">
        <v>658</v>
      </c>
      <c r="E3659" s="4"/>
      <c r="F3659" s="3" t="s">
        <v>126</v>
      </c>
      <c r="G3659" s="9">
        <v>99</v>
      </c>
      <c r="H3659" s="9">
        <v>144</v>
      </c>
      <c r="I3659" s="12"/>
      <c r="J3659" s="5" t="e">
        <f>SUM(SUMIFS(#REF!,#REF!,Planning[[#This Row],[Tipo de Tarea y especialidad]],#REF!,Planning[[#This Row],[Proyectos Reiwa]]),SUMIFS(#REF!,#REF!,Planning[[#This Row],[Tipo de Tarea y especialidad]],#REF!,Planning[[#This Row],[Proyectos]]))</f>
        <v>#REF!</v>
      </c>
      <c r="K3659" s="5" t="e">
        <f>+Planning[[#This Row],[Horas Planificadas]]+Planning[[#This Row],[Horas ajustadas adicionales]]-Planning[[#This Row],[Horas utilizadas]]</f>
        <v>#REF!</v>
      </c>
      <c r="L3659" s="7">
        <v>0</v>
      </c>
      <c r="M3659" s="19" t="e">
        <f>Planning[[#This Row],[Saldo]]-Planning[[#This Row],[Saldo estimado]]</f>
        <v>#REF!</v>
      </c>
      <c r="N3659" s="60" t="e">
        <f>+SUMIFS(#REF!,#REF!,Planning[[#This Row],[Proyectos]],#REF!,Planning[[#This Row],[Tipo de Tarea y especialidad]])</f>
        <v>#REF!</v>
      </c>
      <c r="O3659" s="19">
        <f t="shared" si="114"/>
        <v>10</v>
      </c>
      <c r="P3659" s="19">
        <f t="shared" si="115"/>
        <v>2024</v>
      </c>
      <c r="Q36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59" s="19" t="str">
        <f>TEXT(Planning[[#This Row],[Mes]]*29,"mmmm")</f>
        <v>October</v>
      </c>
      <c r="S36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59" s="193"/>
      <c r="U3659" s="43" t="e">
        <f>IF(Planning[[#This Row],[Horas Planificadas]]&lt;&gt;0,+K3659/Planning[[#This Row],[Horas Planificadas]],0)</f>
        <v>#REF!</v>
      </c>
      <c r="V3659" s="43" t="e">
        <f>IF(Planning[[#This Row],[Horas Planificadas]]&lt;&gt;0,Planning[[#This Row],[Horas utilizadas]]/Planning[[#This Row],[Horas Planificadas]],0)</f>
        <v>#REF!</v>
      </c>
      <c r="W3659" s="44">
        <f>Planning[[#This Row],[Horas Planificadas]]+Planning[[#This Row],[Horas ajustadas adicionales]]</f>
        <v>144</v>
      </c>
      <c r="X3659" s="142"/>
    </row>
    <row r="3660" spans="1:24" ht="12.75" customHeight="1" x14ac:dyDescent="0.2">
      <c r="A3660" s="7" t="s">
        <v>483</v>
      </c>
      <c r="B3660" s="7" t="s">
        <v>169</v>
      </c>
      <c r="C3660" s="3"/>
      <c r="D3660" s="3" t="s">
        <v>658</v>
      </c>
      <c r="E3660" s="4"/>
      <c r="F3660" s="3" t="s">
        <v>127</v>
      </c>
      <c r="G3660" s="9"/>
      <c r="H3660" s="9">
        <v>0</v>
      </c>
      <c r="I3660" s="12"/>
      <c r="J3660" s="5" t="e">
        <f>SUM(SUMIFS(#REF!,#REF!,Planning[[#This Row],[Tipo de Tarea y especialidad]],#REF!,Planning[[#This Row],[Proyectos Reiwa]]),SUMIFS(#REF!,#REF!,Planning[[#This Row],[Tipo de Tarea y especialidad]],#REF!,Planning[[#This Row],[Proyectos]]))</f>
        <v>#REF!</v>
      </c>
      <c r="K3660" s="5" t="e">
        <f>+Planning[[#This Row],[Horas Planificadas]]+Planning[[#This Row],[Horas ajustadas adicionales]]-Planning[[#This Row],[Horas utilizadas]]</f>
        <v>#REF!</v>
      </c>
      <c r="L3660" s="7">
        <v>0</v>
      </c>
      <c r="M3660" s="19" t="e">
        <f>Planning[[#This Row],[Saldo]]-Planning[[#This Row],[Saldo estimado]]</f>
        <v>#REF!</v>
      </c>
      <c r="N3660" s="60" t="e">
        <f>+SUMIFS(#REF!,#REF!,Planning[[#This Row],[Proyectos]],#REF!,Planning[[#This Row],[Tipo de Tarea y especialidad]])</f>
        <v>#REF!</v>
      </c>
      <c r="O3660" s="19">
        <f t="shared" si="114"/>
        <v>10</v>
      </c>
      <c r="P3660" s="19">
        <f t="shared" si="115"/>
        <v>2024</v>
      </c>
      <c r="Q36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60" s="19" t="str">
        <f>TEXT(Planning[[#This Row],[Mes]]*29,"mmmm")</f>
        <v>October</v>
      </c>
      <c r="S36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60" s="193"/>
      <c r="U3660" s="43">
        <f>IF(Planning[[#This Row],[Horas Planificadas]]&lt;&gt;0,+K3660/Planning[[#This Row],[Horas Planificadas]],0)</f>
        <v>0</v>
      </c>
      <c r="V3660" s="43">
        <f>IF(Planning[[#This Row],[Horas Planificadas]]&lt;&gt;0,Planning[[#This Row],[Horas utilizadas]]/Planning[[#This Row],[Horas Planificadas]],0)</f>
        <v>0</v>
      </c>
      <c r="W3660" s="44">
        <f>Planning[[#This Row],[Horas Planificadas]]+Planning[[#This Row],[Horas ajustadas adicionales]]</f>
        <v>0</v>
      </c>
      <c r="X3660" s="142"/>
    </row>
    <row r="3661" spans="1:24" ht="12.75" customHeight="1" x14ac:dyDescent="0.2">
      <c r="A3661" s="7" t="s">
        <v>483</v>
      </c>
      <c r="B3661" s="7" t="s">
        <v>169</v>
      </c>
      <c r="C3661" s="3"/>
      <c r="D3661" s="3" t="s">
        <v>658</v>
      </c>
      <c r="E3661" s="4"/>
      <c r="F3661" s="3" t="s">
        <v>128</v>
      </c>
      <c r="G3661" s="9"/>
      <c r="H3661" s="9">
        <v>0</v>
      </c>
      <c r="I3661" s="12"/>
      <c r="J3661" s="5" t="e">
        <f>SUM(SUMIFS(#REF!,#REF!,Planning[[#This Row],[Tipo de Tarea y especialidad]],#REF!,Planning[[#This Row],[Proyectos Reiwa]]),SUMIFS(#REF!,#REF!,Planning[[#This Row],[Tipo de Tarea y especialidad]],#REF!,Planning[[#This Row],[Proyectos]]))</f>
        <v>#REF!</v>
      </c>
      <c r="K3661" s="5" t="e">
        <f>+Planning[[#This Row],[Horas Planificadas]]+Planning[[#This Row],[Horas ajustadas adicionales]]-Planning[[#This Row],[Horas utilizadas]]</f>
        <v>#REF!</v>
      </c>
      <c r="L3661" s="7">
        <v>0</v>
      </c>
      <c r="M3661" s="19" t="e">
        <f>Planning[[#This Row],[Saldo]]-Planning[[#This Row],[Saldo estimado]]</f>
        <v>#REF!</v>
      </c>
      <c r="N3661" s="60" t="e">
        <f>+SUMIFS(#REF!,#REF!,Planning[[#This Row],[Proyectos]],#REF!,Planning[[#This Row],[Tipo de Tarea y especialidad]])</f>
        <v>#REF!</v>
      </c>
      <c r="O3661" s="19">
        <f t="shared" si="114"/>
        <v>10</v>
      </c>
      <c r="P3661" s="19">
        <f t="shared" si="115"/>
        <v>2024</v>
      </c>
      <c r="Q36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61" s="19" t="str">
        <f>TEXT(Planning[[#This Row],[Mes]]*29,"mmmm")</f>
        <v>October</v>
      </c>
      <c r="S36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61" s="193"/>
      <c r="U3661" s="43">
        <f>IF(Planning[[#This Row],[Horas Planificadas]]&lt;&gt;0,+K3661/Planning[[#This Row],[Horas Planificadas]],0)</f>
        <v>0</v>
      </c>
      <c r="V3661" s="43">
        <f>IF(Planning[[#This Row],[Horas Planificadas]]&lt;&gt;0,Planning[[#This Row],[Horas utilizadas]]/Planning[[#This Row],[Horas Planificadas]],0)</f>
        <v>0</v>
      </c>
      <c r="W3661" s="44">
        <f>Planning[[#This Row],[Horas Planificadas]]+Planning[[#This Row],[Horas ajustadas adicionales]]</f>
        <v>0</v>
      </c>
      <c r="X3661" s="142"/>
    </row>
    <row r="3662" spans="1:24" ht="12.75" customHeight="1" x14ac:dyDescent="0.2">
      <c r="A3662" s="7" t="s">
        <v>483</v>
      </c>
      <c r="B3662" s="7" t="s">
        <v>169</v>
      </c>
      <c r="C3662" s="3"/>
      <c r="D3662" s="3" t="s">
        <v>658</v>
      </c>
      <c r="E3662" s="4" t="s">
        <v>31</v>
      </c>
      <c r="F3662" s="3" t="s">
        <v>31</v>
      </c>
      <c r="G3662" s="9">
        <v>72</v>
      </c>
      <c r="H3662" s="17">
        <f>Planning[[#This Row],[Horas Precálculo]]</f>
        <v>72</v>
      </c>
      <c r="I3662" s="18"/>
      <c r="J3662" s="14" t="e">
        <f>+SUMIFS(#REF!,#REF!,Planning[[#This Row],[Tarifa]],#REF!,Planning[[#This Row],[Proyectos]])</f>
        <v>#REF!</v>
      </c>
      <c r="K3662" s="14" t="e">
        <f>+Planning[[#This Row],[Horas Planificadas]]+Planning[[#This Row],[Horas ajustadas adicionales]]-Planning[[#This Row],[Horas utilizadas]]</f>
        <v>#REF!</v>
      </c>
      <c r="L3662" s="15">
        <v>54</v>
      </c>
      <c r="M3662" s="16" t="e">
        <f>Planning[[#This Row],[Saldo]]-Planning[[#This Row],[Saldo estimado]]</f>
        <v>#REF!</v>
      </c>
      <c r="N3662" s="60" t="e">
        <f>+SUMIFS(#REF!,#REF!,Planning[[#This Row],[Proyectos]],#REF!,Planning[[#This Row],[Tipo de Tarea y especialidad]])</f>
        <v>#REF!</v>
      </c>
      <c r="O3662" s="16">
        <f t="shared" si="114"/>
        <v>10</v>
      </c>
      <c r="P3662" s="16">
        <f t="shared" si="115"/>
        <v>2024</v>
      </c>
      <c r="Q3662" s="16" t="e">
        <f>+SUMIFS(#REF!,#REF!,Planning[[#This Row],[Tarifa]],#REF!,Planning[[#This Row],[Proyectos]],#REF!,Planning[[#This Row],[Mes]],#REF!,Planning[[#This Row],[Año]])</f>
        <v>#REF!</v>
      </c>
      <c r="R3662" s="16" t="str">
        <f>TEXT(Planning[[#This Row],[Mes]]*29,"mmmm")</f>
        <v>October</v>
      </c>
      <c r="S36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62" s="193"/>
      <c r="U3662" s="43" t="e">
        <f>IF(Planning[[#This Row],[Horas Planificadas]]&lt;&gt;0,+K3662/Planning[[#This Row],[Horas Planificadas]],0)</f>
        <v>#REF!</v>
      </c>
      <c r="V3662" s="43" t="e">
        <f>IF(Planning[[#This Row],[Horas Planificadas]]&lt;&gt;0,Planning[[#This Row],[Horas utilizadas]]/Planning[[#This Row],[Horas Planificadas]],0)</f>
        <v>#REF!</v>
      </c>
      <c r="W3662" s="44">
        <f>Planning[[#This Row],[Horas Planificadas]]+Planning[[#This Row],[Horas ajustadas adicionales]]</f>
        <v>72</v>
      </c>
      <c r="X3662" s="142"/>
    </row>
    <row r="3663" spans="1:24" ht="12.75" customHeight="1" x14ac:dyDescent="0.2">
      <c r="A3663" s="7" t="s">
        <v>483</v>
      </c>
      <c r="B3663" s="7" t="s">
        <v>169</v>
      </c>
      <c r="C3663" s="3"/>
      <c r="D3663" s="3" t="s">
        <v>658</v>
      </c>
      <c r="E3663" s="4" t="s">
        <v>32</v>
      </c>
      <c r="F3663" s="3"/>
      <c r="G3663" s="9">
        <v>120</v>
      </c>
      <c r="H3663" s="14">
        <f>SUM(H3664:H3666)</f>
        <v>135</v>
      </c>
      <c r="I3663" s="14"/>
      <c r="J3663" s="14" t="e">
        <f>SUM(J3664:J3666)</f>
        <v>#REF!</v>
      </c>
      <c r="K3663" s="14" t="e">
        <f>+Planning[[#This Row],[Horas Planificadas]]+Planning[[#This Row],[Horas ajustadas adicionales]]-Planning[[#This Row],[Horas utilizadas]]</f>
        <v>#REF!</v>
      </c>
      <c r="L3663" s="15">
        <f>SUM(L3664:L3666)</f>
        <v>0</v>
      </c>
      <c r="M3663" s="16" t="e">
        <f>SUM(M3664:M3666)</f>
        <v>#REF!</v>
      </c>
      <c r="N3663" s="60" t="e">
        <f>+SUMIFS(#REF!,#REF!,Planning[[#This Row],[Proyectos]],#REF!,Planning[[#This Row],[Tipo de Tarea y especialidad]])</f>
        <v>#REF!</v>
      </c>
      <c r="O3663" s="16">
        <f t="shared" si="114"/>
        <v>10</v>
      </c>
      <c r="P3663" s="16">
        <f t="shared" si="115"/>
        <v>2024</v>
      </c>
      <c r="Q3663" s="16" t="e">
        <f>SUM(Q3664:Q3666)</f>
        <v>#REF!</v>
      </c>
      <c r="R3663" s="16" t="str">
        <f>TEXT(Planning[[#This Row],[Mes]]*29,"mmmm")</f>
        <v>October</v>
      </c>
      <c r="S36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63" s="193"/>
      <c r="U3663" s="43" t="e">
        <f>IF(Planning[[#This Row],[Horas Planificadas]]&lt;&gt;0,+K3663/Planning[[#This Row],[Horas Planificadas]],0)</f>
        <v>#REF!</v>
      </c>
      <c r="V3663" s="43" t="e">
        <f>IF(Planning[[#This Row],[Horas Planificadas]]&lt;&gt;0,Planning[[#This Row],[Horas utilizadas]]/Planning[[#This Row],[Horas Planificadas]],0)</f>
        <v>#REF!</v>
      </c>
      <c r="W3663" s="44">
        <f>Planning[[#This Row],[Horas Planificadas]]+Planning[[#This Row],[Horas ajustadas adicionales]]</f>
        <v>135</v>
      </c>
      <c r="X3663" s="142"/>
    </row>
    <row r="3664" spans="1:24" ht="12.75" customHeight="1" x14ac:dyDescent="0.2">
      <c r="A3664" s="7" t="s">
        <v>483</v>
      </c>
      <c r="B3664" s="7" t="s">
        <v>169</v>
      </c>
      <c r="C3664" s="3"/>
      <c r="D3664" s="3" t="s">
        <v>658</v>
      </c>
      <c r="E3664" s="4"/>
      <c r="F3664" s="3" t="s">
        <v>129</v>
      </c>
      <c r="G3664" s="9">
        <v>120</v>
      </c>
      <c r="H3664" s="9">
        <v>135</v>
      </c>
      <c r="I3664" s="12"/>
      <c r="J3664" s="5" t="e">
        <f>SUM(SUMIFS(#REF!,#REF!,Planning[[#This Row],[Tipo de Tarea y especialidad]],#REF!,Planning[[#This Row],[Proyectos Reiwa]]),SUMIFS(#REF!,#REF!,Planning[[#This Row],[Tipo de Tarea y especialidad]],#REF!,Planning[[#This Row],[Proyectos]]))</f>
        <v>#REF!</v>
      </c>
      <c r="K3664" s="5" t="e">
        <f>+Planning[[#This Row],[Horas Planificadas]]+Planning[[#This Row],[Horas ajustadas adicionales]]-Planning[[#This Row],[Horas utilizadas]]</f>
        <v>#REF!</v>
      </c>
      <c r="L3664" s="7">
        <v>0</v>
      </c>
      <c r="M3664" s="19" t="e">
        <f>Planning[[#This Row],[Saldo]]-Planning[[#This Row],[Saldo estimado]]</f>
        <v>#REF!</v>
      </c>
      <c r="N3664" s="60" t="e">
        <f>+SUMIFS(#REF!,#REF!,Planning[[#This Row],[Proyectos]],#REF!,Planning[[#This Row],[Tipo de Tarea y especialidad]])</f>
        <v>#REF!</v>
      </c>
      <c r="O3664" s="19">
        <f t="shared" si="114"/>
        <v>10</v>
      </c>
      <c r="P3664" s="19">
        <f t="shared" si="115"/>
        <v>2024</v>
      </c>
      <c r="Q36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64" s="19" t="str">
        <f>TEXT(Planning[[#This Row],[Mes]]*29,"mmmm")</f>
        <v>October</v>
      </c>
      <c r="S36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64" s="193"/>
      <c r="U3664" s="43" t="e">
        <f>IF(Planning[[#This Row],[Horas Planificadas]]&lt;&gt;0,+K3664/Planning[[#This Row],[Horas Planificadas]],0)</f>
        <v>#REF!</v>
      </c>
      <c r="V3664" s="43" t="e">
        <f>IF(Planning[[#This Row],[Horas Planificadas]]&lt;&gt;0,Planning[[#This Row],[Horas utilizadas]]/Planning[[#This Row],[Horas Planificadas]],0)</f>
        <v>#REF!</v>
      </c>
      <c r="W3664" s="44">
        <f>Planning[[#This Row],[Horas Planificadas]]+Planning[[#This Row],[Horas ajustadas adicionales]]</f>
        <v>135</v>
      </c>
      <c r="X3664" s="142"/>
    </row>
    <row r="3665" spans="1:24" ht="12.75" customHeight="1" x14ac:dyDescent="0.2">
      <c r="A3665" s="7" t="s">
        <v>483</v>
      </c>
      <c r="B3665" s="7" t="s">
        <v>169</v>
      </c>
      <c r="C3665" s="3"/>
      <c r="D3665" s="3" t="s">
        <v>658</v>
      </c>
      <c r="E3665" s="4"/>
      <c r="F3665" s="3" t="s">
        <v>130</v>
      </c>
      <c r="G3665" s="9"/>
      <c r="H3665" s="9">
        <v>0</v>
      </c>
      <c r="I3665" s="12"/>
      <c r="J3665" s="5" t="e">
        <f>SUM(SUMIFS(#REF!,#REF!,Planning[[#This Row],[Tipo de Tarea y especialidad]],#REF!,Planning[[#This Row],[Proyectos Reiwa]]),SUMIFS(#REF!,#REF!,Planning[[#This Row],[Tipo de Tarea y especialidad]],#REF!,Planning[[#This Row],[Proyectos]]))</f>
        <v>#REF!</v>
      </c>
      <c r="K3665" s="5" t="e">
        <f>+Planning[[#This Row],[Horas Planificadas]]+Planning[[#This Row],[Horas ajustadas adicionales]]-Planning[[#This Row],[Horas utilizadas]]</f>
        <v>#REF!</v>
      </c>
      <c r="L3665" s="7">
        <v>0</v>
      </c>
      <c r="M3665" s="19" t="e">
        <f>Planning[[#This Row],[Saldo]]-Planning[[#This Row],[Saldo estimado]]</f>
        <v>#REF!</v>
      </c>
      <c r="N3665" s="60" t="e">
        <f>+SUMIFS(#REF!,#REF!,Planning[[#This Row],[Proyectos]],#REF!,Planning[[#This Row],[Tipo de Tarea y especialidad]])</f>
        <v>#REF!</v>
      </c>
      <c r="O3665" s="19">
        <f t="shared" si="114"/>
        <v>10</v>
      </c>
      <c r="P3665" s="19">
        <f t="shared" si="115"/>
        <v>2024</v>
      </c>
      <c r="Q36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65" s="19" t="str">
        <f>TEXT(Planning[[#This Row],[Mes]]*29,"mmmm")</f>
        <v>October</v>
      </c>
      <c r="S36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65" s="193"/>
      <c r="U3665" s="43">
        <f>IF(Planning[[#This Row],[Horas Planificadas]]&lt;&gt;0,+K3665/Planning[[#This Row],[Horas Planificadas]],0)</f>
        <v>0</v>
      </c>
      <c r="V3665" s="43">
        <f>IF(Planning[[#This Row],[Horas Planificadas]]&lt;&gt;0,Planning[[#This Row],[Horas utilizadas]]/Planning[[#This Row],[Horas Planificadas]],0)</f>
        <v>0</v>
      </c>
      <c r="W3665" s="44">
        <f>Planning[[#This Row],[Horas Planificadas]]+Planning[[#This Row],[Horas ajustadas adicionales]]</f>
        <v>0</v>
      </c>
      <c r="X3665" s="142"/>
    </row>
    <row r="3666" spans="1:24" ht="12.75" customHeight="1" x14ac:dyDescent="0.2">
      <c r="A3666" s="7" t="s">
        <v>483</v>
      </c>
      <c r="B3666" s="7" t="s">
        <v>169</v>
      </c>
      <c r="C3666" s="3"/>
      <c r="D3666" s="3" t="s">
        <v>658</v>
      </c>
      <c r="E3666" s="4"/>
      <c r="F3666" s="3" t="s">
        <v>131</v>
      </c>
      <c r="G3666" s="9"/>
      <c r="H3666" s="9">
        <v>0</v>
      </c>
      <c r="I3666" s="12"/>
      <c r="J3666" s="5" t="e">
        <f>SUM(SUMIFS(#REF!,#REF!,Planning[[#This Row],[Tipo de Tarea y especialidad]],#REF!,Planning[[#This Row],[Proyectos Reiwa]]),SUMIFS(#REF!,#REF!,Planning[[#This Row],[Tipo de Tarea y especialidad]],#REF!,Planning[[#This Row],[Proyectos]]))</f>
        <v>#REF!</v>
      </c>
      <c r="K3666" s="5" t="e">
        <f>+Planning[[#This Row],[Horas Planificadas]]+Planning[[#This Row],[Horas ajustadas adicionales]]-Planning[[#This Row],[Horas utilizadas]]</f>
        <v>#REF!</v>
      </c>
      <c r="L3666" s="7">
        <v>0</v>
      </c>
      <c r="M3666" s="19" t="e">
        <f>Planning[[#This Row],[Saldo]]-Planning[[#This Row],[Saldo estimado]]</f>
        <v>#REF!</v>
      </c>
      <c r="N3666" s="60" t="e">
        <f>+SUMIFS(#REF!,#REF!,Planning[[#This Row],[Proyectos]],#REF!,Planning[[#This Row],[Tipo de Tarea y especialidad]])</f>
        <v>#REF!</v>
      </c>
      <c r="O3666" s="19">
        <f t="shared" si="114"/>
        <v>10</v>
      </c>
      <c r="P3666" s="19">
        <f t="shared" si="115"/>
        <v>2024</v>
      </c>
      <c r="Q36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66" s="19" t="str">
        <f>TEXT(Planning[[#This Row],[Mes]]*29,"mmmm")</f>
        <v>October</v>
      </c>
      <c r="S36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66" s="193"/>
      <c r="U3666" s="43">
        <f>IF(Planning[[#This Row],[Horas Planificadas]]&lt;&gt;0,+K3666/Planning[[#This Row],[Horas Planificadas]],0)</f>
        <v>0</v>
      </c>
      <c r="V3666" s="43">
        <f>IF(Planning[[#This Row],[Horas Planificadas]]&lt;&gt;0,Planning[[#This Row],[Horas utilizadas]]/Planning[[#This Row],[Horas Planificadas]],0)</f>
        <v>0</v>
      </c>
      <c r="W3666" s="44">
        <f>Planning[[#This Row],[Horas Planificadas]]+Planning[[#This Row],[Horas ajustadas adicionales]]</f>
        <v>0</v>
      </c>
      <c r="X3666" s="142"/>
    </row>
    <row r="3667" spans="1:24" ht="13.35" customHeight="1" x14ac:dyDescent="0.2">
      <c r="A3667" s="7" t="s">
        <v>483</v>
      </c>
      <c r="B3667" s="7" t="s">
        <v>288</v>
      </c>
      <c r="C3667" s="3"/>
      <c r="D3667" s="3" t="s">
        <v>660</v>
      </c>
      <c r="E3667" s="4" t="s">
        <v>28</v>
      </c>
      <c r="F3667" s="3"/>
      <c r="G3667" s="9">
        <v>70</v>
      </c>
      <c r="H3667" s="14">
        <f>SUM(H3668:H3669)</f>
        <v>70</v>
      </c>
      <c r="I3667" s="14"/>
      <c r="J3667" s="14" t="e">
        <f>SUM(J3668:J3669)</f>
        <v>#REF!</v>
      </c>
      <c r="K3667" s="14" t="e">
        <f>+Planning[[#This Row],[Horas Planificadas]]+Planning[[#This Row],[Horas ajustadas adicionales]]-Planning[[#This Row],[Horas utilizadas]]</f>
        <v>#REF!</v>
      </c>
      <c r="L3667" s="15">
        <f>SUM(L3668:L3669)</f>
        <v>0</v>
      </c>
      <c r="M3667" s="14" t="e">
        <f>SUM(M3668:M3669)</f>
        <v>#REF!</v>
      </c>
      <c r="N3667" s="66" t="e">
        <f>+SUMIFS(#REF!,#REF!,Planning[[#This Row],[Proyectos]],#REF!,Planning[[#This Row],[Tipo de Tarea y especialidad]])</f>
        <v>#REF!</v>
      </c>
      <c r="O3667" s="14">
        <f t="shared" si="114"/>
        <v>10</v>
      </c>
      <c r="P3667" s="14">
        <f t="shared" si="115"/>
        <v>2024</v>
      </c>
      <c r="Q3667" s="28" t="e">
        <f>SUM(Q3668:Q3669)</f>
        <v>#REF!</v>
      </c>
      <c r="R3667" s="28" t="str">
        <f>TEXT(Planning[[#This Row],[Mes]]*29,"mmmm")</f>
        <v>October</v>
      </c>
      <c r="S36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67" s="207" t="s">
        <v>661</v>
      </c>
      <c r="U3667" s="43" t="e">
        <f>IF(Planning[[#This Row],[Horas Planificadas]]&lt;&gt;0,+K3667/Planning[[#This Row],[Horas Planificadas]],0)</f>
        <v>#REF!</v>
      </c>
      <c r="V3667" s="43" t="e">
        <f>IF(Planning[[#This Row],[Horas Planificadas]]&lt;&gt;0,Planning[[#This Row],[Horas utilizadas]]/Planning[[#This Row],[Horas Planificadas]],0)</f>
        <v>#REF!</v>
      </c>
      <c r="W3667" s="44">
        <f>Planning[[#This Row],[Horas Planificadas]]+Planning[[#This Row],[Horas ajustadas adicionales]]</f>
        <v>70</v>
      </c>
      <c r="X3667" s="142"/>
    </row>
    <row r="3668" spans="1:24" x14ac:dyDescent="0.2">
      <c r="A3668" s="7" t="s">
        <v>483</v>
      </c>
      <c r="B3668" s="7" t="s">
        <v>288</v>
      </c>
      <c r="C3668" s="3"/>
      <c r="D3668" s="3" t="s">
        <v>660</v>
      </c>
      <c r="E3668" s="4"/>
      <c r="F3668" s="3" t="s">
        <v>120</v>
      </c>
      <c r="G3668" s="9"/>
      <c r="H3668" s="9">
        <v>50</v>
      </c>
      <c r="I3668" s="12"/>
      <c r="J3668" s="5" t="e">
        <f>SUM(SUMIFS(#REF!,#REF!,Planning[[#This Row],[Tipo de Tarea y especialidad]],#REF!,Planning[[#This Row],[Proyectos Reiwa]]),SUMIFS(#REF!,#REF!,Planning[[#This Row],[Tipo de Tarea y especialidad]],#REF!,Planning[[#This Row],[Proyectos]]))</f>
        <v>#REF!</v>
      </c>
      <c r="K3668" s="5" t="e">
        <f>+Planning[[#This Row],[Horas Planificadas]]+Planning[[#This Row],[Horas ajustadas adicionales]]-Planning[[#This Row],[Horas utilizadas]]</f>
        <v>#REF!</v>
      </c>
      <c r="L3668" s="7"/>
      <c r="M3668" s="19" t="e">
        <f>Planning[[#This Row],[Saldo]]-Planning[[#This Row],[Saldo estimado]]</f>
        <v>#REF!</v>
      </c>
      <c r="N3668" s="60" t="e">
        <f>+SUMIFS(#REF!,#REF!,Planning[[#This Row],[Proyectos]],#REF!,Planning[[#This Row],[Tipo de Tarea y especialidad]])</f>
        <v>#REF!</v>
      </c>
      <c r="O3668" s="19">
        <f t="shared" si="114"/>
        <v>10</v>
      </c>
      <c r="P3668" s="19">
        <f t="shared" si="115"/>
        <v>2024</v>
      </c>
      <c r="Q36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68" s="19" t="str">
        <f>TEXT(Planning[[#This Row],[Mes]]*29,"mmmm")</f>
        <v>October</v>
      </c>
      <c r="S36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68" s="208"/>
      <c r="U3668" s="43" t="e">
        <f>IF(Planning[[#This Row],[Horas Planificadas]]&lt;&gt;0,+K3668/Planning[[#This Row],[Horas Planificadas]],0)</f>
        <v>#REF!</v>
      </c>
      <c r="V3668" s="43" t="e">
        <f>IF(Planning[[#This Row],[Horas Planificadas]]&lt;&gt;0,Planning[[#This Row],[Horas utilizadas]]/Planning[[#This Row],[Horas Planificadas]],0)</f>
        <v>#REF!</v>
      </c>
      <c r="W3668" s="44">
        <f>Planning[[#This Row],[Horas Planificadas]]+Planning[[#This Row],[Horas ajustadas adicionales]]</f>
        <v>50</v>
      </c>
      <c r="X3668" s="142"/>
    </row>
    <row r="3669" spans="1:24" x14ac:dyDescent="0.2">
      <c r="A3669" s="7" t="s">
        <v>483</v>
      </c>
      <c r="B3669" s="7" t="s">
        <v>288</v>
      </c>
      <c r="C3669" s="3"/>
      <c r="D3669" s="3" t="s">
        <v>660</v>
      </c>
      <c r="E3669" s="4"/>
      <c r="F3669" s="3" t="s">
        <v>121</v>
      </c>
      <c r="G3669" s="9"/>
      <c r="H3669" s="9">
        <v>20</v>
      </c>
      <c r="I3669" s="12"/>
      <c r="J3669" s="5" t="e">
        <f>SUM(SUMIFS(#REF!,#REF!,Planning[[#This Row],[Tipo de Tarea y especialidad]],#REF!,Planning[[#This Row],[Proyectos Reiwa]]),SUMIFS(#REF!,#REF!,Planning[[#This Row],[Tipo de Tarea y especialidad]],#REF!,Planning[[#This Row],[Proyectos]]))</f>
        <v>#REF!</v>
      </c>
      <c r="K3669" s="5" t="e">
        <f>+Planning[[#This Row],[Horas Planificadas]]+Planning[[#This Row],[Horas ajustadas adicionales]]-Planning[[#This Row],[Horas utilizadas]]</f>
        <v>#REF!</v>
      </c>
      <c r="L3669" s="7"/>
      <c r="M3669" s="19" t="e">
        <f>Planning[[#This Row],[Saldo]]-Planning[[#This Row],[Saldo estimado]]</f>
        <v>#REF!</v>
      </c>
      <c r="N3669" s="60" t="e">
        <f>+SUMIFS(#REF!,#REF!,Planning[[#This Row],[Proyectos]],#REF!,Planning[[#This Row],[Tipo de Tarea y especialidad]])</f>
        <v>#REF!</v>
      </c>
      <c r="O3669" s="19">
        <f t="shared" si="114"/>
        <v>10</v>
      </c>
      <c r="P3669" s="19">
        <f t="shared" si="115"/>
        <v>2024</v>
      </c>
      <c r="Q36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69" s="19" t="str">
        <f>TEXT(Planning[[#This Row],[Mes]]*29,"mmmm")</f>
        <v>October</v>
      </c>
      <c r="S36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69" s="208"/>
      <c r="U3669" s="43" t="e">
        <f>IF(Planning[[#This Row],[Horas Planificadas]]&lt;&gt;0,+K3669/Planning[[#This Row],[Horas Planificadas]],0)</f>
        <v>#REF!</v>
      </c>
      <c r="V3669" s="43" t="e">
        <f>IF(Planning[[#This Row],[Horas Planificadas]]&lt;&gt;0,Planning[[#This Row],[Horas utilizadas]]/Planning[[#This Row],[Horas Planificadas]],0)</f>
        <v>#REF!</v>
      </c>
      <c r="W3669" s="44">
        <f>Planning[[#This Row],[Horas Planificadas]]+Planning[[#This Row],[Horas ajustadas adicionales]]</f>
        <v>20</v>
      </c>
      <c r="X3669" s="142"/>
    </row>
    <row r="3670" spans="1:24" x14ac:dyDescent="0.2">
      <c r="A3670" s="7" t="s">
        <v>483</v>
      </c>
      <c r="B3670" s="7" t="s">
        <v>288</v>
      </c>
      <c r="C3670" s="3"/>
      <c r="D3670" s="3" t="s">
        <v>660</v>
      </c>
      <c r="E3670" s="4" t="s">
        <v>30</v>
      </c>
      <c r="F3670" s="3"/>
      <c r="G3670" s="9">
        <v>87</v>
      </c>
      <c r="H3670" s="14">
        <f>SUM(H3671:H3677)</f>
        <v>87</v>
      </c>
      <c r="I3670" s="14"/>
      <c r="J3670" s="14" t="e">
        <f>SUM(J3671:J3677)</f>
        <v>#REF!</v>
      </c>
      <c r="K3670" s="14" t="e">
        <f>+Planning[[#This Row],[Horas Planificadas]]+Planning[[#This Row],[Horas ajustadas adicionales]]-Planning[[#This Row],[Horas utilizadas]]</f>
        <v>#REF!</v>
      </c>
      <c r="L3670" s="15">
        <f>SUM(L3671:L3677)</f>
        <v>0</v>
      </c>
      <c r="M3670" s="16" t="e">
        <f>SUM(M3671:M3677)</f>
        <v>#REF!</v>
      </c>
      <c r="N3670" s="60" t="e">
        <f>+SUMIFS(#REF!,#REF!,Planning[[#This Row],[Proyectos]],#REF!,Planning[[#This Row],[Tipo de Tarea y especialidad]])</f>
        <v>#REF!</v>
      </c>
      <c r="O3670" s="16">
        <f t="shared" si="114"/>
        <v>10</v>
      </c>
      <c r="P3670" s="16">
        <f t="shared" si="115"/>
        <v>2024</v>
      </c>
      <c r="Q3670" s="16" t="e">
        <f>SUM(Q3671:Q3677)</f>
        <v>#REF!</v>
      </c>
      <c r="R3670" s="16" t="str">
        <f>TEXT(Planning[[#This Row],[Mes]]*29,"mmmm")</f>
        <v>October</v>
      </c>
      <c r="S36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70" s="208"/>
      <c r="U3670" s="43" t="e">
        <f>IF(Planning[[#This Row],[Horas Planificadas]]&lt;&gt;0,+K3670/Planning[[#This Row],[Horas Planificadas]],0)</f>
        <v>#REF!</v>
      </c>
      <c r="V3670" s="43" t="e">
        <f>IF(Planning[[#This Row],[Horas Planificadas]]&lt;&gt;0,Planning[[#This Row],[Horas utilizadas]]/Planning[[#This Row],[Horas Planificadas]],0)</f>
        <v>#REF!</v>
      </c>
      <c r="W3670" s="44">
        <f>Planning[[#This Row],[Horas Planificadas]]+Planning[[#This Row],[Horas ajustadas adicionales]]</f>
        <v>87</v>
      </c>
      <c r="X3670" s="142"/>
    </row>
    <row r="3671" spans="1:24" x14ac:dyDescent="0.2">
      <c r="A3671" s="7" t="s">
        <v>483</v>
      </c>
      <c r="B3671" s="7" t="s">
        <v>288</v>
      </c>
      <c r="C3671" s="3"/>
      <c r="D3671" s="3" t="s">
        <v>660</v>
      </c>
      <c r="E3671" s="4"/>
      <c r="F3671" s="3" t="s">
        <v>122</v>
      </c>
      <c r="G3671" s="9"/>
      <c r="H3671" s="9"/>
      <c r="I3671" s="12"/>
      <c r="J3671" s="5" t="e">
        <f>SUM(SUMIFS(#REF!,#REF!,Planning[[#This Row],[Tipo de Tarea y especialidad]],#REF!,Planning[[#This Row],[Proyectos Reiwa]]),SUMIFS(#REF!,#REF!,Planning[[#This Row],[Tipo de Tarea y especialidad]],#REF!,Planning[[#This Row],[Proyectos]]))</f>
        <v>#REF!</v>
      </c>
      <c r="K3671" s="5" t="e">
        <f>+Planning[[#This Row],[Horas Planificadas]]+Planning[[#This Row],[Horas ajustadas adicionales]]-Planning[[#This Row],[Horas utilizadas]]</f>
        <v>#REF!</v>
      </c>
      <c r="L3671" s="7"/>
      <c r="M3671" s="19" t="e">
        <f>Planning[[#This Row],[Saldo]]-Planning[[#This Row],[Saldo estimado]]</f>
        <v>#REF!</v>
      </c>
      <c r="N3671" s="60" t="e">
        <f>+SUMIFS(#REF!,#REF!,Planning[[#This Row],[Proyectos]],#REF!,Planning[[#This Row],[Tipo de Tarea y especialidad]])</f>
        <v>#REF!</v>
      </c>
      <c r="O3671" s="19">
        <f t="shared" si="114"/>
        <v>10</v>
      </c>
      <c r="P3671" s="19">
        <f t="shared" si="115"/>
        <v>2024</v>
      </c>
      <c r="Q36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71" s="19" t="str">
        <f>TEXT(Planning[[#This Row],[Mes]]*29,"mmmm")</f>
        <v>October</v>
      </c>
      <c r="S36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71" s="208"/>
      <c r="U3671" s="43">
        <f>IF(Planning[[#This Row],[Horas Planificadas]]&lt;&gt;0,+K3671/Planning[[#This Row],[Horas Planificadas]],0)</f>
        <v>0</v>
      </c>
      <c r="V3671" s="43">
        <f>IF(Planning[[#This Row],[Horas Planificadas]]&lt;&gt;0,Planning[[#This Row],[Horas utilizadas]]/Planning[[#This Row],[Horas Planificadas]],0)</f>
        <v>0</v>
      </c>
      <c r="W3671" s="44">
        <f>Planning[[#This Row],[Horas Planificadas]]+Planning[[#This Row],[Horas ajustadas adicionales]]</f>
        <v>0</v>
      </c>
      <c r="X3671" s="142"/>
    </row>
    <row r="3672" spans="1:24" x14ac:dyDescent="0.2">
      <c r="A3672" s="7" t="s">
        <v>483</v>
      </c>
      <c r="B3672" s="7" t="s">
        <v>288</v>
      </c>
      <c r="C3672" s="3"/>
      <c r="D3672" s="3" t="s">
        <v>660</v>
      </c>
      <c r="E3672" s="4"/>
      <c r="F3672" s="3" t="s">
        <v>123</v>
      </c>
      <c r="G3672" s="9"/>
      <c r="H3672" s="9"/>
      <c r="I3672" s="12"/>
      <c r="J3672" s="5" t="e">
        <f>SUM(SUMIFS(#REF!,#REF!,Planning[[#This Row],[Tipo de Tarea y especialidad]],#REF!,Planning[[#This Row],[Proyectos Reiwa]]),SUMIFS(#REF!,#REF!,Planning[[#This Row],[Tipo de Tarea y especialidad]],#REF!,Planning[[#This Row],[Proyectos]]))</f>
        <v>#REF!</v>
      </c>
      <c r="K3672" s="5" t="e">
        <f>+Planning[[#This Row],[Horas Planificadas]]+Planning[[#This Row],[Horas ajustadas adicionales]]-Planning[[#This Row],[Horas utilizadas]]</f>
        <v>#REF!</v>
      </c>
      <c r="L3672" s="7"/>
      <c r="M3672" s="19" t="e">
        <f>Planning[[#This Row],[Saldo]]-Planning[[#This Row],[Saldo estimado]]</f>
        <v>#REF!</v>
      </c>
      <c r="N3672" s="60" t="e">
        <f>+SUMIFS(#REF!,#REF!,Planning[[#This Row],[Proyectos]],#REF!,Planning[[#This Row],[Tipo de Tarea y especialidad]])</f>
        <v>#REF!</v>
      </c>
      <c r="O3672" s="19">
        <f t="shared" si="114"/>
        <v>10</v>
      </c>
      <c r="P3672" s="19">
        <f t="shared" si="115"/>
        <v>2024</v>
      </c>
      <c r="Q36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72" s="19" t="str">
        <f>TEXT(Planning[[#This Row],[Mes]]*29,"mmmm")</f>
        <v>October</v>
      </c>
      <c r="S36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72" s="208"/>
      <c r="U3672" s="43">
        <f>IF(Planning[[#This Row],[Horas Planificadas]]&lt;&gt;0,+K3672/Planning[[#This Row],[Horas Planificadas]],0)</f>
        <v>0</v>
      </c>
      <c r="V3672" s="43">
        <f>IF(Planning[[#This Row],[Horas Planificadas]]&lt;&gt;0,Planning[[#This Row],[Horas utilizadas]]/Planning[[#This Row],[Horas Planificadas]],0)</f>
        <v>0</v>
      </c>
      <c r="W3672" s="44">
        <f>Planning[[#This Row],[Horas Planificadas]]+Planning[[#This Row],[Horas ajustadas adicionales]]</f>
        <v>0</v>
      </c>
      <c r="X3672" s="142"/>
    </row>
    <row r="3673" spans="1:24" x14ac:dyDescent="0.2">
      <c r="A3673" s="7" t="s">
        <v>483</v>
      </c>
      <c r="B3673" s="7" t="s">
        <v>288</v>
      </c>
      <c r="C3673" s="3"/>
      <c r="D3673" s="3" t="s">
        <v>660</v>
      </c>
      <c r="E3673" s="4"/>
      <c r="F3673" s="3" t="s">
        <v>124</v>
      </c>
      <c r="G3673" s="9"/>
      <c r="H3673" s="9">
        <v>87</v>
      </c>
      <c r="I3673" s="12"/>
      <c r="J3673" s="5" t="e">
        <f>SUM(SUMIFS(#REF!,#REF!,Planning[[#This Row],[Tipo de Tarea y especialidad]],#REF!,Planning[[#This Row],[Proyectos Reiwa]]),SUMIFS(#REF!,#REF!,Planning[[#This Row],[Tipo de Tarea y especialidad]],#REF!,Planning[[#This Row],[Proyectos]]))</f>
        <v>#REF!</v>
      </c>
      <c r="K3673" s="5" t="e">
        <f>+Planning[[#This Row],[Horas Planificadas]]+Planning[[#This Row],[Horas ajustadas adicionales]]-Planning[[#This Row],[Horas utilizadas]]</f>
        <v>#REF!</v>
      </c>
      <c r="L3673" s="7">
        <v>0</v>
      </c>
      <c r="M3673" s="19" t="e">
        <f>Planning[[#This Row],[Saldo]]-Planning[[#This Row],[Saldo estimado]]</f>
        <v>#REF!</v>
      </c>
      <c r="N3673" s="60" t="e">
        <f>+SUMIFS(#REF!,#REF!,Planning[[#This Row],[Proyectos]],#REF!,Planning[[#This Row],[Tipo de Tarea y especialidad]])</f>
        <v>#REF!</v>
      </c>
      <c r="O3673" s="19">
        <f t="shared" si="114"/>
        <v>10</v>
      </c>
      <c r="P3673" s="19">
        <f t="shared" si="115"/>
        <v>2024</v>
      </c>
      <c r="Q36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73" s="19" t="str">
        <f>TEXT(Planning[[#This Row],[Mes]]*29,"mmmm")</f>
        <v>October</v>
      </c>
      <c r="S36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73" s="208"/>
      <c r="U3673" s="43" t="e">
        <f>IF(Planning[[#This Row],[Horas Planificadas]]&lt;&gt;0,+K3673/Planning[[#This Row],[Horas Planificadas]],0)</f>
        <v>#REF!</v>
      </c>
      <c r="V3673" s="43" t="e">
        <f>IF(Planning[[#This Row],[Horas Planificadas]]&lt;&gt;0,Planning[[#This Row],[Horas utilizadas]]/Planning[[#This Row],[Horas Planificadas]],0)</f>
        <v>#REF!</v>
      </c>
      <c r="W3673" s="44">
        <f>Planning[[#This Row],[Horas Planificadas]]+Planning[[#This Row],[Horas ajustadas adicionales]]</f>
        <v>87</v>
      </c>
      <c r="X3673" s="142"/>
    </row>
    <row r="3674" spans="1:24" x14ac:dyDescent="0.2">
      <c r="A3674" s="7" t="s">
        <v>483</v>
      </c>
      <c r="B3674" s="7" t="s">
        <v>288</v>
      </c>
      <c r="C3674" s="3"/>
      <c r="D3674" s="3" t="s">
        <v>660</v>
      </c>
      <c r="E3674" s="4"/>
      <c r="F3674" s="3" t="s">
        <v>125</v>
      </c>
      <c r="G3674" s="9"/>
      <c r="H3674" s="9"/>
      <c r="I3674" s="12"/>
      <c r="J3674" s="5" t="e">
        <f>SUM(SUMIFS(#REF!,#REF!,Planning[[#This Row],[Tipo de Tarea y especialidad]],#REF!,Planning[[#This Row],[Proyectos Reiwa]]),SUMIFS(#REF!,#REF!,Planning[[#This Row],[Tipo de Tarea y especialidad]],#REF!,Planning[[#This Row],[Proyectos]]))</f>
        <v>#REF!</v>
      </c>
      <c r="K3674" s="5" t="e">
        <f>+Planning[[#This Row],[Horas Planificadas]]+Planning[[#This Row],[Horas ajustadas adicionales]]-Planning[[#This Row],[Horas utilizadas]]</f>
        <v>#REF!</v>
      </c>
      <c r="L3674" s="7"/>
      <c r="M3674" s="19" t="e">
        <f>Planning[[#This Row],[Saldo]]-Planning[[#This Row],[Saldo estimado]]</f>
        <v>#REF!</v>
      </c>
      <c r="N3674" s="60" t="e">
        <f>+SUMIFS(#REF!,#REF!,Planning[[#This Row],[Proyectos]],#REF!,Planning[[#This Row],[Tipo de Tarea y especialidad]])</f>
        <v>#REF!</v>
      </c>
      <c r="O3674" s="19">
        <f t="shared" si="114"/>
        <v>10</v>
      </c>
      <c r="P3674" s="19">
        <f t="shared" si="115"/>
        <v>2024</v>
      </c>
      <c r="Q36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74" s="19" t="str">
        <f>TEXT(Planning[[#This Row],[Mes]]*29,"mmmm")</f>
        <v>October</v>
      </c>
      <c r="S36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74" s="208"/>
      <c r="U3674" s="43">
        <f>IF(Planning[[#This Row],[Horas Planificadas]]&lt;&gt;0,+K3674/Planning[[#This Row],[Horas Planificadas]],0)</f>
        <v>0</v>
      </c>
      <c r="V3674" s="43">
        <f>IF(Planning[[#This Row],[Horas Planificadas]]&lt;&gt;0,Planning[[#This Row],[Horas utilizadas]]/Planning[[#This Row],[Horas Planificadas]],0)</f>
        <v>0</v>
      </c>
      <c r="W3674" s="44">
        <f>Planning[[#This Row],[Horas Planificadas]]+Planning[[#This Row],[Horas ajustadas adicionales]]</f>
        <v>0</v>
      </c>
      <c r="X3674" s="142"/>
    </row>
    <row r="3675" spans="1:24" x14ac:dyDescent="0.2">
      <c r="A3675" s="7" t="s">
        <v>483</v>
      </c>
      <c r="B3675" s="7" t="s">
        <v>288</v>
      </c>
      <c r="C3675" s="3"/>
      <c r="D3675" s="3" t="s">
        <v>660</v>
      </c>
      <c r="E3675" s="4"/>
      <c r="F3675" s="3" t="s">
        <v>126</v>
      </c>
      <c r="G3675" s="9"/>
      <c r="H3675" s="9"/>
      <c r="I3675" s="12"/>
      <c r="J3675" s="5" t="e">
        <f>SUM(SUMIFS(#REF!,#REF!,Planning[[#This Row],[Tipo de Tarea y especialidad]],#REF!,Planning[[#This Row],[Proyectos Reiwa]]),SUMIFS(#REF!,#REF!,Planning[[#This Row],[Tipo de Tarea y especialidad]],#REF!,Planning[[#This Row],[Proyectos]]))</f>
        <v>#REF!</v>
      </c>
      <c r="K3675" s="5" t="e">
        <f>+Planning[[#This Row],[Horas Planificadas]]+Planning[[#This Row],[Horas ajustadas adicionales]]-Planning[[#This Row],[Horas utilizadas]]</f>
        <v>#REF!</v>
      </c>
      <c r="L3675" s="7"/>
      <c r="M3675" s="19" t="e">
        <f>Planning[[#This Row],[Saldo]]-Planning[[#This Row],[Saldo estimado]]</f>
        <v>#REF!</v>
      </c>
      <c r="N3675" s="60" t="e">
        <f>+SUMIFS(#REF!,#REF!,Planning[[#This Row],[Proyectos]],#REF!,Planning[[#This Row],[Tipo de Tarea y especialidad]])</f>
        <v>#REF!</v>
      </c>
      <c r="O3675" s="19">
        <f t="shared" si="114"/>
        <v>10</v>
      </c>
      <c r="P3675" s="19">
        <f t="shared" si="115"/>
        <v>2024</v>
      </c>
      <c r="Q36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75" s="19" t="str">
        <f>TEXT(Planning[[#This Row],[Mes]]*29,"mmmm")</f>
        <v>October</v>
      </c>
      <c r="S36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75" s="208"/>
      <c r="U3675" s="43">
        <f>IF(Planning[[#This Row],[Horas Planificadas]]&lt;&gt;0,+K3675/Planning[[#This Row],[Horas Planificadas]],0)</f>
        <v>0</v>
      </c>
      <c r="V3675" s="43">
        <f>IF(Planning[[#This Row],[Horas Planificadas]]&lt;&gt;0,Planning[[#This Row],[Horas utilizadas]]/Planning[[#This Row],[Horas Planificadas]],0)</f>
        <v>0</v>
      </c>
      <c r="W3675" s="44">
        <f>Planning[[#This Row],[Horas Planificadas]]+Planning[[#This Row],[Horas ajustadas adicionales]]</f>
        <v>0</v>
      </c>
      <c r="X3675" s="142"/>
    </row>
    <row r="3676" spans="1:24" x14ac:dyDescent="0.2">
      <c r="A3676" s="7" t="s">
        <v>483</v>
      </c>
      <c r="B3676" s="7" t="s">
        <v>288</v>
      </c>
      <c r="C3676" s="3"/>
      <c r="D3676" s="3" t="s">
        <v>660</v>
      </c>
      <c r="E3676" s="4"/>
      <c r="F3676" s="3" t="s">
        <v>127</v>
      </c>
      <c r="G3676" s="9"/>
      <c r="H3676" s="9"/>
      <c r="I3676" s="12"/>
      <c r="J3676" s="5" t="e">
        <f>SUM(SUMIFS(#REF!,#REF!,Planning[[#This Row],[Tipo de Tarea y especialidad]],#REF!,Planning[[#This Row],[Proyectos Reiwa]]),SUMIFS(#REF!,#REF!,Planning[[#This Row],[Tipo de Tarea y especialidad]],#REF!,Planning[[#This Row],[Proyectos]]))</f>
        <v>#REF!</v>
      </c>
      <c r="K3676" s="5" t="e">
        <f>+Planning[[#This Row],[Horas Planificadas]]+Planning[[#This Row],[Horas ajustadas adicionales]]-Planning[[#This Row],[Horas utilizadas]]</f>
        <v>#REF!</v>
      </c>
      <c r="L3676" s="7"/>
      <c r="M3676" s="19" t="e">
        <f>Planning[[#This Row],[Saldo]]-Planning[[#This Row],[Saldo estimado]]</f>
        <v>#REF!</v>
      </c>
      <c r="N3676" s="60" t="e">
        <f>+SUMIFS(#REF!,#REF!,Planning[[#This Row],[Proyectos]],#REF!,Planning[[#This Row],[Tipo de Tarea y especialidad]])</f>
        <v>#REF!</v>
      </c>
      <c r="O3676" s="19">
        <f t="shared" si="114"/>
        <v>10</v>
      </c>
      <c r="P3676" s="19">
        <f t="shared" si="115"/>
        <v>2024</v>
      </c>
      <c r="Q36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76" s="19" t="str">
        <f>TEXT(Planning[[#This Row],[Mes]]*29,"mmmm")</f>
        <v>October</v>
      </c>
      <c r="S36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76" s="208"/>
      <c r="U3676" s="43">
        <f>IF(Planning[[#This Row],[Horas Planificadas]]&lt;&gt;0,+K3676/Planning[[#This Row],[Horas Planificadas]],0)</f>
        <v>0</v>
      </c>
      <c r="V3676" s="43">
        <f>IF(Planning[[#This Row],[Horas Planificadas]]&lt;&gt;0,Planning[[#This Row],[Horas utilizadas]]/Planning[[#This Row],[Horas Planificadas]],0)</f>
        <v>0</v>
      </c>
      <c r="W3676" s="44">
        <f>Planning[[#This Row],[Horas Planificadas]]+Planning[[#This Row],[Horas ajustadas adicionales]]</f>
        <v>0</v>
      </c>
      <c r="X3676" s="142"/>
    </row>
    <row r="3677" spans="1:24" x14ac:dyDescent="0.2">
      <c r="A3677" s="7" t="s">
        <v>483</v>
      </c>
      <c r="B3677" s="7" t="s">
        <v>288</v>
      </c>
      <c r="C3677" s="3"/>
      <c r="D3677" s="3" t="s">
        <v>660</v>
      </c>
      <c r="E3677" s="4"/>
      <c r="F3677" s="3" t="s">
        <v>128</v>
      </c>
      <c r="G3677" s="9"/>
      <c r="H3677" s="9"/>
      <c r="I3677" s="12"/>
      <c r="J3677" s="5" t="e">
        <f>SUM(SUMIFS(#REF!,#REF!,Planning[[#This Row],[Tipo de Tarea y especialidad]],#REF!,Planning[[#This Row],[Proyectos Reiwa]]),SUMIFS(#REF!,#REF!,Planning[[#This Row],[Tipo de Tarea y especialidad]],#REF!,Planning[[#This Row],[Proyectos]]))</f>
        <v>#REF!</v>
      </c>
      <c r="K3677" s="5" t="e">
        <f>+Planning[[#This Row],[Horas Planificadas]]+Planning[[#This Row],[Horas ajustadas adicionales]]-Planning[[#This Row],[Horas utilizadas]]</f>
        <v>#REF!</v>
      </c>
      <c r="L3677" s="7">
        <v>0</v>
      </c>
      <c r="M3677" s="19" t="e">
        <f>Planning[[#This Row],[Saldo]]-Planning[[#This Row],[Saldo estimado]]</f>
        <v>#REF!</v>
      </c>
      <c r="N3677" s="60" t="e">
        <f>+SUMIFS(#REF!,#REF!,Planning[[#This Row],[Proyectos]],#REF!,Planning[[#This Row],[Tipo de Tarea y especialidad]])</f>
        <v>#REF!</v>
      </c>
      <c r="O3677" s="19">
        <f t="shared" si="114"/>
        <v>10</v>
      </c>
      <c r="P3677" s="19">
        <f t="shared" si="115"/>
        <v>2024</v>
      </c>
      <c r="Q36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77" s="19" t="str">
        <f>TEXT(Planning[[#This Row],[Mes]]*29,"mmmm")</f>
        <v>October</v>
      </c>
      <c r="S36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77" s="208"/>
      <c r="U3677" s="43">
        <f>IF(Planning[[#This Row],[Horas Planificadas]]&lt;&gt;0,+K3677/Planning[[#This Row],[Horas Planificadas]],0)</f>
        <v>0</v>
      </c>
      <c r="V3677" s="43">
        <f>IF(Planning[[#This Row],[Horas Planificadas]]&lt;&gt;0,Planning[[#This Row],[Horas utilizadas]]/Planning[[#This Row],[Horas Planificadas]],0)</f>
        <v>0</v>
      </c>
      <c r="W3677" s="44">
        <f>Planning[[#This Row],[Horas Planificadas]]+Planning[[#This Row],[Horas ajustadas adicionales]]</f>
        <v>0</v>
      </c>
      <c r="X3677" s="142"/>
    </row>
    <row r="3678" spans="1:24" x14ac:dyDescent="0.2">
      <c r="A3678" s="7" t="s">
        <v>483</v>
      </c>
      <c r="B3678" s="7" t="s">
        <v>288</v>
      </c>
      <c r="C3678" s="3"/>
      <c r="D3678" s="3" t="s">
        <v>660</v>
      </c>
      <c r="E3678" s="4" t="s">
        <v>31</v>
      </c>
      <c r="F3678" s="3" t="s">
        <v>31</v>
      </c>
      <c r="G3678" s="9">
        <v>18</v>
      </c>
      <c r="H3678" s="17">
        <f>Planning[[#This Row],[Horas Precálculo]]</f>
        <v>18</v>
      </c>
      <c r="I3678" s="18"/>
      <c r="J3678" s="14" t="e">
        <f>+SUMIFS(#REF!,#REF!,Planning[[#This Row],[Tarifa]],#REF!,Planning[[#This Row],[Proyectos]])</f>
        <v>#REF!</v>
      </c>
      <c r="K3678" s="14" t="e">
        <f>+Planning[[#This Row],[Horas Planificadas]]+Planning[[#This Row],[Horas ajustadas adicionales]]-Planning[[#This Row],[Horas utilizadas]]</f>
        <v>#REF!</v>
      </c>
      <c r="L3678" s="15">
        <v>0</v>
      </c>
      <c r="M3678" s="16" t="e">
        <f>Planning[[#This Row],[Saldo]]-Planning[[#This Row],[Saldo estimado]]</f>
        <v>#REF!</v>
      </c>
      <c r="N3678" s="60" t="e">
        <f>+SUMIFS(#REF!,#REF!,Planning[[#This Row],[Proyectos]],#REF!,Planning[[#This Row],[Tipo de Tarea y especialidad]])</f>
        <v>#REF!</v>
      </c>
      <c r="O3678" s="16">
        <f t="shared" si="114"/>
        <v>10</v>
      </c>
      <c r="P3678" s="16">
        <f t="shared" si="115"/>
        <v>2024</v>
      </c>
      <c r="Q3678" s="16" t="e">
        <f>+SUMIFS(#REF!,#REF!,Planning[[#This Row],[Tarifa]],#REF!,Planning[[#This Row],[Proyectos]],#REF!,Planning[[#This Row],[Mes]],#REF!,Planning[[#This Row],[Año]])</f>
        <v>#REF!</v>
      </c>
      <c r="R3678" s="16" t="str">
        <f>TEXT(Planning[[#This Row],[Mes]]*29,"mmmm")</f>
        <v>October</v>
      </c>
      <c r="S36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78" s="208"/>
      <c r="U3678" s="43" t="e">
        <f>IF(Planning[[#This Row],[Horas Planificadas]]&lt;&gt;0,+K3678/Planning[[#This Row],[Horas Planificadas]],0)</f>
        <v>#REF!</v>
      </c>
      <c r="V3678" s="43" t="e">
        <f>IF(Planning[[#This Row],[Horas Planificadas]]&lt;&gt;0,Planning[[#This Row],[Horas utilizadas]]/Planning[[#This Row],[Horas Planificadas]],0)</f>
        <v>#REF!</v>
      </c>
      <c r="W3678" s="44">
        <f>Planning[[#This Row],[Horas Planificadas]]+Planning[[#This Row],[Horas ajustadas adicionales]]</f>
        <v>18</v>
      </c>
      <c r="X3678" s="142"/>
    </row>
    <row r="3679" spans="1:24" ht="22.5" x14ac:dyDescent="0.2">
      <c r="A3679" s="7" t="s">
        <v>483</v>
      </c>
      <c r="B3679" s="7" t="s">
        <v>288</v>
      </c>
      <c r="C3679" s="3"/>
      <c r="D3679" s="3" t="s">
        <v>660</v>
      </c>
      <c r="E3679" s="4" t="s">
        <v>32</v>
      </c>
      <c r="F3679" s="3"/>
      <c r="G3679" s="9">
        <v>80</v>
      </c>
      <c r="H3679" s="14">
        <f>SUM(H3680:H3682)</f>
        <v>80</v>
      </c>
      <c r="I3679" s="14"/>
      <c r="J3679" s="14" t="e">
        <f>SUM(J3680:J3682)</f>
        <v>#REF!</v>
      </c>
      <c r="K3679" s="14" t="e">
        <f>+Planning[[#This Row],[Horas Planificadas]]+Planning[[#This Row],[Horas ajustadas adicionales]]-Planning[[#This Row],[Horas utilizadas]]</f>
        <v>#REF!</v>
      </c>
      <c r="L3679" s="15">
        <f>SUM(L3680:L3682)</f>
        <v>0</v>
      </c>
      <c r="M3679" s="16" t="e">
        <f>SUM(M3680:M3682)</f>
        <v>#REF!</v>
      </c>
      <c r="N3679" s="60" t="e">
        <f>+SUMIFS(#REF!,#REF!,Planning[[#This Row],[Proyectos]],#REF!,Planning[[#This Row],[Tipo de Tarea y especialidad]])</f>
        <v>#REF!</v>
      </c>
      <c r="O3679" s="16">
        <f t="shared" si="114"/>
        <v>10</v>
      </c>
      <c r="P3679" s="16">
        <f t="shared" si="115"/>
        <v>2024</v>
      </c>
      <c r="Q3679" s="16" t="e">
        <f>SUM(Q3680:Q3682)</f>
        <v>#REF!</v>
      </c>
      <c r="R3679" s="16" t="str">
        <f>TEXT(Planning[[#This Row],[Mes]]*29,"mmmm")</f>
        <v>October</v>
      </c>
      <c r="S36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79" s="208"/>
      <c r="U3679" s="43" t="e">
        <f>IF(Planning[[#This Row],[Horas Planificadas]]&lt;&gt;0,+K3679/Planning[[#This Row],[Horas Planificadas]],0)</f>
        <v>#REF!</v>
      </c>
      <c r="V3679" s="43" t="e">
        <f>IF(Planning[[#This Row],[Horas Planificadas]]&lt;&gt;0,Planning[[#This Row],[Horas utilizadas]]/Planning[[#This Row],[Horas Planificadas]],0)</f>
        <v>#REF!</v>
      </c>
      <c r="W3679" s="44">
        <f>Planning[[#This Row],[Horas Planificadas]]+Planning[[#This Row],[Horas ajustadas adicionales]]</f>
        <v>80</v>
      </c>
      <c r="X3679" s="142"/>
    </row>
    <row r="3680" spans="1:24" x14ac:dyDescent="0.2">
      <c r="A3680" s="7" t="s">
        <v>483</v>
      </c>
      <c r="B3680" s="7" t="s">
        <v>288</v>
      </c>
      <c r="C3680" s="3"/>
      <c r="D3680" s="3" t="s">
        <v>660</v>
      </c>
      <c r="E3680" s="4"/>
      <c r="F3680" s="3" t="s">
        <v>129</v>
      </c>
      <c r="G3680" s="9"/>
      <c r="H3680" s="9"/>
      <c r="I3680" s="12"/>
      <c r="J3680" s="5" t="e">
        <f>SUM(SUMIFS(#REF!,#REF!,Planning[[#This Row],[Tipo de Tarea y especialidad]],#REF!,Planning[[#This Row],[Proyectos Reiwa]]),SUMIFS(#REF!,#REF!,Planning[[#This Row],[Tipo de Tarea y especialidad]],#REF!,Planning[[#This Row],[Proyectos]]))</f>
        <v>#REF!</v>
      </c>
      <c r="K3680" s="5" t="e">
        <f>+Planning[[#This Row],[Horas Planificadas]]+Planning[[#This Row],[Horas ajustadas adicionales]]-Planning[[#This Row],[Horas utilizadas]]</f>
        <v>#REF!</v>
      </c>
      <c r="L3680" s="7"/>
      <c r="M3680" s="19" t="e">
        <f>Planning[[#This Row],[Saldo]]-Planning[[#This Row],[Saldo estimado]]</f>
        <v>#REF!</v>
      </c>
      <c r="N3680" s="60" t="e">
        <f>+SUMIFS(#REF!,#REF!,Planning[[#This Row],[Proyectos]],#REF!,Planning[[#This Row],[Tipo de Tarea y especialidad]])</f>
        <v>#REF!</v>
      </c>
      <c r="O3680" s="19">
        <f t="shared" si="114"/>
        <v>10</v>
      </c>
      <c r="P3680" s="19">
        <f t="shared" si="115"/>
        <v>2024</v>
      </c>
      <c r="Q36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80" s="19" t="str">
        <f>TEXT(Planning[[#This Row],[Mes]]*29,"mmmm")</f>
        <v>October</v>
      </c>
      <c r="S36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80" s="208"/>
      <c r="U3680" s="43">
        <f>IF(Planning[[#This Row],[Horas Planificadas]]&lt;&gt;0,+K3680/Planning[[#This Row],[Horas Planificadas]],0)</f>
        <v>0</v>
      </c>
      <c r="V3680" s="43">
        <f>IF(Planning[[#This Row],[Horas Planificadas]]&lt;&gt;0,Planning[[#This Row],[Horas utilizadas]]/Planning[[#This Row],[Horas Planificadas]],0)</f>
        <v>0</v>
      </c>
      <c r="W3680" s="44">
        <f>Planning[[#This Row],[Horas Planificadas]]+Planning[[#This Row],[Horas ajustadas adicionales]]</f>
        <v>0</v>
      </c>
      <c r="X3680" s="142"/>
    </row>
    <row r="3681" spans="1:24" x14ac:dyDescent="0.2">
      <c r="A3681" s="7" t="s">
        <v>483</v>
      </c>
      <c r="B3681" s="7" t="s">
        <v>288</v>
      </c>
      <c r="C3681" s="3"/>
      <c r="D3681" s="3" t="s">
        <v>660</v>
      </c>
      <c r="E3681" s="4"/>
      <c r="F3681" s="3" t="s">
        <v>130</v>
      </c>
      <c r="G3681" s="9"/>
      <c r="H3681" s="9"/>
      <c r="I3681" s="12"/>
      <c r="J3681" s="5" t="e">
        <f>SUM(SUMIFS(#REF!,#REF!,Planning[[#This Row],[Tipo de Tarea y especialidad]],#REF!,Planning[[#This Row],[Proyectos Reiwa]]),SUMIFS(#REF!,#REF!,Planning[[#This Row],[Tipo de Tarea y especialidad]],#REF!,Planning[[#This Row],[Proyectos]]))</f>
        <v>#REF!</v>
      </c>
      <c r="K3681" s="5" t="e">
        <f>+Planning[[#This Row],[Horas Planificadas]]+Planning[[#This Row],[Horas ajustadas adicionales]]-Planning[[#This Row],[Horas utilizadas]]</f>
        <v>#REF!</v>
      </c>
      <c r="L3681" s="7"/>
      <c r="M3681" s="19" t="e">
        <f>Planning[[#This Row],[Saldo]]-Planning[[#This Row],[Saldo estimado]]</f>
        <v>#REF!</v>
      </c>
      <c r="N3681" s="60" t="e">
        <f>+SUMIFS(#REF!,#REF!,Planning[[#This Row],[Proyectos]],#REF!,Planning[[#This Row],[Tipo de Tarea y especialidad]])</f>
        <v>#REF!</v>
      </c>
      <c r="O3681" s="19">
        <f t="shared" si="114"/>
        <v>10</v>
      </c>
      <c r="P3681" s="19">
        <f t="shared" si="115"/>
        <v>2024</v>
      </c>
      <c r="Q36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81" s="19" t="str">
        <f>TEXT(Planning[[#This Row],[Mes]]*29,"mmmm")</f>
        <v>October</v>
      </c>
      <c r="S36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81" s="208"/>
      <c r="U3681" s="43">
        <f>IF(Planning[[#This Row],[Horas Planificadas]]&lt;&gt;0,+K3681/Planning[[#This Row],[Horas Planificadas]],0)</f>
        <v>0</v>
      </c>
      <c r="V3681" s="43">
        <f>IF(Planning[[#This Row],[Horas Planificadas]]&lt;&gt;0,Planning[[#This Row],[Horas utilizadas]]/Planning[[#This Row],[Horas Planificadas]],0)</f>
        <v>0</v>
      </c>
      <c r="W3681" s="44">
        <f>Planning[[#This Row],[Horas Planificadas]]+Planning[[#This Row],[Horas ajustadas adicionales]]</f>
        <v>0</v>
      </c>
      <c r="X3681" s="142"/>
    </row>
    <row r="3682" spans="1:24" x14ac:dyDescent="0.2">
      <c r="A3682" s="7" t="s">
        <v>483</v>
      </c>
      <c r="B3682" s="7" t="s">
        <v>288</v>
      </c>
      <c r="C3682" s="3"/>
      <c r="D3682" s="3" t="s">
        <v>660</v>
      </c>
      <c r="E3682" s="4"/>
      <c r="F3682" s="3" t="s">
        <v>131</v>
      </c>
      <c r="G3682" s="9"/>
      <c r="H3682" s="9">
        <v>80</v>
      </c>
      <c r="I3682" s="12"/>
      <c r="J3682" s="5" t="e">
        <f>SUM(SUMIFS(#REF!,#REF!,Planning[[#This Row],[Tipo de Tarea y especialidad]],#REF!,Planning[[#This Row],[Proyectos Reiwa]]),SUMIFS(#REF!,#REF!,Planning[[#This Row],[Tipo de Tarea y especialidad]],#REF!,Planning[[#This Row],[Proyectos]]))</f>
        <v>#REF!</v>
      </c>
      <c r="K3682" s="5" t="e">
        <f>+Planning[[#This Row],[Horas Planificadas]]+Planning[[#This Row],[Horas ajustadas adicionales]]-Planning[[#This Row],[Horas utilizadas]]</f>
        <v>#REF!</v>
      </c>
      <c r="L3682" s="7"/>
      <c r="M3682" s="19" t="e">
        <f>Planning[[#This Row],[Saldo]]-Planning[[#This Row],[Saldo estimado]]</f>
        <v>#REF!</v>
      </c>
      <c r="N3682" s="60" t="e">
        <f>+SUMIFS(#REF!,#REF!,Planning[[#This Row],[Proyectos]],#REF!,Planning[[#This Row],[Tipo de Tarea y especialidad]])</f>
        <v>#REF!</v>
      </c>
      <c r="O3682" s="19">
        <f t="shared" si="114"/>
        <v>10</v>
      </c>
      <c r="P3682" s="19">
        <f t="shared" si="115"/>
        <v>2024</v>
      </c>
      <c r="Q36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82" s="19" t="str">
        <f>TEXT(Planning[[#This Row],[Mes]]*29,"mmmm")</f>
        <v>October</v>
      </c>
      <c r="S36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82" s="208"/>
      <c r="U3682" s="43" t="e">
        <f>IF(Planning[[#This Row],[Horas Planificadas]]&lt;&gt;0,+K3682/Planning[[#This Row],[Horas Planificadas]],0)</f>
        <v>#REF!</v>
      </c>
      <c r="V3682" s="43" t="e">
        <f>IF(Planning[[#This Row],[Horas Planificadas]]&lt;&gt;0,Planning[[#This Row],[Horas utilizadas]]/Planning[[#This Row],[Horas Planificadas]],0)</f>
        <v>#REF!</v>
      </c>
      <c r="W3682" s="44">
        <f>Planning[[#This Row],[Horas Planificadas]]+Planning[[#This Row],[Horas ajustadas adicionales]]</f>
        <v>80</v>
      </c>
      <c r="X3682" s="142"/>
    </row>
    <row r="3683" spans="1:24" ht="12.75" customHeight="1" x14ac:dyDescent="0.2">
      <c r="A3683" s="7" t="s">
        <v>435</v>
      </c>
      <c r="B3683" s="7" t="s">
        <v>169</v>
      </c>
      <c r="C3683" s="3"/>
      <c r="D3683" s="3" t="s">
        <v>662</v>
      </c>
      <c r="E3683" s="4" t="s">
        <v>28</v>
      </c>
      <c r="F3683" s="3"/>
      <c r="G3683" s="9">
        <v>330</v>
      </c>
      <c r="H3683" s="14">
        <f>SUM(H3684:H3685)</f>
        <v>330</v>
      </c>
      <c r="I3683" s="14"/>
      <c r="J3683" s="14" t="e">
        <f>SUM(J3684:J3685)</f>
        <v>#REF!</v>
      </c>
      <c r="K3683" s="14" t="e">
        <f>+Planning[[#This Row],[Horas Planificadas]]+Planning[[#This Row],[Horas ajustadas adicionales]]-Planning[[#This Row],[Horas utilizadas]]</f>
        <v>#REF!</v>
      </c>
      <c r="L3683" s="15">
        <f>SUM(L3684:L3685)</f>
        <v>0</v>
      </c>
      <c r="M3683" s="14" t="e">
        <f>SUM(M3684:M3685)</f>
        <v>#REF!</v>
      </c>
      <c r="N3683" s="66" t="e">
        <f>+SUMIFS(#REF!,#REF!,Planning[[#This Row],[Proyectos]],#REF!,Planning[[#This Row],[Tipo de Tarea y especialidad]])</f>
        <v>#REF!</v>
      </c>
      <c r="O3683" s="14">
        <f t="shared" si="114"/>
        <v>10</v>
      </c>
      <c r="P3683" s="14">
        <f t="shared" si="115"/>
        <v>2024</v>
      </c>
      <c r="Q3683" s="28" t="e">
        <f>SUM(Q3684:Q3685)</f>
        <v>#REF!</v>
      </c>
      <c r="R3683" s="28" t="str">
        <f>TEXT(Planning[[#This Row],[Mes]]*29,"mmmm")</f>
        <v>October</v>
      </c>
      <c r="S36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83" s="192" t="s">
        <v>663</v>
      </c>
      <c r="U3683" s="43" t="e">
        <f>IF(Planning[[#This Row],[Horas Planificadas]]&lt;&gt;0,+K3683/Planning[[#This Row],[Horas Planificadas]],0)</f>
        <v>#REF!</v>
      </c>
      <c r="V3683" s="43" t="e">
        <f>IF(Planning[[#This Row],[Horas Planificadas]]&lt;&gt;0,Planning[[#This Row],[Horas utilizadas]]/Planning[[#This Row],[Horas Planificadas]],0)</f>
        <v>#REF!</v>
      </c>
      <c r="W3683" s="44">
        <f>Planning[[#This Row],[Horas Planificadas]]+Planning[[#This Row],[Horas ajustadas adicionales]]</f>
        <v>330</v>
      </c>
      <c r="X3683" s="142"/>
    </row>
    <row r="3684" spans="1:24" ht="12.75" customHeight="1" x14ac:dyDescent="0.2">
      <c r="A3684" s="7" t="s">
        <v>435</v>
      </c>
      <c r="B3684" s="7" t="s">
        <v>169</v>
      </c>
      <c r="C3684" s="3"/>
      <c r="D3684" s="3" t="s">
        <v>662</v>
      </c>
      <c r="E3684" s="4"/>
      <c r="F3684" s="3" t="s">
        <v>120</v>
      </c>
      <c r="G3684" s="9">
        <v>150</v>
      </c>
      <c r="H3684" s="9">
        <v>150</v>
      </c>
      <c r="I3684" s="12"/>
      <c r="J3684" s="5" t="e">
        <f>SUM(SUMIFS(#REF!,#REF!,Planning[[#This Row],[Tipo de Tarea y especialidad]],#REF!,Planning[[#This Row],[Proyectos Reiwa]]),SUMIFS(#REF!,#REF!,Planning[[#This Row],[Tipo de Tarea y especialidad]],#REF!,Planning[[#This Row],[Proyectos]]))</f>
        <v>#REF!</v>
      </c>
      <c r="K3684" s="5" t="e">
        <f>+Planning[[#This Row],[Horas Planificadas]]+Planning[[#This Row],[Horas ajustadas adicionales]]-Planning[[#This Row],[Horas utilizadas]]</f>
        <v>#REF!</v>
      </c>
      <c r="L3684" s="7">
        <v>0</v>
      </c>
      <c r="M3684" s="19" t="e">
        <f>Planning[[#This Row],[Saldo]]-Planning[[#This Row],[Saldo estimado]]</f>
        <v>#REF!</v>
      </c>
      <c r="N3684" s="60" t="e">
        <f>+SUMIFS(#REF!,#REF!,Planning[[#This Row],[Proyectos]],#REF!,Planning[[#This Row],[Tipo de Tarea y especialidad]])</f>
        <v>#REF!</v>
      </c>
      <c r="O3684" s="19">
        <f t="shared" si="114"/>
        <v>10</v>
      </c>
      <c r="P3684" s="19">
        <f t="shared" si="115"/>
        <v>2024</v>
      </c>
      <c r="Q36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84" s="19" t="str">
        <f>TEXT(Planning[[#This Row],[Mes]]*29,"mmmm")</f>
        <v>October</v>
      </c>
      <c r="S36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84" s="193"/>
      <c r="U3684" s="43" t="e">
        <f>IF(Planning[[#This Row],[Horas Planificadas]]&lt;&gt;0,+K3684/Planning[[#This Row],[Horas Planificadas]],0)</f>
        <v>#REF!</v>
      </c>
      <c r="V3684" s="43" t="e">
        <f>IF(Planning[[#This Row],[Horas Planificadas]]&lt;&gt;0,Planning[[#This Row],[Horas utilizadas]]/Planning[[#This Row],[Horas Planificadas]],0)</f>
        <v>#REF!</v>
      </c>
      <c r="W3684" s="44">
        <f>Planning[[#This Row],[Horas Planificadas]]+Planning[[#This Row],[Horas ajustadas adicionales]]</f>
        <v>150</v>
      </c>
      <c r="X3684" s="142"/>
    </row>
    <row r="3685" spans="1:24" ht="12.75" customHeight="1" x14ac:dyDescent="0.2">
      <c r="A3685" s="7" t="s">
        <v>435</v>
      </c>
      <c r="B3685" s="7" t="s">
        <v>169</v>
      </c>
      <c r="C3685" s="3"/>
      <c r="D3685" s="3" t="s">
        <v>662</v>
      </c>
      <c r="E3685" s="4"/>
      <c r="F3685" s="3" t="s">
        <v>121</v>
      </c>
      <c r="G3685" s="9">
        <v>180</v>
      </c>
      <c r="H3685" s="9">
        <v>180</v>
      </c>
      <c r="I3685" s="12"/>
      <c r="J3685" s="5" t="e">
        <f>SUM(SUMIFS(#REF!,#REF!,Planning[[#This Row],[Tipo de Tarea y especialidad]],#REF!,Planning[[#This Row],[Proyectos Reiwa]]),SUMIFS(#REF!,#REF!,Planning[[#This Row],[Tipo de Tarea y especialidad]],#REF!,Planning[[#This Row],[Proyectos]]))</f>
        <v>#REF!</v>
      </c>
      <c r="K3685" s="5" t="e">
        <f>+Planning[[#This Row],[Horas Planificadas]]+Planning[[#This Row],[Horas ajustadas adicionales]]-Planning[[#This Row],[Horas utilizadas]]</f>
        <v>#REF!</v>
      </c>
      <c r="L3685" s="7">
        <v>0</v>
      </c>
      <c r="M3685" s="19" t="e">
        <f>Planning[[#This Row],[Saldo]]-Planning[[#This Row],[Saldo estimado]]</f>
        <v>#REF!</v>
      </c>
      <c r="N3685" s="60" t="e">
        <f>+SUMIFS(#REF!,#REF!,Planning[[#This Row],[Proyectos]],#REF!,Planning[[#This Row],[Tipo de Tarea y especialidad]])</f>
        <v>#REF!</v>
      </c>
      <c r="O3685" s="19">
        <f t="shared" si="114"/>
        <v>10</v>
      </c>
      <c r="P3685" s="19">
        <f t="shared" si="115"/>
        <v>2024</v>
      </c>
      <c r="Q36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85" s="19" t="str">
        <f>TEXT(Planning[[#This Row],[Mes]]*29,"mmmm")</f>
        <v>October</v>
      </c>
      <c r="S36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85" s="193"/>
      <c r="U3685" s="43" t="e">
        <f>IF(Planning[[#This Row],[Horas Planificadas]]&lt;&gt;0,+K3685/Planning[[#This Row],[Horas Planificadas]],0)</f>
        <v>#REF!</v>
      </c>
      <c r="V3685" s="43" t="e">
        <f>IF(Planning[[#This Row],[Horas Planificadas]]&lt;&gt;0,Planning[[#This Row],[Horas utilizadas]]/Planning[[#This Row],[Horas Planificadas]],0)</f>
        <v>#REF!</v>
      </c>
      <c r="W3685" s="44">
        <f>Planning[[#This Row],[Horas Planificadas]]+Planning[[#This Row],[Horas ajustadas adicionales]]</f>
        <v>180</v>
      </c>
      <c r="X3685" s="142"/>
    </row>
    <row r="3686" spans="1:24" ht="12.75" customHeight="1" x14ac:dyDescent="0.2">
      <c r="A3686" s="7" t="s">
        <v>435</v>
      </c>
      <c r="B3686" s="7" t="s">
        <v>169</v>
      </c>
      <c r="C3686" s="3"/>
      <c r="D3686" s="3" t="s">
        <v>662</v>
      </c>
      <c r="E3686" s="4" t="s">
        <v>30</v>
      </c>
      <c r="F3686" s="3"/>
      <c r="G3686" s="9">
        <v>268</v>
      </c>
      <c r="H3686" s="14">
        <f>SUM(H3687:H3693)</f>
        <v>396</v>
      </c>
      <c r="I3686" s="14"/>
      <c r="J3686" s="14" t="e">
        <f>SUM(J3687:J3693)</f>
        <v>#REF!</v>
      </c>
      <c r="K3686" s="14" t="e">
        <f>+Planning[[#This Row],[Horas Planificadas]]+Planning[[#This Row],[Horas ajustadas adicionales]]-Planning[[#This Row],[Horas utilizadas]]</f>
        <v>#REF!</v>
      </c>
      <c r="L3686" s="15">
        <f>SUM(L3687:L3693)</f>
        <v>0</v>
      </c>
      <c r="M3686" s="16" t="e">
        <f>SUM(M3687:M3693)</f>
        <v>#REF!</v>
      </c>
      <c r="N3686" s="60" t="e">
        <f>+SUMIFS(#REF!,#REF!,Planning[[#This Row],[Proyectos]],#REF!,Planning[[#This Row],[Tipo de Tarea y especialidad]])</f>
        <v>#REF!</v>
      </c>
      <c r="O3686" s="16">
        <f t="shared" si="114"/>
        <v>10</v>
      </c>
      <c r="P3686" s="16">
        <f t="shared" si="115"/>
        <v>2024</v>
      </c>
      <c r="Q3686" s="16" t="e">
        <f>SUM(Q3687:Q3693)</f>
        <v>#REF!</v>
      </c>
      <c r="R3686" s="16" t="str">
        <f>TEXT(Planning[[#This Row],[Mes]]*29,"mmmm")</f>
        <v>October</v>
      </c>
      <c r="S36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86" s="193"/>
      <c r="U3686" s="43" t="e">
        <f>IF(Planning[[#This Row],[Horas Planificadas]]&lt;&gt;0,+K3686/Planning[[#This Row],[Horas Planificadas]],0)</f>
        <v>#REF!</v>
      </c>
      <c r="V3686" s="43" t="e">
        <f>IF(Planning[[#This Row],[Horas Planificadas]]&lt;&gt;0,Planning[[#This Row],[Horas utilizadas]]/Planning[[#This Row],[Horas Planificadas]],0)</f>
        <v>#REF!</v>
      </c>
      <c r="W3686" s="44">
        <f>Planning[[#This Row],[Horas Planificadas]]+Planning[[#This Row],[Horas ajustadas adicionales]]</f>
        <v>396</v>
      </c>
      <c r="X3686" s="142"/>
    </row>
    <row r="3687" spans="1:24" ht="12.75" customHeight="1" x14ac:dyDescent="0.2">
      <c r="A3687" s="7" t="s">
        <v>435</v>
      </c>
      <c r="B3687" s="7" t="s">
        <v>169</v>
      </c>
      <c r="C3687" s="3"/>
      <c r="D3687" s="3" t="s">
        <v>662</v>
      </c>
      <c r="E3687" s="4"/>
      <c r="F3687" s="3" t="s">
        <v>122</v>
      </c>
      <c r="G3687" s="9">
        <v>180</v>
      </c>
      <c r="H3687" s="9">
        <v>180</v>
      </c>
      <c r="I3687" s="12"/>
      <c r="J3687" s="5" t="e">
        <f>SUM(SUMIFS(#REF!,#REF!,Planning[[#This Row],[Tipo de Tarea y especialidad]],#REF!,Planning[[#This Row],[Proyectos Reiwa]]),SUMIFS(#REF!,#REF!,Planning[[#This Row],[Tipo de Tarea y especialidad]],#REF!,Planning[[#This Row],[Proyectos]]))</f>
        <v>#REF!</v>
      </c>
      <c r="K3687" s="5" t="e">
        <f>+Planning[[#This Row],[Horas Planificadas]]+Planning[[#This Row],[Horas ajustadas adicionales]]-Planning[[#This Row],[Horas utilizadas]]</f>
        <v>#REF!</v>
      </c>
      <c r="L3687" s="7">
        <v>0</v>
      </c>
      <c r="M3687" s="19" t="e">
        <f>Planning[[#This Row],[Saldo]]-Planning[[#This Row],[Saldo estimado]]</f>
        <v>#REF!</v>
      </c>
      <c r="N3687" s="60" t="e">
        <f>+SUMIFS(#REF!,#REF!,Planning[[#This Row],[Proyectos]],#REF!,Planning[[#This Row],[Tipo de Tarea y especialidad]])</f>
        <v>#REF!</v>
      </c>
      <c r="O3687" s="19">
        <f t="shared" si="114"/>
        <v>10</v>
      </c>
      <c r="P3687" s="19">
        <f t="shared" si="115"/>
        <v>2024</v>
      </c>
      <c r="Q36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87" s="19" t="str">
        <f>TEXT(Planning[[#This Row],[Mes]]*29,"mmmm")</f>
        <v>October</v>
      </c>
      <c r="S36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87" s="193"/>
      <c r="U3687" s="43" t="e">
        <f>IF(Planning[[#This Row],[Horas Planificadas]]&lt;&gt;0,+K3687/Planning[[#This Row],[Horas Planificadas]],0)</f>
        <v>#REF!</v>
      </c>
      <c r="V3687" s="43" t="e">
        <f>IF(Planning[[#This Row],[Horas Planificadas]]&lt;&gt;0,Planning[[#This Row],[Horas utilizadas]]/Planning[[#This Row],[Horas Planificadas]],0)</f>
        <v>#REF!</v>
      </c>
      <c r="W3687" s="44">
        <f>Planning[[#This Row],[Horas Planificadas]]+Planning[[#This Row],[Horas ajustadas adicionales]]</f>
        <v>180</v>
      </c>
      <c r="X3687" s="142"/>
    </row>
    <row r="3688" spans="1:24" ht="12.75" customHeight="1" x14ac:dyDescent="0.2">
      <c r="A3688" s="7" t="s">
        <v>435</v>
      </c>
      <c r="B3688" s="7" t="s">
        <v>169</v>
      </c>
      <c r="C3688" s="3"/>
      <c r="D3688" s="3" t="s">
        <v>662</v>
      </c>
      <c r="E3688" s="4"/>
      <c r="F3688" s="3" t="s">
        <v>123</v>
      </c>
      <c r="G3688" s="9"/>
      <c r="H3688" s="9"/>
      <c r="I3688" s="12"/>
      <c r="J3688" s="5" t="e">
        <f>SUM(SUMIFS(#REF!,#REF!,Planning[[#This Row],[Tipo de Tarea y especialidad]],#REF!,Planning[[#This Row],[Proyectos Reiwa]]),SUMIFS(#REF!,#REF!,Planning[[#This Row],[Tipo de Tarea y especialidad]],#REF!,Planning[[#This Row],[Proyectos]]))</f>
        <v>#REF!</v>
      </c>
      <c r="K3688" s="5" t="e">
        <f>+Planning[[#This Row],[Horas Planificadas]]+Planning[[#This Row],[Horas ajustadas adicionales]]-Planning[[#This Row],[Horas utilizadas]]</f>
        <v>#REF!</v>
      </c>
      <c r="L3688" s="7">
        <v>0</v>
      </c>
      <c r="M3688" s="19" t="e">
        <f>Planning[[#This Row],[Saldo]]-Planning[[#This Row],[Saldo estimado]]</f>
        <v>#REF!</v>
      </c>
      <c r="N3688" s="60" t="e">
        <f>+SUMIFS(#REF!,#REF!,Planning[[#This Row],[Proyectos]],#REF!,Planning[[#This Row],[Tipo de Tarea y especialidad]])</f>
        <v>#REF!</v>
      </c>
      <c r="O3688" s="19">
        <f t="shared" si="114"/>
        <v>10</v>
      </c>
      <c r="P3688" s="19">
        <f t="shared" si="115"/>
        <v>2024</v>
      </c>
      <c r="Q36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88" s="19" t="str">
        <f>TEXT(Planning[[#This Row],[Mes]]*29,"mmmm")</f>
        <v>October</v>
      </c>
      <c r="S36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88" s="193"/>
      <c r="U3688" s="43">
        <f>IF(Planning[[#This Row],[Horas Planificadas]]&lt;&gt;0,+K3688/Planning[[#This Row],[Horas Planificadas]],0)</f>
        <v>0</v>
      </c>
      <c r="V3688" s="43">
        <f>IF(Planning[[#This Row],[Horas Planificadas]]&lt;&gt;0,Planning[[#This Row],[Horas utilizadas]]/Planning[[#This Row],[Horas Planificadas]],0)</f>
        <v>0</v>
      </c>
      <c r="W3688" s="44">
        <f>Planning[[#This Row],[Horas Planificadas]]+Planning[[#This Row],[Horas ajustadas adicionales]]</f>
        <v>0</v>
      </c>
      <c r="X3688" s="142"/>
    </row>
    <row r="3689" spans="1:24" ht="12.75" customHeight="1" x14ac:dyDescent="0.2">
      <c r="A3689" s="7" t="s">
        <v>435</v>
      </c>
      <c r="B3689" s="7" t="s">
        <v>169</v>
      </c>
      <c r="C3689" s="3"/>
      <c r="D3689" s="3" t="s">
        <v>662</v>
      </c>
      <c r="E3689" s="4"/>
      <c r="F3689" s="3" t="s">
        <v>124</v>
      </c>
      <c r="G3689" s="9"/>
      <c r="H3689" s="9"/>
      <c r="I3689" s="12"/>
      <c r="J3689" s="5" t="e">
        <f>SUM(SUMIFS(#REF!,#REF!,Planning[[#This Row],[Tipo de Tarea y especialidad]],#REF!,Planning[[#This Row],[Proyectos Reiwa]]),SUMIFS(#REF!,#REF!,Planning[[#This Row],[Tipo de Tarea y especialidad]],#REF!,Planning[[#This Row],[Proyectos]]))</f>
        <v>#REF!</v>
      </c>
      <c r="K3689" s="5" t="e">
        <f>+Planning[[#This Row],[Horas Planificadas]]+Planning[[#This Row],[Horas ajustadas adicionales]]-Planning[[#This Row],[Horas utilizadas]]</f>
        <v>#REF!</v>
      </c>
      <c r="L3689" s="7">
        <v>0</v>
      </c>
      <c r="M3689" s="19" t="e">
        <f>Planning[[#This Row],[Saldo]]-Planning[[#This Row],[Saldo estimado]]</f>
        <v>#REF!</v>
      </c>
      <c r="N3689" s="60" t="e">
        <f>+SUMIFS(#REF!,#REF!,Planning[[#This Row],[Proyectos]],#REF!,Planning[[#This Row],[Tipo de Tarea y especialidad]])</f>
        <v>#REF!</v>
      </c>
      <c r="O3689" s="19">
        <f t="shared" si="114"/>
        <v>10</v>
      </c>
      <c r="P3689" s="19">
        <f t="shared" si="115"/>
        <v>2024</v>
      </c>
      <c r="Q36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89" s="19" t="str">
        <f>TEXT(Planning[[#This Row],[Mes]]*29,"mmmm")</f>
        <v>October</v>
      </c>
      <c r="S36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89" s="193"/>
      <c r="U3689" s="43">
        <f>IF(Planning[[#This Row],[Horas Planificadas]]&lt;&gt;0,+K3689/Planning[[#This Row],[Horas Planificadas]],0)</f>
        <v>0</v>
      </c>
      <c r="V3689" s="43">
        <f>IF(Planning[[#This Row],[Horas Planificadas]]&lt;&gt;0,Planning[[#This Row],[Horas utilizadas]]/Planning[[#This Row],[Horas Planificadas]],0)</f>
        <v>0</v>
      </c>
      <c r="W3689" s="44">
        <f>Planning[[#This Row],[Horas Planificadas]]+Planning[[#This Row],[Horas ajustadas adicionales]]</f>
        <v>0</v>
      </c>
      <c r="X3689" s="142"/>
    </row>
    <row r="3690" spans="1:24" ht="12.75" customHeight="1" x14ac:dyDescent="0.2">
      <c r="A3690" s="7" t="s">
        <v>435</v>
      </c>
      <c r="B3690" s="7" t="s">
        <v>169</v>
      </c>
      <c r="C3690" s="3"/>
      <c r="D3690" s="3" t="s">
        <v>662</v>
      </c>
      <c r="E3690" s="4"/>
      <c r="F3690" s="3" t="s">
        <v>125</v>
      </c>
      <c r="G3690" s="9"/>
      <c r="H3690" s="9">
        <f>90+17+21</f>
        <v>128</v>
      </c>
      <c r="I3690" s="12"/>
      <c r="J3690" s="5" t="e">
        <f>SUM(SUMIFS(#REF!,#REF!,Planning[[#This Row],[Tipo de Tarea y especialidad]],#REF!,Planning[[#This Row],[Proyectos Reiwa]]),SUMIFS(#REF!,#REF!,Planning[[#This Row],[Tipo de Tarea y especialidad]],#REF!,Planning[[#This Row],[Proyectos]]))</f>
        <v>#REF!</v>
      </c>
      <c r="K3690" s="5" t="e">
        <f>+Planning[[#This Row],[Horas Planificadas]]+Planning[[#This Row],[Horas ajustadas adicionales]]-Planning[[#This Row],[Horas utilizadas]]</f>
        <v>#REF!</v>
      </c>
      <c r="L3690" s="7">
        <v>0</v>
      </c>
      <c r="M3690" s="19" t="e">
        <f>Planning[[#This Row],[Saldo]]-Planning[[#This Row],[Saldo estimado]]</f>
        <v>#REF!</v>
      </c>
      <c r="N3690" s="60" t="e">
        <f>+SUMIFS(#REF!,#REF!,Planning[[#This Row],[Proyectos]],#REF!,Planning[[#This Row],[Tipo de Tarea y especialidad]])</f>
        <v>#REF!</v>
      </c>
      <c r="O3690" s="19">
        <f t="shared" si="114"/>
        <v>10</v>
      </c>
      <c r="P3690" s="19">
        <f t="shared" si="115"/>
        <v>2024</v>
      </c>
      <c r="Q36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90" s="19" t="str">
        <f>TEXT(Planning[[#This Row],[Mes]]*29,"mmmm")</f>
        <v>October</v>
      </c>
      <c r="S36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90" s="193"/>
      <c r="U3690" s="43" t="e">
        <f>IF(Planning[[#This Row],[Horas Planificadas]]&lt;&gt;0,+K3690/Planning[[#This Row],[Horas Planificadas]],0)</f>
        <v>#REF!</v>
      </c>
      <c r="V3690" s="43" t="e">
        <f>IF(Planning[[#This Row],[Horas Planificadas]]&lt;&gt;0,Planning[[#This Row],[Horas utilizadas]]/Planning[[#This Row],[Horas Planificadas]],0)</f>
        <v>#REF!</v>
      </c>
      <c r="W3690" s="44">
        <f>Planning[[#This Row],[Horas Planificadas]]+Planning[[#This Row],[Horas ajustadas adicionales]]</f>
        <v>128</v>
      </c>
      <c r="X3690" s="142"/>
    </row>
    <row r="3691" spans="1:24" ht="12.75" customHeight="1" x14ac:dyDescent="0.2">
      <c r="A3691" s="7" t="s">
        <v>435</v>
      </c>
      <c r="B3691" s="7" t="s">
        <v>169</v>
      </c>
      <c r="C3691" s="3"/>
      <c r="D3691" s="3" t="s">
        <v>662</v>
      </c>
      <c r="E3691" s="4"/>
      <c r="F3691" s="3" t="s">
        <v>126</v>
      </c>
      <c r="G3691" s="9">
        <v>88</v>
      </c>
      <c r="H3691" s="9">
        <v>88</v>
      </c>
      <c r="I3691" s="12"/>
      <c r="J3691" s="5" t="e">
        <f>SUM(SUMIFS(#REF!,#REF!,Planning[[#This Row],[Tipo de Tarea y especialidad]],#REF!,Planning[[#This Row],[Proyectos Reiwa]]),SUMIFS(#REF!,#REF!,Planning[[#This Row],[Tipo de Tarea y especialidad]],#REF!,Planning[[#This Row],[Proyectos]]))</f>
        <v>#REF!</v>
      </c>
      <c r="K3691" s="5" t="e">
        <f>+Planning[[#This Row],[Horas Planificadas]]+Planning[[#This Row],[Horas ajustadas adicionales]]-Planning[[#This Row],[Horas utilizadas]]</f>
        <v>#REF!</v>
      </c>
      <c r="L3691" s="7">
        <v>0</v>
      </c>
      <c r="M3691" s="19" t="e">
        <f>Planning[[#This Row],[Saldo]]-Planning[[#This Row],[Saldo estimado]]</f>
        <v>#REF!</v>
      </c>
      <c r="N3691" s="60" t="e">
        <f>+SUMIFS(#REF!,#REF!,Planning[[#This Row],[Proyectos]],#REF!,Planning[[#This Row],[Tipo de Tarea y especialidad]])</f>
        <v>#REF!</v>
      </c>
      <c r="O3691" s="19">
        <f t="shared" si="114"/>
        <v>10</v>
      </c>
      <c r="P3691" s="19">
        <f t="shared" si="115"/>
        <v>2024</v>
      </c>
      <c r="Q36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91" s="19" t="str">
        <f>TEXT(Planning[[#This Row],[Mes]]*29,"mmmm")</f>
        <v>October</v>
      </c>
      <c r="S36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91" s="193"/>
      <c r="U3691" s="43" t="e">
        <f>IF(Planning[[#This Row],[Horas Planificadas]]&lt;&gt;0,+K3691/Planning[[#This Row],[Horas Planificadas]],0)</f>
        <v>#REF!</v>
      </c>
      <c r="V3691" s="43" t="e">
        <f>IF(Planning[[#This Row],[Horas Planificadas]]&lt;&gt;0,Planning[[#This Row],[Horas utilizadas]]/Planning[[#This Row],[Horas Planificadas]],0)</f>
        <v>#REF!</v>
      </c>
      <c r="W3691" s="44">
        <f>Planning[[#This Row],[Horas Planificadas]]+Planning[[#This Row],[Horas ajustadas adicionales]]</f>
        <v>88</v>
      </c>
      <c r="X3691" s="142"/>
    </row>
    <row r="3692" spans="1:24" ht="12.75" customHeight="1" x14ac:dyDescent="0.2">
      <c r="A3692" s="7" t="s">
        <v>435</v>
      </c>
      <c r="B3692" s="7" t="s">
        <v>169</v>
      </c>
      <c r="C3692" s="3"/>
      <c r="D3692" s="3" t="s">
        <v>662</v>
      </c>
      <c r="E3692" s="4"/>
      <c r="F3692" s="3" t="s">
        <v>127</v>
      </c>
      <c r="G3692" s="9"/>
      <c r="H3692" s="9"/>
      <c r="I3692" s="12"/>
      <c r="J3692" s="5" t="e">
        <f>SUM(SUMIFS(#REF!,#REF!,Planning[[#This Row],[Tipo de Tarea y especialidad]],#REF!,Planning[[#This Row],[Proyectos Reiwa]]),SUMIFS(#REF!,#REF!,Planning[[#This Row],[Tipo de Tarea y especialidad]],#REF!,Planning[[#This Row],[Proyectos]]))</f>
        <v>#REF!</v>
      </c>
      <c r="K3692" s="5" t="e">
        <f>+Planning[[#This Row],[Horas Planificadas]]+Planning[[#This Row],[Horas ajustadas adicionales]]-Planning[[#This Row],[Horas utilizadas]]</f>
        <v>#REF!</v>
      </c>
      <c r="L3692" s="7">
        <v>0</v>
      </c>
      <c r="M3692" s="19" t="e">
        <f>Planning[[#This Row],[Saldo]]-Planning[[#This Row],[Saldo estimado]]</f>
        <v>#REF!</v>
      </c>
      <c r="N3692" s="60" t="e">
        <f>+SUMIFS(#REF!,#REF!,Planning[[#This Row],[Proyectos]],#REF!,Planning[[#This Row],[Tipo de Tarea y especialidad]])</f>
        <v>#REF!</v>
      </c>
      <c r="O3692" s="19">
        <f t="shared" si="114"/>
        <v>10</v>
      </c>
      <c r="P3692" s="19">
        <f t="shared" si="115"/>
        <v>2024</v>
      </c>
      <c r="Q36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92" s="19" t="str">
        <f>TEXT(Planning[[#This Row],[Mes]]*29,"mmmm")</f>
        <v>October</v>
      </c>
      <c r="S36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92" s="193"/>
      <c r="U3692" s="43">
        <f>IF(Planning[[#This Row],[Horas Planificadas]]&lt;&gt;0,+K3692/Planning[[#This Row],[Horas Planificadas]],0)</f>
        <v>0</v>
      </c>
      <c r="V3692" s="43">
        <f>IF(Planning[[#This Row],[Horas Planificadas]]&lt;&gt;0,Planning[[#This Row],[Horas utilizadas]]/Planning[[#This Row],[Horas Planificadas]],0)</f>
        <v>0</v>
      </c>
      <c r="W3692" s="44">
        <f>Planning[[#This Row],[Horas Planificadas]]+Planning[[#This Row],[Horas ajustadas adicionales]]</f>
        <v>0</v>
      </c>
      <c r="X3692" s="142"/>
    </row>
    <row r="3693" spans="1:24" ht="12.75" customHeight="1" x14ac:dyDescent="0.2">
      <c r="A3693" s="7" t="s">
        <v>435</v>
      </c>
      <c r="B3693" s="7" t="s">
        <v>169</v>
      </c>
      <c r="C3693" s="3"/>
      <c r="D3693" s="3" t="s">
        <v>662</v>
      </c>
      <c r="E3693" s="4"/>
      <c r="F3693" s="3" t="s">
        <v>128</v>
      </c>
      <c r="G3693" s="9"/>
      <c r="H3693" s="9"/>
      <c r="I3693" s="12"/>
      <c r="J3693" s="5" t="e">
        <f>SUM(SUMIFS(#REF!,#REF!,Planning[[#This Row],[Tipo de Tarea y especialidad]],#REF!,Planning[[#This Row],[Proyectos Reiwa]]),SUMIFS(#REF!,#REF!,Planning[[#This Row],[Tipo de Tarea y especialidad]],#REF!,Planning[[#This Row],[Proyectos]]))</f>
        <v>#REF!</v>
      </c>
      <c r="K3693" s="5" t="e">
        <f>+Planning[[#This Row],[Horas Planificadas]]+Planning[[#This Row],[Horas ajustadas adicionales]]-Planning[[#This Row],[Horas utilizadas]]</f>
        <v>#REF!</v>
      </c>
      <c r="L3693" s="7">
        <v>0</v>
      </c>
      <c r="M3693" s="19" t="e">
        <f>Planning[[#This Row],[Saldo]]-Planning[[#This Row],[Saldo estimado]]</f>
        <v>#REF!</v>
      </c>
      <c r="N3693" s="60" t="e">
        <f>+SUMIFS(#REF!,#REF!,Planning[[#This Row],[Proyectos]],#REF!,Planning[[#This Row],[Tipo de Tarea y especialidad]])</f>
        <v>#REF!</v>
      </c>
      <c r="O3693" s="19">
        <f t="shared" si="114"/>
        <v>10</v>
      </c>
      <c r="P3693" s="19">
        <f t="shared" si="115"/>
        <v>2024</v>
      </c>
      <c r="Q36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93" s="19" t="str">
        <f>TEXT(Planning[[#This Row],[Mes]]*29,"mmmm")</f>
        <v>October</v>
      </c>
      <c r="S36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93" s="193"/>
      <c r="U3693" s="43">
        <f>IF(Planning[[#This Row],[Horas Planificadas]]&lt;&gt;0,+K3693/Planning[[#This Row],[Horas Planificadas]],0)</f>
        <v>0</v>
      </c>
      <c r="V3693" s="43">
        <f>IF(Planning[[#This Row],[Horas Planificadas]]&lt;&gt;0,Planning[[#This Row],[Horas utilizadas]]/Planning[[#This Row],[Horas Planificadas]],0)</f>
        <v>0</v>
      </c>
      <c r="W3693" s="44">
        <f>Planning[[#This Row],[Horas Planificadas]]+Planning[[#This Row],[Horas ajustadas adicionales]]</f>
        <v>0</v>
      </c>
      <c r="X3693" s="142"/>
    </row>
    <row r="3694" spans="1:24" ht="12.75" customHeight="1" x14ac:dyDescent="0.2">
      <c r="A3694" s="7" t="s">
        <v>435</v>
      </c>
      <c r="B3694" s="7" t="s">
        <v>169</v>
      </c>
      <c r="C3694" s="3"/>
      <c r="D3694" s="3" t="s">
        <v>662</v>
      </c>
      <c r="E3694" s="4" t="s">
        <v>31</v>
      </c>
      <c r="F3694" s="3" t="s">
        <v>31</v>
      </c>
      <c r="G3694" s="9">
        <v>62</v>
      </c>
      <c r="H3694" s="17">
        <f>Planning[[#This Row],[Horas Precálculo]]</f>
        <v>62</v>
      </c>
      <c r="I3694" s="18"/>
      <c r="J3694" s="14" t="e">
        <f>+SUMIFS(#REF!,#REF!,Planning[[#This Row],[Tarifa]],#REF!,Planning[[#This Row],[Proyectos]])</f>
        <v>#REF!</v>
      </c>
      <c r="K3694" s="14" t="e">
        <f>+Planning[[#This Row],[Horas Planificadas]]+Planning[[#This Row],[Horas ajustadas adicionales]]-Planning[[#This Row],[Horas utilizadas]]</f>
        <v>#REF!</v>
      </c>
      <c r="L3694" s="15">
        <v>0</v>
      </c>
      <c r="M3694" s="16" t="e">
        <f>Planning[[#This Row],[Saldo]]-Planning[[#This Row],[Saldo estimado]]</f>
        <v>#REF!</v>
      </c>
      <c r="N3694" s="60" t="e">
        <f>+SUMIFS(#REF!,#REF!,Planning[[#This Row],[Proyectos]],#REF!,Planning[[#This Row],[Tipo de Tarea y especialidad]])</f>
        <v>#REF!</v>
      </c>
      <c r="O3694" s="16">
        <f t="shared" si="114"/>
        <v>10</v>
      </c>
      <c r="P3694" s="16">
        <f t="shared" si="115"/>
        <v>2024</v>
      </c>
      <c r="Q3694" s="16" t="e">
        <f>+SUMIFS(#REF!,#REF!,Planning[[#This Row],[Tarifa]],#REF!,Planning[[#This Row],[Proyectos]],#REF!,Planning[[#This Row],[Mes]],#REF!,Planning[[#This Row],[Año]])</f>
        <v>#REF!</v>
      </c>
      <c r="R3694" s="16" t="str">
        <f>TEXT(Planning[[#This Row],[Mes]]*29,"mmmm")</f>
        <v>October</v>
      </c>
      <c r="S36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94" s="193"/>
      <c r="U3694" s="43" t="e">
        <f>IF(Planning[[#This Row],[Horas Planificadas]]&lt;&gt;0,+K3694/Planning[[#This Row],[Horas Planificadas]],0)</f>
        <v>#REF!</v>
      </c>
      <c r="V3694" s="43" t="e">
        <f>IF(Planning[[#This Row],[Horas Planificadas]]&lt;&gt;0,Planning[[#This Row],[Horas utilizadas]]/Planning[[#This Row],[Horas Planificadas]],0)</f>
        <v>#REF!</v>
      </c>
      <c r="W3694" s="44">
        <f>Planning[[#This Row],[Horas Planificadas]]+Planning[[#This Row],[Horas ajustadas adicionales]]</f>
        <v>62</v>
      </c>
      <c r="X3694" s="142"/>
    </row>
    <row r="3695" spans="1:24" ht="12.75" customHeight="1" x14ac:dyDescent="0.2">
      <c r="A3695" s="7" t="s">
        <v>435</v>
      </c>
      <c r="B3695" s="7" t="s">
        <v>169</v>
      </c>
      <c r="C3695" s="3"/>
      <c r="D3695" s="3" t="s">
        <v>662</v>
      </c>
      <c r="E3695" s="4" t="s">
        <v>32</v>
      </c>
      <c r="F3695" s="3"/>
      <c r="G3695" s="9">
        <v>70</v>
      </c>
      <c r="H3695" s="14">
        <f>SUM(H3696:H3698)</f>
        <v>70</v>
      </c>
      <c r="I3695" s="14"/>
      <c r="J3695" s="14" t="e">
        <f>SUM(J3696:J3698)</f>
        <v>#REF!</v>
      </c>
      <c r="K3695" s="14" t="e">
        <f>+Planning[[#This Row],[Horas Planificadas]]+Planning[[#This Row],[Horas ajustadas adicionales]]-Planning[[#This Row],[Horas utilizadas]]</f>
        <v>#REF!</v>
      </c>
      <c r="L3695" s="15">
        <f>SUM(L3696:L3698)</f>
        <v>0</v>
      </c>
      <c r="M3695" s="16" t="e">
        <f>SUM(M3696:M3698)</f>
        <v>#REF!</v>
      </c>
      <c r="N3695" s="60" t="e">
        <f>+SUMIFS(#REF!,#REF!,Planning[[#This Row],[Proyectos]],#REF!,Planning[[#This Row],[Tipo de Tarea y especialidad]])</f>
        <v>#REF!</v>
      </c>
      <c r="O3695" s="16">
        <f t="shared" si="114"/>
        <v>10</v>
      </c>
      <c r="P3695" s="16">
        <f t="shared" si="115"/>
        <v>2024</v>
      </c>
      <c r="Q3695" s="16" t="e">
        <f>SUM(Q3696:Q3698)</f>
        <v>#REF!</v>
      </c>
      <c r="R3695" s="16" t="str">
        <f>TEXT(Planning[[#This Row],[Mes]]*29,"mmmm")</f>
        <v>October</v>
      </c>
      <c r="S36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95" s="193"/>
      <c r="U3695" s="43" t="e">
        <f>IF(Planning[[#This Row],[Horas Planificadas]]&lt;&gt;0,+K3695/Planning[[#This Row],[Horas Planificadas]],0)</f>
        <v>#REF!</v>
      </c>
      <c r="V3695" s="43" t="e">
        <f>IF(Planning[[#This Row],[Horas Planificadas]]&lt;&gt;0,Planning[[#This Row],[Horas utilizadas]]/Planning[[#This Row],[Horas Planificadas]],0)</f>
        <v>#REF!</v>
      </c>
      <c r="W3695" s="44">
        <f>Planning[[#This Row],[Horas Planificadas]]+Planning[[#This Row],[Horas ajustadas adicionales]]</f>
        <v>70</v>
      </c>
      <c r="X3695" s="142"/>
    </row>
    <row r="3696" spans="1:24" ht="12.75" customHeight="1" x14ac:dyDescent="0.2">
      <c r="A3696" s="7" t="s">
        <v>435</v>
      </c>
      <c r="B3696" s="7" t="s">
        <v>169</v>
      </c>
      <c r="C3696" s="3"/>
      <c r="D3696" s="3" t="s">
        <v>662</v>
      </c>
      <c r="E3696" s="4"/>
      <c r="F3696" s="3" t="s">
        <v>129</v>
      </c>
      <c r="G3696" s="9">
        <v>70</v>
      </c>
      <c r="H3696" s="9">
        <v>70</v>
      </c>
      <c r="I3696" s="12"/>
      <c r="J3696" s="5" t="e">
        <f>SUM(SUMIFS(#REF!,#REF!,Planning[[#This Row],[Tipo de Tarea y especialidad]],#REF!,Planning[[#This Row],[Proyectos Reiwa]]),SUMIFS(#REF!,#REF!,Planning[[#This Row],[Tipo de Tarea y especialidad]],#REF!,Planning[[#This Row],[Proyectos]]))</f>
        <v>#REF!</v>
      </c>
      <c r="K3696" s="5" t="e">
        <f>+Planning[[#This Row],[Horas Planificadas]]+Planning[[#This Row],[Horas ajustadas adicionales]]-Planning[[#This Row],[Horas utilizadas]]</f>
        <v>#REF!</v>
      </c>
      <c r="L3696" s="7">
        <v>0</v>
      </c>
      <c r="M3696" s="19" t="e">
        <f>Planning[[#This Row],[Saldo]]-Planning[[#This Row],[Saldo estimado]]</f>
        <v>#REF!</v>
      </c>
      <c r="N3696" s="60" t="e">
        <f>+SUMIFS(#REF!,#REF!,Planning[[#This Row],[Proyectos]],#REF!,Planning[[#This Row],[Tipo de Tarea y especialidad]])</f>
        <v>#REF!</v>
      </c>
      <c r="O3696" s="19">
        <f t="shared" si="114"/>
        <v>10</v>
      </c>
      <c r="P3696" s="19">
        <f t="shared" si="115"/>
        <v>2024</v>
      </c>
      <c r="Q36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96" s="19" t="str">
        <f>TEXT(Planning[[#This Row],[Mes]]*29,"mmmm")</f>
        <v>October</v>
      </c>
      <c r="S36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96" s="193"/>
      <c r="U3696" s="43" t="e">
        <f>IF(Planning[[#This Row],[Horas Planificadas]]&lt;&gt;0,+K3696/Planning[[#This Row],[Horas Planificadas]],0)</f>
        <v>#REF!</v>
      </c>
      <c r="V3696" s="43" t="e">
        <f>IF(Planning[[#This Row],[Horas Planificadas]]&lt;&gt;0,Planning[[#This Row],[Horas utilizadas]]/Planning[[#This Row],[Horas Planificadas]],0)</f>
        <v>#REF!</v>
      </c>
      <c r="W3696" s="44">
        <f>Planning[[#This Row],[Horas Planificadas]]+Planning[[#This Row],[Horas ajustadas adicionales]]</f>
        <v>70</v>
      </c>
      <c r="X3696" s="142"/>
    </row>
    <row r="3697" spans="1:24" ht="12.75" customHeight="1" x14ac:dyDescent="0.2">
      <c r="A3697" s="7" t="s">
        <v>435</v>
      </c>
      <c r="B3697" s="7" t="s">
        <v>169</v>
      </c>
      <c r="C3697" s="3"/>
      <c r="D3697" s="3" t="s">
        <v>662</v>
      </c>
      <c r="E3697" s="4"/>
      <c r="F3697" s="3" t="s">
        <v>130</v>
      </c>
      <c r="G3697" s="9"/>
      <c r="H3697" s="9"/>
      <c r="I3697" s="12"/>
      <c r="J3697" s="5" t="e">
        <f>SUM(SUMIFS(#REF!,#REF!,Planning[[#This Row],[Tipo de Tarea y especialidad]],#REF!,Planning[[#This Row],[Proyectos Reiwa]]),SUMIFS(#REF!,#REF!,Planning[[#This Row],[Tipo de Tarea y especialidad]],#REF!,Planning[[#This Row],[Proyectos]]))</f>
        <v>#REF!</v>
      </c>
      <c r="K3697" s="5" t="e">
        <f>+Planning[[#This Row],[Horas Planificadas]]+Planning[[#This Row],[Horas ajustadas adicionales]]-Planning[[#This Row],[Horas utilizadas]]</f>
        <v>#REF!</v>
      </c>
      <c r="L3697" s="7">
        <v>0</v>
      </c>
      <c r="M3697" s="19" t="e">
        <f>Planning[[#This Row],[Saldo]]-Planning[[#This Row],[Saldo estimado]]</f>
        <v>#REF!</v>
      </c>
      <c r="N3697" s="60" t="e">
        <f>+SUMIFS(#REF!,#REF!,Planning[[#This Row],[Proyectos]],#REF!,Planning[[#This Row],[Tipo de Tarea y especialidad]])</f>
        <v>#REF!</v>
      </c>
      <c r="O3697" s="19">
        <f t="shared" si="114"/>
        <v>10</v>
      </c>
      <c r="P3697" s="19">
        <f t="shared" si="115"/>
        <v>2024</v>
      </c>
      <c r="Q36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97" s="19" t="str">
        <f>TEXT(Planning[[#This Row],[Mes]]*29,"mmmm")</f>
        <v>October</v>
      </c>
      <c r="S36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97" s="193"/>
      <c r="U3697" s="43">
        <f>IF(Planning[[#This Row],[Horas Planificadas]]&lt;&gt;0,+K3697/Planning[[#This Row],[Horas Planificadas]],0)</f>
        <v>0</v>
      </c>
      <c r="V3697" s="43">
        <f>IF(Planning[[#This Row],[Horas Planificadas]]&lt;&gt;0,Planning[[#This Row],[Horas utilizadas]]/Planning[[#This Row],[Horas Planificadas]],0)</f>
        <v>0</v>
      </c>
      <c r="W3697" s="44">
        <f>Planning[[#This Row],[Horas Planificadas]]+Planning[[#This Row],[Horas ajustadas adicionales]]</f>
        <v>0</v>
      </c>
      <c r="X3697" s="142"/>
    </row>
    <row r="3698" spans="1:24" ht="12.75" customHeight="1" x14ac:dyDescent="0.2">
      <c r="A3698" s="7" t="s">
        <v>435</v>
      </c>
      <c r="B3698" s="7" t="s">
        <v>169</v>
      </c>
      <c r="C3698" s="3"/>
      <c r="D3698" s="3" t="s">
        <v>662</v>
      </c>
      <c r="E3698" s="4"/>
      <c r="F3698" s="3" t="s">
        <v>131</v>
      </c>
      <c r="G3698" s="9"/>
      <c r="H3698" s="9"/>
      <c r="I3698" s="12"/>
      <c r="J3698" s="5" t="e">
        <f>SUM(SUMIFS(#REF!,#REF!,Planning[[#This Row],[Tipo de Tarea y especialidad]],#REF!,Planning[[#This Row],[Proyectos Reiwa]]),SUMIFS(#REF!,#REF!,Planning[[#This Row],[Tipo de Tarea y especialidad]],#REF!,Planning[[#This Row],[Proyectos]]))</f>
        <v>#REF!</v>
      </c>
      <c r="K3698" s="5" t="e">
        <f>+Planning[[#This Row],[Horas Planificadas]]+Planning[[#This Row],[Horas ajustadas adicionales]]-Planning[[#This Row],[Horas utilizadas]]</f>
        <v>#REF!</v>
      </c>
      <c r="L3698" s="7">
        <v>0</v>
      </c>
      <c r="M3698" s="19" t="e">
        <f>Planning[[#This Row],[Saldo]]-Planning[[#This Row],[Saldo estimado]]</f>
        <v>#REF!</v>
      </c>
      <c r="N3698" s="60" t="e">
        <f>+SUMIFS(#REF!,#REF!,Planning[[#This Row],[Proyectos]],#REF!,Planning[[#This Row],[Tipo de Tarea y especialidad]])</f>
        <v>#REF!</v>
      </c>
      <c r="O3698" s="19">
        <f t="shared" si="114"/>
        <v>10</v>
      </c>
      <c r="P3698" s="19">
        <f t="shared" si="115"/>
        <v>2024</v>
      </c>
      <c r="Q36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698" s="19" t="str">
        <f>TEXT(Planning[[#This Row],[Mes]]*29,"mmmm")</f>
        <v>October</v>
      </c>
      <c r="S36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98" s="193"/>
      <c r="U3698" s="43">
        <f>IF(Planning[[#This Row],[Horas Planificadas]]&lt;&gt;0,+K3698/Planning[[#This Row],[Horas Planificadas]],0)</f>
        <v>0</v>
      </c>
      <c r="V3698" s="43">
        <f>IF(Planning[[#This Row],[Horas Planificadas]]&lt;&gt;0,Planning[[#This Row],[Horas utilizadas]]/Planning[[#This Row],[Horas Planificadas]],0)</f>
        <v>0</v>
      </c>
      <c r="W3698" s="44">
        <f>Planning[[#This Row],[Horas Planificadas]]+Planning[[#This Row],[Horas ajustadas adicionales]]</f>
        <v>0</v>
      </c>
      <c r="X3698" s="142"/>
    </row>
    <row r="3699" spans="1:24" ht="13.35" customHeight="1" x14ac:dyDescent="0.2">
      <c r="A3699" s="7" t="s">
        <v>435</v>
      </c>
      <c r="B3699" s="7" t="s">
        <v>178</v>
      </c>
      <c r="C3699" s="3"/>
      <c r="D3699" s="3" t="s">
        <v>664</v>
      </c>
      <c r="E3699" s="4" t="s">
        <v>28</v>
      </c>
      <c r="F3699" s="3"/>
      <c r="G3699" s="9">
        <v>0</v>
      </c>
      <c r="H3699" s="14">
        <f>SUM(H3700:H3701)</f>
        <v>0</v>
      </c>
      <c r="I3699" s="14"/>
      <c r="J3699" s="14" t="e">
        <f>SUM(J3700:J3701)</f>
        <v>#REF!</v>
      </c>
      <c r="K3699" s="14" t="e">
        <f>+Planning[[#This Row],[Horas Planificadas]]+Planning[[#This Row],[Horas ajustadas adicionales]]-Planning[[#This Row],[Horas utilizadas]]</f>
        <v>#REF!</v>
      </c>
      <c r="L3699" s="15">
        <f>SUM(L3700:L3701)</f>
        <v>0</v>
      </c>
      <c r="M3699" s="14" t="e">
        <f>SUM(M3700:M3701)</f>
        <v>#REF!</v>
      </c>
      <c r="N3699" s="66" t="e">
        <f>+SUMIFS(#REF!,#REF!,Planning[[#This Row],[Proyectos]],#REF!,Planning[[#This Row],[Tipo de Tarea y especialidad]])</f>
        <v>#REF!</v>
      </c>
      <c r="O3699" s="14">
        <f t="shared" si="114"/>
        <v>10</v>
      </c>
      <c r="P3699" s="14">
        <f t="shared" si="115"/>
        <v>2024</v>
      </c>
      <c r="Q3699" s="28" t="e">
        <f>SUM(Q3700:Q3701)</f>
        <v>#REF!</v>
      </c>
      <c r="R3699" s="28" t="str">
        <f>TEXT(Planning[[#This Row],[Mes]]*29,"mmmm")</f>
        <v>October</v>
      </c>
      <c r="S36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699" s="192" t="s">
        <v>665</v>
      </c>
      <c r="U3699" s="43">
        <f>IF(Planning[[#This Row],[Horas Planificadas]]&lt;&gt;0,+K3699/Planning[[#This Row],[Horas Planificadas]],0)</f>
        <v>0</v>
      </c>
      <c r="V3699" s="43">
        <f>IF(Planning[[#This Row],[Horas Planificadas]]&lt;&gt;0,Planning[[#This Row],[Horas utilizadas]]/Planning[[#This Row],[Horas Planificadas]],0)</f>
        <v>0</v>
      </c>
      <c r="W3699" s="44">
        <f>Planning[[#This Row],[Horas Planificadas]]+Planning[[#This Row],[Horas ajustadas adicionales]]</f>
        <v>0</v>
      </c>
      <c r="X3699" s="142"/>
    </row>
    <row r="3700" spans="1:24" ht="13.35" customHeight="1" x14ac:dyDescent="0.2">
      <c r="A3700" s="7" t="s">
        <v>435</v>
      </c>
      <c r="B3700" s="7" t="s">
        <v>178</v>
      </c>
      <c r="C3700" s="3"/>
      <c r="D3700" s="3" t="s">
        <v>664</v>
      </c>
      <c r="E3700" s="4"/>
      <c r="F3700" s="3" t="s">
        <v>120</v>
      </c>
      <c r="G3700" s="9">
        <v>0</v>
      </c>
      <c r="H3700" s="9">
        <v>0</v>
      </c>
      <c r="I3700" s="12"/>
      <c r="J3700" s="5" t="e">
        <f>SUM(SUMIFS(#REF!,#REF!,Planning[[#This Row],[Tipo de Tarea y especialidad]],#REF!,Planning[[#This Row],[Proyectos Reiwa]]),SUMIFS(#REF!,#REF!,Planning[[#This Row],[Tipo de Tarea y especialidad]],#REF!,Planning[[#This Row],[Proyectos]]))</f>
        <v>#REF!</v>
      </c>
      <c r="K3700" s="5" t="e">
        <f>+Planning[[#This Row],[Horas Planificadas]]+Planning[[#This Row],[Horas ajustadas adicionales]]-Planning[[#This Row],[Horas utilizadas]]</f>
        <v>#REF!</v>
      </c>
      <c r="L3700" s="7">
        <v>0</v>
      </c>
      <c r="M3700" s="19" t="e">
        <f>Planning[[#This Row],[Saldo]]-Planning[[#This Row],[Saldo estimado]]</f>
        <v>#REF!</v>
      </c>
      <c r="N3700" s="60" t="e">
        <f>+SUMIFS(#REF!,#REF!,Planning[[#This Row],[Proyectos]],#REF!,Planning[[#This Row],[Tipo de Tarea y especialidad]])</f>
        <v>#REF!</v>
      </c>
      <c r="O3700" s="19">
        <f t="shared" si="114"/>
        <v>10</v>
      </c>
      <c r="P3700" s="19">
        <f t="shared" si="115"/>
        <v>2024</v>
      </c>
      <c r="Q37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00" s="19" t="str">
        <f>TEXT(Planning[[#This Row],[Mes]]*29,"mmmm")</f>
        <v>October</v>
      </c>
      <c r="S37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00" s="193"/>
      <c r="U3700" s="43">
        <f>IF(Planning[[#This Row],[Horas Planificadas]]&lt;&gt;0,+K3700/Planning[[#This Row],[Horas Planificadas]],0)</f>
        <v>0</v>
      </c>
      <c r="V3700" s="43">
        <f>IF(Planning[[#This Row],[Horas Planificadas]]&lt;&gt;0,Planning[[#This Row],[Horas utilizadas]]/Planning[[#This Row],[Horas Planificadas]],0)</f>
        <v>0</v>
      </c>
      <c r="W3700" s="44">
        <f>Planning[[#This Row],[Horas Planificadas]]+Planning[[#This Row],[Horas ajustadas adicionales]]</f>
        <v>0</v>
      </c>
      <c r="X3700" s="142"/>
    </row>
    <row r="3701" spans="1:24" ht="13.35" customHeight="1" x14ac:dyDescent="0.2">
      <c r="A3701" s="7" t="s">
        <v>435</v>
      </c>
      <c r="B3701" s="7" t="s">
        <v>178</v>
      </c>
      <c r="C3701" s="3"/>
      <c r="D3701" s="3" t="s">
        <v>664</v>
      </c>
      <c r="E3701" s="4"/>
      <c r="F3701" s="3" t="s">
        <v>121</v>
      </c>
      <c r="G3701" s="9">
        <v>0</v>
      </c>
      <c r="H3701" s="9">
        <v>0</v>
      </c>
      <c r="I3701" s="12"/>
      <c r="J3701" s="5" t="e">
        <f>SUM(SUMIFS(#REF!,#REF!,Planning[[#This Row],[Tipo de Tarea y especialidad]],#REF!,Planning[[#This Row],[Proyectos Reiwa]]),SUMIFS(#REF!,#REF!,Planning[[#This Row],[Tipo de Tarea y especialidad]],#REF!,Planning[[#This Row],[Proyectos]]))</f>
        <v>#REF!</v>
      </c>
      <c r="K3701" s="5" t="e">
        <f>+Planning[[#This Row],[Horas Planificadas]]+Planning[[#This Row],[Horas ajustadas adicionales]]-Planning[[#This Row],[Horas utilizadas]]</f>
        <v>#REF!</v>
      </c>
      <c r="L3701" s="7">
        <v>0</v>
      </c>
      <c r="M3701" s="19" t="e">
        <f>Planning[[#This Row],[Saldo]]-Planning[[#This Row],[Saldo estimado]]</f>
        <v>#REF!</v>
      </c>
      <c r="N3701" s="60" t="e">
        <f>+SUMIFS(#REF!,#REF!,Planning[[#This Row],[Proyectos]],#REF!,Planning[[#This Row],[Tipo de Tarea y especialidad]])</f>
        <v>#REF!</v>
      </c>
      <c r="O3701" s="19">
        <f t="shared" si="114"/>
        <v>10</v>
      </c>
      <c r="P3701" s="19">
        <f t="shared" si="115"/>
        <v>2024</v>
      </c>
      <c r="Q37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01" s="19" t="str">
        <f>TEXT(Planning[[#This Row],[Mes]]*29,"mmmm")</f>
        <v>October</v>
      </c>
      <c r="S37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01" s="193"/>
      <c r="U3701" s="43">
        <f>IF(Planning[[#This Row],[Horas Planificadas]]&lt;&gt;0,+K3701/Planning[[#This Row],[Horas Planificadas]],0)</f>
        <v>0</v>
      </c>
      <c r="V3701" s="43">
        <f>IF(Planning[[#This Row],[Horas Planificadas]]&lt;&gt;0,Planning[[#This Row],[Horas utilizadas]]/Planning[[#This Row],[Horas Planificadas]],0)</f>
        <v>0</v>
      </c>
      <c r="W3701" s="44">
        <f>Planning[[#This Row],[Horas Planificadas]]+Planning[[#This Row],[Horas ajustadas adicionales]]</f>
        <v>0</v>
      </c>
      <c r="X3701" s="142"/>
    </row>
    <row r="3702" spans="1:24" ht="13.35" customHeight="1" x14ac:dyDescent="0.2">
      <c r="A3702" s="7" t="s">
        <v>435</v>
      </c>
      <c r="B3702" s="7" t="s">
        <v>178</v>
      </c>
      <c r="C3702" s="3"/>
      <c r="D3702" s="3" t="s">
        <v>664</v>
      </c>
      <c r="E3702" s="4" t="s">
        <v>30</v>
      </c>
      <c r="F3702" s="3"/>
      <c r="G3702" s="9">
        <v>46</v>
      </c>
      <c r="H3702" s="14">
        <f>SUM(H3703:H3709)</f>
        <v>46</v>
      </c>
      <c r="I3702" s="14"/>
      <c r="J3702" s="14" t="e">
        <f>SUM(J3703:J3709)</f>
        <v>#REF!</v>
      </c>
      <c r="K3702" s="14" t="e">
        <f>+Planning[[#This Row],[Horas Planificadas]]+Planning[[#This Row],[Horas ajustadas adicionales]]-Planning[[#This Row],[Horas utilizadas]]</f>
        <v>#REF!</v>
      </c>
      <c r="L3702" s="15">
        <f>SUM(L3703:L3709)</f>
        <v>0</v>
      </c>
      <c r="M3702" s="16" t="e">
        <f>SUM(M3703:M3709)</f>
        <v>#REF!</v>
      </c>
      <c r="N3702" s="60" t="e">
        <f>+SUMIFS(#REF!,#REF!,Planning[[#This Row],[Proyectos]],#REF!,Planning[[#This Row],[Tipo de Tarea y especialidad]])</f>
        <v>#REF!</v>
      </c>
      <c r="O3702" s="16">
        <f t="shared" si="114"/>
        <v>10</v>
      </c>
      <c r="P3702" s="16">
        <f t="shared" si="115"/>
        <v>2024</v>
      </c>
      <c r="Q3702" s="16" t="e">
        <f>SUM(Q3703:Q3709)</f>
        <v>#REF!</v>
      </c>
      <c r="R3702" s="16" t="str">
        <f>TEXT(Planning[[#This Row],[Mes]]*29,"mmmm")</f>
        <v>October</v>
      </c>
      <c r="S37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02" s="193"/>
      <c r="U3702" s="43" t="e">
        <f>IF(Planning[[#This Row],[Horas Planificadas]]&lt;&gt;0,+K3702/Planning[[#This Row],[Horas Planificadas]],0)</f>
        <v>#REF!</v>
      </c>
      <c r="V3702" s="43" t="e">
        <f>IF(Planning[[#This Row],[Horas Planificadas]]&lt;&gt;0,Planning[[#This Row],[Horas utilizadas]]/Planning[[#This Row],[Horas Planificadas]],0)</f>
        <v>#REF!</v>
      </c>
      <c r="W3702" s="44">
        <f>Planning[[#This Row],[Horas Planificadas]]+Planning[[#This Row],[Horas ajustadas adicionales]]</f>
        <v>46</v>
      </c>
      <c r="X3702" s="142"/>
    </row>
    <row r="3703" spans="1:24" ht="13.35" customHeight="1" x14ac:dyDescent="0.2">
      <c r="A3703" s="7" t="s">
        <v>435</v>
      </c>
      <c r="B3703" s="7" t="s">
        <v>178</v>
      </c>
      <c r="C3703" s="3"/>
      <c r="D3703" s="3" t="s">
        <v>664</v>
      </c>
      <c r="E3703" s="4"/>
      <c r="F3703" s="3" t="s">
        <v>122</v>
      </c>
      <c r="G3703" s="9">
        <v>0</v>
      </c>
      <c r="H3703" s="9">
        <v>0</v>
      </c>
      <c r="I3703" s="12"/>
      <c r="J3703" s="5" t="e">
        <f>SUM(SUMIFS(#REF!,#REF!,Planning[[#This Row],[Tipo de Tarea y especialidad]],#REF!,Planning[[#This Row],[Proyectos Reiwa]]),SUMIFS(#REF!,#REF!,Planning[[#This Row],[Tipo de Tarea y especialidad]],#REF!,Planning[[#This Row],[Proyectos]]))</f>
        <v>#REF!</v>
      </c>
      <c r="K3703" s="5" t="e">
        <f>+Planning[[#This Row],[Horas Planificadas]]+Planning[[#This Row],[Horas ajustadas adicionales]]-Planning[[#This Row],[Horas utilizadas]]</f>
        <v>#REF!</v>
      </c>
      <c r="L3703" s="7">
        <v>0</v>
      </c>
      <c r="M3703" s="19" t="e">
        <f>Planning[[#This Row],[Saldo]]-Planning[[#This Row],[Saldo estimado]]</f>
        <v>#REF!</v>
      </c>
      <c r="N3703" s="60" t="e">
        <f>+SUMIFS(#REF!,#REF!,Planning[[#This Row],[Proyectos]],#REF!,Planning[[#This Row],[Tipo de Tarea y especialidad]])</f>
        <v>#REF!</v>
      </c>
      <c r="O3703" s="19">
        <f t="shared" si="114"/>
        <v>10</v>
      </c>
      <c r="P3703" s="19">
        <f t="shared" si="115"/>
        <v>2024</v>
      </c>
      <c r="Q37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03" s="19" t="str">
        <f>TEXT(Planning[[#This Row],[Mes]]*29,"mmmm")</f>
        <v>October</v>
      </c>
      <c r="S37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03" s="193"/>
      <c r="U3703" s="43">
        <f>IF(Planning[[#This Row],[Horas Planificadas]]&lt;&gt;0,+K3703/Planning[[#This Row],[Horas Planificadas]],0)</f>
        <v>0</v>
      </c>
      <c r="V3703" s="43">
        <f>IF(Planning[[#This Row],[Horas Planificadas]]&lt;&gt;0,Planning[[#This Row],[Horas utilizadas]]/Planning[[#This Row],[Horas Planificadas]],0)</f>
        <v>0</v>
      </c>
      <c r="W3703" s="44">
        <f>Planning[[#This Row],[Horas Planificadas]]+Planning[[#This Row],[Horas ajustadas adicionales]]</f>
        <v>0</v>
      </c>
      <c r="X3703" s="142"/>
    </row>
    <row r="3704" spans="1:24" ht="13.35" customHeight="1" x14ac:dyDescent="0.2">
      <c r="A3704" s="7" t="s">
        <v>435</v>
      </c>
      <c r="B3704" s="7" t="s">
        <v>178</v>
      </c>
      <c r="C3704" s="3"/>
      <c r="D3704" s="3" t="s">
        <v>664</v>
      </c>
      <c r="E3704" s="4"/>
      <c r="F3704" s="3" t="s">
        <v>123</v>
      </c>
      <c r="G3704" s="9">
        <v>0</v>
      </c>
      <c r="H3704" s="9">
        <v>0</v>
      </c>
      <c r="I3704" s="12"/>
      <c r="J3704" s="5" t="e">
        <f>SUM(SUMIFS(#REF!,#REF!,Planning[[#This Row],[Tipo de Tarea y especialidad]],#REF!,Planning[[#This Row],[Proyectos Reiwa]]),SUMIFS(#REF!,#REF!,Planning[[#This Row],[Tipo de Tarea y especialidad]],#REF!,Planning[[#This Row],[Proyectos]]))</f>
        <v>#REF!</v>
      </c>
      <c r="K3704" s="5" t="e">
        <f>+Planning[[#This Row],[Horas Planificadas]]+Planning[[#This Row],[Horas ajustadas adicionales]]-Planning[[#This Row],[Horas utilizadas]]</f>
        <v>#REF!</v>
      </c>
      <c r="L3704" s="7">
        <v>0</v>
      </c>
      <c r="M3704" s="19" t="e">
        <f>Planning[[#This Row],[Saldo]]-Planning[[#This Row],[Saldo estimado]]</f>
        <v>#REF!</v>
      </c>
      <c r="N3704" s="60" t="e">
        <f>+SUMIFS(#REF!,#REF!,Planning[[#This Row],[Proyectos]],#REF!,Planning[[#This Row],[Tipo de Tarea y especialidad]])</f>
        <v>#REF!</v>
      </c>
      <c r="O3704" s="19">
        <f t="shared" si="114"/>
        <v>10</v>
      </c>
      <c r="P3704" s="19">
        <f t="shared" si="115"/>
        <v>2024</v>
      </c>
      <c r="Q37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04" s="19" t="str">
        <f>TEXT(Planning[[#This Row],[Mes]]*29,"mmmm")</f>
        <v>October</v>
      </c>
      <c r="S37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04" s="193"/>
      <c r="U3704" s="43">
        <f>IF(Planning[[#This Row],[Horas Planificadas]]&lt;&gt;0,+K3704/Planning[[#This Row],[Horas Planificadas]],0)</f>
        <v>0</v>
      </c>
      <c r="V3704" s="43">
        <f>IF(Planning[[#This Row],[Horas Planificadas]]&lt;&gt;0,Planning[[#This Row],[Horas utilizadas]]/Planning[[#This Row],[Horas Planificadas]],0)</f>
        <v>0</v>
      </c>
      <c r="W3704" s="44">
        <f>Planning[[#This Row],[Horas Planificadas]]+Planning[[#This Row],[Horas ajustadas adicionales]]</f>
        <v>0</v>
      </c>
      <c r="X3704" s="142"/>
    </row>
    <row r="3705" spans="1:24" ht="13.35" customHeight="1" x14ac:dyDescent="0.2">
      <c r="A3705" s="7" t="s">
        <v>435</v>
      </c>
      <c r="B3705" s="7" t="s">
        <v>178</v>
      </c>
      <c r="C3705" s="3"/>
      <c r="D3705" s="3" t="s">
        <v>664</v>
      </c>
      <c r="E3705" s="4"/>
      <c r="F3705" s="3" t="s">
        <v>124</v>
      </c>
      <c r="G3705" s="9">
        <v>0</v>
      </c>
      <c r="H3705" s="9">
        <v>0</v>
      </c>
      <c r="I3705" s="12"/>
      <c r="J3705" s="5" t="e">
        <f>SUM(SUMIFS(#REF!,#REF!,Planning[[#This Row],[Tipo de Tarea y especialidad]],#REF!,Planning[[#This Row],[Proyectos Reiwa]]),SUMIFS(#REF!,#REF!,Planning[[#This Row],[Tipo de Tarea y especialidad]],#REF!,Planning[[#This Row],[Proyectos]]))</f>
        <v>#REF!</v>
      </c>
      <c r="K3705" s="5" t="e">
        <f>+Planning[[#This Row],[Horas Planificadas]]+Planning[[#This Row],[Horas ajustadas adicionales]]-Planning[[#This Row],[Horas utilizadas]]</f>
        <v>#REF!</v>
      </c>
      <c r="L3705" s="7">
        <v>0</v>
      </c>
      <c r="M3705" s="19" t="e">
        <f>Planning[[#This Row],[Saldo]]-Planning[[#This Row],[Saldo estimado]]</f>
        <v>#REF!</v>
      </c>
      <c r="N3705" s="60" t="e">
        <f>+SUMIFS(#REF!,#REF!,Planning[[#This Row],[Proyectos]],#REF!,Planning[[#This Row],[Tipo de Tarea y especialidad]])</f>
        <v>#REF!</v>
      </c>
      <c r="O3705" s="19">
        <f t="shared" si="114"/>
        <v>10</v>
      </c>
      <c r="P3705" s="19">
        <f t="shared" si="115"/>
        <v>2024</v>
      </c>
      <c r="Q37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05" s="19" t="str">
        <f>TEXT(Planning[[#This Row],[Mes]]*29,"mmmm")</f>
        <v>October</v>
      </c>
      <c r="S37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05" s="193"/>
      <c r="U3705" s="43">
        <f>IF(Planning[[#This Row],[Horas Planificadas]]&lt;&gt;0,+K3705/Planning[[#This Row],[Horas Planificadas]],0)</f>
        <v>0</v>
      </c>
      <c r="V3705" s="43">
        <f>IF(Planning[[#This Row],[Horas Planificadas]]&lt;&gt;0,Planning[[#This Row],[Horas utilizadas]]/Planning[[#This Row],[Horas Planificadas]],0)</f>
        <v>0</v>
      </c>
      <c r="W3705" s="44">
        <f>Planning[[#This Row],[Horas Planificadas]]+Planning[[#This Row],[Horas ajustadas adicionales]]</f>
        <v>0</v>
      </c>
      <c r="X3705" s="142"/>
    </row>
    <row r="3706" spans="1:24" ht="13.35" customHeight="1" x14ac:dyDescent="0.2">
      <c r="A3706" s="7" t="s">
        <v>435</v>
      </c>
      <c r="B3706" s="7" t="s">
        <v>178</v>
      </c>
      <c r="C3706" s="3"/>
      <c r="D3706" s="3" t="s">
        <v>664</v>
      </c>
      <c r="E3706" s="4"/>
      <c r="F3706" s="3" t="s">
        <v>125</v>
      </c>
      <c r="G3706" s="9">
        <v>0</v>
      </c>
      <c r="H3706" s="9">
        <v>0</v>
      </c>
      <c r="I3706" s="12"/>
      <c r="J3706" s="5" t="e">
        <f>SUM(SUMIFS(#REF!,#REF!,Planning[[#This Row],[Tipo de Tarea y especialidad]],#REF!,Planning[[#This Row],[Proyectos Reiwa]]),SUMIFS(#REF!,#REF!,Planning[[#This Row],[Tipo de Tarea y especialidad]],#REF!,Planning[[#This Row],[Proyectos]]))</f>
        <v>#REF!</v>
      </c>
      <c r="K3706" s="5" t="e">
        <f>+Planning[[#This Row],[Horas Planificadas]]+Planning[[#This Row],[Horas ajustadas adicionales]]-Planning[[#This Row],[Horas utilizadas]]</f>
        <v>#REF!</v>
      </c>
      <c r="L3706" s="7">
        <v>0</v>
      </c>
      <c r="M3706" s="19" t="e">
        <f>Planning[[#This Row],[Saldo]]-Planning[[#This Row],[Saldo estimado]]</f>
        <v>#REF!</v>
      </c>
      <c r="N3706" s="60" t="e">
        <f>+SUMIFS(#REF!,#REF!,Planning[[#This Row],[Proyectos]],#REF!,Planning[[#This Row],[Tipo de Tarea y especialidad]])</f>
        <v>#REF!</v>
      </c>
      <c r="O3706" s="19">
        <f t="shared" si="114"/>
        <v>10</v>
      </c>
      <c r="P3706" s="19">
        <f t="shared" si="115"/>
        <v>2024</v>
      </c>
      <c r="Q37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06" s="19" t="str">
        <f>TEXT(Planning[[#This Row],[Mes]]*29,"mmmm")</f>
        <v>October</v>
      </c>
      <c r="S37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06" s="193"/>
      <c r="U3706" s="43">
        <f>IF(Planning[[#This Row],[Horas Planificadas]]&lt;&gt;0,+K3706/Planning[[#This Row],[Horas Planificadas]],0)</f>
        <v>0</v>
      </c>
      <c r="V3706" s="43">
        <f>IF(Planning[[#This Row],[Horas Planificadas]]&lt;&gt;0,Planning[[#This Row],[Horas utilizadas]]/Planning[[#This Row],[Horas Planificadas]],0)</f>
        <v>0</v>
      </c>
      <c r="W3706" s="44">
        <f>Planning[[#This Row],[Horas Planificadas]]+Planning[[#This Row],[Horas ajustadas adicionales]]</f>
        <v>0</v>
      </c>
      <c r="X3706" s="142"/>
    </row>
    <row r="3707" spans="1:24" ht="13.35" customHeight="1" x14ac:dyDescent="0.2">
      <c r="A3707" s="7" t="s">
        <v>435</v>
      </c>
      <c r="B3707" s="7" t="s">
        <v>178</v>
      </c>
      <c r="C3707" s="3"/>
      <c r="D3707" s="3" t="s">
        <v>664</v>
      </c>
      <c r="E3707" s="4"/>
      <c r="F3707" s="3" t="s">
        <v>126</v>
      </c>
      <c r="G3707" s="9">
        <v>0</v>
      </c>
      <c r="H3707" s="9">
        <v>0</v>
      </c>
      <c r="I3707" s="12"/>
      <c r="J3707" s="5" t="e">
        <f>SUM(SUMIFS(#REF!,#REF!,Planning[[#This Row],[Tipo de Tarea y especialidad]],#REF!,Planning[[#This Row],[Proyectos Reiwa]]),SUMIFS(#REF!,#REF!,Planning[[#This Row],[Tipo de Tarea y especialidad]],#REF!,Planning[[#This Row],[Proyectos]]))</f>
        <v>#REF!</v>
      </c>
      <c r="K3707" s="5" t="e">
        <f>+Planning[[#This Row],[Horas Planificadas]]+Planning[[#This Row],[Horas ajustadas adicionales]]-Planning[[#This Row],[Horas utilizadas]]</f>
        <v>#REF!</v>
      </c>
      <c r="L3707" s="7">
        <v>0</v>
      </c>
      <c r="M3707" s="19" t="e">
        <f>Planning[[#This Row],[Saldo]]-Planning[[#This Row],[Saldo estimado]]</f>
        <v>#REF!</v>
      </c>
      <c r="N3707" s="60" t="e">
        <f>+SUMIFS(#REF!,#REF!,Planning[[#This Row],[Proyectos]],#REF!,Planning[[#This Row],[Tipo de Tarea y especialidad]])</f>
        <v>#REF!</v>
      </c>
      <c r="O3707" s="19">
        <f t="shared" si="114"/>
        <v>10</v>
      </c>
      <c r="P3707" s="19">
        <f t="shared" si="115"/>
        <v>2024</v>
      </c>
      <c r="Q37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07" s="19" t="str">
        <f>TEXT(Planning[[#This Row],[Mes]]*29,"mmmm")</f>
        <v>October</v>
      </c>
      <c r="S37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07" s="193"/>
      <c r="U3707" s="43">
        <f>IF(Planning[[#This Row],[Horas Planificadas]]&lt;&gt;0,+K3707/Planning[[#This Row],[Horas Planificadas]],0)</f>
        <v>0</v>
      </c>
      <c r="V3707" s="43">
        <f>IF(Planning[[#This Row],[Horas Planificadas]]&lt;&gt;0,Planning[[#This Row],[Horas utilizadas]]/Planning[[#This Row],[Horas Planificadas]],0)</f>
        <v>0</v>
      </c>
      <c r="W3707" s="44">
        <f>Planning[[#This Row],[Horas Planificadas]]+Planning[[#This Row],[Horas ajustadas adicionales]]</f>
        <v>0</v>
      </c>
      <c r="X3707" s="142"/>
    </row>
    <row r="3708" spans="1:24" ht="13.35" customHeight="1" x14ac:dyDescent="0.2">
      <c r="A3708" s="7" t="s">
        <v>435</v>
      </c>
      <c r="B3708" s="7" t="s">
        <v>178</v>
      </c>
      <c r="C3708" s="3"/>
      <c r="D3708" s="3" t="s">
        <v>664</v>
      </c>
      <c r="E3708" s="4"/>
      <c r="F3708" s="3" t="s">
        <v>127</v>
      </c>
      <c r="G3708" s="9">
        <v>46</v>
      </c>
      <c r="H3708" s="9">
        <v>46</v>
      </c>
      <c r="I3708" s="12"/>
      <c r="J3708" s="5" t="e">
        <f>SUM(SUMIFS(#REF!,#REF!,Planning[[#This Row],[Tipo de Tarea y especialidad]],#REF!,Planning[[#This Row],[Proyectos Reiwa]]),SUMIFS(#REF!,#REF!,Planning[[#This Row],[Tipo de Tarea y especialidad]],#REF!,Planning[[#This Row],[Proyectos]]))</f>
        <v>#REF!</v>
      </c>
      <c r="K3708" s="5" t="e">
        <f>+Planning[[#This Row],[Horas Planificadas]]+Planning[[#This Row],[Horas ajustadas adicionales]]-Planning[[#This Row],[Horas utilizadas]]</f>
        <v>#REF!</v>
      </c>
      <c r="L3708" s="7">
        <v>0</v>
      </c>
      <c r="M3708" s="19" t="e">
        <f>Planning[[#This Row],[Saldo]]-Planning[[#This Row],[Saldo estimado]]</f>
        <v>#REF!</v>
      </c>
      <c r="N3708" s="60" t="e">
        <f>+SUMIFS(#REF!,#REF!,Planning[[#This Row],[Proyectos]],#REF!,Planning[[#This Row],[Tipo de Tarea y especialidad]])</f>
        <v>#REF!</v>
      </c>
      <c r="O3708" s="19">
        <f t="shared" si="114"/>
        <v>10</v>
      </c>
      <c r="P3708" s="19">
        <f t="shared" si="115"/>
        <v>2024</v>
      </c>
      <c r="Q37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08" s="19" t="str">
        <f>TEXT(Planning[[#This Row],[Mes]]*29,"mmmm")</f>
        <v>October</v>
      </c>
      <c r="S37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08" s="193"/>
      <c r="U3708" s="43" t="e">
        <f>IF(Planning[[#This Row],[Horas Planificadas]]&lt;&gt;0,+K3708/Planning[[#This Row],[Horas Planificadas]],0)</f>
        <v>#REF!</v>
      </c>
      <c r="V3708" s="43" t="e">
        <f>IF(Planning[[#This Row],[Horas Planificadas]]&lt;&gt;0,Planning[[#This Row],[Horas utilizadas]]/Planning[[#This Row],[Horas Planificadas]],0)</f>
        <v>#REF!</v>
      </c>
      <c r="W3708" s="44">
        <f>Planning[[#This Row],[Horas Planificadas]]+Planning[[#This Row],[Horas ajustadas adicionales]]</f>
        <v>46</v>
      </c>
      <c r="X3708" s="142"/>
    </row>
    <row r="3709" spans="1:24" ht="13.35" customHeight="1" x14ac:dyDescent="0.2">
      <c r="A3709" s="7" t="s">
        <v>435</v>
      </c>
      <c r="B3709" s="7" t="s">
        <v>178</v>
      </c>
      <c r="C3709" s="3"/>
      <c r="D3709" s="3" t="s">
        <v>664</v>
      </c>
      <c r="E3709" s="4"/>
      <c r="F3709" s="3" t="s">
        <v>128</v>
      </c>
      <c r="G3709" s="9">
        <v>0</v>
      </c>
      <c r="H3709" s="9">
        <v>0</v>
      </c>
      <c r="I3709" s="12"/>
      <c r="J3709" s="5" t="e">
        <f>SUM(SUMIFS(#REF!,#REF!,Planning[[#This Row],[Tipo de Tarea y especialidad]],#REF!,Planning[[#This Row],[Proyectos Reiwa]]),SUMIFS(#REF!,#REF!,Planning[[#This Row],[Tipo de Tarea y especialidad]],#REF!,Planning[[#This Row],[Proyectos]]))</f>
        <v>#REF!</v>
      </c>
      <c r="K3709" s="5" t="e">
        <f>+Planning[[#This Row],[Horas Planificadas]]+Planning[[#This Row],[Horas ajustadas adicionales]]-Planning[[#This Row],[Horas utilizadas]]</f>
        <v>#REF!</v>
      </c>
      <c r="L3709" s="7">
        <v>0</v>
      </c>
      <c r="M3709" s="19" t="e">
        <f>Planning[[#This Row],[Saldo]]-Planning[[#This Row],[Saldo estimado]]</f>
        <v>#REF!</v>
      </c>
      <c r="N3709" s="60" t="e">
        <f>+SUMIFS(#REF!,#REF!,Planning[[#This Row],[Proyectos]],#REF!,Planning[[#This Row],[Tipo de Tarea y especialidad]])</f>
        <v>#REF!</v>
      </c>
      <c r="O3709" s="19">
        <f t="shared" si="114"/>
        <v>10</v>
      </c>
      <c r="P3709" s="19">
        <f t="shared" si="115"/>
        <v>2024</v>
      </c>
      <c r="Q37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09" s="19" t="str">
        <f>TEXT(Planning[[#This Row],[Mes]]*29,"mmmm")</f>
        <v>October</v>
      </c>
      <c r="S37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09" s="193"/>
      <c r="U3709" s="43">
        <f>IF(Planning[[#This Row],[Horas Planificadas]]&lt;&gt;0,+K3709/Planning[[#This Row],[Horas Planificadas]],0)</f>
        <v>0</v>
      </c>
      <c r="V3709" s="43">
        <f>IF(Planning[[#This Row],[Horas Planificadas]]&lt;&gt;0,Planning[[#This Row],[Horas utilizadas]]/Planning[[#This Row],[Horas Planificadas]],0)</f>
        <v>0</v>
      </c>
      <c r="W3709" s="44">
        <f>Planning[[#This Row],[Horas Planificadas]]+Planning[[#This Row],[Horas ajustadas adicionales]]</f>
        <v>0</v>
      </c>
      <c r="X3709" s="142"/>
    </row>
    <row r="3710" spans="1:24" ht="13.35" customHeight="1" x14ac:dyDescent="0.2">
      <c r="A3710" s="7" t="s">
        <v>435</v>
      </c>
      <c r="B3710" s="7" t="s">
        <v>178</v>
      </c>
      <c r="C3710" s="3"/>
      <c r="D3710" s="3" t="s">
        <v>664</v>
      </c>
      <c r="E3710" s="4" t="s">
        <v>31</v>
      </c>
      <c r="F3710" s="3" t="s">
        <v>31</v>
      </c>
      <c r="G3710" s="9">
        <v>14</v>
      </c>
      <c r="H3710" s="17">
        <f>Planning[[#This Row],[Horas Precálculo]]</f>
        <v>14</v>
      </c>
      <c r="I3710" s="18"/>
      <c r="J3710" s="14" t="e">
        <f>+SUMIFS(#REF!,#REF!,Planning[[#This Row],[Tarifa]],#REF!,Planning[[#This Row],[Proyectos]])</f>
        <v>#REF!</v>
      </c>
      <c r="K3710" s="14" t="e">
        <f>+Planning[[#This Row],[Horas Planificadas]]+Planning[[#This Row],[Horas ajustadas adicionales]]-Planning[[#This Row],[Horas utilizadas]]</f>
        <v>#REF!</v>
      </c>
      <c r="L3710" s="15">
        <v>0</v>
      </c>
      <c r="M3710" s="16" t="e">
        <f>Planning[[#This Row],[Saldo]]-Planning[[#This Row],[Saldo estimado]]</f>
        <v>#REF!</v>
      </c>
      <c r="N3710" s="60" t="e">
        <f>+SUMIFS(#REF!,#REF!,Planning[[#This Row],[Proyectos]],#REF!,Planning[[#This Row],[Tipo de Tarea y especialidad]])</f>
        <v>#REF!</v>
      </c>
      <c r="O3710" s="16">
        <f t="shared" si="114"/>
        <v>10</v>
      </c>
      <c r="P3710" s="16">
        <f t="shared" si="115"/>
        <v>2024</v>
      </c>
      <c r="Q3710" s="16" t="e">
        <f>+SUMIFS(#REF!,#REF!,Planning[[#This Row],[Tarifa]],#REF!,Planning[[#This Row],[Proyectos]],#REF!,Planning[[#This Row],[Mes]],#REF!,Planning[[#This Row],[Año]])</f>
        <v>#REF!</v>
      </c>
      <c r="R3710" s="16" t="str">
        <f>TEXT(Planning[[#This Row],[Mes]]*29,"mmmm")</f>
        <v>October</v>
      </c>
      <c r="S37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10" s="193"/>
      <c r="U3710" s="43" t="e">
        <f>IF(Planning[[#This Row],[Horas Planificadas]]&lt;&gt;0,+K3710/Planning[[#This Row],[Horas Planificadas]],0)</f>
        <v>#REF!</v>
      </c>
      <c r="V3710" s="43" t="e">
        <f>IF(Planning[[#This Row],[Horas Planificadas]]&lt;&gt;0,Planning[[#This Row],[Horas utilizadas]]/Planning[[#This Row],[Horas Planificadas]],0)</f>
        <v>#REF!</v>
      </c>
      <c r="W3710" s="44">
        <f>Planning[[#This Row],[Horas Planificadas]]+Planning[[#This Row],[Horas ajustadas adicionales]]</f>
        <v>14</v>
      </c>
      <c r="X3710" s="142"/>
    </row>
    <row r="3711" spans="1:24" ht="13.35" customHeight="1" x14ac:dyDescent="0.2">
      <c r="A3711" s="7" t="s">
        <v>435</v>
      </c>
      <c r="B3711" s="7" t="s">
        <v>178</v>
      </c>
      <c r="C3711" s="3"/>
      <c r="D3711" s="3" t="s">
        <v>664</v>
      </c>
      <c r="E3711" s="4" t="s">
        <v>32</v>
      </c>
      <c r="F3711" s="3"/>
      <c r="G3711" s="9">
        <v>20</v>
      </c>
      <c r="H3711" s="14">
        <f>SUM(H3712:H3714)</f>
        <v>20</v>
      </c>
      <c r="I3711" s="14"/>
      <c r="J3711" s="14" t="e">
        <f>SUM(J3712:J3714)</f>
        <v>#REF!</v>
      </c>
      <c r="K3711" s="14" t="e">
        <f>+Planning[[#This Row],[Horas Planificadas]]+Planning[[#This Row],[Horas ajustadas adicionales]]-Planning[[#This Row],[Horas utilizadas]]</f>
        <v>#REF!</v>
      </c>
      <c r="L3711" s="15">
        <f>SUM(L3712:L3714)</f>
        <v>0</v>
      </c>
      <c r="M3711" s="16" t="e">
        <f>SUM(M3712:M3714)</f>
        <v>#REF!</v>
      </c>
      <c r="N3711" s="60" t="e">
        <f>+SUMIFS(#REF!,#REF!,Planning[[#This Row],[Proyectos]],#REF!,Planning[[#This Row],[Tipo de Tarea y especialidad]])</f>
        <v>#REF!</v>
      </c>
      <c r="O3711" s="16">
        <f t="shared" si="114"/>
        <v>10</v>
      </c>
      <c r="P3711" s="16">
        <f t="shared" si="115"/>
        <v>2024</v>
      </c>
      <c r="Q3711" s="16" t="e">
        <f>SUM(Q3712:Q3714)</f>
        <v>#REF!</v>
      </c>
      <c r="R3711" s="16" t="str">
        <f>TEXT(Planning[[#This Row],[Mes]]*29,"mmmm")</f>
        <v>October</v>
      </c>
      <c r="S37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11" s="193"/>
      <c r="U3711" s="43" t="e">
        <f>IF(Planning[[#This Row],[Horas Planificadas]]&lt;&gt;0,+K3711/Planning[[#This Row],[Horas Planificadas]],0)</f>
        <v>#REF!</v>
      </c>
      <c r="V3711" s="43" t="e">
        <f>IF(Planning[[#This Row],[Horas Planificadas]]&lt;&gt;0,Planning[[#This Row],[Horas utilizadas]]/Planning[[#This Row],[Horas Planificadas]],0)</f>
        <v>#REF!</v>
      </c>
      <c r="W3711" s="44">
        <f>Planning[[#This Row],[Horas Planificadas]]+Planning[[#This Row],[Horas ajustadas adicionales]]</f>
        <v>20</v>
      </c>
      <c r="X3711" s="142"/>
    </row>
    <row r="3712" spans="1:24" ht="13.35" customHeight="1" x14ac:dyDescent="0.2">
      <c r="A3712" s="7" t="s">
        <v>435</v>
      </c>
      <c r="B3712" s="7" t="s">
        <v>178</v>
      </c>
      <c r="C3712" s="3"/>
      <c r="D3712" s="3" t="s">
        <v>664</v>
      </c>
      <c r="E3712" s="4"/>
      <c r="F3712" s="3" t="s">
        <v>129</v>
      </c>
      <c r="G3712" s="9">
        <v>0</v>
      </c>
      <c r="H3712" s="9">
        <v>0</v>
      </c>
      <c r="I3712" s="12"/>
      <c r="J3712" s="5" t="e">
        <f>SUM(SUMIFS(#REF!,#REF!,Planning[[#This Row],[Tipo de Tarea y especialidad]],#REF!,Planning[[#This Row],[Proyectos Reiwa]]),SUMIFS(#REF!,#REF!,Planning[[#This Row],[Tipo de Tarea y especialidad]],#REF!,Planning[[#This Row],[Proyectos]]))</f>
        <v>#REF!</v>
      </c>
      <c r="K3712" s="5" t="e">
        <f>+Planning[[#This Row],[Horas Planificadas]]+Planning[[#This Row],[Horas ajustadas adicionales]]-Planning[[#This Row],[Horas utilizadas]]</f>
        <v>#REF!</v>
      </c>
      <c r="L3712" s="7">
        <v>0</v>
      </c>
      <c r="M3712" s="19" t="e">
        <f>Planning[[#This Row],[Saldo]]-Planning[[#This Row],[Saldo estimado]]</f>
        <v>#REF!</v>
      </c>
      <c r="N3712" s="60" t="e">
        <f>+SUMIFS(#REF!,#REF!,Planning[[#This Row],[Proyectos]],#REF!,Planning[[#This Row],[Tipo de Tarea y especialidad]])</f>
        <v>#REF!</v>
      </c>
      <c r="O3712" s="19">
        <f t="shared" si="114"/>
        <v>10</v>
      </c>
      <c r="P3712" s="19">
        <f t="shared" si="115"/>
        <v>2024</v>
      </c>
      <c r="Q37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12" s="19" t="str">
        <f>TEXT(Planning[[#This Row],[Mes]]*29,"mmmm")</f>
        <v>October</v>
      </c>
      <c r="S37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12" s="193"/>
      <c r="U3712" s="43">
        <f>IF(Planning[[#This Row],[Horas Planificadas]]&lt;&gt;0,+K3712/Planning[[#This Row],[Horas Planificadas]],0)</f>
        <v>0</v>
      </c>
      <c r="V3712" s="43">
        <f>IF(Planning[[#This Row],[Horas Planificadas]]&lt;&gt;0,Planning[[#This Row],[Horas utilizadas]]/Planning[[#This Row],[Horas Planificadas]],0)</f>
        <v>0</v>
      </c>
      <c r="W3712" s="44">
        <f>Planning[[#This Row],[Horas Planificadas]]+Planning[[#This Row],[Horas ajustadas adicionales]]</f>
        <v>0</v>
      </c>
      <c r="X3712" s="142"/>
    </row>
    <row r="3713" spans="1:24" ht="13.35" customHeight="1" x14ac:dyDescent="0.2">
      <c r="A3713" s="7" t="s">
        <v>435</v>
      </c>
      <c r="B3713" s="7" t="s">
        <v>178</v>
      </c>
      <c r="C3713" s="3"/>
      <c r="D3713" s="3" t="s">
        <v>664</v>
      </c>
      <c r="E3713" s="4"/>
      <c r="F3713" s="3" t="s">
        <v>130</v>
      </c>
      <c r="G3713" s="9">
        <v>20</v>
      </c>
      <c r="H3713" s="9">
        <v>20</v>
      </c>
      <c r="I3713" s="12"/>
      <c r="J3713" s="5" t="e">
        <f>SUM(SUMIFS(#REF!,#REF!,Planning[[#This Row],[Tipo de Tarea y especialidad]],#REF!,Planning[[#This Row],[Proyectos Reiwa]]),SUMIFS(#REF!,#REF!,Planning[[#This Row],[Tipo de Tarea y especialidad]],#REF!,Planning[[#This Row],[Proyectos]]))</f>
        <v>#REF!</v>
      </c>
      <c r="K3713" s="5" t="e">
        <f>+Planning[[#This Row],[Horas Planificadas]]+Planning[[#This Row],[Horas ajustadas adicionales]]-Planning[[#This Row],[Horas utilizadas]]</f>
        <v>#REF!</v>
      </c>
      <c r="L3713" s="7">
        <v>0</v>
      </c>
      <c r="M3713" s="19" t="e">
        <f>Planning[[#This Row],[Saldo]]-Planning[[#This Row],[Saldo estimado]]</f>
        <v>#REF!</v>
      </c>
      <c r="N3713" s="60" t="e">
        <f>+SUMIFS(#REF!,#REF!,Planning[[#This Row],[Proyectos]],#REF!,Planning[[#This Row],[Tipo de Tarea y especialidad]])</f>
        <v>#REF!</v>
      </c>
      <c r="O3713" s="19">
        <f t="shared" si="114"/>
        <v>10</v>
      </c>
      <c r="P3713" s="19">
        <f t="shared" si="115"/>
        <v>2024</v>
      </c>
      <c r="Q37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13" s="19" t="str">
        <f>TEXT(Planning[[#This Row],[Mes]]*29,"mmmm")</f>
        <v>October</v>
      </c>
      <c r="S37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13" s="193"/>
      <c r="U3713" s="43" t="e">
        <f>IF(Planning[[#This Row],[Horas Planificadas]]&lt;&gt;0,+K3713/Planning[[#This Row],[Horas Planificadas]],0)</f>
        <v>#REF!</v>
      </c>
      <c r="V3713" s="43" t="e">
        <f>IF(Planning[[#This Row],[Horas Planificadas]]&lt;&gt;0,Planning[[#This Row],[Horas utilizadas]]/Planning[[#This Row],[Horas Planificadas]],0)</f>
        <v>#REF!</v>
      </c>
      <c r="W3713" s="44">
        <f>Planning[[#This Row],[Horas Planificadas]]+Planning[[#This Row],[Horas ajustadas adicionales]]</f>
        <v>20</v>
      </c>
      <c r="X3713" s="142"/>
    </row>
    <row r="3714" spans="1:24" ht="13.35" customHeight="1" x14ac:dyDescent="0.2">
      <c r="A3714" s="7" t="s">
        <v>435</v>
      </c>
      <c r="B3714" s="7" t="s">
        <v>178</v>
      </c>
      <c r="C3714" s="3"/>
      <c r="D3714" s="3" t="s">
        <v>664</v>
      </c>
      <c r="E3714" s="4"/>
      <c r="F3714" s="3" t="s">
        <v>131</v>
      </c>
      <c r="G3714" s="9">
        <v>0</v>
      </c>
      <c r="H3714" s="9">
        <v>0</v>
      </c>
      <c r="I3714" s="12"/>
      <c r="J3714" s="5" t="e">
        <f>SUM(SUMIFS(#REF!,#REF!,Planning[[#This Row],[Tipo de Tarea y especialidad]],#REF!,Planning[[#This Row],[Proyectos Reiwa]]),SUMIFS(#REF!,#REF!,Planning[[#This Row],[Tipo de Tarea y especialidad]],#REF!,Planning[[#This Row],[Proyectos]]))</f>
        <v>#REF!</v>
      </c>
      <c r="K3714" s="5" t="e">
        <f>+Planning[[#This Row],[Horas Planificadas]]+Planning[[#This Row],[Horas ajustadas adicionales]]-Planning[[#This Row],[Horas utilizadas]]</f>
        <v>#REF!</v>
      </c>
      <c r="L3714" s="7">
        <v>0</v>
      </c>
      <c r="M3714" s="19" t="e">
        <f>Planning[[#This Row],[Saldo]]-Planning[[#This Row],[Saldo estimado]]</f>
        <v>#REF!</v>
      </c>
      <c r="N3714" s="60" t="e">
        <f>+SUMIFS(#REF!,#REF!,Planning[[#This Row],[Proyectos]],#REF!,Planning[[#This Row],[Tipo de Tarea y especialidad]])</f>
        <v>#REF!</v>
      </c>
      <c r="O3714" s="19">
        <f t="shared" si="114"/>
        <v>10</v>
      </c>
      <c r="P3714" s="19">
        <f t="shared" si="115"/>
        <v>2024</v>
      </c>
      <c r="Q37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14" s="19" t="str">
        <f>TEXT(Planning[[#This Row],[Mes]]*29,"mmmm")</f>
        <v>October</v>
      </c>
      <c r="S37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14" s="193"/>
      <c r="U3714" s="43">
        <f>IF(Planning[[#This Row],[Horas Planificadas]]&lt;&gt;0,+K3714/Planning[[#This Row],[Horas Planificadas]],0)</f>
        <v>0</v>
      </c>
      <c r="V3714" s="43">
        <f>IF(Planning[[#This Row],[Horas Planificadas]]&lt;&gt;0,Planning[[#This Row],[Horas utilizadas]]/Planning[[#This Row],[Horas Planificadas]],0)</f>
        <v>0</v>
      </c>
      <c r="W3714" s="44">
        <f>Planning[[#This Row],[Horas Planificadas]]+Planning[[#This Row],[Horas ajustadas adicionales]]</f>
        <v>0</v>
      </c>
      <c r="X3714" s="142"/>
    </row>
    <row r="3715" spans="1:24" ht="22.5" x14ac:dyDescent="0.2">
      <c r="A3715" s="7" t="s">
        <v>294</v>
      </c>
      <c r="B3715" s="7" t="s">
        <v>118</v>
      </c>
      <c r="C3715" s="3"/>
      <c r="D3715" s="3" t="s">
        <v>666</v>
      </c>
      <c r="E3715" s="4" t="s">
        <v>28</v>
      </c>
      <c r="F3715" s="3"/>
      <c r="G3715" s="9">
        <v>992</v>
      </c>
      <c r="H3715" s="14">
        <f>SUM(H3716:H3717)</f>
        <v>1104</v>
      </c>
      <c r="I3715" s="14"/>
      <c r="J3715" s="14" t="e">
        <f>SUM(J3716:J3717)</f>
        <v>#REF!</v>
      </c>
      <c r="K3715" s="14" t="e">
        <f>+Planning[[#This Row],[Horas Planificadas]]+Planning[[#This Row],[Horas ajustadas adicionales]]-Planning[[#This Row],[Horas utilizadas]]</f>
        <v>#REF!</v>
      </c>
      <c r="L3715" s="15">
        <f>SUM(L3716:L3717)</f>
        <v>36</v>
      </c>
      <c r="M3715" s="14" t="e">
        <f>SUM(M3716:M3717)</f>
        <v>#REF!</v>
      </c>
      <c r="N3715" s="66" t="e">
        <f>+SUMIFS(#REF!,#REF!,Planning[[#This Row],[Proyectos]],#REF!,Planning[[#This Row],[Tipo de Tarea y especialidad]])</f>
        <v>#REF!</v>
      </c>
      <c r="O3715" s="14">
        <f t="shared" si="114"/>
        <v>10</v>
      </c>
      <c r="P3715" s="14">
        <f t="shared" si="115"/>
        <v>2024</v>
      </c>
      <c r="Q3715" s="28" t="e">
        <f>SUM(Q3716:Q3717)</f>
        <v>#REF!</v>
      </c>
      <c r="R3715" s="28" t="str">
        <f>TEXT(Planning[[#This Row],[Mes]]*29,"mmmm")</f>
        <v>October</v>
      </c>
      <c r="S37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15" s="192" t="s">
        <v>667</v>
      </c>
      <c r="U3715" s="43" t="e">
        <f>IF(Planning[[#This Row],[Horas Planificadas]]&lt;&gt;0,+K3715/Planning[[#This Row],[Horas Planificadas]],0)</f>
        <v>#REF!</v>
      </c>
      <c r="V3715" s="43" t="e">
        <f>IF(Planning[[#This Row],[Horas Planificadas]]&lt;&gt;0,Planning[[#This Row],[Horas utilizadas]]/Planning[[#This Row],[Horas Planificadas]],0)</f>
        <v>#REF!</v>
      </c>
      <c r="W3715" s="44">
        <f>Planning[[#This Row],[Horas Planificadas]]+Planning[[#This Row],[Horas ajustadas adicionales]]</f>
        <v>1104</v>
      </c>
      <c r="X3715" s="142"/>
    </row>
    <row r="3716" spans="1:24" x14ac:dyDescent="0.2">
      <c r="A3716" s="7" t="s">
        <v>294</v>
      </c>
      <c r="B3716" s="7" t="s">
        <v>118</v>
      </c>
      <c r="C3716" s="3"/>
      <c r="D3716" s="3" t="s">
        <v>666</v>
      </c>
      <c r="E3716" s="4"/>
      <c r="F3716" s="3" t="s">
        <v>120</v>
      </c>
      <c r="G3716" s="9"/>
      <c r="H3716" s="9">
        <v>589</v>
      </c>
      <c r="I3716" s="12">
        <v>61</v>
      </c>
      <c r="J3716" s="5" t="e">
        <f>SUM(SUMIFS(#REF!,#REF!,Planning[[#This Row],[Tipo de Tarea y especialidad]],#REF!,Planning[[#This Row],[Proyectos Reiwa]]),SUMIFS(#REF!,#REF!,Planning[[#This Row],[Tipo de Tarea y especialidad]],#REF!,Planning[[#This Row],[Proyectos]]))</f>
        <v>#REF!</v>
      </c>
      <c r="K3716" s="5" t="e">
        <f>+Planning[[#This Row],[Horas Planificadas]]+Planning[[#This Row],[Horas ajustadas adicionales]]-Planning[[#This Row],[Horas utilizadas]]</f>
        <v>#REF!</v>
      </c>
      <c r="L3716" s="7">
        <v>0</v>
      </c>
      <c r="M3716" s="19" t="e">
        <f>Planning[[#This Row],[Saldo]]-Planning[[#This Row],[Saldo estimado]]</f>
        <v>#REF!</v>
      </c>
      <c r="N3716" s="60" t="e">
        <f>+SUMIFS(#REF!,#REF!,Planning[[#This Row],[Proyectos]],#REF!,Planning[[#This Row],[Tipo de Tarea y especialidad]])</f>
        <v>#REF!</v>
      </c>
      <c r="O3716" s="19">
        <f t="shared" si="114"/>
        <v>10</v>
      </c>
      <c r="P3716" s="19">
        <f t="shared" si="115"/>
        <v>2024</v>
      </c>
      <c r="Q37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16" s="19" t="str">
        <f>TEXT(Planning[[#This Row],[Mes]]*29,"mmmm")</f>
        <v>October</v>
      </c>
      <c r="S37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16" s="193"/>
      <c r="U3716" s="43" t="e">
        <f>IF(Planning[[#This Row],[Horas Planificadas]]&lt;&gt;0,+K3716/Planning[[#This Row],[Horas Planificadas]],0)</f>
        <v>#REF!</v>
      </c>
      <c r="V3716" s="43" t="e">
        <f>IF(Planning[[#This Row],[Horas Planificadas]]&lt;&gt;0,Planning[[#This Row],[Horas utilizadas]]/Planning[[#This Row],[Horas Planificadas]],0)</f>
        <v>#REF!</v>
      </c>
      <c r="W3716" s="44">
        <f>Planning[[#This Row],[Horas Planificadas]]+Planning[[#This Row],[Horas ajustadas adicionales]]</f>
        <v>650</v>
      </c>
      <c r="X3716" s="142"/>
    </row>
    <row r="3717" spans="1:24" x14ac:dyDescent="0.2">
      <c r="A3717" s="7" t="s">
        <v>294</v>
      </c>
      <c r="B3717" s="7" t="s">
        <v>118</v>
      </c>
      <c r="C3717" s="3"/>
      <c r="D3717" s="3" t="s">
        <v>666</v>
      </c>
      <c r="E3717" s="4"/>
      <c r="F3717" s="3" t="s">
        <v>121</v>
      </c>
      <c r="G3717" s="9"/>
      <c r="H3717" s="9">
        <v>515</v>
      </c>
      <c r="I3717" s="12"/>
      <c r="J3717" s="5" t="e">
        <f>SUM(SUMIFS(#REF!,#REF!,Planning[[#This Row],[Tipo de Tarea y especialidad]],#REF!,Planning[[#This Row],[Proyectos Reiwa]]),SUMIFS(#REF!,#REF!,Planning[[#This Row],[Tipo de Tarea y especialidad]],#REF!,Planning[[#This Row],[Proyectos]]))</f>
        <v>#REF!</v>
      </c>
      <c r="K3717" s="5" t="e">
        <f>+Planning[[#This Row],[Horas Planificadas]]+Planning[[#This Row],[Horas ajustadas adicionales]]-Planning[[#This Row],[Horas utilizadas]]</f>
        <v>#REF!</v>
      </c>
      <c r="L3717" s="7">
        <v>36</v>
      </c>
      <c r="M3717" s="19" t="e">
        <f>Planning[[#This Row],[Saldo]]-Planning[[#This Row],[Saldo estimado]]</f>
        <v>#REF!</v>
      </c>
      <c r="N3717" s="60" t="e">
        <f>+SUMIFS(#REF!,#REF!,Planning[[#This Row],[Proyectos]],#REF!,Planning[[#This Row],[Tipo de Tarea y especialidad]])</f>
        <v>#REF!</v>
      </c>
      <c r="O3717" s="19">
        <f t="shared" si="114"/>
        <v>10</v>
      </c>
      <c r="P3717" s="19">
        <f t="shared" si="115"/>
        <v>2024</v>
      </c>
      <c r="Q37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17" s="19" t="str">
        <f>TEXT(Planning[[#This Row],[Mes]]*29,"mmmm")</f>
        <v>October</v>
      </c>
      <c r="S37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17" s="193"/>
      <c r="U3717" s="43" t="e">
        <f>IF(Planning[[#This Row],[Horas Planificadas]]&lt;&gt;0,+K3717/Planning[[#This Row],[Horas Planificadas]],0)</f>
        <v>#REF!</v>
      </c>
      <c r="V3717" s="43" t="e">
        <f>IF(Planning[[#This Row],[Horas Planificadas]]&lt;&gt;0,Planning[[#This Row],[Horas utilizadas]]/Planning[[#This Row],[Horas Planificadas]],0)</f>
        <v>#REF!</v>
      </c>
      <c r="W3717" s="44">
        <f>Planning[[#This Row],[Horas Planificadas]]+Planning[[#This Row],[Horas ajustadas adicionales]]</f>
        <v>515</v>
      </c>
      <c r="X3717" s="142"/>
    </row>
    <row r="3718" spans="1:24" x14ac:dyDescent="0.2">
      <c r="A3718" s="7" t="s">
        <v>294</v>
      </c>
      <c r="B3718" s="7" t="s">
        <v>118</v>
      </c>
      <c r="C3718" s="3"/>
      <c r="D3718" s="3" t="s">
        <v>666</v>
      </c>
      <c r="E3718" s="4" t="s">
        <v>30</v>
      </c>
      <c r="F3718" s="3"/>
      <c r="G3718" s="9">
        <v>1005</v>
      </c>
      <c r="H3718" s="14">
        <f>SUM(H3719:H3725)</f>
        <v>1129</v>
      </c>
      <c r="I3718" s="14"/>
      <c r="J3718" s="14" t="e">
        <f>SUM(J3719:J3725)</f>
        <v>#REF!</v>
      </c>
      <c r="K3718" s="14" t="e">
        <f>+Planning[[#This Row],[Horas Planificadas]]+Planning[[#This Row],[Horas ajustadas adicionales]]-Planning[[#This Row],[Horas utilizadas]]</f>
        <v>#REF!</v>
      </c>
      <c r="L3718" s="15">
        <f>SUM(L3719:L3725)</f>
        <v>54</v>
      </c>
      <c r="M3718" s="16" t="e">
        <f>SUM(M3719:M3725)</f>
        <v>#REF!</v>
      </c>
      <c r="N3718" s="60" t="e">
        <f>+SUMIFS(#REF!,#REF!,Planning[[#This Row],[Proyectos]],#REF!,Planning[[#This Row],[Tipo de Tarea y especialidad]])</f>
        <v>#REF!</v>
      </c>
      <c r="O3718" s="16">
        <f t="shared" si="114"/>
        <v>10</v>
      </c>
      <c r="P3718" s="16">
        <f t="shared" si="115"/>
        <v>2024</v>
      </c>
      <c r="Q3718" s="16" t="e">
        <f>SUM(Q3719:Q3725)</f>
        <v>#REF!</v>
      </c>
      <c r="R3718" s="16" t="str">
        <f>TEXT(Planning[[#This Row],[Mes]]*29,"mmmm")</f>
        <v>October</v>
      </c>
      <c r="S37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18" s="193"/>
      <c r="U3718" s="43" t="e">
        <f>IF(Planning[[#This Row],[Horas Planificadas]]&lt;&gt;0,+K3718/Planning[[#This Row],[Horas Planificadas]],0)</f>
        <v>#REF!</v>
      </c>
      <c r="V3718" s="43" t="e">
        <f>IF(Planning[[#This Row],[Horas Planificadas]]&lt;&gt;0,Planning[[#This Row],[Horas utilizadas]]/Planning[[#This Row],[Horas Planificadas]],0)</f>
        <v>#REF!</v>
      </c>
      <c r="W3718" s="44">
        <f>Planning[[#This Row],[Horas Planificadas]]+Planning[[#This Row],[Horas ajustadas adicionales]]</f>
        <v>1129</v>
      </c>
      <c r="X3718" s="142"/>
    </row>
    <row r="3719" spans="1:24" x14ac:dyDescent="0.2">
      <c r="A3719" s="7" t="s">
        <v>294</v>
      </c>
      <c r="B3719" s="7" t="s">
        <v>118</v>
      </c>
      <c r="C3719" s="3"/>
      <c r="D3719" s="3" t="s">
        <v>666</v>
      </c>
      <c r="E3719" s="4"/>
      <c r="F3719" s="3" t="s">
        <v>122</v>
      </c>
      <c r="G3719" s="9"/>
      <c r="H3719" s="9">
        <v>297</v>
      </c>
      <c r="I3719" s="12">
        <v>200</v>
      </c>
      <c r="J3719" s="5" t="e">
        <f>SUM(SUMIFS(#REF!,#REF!,Planning[[#This Row],[Tipo de Tarea y especialidad]],#REF!,Planning[[#This Row],[Proyectos Reiwa]]),SUMIFS(#REF!,#REF!,Planning[[#This Row],[Tipo de Tarea y especialidad]],#REF!,Planning[[#This Row],[Proyectos]]))</f>
        <v>#REF!</v>
      </c>
      <c r="K3719" s="5" t="e">
        <f>+Planning[[#This Row],[Horas Planificadas]]+Planning[[#This Row],[Horas ajustadas adicionales]]-Planning[[#This Row],[Horas utilizadas]]</f>
        <v>#REF!</v>
      </c>
      <c r="L3719" s="7">
        <v>18</v>
      </c>
      <c r="M3719" s="19" t="e">
        <f>Planning[[#This Row],[Saldo]]-Planning[[#This Row],[Saldo estimado]]</f>
        <v>#REF!</v>
      </c>
      <c r="N3719" s="60" t="e">
        <f>+SUMIFS(#REF!,#REF!,Planning[[#This Row],[Proyectos]],#REF!,Planning[[#This Row],[Tipo de Tarea y especialidad]])</f>
        <v>#REF!</v>
      </c>
      <c r="O3719" s="19">
        <f t="shared" ref="O3719:O3782" si="116">$L$4</f>
        <v>10</v>
      </c>
      <c r="P3719" s="19">
        <f t="shared" ref="P3719:P3782" si="117">$M$4</f>
        <v>2024</v>
      </c>
      <c r="Q37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19" s="19" t="str">
        <f>TEXT(Planning[[#This Row],[Mes]]*29,"mmmm")</f>
        <v>October</v>
      </c>
      <c r="S37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19" s="193"/>
      <c r="U3719" s="43" t="e">
        <f>IF(Planning[[#This Row],[Horas Planificadas]]&lt;&gt;0,+K3719/Planning[[#This Row],[Horas Planificadas]],0)</f>
        <v>#REF!</v>
      </c>
      <c r="V3719" s="43" t="e">
        <f>IF(Planning[[#This Row],[Horas Planificadas]]&lt;&gt;0,Planning[[#This Row],[Horas utilizadas]]/Planning[[#This Row],[Horas Planificadas]],0)</f>
        <v>#REF!</v>
      </c>
      <c r="W3719" s="44">
        <f>Planning[[#This Row],[Horas Planificadas]]+Planning[[#This Row],[Horas ajustadas adicionales]]</f>
        <v>497</v>
      </c>
      <c r="X3719" s="142"/>
    </row>
    <row r="3720" spans="1:24" x14ac:dyDescent="0.2">
      <c r="A3720" s="7" t="s">
        <v>294</v>
      </c>
      <c r="B3720" s="7" t="s">
        <v>118</v>
      </c>
      <c r="C3720" s="3"/>
      <c r="D3720" s="3" t="s">
        <v>666</v>
      </c>
      <c r="E3720" s="4"/>
      <c r="F3720" s="3" t="s">
        <v>123</v>
      </c>
      <c r="G3720" s="9"/>
      <c r="H3720" s="9">
        <v>354</v>
      </c>
      <c r="I3720" s="12">
        <v>134</v>
      </c>
      <c r="J3720" s="5" t="e">
        <f>SUM(SUMIFS(#REF!,#REF!,Planning[[#This Row],[Tipo de Tarea y especialidad]],#REF!,Planning[[#This Row],[Proyectos Reiwa]]),SUMIFS(#REF!,#REF!,Planning[[#This Row],[Tipo de Tarea y especialidad]],#REF!,Planning[[#This Row],[Proyectos]]))</f>
        <v>#REF!</v>
      </c>
      <c r="K3720" s="5" t="e">
        <f>+Planning[[#This Row],[Horas Planificadas]]+Planning[[#This Row],[Horas ajustadas adicionales]]-Planning[[#This Row],[Horas utilizadas]]</f>
        <v>#REF!</v>
      </c>
      <c r="L3720" s="7">
        <v>18</v>
      </c>
      <c r="M3720" s="19" t="e">
        <f>Planning[[#This Row],[Saldo]]-Planning[[#This Row],[Saldo estimado]]</f>
        <v>#REF!</v>
      </c>
      <c r="N3720" s="60" t="e">
        <f>+SUMIFS(#REF!,#REF!,Planning[[#This Row],[Proyectos]],#REF!,Planning[[#This Row],[Tipo de Tarea y especialidad]])</f>
        <v>#REF!</v>
      </c>
      <c r="O3720" s="19">
        <f t="shared" si="116"/>
        <v>10</v>
      </c>
      <c r="P3720" s="19">
        <f t="shared" si="117"/>
        <v>2024</v>
      </c>
      <c r="Q37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20" s="19" t="str">
        <f>TEXT(Planning[[#This Row],[Mes]]*29,"mmmm")</f>
        <v>October</v>
      </c>
      <c r="S37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20" s="193"/>
      <c r="U3720" s="43" t="e">
        <f>IF(Planning[[#This Row],[Horas Planificadas]]&lt;&gt;0,+K3720/Planning[[#This Row],[Horas Planificadas]],0)</f>
        <v>#REF!</v>
      </c>
      <c r="V3720" s="43" t="e">
        <f>IF(Planning[[#This Row],[Horas Planificadas]]&lt;&gt;0,Planning[[#This Row],[Horas utilizadas]]/Planning[[#This Row],[Horas Planificadas]],0)</f>
        <v>#REF!</v>
      </c>
      <c r="W3720" s="44">
        <f>Planning[[#This Row],[Horas Planificadas]]+Planning[[#This Row],[Horas ajustadas adicionales]]</f>
        <v>488</v>
      </c>
      <c r="X3720" s="142"/>
    </row>
    <row r="3721" spans="1:24" x14ac:dyDescent="0.2">
      <c r="A3721" s="7" t="s">
        <v>294</v>
      </c>
      <c r="B3721" s="7" t="s">
        <v>118</v>
      </c>
      <c r="C3721" s="3"/>
      <c r="D3721" s="3" t="s">
        <v>666</v>
      </c>
      <c r="E3721" s="4"/>
      <c r="F3721" s="3" t="s">
        <v>124</v>
      </c>
      <c r="G3721" s="9"/>
      <c r="H3721" s="9"/>
      <c r="I3721" s="12"/>
      <c r="J3721" s="5" t="e">
        <f>SUM(SUMIFS(#REF!,#REF!,Planning[[#This Row],[Tipo de Tarea y especialidad]],#REF!,Planning[[#This Row],[Proyectos Reiwa]]),SUMIFS(#REF!,#REF!,Planning[[#This Row],[Tipo de Tarea y especialidad]],#REF!,Planning[[#This Row],[Proyectos]]))</f>
        <v>#REF!</v>
      </c>
      <c r="K3721" s="5" t="e">
        <f>+Planning[[#This Row],[Horas Planificadas]]+Planning[[#This Row],[Horas ajustadas adicionales]]-Planning[[#This Row],[Horas utilizadas]]</f>
        <v>#REF!</v>
      </c>
      <c r="L3721" s="7"/>
      <c r="M3721" s="19" t="e">
        <f>Planning[[#This Row],[Saldo]]-Planning[[#This Row],[Saldo estimado]]</f>
        <v>#REF!</v>
      </c>
      <c r="N3721" s="60" t="e">
        <f>+SUMIFS(#REF!,#REF!,Planning[[#This Row],[Proyectos]],#REF!,Planning[[#This Row],[Tipo de Tarea y especialidad]])</f>
        <v>#REF!</v>
      </c>
      <c r="O3721" s="19">
        <f t="shared" si="116"/>
        <v>10</v>
      </c>
      <c r="P3721" s="19">
        <f t="shared" si="117"/>
        <v>2024</v>
      </c>
      <c r="Q37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21" s="19" t="str">
        <f>TEXT(Planning[[#This Row],[Mes]]*29,"mmmm")</f>
        <v>October</v>
      </c>
      <c r="S37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21" s="193"/>
      <c r="U3721" s="43">
        <f>IF(Planning[[#This Row],[Horas Planificadas]]&lt;&gt;0,+K3721/Planning[[#This Row],[Horas Planificadas]],0)</f>
        <v>0</v>
      </c>
      <c r="V3721" s="43">
        <f>IF(Planning[[#This Row],[Horas Planificadas]]&lt;&gt;0,Planning[[#This Row],[Horas utilizadas]]/Planning[[#This Row],[Horas Planificadas]],0)</f>
        <v>0</v>
      </c>
      <c r="W3721" s="44">
        <f>Planning[[#This Row],[Horas Planificadas]]+Planning[[#This Row],[Horas ajustadas adicionales]]</f>
        <v>0</v>
      </c>
      <c r="X3721" s="142"/>
    </row>
    <row r="3722" spans="1:24" x14ac:dyDescent="0.2">
      <c r="A3722" s="7" t="s">
        <v>294</v>
      </c>
      <c r="B3722" s="7" t="s">
        <v>118</v>
      </c>
      <c r="C3722" s="3"/>
      <c r="D3722" s="3" t="s">
        <v>666</v>
      </c>
      <c r="E3722" s="4"/>
      <c r="F3722" s="3" t="s">
        <v>125</v>
      </c>
      <c r="G3722" s="9"/>
      <c r="H3722" s="9">
        <v>198</v>
      </c>
      <c r="I3722" s="12"/>
      <c r="J3722" s="5" t="e">
        <f>SUM(SUMIFS(#REF!,#REF!,Planning[[#This Row],[Tipo de Tarea y especialidad]],#REF!,Planning[[#This Row],[Proyectos Reiwa]]),SUMIFS(#REF!,#REF!,Planning[[#This Row],[Tipo de Tarea y especialidad]],#REF!,Planning[[#This Row],[Proyectos]]))</f>
        <v>#REF!</v>
      </c>
      <c r="K3722" s="5" t="e">
        <f>+Planning[[#This Row],[Horas Planificadas]]+Planning[[#This Row],[Horas ajustadas adicionales]]-Planning[[#This Row],[Horas utilizadas]]</f>
        <v>#REF!</v>
      </c>
      <c r="L3722" s="7">
        <v>18</v>
      </c>
      <c r="M3722" s="19" t="e">
        <f>Planning[[#This Row],[Saldo]]-Planning[[#This Row],[Saldo estimado]]</f>
        <v>#REF!</v>
      </c>
      <c r="N3722" s="60" t="e">
        <f>+SUMIFS(#REF!,#REF!,Planning[[#This Row],[Proyectos]],#REF!,Planning[[#This Row],[Tipo de Tarea y especialidad]])</f>
        <v>#REF!</v>
      </c>
      <c r="O3722" s="19">
        <f t="shared" si="116"/>
        <v>10</v>
      </c>
      <c r="P3722" s="19">
        <f t="shared" si="117"/>
        <v>2024</v>
      </c>
      <c r="Q37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22" s="19" t="str">
        <f>TEXT(Planning[[#This Row],[Mes]]*29,"mmmm")</f>
        <v>October</v>
      </c>
      <c r="S37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22" s="193"/>
      <c r="U3722" s="43" t="e">
        <f>IF(Planning[[#This Row],[Horas Planificadas]]&lt;&gt;0,+K3722/Planning[[#This Row],[Horas Planificadas]],0)</f>
        <v>#REF!</v>
      </c>
      <c r="V3722" s="43" t="e">
        <f>IF(Planning[[#This Row],[Horas Planificadas]]&lt;&gt;0,Planning[[#This Row],[Horas utilizadas]]/Planning[[#This Row],[Horas Planificadas]],0)</f>
        <v>#REF!</v>
      </c>
      <c r="W3722" s="44">
        <f>Planning[[#This Row],[Horas Planificadas]]+Planning[[#This Row],[Horas ajustadas adicionales]]</f>
        <v>198</v>
      </c>
      <c r="X3722" s="142"/>
    </row>
    <row r="3723" spans="1:24" x14ac:dyDescent="0.2">
      <c r="A3723" s="7" t="s">
        <v>294</v>
      </c>
      <c r="B3723" s="7" t="s">
        <v>118</v>
      </c>
      <c r="C3723" s="3"/>
      <c r="D3723" s="3" t="s">
        <v>666</v>
      </c>
      <c r="E3723" s="4"/>
      <c r="F3723" s="3" t="s">
        <v>126</v>
      </c>
      <c r="G3723" s="9"/>
      <c r="H3723" s="9">
        <v>160</v>
      </c>
      <c r="I3723" s="12"/>
      <c r="J3723" s="5" t="e">
        <f>SUM(SUMIFS(#REF!,#REF!,Planning[[#This Row],[Tipo de Tarea y especialidad]],#REF!,Planning[[#This Row],[Proyectos Reiwa]]),SUMIFS(#REF!,#REF!,Planning[[#This Row],[Tipo de Tarea y especialidad]],#REF!,Planning[[#This Row],[Proyectos]]))</f>
        <v>#REF!</v>
      </c>
      <c r="K3723" s="5" t="e">
        <f>+Planning[[#This Row],[Horas Planificadas]]+Planning[[#This Row],[Horas ajustadas adicionales]]-Planning[[#This Row],[Horas utilizadas]]</f>
        <v>#REF!</v>
      </c>
      <c r="L3723" s="7">
        <v>0</v>
      </c>
      <c r="M3723" s="19" t="e">
        <f>Planning[[#This Row],[Saldo]]-Planning[[#This Row],[Saldo estimado]]</f>
        <v>#REF!</v>
      </c>
      <c r="N3723" s="60" t="e">
        <f>+SUMIFS(#REF!,#REF!,Planning[[#This Row],[Proyectos]],#REF!,Planning[[#This Row],[Tipo de Tarea y especialidad]])</f>
        <v>#REF!</v>
      </c>
      <c r="O3723" s="19">
        <f t="shared" si="116"/>
        <v>10</v>
      </c>
      <c r="P3723" s="19">
        <f t="shared" si="117"/>
        <v>2024</v>
      </c>
      <c r="Q37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23" s="19" t="str">
        <f>TEXT(Planning[[#This Row],[Mes]]*29,"mmmm")</f>
        <v>October</v>
      </c>
      <c r="S37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23" s="193"/>
      <c r="U3723" s="43" t="e">
        <f>IF(Planning[[#This Row],[Horas Planificadas]]&lt;&gt;0,+K3723/Planning[[#This Row],[Horas Planificadas]],0)</f>
        <v>#REF!</v>
      </c>
      <c r="V3723" s="43" t="e">
        <f>IF(Planning[[#This Row],[Horas Planificadas]]&lt;&gt;0,Planning[[#This Row],[Horas utilizadas]]/Planning[[#This Row],[Horas Planificadas]],0)</f>
        <v>#REF!</v>
      </c>
      <c r="W3723" s="44">
        <f>Planning[[#This Row],[Horas Planificadas]]+Planning[[#This Row],[Horas ajustadas adicionales]]</f>
        <v>160</v>
      </c>
      <c r="X3723" s="142"/>
    </row>
    <row r="3724" spans="1:24" x14ac:dyDescent="0.2">
      <c r="A3724" s="7" t="s">
        <v>294</v>
      </c>
      <c r="B3724" s="7" t="s">
        <v>118</v>
      </c>
      <c r="C3724" s="3"/>
      <c r="D3724" s="3" t="s">
        <v>666</v>
      </c>
      <c r="E3724" s="4"/>
      <c r="F3724" s="3" t="s">
        <v>127</v>
      </c>
      <c r="G3724" s="9"/>
      <c r="H3724" s="9">
        <v>120</v>
      </c>
      <c r="I3724" s="12"/>
      <c r="J3724" s="5" t="e">
        <f>SUM(SUMIFS(#REF!,#REF!,Planning[[#This Row],[Tipo de Tarea y especialidad]],#REF!,Planning[[#This Row],[Proyectos Reiwa]]),SUMIFS(#REF!,#REF!,Planning[[#This Row],[Tipo de Tarea y especialidad]],#REF!,Planning[[#This Row],[Proyectos]]))</f>
        <v>#REF!</v>
      </c>
      <c r="K3724" s="5" t="e">
        <f>+Planning[[#This Row],[Horas Planificadas]]+Planning[[#This Row],[Horas ajustadas adicionales]]-Planning[[#This Row],[Horas utilizadas]]</f>
        <v>#REF!</v>
      </c>
      <c r="L3724" s="7">
        <v>0</v>
      </c>
      <c r="M3724" s="19" t="e">
        <f>Planning[[#This Row],[Saldo]]-Planning[[#This Row],[Saldo estimado]]</f>
        <v>#REF!</v>
      </c>
      <c r="N3724" s="60" t="e">
        <f>+SUMIFS(#REF!,#REF!,Planning[[#This Row],[Proyectos]],#REF!,Planning[[#This Row],[Tipo de Tarea y especialidad]])</f>
        <v>#REF!</v>
      </c>
      <c r="O3724" s="19">
        <f t="shared" si="116"/>
        <v>10</v>
      </c>
      <c r="P3724" s="19">
        <f t="shared" si="117"/>
        <v>2024</v>
      </c>
      <c r="Q37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24" s="19" t="str">
        <f>TEXT(Planning[[#This Row],[Mes]]*29,"mmmm")</f>
        <v>October</v>
      </c>
      <c r="S37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24" s="193"/>
      <c r="U3724" s="43" t="e">
        <f>IF(Planning[[#This Row],[Horas Planificadas]]&lt;&gt;0,+K3724/Planning[[#This Row],[Horas Planificadas]],0)</f>
        <v>#REF!</v>
      </c>
      <c r="V3724" s="43" t="e">
        <f>IF(Planning[[#This Row],[Horas Planificadas]]&lt;&gt;0,Planning[[#This Row],[Horas utilizadas]]/Planning[[#This Row],[Horas Planificadas]],0)</f>
        <v>#REF!</v>
      </c>
      <c r="W3724" s="44">
        <f>Planning[[#This Row],[Horas Planificadas]]+Planning[[#This Row],[Horas ajustadas adicionales]]</f>
        <v>120</v>
      </c>
      <c r="X3724" s="142"/>
    </row>
    <row r="3725" spans="1:24" x14ac:dyDescent="0.2">
      <c r="A3725" s="7" t="s">
        <v>294</v>
      </c>
      <c r="B3725" s="7" t="s">
        <v>118</v>
      </c>
      <c r="C3725" s="3"/>
      <c r="D3725" s="3" t="s">
        <v>666</v>
      </c>
      <c r="E3725" s="4"/>
      <c r="F3725" s="3" t="s">
        <v>128</v>
      </c>
      <c r="G3725" s="9"/>
      <c r="H3725" s="9"/>
      <c r="I3725" s="12"/>
      <c r="J3725" s="5" t="e">
        <f>SUM(SUMIFS(#REF!,#REF!,Planning[[#This Row],[Tipo de Tarea y especialidad]],#REF!,Planning[[#This Row],[Proyectos Reiwa]]),SUMIFS(#REF!,#REF!,Planning[[#This Row],[Tipo de Tarea y especialidad]],#REF!,Planning[[#This Row],[Proyectos]]))</f>
        <v>#REF!</v>
      </c>
      <c r="K3725" s="5" t="e">
        <f>+Planning[[#This Row],[Horas Planificadas]]+Planning[[#This Row],[Horas ajustadas adicionales]]-Planning[[#This Row],[Horas utilizadas]]</f>
        <v>#REF!</v>
      </c>
      <c r="L3725" s="7"/>
      <c r="M3725" s="19" t="e">
        <f>Planning[[#This Row],[Saldo]]-Planning[[#This Row],[Saldo estimado]]</f>
        <v>#REF!</v>
      </c>
      <c r="N3725" s="60" t="e">
        <f>+SUMIFS(#REF!,#REF!,Planning[[#This Row],[Proyectos]],#REF!,Planning[[#This Row],[Tipo de Tarea y especialidad]])</f>
        <v>#REF!</v>
      </c>
      <c r="O3725" s="19">
        <f t="shared" si="116"/>
        <v>10</v>
      </c>
      <c r="P3725" s="19">
        <f t="shared" si="117"/>
        <v>2024</v>
      </c>
      <c r="Q37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25" s="19" t="str">
        <f>TEXT(Planning[[#This Row],[Mes]]*29,"mmmm")</f>
        <v>October</v>
      </c>
      <c r="S37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25" s="193"/>
      <c r="U3725" s="43">
        <f>IF(Planning[[#This Row],[Horas Planificadas]]&lt;&gt;0,+K3725/Planning[[#This Row],[Horas Planificadas]],0)</f>
        <v>0</v>
      </c>
      <c r="V3725" s="43">
        <f>IF(Planning[[#This Row],[Horas Planificadas]]&lt;&gt;0,Planning[[#This Row],[Horas utilizadas]]/Planning[[#This Row],[Horas Planificadas]],0)</f>
        <v>0</v>
      </c>
      <c r="W3725" s="44">
        <f>Planning[[#This Row],[Horas Planificadas]]+Planning[[#This Row],[Horas ajustadas adicionales]]</f>
        <v>0</v>
      </c>
      <c r="X3725" s="142"/>
    </row>
    <row r="3726" spans="1:24" x14ac:dyDescent="0.2">
      <c r="A3726" s="7" t="s">
        <v>294</v>
      </c>
      <c r="B3726" s="7" t="s">
        <v>118</v>
      </c>
      <c r="C3726" s="3"/>
      <c r="D3726" s="3" t="s">
        <v>666</v>
      </c>
      <c r="E3726" s="4" t="s">
        <v>31</v>
      </c>
      <c r="F3726" s="3" t="s">
        <v>31</v>
      </c>
      <c r="G3726" s="9"/>
      <c r="H3726" s="17">
        <f>Planning[[#This Row],[Horas Precálculo]]</f>
        <v>0</v>
      </c>
      <c r="I3726" s="18"/>
      <c r="J3726" s="14" t="e">
        <f>+SUMIFS(#REF!,#REF!,Planning[[#This Row],[Tarifa]],#REF!,Planning[[#This Row],[Proyectos]])</f>
        <v>#REF!</v>
      </c>
      <c r="K3726" s="14" t="e">
        <f>+Planning[[#This Row],[Horas Planificadas]]+Planning[[#This Row],[Horas ajustadas adicionales]]-Planning[[#This Row],[Horas utilizadas]]</f>
        <v>#REF!</v>
      </c>
      <c r="L3726" s="15">
        <v>0</v>
      </c>
      <c r="M3726" s="16" t="e">
        <f>Planning[[#This Row],[Saldo]]-Planning[[#This Row],[Saldo estimado]]</f>
        <v>#REF!</v>
      </c>
      <c r="N3726" s="60" t="e">
        <f>+SUMIFS(#REF!,#REF!,Planning[[#This Row],[Proyectos]],#REF!,Planning[[#This Row],[Tipo de Tarea y especialidad]])</f>
        <v>#REF!</v>
      </c>
      <c r="O3726" s="16">
        <f t="shared" si="116"/>
        <v>10</v>
      </c>
      <c r="P3726" s="16">
        <f t="shared" si="117"/>
        <v>2024</v>
      </c>
      <c r="Q3726" s="16" t="e">
        <f>+SUMIFS(#REF!,#REF!,Planning[[#This Row],[Tarifa]],#REF!,Planning[[#This Row],[Proyectos]],#REF!,Planning[[#This Row],[Mes]],#REF!,Planning[[#This Row],[Año]])</f>
        <v>#REF!</v>
      </c>
      <c r="R3726" s="16" t="str">
        <f>TEXT(Planning[[#This Row],[Mes]]*29,"mmmm")</f>
        <v>October</v>
      </c>
      <c r="S37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26" s="193"/>
      <c r="U3726" s="43">
        <f>IF(Planning[[#This Row],[Horas Planificadas]]&lt;&gt;0,+K3726/Planning[[#This Row],[Horas Planificadas]],0)</f>
        <v>0</v>
      </c>
      <c r="V3726" s="43">
        <f>IF(Planning[[#This Row],[Horas Planificadas]]&lt;&gt;0,Planning[[#This Row],[Horas utilizadas]]/Planning[[#This Row],[Horas Planificadas]],0)</f>
        <v>0</v>
      </c>
      <c r="W3726" s="44">
        <f>Planning[[#This Row],[Horas Planificadas]]+Planning[[#This Row],[Horas ajustadas adicionales]]</f>
        <v>0</v>
      </c>
      <c r="X3726" s="142"/>
    </row>
    <row r="3727" spans="1:24" ht="22.5" x14ac:dyDescent="0.2">
      <c r="A3727" s="7" t="s">
        <v>294</v>
      </c>
      <c r="B3727" s="7" t="s">
        <v>118</v>
      </c>
      <c r="C3727" s="3"/>
      <c r="D3727" s="3" t="s">
        <v>666</v>
      </c>
      <c r="E3727" s="4" t="s">
        <v>32</v>
      </c>
      <c r="F3727" s="3"/>
      <c r="G3727" s="9">
        <v>632</v>
      </c>
      <c r="H3727" s="14">
        <f>SUM(H3728:H3730)</f>
        <v>531</v>
      </c>
      <c r="I3727" s="14"/>
      <c r="J3727" s="14" t="e">
        <f>SUM(J3728:J3730)</f>
        <v>#REF!</v>
      </c>
      <c r="K3727" s="14" t="e">
        <f>+Planning[[#This Row],[Horas Planificadas]]+Planning[[#This Row],[Horas ajustadas adicionales]]-Planning[[#This Row],[Horas utilizadas]]</f>
        <v>#REF!</v>
      </c>
      <c r="L3727" s="15">
        <f>SUM(L3728:L3730)</f>
        <v>0</v>
      </c>
      <c r="M3727" s="16" t="e">
        <f>SUM(M3728:M3730)</f>
        <v>#REF!</v>
      </c>
      <c r="N3727" s="60" t="e">
        <f>+SUMIFS(#REF!,#REF!,Planning[[#This Row],[Proyectos]],#REF!,Planning[[#This Row],[Tipo de Tarea y especialidad]])</f>
        <v>#REF!</v>
      </c>
      <c r="O3727" s="16">
        <f t="shared" si="116"/>
        <v>10</v>
      </c>
      <c r="P3727" s="16">
        <f t="shared" si="117"/>
        <v>2024</v>
      </c>
      <c r="Q3727" s="16" t="e">
        <f>SUM(Q3728:Q3730)</f>
        <v>#REF!</v>
      </c>
      <c r="R3727" s="16" t="str">
        <f>TEXT(Planning[[#This Row],[Mes]]*29,"mmmm")</f>
        <v>October</v>
      </c>
      <c r="S37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27" s="193"/>
      <c r="U3727" s="43" t="e">
        <f>IF(Planning[[#This Row],[Horas Planificadas]]&lt;&gt;0,+K3727/Planning[[#This Row],[Horas Planificadas]],0)</f>
        <v>#REF!</v>
      </c>
      <c r="V3727" s="43" t="e">
        <f>IF(Planning[[#This Row],[Horas Planificadas]]&lt;&gt;0,Planning[[#This Row],[Horas utilizadas]]/Planning[[#This Row],[Horas Planificadas]],0)</f>
        <v>#REF!</v>
      </c>
      <c r="W3727" s="44">
        <f>Planning[[#This Row],[Horas Planificadas]]+Planning[[#This Row],[Horas ajustadas adicionales]]</f>
        <v>531</v>
      </c>
      <c r="X3727" s="142"/>
    </row>
    <row r="3728" spans="1:24" x14ac:dyDescent="0.2">
      <c r="A3728" s="7" t="s">
        <v>294</v>
      </c>
      <c r="B3728" s="7" t="s">
        <v>118</v>
      </c>
      <c r="C3728" s="3"/>
      <c r="D3728" s="3" t="s">
        <v>666</v>
      </c>
      <c r="E3728" s="4"/>
      <c r="F3728" s="3" t="s">
        <v>129</v>
      </c>
      <c r="G3728" s="9"/>
      <c r="H3728" s="9">
        <v>295</v>
      </c>
      <c r="I3728" s="12">
        <v>60</v>
      </c>
      <c r="J3728" s="5" t="e">
        <f>SUM(SUMIFS(#REF!,#REF!,Planning[[#This Row],[Tipo de Tarea y especialidad]],#REF!,Planning[[#This Row],[Proyectos Reiwa]]),SUMIFS(#REF!,#REF!,Planning[[#This Row],[Tipo de Tarea y especialidad]],#REF!,Planning[[#This Row],[Proyectos]]))</f>
        <v>#REF!</v>
      </c>
      <c r="K3728" s="5" t="e">
        <f>+Planning[[#This Row],[Horas Planificadas]]+Planning[[#This Row],[Horas ajustadas adicionales]]-Planning[[#This Row],[Horas utilizadas]]</f>
        <v>#REF!</v>
      </c>
      <c r="L3728" s="7">
        <v>0</v>
      </c>
      <c r="M3728" s="19" t="e">
        <f>Planning[[#This Row],[Saldo]]-Planning[[#This Row],[Saldo estimado]]</f>
        <v>#REF!</v>
      </c>
      <c r="N3728" s="60" t="e">
        <f>+SUMIFS(#REF!,#REF!,Planning[[#This Row],[Proyectos]],#REF!,Planning[[#This Row],[Tipo de Tarea y especialidad]])</f>
        <v>#REF!</v>
      </c>
      <c r="O3728" s="19">
        <f t="shared" si="116"/>
        <v>10</v>
      </c>
      <c r="P3728" s="19">
        <f t="shared" si="117"/>
        <v>2024</v>
      </c>
      <c r="Q37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28" s="19" t="str">
        <f>TEXT(Planning[[#This Row],[Mes]]*29,"mmmm")</f>
        <v>October</v>
      </c>
      <c r="S37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28" s="193"/>
      <c r="U3728" s="43" t="e">
        <f>IF(Planning[[#This Row],[Horas Planificadas]]&lt;&gt;0,+K3728/Planning[[#This Row],[Horas Planificadas]],0)</f>
        <v>#REF!</v>
      </c>
      <c r="V3728" s="43" t="e">
        <f>IF(Planning[[#This Row],[Horas Planificadas]]&lt;&gt;0,Planning[[#This Row],[Horas utilizadas]]/Planning[[#This Row],[Horas Planificadas]],0)</f>
        <v>#REF!</v>
      </c>
      <c r="W3728" s="44">
        <f>Planning[[#This Row],[Horas Planificadas]]+Planning[[#This Row],[Horas ajustadas adicionales]]</f>
        <v>355</v>
      </c>
      <c r="X3728" s="142"/>
    </row>
    <row r="3729" spans="1:24" x14ac:dyDescent="0.2">
      <c r="A3729" s="7" t="s">
        <v>294</v>
      </c>
      <c r="B3729" s="7" t="s">
        <v>118</v>
      </c>
      <c r="C3729" s="3"/>
      <c r="D3729" s="3" t="s">
        <v>666</v>
      </c>
      <c r="E3729" s="4"/>
      <c r="F3729" s="3" t="s">
        <v>130</v>
      </c>
      <c r="G3729" s="9"/>
      <c r="H3729" s="9">
        <v>236</v>
      </c>
      <c r="I3729" s="12"/>
      <c r="J3729" s="5" t="e">
        <f>SUM(SUMIFS(#REF!,#REF!,Planning[[#This Row],[Tipo de Tarea y especialidad]],#REF!,Planning[[#This Row],[Proyectos Reiwa]]),SUMIFS(#REF!,#REF!,Planning[[#This Row],[Tipo de Tarea y especialidad]],#REF!,Planning[[#This Row],[Proyectos]]))</f>
        <v>#REF!</v>
      </c>
      <c r="K3729" s="5" t="e">
        <f>+Planning[[#This Row],[Horas Planificadas]]+Planning[[#This Row],[Horas ajustadas adicionales]]-Planning[[#This Row],[Horas utilizadas]]</f>
        <v>#REF!</v>
      </c>
      <c r="L3729" s="7">
        <v>0</v>
      </c>
      <c r="M3729" s="19" t="e">
        <f>Planning[[#This Row],[Saldo]]-Planning[[#This Row],[Saldo estimado]]</f>
        <v>#REF!</v>
      </c>
      <c r="N3729" s="60" t="e">
        <f>+SUMIFS(#REF!,#REF!,Planning[[#This Row],[Proyectos]],#REF!,Planning[[#This Row],[Tipo de Tarea y especialidad]])</f>
        <v>#REF!</v>
      </c>
      <c r="O3729" s="19">
        <f t="shared" si="116"/>
        <v>10</v>
      </c>
      <c r="P3729" s="19">
        <f t="shared" si="117"/>
        <v>2024</v>
      </c>
      <c r="Q37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29" s="19" t="str">
        <f>TEXT(Planning[[#This Row],[Mes]]*29,"mmmm")</f>
        <v>October</v>
      </c>
      <c r="S37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29" s="193"/>
      <c r="U3729" s="43" t="e">
        <f>IF(Planning[[#This Row],[Horas Planificadas]]&lt;&gt;0,+K3729/Planning[[#This Row],[Horas Planificadas]],0)</f>
        <v>#REF!</v>
      </c>
      <c r="V3729" s="43" t="e">
        <f>IF(Planning[[#This Row],[Horas Planificadas]]&lt;&gt;0,Planning[[#This Row],[Horas utilizadas]]/Planning[[#This Row],[Horas Planificadas]],0)</f>
        <v>#REF!</v>
      </c>
      <c r="W3729" s="44">
        <f>Planning[[#This Row],[Horas Planificadas]]+Planning[[#This Row],[Horas ajustadas adicionales]]</f>
        <v>236</v>
      </c>
      <c r="X3729" s="142"/>
    </row>
    <row r="3730" spans="1:24" x14ac:dyDescent="0.2">
      <c r="A3730" s="7" t="s">
        <v>294</v>
      </c>
      <c r="B3730" s="7" t="s">
        <v>118</v>
      </c>
      <c r="C3730" s="3"/>
      <c r="D3730" s="3" t="s">
        <v>666</v>
      </c>
      <c r="E3730" s="4"/>
      <c r="F3730" s="3" t="s">
        <v>131</v>
      </c>
      <c r="G3730" s="9"/>
      <c r="H3730" s="9"/>
      <c r="I3730" s="12"/>
      <c r="J3730" s="5" t="e">
        <f>SUM(SUMIFS(#REF!,#REF!,Planning[[#This Row],[Tipo de Tarea y especialidad]],#REF!,Planning[[#This Row],[Proyectos Reiwa]]),SUMIFS(#REF!,#REF!,Planning[[#This Row],[Tipo de Tarea y especialidad]],#REF!,Planning[[#This Row],[Proyectos]]))</f>
        <v>#REF!</v>
      </c>
      <c r="K3730" s="5" t="e">
        <f>+Planning[[#This Row],[Horas Planificadas]]+Planning[[#This Row],[Horas ajustadas adicionales]]-Planning[[#This Row],[Horas utilizadas]]</f>
        <v>#REF!</v>
      </c>
      <c r="L3730" s="7"/>
      <c r="M3730" s="19" t="e">
        <f>Planning[[#This Row],[Saldo]]-Planning[[#This Row],[Saldo estimado]]</f>
        <v>#REF!</v>
      </c>
      <c r="N3730" s="60" t="e">
        <f>+SUMIFS(#REF!,#REF!,Planning[[#This Row],[Proyectos]],#REF!,Planning[[#This Row],[Tipo de Tarea y especialidad]])</f>
        <v>#REF!</v>
      </c>
      <c r="O3730" s="19">
        <f t="shared" si="116"/>
        <v>10</v>
      </c>
      <c r="P3730" s="19">
        <f t="shared" si="117"/>
        <v>2024</v>
      </c>
      <c r="Q37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30" s="19" t="str">
        <f>TEXT(Planning[[#This Row],[Mes]]*29,"mmmm")</f>
        <v>October</v>
      </c>
      <c r="S37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30" s="193"/>
      <c r="U3730" s="43">
        <f>IF(Planning[[#This Row],[Horas Planificadas]]&lt;&gt;0,+K3730/Planning[[#This Row],[Horas Planificadas]],0)</f>
        <v>0</v>
      </c>
      <c r="V3730" s="43">
        <f>IF(Planning[[#This Row],[Horas Planificadas]]&lt;&gt;0,Planning[[#This Row],[Horas utilizadas]]/Planning[[#This Row],[Horas Planificadas]],0)</f>
        <v>0</v>
      </c>
      <c r="W3730" s="44">
        <f>Planning[[#This Row],[Horas Planificadas]]+Planning[[#This Row],[Horas ajustadas adicionales]]</f>
        <v>0</v>
      </c>
      <c r="X3730" s="142"/>
    </row>
    <row r="3731" spans="1:24" ht="13.35" customHeight="1" x14ac:dyDescent="0.2">
      <c r="A3731" s="7" t="s">
        <v>435</v>
      </c>
      <c r="B3731" s="7" t="s">
        <v>288</v>
      </c>
      <c r="C3731" s="3"/>
      <c r="D3731" s="3" t="s">
        <v>668</v>
      </c>
      <c r="E3731" s="4" t="s">
        <v>28</v>
      </c>
      <c r="F3731" s="3"/>
      <c r="G3731" s="9">
        <v>59</v>
      </c>
      <c r="H3731" s="14">
        <f>SUM(H3732:H3733)</f>
        <v>59</v>
      </c>
      <c r="I3731" s="14"/>
      <c r="J3731" s="14" t="e">
        <f>SUM(J3732:J3733)</f>
        <v>#REF!</v>
      </c>
      <c r="K3731" s="14" t="e">
        <f>+Planning[[#This Row],[Horas Planificadas]]+Planning[[#This Row],[Horas ajustadas adicionales]]-Planning[[#This Row],[Horas utilizadas]]</f>
        <v>#REF!</v>
      </c>
      <c r="L3731" s="15">
        <f>SUM(L3732:L3733)</f>
        <v>0</v>
      </c>
      <c r="M3731" s="14" t="e">
        <f>SUM(M3732:M3733)</f>
        <v>#REF!</v>
      </c>
      <c r="N3731" s="66" t="e">
        <f>+SUMIFS(#REF!,#REF!,Planning[[#This Row],[Proyectos]],#REF!,Planning[[#This Row],[Tipo de Tarea y especialidad]])</f>
        <v>#REF!</v>
      </c>
      <c r="O3731" s="14">
        <f t="shared" si="116"/>
        <v>10</v>
      </c>
      <c r="P3731" s="14">
        <f t="shared" si="117"/>
        <v>2024</v>
      </c>
      <c r="Q3731" s="28" t="e">
        <f>SUM(Q3732:Q3733)</f>
        <v>#REF!</v>
      </c>
      <c r="R3731" s="28" t="str">
        <f>TEXT(Planning[[#This Row],[Mes]]*29,"mmmm")</f>
        <v>October</v>
      </c>
      <c r="S37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31" s="207" t="s">
        <v>669</v>
      </c>
      <c r="U3731" s="43" t="e">
        <f>IF(Planning[[#This Row],[Horas Planificadas]]&lt;&gt;0,+K3731/Planning[[#This Row],[Horas Planificadas]],0)</f>
        <v>#REF!</v>
      </c>
      <c r="V3731" s="43" t="e">
        <f>IF(Planning[[#This Row],[Horas Planificadas]]&lt;&gt;0,Planning[[#This Row],[Horas utilizadas]]/Planning[[#This Row],[Horas Planificadas]],0)</f>
        <v>#REF!</v>
      </c>
      <c r="W3731" s="44">
        <f>Planning[[#This Row],[Horas Planificadas]]+Planning[[#This Row],[Horas ajustadas adicionales]]</f>
        <v>59</v>
      </c>
      <c r="X3731" s="142"/>
    </row>
    <row r="3732" spans="1:24" x14ac:dyDescent="0.2">
      <c r="A3732" s="7" t="s">
        <v>435</v>
      </c>
      <c r="B3732" s="7" t="s">
        <v>288</v>
      </c>
      <c r="C3732" s="3"/>
      <c r="D3732" s="3" t="s">
        <v>668</v>
      </c>
      <c r="E3732" s="4"/>
      <c r="F3732" s="3" t="s">
        <v>120</v>
      </c>
      <c r="G3732" s="9"/>
      <c r="H3732" s="9">
        <v>50</v>
      </c>
      <c r="I3732" s="12"/>
      <c r="J3732" s="5" t="e">
        <f>SUM(SUMIFS(#REF!,#REF!,Planning[[#This Row],[Tipo de Tarea y especialidad]],#REF!,Planning[[#This Row],[Proyectos Reiwa]]),SUMIFS(#REF!,#REF!,Planning[[#This Row],[Tipo de Tarea y especialidad]],#REF!,Planning[[#This Row],[Proyectos]]))</f>
        <v>#REF!</v>
      </c>
      <c r="K3732" s="5" t="e">
        <f>+Planning[[#This Row],[Horas Planificadas]]+Planning[[#This Row],[Horas ajustadas adicionales]]-Planning[[#This Row],[Horas utilizadas]]</f>
        <v>#REF!</v>
      </c>
      <c r="L3732" s="7"/>
      <c r="M3732" s="19" t="e">
        <f>Planning[[#This Row],[Saldo]]-Planning[[#This Row],[Saldo estimado]]</f>
        <v>#REF!</v>
      </c>
      <c r="N3732" s="60" t="e">
        <f>+SUMIFS(#REF!,#REF!,Planning[[#This Row],[Proyectos]],#REF!,Planning[[#This Row],[Tipo de Tarea y especialidad]])</f>
        <v>#REF!</v>
      </c>
      <c r="O3732" s="19">
        <f t="shared" si="116"/>
        <v>10</v>
      </c>
      <c r="P3732" s="19">
        <f t="shared" si="117"/>
        <v>2024</v>
      </c>
      <c r="Q37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32" s="19" t="str">
        <f>TEXT(Planning[[#This Row],[Mes]]*29,"mmmm")</f>
        <v>October</v>
      </c>
      <c r="S37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32" s="208"/>
      <c r="U3732" s="43" t="e">
        <f>IF(Planning[[#This Row],[Horas Planificadas]]&lt;&gt;0,+K3732/Planning[[#This Row],[Horas Planificadas]],0)</f>
        <v>#REF!</v>
      </c>
      <c r="V3732" s="43" t="e">
        <f>IF(Planning[[#This Row],[Horas Planificadas]]&lt;&gt;0,Planning[[#This Row],[Horas utilizadas]]/Planning[[#This Row],[Horas Planificadas]],0)</f>
        <v>#REF!</v>
      </c>
      <c r="W3732" s="44">
        <f>Planning[[#This Row],[Horas Planificadas]]+Planning[[#This Row],[Horas ajustadas adicionales]]</f>
        <v>50</v>
      </c>
      <c r="X3732" s="142"/>
    </row>
    <row r="3733" spans="1:24" x14ac:dyDescent="0.2">
      <c r="A3733" s="7" t="s">
        <v>435</v>
      </c>
      <c r="B3733" s="7" t="s">
        <v>288</v>
      </c>
      <c r="C3733" s="3"/>
      <c r="D3733" s="3" t="s">
        <v>668</v>
      </c>
      <c r="E3733" s="4"/>
      <c r="F3733" s="3" t="s">
        <v>121</v>
      </c>
      <c r="G3733" s="9"/>
      <c r="H3733" s="9">
        <v>9</v>
      </c>
      <c r="I3733" s="12"/>
      <c r="J3733" s="5" t="e">
        <f>SUM(SUMIFS(#REF!,#REF!,Planning[[#This Row],[Tipo de Tarea y especialidad]],#REF!,Planning[[#This Row],[Proyectos Reiwa]]),SUMIFS(#REF!,#REF!,Planning[[#This Row],[Tipo de Tarea y especialidad]],#REF!,Planning[[#This Row],[Proyectos]]))</f>
        <v>#REF!</v>
      </c>
      <c r="K3733" s="5" t="e">
        <f>+Planning[[#This Row],[Horas Planificadas]]+Planning[[#This Row],[Horas ajustadas adicionales]]-Planning[[#This Row],[Horas utilizadas]]</f>
        <v>#REF!</v>
      </c>
      <c r="L3733" s="7"/>
      <c r="M3733" s="19" t="e">
        <f>Planning[[#This Row],[Saldo]]-Planning[[#This Row],[Saldo estimado]]</f>
        <v>#REF!</v>
      </c>
      <c r="N3733" s="60" t="e">
        <f>+SUMIFS(#REF!,#REF!,Planning[[#This Row],[Proyectos]],#REF!,Planning[[#This Row],[Tipo de Tarea y especialidad]])</f>
        <v>#REF!</v>
      </c>
      <c r="O3733" s="19">
        <f t="shared" si="116"/>
        <v>10</v>
      </c>
      <c r="P3733" s="19">
        <f t="shared" si="117"/>
        <v>2024</v>
      </c>
      <c r="Q37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33" s="19" t="str">
        <f>TEXT(Planning[[#This Row],[Mes]]*29,"mmmm")</f>
        <v>October</v>
      </c>
      <c r="S37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33" s="208"/>
      <c r="U3733" s="43" t="e">
        <f>IF(Planning[[#This Row],[Horas Planificadas]]&lt;&gt;0,+K3733/Planning[[#This Row],[Horas Planificadas]],0)</f>
        <v>#REF!</v>
      </c>
      <c r="V3733" s="43" t="e">
        <f>IF(Planning[[#This Row],[Horas Planificadas]]&lt;&gt;0,Planning[[#This Row],[Horas utilizadas]]/Planning[[#This Row],[Horas Planificadas]],0)</f>
        <v>#REF!</v>
      </c>
      <c r="W3733" s="44">
        <f>Planning[[#This Row],[Horas Planificadas]]+Planning[[#This Row],[Horas ajustadas adicionales]]</f>
        <v>9</v>
      </c>
      <c r="X3733" s="142"/>
    </row>
    <row r="3734" spans="1:24" x14ac:dyDescent="0.2">
      <c r="A3734" s="7" t="s">
        <v>435</v>
      </c>
      <c r="B3734" s="7" t="s">
        <v>288</v>
      </c>
      <c r="C3734" s="3"/>
      <c r="D3734" s="3" t="s">
        <v>668</v>
      </c>
      <c r="E3734" s="4" t="s">
        <v>30</v>
      </c>
      <c r="F3734" s="3"/>
      <c r="G3734" s="9">
        <v>60</v>
      </c>
      <c r="H3734" s="14">
        <f>SUM(H3735:H3741)</f>
        <v>60</v>
      </c>
      <c r="I3734" s="14"/>
      <c r="J3734" s="14" t="e">
        <f>SUM(J3735:J3741)</f>
        <v>#REF!</v>
      </c>
      <c r="K3734" s="14" t="e">
        <f>+Planning[[#This Row],[Horas Planificadas]]+Planning[[#This Row],[Horas ajustadas adicionales]]-Planning[[#This Row],[Horas utilizadas]]</f>
        <v>#REF!</v>
      </c>
      <c r="L3734" s="15">
        <f>SUM(L3735:L3741)</f>
        <v>0</v>
      </c>
      <c r="M3734" s="16" t="e">
        <f>SUM(M3735:M3741)</f>
        <v>#REF!</v>
      </c>
      <c r="N3734" s="60" t="e">
        <f>+SUMIFS(#REF!,#REF!,Planning[[#This Row],[Proyectos]],#REF!,Planning[[#This Row],[Tipo de Tarea y especialidad]])</f>
        <v>#REF!</v>
      </c>
      <c r="O3734" s="16">
        <f t="shared" si="116"/>
        <v>10</v>
      </c>
      <c r="P3734" s="16">
        <f t="shared" si="117"/>
        <v>2024</v>
      </c>
      <c r="Q3734" s="16" t="e">
        <f>SUM(Q3735:Q3741)</f>
        <v>#REF!</v>
      </c>
      <c r="R3734" s="16" t="str">
        <f>TEXT(Planning[[#This Row],[Mes]]*29,"mmmm")</f>
        <v>October</v>
      </c>
      <c r="S37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34" s="208"/>
      <c r="U3734" s="43" t="e">
        <f>IF(Planning[[#This Row],[Horas Planificadas]]&lt;&gt;0,+K3734/Planning[[#This Row],[Horas Planificadas]],0)</f>
        <v>#REF!</v>
      </c>
      <c r="V3734" s="43" t="e">
        <f>IF(Planning[[#This Row],[Horas Planificadas]]&lt;&gt;0,Planning[[#This Row],[Horas utilizadas]]/Planning[[#This Row],[Horas Planificadas]],0)</f>
        <v>#REF!</v>
      </c>
      <c r="W3734" s="44">
        <f>Planning[[#This Row],[Horas Planificadas]]+Planning[[#This Row],[Horas ajustadas adicionales]]</f>
        <v>60</v>
      </c>
      <c r="X3734" s="142"/>
    </row>
    <row r="3735" spans="1:24" x14ac:dyDescent="0.2">
      <c r="A3735" s="7" t="s">
        <v>435</v>
      </c>
      <c r="B3735" s="7" t="s">
        <v>288</v>
      </c>
      <c r="C3735" s="3"/>
      <c r="D3735" s="3" t="s">
        <v>668</v>
      </c>
      <c r="E3735" s="4"/>
      <c r="F3735" s="3" t="s">
        <v>122</v>
      </c>
      <c r="G3735" s="9"/>
      <c r="H3735" s="9"/>
      <c r="I3735" s="12"/>
      <c r="J3735" s="5" t="e">
        <f>SUM(SUMIFS(#REF!,#REF!,Planning[[#This Row],[Tipo de Tarea y especialidad]],#REF!,Planning[[#This Row],[Proyectos Reiwa]]),SUMIFS(#REF!,#REF!,Planning[[#This Row],[Tipo de Tarea y especialidad]],#REF!,Planning[[#This Row],[Proyectos]]))</f>
        <v>#REF!</v>
      </c>
      <c r="K3735" s="5" t="e">
        <f>+Planning[[#This Row],[Horas Planificadas]]+Planning[[#This Row],[Horas ajustadas adicionales]]-Planning[[#This Row],[Horas utilizadas]]</f>
        <v>#REF!</v>
      </c>
      <c r="L3735" s="7"/>
      <c r="M3735" s="19" t="e">
        <f>Planning[[#This Row],[Saldo]]-Planning[[#This Row],[Saldo estimado]]</f>
        <v>#REF!</v>
      </c>
      <c r="N3735" s="60" t="e">
        <f>+SUMIFS(#REF!,#REF!,Planning[[#This Row],[Proyectos]],#REF!,Planning[[#This Row],[Tipo de Tarea y especialidad]])</f>
        <v>#REF!</v>
      </c>
      <c r="O3735" s="19">
        <f t="shared" si="116"/>
        <v>10</v>
      </c>
      <c r="P3735" s="19">
        <f t="shared" si="117"/>
        <v>2024</v>
      </c>
      <c r="Q37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35" s="19" t="str">
        <f>TEXT(Planning[[#This Row],[Mes]]*29,"mmmm")</f>
        <v>October</v>
      </c>
      <c r="S37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35" s="208"/>
      <c r="U3735" s="43">
        <f>IF(Planning[[#This Row],[Horas Planificadas]]&lt;&gt;0,+K3735/Planning[[#This Row],[Horas Planificadas]],0)</f>
        <v>0</v>
      </c>
      <c r="V3735" s="43">
        <f>IF(Planning[[#This Row],[Horas Planificadas]]&lt;&gt;0,Planning[[#This Row],[Horas utilizadas]]/Planning[[#This Row],[Horas Planificadas]],0)</f>
        <v>0</v>
      </c>
      <c r="W3735" s="44">
        <f>Planning[[#This Row],[Horas Planificadas]]+Planning[[#This Row],[Horas ajustadas adicionales]]</f>
        <v>0</v>
      </c>
      <c r="X3735" s="142"/>
    </row>
    <row r="3736" spans="1:24" x14ac:dyDescent="0.2">
      <c r="A3736" s="7" t="s">
        <v>435</v>
      </c>
      <c r="B3736" s="7" t="s">
        <v>288</v>
      </c>
      <c r="C3736" s="3"/>
      <c r="D3736" s="3" t="s">
        <v>668</v>
      </c>
      <c r="E3736" s="4"/>
      <c r="F3736" s="3" t="s">
        <v>123</v>
      </c>
      <c r="G3736" s="9"/>
      <c r="H3736" s="9"/>
      <c r="I3736" s="12"/>
      <c r="J3736" s="5" t="e">
        <f>SUM(SUMIFS(#REF!,#REF!,Planning[[#This Row],[Tipo de Tarea y especialidad]],#REF!,Planning[[#This Row],[Proyectos Reiwa]]),SUMIFS(#REF!,#REF!,Planning[[#This Row],[Tipo de Tarea y especialidad]],#REF!,Planning[[#This Row],[Proyectos]]))</f>
        <v>#REF!</v>
      </c>
      <c r="K3736" s="5" t="e">
        <f>+Planning[[#This Row],[Horas Planificadas]]+Planning[[#This Row],[Horas ajustadas adicionales]]-Planning[[#This Row],[Horas utilizadas]]</f>
        <v>#REF!</v>
      </c>
      <c r="L3736" s="7"/>
      <c r="M3736" s="19" t="e">
        <f>Planning[[#This Row],[Saldo]]-Planning[[#This Row],[Saldo estimado]]</f>
        <v>#REF!</v>
      </c>
      <c r="N3736" s="60" t="e">
        <f>+SUMIFS(#REF!,#REF!,Planning[[#This Row],[Proyectos]],#REF!,Planning[[#This Row],[Tipo de Tarea y especialidad]])</f>
        <v>#REF!</v>
      </c>
      <c r="O3736" s="19">
        <f t="shared" si="116"/>
        <v>10</v>
      </c>
      <c r="P3736" s="19">
        <f t="shared" si="117"/>
        <v>2024</v>
      </c>
      <c r="Q37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36" s="19" t="str">
        <f>TEXT(Planning[[#This Row],[Mes]]*29,"mmmm")</f>
        <v>October</v>
      </c>
      <c r="S37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36" s="208"/>
      <c r="U3736" s="43">
        <f>IF(Planning[[#This Row],[Horas Planificadas]]&lt;&gt;0,+K3736/Planning[[#This Row],[Horas Planificadas]],0)</f>
        <v>0</v>
      </c>
      <c r="V3736" s="43">
        <f>IF(Planning[[#This Row],[Horas Planificadas]]&lt;&gt;0,Planning[[#This Row],[Horas utilizadas]]/Planning[[#This Row],[Horas Planificadas]],0)</f>
        <v>0</v>
      </c>
      <c r="W3736" s="44">
        <f>Planning[[#This Row],[Horas Planificadas]]+Planning[[#This Row],[Horas ajustadas adicionales]]</f>
        <v>0</v>
      </c>
      <c r="X3736" s="142"/>
    </row>
    <row r="3737" spans="1:24" x14ac:dyDescent="0.2">
      <c r="A3737" s="7" t="s">
        <v>435</v>
      </c>
      <c r="B3737" s="7" t="s">
        <v>288</v>
      </c>
      <c r="C3737" s="3"/>
      <c r="D3737" s="3" t="s">
        <v>668</v>
      </c>
      <c r="E3737" s="4"/>
      <c r="F3737" s="3" t="s">
        <v>124</v>
      </c>
      <c r="G3737" s="9"/>
      <c r="H3737" s="9">
        <v>60</v>
      </c>
      <c r="I3737" s="12"/>
      <c r="J3737" s="5" t="e">
        <f>SUM(SUMIFS(#REF!,#REF!,Planning[[#This Row],[Tipo de Tarea y especialidad]],#REF!,Planning[[#This Row],[Proyectos Reiwa]]),SUMIFS(#REF!,#REF!,Planning[[#This Row],[Tipo de Tarea y especialidad]],#REF!,Planning[[#This Row],[Proyectos]]))</f>
        <v>#REF!</v>
      </c>
      <c r="K3737" s="5" t="e">
        <f>+Planning[[#This Row],[Horas Planificadas]]+Planning[[#This Row],[Horas ajustadas adicionales]]-Planning[[#This Row],[Horas utilizadas]]</f>
        <v>#REF!</v>
      </c>
      <c r="L3737" s="7"/>
      <c r="M3737" s="19" t="e">
        <f>Planning[[#This Row],[Saldo]]-Planning[[#This Row],[Saldo estimado]]</f>
        <v>#REF!</v>
      </c>
      <c r="N3737" s="60" t="e">
        <f>+SUMIFS(#REF!,#REF!,Planning[[#This Row],[Proyectos]],#REF!,Planning[[#This Row],[Tipo de Tarea y especialidad]])</f>
        <v>#REF!</v>
      </c>
      <c r="O3737" s="19">
        <f t="shared" si="116"/>
        <v>10</v>
      </c>
      <c r="P3737" s="19">
        <f t="shared" si="117"/>
        <v>2024</v>
      </c>
      <c r="Q37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37" s="19" t="str">
        <f>TEXT(Planning[[#This Row],[Mes]]*29,"mmmm")</f>
        <v>October</v>
      </c>
      <c r="S37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37" s="208"/>
      <c r="U3737" s="43" t="e">
        <f>IF(Planning[[#This Row],[Horas Planificadas]]&lt;&gt;0,+K3737/Planning[[#This Row],[Horas Planificadas]],0)</f>
        <v>#REF!</v>
      </c>
      <c r="V3737" s="43" t="e">
        <f>IF(Planning[[#This Row],[Horas Planificadas]]&lt;&gt;0,Planning[[#This Row],[Horas utilizadas]]/Planning[[#This Row],[Horas Planificadas]],0)</f>
        <v>#REF!</v>
      </c>
      <c r="W3737" s="44">
        <f>Planning[[#This Row],[Horas Planificadas]]+Planning[[#This Row],[Horas ajustadas adicionales]]</f>
        <v>60</v>
      </c>
      <c r="X3737" s="142"/>
    </row>
    <row r="3738" spans="1:24" x14ac:dyDescent="0.2">
      <c r="A3738" s="7" t="s">
        <v>435</v>
      </c>
      <c r="B3738" s="7" t="s">
        <v>288</v>
      </c>
      <c r="C3738" s="3"/>
      <c r="D3738" s="3" t="s">
        <v>668</v>
      </c>
      <c r="E3738" s="4"/>
      <c r="F3738" s="3" t="s">
        <v>125</v>
      </c>
      <c r="G3738" s="9"/>
      <c r="H3738" s="9"/>
      <c r="I3738" s="12"/>
      <c r="J3738" s="5" t="e">
        <f>SUM(SUMIFS(#REF!,#REF!,Planning[[#This Row],[Tipo de Tarea y especialidad]],#REF!,Planning[[#This Row],[Proyectos Reiwa]]),SUMIFS(#REF!,#REF!,Planning[[#This Row],[Tipo de Tarea y especialidad]],#REF!,Planning[[#This Row],[Proyectos]]))</f>
        <v>#REF!</v>
      </c>
      <c r="K3738" s="5" t="e">
        <f>+Planning[[#This Row],[Horas Planificadas]]+Planning[[#This Row],[Horas ajustadas adicionales]]-Planning[[#This Row],[Horas utilizadas]]</f>
        <v>#REF!</v>
      </c>
      <c r="L3738" s="7"/>
      <c r="M3738" s="19" t="e">
        <f>Planning[[#This Row],[Saldo]]-Planning[[#This Row],[Saldo estimado]]</f>
        <v>#REF!</v>
      </c>
      <c r="N3738" s="60" t="e">
        <f>+SUMIFS(#REF!,#REF!,Planning[[#This Row],[Proyectos]],#REF!,Planning[[#This Row],[Tipo de Tarea y especialidad]])</f>
        <v>#REF!</v>
      </c>
      <c r="O3738" s="19">
        <f t="shared" si="116"/>
        <v>10</v>
      </c>
      <c r="P3738" s="19">
        <f t="shared" si="117"/>
        <v>2024</v>
      </c>
      <c r="Q37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38" s="19" t="str">
        <f>TEXT(Planning[[#This Row],[Mes]]*29,"mmmm")</f>
        <v>October</v>
      </c>
      <c r="S37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38" s="208"/>
      <c r="U3738" s="43">
        <f>IF(Planning[[#This Row],[Horas Planificadas]]&lt;&gt;0,+K3738/Planning[[#This Row],[Horas Planificadas]],0)</f>
        <v>0</v>
      </c>
      <c r="V3738" s="43">
        <f>IF(Planning[[#This Row],[Horas Planificadas]]&lt;&gt;0,Planning[[#This Row],[Horas utilizadas]]/Planning[[#This Row],[Horas Planificadas]],0)</f>
        <v>0</v>
      </c>
      <c r="W3738" s="44">
        <f>Planning[[#This Row],[Horas Planificadas]]+Planning[[#This Row],[Horas ajustadas adicionales]]</f>
        <v>0</v>
      </c>
      <c r="X3738" s="142"/>
    </row>
    <row r="3739" spans="1:24" x14ac:dyDescent="0.2">
      <c r="A3739" s="7" t="s">
        <v>435</v>
      </c>
      <c r="B3739" s="7" t="s">
        <v>288</v>
      </c>
      <c r="C3739" s="3"/>
      <c r="D3739" s="3" t="s">
        <v>668</v>
      </c>
      <c r="E3739" s="4"/>
      <c r="F3739" s="3" t="s">
        <v>126</v>
      </c>
      <c r="G3739" s="9"/>
      <c r="H3739" s="9"/>
      <c r="I3739" s="12"/>
      <c r="J3739" s="5" t="e">
        <f>SUM(SUMIFS(#REF!,#REF!,Planning[[#This Row],[Tipo de Tarea y especialidad]],#REF!,Planning[[#This Row],[Proyectos Reiwa]]),SUMIFS(#REF!,#REF!,Planning[[#This Row],[Tipo de Tarea y especialidad]],#REF!,Planning[[#This Row],[Proyectos]]))</f>
        <v>#REF!</v>
      </c>
      <c r="K3739" s="5" t="e">
        <f>+Planning[[#This Row],[Horas Planificadas]]+Planning[[#This Row],[Horas ajustadas adicionales]]-Planning[[#This Row],[Horas utilizadas]]</f>
        <v>#REF!</v>
      </c>
      <c r="L3739" s="7"/>
      <c r="M3739" s="19" t="e">
        <f>Planning[[#This Row],[Saldo]]-Planning[[#This Row],[Saldo estimado]]</f>
        <v>#REF!</v>
      </c>
      <c r="N3739" s="60" t="e">
        <f>+SUMIFS(#REF!,#REF!,Planning[[#This Row],[Proyectos]],#REF!,Planning[[#This Row],[Tipo de Tarea y especialidad]])</f>
        <v>#REF!</v>
      </c>
      <c r="O3739" s="19">
        <f t="shared" si="116"/>
        <v>10</v>
      </c>
      <c r="P3739" s="19">
        <f t="shared" si="117"/>
        <v>2024</v>
      </c>
      <c r="Q37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39" s="19" t="str">
        <f>TEXT(Planning[[#This Row],[Mes]]*29,"mmmm")</f>
        <v>October</v>
      </c>
      <c r="S37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39" s="208"/>
      <c r="U3739" s="43">
        <f>IF(Planning[[#This Row],[Horas Planificadas]]&lt;&gt;0,+K3739/Planning[[#This Row],[Horas Planificadas]],0)</f>
        <v>0</v>
      </c>
      <c r="V3739" s="43">
        <f>IF(Planning[[#This Row],[Horas Planificadas]]&lt;&gt;0,Planning[[#This Row],[Horas utilizadas]]/Planning[[#This Row],[Horas Planificadas]],0)</f>
        <v>0</v>
      </c>
      <c r="W3739" s="44">
        <f>Planning[[#This Row],[Horas Planificadas]]+Planning[[#This Row],[Horas ajustadas adicionales]]</f>
        <v>0</v>
      </c>
      <c r="X3739" s="142"/>
    </row>
    <row r="3740" spans="1:24" x14ac:dyDescent="0.2">
      <c r="A3740" s="7" t="s">
        <v>435</v>
      </c>
      <c r="B3740" s="7" t="s">
        <v>288</v>
      </c>
      <c r="C3740" s="3"/>
      <c r="D3740" s="3" t="s">
        <v>668</v>
      </c>
      <c r="E3740" s="4"/>
      <c r="F3740" s="3" t="s">
        <v>127</v>
      </c>
      <c r="G3740" s="9"/>
      <c r="H3740" s="9"/>
      <c r="I3740" s="12"/>
      <c r="J3740" s="5" t="e">
        <f>SUM(SUMIFS(#REF!,#REF!,Planning[[#This Row],[Tipo de Tarea y especialidad]],#REF!,Planning[[#This Row],[Proyectos Reiwa]]),SUMIFS(#REF!,#REF!,Planning[[#This Row],[Tipo de Tarea y especialidad]],#REF!,Planning[[#This Row],[Proyectos]]))</f>
        <v>#REF!</v>
      </c>
      <c r="K3740" s="5" t="e">
        <f>+Planning[[#This Row],[Horas Planificadas]]+Planning[[#This Row],[Horas ajustadas adicionales]]-Planning[[#This Row],[Horas utilizadas]]</f>
        <v>#REF!</v>
      </c>
      <c r="L3740" s="7"/>
      <c r="M3740" s="19" t="e">
        <f>Planning[[#This Row],[Saldo]]-Planning[[#This Row],[Saldo estimado]]</f>
        <v>#REF!</v>
      </c>
      <c r="N3740" s="60" t="e">
        <f>+SUMIFS(#REF!,#REF!,Planning[[#This Row],[Proyectos]],#REF!,Planning[[#This Row],[Tipo de Tarea y especialidad]])</f>
        <v>#REF!</v>
      </c>
      <c r="O3740" s="19">
        <f t="shared" si="116"/>
        <v>10</v>
      </c>
      <c r="P3740" s="19">
        <f t="shared" si="117"/>
        <v>2024</v>
      </c>
      <c r="Q37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40" s="19" t="str">
        <f>TEXT(Planning[[#This Row],[Mes]]*29,"mmmm")</f>
        <v>October</v>
      </c>
      <c r="S37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40" s="208"/>
      <c r="U3740" s="43">
        <f>IF(Planning[[#This Row],[Horas Planificadas]]&lt;&gt;0,+K3740/Planning[[#This Row],[Horas Planificadas]],0)</f>
        <v>0</v>
      </c>
      <c r="V3740" s="43">
        <f>IF(Planning[[#This Row],[Horas Planificadas]]&lt;&gt;0,Planning[[#This Row],[Horas utilizadas]]/Planning[[#This Row],[Horas Planificadas]],0)</f>
        <v>0</v>
      </c>
      <c r="W3740" s="44">
        <f>Planning[[#This Row],[Horas Planificadas]]+Planning[[#This Row],[Horas ajustadas adicionales]]</f>
        <v>0</v>
      </c>
      <c r="X3740" s="142"/>
    </row>
    <row r="3741" spans="1:24" x14ac:dyDescent="0.2">
      <c r="A3741" s="7" t="s">
        <v>435</v>
      </c>
      <c r="B3741" s="7" t="s">
        <v>288</v>
      </c>
      <c r="C3741" s="3"/>
      <c r="D3741" s="3" t="s">
        <v>668</v>
      </c>
      <c r="E3741" s="4"/>
      <c r="F3741" s="3" t="s">
        <v>128</v>
      </c>
      <c r="G3741" s="9"/>
      <c r="H3741" s="9"/>
      <c r="I3741" s="12"/>
      <c r="J3741" s="5" t="e">
        <f>SUM(SUMIFS(#REF!,#REF!,Planning[[#This Row],[Tipo de Tarea y especialidad]],#REF!,Planning[[#This Row],[Proyectos Reiwa]]),SUMIFS(#REF!,#REF!,Planning[[#This Row],[Tipo de Tarea y especialidad]],#REF!,Planning[[#This Row],[Proyectos]]))</f>
        <v>#REF!</v>
      </c>
      <c r="K3741" s="5" t="e">
        <f>+Planning[[#This Row],[Horas Planificadas]]+Planning[[#This Row],[Horas ajustadas adicionales]]-Planning[[#This Row],[Horas utilizadas]]</f>
        <v>#REF!</v>
      </c>
      <c r="L3741" s="7">
        <v>0</v>
      </c>
      <c r="M3741" s="19" t="e">
        <f>Planning[[#This Row],[Saldo]]-Planning[[#This Row],[Saldo estimado]]</f>
        <v>#REF!</v>
      </c>
      <c r="N3741" s="60" t="e">
        <f>+SUMIFS(#REF!,#REF!,Planning[[#This Row],[Proyectos]],#REF!,Planning[[#This Row],[Tipo de Tarea y especialidad]])</f>
        <v>#REF!</v>
      </c>
      <c r="O3741" s="19">
        <f t="shared" si="116"/>
        <v>10</v>
      </c>
      <c r="P3741" s="19">
        <f t="shared" si="117"/>
        <v>2024</v>
      </c>
      <c r="Q37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41" s="19" t="str">
        <f>TEXT(Planning[[#This Row],[Mes]]*29,"mmmm")</f>
        <v>October</v>
      </c>
      <c r="S37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41" s="208"/>
      <c r="U3741" s="43">
        <f>IF(Planning[[#This Row],[Horas Planificadas]]&lt;&gt;0,+K3741/Planning[[#This Row],[Horas Planificadas]],0)</f>
        <v>0</v>
      </c>
      <c r="V3741" s="43">
        <f>IF(Planning[[#This Row],[Horas Planificadas]]&lt;&gt;0,Planning[[#This Row],[Horas utilizadas]]/Planning[[#This Row],[Horas Planificadas]],0)</f>
        <v>0</v>
      </c>
      <c r="W3741" s="44">
        <f>Planning[[#This Row],[Horas Planificadas]]+Planning[[#This Row],[Horas ajustadas adicionales]]</f>
        <v>0</v>
      </c>
      <c r="X3741" s="142"/>
    </row>
    <row r="3742" spans="1:24" x14ac:dyDescent="0.2">
      <c r="A3742" s="7" t="s">
        <v>435</v>
      </c>
      <c r="B3742" s="7" t="s">
        <v>288</v>
      </c>
      <c r="C3742" s="3"/>
      <c r="D3742" s="3" t="s">
        <v>668</v>
      </c>
      <c r="E3742" s="4" t="s">
        <v>31</v>
      </c>
      <c r="F3742" s="3" t="s">
        <v>31</v>
      </c>
      <c r="G3742" s="9">
        <v>24</v>
      </c>
      <c r="H3742" s="17">
        <f>Planning[[#This Row],[Horas Precálculo]]</f>
        <v>24</v>
      </c>
      <c r="I3742" s="18"/>
      <c r="J3742" s="14" t="e">
        <f>+SUMIFS(#REF!,#REF!,Planning[[#This Row],[Tarifa]],#REF!,Planning[[#This Row],[Proyectos]])</f>
        <v>#REF!</v>
      </c>
      <c r="K3742" s="14" t="e">
        <f>+Planning[[#This Row],[Horas Planificadas]]+Planning[[#This Row],[Horas ajustadas adicionales]]-Planning[[#This Row],[Horas utilizadas]]</f>
        <v>#REF!</v>
      </c>
      <c r="L3742" s="15">
        <v>0</v>
      </c>
      <c r="M3742" s="16" t="e">
        <f>Planning[[#This Row],[Saldo]]-Planning[[#This Row],[Saldo estimado]]</f>
        <v>#REF!</v>
      </c>
      <c r="N3742" s="60" t="e">
        <f>+SUMIFS(#REF!,#REF!,Planning[[#This Row],[Proyectos]],#REF!,Planning[[#This Row],[Tipo de Tarea y especialidad]])</f>
        <v>#REF!</v>
      </c>
      <c r="O3742" s="16">
        <f t="shared" si="116"/>
        <v>10</v>
      </c>
      <c r="P3742" s="16">
        <f t="shared" si="117"/>
        <v>2024</v>
      </c>
      <c r="Q3742" s="16" t="e">
        <f>+SUMIFS(#REF!,#REF!,Planning[[#This Row],[Tarifa]],#REF!,Planning[[#This Row],[Proyectos]],#REF!,Planning[[#This Row],[Mes]],#REF!,Planning[[#This Row],[Año]])</f>
        <v>#REF!</v>
      </c>
      <c r="R3742" s="16" t="str">
        <f>TEXT(Planning[[#This Row],[Mes]]*29,"mmmm")</f>
        <v>October</v>
      </c>
      <c r="S37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42" s="208"/>
      <c r="U3742" s="43" t="e">
        <f>IF(Planning[[#This Row],[Horas Planificadas]]&lt;&gt;0,+K3742/Planning[[#This Row],[Horas Planificadas]],0)</f>
        <v>#REF!</v>
      </c>
      <c r="V3742" s="43" t="e">
        <f>IF(Planning[[#This Row],[Horas Planificadas]]&lt;&gt;0,Planning[[#This Row],[Horas utilizadas]]/Planning[[#This Row],[Horas Planificadas]],0)</f>
        <v>#REF!</v>
      </c>
      <c r="W3742" s="44">
        <f>Planning[[#This Row],[Horas Planificadas]]+Planning[[#This Row],[Horas ajustadas adicionales]]</f>
        <v>24</v>
      </c>
      <c r="X3742" s="142"/>
    </row>
    <row r="3743" spans="1:24" ht="22.5" x14ac:dyDescent="0.2">
      <c r="A3743" s="7" t="s">
        <v>435</v>
      </c>
      <c r="B3743" s="7" t="s">
        <v>288</v>
      </c>
      <c r="C3743" s="3"/>
      <c r="D3743" s="3" t="s">
        <v>668</v>
      </c>
      <c r="E3743" s="4" t="s">
        <v>32</v>
      </c>
      <c r="F3743" s="3"/>
      <c r="G3743" s="9">
        <v>30</v>
      </c>
      <c r="H3743" s="14">
        <f>SUM(H3744:H3746)</f>
        <v>30</v>
      </c>
      <c r="I3743" s="14"/>
      <c r="J3743" s="14" t="e">
        <f>SUM(J3744:J3746)</f>
        <v>#REF!</v>
      </c>
      <c r="K3743" s="14" t="e">
        <f>+Planning[[#This Row],[Horas Planificadas]]+Planning[[#This Row],[Horas ajustadas adicionales]]-Planning[[#This Row],[Horas utilizadas]]</f>
        <v>#REF!</v>
      </c>
      <c r="L3743" s="15">
        <f>SUM(L3744:L3746)</f>
        <v>0</v>
      </c>
      <c r="M3743" s="16" t="e">
        <f>SUM(M3744:M3746)</f>
        <v>#REF!</v>
      </c>
      <c r="N3743" s="60" t="e">
        <f>+SUMIFS(#REF!,#REF!,Planning[[#This Row],[Proyectos]],#REF!,Planning[[#This Row],[Tipo de Tarea y especialidad]])</f>
        <v>#REF!</v>
      </c>
      <c r="O3743" s="16">
        <f t="shared" si="116"/>
        <v>10</v>
      </c>
      <c r="P3743" s="16">
        <f t="shared" si="117"/>
        <v>2024</v>
      </c>
      <c r="Q3743" s="16" t="e">
        <f>SUM(Q3744:Q3746)</f>
        <v>#REF!</v>
      </c>
      <c r="R3743" s="16" t="str">
        <f>TEXT(Planning[[#This Row],[Mes]]*29,"mmmm")</f>
        <v>October</v>
      </c>
      <c r="S37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43" s="208"/>
      <c r="U3743" s="43" t="e">
        <f>IF(Planning[[#This Row],[Horas Planificadas]]&lt;&gt;0,+K3743/Planning[[#This Row],[Horas Planificadas]],0)</f>
        <v>#REF!</v>
      </c>
      <c r="V3743" s="43" t="e">
        <f>IF(Planning[[#This Row],[Horas Planificadas]]&lt;&gt;0,Planning[[#This Row],[Horas utilizadas]]/Planning[[#This Row],[Horas Planificadas]],0)</f>
        <v>#REF!</v>
      </c>
      <c r="W3743" s="44">
        <f>Planning[[#This Row],[Horas Planificadas]]+Planning[[#This Row],[Horas ajustadas adicionales]]</f>
        <v>30</v>
      </c>
      <c r="X3743" s="142"/>
    </row>
    <row r="3744" spans="1:24" x14ac:dyDescent="0.2">
      <c r="A3744" s="7" t="s">
        <v>435</v>
      </c>
      <c r="B3744" s="7" t="s">
        <v>288</v>
      </c>
      <c r="C3744" s="3"/>
      <c r="D3744" s="3" t="s">
        <v>668</v>
      </c>
      <c r="E3744" s="4"/>
      <c r="F3744" s="3" t="s">
        <v>129</v>
      </c>
      <c r="G3744" s="9"/>
      <c r="H3744" s="9"/>
      <c r="I3744" s="12"/>
      <c r="J3744" s="5" t="e">
        <f>SUM(SUMIFS(#REF!,#REF!,Planning[[#This Row],[Tipo de Tarea y especialidad]],#REF!,Planning[[#This Row],[Proyectos Reiwa]]),SUMIFS(#REF!,#REF!,Planning[[#This Row],[Tipo de Tarea y especialidad]],#REF!,Planning[[#This Row],[Proyectos]]))</f>
        <v>#REF!</v>
      </c>
      <c r="K3744" s="5" t="e">
        <f>+Planning[[#This Row],[Horas Planificadas]]+Planning[[#This Row],[Horas ajustadas adicionales]]-Planning[[#This Row],[Horas utilizadas]]</f>
        <v>#REF!</v>
      </c>
      <c r="L3744" s="7"/>
      <c r="M3744" s="19" t="e">
        <f>Planning[[#This Row],[Saldo]]-Planning[[#This Row],[Saldo estimado]]</f>
        <v>#REF!</v>
      </c>
      <c r="N3744" s="60" t="e">
        <f>+SUMIFS(#REF!,#REF!,Planning[[#This Row],[Proyectos]],#REF!,Planning[[#This Row],[Tipo de Tarea y especialidad]])</f>
        <v>#REF!</v>
      </c>
      <c r="O3744" s="19">
        <f t="shared" si="116"/>
        <v>10</v>
      </c>
      <c r="P3744" s="19">
        <f t="shared" si="117"/>
        <v>2024</v>
      </c>
      <c r="Q37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44" s="19" t="str">
        <f>TEXT(Planning[[#This Row],[Mes]]*29,"mmmm")</f>
        <v>October</v>
      </c>
      <c r="S37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44" s="208"/>
      <c r="U3744" s="43">
        <f>IF(Planning[[#This Row],[Horas Planificadas]]&lt;&gt;0,+K3744/Planning[[#This Row],[Horas Planificadas]],0)</f>
        <v>0</v>
      </c>
      <c r="V3744" s="43">
        <f>IF(Planning[[#This Row],[Horas Planificadas]]&lt;&gt;0,Planning[[#This Row],[Horas utilizadas]]/Planning[[#This Row],[Horas Planificadas]],0)</f>
        <v>0</v>
      </c>
      <c r="W3744" s="44">
        <f>Planning[[#This Row],[Horas Planificadas]]+Planning[[#This Row],[Horas ajustadas adicionales]]</f>
        <v>0</v>
      </c>
      <c r="X3744" s="142"/>
    </row>
    <row r="3745" spans="1:24" x14ac:dyDescent="0.2">
      <c r="A3745" s="7" t="s">
        <v>435</v>
      </c>
      <c r="B3745" s="7" t="s">
        <v>288</v>
      </c>
      <c r="C3745" s="3"/>
      <c r="D3745" s="3" t="s">
        <v>668</v>
      </c>
      <c r="E3745" s="4"/>
      <c r="F3745" s="3" t="s">
        <v>130</v>
      </c>
      <c r="G3745" s="9"/>
      <c r="H3745" s="9"/>
      <c r="I3745" s="12"/>
      <c r="J3745" s="5" t="e">
        <f>SUM(SUMIFS(#REF!,#REF!,Planning[[#This Row],[Tipo de Tarea y especialidad]],#REF!,Planning[[#This Row],[Proyectos Reiwa]]),SUMIFS(#REF!,#REF!,Planning[[#This Row],[Tipo de Tarea y especialidad]],#REF!,Planning[[#This Row],[Proyectos]]))</f>
        <v>#REF!</v>
      </c>
      <c r="K3745" s="5" t="e">
        <f>+Planning[[#This Row],[Horas Planificadas]]+Planning[[#This Row],[Horas ajustadas adicionales]]-Planning[[#This Row],[Horas utilizadas]]</f>
        <v>#REF!</v>
      </c>
      <c r="L3745" s="7"/>
      <c r="M3745" s="19" t="e">
        <f>Planning[[#This Row],[Saldo]]-Planning[[#This Row],[Saldo estimado]]</f>
        <v>#REF!</v>
      </c>
      <c r="N3745" s="60" t="e">
        <f>+SUMIFS(#REF!,#REF!,Planning[[#This Row],[Proyectos]],#REF!,Planning[[#This Row],[Tipo de Tarea y especialidad]])</f>
        <v>#REF!</v>
      </c>
      <c r="O3745" s="19">
        <f t="shared" si="116"/>
        <v>10</v>
      </c>
      <c r="P3745" s="19">
        <f t="shared" si="117"/>
        <v>2024</v>
      </c>
      <c r="Q37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45" s="19" t="str">
        <f>TEXT(Planning[[#This Row],[Mes]]*29,"mmmm")</f>
        <v>October</v>
      </c>
      <c r="S37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45" s="208"/>
      <c r="U3745" s="43">
        <f>IF(Planning[[#This Row],[Horas Planificadas]]&lt;&gt;0,+K3745/Planning[[#This Row],[Horas Planificadas]],0)</f>
        <v>0</v>
      </c>
      <c r="V3745" s="43">
        <f>IF(Planning[[#This Row],[Horas Planificadas]]&lt;&gt;0,Planning[[#This Row],[Horas utilizadas]]/Planning[[#This Row],[Horas Planificadas]],0)</f>
        <v>0</v>
      </c>
      <c r="W3745" s="44">
        <f>Planning[[#This Row],[Horas Planificadas]]+Planning[[#This Row],[Horas ajustadas adicionales]]</f>
        <v>0</v>
      </c>
      <c r="X3745" s="142"/>
    </row>
    <row r="3746" spans="1:24" x14ac:dyDescent="0.2">
      <c r="A3746" s="7" t="s">
        <v>435</v>
      </c>
      <c r="B3746" s="7" t="s">
        <v>288</v>
      </c>
      <c r="C3746" s="3"/>
      <c r="D3746" s="3" t="s">
        <v>668</v>
      </c>
      <c r="E3746" s="4"/>
      <c r="F3746" s="3" t="s">
        <v>131</v>
      </c>
      <c r="G3746" s="9"/>
      <c r="H3746" s="9">
        <v>30</v>
      </c>
      <c r="I3746" s="12"/>
      <c r="J3746" s="5" t="e">
        <f>SUM(SUMIFS(#REF!,#REF!,Planning[[#This Row],[Tipo de Tarea y especialidad]],#REF!,Planning[[#This Row],[Proyectos Reiwa]]),SUMIFS(#REF!,#REF!,Planning[[#This Row],[Tipo de Tarea y especialidad]],#REF!,Planning[[#This Row],[Proyectos]]))</f>
        <v>#REF!</v>
      </c>
      <c r="K3746" s="5" t="e">
        <f>+Planning[[#This Row],[Horas Planificadas]]+Planning[[#This Row],[Horas ajustadas adicionales]]-Planning[[#This Row],[Horas utilizadas]]</f>
        <v>#REF!</v>
      </c>
      <c r="L3746" s="7"/>
      <c r="M3746" s="19" t="e">
        <f>Planning[[#This Row],[Saldo]]-Planning[[#This Row],[Saldo estimado]]</f>
        <v>#REF!</v>
      </c>
      <c r="N3746" s="60" t="e">
        <f>+SUMIFS(#REF!,#REF!,Planning[[#This Row],[Proyectos]],#REF!,Planning[[#This Row],[Tipo de Tarea y especialidad]])</f>
        <v>#REF!</v>
      </c>
      <c r="O3746" s="19">
        <f t="shared" si="116"/>
        <v>10</v>
      </c>
      <c r="P3746" s="19">
        <f t="shared" si="117"/>
        <v>2024</v>
      </c>
      <c r="Q37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46" s="19" t="str">
        <f>TEXT(Planning[[#This Row],[Mes]]*29,"mmmm")</f>
        <v>October</v>
      </c>
      <c r="S37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46" s="208"/>
      <c r="U3746" s="43" t="e">
        <f>IF(Planning[[#This Row],[Horas Planificadas]]&lt;&gt;0,+K3746/Planning[[#This Row],[Horas Planificadas]],0)</f>
        <v>#REF!</v>
      </c>
      <c r="V3746" s="43" t="e">
        <f>IF(Planning[[#This Row],[Horas Planificadas]]&lt;&gt;0,Planning[[#This Row],[Horas utilizadas]]/Planning[[#This Row],[Horas Planificadas]],0)</f>
        <v>#REF!</v>
      </c>
      <c r="W3746" s="44">
        <f>Planning[[#This Row],[Horas Planificadas]]+Planning[[#This Row],[Horas ajustadas adicionales]]</f>
        <v>30</v>
      </c>
      <c r="X3746" s="142"/>
    </row>
    <row r="3747" spans="1:24" ht="12.75" customHeight="1" x14ac:dyDescent="0.2">
      <c r="A3747" s="7" t="s">
        <v>483</v>
      </c>
      <c r="B3747" s="7" t="s">
        <v>220</v>
      </c>
      <c r="C3747" s="3"/>
      <c r="D3747" s="3" t="s">
        <v>670</v>
      </c>
      <c r="E3747" s="4" t="s">
        <v>28</v>
      </c>
      <c r="F3747" s="3"/>
      <c r="G3747" s="9"/>
      <c r="H3747" s="14">
        <f>SUM(H3748:H3749)</f>
        <v>1362</v>
      </c>
      <c r="I3747" s="14">
        <f>SUM(I3748:I3749)</f>
        <v>533</v>
      </c>
      <c r="J3747" s="14" t="e">
        <f>SUM(J3748:J3749)</f>
        <v>#REF!</v>
      </c>
      <c r="K3747" s="14" t="e">
        <f>+Planning[[#This Row],[Horas Planificadas]]+Planning[[#This Row],[Horas ajustadas adicionales]]-Planning[[#This Row],[Horas utilizadas]]</f>
        <v>#REF!</v>
      </c>
      <c r="L3747" s="15">
        <f>SUM(L3748:L3749)</f>
        <v>0</v>
      </c>
      <c r="M3747" s="14" t="e">
        <f>SUM(M3748:M3749)</f>
        <v>#REF!</v>
      </c>
      <c r="N3747" s="66" t="e">
        <f>+SUMIFS(#REF!,#REF!,Planning[[#This Row],[Proyectos]],#REF!,Planning[[#This Row],[Tipo de Tarea y especialidad]])</f>
        <v>#REF!</v>
      </c>
      <c r="O3747" s="14">
        <f t="shared" si="116"/>
        <v>10</v>
      </c>
      <c r="P3747" s="14">
        <f t="shared" si="117"/>
        <v>2024</v>
      </c>
      <c r="Q3747" s="28" t="e">
        <f>SUM(Q3748:Q3749)</f>
        <v>#REF!</v>
      </c>
      <c r="R3747" s="28" t="str">
        <f>TEXT(Planning[[#This Row],[Mes]]*29,"mmmm")</f>
        <v>October</v>
      </c>
      <c r="S37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47" s="232" t="s">
        <v>671</v>
      </c>
      <c r="U3747" s="43" t="e">
        <f>IF(Planning[[#This Row],[Horas Planificadas]]&lt;&gt;0,+K3747/Planning[[#This Row],[Horas Planificadas]],0)</f>
        <v>#REF!</v>
      </c>
      <c r="V3747" s="43" t="e">
        <f>IF(Planning[[#This Row],[Horas Planificadas]]&lt;&gt;0,Planning[[#This Row],[Horas utilizadas]]/Planning[[#This Row],[Horas Planificadas]],0)</f>
        <v>#REF!</v>
      </c>
      <c r="W3747" s="44">
        <f>Planning[[#This Row],[Horas Planificadas]]+Planning[[#This Row],[Horas ajustadas adicionales]]</f>
        <v>1895</v>
      </c>
      <c r="X3747" s="142"/>
    </row>
    <row r="3748" spans="1:24" x14ac:dyDescent="0.2">
      <c r="A3748" s="7" t="s">
        <v>483</v>
      </c>
      <c r="B3748" s="7" t="s">
        <v>220</v>
      </c>
      <c r="C3748" s="3"/>
      <c r="D3748" s="3" t="s">
        <v>670</v>
      </c>
      <c r="E3748" s="4"/>
      <c r="F3748" s="3" t="s">
        <v>120</v>
      </c>
      <c r="G3748" s="9">
        <v>840</v>
      </c>
      <c r="H3748" s="9">
        <v>840</v>
      </c>
      <c r="I3748" s="12">
        <f>300+30</f>
        <v>330</v>
      </c>
      <c r="J3748" s="5" t="e">
        <f>SUM(SUMIFS(#REF!,#REF!,Planning[[#This Row],[Tipo de Tarea y especialidad]],#REF!,Planning[[#This Row],[Proyectos Reiwa]]),SUMIFS(#REF!,#REF!,Planning[[#This Row],[Tipo de Tarea y especialidad]],#REF!,Planning[[#This Row],[Proyectos]]))</f>
        <v>#REF!</v>
      </c>
      <c r="K3748" s="5" t="e">
        <f>+Planning[[#This Row],[Horas Planificadas]]+Planning[[#This Row],[Horas ajustadas adicionales]]-Planning[[#This Row],[Horas utilizadas]]</f>
        <v>#REF!</v>
      </c>
      <c r="L3748" s="7">
        <v>0</v>
      </c>
      <c r="M3748" s="19" t="e">
        <f>Planning[[#This Row],[Saldo]]-Planning[[#This Row],[Saldo estimado]]</f>
        <v>#REF!</v>
      </c>
      <c r="N3748" s="60" t="e">
        <f>+SUMIFS(#REF!,#REF!,Planning[[#This Row],[Proyectos]],#REF!,Planning[[#This Row],[Tipo de Tarea y especialidad]])</f>
        <v>#REF!</v>
      </c>
      <c r="O3748" s="19">
        <f t="shared" si="116"/>
        <v>10</v>
      </c>
      <c r="P3748" s="19">
        <f t="shared" si="117"/>
        <v>2024</v>
      </c>
      <c r="Q37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48" s="19" t="str">
        <f>TEXT(Planning[[#This Row],[Mes]]*29,"mmmm")</f>
        <v>October</v>
      </c>
      <c r="S37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48" s="239"/>
      <c r="U3748" s="43" t="e">
        <f>IF(Planning[[#This Row],[Horas Planificadas]]&lt;&gt;0,+K3748/Planning[[#This Row],[Horas Planificadas]],0)</f>
        <v>#REF!</v>
      </c>
      <c r="V3748" s="43" t="e">
        <f>IF(Planning[[#This Row],[Horas Planificadas]]&lt;&gt;0,Planning[[#This Row],[Horas utilizadas]]/Planning[[#This Row],[Horas Planificadas]],0)</f>
        <v>#REF!</v>
      </c>
      <c r="W3748" s="44">
        <f>Planning[[#This Row],[Horas Planificadas]]+Planning[[#This Row],[Horas ajustadas adicionales]]</f>
        <v>1170</v>
      </c>
      <c r="X3748" s="142"/>
    </row>
    <row r="3749" spans="1:24" x14ac:dyDescent="0.2">
      <c r="A3749" s="7" t="s">
        <v>483</v>
      </c>
      <c r="B3749" s="7" t="s">
        <v>220</v>
      </c>
      <c r="C3749" s="3"/>
      <c r="D3749" s="3" t="s">
        <v>670</v>
      </c>
      <c r="E3749" s="4"/>
      <c r="F3749" s="3" t="s">
        <v>121</v>
      </c>
      <c r="G3749" s="9">
        <v>522</v>
      </c>
      <c r="H3749" s="9">
        <v>522</v>
      </c>
      <c r="I3749" s="12">
        <f>194+9</f>
        <v>203</v>
      </c>
      <c r="J3749" s="5" t="e">
        <f>SUM(SUMIFS(#REF!,#REF!,Planning[[#This Row],[Tipo de Tarea y especialidad]],#REF!,Planning[[#This Row],[Proyectos Reiwa]]),SUMIFS(#REF!,#REF!,Planning[[#This Row],[Tipo de Tarea y especialidad]],#REF!,Planning[[#This Row],[Proyectos]]))</f>
        <v>#REF!</v>
      </c>
      <c r="K3749" s="5" t="e">
        <f>+Planning[[#This Row],[Horas Planificadas]]+Planning[[#This Row],[Horas ajustadas adicionales]]-Planning[[#This Row],[Horas utilizadas]]</f>
        <v>#REF!</v>
      </c>
      <c r="L3749" s="7">
        <v>0</v>
      </c>
      <c r="M3749" s="19" t="e">
        <f>Planning[[#This Row],[Saldo]]-Planning[[#This Row],[Saldo estimado]]</f>
        <v>#REF!</v>
      </c>
      <c r="N3749" s="60" t="e">
        <f>+SUMIFS(#REF!,#REF!,Planning[[#This Row],[Proyectos]],#REF!,Planning[[#This Row],[Tipo de Tarea y especialidad]])</f>
        <v>#REF!</v>
      </c>
      <c r="O3749" s="19">
        <f t="shared" si="116"/>
        <v>10</v>
      </c>
      <c r="P3749" s="19">
        <f t="shared" si="117"/>
        <v>2024</v>
      </c>
      <c r="Q37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49" s="19" t="str">
        <f>TEXT(Planning[[#This Row],[Mes]]*29,"mmmm")</f>
        <v>October</v>
      </c>
      <c r="S37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49" s="239"/>
      <c r="U3749" s="43" t="e">
        <f>IF(Planning[[#This Row],[Horas Planificadas]]&lt;&gt;0,+K3749/Planning[[#This Row],[Horas Planificadas]],0)</f>
        <v>#REF!</v>
      </c>
      <c r="V3749" s="43" t="e">
        <f>IF(Planning[[#This Row],[Horas Planificadas]]&lt;&gt;0,Planning[[#This Row],[Horas utilizadas]]/Planning[[#This Row],[Horas Planificadas]],0)</f>
        <v>#REF!</v>
      </c>
      <c r="W3749" s="44">
        <f>Planning[[#This Row],[Horas Planificadas]]+Planning[[#This Row],[Horas ajustadas adicionales]]</f>
        <v>725</v>
      </c>
      <c r="X3749" s="142"/>
    </row>
    <row r="3750" spans="1:24" x14ac:dyDescent="0.2">
      <c r="A3750" s="7" t="s">
        <v>483</v>
      </c>
      <c r="B3750" s="7" t="s">
        <v>220</v>
      </c>
      <c r="C3750" s="3"/>
      <c r="D3750" s="3" t="s">
        <v>670</v>
      </c>
      <c r="E3750" s="4" t="s">
        <v>30</v>
      </c>
      <c r="F3750" s="3"/>
      <c r="G3750" s="9"/>
      <c r="H3750" s="14">
        <f>SUM(H3751:H3757)</f>
        <v>713</v>
      </c>
      <c r="I3750" s="14">
        <f>SUM(I3751:I3757)</f>
        <v>1094</v>
      </c>
      <c r="J3750" s="14" t="e">
        <f>SUM(J3751:J3757)</f>
        <v>#REF!</v>
      </c>
      <c r="K3750" s="14" t="e">
        <f>+Planning[[#This Row],[Horas Planificadas]]+Planning[[#This Row],[Horas ajustadas adicionales]]-Planning[[#This Row],[Horas utilizadas]]</f>
        <v>#REF!</v>
      </c>
      <c r="L3750" s="15" t="e">
        <f>SUM(L3751:L3757)</f>
        <v>#REF!</v>
      </c>
      <c r="M3750" s="16" t="e">
        <f>SUM(M3751:M3757)</f>
        <v>#REF!</v>
      </c>
      <c r="N3750" s="60" t="e">
        <f>+SUMIFS(#REF!,#REF!,Planning[[#This Row],[Proyectos]],#REF!,Planning[[#This Row],[Tipo de Tarea y especialidad]])</f>
        <v>#REF!</v>
      </c>
      <c r="O3750" s="16">
        <f t="shared" si="116"/>
        <v>10</v>
      </c>
      <c r="P3750" s="16">
        <f t="shared" si="117"/>
        <v>2024</v>
      </c>
      <c r="Q3750" s="16" t="e">
        <f>SUM(Q3751:Q3757)</f>
        <v>#REF!</v>
      </c>
      <c r="R3750" s="16" t="str">
        <f>TEXT(Planning[[#This Row],[Mes]]*29,"mmmm")</f>
        <v>October</v>
      </c>
      <c r="S37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50" s="239"/>
      <c r="U3750" s="43" t="e">
        <f>IF(Planning[[#This Row],[Horas Planificadas]]&lt;&gt;0,+K3750/Planning[[#This Row],[Horas Planificadas]],0)</f>
        <v>#REF!</v>
      </c>
      <c r="V3750" s="43" t="e">
        <f>IF(Planning[[#This Row],[Horas Planificadas]]&lt;&gt;0,Planning[[#This Row],[Horas utilizadas]]/Planning[[#This Row],[Horas Planificadas]],0)</f>
        <v>#REF!</v>
      </c>
      <c r="W3750" s="44">
        <f>Planning[[#This Row],[Horas Planificadas]]+Planning[[#This Row],[Horas ajustadas adicionales]]</f>
        <v>1807</v>
      </c>
      <c r="X3750" s="142"/>
    </row>
    <row r="3751" spans="1:24" x14ac:dyDescent="0.2">
      <c r="A3751" s="7" t="s">
        <v>483</v>
      </c>
      <c r="B3751" s="7" t="s">
        <v>220</v>
      </c>
      <c r="C3751" s="3"/>
      <c r="D3751" s="3" t="s">
        <v>670</v>
      </c>
      <c r="E3751" s="4"/>
      <c r="F3751" s="3" t="s">
        <v>122</v>
      </c>
      <c r="G3751" s="9">
        <v>233</v>
      </c>
      <c r="H3751" s="9">
        <v>233</v>
      </c>
      <c r="I3751" s="12">
        <f>18+50+45</f>
        <v>113</v>
      </c>
      <c r="J3751" s="5" t="e">
        <f>SUM(SUMIFS(#REF!,#REF!,Planning[[#This Row],[Tipo de Tarea y especialidad]],#REF!,Planning[[#This Row],[Proyectos Reiwa]]),SUMIFS(#REF!,#REF!,Planning[[#This Row],[Tipo de Tarea y especialidad]],#REF!,Planning[[#This Row],[Proyectos]]))</f>
        <v>#REF!</v>
      </c>
      <c r="K3751" s="5" t="e">
        <f>+Planning[[#This Row],[Horas Planificadas]]+Planning[[#This Row],[Horas ajustadas adicionales]]-Planning[[#This Row],[Horas utilizadas]]</f>
        <v>#REF!</v>
      </c>
      <c r="L3751" s="7">
        <v>0</v>
      </c>
      <c r="M3751" s="19" t="e">
        <f>Planning[[#This Row],[Saldo]]-Planning[[#This Row],[Saldo estimado]]</f>
        <v>#REF!</v>
      </c>
      <c r="N3751" s="60" t="e">
        <f>+SUMIFS(#REF!,#REF!,Planning[[#This Row],[Proyectos]],#REF!,Planning[[#This Row],[Tipo de Tarea y especialidad]])</f>
        <v>#REF!</v>
      </c>
      <c r="O3751" s="19">
        <f t="shared" si="116"/>
        <v>10</v>
      </c>
      <c r="P3751" s="19">
        <f t="shared" si="117"/>
        <v>2024</v>
      </c>
      <c r="Q37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51" s="19" t="str">
        <f>TEXT(Planning[[#This Row],[Mes]]*29,"mmmm")</f>
        <v>October</v>
      </c>
      <c r="S37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51" s="239"/>
      <c r="U3751" s="43" t="e">
        <f>IF(Planning[[#This Row],[Horas Planificadas]]&lt;&gt;0,+K3751/Planning[[#This Row],[Horas Planificadas]],0)</f>
        <v>#REF!</v>
      </c>
      <c r="V3751" s="43" t="e">
        <f>IF(Planning[[#This Row],[Horas Planificadas]]&lt;&gt;0,Planning[[#This Row],[Horas utilizadas]]/Planning[[#This Row],[Horas Planificadas]],0)</f>
        <v>#REF!</v>
      </c>
      <c r="W3751" s="44">
        <f>Planning[[#This Row],[Horas Planificadas]]+Planning[[#This Row],[Horas ajustadas adicionales]]</f>
        <v>346</v>
      </c>
      <c r="X3751" s="142"/>
    </row>
    <row r="3752" spans="1:24" x14ac:dyDescent="0.2">
      <c r="A3752" s="7" t="s">
        <v>483</v>
      </c>
      <c r="B3752" s="7" t="s">
        <v>220</v>
      </c>
      <c r="C3752" s="3"/>
      <c r="D3752" s="3" t="s">
        <v>670</v>
      </c>
      <c r="E3752" s="4"/>
      <c r="F3752" s="3" t="s">
        <v>123</v>
      </c>
      <c r="G3752" s="9"/>
      <c r="H3752" s="9">
        <v>0</v>
      </c>
      <c r="I3752" s="12">
        <v>400</v>
      </c>
      <c r="J3752" s="5" t="e">
        <f>SUM(SUMIFS(#REF!,#REF!,Planning[[#This Row],[Tipo de Tarea y especialidad]],#REF!,Planning[[#This Row],[Proyectos Reiwa]]),SUMIFS(#REF!,#REF!,Planning[[#This Row],[Tipo de Tarea y especialidad]],#REF!,Planning[[#This Row],[Proyectos]]))</f>
        <v>#REF!</v>
      </c>
      <c r="K3752" s="5" t="e">
        <f>+Planning[[#This Row],[Horas Planificadas]]+Planning[[#This Row],[Horas ajustadas adicionales]]-Planning[[#This Row],[Horas utilizadas]]</f>
        <v>#REF!</v>
      </c>
      <c r="L3752" s="7">
        <v>0</v>
      </c>
      <c r="M3752" s="19" t="e">
        <f>Planning[[#This Row],[Saldo]]-Planning[[#This Row],[Saldo estimado]]</f>
        <v>#REF!</v>
      </c>
      <c r="N3752" s="60" t="e">
        <f>+SUMIFS(#REF!,#REF!,Planning[[#This Row],[Proyectos]],#REF!,Planning[[#This Row],[Tipo de Tarea y especialidad]])</f>
        <v>#REF!</v>
      </c>
      <c r="O3752" s="19">
        <f t="shared" si="116"/>
        <v>10</v>
      </c>
      <c r="P3752" s="19">
        <f t="shared" si="117"/>
        <v>2024</v>
      </c>
      <c r="Q37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52" s="19" t="str">
        <f>TEXT(Planning[[#This Row],[Mes]]*29,"mmmm")</f>
        <v>October</v>
      </c>
      <c r="S37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52" s="239"/>
      <c r="U3752" s="43">
        <f>IF(Planning[[#This Row],[Horas Planificadas]]&lt;&gt;0,+K3752/Planning[[#This Row],[Horas Planificadas]],0)</f>
        <v>0</v>
      </c>
      <c r="V3752" s="43">
        <f>IF(Planning[[#This Row],[Horas Planificadas]]&lt;&gt;0,Planning[[#This Row],[Horas utilizadas]]/Planning[[#This Row],[Horas Planificadas]],0)</f>
        <v>0</v>
      </c>
      <c r="W3752" s="44">
        <f>Planning[[#This Row],[Horas Planificadas]]+Planning[[#This Row],[Horas ajustadas adicionales]]</f>
        <v>400</v>
      </c>
      <c r="X3752" s="142"/>
    </row>
    <row r="3753" spans="1:24" x14ac:dyDescent="0.2">
      <c r="A3753" s="7" t="s">
        <v>483</v>
      </c>
      <c r="B3753" s="7" t="s">
        <v>220</v>
      </c>
      <c r="C3753" s="3"/>
      <c r="D3753" s="3" t="s">
        <v>670</v>
      </c>
      <c r="E3753" s="4"/>
      <c r="F3753" s="3" t="s">
        <v>124</v>
      </c>
      <c r="G3753" s="9">
        <v>0</v>
      </c>
      <c r="H3753" s="9">
        <v>0</v>
      </c>
      <c r="I3753" s="12"/>
      <c r="J3753" s="5" t="e">
        <f>SUM(SUMIFS(#REF!,#REF!,Planning[[#This Row],[Tipo de Tarea y especialidad]],#REF!,Planning[[#This Row],[Proyectos Reiwa]]),SUMIFS(#REF!,#REF!,Planning[[#This Row],[Tipo de Tarea y especialidad]],#REF!,Planning[[#This Row],[Proyectos]]))</f>
        <v>#REF!</v>
      </c>
      <c r="K3753" s="5" t="e">
        <f>+Planning[[#This Row],[Horas Planificadas]]+Planning[[#This Row],[Horas ajustadas adicionales]]-Planning[[#This Row],[Horas utilizadas]]</f>
        <v>#REF!</v>
      </c>
      <c r="L3753" s="7" t="e">
        <f>Planning[[#This Row],[Saldo]]</f>
        <v>#REF!</v>
      </c>
      <c r="M3753" s="19" t="e">
        <f>Planning[[#This Row],[Saldo]]-Planning[[#This Row],[Saldo estimado]]</f>
        <v>#REF!</v>
      </c>
      <c r="N3753" s="60" t="e">
        <f>+SUMIFS(#REF!,#REF!,Planning[[#This Row],[Proyectos]],#REF!,Planning[[#This Row],[Tipo de Tarea y especialidad]])</f>
        <v>#REF!</v>
      </c>
      <c r="O3753" s="19">
        <f t="shared" si="116"/>
        <v>10</v>
      </c>
      <c r="P3753" s="19">
        <f t="shared" si="117"/>
        <v>2024</v>
      </c>
      <c r="Q37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53" s="19" t="str">
        <f>TEXT(Planning[[#This Row],[Mes]]*29,"mmmm")</f>
        <v>October</v>
      </c>
      <c r="S37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53" s="239"/>
      <c r="U3753" s="43">
        <f>IF(Planning[[#This Row],[Horas Planificadas]]&lt;&gt;0,+K3753/Planning[[#This Row],[Horas Planificadas]],0)</f>
        <v>0</v>
      </c>
      <c r="V3753" s="43">
        <f>IF(Planning[[#This Row],[Horas Planificadas]]&lt;&gt;0,Planning[[#This Row],[Horas utilizadas]]/Planning[[#This Row],[Horas Planificadas]],0)</f>
        <v>0</v>
      </c>
      <c r="W3753" s="44">
        <f>Planning[[#This Row],[Horas Planificadas]]+Planning[[#This Row],[Horas ajustadas adicionales]]</f>
        <v>0</v>
      </c>
      <c r="X3753" s="142"/>
    </row>
    <row r="3754" spans="1:24" x14ac:dyDescent="0.2">
      <c r="A3754" s="7" t="s">
        <v>483</v>
      </c>
      <c r="B3754" s="7" t="s">
        <v>220</v>
      </c>
      <c r="C3754" s="3"/>
      <c r="D3754" s="3" t="s">
        <v>670</v>
      </c>
      <c r="E3754" s="4"/>
      <c r="F3754" s="3" t="s">
        <v>125</v>
      </c>
      <c r="G3754" s="9">
        <v>135</v>
      </c>
      <c r="H3754" s="9">
        <v>135</v>
      </c>
      <c r="I3754" s="12">
        <f>222+9</f>
        <v>231</v>
      </c>
      <c r="J3754" s="5" t="e">
        <f>SUM(SUMIFS(#REF!,#REF!,Planning[[#This Row],[Tipo de Tarea y especialidad]],#REF!,Planning[[#This Row],[Proyectos Reiwa]]),SUMIFS(#REF!,#REF!,Planning[[#This Row],[Tipo de Tarea y especialidad]],#REF!,Planning[[#This Row],[Proyectos]]))</f>
        <v>#REF!</v>
      </c>
      <c r="K3754" s="5" t="e">
        <f>+Planning[[#This Row],[Horas Planificadas]]+Planning[[#This Row],[Horas ajustadas adicionales]]-Planning[[#This Row],[Horas utilizadas]]</f>
        <v>#REF!</v>
      </c>
      <c r="L3754" s="7">
        <v>0</v>
      </c>
      <c r="M3754" s="19" t="e">
        <f>Planning[[#This Row],[Saldo]]-Planning[[#This Row],[Saldo estimado]]</f>
        <v>#REF!</v>
      </c>
      <c r="N3754" s="60" t="e">
        <f>+SUMIFS(#REF!,#REF!,Planning[[#This Row],[Proyectos]],#REF!,Planning[[#This Row],[Tipo de Tarea y especialidad]])</f>
        <v>#REF!</v>
      </c>
      <c r="O3754" s="19">
        <f t="shared" si="116"/>
        <v>10</v>
      </c>
      <c r="P3754" s="19">
        <f t="shared" si="117"/>
        <v>2024</v>
      </c>
      <c r="Q37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54" s="19" t="str">
        <f>TEXT(Planning[[#This Row],[Mes]]*29,"mmmm")</f>
        <v>October</v>
      </c>
      <c r="S37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54" s="239"/>
      <c r="U3754" s="43" t="e">
        <f>IF(Planning[[#This Row],[Horas Planificadas]]&lt;&gt;0,+K3754/Planning[[#This Row],[Horas Planificadas]],0)</f>
        <v>#REF!</v>
      </c>
      <c r="V3754" s="43" t="e">
        <f>IF(Planning[[#This Row],[Horas Planificadas]]&lt;&gt;0,Planning[[#This Row],[Horas utilizadas]]/Planning[[#This Row],[Horas Planificadas]],0)</f>
        <v>#REF!</v>
      </c>
      <c r="W3754" s="44">
        <f>Planning[[#This Row],[Horas Planificadas]]+Planning[[#This Row],[Horas ajustadas adicionales]]</f>
        <v>366</v>
      </c>
      <c r="X3754" s="142"/>
    </row>
    <row r="3755" spans="1:24" x14ac:dyDescent="0.2">
      <c r="A3755" s="7" t="s">
        <v>483</v>
      </c>
      <c r="B3755" s="7" t="s">
        <v>220</v>
      </c>
      <c r="C3755" s="3"/>
      <c r="D3755" s="3" t="s">
        <v>670</v>
      </c>
      <c r="E3755" s="4"/>
      <c r="F3755" s="3" t="s">
        <v>126</v>
      </c>
      <c r="G3755" s="9">
        <v>345</v>
      </c>
      <c r="H3755" s="9">
        <v>345</v>
      </c>
      <c r="I3755" s="12"/>
      <c r="J3755" s="5" t="e">
        <f>SUM(SUMIFS(#REF!,#REF!,Planning[[#This Row],[Tipo de Tarea y especialidad]],#REF!,Planning[[#This Row],[Proyectos Reiwa]]),SUMIFS(#REF!,#REF!,Planning[[#This Row],[Tipo de Tarea y especialidad]],#REF!,Planning[[#This Row],[Proyectos]]))</f>
        <v>#REF!</v>
      </c>
      <c r="K3755" s="5" t="e">
        <f>+Planning[[#This Row],[Horas Planificadas]]+Planning[[#This Row],[Horas ajustadas adicionales]]-Planning[[#This Row],[Horas utilizadas]]</f>
        <v>#REF!</v>
      </c>
      <c r="L3755" s="7">
        <v>0</v>
      </c>
      <c r="M3755" s="19" t="e">
        <f>Planning[[#This Row],[Saldo]]-Planning[[#This Row],[Saldo estimado]]</f>
        <v>#REF!</v>
      </c>
      <c r="N3755" s="60" t="e">
        <f>+SUMIFS(#REF!,#REF!,Planning[[#This Row],[Proyectos]],#REF!,Planning[[#This Row],[Tipo de Tarea y especialidad]])</f>
        <v>#REF!</v>
      </c>
      <c r="O3755" s="19">
        <f t="shared" si="116"/>
        <v>10</v>
      </c>
      <c r="P3755" s="19">
        <f t="shared" si="117"/>
        <v>2024</v>
      </c>
      <c r="Q37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55" s="19" t="str">
        <f>TEXT(Planning[[#This Row],[Mes]]*29,"mmmm")</f>
        <v>October</v>
      </c>
      <c r="S37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55" s="239"/>
      <c r="U3755" s="43" t="e">
        <f>IF(Planning[[#This Row],[Horas Planificadas]]&lt;&gt;0,+K3755/Planning[[#This Row],[Horas Planificadas]],0)</f>
        <v>#REF!</v>
      </c>
      <c r="V3755" s="43" t="e">
        <f>IF(Planning[[#This Row],[Horas Planificadas]]&lt;&gt;0,Planning[[#This Row],[Horas utilizadas]]/Planning[[#This Row],[Horas Planificadas]],0)</f>
        <v>#REF!</v>
      </c>
      <c r="W3755" s="44">
        <f>Planning[[#This Row],[Horas Planificadas]]+Planning[[#This Row],[Horas ajustadas adicionales]]</f>
        <v>345</v>
      </c>
      <c r="X3755" s="142"/>
    </row>
    <row r="3756" spans="1:24" x14ac:dyDescent="0.2">
      <c r="A3756" s="7" t="s">
        <v>483</v>
      </c>
      <c r="B3756" s="7" t="s">
        <v>220</v>
      </c>
      <c r="C3756" s="3"/>
      <c r="D3756" s="3" t="s">
        <v>670</v>
      </c>
      <c r="E3756" s="4"/>
      <c r="F3756" s="3" t="s">
        <v>127</v>
      </c>
      <c r="G3756" s="9">
        <v>0</v>
      </c>
      <c r="H3756" s="9">
        <v>0</v>
      </c>
      <c r="I3756" s="12">
        <v>350</v>
      </c>
      <c r="J3756" s="5" t="e">
        <f>SUM(SUMIFS(#REF!,#REF!,Planning[[#This Row],[Tipo de Tarea y especialidad]],#REF!,Planning[[#This Row],[Proyectos Reiwa]]),SUMIFS(#REF!,#REF!,Planning[[#This Row],[Tipo de Tarea y especialidad]],#REF!,Planning[[#This Row],[Proyectos]]))</f>
        <v>#REF!</v>
      </c>
      <c r="K3756" s="5" t="e">
        <f>+Planning[[#This Row],[Horas Planificadas]]+Planning[[#This Row],[Horas ajustadas adicionales]]-Planning[[#This Row],[Horas utilizadas]]</f>
        <v>#REF!</v>
      </c>
      <c r="L3756" s="7">
        <v>0</v>
      </c>
      <c r="M3756" s="19" t="e">
        <f>Planning[[#This Row],[Saldo]]-Planning[[#This Row],[Saldo estimado]]</f>
        <v>#REF!</v>
      </c>
      <c r="N3756" s="60" t="e">
        <f>+SUMIFS(#REF!,#REF!,Planning[[#This Row],[Proyectos]],#REF!,Planning[[#This Row],[Tipo de Tarea y especialidad]])</f>
        <v>#REF!</v>
      </c>
      <c r="O3756" s="19">
        <f t="shared" si="116"/>
        <v>10</v>
      </c>
      <c r="P3756" s="19">
        <f t="shared" si="117"/>
        <v>2024</v>
      </c>
      <c r="Q37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56" s="19" t="str">
        <f>TEXT(Planning[[#This Row],[Mes]]*29,"mmmm")</f>
        <v>October</v>
      </c>
      <c r="S37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56" s="239"/>
      <c r="U3756" s="43">
        <f>IF(Planning[[#This Row],[Horas Planificadas]]&lt;&gt;0,+K3756/Planning[[#This Row],[Horas Planificadas]],0)</f>
        <v>0</v>
      </c>
      <c r="V3756" s="43">
        <f>IF(Planning[[#This Row],[Horas Planificadas]]&lt;&gt;0,Planning[[#This Row],[Horas utilizadas]]/Planning[[#This Row],[Horas Planificadas]],0)</f>
        <v>0</v>
      </c>
      <c r="W3756" s="44">
        <f>Planning[[#This Row],[Horas Planificadas]]+Planning[[#This Row],[Horas ajustadas adicionales]]</f>
        <v>350</v>
      </c>
      <c r="X3756" s="142"/>
    </row>
    <row r="3757" spans="1:24" x14ac:dyDescent="0.2">
      <c r="A3757" s="7" t="s">
        <v>483</v>
      </c>
      <c r="B3757" s="7" t="s">
        <v>220</v>
      </c>
      <c r="C3757" s="3"/>
      <c r="D3757" s="3" t="s">
        <v>670</v>
      </c>
      <c r="E3757" s="4"/>
      <c r="F3757" s="3" t="s">
        <v>128</v>
      </c>
      <c r="G3757" s="9">
        <v>0</v>
      </c>
      <c r="H3757" s="9">
        <v>0</v>
      </c>
      <c r="I3757" s="12"/>
      <c r="J3757" s="5" t="e">
        <f>SUM(SUMIFS(#REF!,#REF!,Planning[[#This Row],[Tipo de Tarea y especialidad]],#REF!,Planning[[#This Row],[Proyectos Reiwa]]),SUMIFS(#REF!,#REF!,Planning[[#This Row],[Tipo de Tarea y especialidad]],#REF!,Planning[[#This Row],[Proyectos]]))</f>
        <v>#REF!</v>
      </c>
      <c r="K3757" s="5" t="e">
        <f>+Planning[[#This Row],[Horas Planificadas]]+Planning[[#This Row],[Horas ajustadas adicionales]]-Planning[[#This Row],[Horas utilizadas]]</f>
        <v>#REF!</v>
      </c>
      <c r="L3757" s="7" t="e">
        <f>Planning[[#This Row],[Saldo]]</f>
        <v>#REF!</v>
      </c>
      <c r="M3757" s="19" t="e">
        <f>Planning[[#This Row],[Saldo]]-Planning[[#This Row],[Saldo estimado]]</f>
        <v>#REF!</v>
      </c>
      <c r="N3757" s="60" t="e">
        <f>+SUMIFS(#REF!,#REF!,Planning[[#This Row],[Proyectos]],#REF!,Planning[[#This Row],[Tipo de Tarea y especialidad]])</f>
        <v>#REF!</v>
      </c>
      <c r="O3757" s="19">
        <f t="shared" si="116"/>
        <v>10</v>
      </c>
      <c r="P3757" s="19">
        <f t="shared" si="117"/>
        <v>2024</v>
      </c>
      <c r="Q37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57" s="19" t="str">
        <f>TEXT(Planning[[#This Row],[Mes]]*29,"mmmm")</f>
        <v>October</v>
      </c>
      <c r="S37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57" s="239"/>
      <c r="U3757" s="43">
        <f>IF(Planning[[#This Row],[Horas Planificadas]]&lt;&gt;0,+K3757/Planning[[#This Row],[Horas Planificadas]],0)</f>
        <v>0</v>
      </c>
      <c r="V3757" s="43">
        <f>IF(Planning[[#This Row],[Horas Planificadas]]&lt;&gt;0,Planning[[#This Row],[Horas utilizadas]]/Planning[[#This Row],[Horas Planificadas]],0)</f>
        <v>0</v>
      </c>
      <c r="W3757" s="44">
        <f>Planning[[#This Row],[Horas Planificadas]]+Planning[[#This Row],[Horas ajustadas adicionales]]</f>
        <v>0</v>
      </c>
      <c r="X3757" s="142"/>
    </row>
    <row r="3758" spans="1:24" x14ac:dyDescent="0.2">
      <c r="A3758" s="7" t="s">
        <v>483</v>
      </c>
      <c r="B3758" s="7" t="s">
        <v>220</v>
      </c>
      <c r="C3758" s="3"/>
      <c r="D3758" s="3" t="s">
        <v>670</v>
      </c>
      <c r="E3758" s="4" t="s">
        <v>31</v>
      </c>
      <c r="F3758" s="3" t="s">
        <v>31</v>
      </c>
      <c r="G3758" s="9"/>
      <c r="H3758" s="17">
        <f>Planning[[#This Row],[Horas Precálculo]]</f>
        <v>0</v>
      </c>
      <c r="I3758" s="18"/>
      <c r="J3758" s="14" t="e">
        <f>+SUMIFS(#REF!,#REF!,Planning[[#This Row],[Tarifa]],#REF!,Planning[[#This Row],[Proyectos]])</f>
        <v>#REF!</v>
      </c>
      <c r="K3758" s="14" t="e">
        <f>+Planning[[#This Row],[Horas Planificadas]]+Planning[[#This Row],[Horas ajustadas adicionales]]-Planning[[#This Row],[Horas utilizadas]]</f>
        <v>#REF!</v>
      </c>
      <c r="L3758" s="15">
        <v>0</v>
      </c>
      <c r="M3758" s="16" t="e">
        <f>Planning[[#This Row],[Saldo]]-Planning[[#This Row],[Saldo estimado]]</f>
        <v>#REF!</v>
      </c>
      <c r="N3758" s="60" t="e">
        <f>+SUMIFS(#REF!,#REF!,Planning[[#This Row],[Proyectos]],#REF!,Planning[[#This Row],[Tipo de Tarea y especialidad]])</f>
        <v>#REF!</v>
      </c>
      <c r="O3758" s="16">
        <f t="shared" si="116"/>
        <v>10</v>
      </c>
      <c r="P3758" s="16">
        <f t="shared" si="117"/>
        <v>2024</v>
      </c>
      <c r="Q3758" s="16" t="e">
        <f>+SUMIFS(#REF!,#REF!,Planning[[#This Row],[Tarifa]],#REF!,Planning[[#This Row],[Proyectos]],#REF!,Planning[[#This Row],[Mes]],#REF!,Planning[[#This Row],[Año]])</f>
        <v>#REF!</v>
      </c>
      <c r="R3758" s="16" t="str">
        <f>TEXT(Planning[[#This Row],[Mes]]*29,"mmmm")</f>
        <v>October</v>
      </c>
      <c r="S37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58" s="239"/>
      <c r="U3758" s="43">
        <f>IF(Planning[[#This Row],[Horas Planificadas]]&lt;&gt;0,+K3758/Planning[[#This Row],[Horas Planificadas]],0)</f>
        <v>0</v>
      </c>
      <c r="V3758" s="43">
        <f>IF(Planning[[#This Row],[Horas Planificadas]]&lt;&gt;0,Planning[[#This Row],[Horas utilizadas]]/Planning[[#This Row],[Horas Planificadas]],0)</f>
        <v>0</v>
      </c>
      <c r="W3758" s="44">
        <f>Planning[[#This Row],[Horas Planificadas]]+Planning[[#This Row],[Horas ajustadas adicionales]]</f>
        <v>0</v>
      </c>
      <c r="X3758" s="142"/>
    </row>
    <row r="3759" spans="1:24" ht="22.5" x14ac:dyDescent="0.2">
      <c r="A3759" s="7" t="s">
        <v>483</v>
      </c>
      <c r="B3759" s="7" t="s">
        <v>220</v>
      </c>
      <c r="C3759" s="3"/>
      <c r="D3759" s="3" t="s">
        <v>670</v>
      </c>
      <c r="E3759" s="4" t="s">
        <v>32</v>
      </c>
      <c r="F3759" s="3"/>
      <c r="G3759" s="9"/>
      <c r="H3759" s="14">
        <f>SUM(H3760:H3762)</f>
        <v>0</v>
      </c>
      <c r="I3759" s="14">
        <f>SUM(I3760:I3762)</f>
        <v>630</v>
      </c>
      <c r="J3759" s="14" t="e">
        <f>SUM(J3760:J3762)</f>
        <v>#REF!</v>
      </c>
      <c r="K3759" s="14" t="e">
        <f>+Planning[[#This Row],[Horas Planificadas]]+Planning[[#This Row],[Horas ajustadas adicionales]]-Planning[[#This Row],[Horas utilizadas]]</f>
        <v>#REF!</v>
      </c>
      <c r="L3759" s="15" t="e">
        <f>SUM(L3760:L3762)</f>
        <v>#REF!</v>
      </c>
      <c r="M3759" s="16" t="e">
        <f>SUM(M3760:M3762)</f>
        <v>#REF!</v>
      </c>
      <c r="N3759" s="60" t="e">
        <f>+SUMIFS(#REF!,#REF!,Planning[[#This Row],[Proyectos]],#REF!,Planning[[#This Row],[Tipo de Tarea y especialidad]])</f>
        <v>#REF!</v>
      </c>
      <c r="O3759" s="16">
        <f t="shared" si="116"/>
        <v>10</v>
      </c>
      <c r="P3759" s="16">
        <f t="shared" si="117"/>
        <v>2024</v>
      </c>
      <c r="Q3759" s="16" t="e">
        <f>SUM(Q3760:Q3762)</f>
        <v>#REF!</v>
      </c>
      <c r="R3759" s="16" t="str">
        <f>TEXT(Planning[[#This Row],[Mes]]*29,"mmmm")</f>
        <v>October</v>
      </c>
      <c r="S37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59" s="239"/>
      <c r="U3759" s="43">
        <f>IF(Planning[[#This Row],[Horas Planificadas]]&lt;&gt;0,+K3759/Planning[[#This Row],[Horas Planificadas]],0)</f>
        <v>0</v>
      </c>
      <c r="V3759" s="43">
        <f>IF(Planning[[#This Row],[Horas Planificadas]]&lt;&gt;0,Planning[[#This Row],[Horas utilizadas]]/Planning[[#This Row],[Horas Planificadas]],0)</f>
        <v>0</v>
      </c>
      <c r="W3759" s="44">
        <f>Planning[[#This Row],[Horas Planificadas]]+Planning[[#This Row],[Horas ajustadas adicionales]]</f>
        <v>630</v>
      </c>
      <c r="X3759" s="142"/>
    </row>
    <row r="3760" spans="1:24" x14ac:dyDescent="0.2">
      <c r="A3760" s="7" t="s">
        <v>483</v>
      </c>
      <c r="B3760" s="7" t="s">
        <v>220</v>
      </c>
      <c r="C3760" s="3"/>
      <c r="D3760" s="3" t="s">
        <v>670</v>
      </c>
      <c r="E3760" s="4"/>
      <c r="F3760" s="3" t="s">
        <v>129</v>
      </c>
      <c r="G3760" s="9">
        <v>0</v>
      </c>
      <c r="H3760" s="9">
        <v>0</v>
      </c>
      <c r="I3760" s="12">
        <f>200+80+30</f>
        <v>310</v>
      </c>
      <c r="J3760" s="5" t="e">
        <f>SUM(SUMIFS(#REF!,#REF!,Planning[[#This Row],[Tipo de Tarea y especialidad]],#REF!,Planning[[#This Row],[Proyectos Reiwa]]),SUMIFS(#REF!,#REF!,Planning[[#This Row],[Tipo de Tarea y especialidad]],#REF!,Planning[[#This Row],[Proyectos]]))</f>
        <v>#REF!</v>
      </c>
      <c r="K3760" s="5" t="e">
        <f>+Planning[[#This Row],[Horas Planificadas]]+Planning[[#This Row],[Horas ajustadas adicionales]]-Planning[[#This Row],[Horas utilizadas]]</f>
        <v>#REF!</v>
      </c>
      <c r="L3760" s="7">
        <v>0</v>
      </c>
      <c r="M3760" s="19" t="e">
        <f>Planning[[#This Row],[Saldo]]-Planning[[#This Row],[Saldo estimado]]</f>
        <v>#REF!</v>
      </c>
      <c r="N3760" s="60" t="e">
        <f>+SUMIFS(#REF!,#REF!,Planning[[#This Row],[Proyectos]],#REF!,Planning[[#This Row],[Tipo de Tarea y especialidad]])</f>
        <v>#REF!</v>
      </c>
      <c r="O3760" s="19">
        <f t="shared" si="116"/>
        <v>10</v>
      </c>
      <c r="P3760" s="19">
        <f t="shared" si="117"/>
        <v>2024</v>
      </c>
      <c r="Q37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60" s="19" t="str">
        <f>TEXT(Planning[[#This Row],[Mes]]*29,"mmmm")</f>
        <v>October</v>
      </c>
      <c r="S37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60" s="239"/>
      <c r="U3760" s="43">
        <f>IF(Planning[[#This Row],[Horas Planificadas]]&lt;&gt;0,+K3760/Planning[[#This Row],[Horas Planificadas]],0)</f>
        <v>0</v>
      </c>
      <c r="V3760" s="43">
        <f>IF(Planning[[#This Row],[Horas Planificadas]]&lt;&gt;0,Planning[[#This Row],[Horas utilizadas]]/Planning[[#This Row],[Horas Planificadas]],0)</f>
        <v>0</v>
      </c>
      <c r="W3760" s="44">
        <f>Planning[[#This Row],[Horas Planificadas]]+Planning[[#This Row],[Horas ajustadas adicionales]]</f>
        <v>310</v>
      </c>
      <c r="X3760" s="142"/>
    </row>
    <row r="3761" spans="1:24" x14ac:dyDescent="0.2">
      <c r="A3761" s="7" t="s">
        <v>483</v>
      </c>
      <c r="B3761" s="7" t="s">
        <v>220</v>
      </c>
      <c r="C3761" s="3"/>
      <c r="D3761" s="3" t="s">
        <v>670</v>
      </c>
      <c r="E3761" s="4"/>
      <c r="F3761" s="3" t="s">
        <v>130</v>
      </c>
      <c r="G3761" s="9">
        <v>0</v>
      </c>
      <c r="H3761" s="9">
        <v>0</v>
      </c>
      <c r="I3761" s="12">
        <v>320</v>
      </c>
      <c r="J3761" s="5" t="e">
        <f>SUM(SUMIFS(#REF!,#REF!,Planning[[#This Row],[Tipo de Tarea y especialidad]],#REF!,Planning[[#This Row],[Proyectos Reiwa]]),SUMIFS(#REF!,#REF!,Planning[[#This Row],[Tipo de Tarea y especialidad]],#REF!,Planning[[#This Row],[Proyectos]]))</f>
        <v>#REF!</v>
      </c>
      <c r="K3761" s="5" t="e">
        <f>+Planning[[#This Row],[Horas Planificadas]]+Planning[[#This Row],[Horas ajustadas adicionales]]-Planning[[#This Row],[Horas utilizadas]]</f>
        <v>#REF!</v>
      </c>
      <c r="L3761" s="7">
        <v>0</v>
      </c>
      <c r="M3761" s="19" t="e">
        <f>Planning[[#This Row],[Saldo]]-Planning[[#This Row],[Saldo estimado]]</f>
        <v>#REF!</v>
      </c>
      <c r="N3761" s="60" t="e">
        <f>+SUMIFS(#REF!,#REF!,Planning[[#This Row],[Proyectos]],#REF!,Planning[[#This Row],[Tipo de Tarea y especialidad]])</f>
        <v>#REF!</v>
      </c>
      <c r="O3761" s="19">
        <f t="shared" si="116"/>
        <v>10</v>
      </c>
      <c r="P3761" s="19">
        <f t="shared" si="117"/>
        <v>2024</v>
      </c>
      <c r="Q37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61" s="19" t="str">
        <f>TEXT(Planning[[#This Row],[Mes]]*29,"mmmm")</f>
        <v>October</v>
      </c>
      <c r="S37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61" s="239"/>
      <c r="U3761" s="43">
        <f>IF(Planning[[#This Row],[Horas Planificadas]]&lt;&gt;0,+K3761/Planning[[#This Row],[Horas Planificadas]],0)</f>
        <v>0</v>
      </c>
      <c r="V3761" s="43">
        <f>IF(Planning[[#This Row],[Horas Planificadas]]&lt;&gt;0,Planning[[#This Row],[Horas utilizadas]]/Planning[[#This Row],[Horas Planificadas]],0)</f>
        <v>0</v>
      </c>
      <c r="W3761" s="44">
        <f>Planning[[#This Row],[Horas Planificadas]]+Planning[[#This Row],[Horas ajustadas adicionales]]</f>
        <v>320</v>
      </c>
      <c r="X3761" s="142"/>
    </row>
    <row r="3762" spans="1:24" x14ac:dyDescent="0.2">
      <c r="A3762" s="7" t="s">
        <v>483</v>
      </c>
      <c r="B3762" s="7" t="s">
        <v>220</v>
      </c>
      <c r="C3762" s="3"/>
      <c r="D3762" s="3" t="s">
        <v>670</v>
      </c>
      <c r="E3762" s="4"/>
      <c r="F3762" s="3" t="s">
        <v>131</v>
      </c>
      <c r="G3762" s="9">
        <v>0</v>
      </c>
      <c r="H3762" s="9">
        <v>0</v>
      </c>
      <c r="I3762" s="12"/>
      <c r="J3762" s="5" t="e">
        <f>SUM(SUMIFS(#REF!,#REF!,Planning[[#This Row],[Tipo de Tarea y especialidad]],#REF!,Planning[[#This Row],[Proyectos Reiwa]]),SUMIFS(#REF!,#REF!,Planning[[#This Row],[Tipo de Tarea y especialidad]],#REF!,Planning[[#This Row],[Proyectos]]))</f>
        <v>#REF!</v>
      </c>
      <c r="K3762" s="5" t="e">
        <f>+Planning[[#This Row],[Horas Planificadas]]+Planning[[#This Row],[Horas ajustadas adicionales]]-Planning[[#This Row],[Horas utilizadas]]</f>
        <v>#REF!</v>
      </c>
      <c r="L3762" s="7" t="e">
        <f>Planning[[#This Row],[Saldo]]</f>
        <v>#REF!</v>
      </c>
      <c r="M3762" s="19" t="e">
        <f>Planning[[#This Row],[Saldo]]-Planning[[#This Row],[Saldo estimado]]</f>
        <v>#REF!</v>
      </c>
      <c r="N3762" s="60" t="e">
        <f>+SUMIFS(#REF!,#REF!,Planning[[#This Row],[Proyectos]],#REF!,Planning[[#This Row],[Tipo de Tarea y especialidad]])</f>
        <v>#REF!</v>
      </c>
      <c r="O3762" s="19">
        <f t="shared" si="116"/>
        <v>10</v>
      </c>
      <c r="P3762" s="19">
        <f t="shared" si="117"/>
        <v>2024</v>
      </c>
      <c r="Q37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62" s="19" t="str">
        <f>TEXT(Planning[[#This Row],[Mes]]*29,"mmmm")</f>
        <v>October</v>
      </c>
      <c r="S37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62" s="239"/>
      <c r="U3762" s="43">
        <f>IF(Planning[[#This Row],[Horas Planificadas]]&lt;&gt;0,+K3762/Planning[[#This Row],[Horas Planificadas]],0)</f>
        <v>0</v>
      </c>
      <c r="V3762" s="43">
        <f>IF(Planning[[#This Row],[Horas Planificadas]]&lt;&gt;0,Planning[[#This Row],[Horas utilizadas]]/Planning[[#This Row],[Horas Planificadas]],0)</f>
        <v>0</v>
      </c>
      <c r="W3762" s="44">
        <f>Planning[[#This Row],[Horas Planificadas]]+Planning[[#This Row],[Horas ajustadas adicionales]]</f>
        <v>0</v>
      </c>
      <c r="X3762" s="142"/>
    </row>
    <row r="3763" spans="1:24" ht="12.75" customHeight="1" x14ac:dyDescent="0.2">
      <c r="A3763" s="7" t="s">
        <v>626</v>
      </c>
      <c r="B3763" s="7" t="s">
        <v>220</v>
      </c>
      <c r="C3763" s="3"/>
      <c r="D3763" s="3" t="s">
        <v>672</v>
      </c>
      <c r="E3763" s="4" t="s">
        <v>28</v>
      </c>
      <c r="F3763" s="3"/>
      <c r="G3763" s="9"/>
      <c r="H3763" s="14">
        <f>SUM(H3764:H3765)</f>
        <v>198</v>
      </c>
      <c r="I3763" s="14"/>
      <c r="J3763" s="14" t="e">
        <f>SUM(J3764:J3765)</f>
        <v>#REF!</v>
      </c>
      <c r="K3763" s="14" t="e">
        <f>+Planning[[#This Row],[Horas Planificadas]]+Planning[[#This Row],[Horas ajustadas adicionales]]-Planning[[#This Row],[Horas utilizadas]]</f>
        <v>#REF!</v>
      </c>
      <c r="L3763" s="15" t="e">
        <f>SUM(L3764:L3765)</f>
        <v>#REF!</v>
      </c>
      <c r="M3763" s="14" t="e">
        <f>SUM(M3764:M3765)</f>
        <v>#REF!</v>
      </c>
      <c r="N3763" s="66" t="e">
        <f>+SUMIFS(#REF!,#REF!,Planning[[#This Row],[Proyectos]],#REF!,Planning[[#This Row],[Tipo de Tarea y especialidad]])</f>
        <v>#REF!</v>
      </c>
      <c r="O3763" s="14">
        <f t="shared" si="116"/>
        <v>10</v>
      </c>
      <c r="P3763" s="14">
        <f t="shared" si="117"/>
        <v>2024</v>
      </c>
      <c r="Q3763" s="28" t="e">
        <f>SUM(Q3764:Q3765)</f>
        <v>#REF!</v>
      </c>
      <c r="R3763" s="28" t="str">
        <f>TEXT(Planning[[#This Row],[Mes]]*29,"mmmm")</f>
        <v>October</v>
      </c>
      <c r="S37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63" s="232" t="s">
        <v>673</v>
      </c>
      <c r="U3763" s="43" t="e">
        <f>IF(Planning[[#This Row],[Horas Planificadas]]&lt;&gt;0,+K3763/Planning[[#This Row],[Horas Planificadas]],0)</f>
        <v>#REF!</v>
      </c>
      <c r="V3763" s="43" t="e">
        <f>IF(Planning[[#This Row],[Horas Planificadas]]&lt;&gt;0,Planning[[#This Row],[Horas utilizadas]]/Planning[[#This Row],[Horas Planificadas]],0)</f>
        <v>#REF!</v>
      </c>
      <c r="W3763" s="44">
        <f>Planning[[#This Row],[Horas Planificadas]]+Planning[[#This Row],[Horas ajustadas adicionales]]</f>
        <v>198</v>
      </c>
      <c r="X3763" s="142"/>
    </row>
    <row r="3764" spans="1:24" ht="12.75" customHeight="1" x14ac:dyDescent="0.2">
      <c r="A3764" s="7" t="s">
        <v>626</v>
      </c>
      <c r="B3764" s="7" t="s">
        <v>220</v>
      </c>
      <c r="C3764" s="3"/>
      <c r="D3764" s="3" t="s">
        <v>672</v>
      </c>
      <c r="E3764" s="4"/>
      <c r="F3764" s="3" t="s">
        <v>120</v>
      </c>
      <c r="G3764" s="9">
        <v>198</v>
      </c>
      <c r="H3764" s="9">
        <v>198</v>
      </c>
      <c r="I3764" s="12"/>
      <c r="J3764" s="5" t="e">
        <f>SUM(SUMIFS(#REF!,#REF!,Planning[[#This Row],[Tipo de Tarea y especialidad]],#REF!,Planning[[#This Row],[Proyectos Reiwa]]),SUMIFS(#REF!,#REF!,Planning[[#This Row],[Tipo de Tarea y especialidad]],#REF!,Planning[[#This Row],[Proyectos]]))</f>
        <v>#REF!</v>
      </c>
      <c r="K3764" s="5" t="e">
        <f>+Planning[[#This Row],[Horas Planificadas]]+Planning[[#This Row],[Horas ajustadas adicionales]]-Planning[[#This Row],[Horas utilizadas]]</f>
        <v>#REF!</v>
      </c>
      <c r="L3764" s="7">
        <v>0</v>
      </c>
      <c r="M3764" s="19" t="e">
        <f>Planning[[#This Row],[Saldo]]-Planning[[#This Row],[Saldo estimado]]</f>
        <v>#REF!</v>
      </c>
      <c r="N3764" s="60" t="e">
        <f>+SUMIFS(#REF!,#REF!,Planning[[#This Row],[Proyectos]],#REF!,Planning[[#This Row],[Tipo de Tarea y especialidad]])</f>
        <v>#REF!</v>
      </c>
      <c r="O3764" s="19">
        <f t="shared" si="116"/>
        <v>10</v>
      </c>
      <c r="P3764" s="19">
        <f t="shared" si="117"/>
        <v>2024</v>
      </c>
      <c r="Q37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64" s="19" t="str">
        <f>TEXT(Planning[[#This Row],[Mes]]*29,"mmmm")</f>
        <v>October</v>
      </c>
      <c r="S37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64" s="233"/>
      <c r="U3764" s="43" t="e">
        <f>IF(Planning[[#This Row],[Horas Planificadas]]&lt;&gt;0,+K3764/Planning[[#This Row],[Horas Planificadas]],0)</f>
        <v>#REF!</v>
      </c>
      <c r="V3764" s="43" t="e">
        <f>IF(Planning[[#This Row],[Horas Planificadas]]&lt;&gt;0,Planning[[#This Row],[Horas utilizadas]]/Planning[[#This Row],[Horas Planificadas]],0)</f>
        <v>#REF!</v>
      </c>
      <c r="W3764" s="44">
        <f>Planning[[#This Row],[Horas Planificadas]]+Planning[[#This Row],[Horas ajustadas adicionales]]</f>
        <v>198</v>
      </c>
      <c r="X3764" s="142"/>
    </row>
    <row r="3765" spans="1:24" ht="12.75" customHeight="1" x14ac:dyDescent="0.2">
      <c r="A3765" s="7" t="s">
        <v>626</v>
      </c>
      <c r="B3765" s="7" t="s">
        <v>220</v>
      </c>
      <c r="C3765" s="3"/>
      <c r="D3765" s="3" t="s">
        <v>672</v>
      </c>
      <c r="E3765" s="4"/>
      <c r="F3765" s="3" t="s">
        <v>121</v>
      </c>
      <c r="G3765" s="9">
        <v>0</v>
      </c>
      <c r="H3765" s="9">
        <v>0</v>
      </c>
      <c r="I3765" s="12"/>
      <c r="J3765" s="5" t="e">
        <f>SUM(SUMIFS(#REF!,#REF!,Planning[[#This Row],[Tipo de Tarea y especialidad]],#REF!,Planning[[#This Row],[Proyectos Reiwa]]),SUMIFS(#REF!,#REF!,Planning[[#This Row],[Tipo de Tarea y especialidad]],#REF!,Planning[[#This Row],[Proyectos]]))</f>
        <v>#REF!</v>
      </c>
      <c r="K3765" s="5" t="e">
        <f>+Planning[[#This Row],[Horas Planificadas]]+Planning[[#This Row],[Horas ajustadas adicionales]]-Planning[[#This Row],[Horas utilizadas]]</f>
        <v>#REF!</v>
      </c>
      <c r="L3765" s="7" t="e">
        <f>Planning[[#This Row],[Saldo]]</f>
        <v>#REF!</v>
      </c>
      <c r="M3765" s="19" t="e">
        <f>Planning[[#This Row],[Saldo]]-Planning[[#This Row],[Saldo estimado]]</f>
        <v>#REF!</v>
      </c>
      <c r="N3765" s="60" t="e">
        <f>+SUMIFS(#REF!,#REF!,Planning[[#This Row],[Proyectos]],#REF!,Planning[[#This Row],[Tipo de Tarea y especialidad]])</f>
        <v>#REF!</v>
      </c>
      <c r="O3765" s="19">
        <f t="shared" si="116"/>
        <v>10</v>
      </c>
      <c r="P3765" s="19">
        <f t="shared" si="117"/>
        <v>2024</v>
      </c>
      <c r="Q37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65" s="19" t="str">
        <f>TEXT(Planning[[#This Row],[Mes]]*29,"mmmm")</f>
        <v>October</v>
      </c>
      <c r="S37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65" s="233"/>
      <c r="U3765" s="43">
        <f>IF(Planning[[#This Row],[Horas Planificadas]]&lt;&gt;0,+K3765/Planning[[#This Row],[Horas Planificadas]],0)</f>
        <v>0</v>
      </c>
      <c r="V3765" s="43">
        <f>IF(Planning[[#This Row],[Horas Planificadas]]&lt;&gt;0,Planning[[#This Row],[Horas utilizadas]]/Planning[[#This Row],[Horas Planificadas]],0)</f>
        <v>0</v>
      </c>
      <c r="W3765" s="44">
        <f>Planning[[#This Row],[Horas Planificadas]]+Planning[[#This Row],[Horas ajustadas adicionales]]</f>
        <v>0</v>
      </c>
      <c r="X3765" s="142"/>
    </row>
    <row r="3766" spans="1:24" ht="12.75" customHeight="1" x14ac:dyDescent="0.2">
      <c r="A3766" s="7" t="s">
        <v>626</v>
      </c>
      <c r="B3766" s="7" t="s">
        <v>220</v>
      </c>
      <c r="C3766" s="3"/>
      <c r="D3766" s="3" t="s">
        <v>672</v>
      </c>
      <c r="E3766" s="4" t="s">
        <v>30</v>
      </c>
      <c r="F3766" s="3"/>
      <c r="G3766" s="9"/>
      <c r="H3766" s="14">
        <f>SUM(H3767:H3773)</f>
        <v>754</v>
      </c>
      <c r="I3766" s="14"/>
      <c r="J3766" s="14" t="e">
        <f>SUM(J3767:J3773)</f>
        <v>#REF!</v>
      </c>
      <c r="K3766" s="14" t="e">
        <f>+Planning[[#This Row],[Horas Planificadas]]+Planning[[#This Row],[Horas ajustadas adicionales]]-Planning[[#This Row],[Horas utilizadas]]</f>
        <v>#REF!</v>
      </c>
      <c r="L3766" s="15" t="e">
        <f>SUM(L3767:L3773)</f>
        <v>#REF!</v>
      </c>
      <c r="M3766" s="16" t="e">
        <f>SUM(M3767:M3773)</f>
        <v>#REF!</v>
      </c>
      <c r="N3766" s="60" t="e">
        <f>+SUMIFS(#REF!,#REF!,Planning[[#This Row],[Proyectos]],#REF!,Planning[[#This Row],[Tipo de Tarea y especialidad]])</f>
        <v>#REF!</v>
      </c>
      <c r="O3766" s="16">
        <f t="shared" si="116"/>
        <v>10</v>
      </c>
      <c r="P3766" s="16">
        <f t="shared" si="117"/>
        <v>2024</v>
      </c>
      <c r="Q3766" s="16" t="e">
        <f>SUM(Q3767:Q3773)</f>
        <v>#REF!</v>
      </c>
      <c r="R3766" s="16" t="str">
        <f>TEXT(Planning[[#This Row],[Mes]]*29,"mmmm")</f>
        <v>October</v>
      </c>
      <c r="S37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66" s="233"/>
      <c r="U3766" s="43" t="e">
        <f>IF(Planning[[#This Row],[Horas Planificadas]]&lt;&gt;0,+K3766/Planning[[#This Row],[Horas Planificadas]],0)</f>
        <v>#REF!</v>
      </c>
      <c r="V3766" s="43" t="e">
        <f>IF(Planning[[#This Row],[Horas Planificadas]]&lt;&gt;0,Planning[[#This Row],[Horas utilizadas]]/Planning[[#This Row],[Horas Planificadas]],0)</f>
        <v>#REF!</v>
      </c>
      <c r="W3766" s="44">
        <f>Planning[[#This Row],[Horas Planificadas]]+Planning[[#This Row],[Horas ajustadas adicionales]]</f>
        <v>754</v>
      </c>
      <c r="X3766" s="142"/>
    </row>
    <row r="3767" spans="1:24" ht="12.75" customHeight="1" x14ac:dyDescent="0.2">
      <c r="A3767" s="7" t="s">
        <v>626</v>
      </c>
      <c r="B3767" s="7" t="s">
        <v>220</v>
      </c>
      <c r="C3767" s="3"/>
      <c r="D3767" s="3" t="s">
        <v>672</v>
      </c>
      <c r="E3767" s="4"/>
      <c r="F3767" s="3" t="s">
        <v>122</v>
      </c>
      <c r="G3767" s="9">
        <v>135</v>
      </c>
      <c r="H3767" s="9">
        <v>135</v>
      </c>
      <c r="I3767" s="12"/>
      <c r="J3767" s="5" t="e">
        <f>SUM(SUMIFS(#REF!,#REF!,Planning[[#This Row],[Tipo de Tarea y especialidad]],#REF!,Planning[[#This Row],[Proyectos Reiwa]]),SUMIFS(#REF!,#REF!,Planning[[#This Row],[Tipo de Tarea y especialidad]],#REF!,Planning[[#This Row],[Proyectos]]))</f>
        <v>#REF!</v>
      </c>
      <c r="K3767" s="5" t="e">
        <f>+Planning[[#This Row],[Horas Planificadas]]+Planning[[#This Row],[Horas ajustadas adicionales]]-Planning[[#This Row],[Horas utilizadas]]</f>
        <v>#REF!</v>
      </c>
      <c r="L3767" s="7">
        <v>0</v>
      </c>
      <c r="M3767" s="19" t="e">
        <f>Planning[[#This Row],[Saldo]]-Planning[[#This Row],[Saldo estimado]]</f>
        <v>#REF!</v>
      </c>
      <c r="N3767" s="60" t="e">
        <f>+SUMIFS(#REF!,#REF!,Planning[[#This Row],[Proyectos]],#REF!,Planning[[#This Row],[Tipo de Tarea y especialidad]])</f>
        <v>#REF!</v>
      </c>
      <c r="O3767" s="19">
        <f t="shared" si="116"/>
        <v>10</v>
      </c>
      <c r="P3767" s="19">
        <f t="shared" si="117"/>
        <v>2024</v>
      </c>
      <c r="Q37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67" s="19" t="str">
        <f>TEXT(Planning[[#This Row],[Mes]]*29,"mmmm")</f>
        <v>October</v>
      </c>
      <c r="S37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67" s="233"/>
      <c r="U3767" s="43" t="e">
        <f>IF(Planning[[#This Row],[Horas Planificadas]]&lt;&gt;0,+K3767/Planning[[#This Row],[Horas Planificadas]],0)</f>
        <v>#REF!</v>
      </c>
      <c r="V3767" s="43" t="e">
        <f>IF(Planning[[#This Row],[Horas Planificadas]]&lt;&gt;0,Planning[[#This Row],[Horas utilizadas]]/Planning[[#This Row],[Horas Planificadas]],0)</f>
        <v>#REF!</v>
      </c>
      <c r="W3767" s="44">
        <f>Planning[[#This Row],[Horas Planificadas]]+Planning[[#This Row],[Horas ajustadas adicionales]]</f>
        <v>135</v>
      </c>
      <c r="X3767" s="142"/>
    </row>
    <row r="3768" spans="1:24" ht="12.75" customHeight="1" x14ac:dyDescent="0.2">
      <c r="A3768" s="7" t="s">
        <v>626</v>
      </c>
      <c r="B3768" s="7" t="s">
        <v>220</v>
      </c>
      <c r="C3768" s="3"/>
      <c r="D3768" s="3" t="s">
        <v>672</v>
      </c>
      <c r="E3768" s="4"/>
      <c r="F3768" s="3" t="s">
        <v>123</v>
      </c>
      <c r="G3768" s="9">
        <v>0</v>
      </c>
      <c r="H3768" s="9">
        <v>0</v>
      </c>
      <c r="I3768" s="12"/>
      <c r="J3768" s="5" t="e">
        <f>SUM(SUMIFS(#REF!,#REF!,Planning[[#This Row],[Tipo de Tarea y especialidad]],#REF!,Planning[[#This Row],[Proyectos Reiwa]]),SUMIFS(#REF!,#REF!,Planning[[#This Row],[Tipo de Tarea y especialidad]],#REF!,Planning[[#This Row],[Proyectos]]))</f>
        <v>#REF!</v>
      </c>
      <c r="K3768" s="5" t="e">
        <f>+Planning[[#This Row],[Horas Planificadas]]+Planning[[#This Row],[Horas ajustadas adicionales]]-Planning[[#This Row],[Horas utilizadas]]</f>
        <v>#REF!</v>
      </c>
      <c r="L3768" s="7" t="e">
        <f>Planning[[#This Row],[Saldo]]</f>
        <v>#REF!</v>
      </c>
      <c r="M3768" s="19" t="e">
        <f>Planning[[#This Row],[Saldo]]-Planning[[#This Row],[Saldo estimado]]</f>
        <v>#REF!</v>
      </c>
      <c r="N3768" s="60" t="e">
        <f>+SUMIFS(#REF!,#REF!,Planning[[#This Row],[Proyectos]],#REF!,Planning[[#This Row],[Tipo de Tarea y especialidad]])</f>
        <v>#REF!</v>
      </c>
      <c r="O3768" s="19">
        <f t="shared" si="116"/>
        <v>10</v>
      </c>
      <c r="P3768" s="19">
        <f t="shared" si="117"/>
        <v>2024</v>
      </c>
      <c r="Q37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68" s="19" t="str">
        <f>TEXT(Planning[[#This Row],[Mes]]*29,"mmmm")</f>
        <v>October</v>
      </c>
      <c r="S37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68" s="233"/>
      <c r="U3768" s="43">
        <f>IF(Planning[[#This Row],[Horas Planificadas]]&lt;&gt;0,+K3768/Planning[[#This Row],[Horas Planificadas]],0)</f>
        <v>0</v>
      </c>
      <c r="V3768" s="43">
        <f>IF(Planning[[#This Row],[Horas Planificadas]]&lt;&gt;0,Planning[[#This Row],[Horas utilizadas]]/Planning[[#This Row],[Horas Planificadas]],0)</f>
        <v>0</v>
      </c>
      <c r="W3768" s="44">
        <f>Planning[[#This Row],[Horas Planificadas]]+Planning[[#This Row],[Horas ajustadas adicionales]]</f>
        <v>0</v>
      </c>
      <c r="X3768" s="142"/>
    </row>
    <row r="3769" spans="1:24" ht="12.75" customHeight="1" x14ac:dyDescent="0.2">
      <c r="A3769" s="7" t="s">
        <v>626</v>
      </c>
      <c r="B3769" s="7" t="s">
        <v>220</v>
      </c>
      <c r="C3769" s="3"/>
      <c r="D3769" s="3" t="s">
        <v>672</v>
      </c>
      <c r="E3769" s="4"/>
      <c r="F3769" s="3" t="s">
        <v>124</v>
      </c>
      <c r="G3769" s="9">
        <v>0</v>
      </c>
      <c r="H3769" s="9">
        <v>0</v>
      </c>
      <c r="I3769" s="12"/>
      <c r="J3769" s="5" t="e">
        <f>SUM(SUMIFS(#REF!,#REF!,Planning[[#This Row],[Tipo de Tarea y especialidad]],#REF!,Planning[[#This Row],[Proyectos Reiwa]]),SUMIFS(#REF!,#REF!,Planning[[#This Row],[Tipo de Tarea y especialidad]],#REF!,Planning[[#This Row],[Proyectos]]))</f>
        <v>#REF!</v>
      </c>
      <c r="K3769" s="5" t="e">
        <f>+Planning[[#This Row],[Horas Planificadas]]+Planning[[#This Row],[Horas ajustadas adicionales]]-Planning[[#This Row],[Horas utilizadas]]</f>
        <v>#REF!</v>
      </c>
      <c r="L3769" s="7" t="e">
        <f>Planning[[#This Row],[Saldo]]</f>
        <v>#REF!</v>
      </c>
      <c r="M3769" s="19" t="e">
        <f>Planning[[#This Row],[Saldo]]-Planning[[#This Row],[Saldo estimado]]</f>
        <v>#REF!</v>
      </c>
      <c r="N3769" s="60" t="e">
        <f>+SUMIFS(#REF!,#REF!,Planning[[#This Row],[Proyectos]],#REF!,Planning[[#This Row],[Tipo de Tarea y especialidad]])</f>
        <v>#REF!</v>
      </c>
      <c r="O3769" s="19">
        <f t="shared" si="116"/>
        <v>10</v>
      </c>
      <c r="P3769" s="19">
        <f t="shared" si="117"/>
        <v>2024</v>
      </c>
      <c r="Q37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69" s="19" t="str">
        <f>TEXT(Planning[[#This Row],[Mes]]*29,"mmmm")</f>
        <v>October</v>
      </c>
      <c r="S37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69" s="233"/>
      <c r="U3769" s="43">
        <f>IF(Planning[[#This Row],[Horas Planificadas]]&lt;&gt;0,+K3769/Planning[[#This Row],[Horas Planificadas]],0)</f>
        <v>0</v>
      </c>
      <c r="V3769" s="43">
        <f>IF(Planning[[#This Row],[Horas Planificadas]]&lt;&gt;0,Planning[[#This Row],[Horas utilizadas]]/Planning[[#This Row],[Horas Planificadas]],0)</f>
        <v>0</v>
      </c>
      <c r="W3769" s="44">
        <f>Planning[[#This Row],[Horas Planificadas]]+Planning[[#This Row],[Horas ajustadas adicionales]]</f>
        <v>0</v>
      </c>
      <c r="X3769" s="142"/>
    </row>
    <row r="3770" spans="1:24" ht="12.75" customHeight="1" x14ac:dyDescent="0.2">
      <c r="A3770" s="7" t="s">
        <v>626</v>
      </c>
      <c r="B3770" s="7" t="s">
        <v>220</v>
      </c>
      <c r="C3770" s="3"/>
      <c r="D3770" s="3" t="s">
        <v>672</v>
      </c>
      <c r="E3770" s="4"/>
      <c r="F3770" s="3" t="s">
        <v>125</v>
      </c>
      <c r="G3770" s="9">
        <v>144</v>
      </c>
      <c r="H3770" s="9">
        <v>144</v>
      </c>
      <c r="I3770" s="12"/>
      <c r="J3770" s="5" t="e">
        <f>SUM(SUMIFS(#REF!,#REF!,Planning[[#This Row],[Tipo de Tarea y especialidad]],#REF!,Planning[[#This Row],[Proyectos Reiwa]]),SUMIFS(#REF!,#REF!,Planning[[#This Row],[Tipo de Tarea y especialidad]],#REF!,Planning[[#This Row],[Proyectos]]))</f>
        <v>#REF!</v>
      </c>
      <c r="K3770" s="5" t="e">
        <f>+Planning[[#This Row],[Horas Planificadas]]+Planning[[#This Row],[Horas ajustadas adicionales]]-Planning[[#This Row],[Horas utilizadas]]</f>
        <v>#REF!</v>
      </c>
      <c r="L3770" s="7">
        <v>0</v>
      </c>
      <c r="M3770" s="19" t="e">
        <f>Planning[[#This Row],[Saldo]]-Planning[[#This Row],[Saldo estimado]]</f>
        <v>#REF!</v>
      </c>
      <c r="N3770" s="60" t="e">
        <f>+SUMIFS(#REF!,#REF!,Planning[[#This Row],[Proyectos]],#REF!,Planning[[#This Row],[Tipo de Tarea y especialidad]])</f>
        <v>#REF!</v>
      </c>
      <c r="O3770" s="19">
        <f t="shared" si="116"/>
        <v>10</v>
      </c>
      <c r="P3770" s="19">
        <f t="shared" si="117"/>
        <v>2024</v>
      </c>
      <c r="Q37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70" s="19" t="str">
        <f>TEXT(Planning[[#This Row],[Mes]]*29,"mmmm")</f>
        <v>October</v>
      </c>
      <c r="S37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70" s="233"/>
      <c r="U3770" s="43" t="e">
        <f>IF(Planning[[#This Row],[Horas Planificadas]]&lt;&gt;0,+K3770/Planning[[#This Row],[Horas Planificadas]],0)</f>
        <v>#REF!</v>
      </c>
      <c r="V3770" s="43" t="e">
        <f>IF(Planning[[#This Row],[Horas Planificadas]]&lt;&gt;0,Planning[[#This Row],[Horas utilizadas]]/Planning[[#This Row],[Horas Planificadas]],0)</f>
        <v>#REF!</v>
      </c>
      <c r="W3770" s="44">
        <f>Planning[[#This Row],[Horas Planificadas]]+Planning[[#This Row],[Horas ajustadas adicionales]]</f>
        <v>144</v>
      </c>
      <c r="X3770" s="142"/>
    </row>
    <row r="3771" spans="1:24" ht="12.75" customHeight="1" x14ac:dyDescent="0.2">
      <c r="A3771" s="7" t="s">
        <v>626</v>
      </c>
      <c r="B3771" s="7" t="s">
        <v>220</v>
      </c>
      <c r="C3771" s="3"/>
      <c r="D3771" s="3" t="s">
        <v>672</v>
      </c>
      <c r="E3771" s="4"/>
      <c r="F3771" s="3" t="s">
        <v>126</v>
      </c>
      <c r="G3771" s="9">
        <v>475</v>
      </c>
      <c r="H3771" s="9">
        <v>475</v>
      </c>
      <c r="I3771" s="12"/>
      <c r="J3771" s="5" t="e">
        <f>SUM(SUMIFS(#REF!,#REF!,Planning[[#This Row],[Tipo de Tarea y especialidad]],#REF!,Planning[[#This Row],[Proyectos Reiwa]]),SUMIFS(#REF!,#REF!,Planning[[#This Row],[Tipo de Tarea y especialidad]],#REF!,Planning[[#This Row],[Proyectos]]))</f>
        <v>#REF!</v>
      </c>
      <c r="K3771" s="5" t="e">
        <f>+Planning[[#This Row],[Horas Planificadas]]+Planning[[#This Row],[Horas ajustadas adicionales]]-Planning[[#This Row],[Horas utilizadas]]</f>
        <v>#REF!</v>
      </c>
      <c r="L3771" s="7">
        <v>0</v>
      </c>
      <c r="M3771" s="19" t="e">
        <f>Planning[[#This Row],[Saldo]]-Planning[[#This Row],[Saldo estimado]]</f>
        <v>#REF!</v>
      </c>
      <c r="N3771" s="60" t="e">
        <f>+SUMIFS(#REF!,#REF!,Planning[[#This Row],[Proyectos]],#REF!,Planning[[#This Row],[Tipo de Tarea y especialidad]])</f>
        <v>#REF!</v>
      </c>
      <c r="O3771" s="19">
        <f t="shared" si="116"/>
        <v>10</v>
      </c>
      <c r="P3771" s="19">
        <f t="shared" si="117"/>
        <v>2024</v>
      </c>
      <c r="Q37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71" s="19" t="str">
        <f>TEXT(Planning[[#This Row],[Mes]]*29,"mmmm")</f>
        <v>October</v>
      </c>
      <c r="S37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71" s="233"/>
      <c r="U3771" s="43" t="e">
        <f>IF(Planning[[#This Row],[Horas Planificadas]]&lt;&gt;0,+K3771/Planning[[#This Row],[Horas Planificadas]],0)</f>
        <v>#REF!</v>
      </c>
      <c r="V3771" s="43" t="e">
        <f>IF(Planning[[#This Row],[Horas Planificadas]]&lt;&gt;0,Planning[[#This Row],[Horas utilizadas]]/Planning[[#This Row],[Horas Planificadas]],0)</f>
        <v>#REF!</v>
      </c>
      <c r="W3771" s="44">
        <f>Planning[[#This Row],[Horas Planificadas]]+Planning[[#This Row],[Horas ajustadas adicionales]]</f>
        <v>475</v>
      </c>
      <c r="X3771" s="142"/>
    </row>
    <row r="3772" spans="1:24" ht="12.75" customHeight="1" x14ac:dyDescent="0.2">
      <c r="A3772" s="7" t="s">
        <v>626</v>
      </c>
      <c r="B3772" s="7" t="s">
        <v>220</v>
      </c>
      <c r="C3772" s="3"/>
      <c r="D3772" s="3" t="s">
        <v>672</v>
      </c>
      <c r="E3772" s="4"/>
      <c r="F3772" s="3" t="s">
        <v>127</v>
      </c>
      <c r="G3772" s="9">
        <v>0</v>
      </c>
      <c r="H3772" s="9">
        <v>0</v>
      </c>
      <c r="I3772" s="12"/>
      <c r="J3772" s="5" t="e">
        <f>SUM(SUMIFS(#REF!,#REF!,Planning[[#This Row],[Tipo de Tarea y especialidad]],#REF!,Planning[[#This Row],[Proyectos Reiwa]]),SUMIFS(#REF!,#REF!,Planning[[#This Row],[Tipo de Tarea y especialidad]],#REF!,Planning[[#This Row],[Proyectos]]))</f>
        <v>#REF!</v>
      </c>
      <c r="K3772" s="5" t="e">
        <f>+Planning[[#This Row],[Horas Planificadas]]+Planning[[#This Row],[Horas ajustadas adicionales]]-Planning[[#This Row],[Horas utilizadas]]</f>
        <v>#REF!</v>
      </c>
      <c r="L3772" s="7" t="e">
        <f>Planning[[#This Row],[Saldo]]</f>
        <v>#REF!</v>
      </c>
      <c r="M3772" s="19" t="e">
        <f>Planning[[#This Row],[Saldo]]-Planning[[#This Row],[Saldo estimado]]</f>
        <v>#REF!</v>
      </c>
      <c r="N3772" s="60" t="e">
        <f>+SUMIFS(#REF!,#REF!,Planning[[#This Row],[Proyectos]],#REF!,Planning[[#This Row],[Tipo de Tarea y especialidad]])</f>
        <v>#REF!</v>
      </c>
      <c r="O3772" s="19">
        <f t="shared" si="116"/>
        <v>10</v>
      </c>
      <c r="P3772" s="19">
        <f t="shared" si="117"/>
        <v>2024</v>
      </c>
      <c r="Q37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72" s="19" t="str">
        <f>TEXT(Planning[[#This Row],[Mes]]*29,"mmmm")</f>
        <v>October</v>
      </c>
      <c r="S37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72" s="233"/>
      <c r="U3772" s="43">
        <f>IF(Planning[[#This Row],[Horas Planificadas]]&lt;&gt;0,+K3772/Planning[[#This Row],[Horas Planificadas]],0)</f>
        <v>0</v>
      </c>
      <c r="V3772" s="43">
        <f>IF(Planning[[#This Row],[Horas Planificadas]]&lt;&gt;0,Planning[[#This Row],[Horas utilizadas]]/Planning[[#This Row],[Horas Planificadas]],0)</f>
        <v>0</v>
      </c>
      <c r="W3772" s="44">
        <f>Planning[[#This Row],[Horas Planificadas]]+Planning[[#This Row],[Horas ajustadas adicionales]]</f>
        <v>0</v>
      </c>
      <c r="X3772" s="142"/>
    </row>
    <row r="3773" spans="1:24" ht="12.75" customHeight="1" x14ac:dyDescent="0.2">
      <c r="A3773" s="7" t="s">
        <v>626</v>
      </c>
      <c r="B3773" s="7" t="s">
        <v>220</v>
      </c>
      <c r="C3773" s="3"/>
      <c r="D3773" s="3" t="s">
        <v>672</v>
      </c>
      <c r="E3773" s="4"/>
      <c r="F3773" s="3" t="s">
        <v>128</v>
      </c>
      <c r="G3773" s="9">
        <v>0</v>
      </c>
      <c r="H3773" s="9">
        <v>0</v>
      </c>
      <c r="I3773" s="12"/>
      <c r="J3773" s="5" t="e">
        <f>SUM(SUMIFS(#REF!,#REF!,Planning[[#This Row],[Tipo de Tarea y especialidad]],#REF!,Planning[[#This Row],[Proyectos Reiwa]]),SUMIFS(#REF!,#REF!,Planning[[#This Row],[Tipo de Tarea y especialidad]],#REF!,Planning[[#This Row],[Proyectos]]))</f>
        <v>#REF!</v>
      </c>
      <c r="K3773" s="5" t="e">
        <f>+Planning[[#This Row],[Horas Planificadas]]+Planning[[#This Row],[Horas ajustadas adicionales]]-Planning[[#This Row],[Horas utilizadas]]</f>
        <v>#REF!</v>
      </c>
      <c r="L3773" s="7" t="e">
        <f>Planning[[#This Row],[Saldo]]</f>
        <v>#REF!</v>
      </c>
      <c r="M3773" s="19" t="e">
        <f>Planning[[#This Row],[Saldo]]-Planning[[#This Row],[Saldo estimado]]</f>
        <v>#REF!</v>
      </c>
      <c r="N3773" s="60" t="e">
        <f>+SUMIFS(#REF!,#REF!,Planning[[#This Row],[Proyectos]],#REF!,Planning[[#This Row],[Tipo de Tarea y especialidad]])</f>
        <v>#REF!</v>
      </c>
      <c r="O3773" s="19">
        <f t="shared" si="116"/>
        <v>10</v>
      </c>
      <c r="P3773" s="19">
        <f t="shared" si="117"/>
        <v>2024</v>
      </c>
      <c r="Q37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73" s="19" t="str">
        <f>TEXT(Planning[[#This Row],[Mes]]*29,"mmmm")</f>
        <v>October</v>
      </c>
      <c r="S37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73" s="233"/>
      <c r="U3773" s="43">
        <f>IF(Planning[[#This Row],[Horas Planificadas]]&lt;&gt;0,+K3773/Planning[[#This Row],[Horas Planificadas]],0)</f>
        <v>0</v>
      </c>
      <c r="V3773" s="43">
        <f>IF(Planning[[#This Row],[Horas Planificadas]]&lt;&gt;0,Planning[[#This Row],[Horas utilizadas]]/Planning[[#This Row],[Horas Planificadas]],0)</f>
        <v>0</v>
      </c>
      <c r="W3773" s="44">
        <f>Planning[[#This Row],[Horas Planificadas]]+Planning[[#This Row],[Horas ajustadas adicionales]]</f>
        <v>0</v>
      </c>
      <c r="X3773" s="142"/>
    </row>
    <row r="3774" spans="1:24" ht="12.75" customHeight="1" x14ac:dyDescent="0.2">
      <c r="A3774" s="7" t="s">
        <v>626</v>
      </c>
      <c r="B3774" s="7" t="s">
        <v>220</v>
      </c>
      <c r="C3774" s="3"/>
      <c r="D3774" s="3" t="s">
        <v>672</v>
      </c>
      <c r="E3774" s="4" t="s">
        <v>31</v>
      </c>
      <c r="F3774" s="3" t="s">
        <v>31</v>
      </c>
      <c r="G3774" s="9"/>
      <c r="H3774" s="17">
        <f>Planning[[#This Row],[Horas Precálculo]]</f>
        <v>0</v>
      </c>
      <c r="I3774" s="18"/>
      <c r="J3774" s="14" t="e">
        <f>+SUMIFS(#REF!,#REF!,Planning[[#This Row],[Tarifa]],#REF!,Planning[[#This Row],[Proyectos]])</f>
        <v>#REF!</v>
      </c>
      <c r="K3774" s="14" t="e">
        <f>+Planning[[#This Row],[Horas Planificadas]]+Planning[[#This Row],[Horas ajustadas adicionales]]-Planning[[#This Row],[Horas utilizadas]]</f>
        <v>#REF!</v>
      </c>
      <c r="L3774" s="15">
        <v>0</v>
      </c>
      <c r="M3774" s="16" t="e">
        <f>Planning[[#This Row],[Saldo]]-Planning[[#This Row],[Saldo estimado]]</f>
        <v>#REF!</v>
      </c>
      <c r="N3774" s="60" t="e">
        <f>+SUMIFS(#REF!,#REF!,Planning[[#This Row],[Proyectos]],#REF!,Planning[[#This Row],[Tipo de Tarea y especialidad]])</f>
        <v>#REF!</v>
      </c>
      <c r="O3774" s="16">
        <f t="shared" si="116"/>
        <v>10</v>
      </c>
      <c r="P3774" s="16">
        <f t="shared" si="117"/>
        <v>2024</v>
      </c>
      <c r="Q3774" s="16" t="e">
        <f>+SUMIFS(#REF!,#REF!,Planning[[#This Row],[Tarifa]],#REF!,Planning[[#This Row],[Proyectos]],#REF!,Planning[[#This Row],[Mes]],#REF!,Planning[[#This Row],[Año]])</f>
        <v>#REF!</v>
      </c>
      <c r="R3774" s="16" t="str">
        <f>TEXT(Planning[[#This Row],[Mes]]*29,"mmmm")</f>
        <v>October</v>
      </c>
      <c r="S37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74" s="233"/>
      <c r="U3774" s="43">
        <f>IF(Planning[[#This Row],[Horas Planificadas]]&lt;&gt;0,+K3774/Planning[[#This Row],[Horas Planificadas]],0)</f>
        <v>0</v>
      </c>
      <c r="V3774" s="43">
        <f>IF(Planning[[#This Row],[Horas Planificadas]]&lt;&gt;0,Planning[[#This Row],[Horas utilizadas]]/Planning[[#This Row],[Horas Planificadas]],0)</f>
        <v>0</v>
      </c>
      <c r="W3774" s="44">
        <f>Planning[[#This Row],[Horas Planificadas]]+Planning[[#This Row],[Horas ajustadas adicionales]]</f>
        <v>0</v>
      </c>
      <c r="X3774" s="142"/>
    </row>
    <row r="3775" spans="1:24" ht="12.75" customHeight="1" x14ac:dyDescent="0.2">
      <c r="A3775" s="7" t="s">
        <v>626</v>
      </c>
      <c r="B3775" s="7" t="s">
        <v>220</v>
      </c>
      <c r="C3775" s="3"/>
      <c r="D3775" s="3" t="s">
        <v>672</v>
      </c>
      <c r="E3775" s="4" t="s">
        <v>32</v>
      </c>
      <c r="F3775" s="3"/>
      <c r="G3775" s="9"/>
      <c r="H3775" s="14">
        <f>SUM(H3776:H3778)</f>
        <v>50</v>
      </c>
      <c r="I3775" s="14"/>
      <c r="J3775" s="14" t="e">
        <f>SUM(J3776:J3778)</f>
        <v>#REF!</v>
      </c>
      <c r="K3775" s="14" t="e">
        <f>+Planning[[#This Row],[Horas Planificadas]]+Planning[[#This Row],[Horas ajustadas adicionales]]-Planning[[#This Row],[Horas utilizadas]]</f>
        <v>#REF!</v>
      </c>
      <c r="L3775" s="15" t="e">
        <f>SUM(L3776:L3778)</f>
        <v>#REF!</v>
      </c>
      <c r="M3775" s="16" t="e">
        <f>SUM(M3776:M3778)</f>
        <v>#REF!</v>
      </c>
      <c r="N3775" s="60" t="e">
        <f>+SUMIFS(#REF!,#REF!,Planning[[#This Row],[Proyectos]],#REF!,Planning[[#This Row],[Tipo de Tarea y especialidad]])</f>
        <v>#REF!</v>
      </c>
      <c r="O3775" s="16">
        <f t="shared" si="116"/>
        <v>10</v>
      </c>
      <c r="P3775" s="16">
        <f t="shared" si="117"/>
        <v>2024</v>
      </c>
      <c r="Q3775" s="16" t="e">
        <f>SUM(Q3776:Q3778)</f>
        <v>#REF!</v>
      </c>
      <c r="R3775" s="16" t="str">
        <f>TEXT(Planning[[#This Row],[Mes]]*29,"mmmm")</f>
        <v>October</v>
      </c>
      <c r="S37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75" s="233"/>
      <c r="U3775" s="43" t="e">
        <f>IF(Planning[[#This Row],[Horas Planificadas]]&lt;&gt;0,+K3775/Planning[[#This Row],[Horas Planificadas]],0)</f>
        <v>#REF!</v>
      </c>
      <c r="V3775" s="43" t="e">
        <f>IF(Planning[[#This Row],[Horas Planificadas]]&lt;&gt;0,Planning[[#This Row],[Horas utilizadas]]/Planning[[#This Row],[Horas Planificadas]],0)</f>
        <v>#REF!</v>
      </c>
      <c r="W3775" s="44">
        <f>Planning[[#This Row],[Horas Planificadas]]+Planning[[#This Row],[Horas ajustadas adicionales]]</f>
        <v>50</v>
      </c>
      <c r="X3775" s="142"/>
    </row>
    <row r="3776" spans="1:24" ht="12.75" customHeight="1" x14ac:dyDescent="0.2">
      <c r="A3776" s="7" t="s">
        <v>626</v>
      </c>
      <c r="B3776" s="7" t="s">
        <v>220</v>
      </c>
      <c r="C3776" s="3"/>
      <c r="D3776" s="3" t="s">
        <v>672</v>
      </c>
      <c r="E3776" s="4"/>
      <c r="F3776" s="3" t="s">
        <v>129</v>
      </c>
      <c r="G3776" s="9">
        <v>50</v>
      </c>
      <c r="H3776" s="9">
        <v>50</v>
      </c>
      <c r="I3776" s="12"/>
      <c r="J3776" s="5" t="e">
        <f>SUM(SUMIFS(#REF!,#REF!,Planning[[#This Row],[Tipo de Tarea y especialidad]],#REF!,Planning[[#This Row],[Proyectos Reiwa]]),SUMIFS(#REF!,#REF!,Planning[[#This Row],[Tipo de Tarea y especialidad]],#REF!,Planning[[#This Row],[Proyectos]]))</f>
        <v>#REF!</v>
      </c>
      <c r="K3776" s="5" t="e">
        <f>+Planning[[#This Row],[Horas Planificadas]]+Planning[[#This Row],[Horas ajustadas adicionales]]-Planning[[#This Row],[Horas utilizadas]]</f>
        <v>#REF!</v>
      </c>
      <c r="L3776" s="7">
        <v>0</v>
      </c>
      <c r="M3776" s="19" t="e">
        <f>Planning[[#This Row],[Saldo]]-Planning[[#This Row],[Saldo estimado]]</f>
        <v>#REF!</v>
      </c>
      <c r="N3776" s="60" t="e">
        <f>+SUMIFS(#REF!,#REF!,Planning[[#This Row],[Proyectos]],#REF!,Planning[[#This Row],[Tipo de Tarea y especialidad]])</f>
        <v>#REF!</v>
      </c>
      <c r="O3776" s="19">
        <f t="shared" si="116"/>
        <v>10</v>
      </c>
      <c r="P3776" s="19">
        <f t="shared" si="117"/>
        <v>2024</v>
      </c>
      <c r="Q37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76" s="19" t="str">
        <f>TEXT(Planning[[#This Row],[Mes]]*29,"mmmm")</f>
        <v>October</v>
      </c>
      <c r="S37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76" s="233"/>
      <c r="U3776" s="43" t="e">
        <f>IF(Planning[[#This Row],[Horas Planificadas]]&lt;&gt;0,+K3776/Planning[[#This Row],[Horas Planificadas]],0)</f>
        <v>#REF!</v>
      </c>
      <c r="V3776" s="43" t="e">
        <f>IF(Planning[[#This Row],[Horas Planificadas]]&lt;&gt;0,Planning[[#This Row],[Horas utilizadas]]/Planning[[#This Row],[Horas Planificadas]],0)</f>
        <v>#REF!</v>
      </c>
      <c r="W3776" s="44">
        <f>Planning[[#This Row],[Horas Planificadas]]+Planning[[#This Row],[Horas ajustadas adicionales]]</f>
        <v>50</v>
      </c>
      <c r="X3776" s="142"/>
    </row>
    <row r="3777" spans="1:24" ht="12.75" customHeight="1" x14ac:dyDescent="0.2">
      <c r="A3777" s="7" t="s">
        <v>626</v>
      </c>
      <c r="B3777" s="7" t="s">
        <v>220</v>
      </c>
      <c r="C3777" s="3"/>
      <c r="D3777" s="3" t="s">
        <v>672</v>
      </c>
      <c r="E3777" s="4"/>
      <c r="F3777" s="3" t="s">
        <v>130</v>
      </c>
      <c r="G3777" s="9">
        <v>0</v>
      </c>
      <c r="H3777" s="9">
        <v>0</v>
      </c>
      <c r="I3777" s="12"/>
      <c r="J3777" s="5" t="e">
        <f>SUM(SUMIFS(#REF!,#REF!,Planning[[#This Row],[Tipo de Tarea y especialidad]],#REF!,Planning[[#This Row],[Proyectos Reiwa]]),SUMIFS(#REF!,#REF!,Planning[[#This Row],[Tipo de Tarea y especialidad]],#REF!,Planning[[#This Row],[Proyectos]]))</f>
        <v>#REF!</v>
      </c>
      <c r="K3777" s="5" t="e">
        <f>+Planning[[#This Row],[Horas Planificadas]]+Planning[[#This Row],[Horas ajustadas adicionales]]-Planning[[#This Row],[Horas utilizadas]]</f>
        <v>#REF!</v>
      </c>
      <c r="L3777" s="7" t="e">
        <f>Planning[[#This Row],[Saldo]]</f>
        <v>#REF!</v>
      </c>
      <c r="M3777" s="19" t="e">
        <f>Planning[[#This Row],[Saldo]]-Planning[[#This Row],[Saldo estimado]]</f>
        <v>#REF!</v>
      </c>
      <c r="N3777" s="60" t="e">
        <f>+SUMIFS(#REF!,#REF!,Planning[[#This Row],[Proyectos]],#REF!,Planning[[#This Row],[Tipo de Tarea y especialidad]])</f>
        <v>#REF!</v>
      </c>
      <c r="O3777" s="19">
        <f t="shared" si="116"/>
        <v>10</v>
      </c>
      <c r="P3777" s="19">
        <f t="shared" si="117"/>
        <v>2024</v>
      </c>
      <c r="Q37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77" s="19" t="str">
        <f>TEXT(Planning[[#This Row],[Mes]]*29,"mmmm")</f>
        <v>October</v>
      </c>
      <c r="S37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77" s="233"/>
      <c r="U3777" s="43">
        <f>IF(Planning[[#This Row],[Horas Planificadas]]&lt;&gt;0,+K3777/Planning[[#This Row],[Horas Planificadas]],0)</f>
        <v>0</v>
      </c>
      <c r="V3777" s="43">
        <f>IF(Planning[[#This Row],[Horas Planificadas]]&lt;&gt;0,Planning[[#This Row],[Horas utilizadas]]/Planning[[#This Row],[Horas Planificadas]],0)</f>
        <v>0</v>
      </c>
      <c r="W3777" s="44">
        <f>Planning[[#This Row],[Horas Planificadas]]+Planning[[#This Row],[Horas ajustadas adicionales]]</f>
        <v>0</v>
      </c>
      <c r="X3777" s="142"/>
    </row>
    <row r="3778" spans="1:24" ht="12.75" customHeight="1" x14ac:dyDescent="0.2">
      <c r="A3778" s="7" t="s">
        <v>626</v>
      </c>
      <c r="B3778" s="7" t="s">
        <v>220</v>
      </c>
      <c r="C3778" s="3"/>
      <c r="D3778" s="3" t="s">
        <v>672</v>
      </c>
      <c r="E3778" s="4"/>
      <c r="F3778" s="3" t="s">
        <v>131</v>
      </c>
      <c r="G3778" s="9">
        <v>0</v>
      </c>
      <c r="H3778" s="9">
        <v>0</v>
      </c>
      <c r="I3778" s="12"/>
      <c r="J3778" s="5" t="e">
        <f>SUM(SUMIFS(#REF!,#REF!,Planning[[#This Row],[Tipo de Tarea y especialidad]],#REF!,Planning[[#This Row],[Proyectos Reiwa]]),SUMIFS(#REF!,#REF!,Planning[[#This Row],[Tipo de Tarea y especialidad]],#REF!,Planning[[#This Row],[Proyectos]]))</f>
        <v>#REF!</v>
      </c>
      <c r="K3778" s="5" t="e">
        <f>+Planning[[#This Row],[Horas Planificadas]]+Planning[[#This Row],[Horas ajustadas adicionales]]-Planning[[#This Row],[Horas utilizadas]]</f>
        <v>#REF!</v>
      </c>
      <c r="L3778" s="7" t="e">
        <f>Planning[[#This Row],[Saldo]]</f>
        <v>#REF!</v>
      </c>
      <c r="M3778" s="19" t="e">
        <f>Planning[[#This Row],[Saldo]]-Planning[[#This Row],[Saldo estimado]]</f>
        <v>#REF!</v>
      </c>
      <c r="N3778" s="60" t="e">
        <f>+SUMIFS(#REF!,#REF!,Planning[[#This Row],[Proyectos]],#REF!,Planning[[#This Row],[Tipo de Tarea y especialidad]])</f>
        <v>#REF!</v>
      </c>
      <c r="O3778" s="19">
        <f t="shared" si="116"/>
        <v>10</v>
      </c>
      <c r="P3778" s="19">
        <f t="shared" si="117"/>
        <v>2024</v>
      </c>
      <c r="Q37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78" s="19" t="str">
        <f>TEXT(Planning[[#This Row],[Mes]]*29,"mmmm")</f>
        <v>October</v>
      </c>
      <c r="S37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78" s="233"/>
      <c r="U3778" s="43">
        <f>IF(Planning[[#This Row],[Horas Planificadas]]&lt;&gt;0,+K3778/Planning[[#This Row],[Horas Planificadas]],0)</f>
        <v>0</v>
      </c>
      <c r="V3778" s="43">
        <f>IF(Planning[[#This Row],[Horas Planificadas]]&lt;&gt;0,Planning[[#This Row],[Horas utilizadas]]/Planning[[#This Row],[Horas Planificadas]],0)</f>
        <v>0</v>
      </c>
      <c r="W3778" s="44">
        <f>Planning[[#This Row],[Horas Planificadas]]+Planning[[#This Row],[Horas ajustadas adicionales]]</f>
        <v>0</v>
      </c>
      <c r="X3778" s="142"/>
    </row>
    <row r="3779" spans="1:24" ht="12.75" customHeight="1" x14ac:dyDescent="0.2">
      <c r="A3779" s="7" t="s">
        <v>117</v>
      </c>
      <c r="B3779" s="7" t="s">
        <v>178</v>
      </c>
      <c r="C3779" s="3"/>
      <c r="D3779" s="3" t="s">
        <v>674</v>
      </c>
      <c r="E3779" s="4" t="s">
        <v>28</v>
      </c>
      <c r="F3779" s="3"/>
      <c r="G3779" s="9">
        <v>0</v>
      </c>
      <c r="H3779" s="14">
        <f>SUM(H3780:H3781)</f>
        <v>36</v>
      </c>
      <c r="I3779" s="14"/>
      <c r="J3779" s="14" t="e">
        <f>SUM(J3780:J3781)</f>
        <v>#REF!</v>
      </c>
      <c r="K3779" s="14" t="e">
        <f>+Planning[[#This Row],[Horas Planificadas]]+Planning[[#This Row],[Horas ajustadas adicionales]]-Planning[[#This Row],[Horas utilizadas]]</f>
        <v>#REF!</v>
      </c>
      <c r="L3779" s="15">
        <f>SUM(L3780:L3781)</f>
        <v>0</v>
      </c>
      <c r="M3779" s="14" t="e">
        <f>SUM(M3780:M3781)</f>
        <v>#REF!</v>
      </c>
      <c r="N3779" s="66" t="e">
        <f>+SUMIFS(#REF!,#REF!,Planning[[#This Row],[Proyectos]],#REF!,Planning[[#This Row],[Tipo de Tarea y especialidad]])</f>
        <v>#REF!</v>
      </c>
      <c r="O3779" s="14">
        <f t="shared" si="116"/>
        <v>10</v>
      </c>
      <c r="P3779" s="14">
        <f t="shared" si="117"/>
        <v>2024</v>
      </c>
      <c r="Q3779" s="28" t="e">
        <f>SUM(Q3780:Q3781)</f>
        <v>#REF!</v>
      </c>
      <c r="R3779" s="28" t="str">
        <f>TEXT(Planning[[#This Row],[Mes]]*29,"mmmm")</f>
        <v>October</v>
      </c>
      <c r="S37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79" s="220" t="s">
        <v>675</v>
      </c>
      <c r="U3779" s="43" t="e">
        <f>IF(Planning[[#This Row],[Horas Planificadas]]&lt;&gt;0,+K3779/Planning[[#This Row],[Horas Planificadas]],0)</f>
        <v>#REF!</v>
      </c>
      <c r="V3779" s="43" t="e">
        <f>IF(Planning[[#This Row],[Horas Planificadas]]&lt;&gt;0,Planning[[#This Row],[Horas utilizadas]]/Planning[[#This Row],[Horas Planificadas]],0)</f>
        <v>#REF!</v>
      </c>
      <c r="W3779" s="44">
        <f>Planning[[#This Row],[Horas Planificadas]]+Planning[[#This Row],[Horas ajustadas adicionales]]</f>
        <v>36</v>
      </c>
      <c r="X3779" s="142"/>
    </row>
    <row r="3780" spans="1:24" x14ac:dyDescent="0.2">
      <c r="A3780" s="7" t="s">
        <v>117</v>
      </c>
      <c r="B3780" s="7" t="s">
        <v>178</v>
      </c>
      <c r="C3780" s="3"/>
      <c r="D3780" s="3" t="s">
        <v>674</v>
      </c>
      <c r="E3780" s="4"/>
      <c r="F3780" s="3" t="s">
        <v>120</v>
      </c>
      <c r="G3780" s="9">
        <v>0</v>
      </c>
      <c r="H3780" s="9">
        <v>0</v>
      </c>
      <c r="I3780" s="12"/>
      <c r="J3780" s="5" t="e">
        <f>SUM(SUMIFS(#REF!,#REF!,Planning[[#This Row],[Tipo de Tarea y especialidad]],#REF!,Planning[[#This Row],[Proyectos Reiwa]]),SUMIFS(#REF!,#REF!,Planning[[#This Row],[Tipo de Tarea y especialidad]],#REF!,Planning[[#This Row],[Proyectos]]))</f>
        <v>#REF!</v>
      </c>
      <c r="K3780" s="5" t="e">
        <f>+Planning[[#This Row],[Horas Planificadas]]+Planning[[#This Row],[Horas ajustadas adicionales]]-Planning[[#This Row],[Horas utilizadas]]</f>
        <v>#REF!</v>
      </c>
      <c r="L3780" s="7">
        <v>0</v>
      </c>
      <c r="M3780" s="19" t="e">
        <f>Planning[[#This Row],[Saldo]]-Planning[[#This Row],[Saldo estimado]]</f>
        <v>#REF!</v>
      </c>
      <c r="N3780" s="60" t="e">
        <f>+SUMIFS(#REF!,#REF!,Planning[[#This Row],[Proyectos]],#REF!,Planning[[#This Row],[Tipo de Tarea y especialidad]])</f>
        <v>#REF!</v>
      </c>
      <c r="O3780" s="19">
        <f t="shared" si="116"/>
        <v>10</v>
      </c>
      <c r="P3780" s="19">
        <f t="shared" si="117"/>
        <v>2024</v>
      </c>
      <c r="Q37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80" s="19" t="str">
        <f>TEXT(Planning[[#This Row],[Mes]]*29,"mmmm")</f>
        <v>October</v>
      </c>
      <c r="S37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80" s="210"/>
      <c r="U3780" s="43">
        <f>IF(Planning[[#This Row],[Horas Planificadas]]&lt;&gt;0,+K3780/Planning[[#This Row],[Horas Planificadas]],0)</f>
        <v>0</v>
      </c>
      <c r="V3780" s="43">
        <f>IF(Planning[[#This Row],[Horas Planificadas]]&lt;&gt;0,Planning[[#This Row],[Horas utilizadas]]/Planning[[#This Row],[Horas Planificadas]],0)</f>
        <v>0</v>
      </c>
      <c r="W3780" s="44">
        <f>Planning[[#This Row],[Horas Planificadas]]+Planning[[#This Row],[Horas ajustadas adicionales]]</f>
        <v>0</v>
      </c>
      <c r="X3780" s="142"/>
    </row>
    <row r="3781" spans="1:24" x14ac:dyDescent="0.2">
      <c r="A3781" s="7" t="s">
        <v>117</v>
      </c>
      <c r="B3781" s="7" t="s">
        <v>178</v>
      </c>
      <c r="C3781" s="3"/>
      <c r="D3781" s="3" t="s">
        <v>674</v>
      </c>
      <c r="E3781" s="4"/>
      <c r="F3781" s="3" t="s">
        <v>121</v>
      </c>
      <c r="G3781" s="9">
        <v>0</v>
      </c>
      <c r="H3781" s="9">
        <v>36</v>
      </c>
      <c r="I3781" s="12"/>
      <c r="J3781" s="5" t="e">
        <f>SUM(SUMIFS(#REF!,#REF!,Planning[[#This Row],[Tipo de Tarea y especialidad]],#REF!,Planning[[#This Row],[Proyectos Reiwa]]),SUMIFS(#REF!,#REF!,Planning[[#This Row],[Tipo de Tarea y especialidad]],#REF!,Planning[[#This Row],[Proyectos]]))</f>
        <v>#REF!</v>
      </c>
      <c r="K3781" s="5" t="e">
        <f>+Planning[[#This Row],[Horas Planificadas]]+Planning[[#This Row],[Horas ajustadas adicionales]]-Planning[[#This Row],[Horas utilizadas]]</f>
        <v>#REF!</v>
      </c>
      <c r="L3781" s="7">
        <v>0</v>
      </c>
      <c r="M3781" s="19" t="e">
        <f>Planning[[#This Row],[Saldo]]-Planning[[#This Row],[Saldo estimado]]</f>
        <v>#REF!</v>
      </c>
      <c r="N3781" s="60" t="e">
        <f>+SUMIFS(#REF!,#REF!,Planning[[#This Row],[Proyectos]],#REF!,Planning[[#This Row],[Tipo de Tarea y especialidad]])</f>
        <v>#REF!</v>
      </c>
      <c r="O3781" s="19">
        <f t="shared" si="116"/>
        <v>10</v>
      </c>
      <c r="P3781" s="19">
        <f t="shared" si="117"/>
        <v>2024</v>
      </c>
      <c r="Q37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81" s="19" t="str">
        <f>TEXT(Planning[[#This Row],[Mes]]*29,"mmmm")</f>
        <v>October</v>
      </c>
      <c r="S37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81" s="210"/>
      <c r="U3781" s="43" t="e">
        <f>IF(Planning[[#This Row],[Horas Planificadas]]&lt;&gt;0,+K3781/Planning[[#This Row],[Horas Planificadas]],0)</f>
        <v>#REF!</v>
      </c>
      <c r="V3781" s="43" t="e">
        <f>IF(Planning[[#This Row],[Horas Planificadas]]&lt;&gt;0,Planning[[#This Row],[Horas utilizadas]]/Planning[[#This Row],[Horas Planificadas]],0)</f>
        <v>#REF!</v>
      </c>
      <c r="W3781" s="44">
        <f>Planning[[#This Row],[Horas Planificadas]]+Planning[[#This Row],[Horas ajustadas adicionales]]</f>
        <v>36</v>
      </c>
      <c r="X3781" s="142"/>
    </row>
    <row r="3782" spans="1:24" x14ac:dyDescent="0.2">
      <c r="A3782" s="7" t="s">
        <v>117</v>
      </c>
      <c r="B3782" s="7" t="s">
        <v>178</v>
      </c>
      <c r="C3782" s="3"/>
      <c r="D3782" s="3" t="s">
        <v>674</v>
      </c>
      <c r="E3782" s="4" t="s">
        <v>30</v>
      </c>
      <c r="F3782" s="3"/>
      <c r="G3782" s="9">
        <v>1030</v>
      </c>
      <c r="H3782" s="14">
        <f>SUM(H3783:H3789)</f>
        <v>1030</v>
      </c>
      <c r="I3782" s="14"/>
      <c r="J3782" s="14" t="e">
        <f>SUM(J3783:J3789)</f>
        <v>#REF!</v>
      </c>
      <c r="K3782" s="14" t="e">
        <f>+Planning[[#This Row],[Horas Planificadas]]+Planning[[#This Row],[Horas ajustadas adicionales]]-Planning[[#This Row],[Horas utilizadas]]</f>
        <v>#REF!</v>
      </c>
      <c r="L3782" s="15">
        <f>SUM(L3783:L3789)</f>
        <v>0</v>
      </c>
      <c r="M3782" s="16" t="e">
        <f>SUM(M3783:M3789)</f>
        <v>#REF!</v>
      </c>
      <c r="N3782" s="60" t="e">
        <f>+SUMIFS(#REF!,#REF!,Planning[[#This Row],[Proyectos]],#REF!,Planning[[#This Row],[Tipo de Tarea y especialidad]])</f>
        <v>#REF!</v>
      </c>
      <c r="O3782" s="16">
        <f t="shared" si="116"/>
        <v>10</v>
      </c>
      <c r="P3782" s="16">
        <f t="shared" si="117"/>
        <v>2024</v>
      </c>
      <c r="Q3782" s="16" t="e">
        <f>SUM(Q3783:Q3789)</f>
        <v>#REF!</v>
      </c>
      <c r="R3782" s="16" t="str">
        <f>TEXT(Planning[[#This Row],[Mes]]*29,"mmmm")</f>
        <v>October</v>
      </c>
      <c r="S37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82" s="210"/>
      <c r="U3782" s="43" t="e">
        <f>IF(Planning[[#This Row],[Horas Planificadas]]&lt;&gt;0,+K3782/Planning[[#This Row],[Horas Planificadas]],0)</f>
        <v>#REF!</v>
      </c>
      <c r="V3782" s="43" t="e">
        <f>IF(Planning[[#This Row],[Horas Planificadas]]&lt;&gt;0,Planning[[#This Row],[Horas utilizadas]]/Planning[[#This Row],[Horas Planificadas]],0)</f>
        <v>#REF!</v>
      </c>
      <c r="W3782" s="44">
        <f>Planning[[#This Row],[Horas Planificadas]]+Planning[[#This Row],[Horas ajustadas adicionales]]</f>
        <v>1030</v>
      </c>
      <c r="X3782" s="142"/>
    </row>
    <row r="3783" spans="1:24" x14ac:dyDescent="0.2">
      <c r="A3783" s="7" t="s">
        <v>117</v>
      </c>
      <c r="B3783" s="7" t="s">
        <v>178</v>
      </c>
      <c r="C3783" s="3"/>
      <c r="D3783" s="3" t="s">
        <v>674</v>
      </c>
      <c r="E3783" s="4"/>
      <c r="F3783" s="3" t="s">
        <v>122</v>
      </c>
      <c r="G3783" s="9">
        <v>0</v>
      </c>
      <c r="H3783" s="9">
        <v>0</v>
      </c>
      <c r="I3783" s="12"/>
      <c r="J3783" s="5" t="e">
        <f>SUM(SUMIFS(#REF!,#REF!,Planning[[#This Row],[Tipo de Tarea y especialidad]],#REF!,Planning[[#This Row],[Proyectos Reiwa]]),SUMIFS(#REF!,#REF!,Planning[[#This Row],[Tipo de Tarea y especialidad]],#REF!,Planning[[#This Row],[Proyectos]]))</f>
        <v>#REF!</v>
      </c>
      <c r="K3783" s="5" t="e">
        <f>+Planning[[#This Row],[Horas Planificadas]]+Planning[[#This Row],[Horas ajustadas adicionales]]-Planning[[#This Row],[Horas utilizadas]]</f>
        <v>#REF!</v>
      </c>
      <c r="L3783" s="7">
        <v>0</v>
      </c>
      <c r="M3783" s="19" t="e">
        <f>Planning[[#This Row],[Saldo]]-Planning[[#This Row],[Saldo estimado]]</f>
        <v>#REF!</v>
      </c>
      <c r="N3783" s="60" t="e">
        <f>+SUMIFS(#REF!,#REF!,Planning[[#This Row],[Proyectos]],#REF!,Planning[[#This Row],[Tipo de Tarea y especialidad]])</f>
        <v>#REF!</v>
      </c>
      <c r="O3783" s="19">
        <f t="shared" ref="O3783:O3846" si="118">$L$4</f>
        <v>10</v>
      </c>
      <c r="P3783" s="19">
        <f t="shared" ref="P3783:P3846" si="119">$M$4</f>
        <v>2024</v>
      </c>
      <c r="Q37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83" s="19" t="str">
        <f>TEXT(Planning[[#This Row],[Mes]]*29,"mmmm")</f>
        <v>October</v>
      </c>
      <c r="S37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83" s="210"/>
      <c r="U3783" s="43">
        <f>IF(Planning[[#This Row],[Horas Planificadas]]&lt;&gt;0,+K3783/Planning[[#This Row],[Horas Planificadas]],0)</f>
        <v>0</v>
      </c>
      <c r="V3783" s="43">
        <f>IF(Planning[[#This Row],[Horas Planificadas]]&lt;&gt;0,Planning[[#This Row],[Horas utilizadas]]/Planning[[#This Row],[Horas Planificadas]],0)</f>
        <v>0</v>
      </c>
      <c r="W3783" s="44">
        <f>Planning[[#This Row],[Horas Planificadas]]+Planning[[#This Row],[Horas ajustadas adicionales]]</f>
        <v>0</v>
      </c>
      <c r="X3783" s="142"/>
    </row>
    <row r="3784" spans="1:24" x14ac:dyDescent="0.2">
      <c r="A3784" s="7" t="s">
        <v>117</v>
      </c>
      <c r="B3784" s="7" t="s">
        <v>178</v>
      </c>
      <c r="C3784" s="3"/>
      <c r="D3784" s="3" t="s">
        <v>674</v>
      </c>
      <c r="E3784" s="4"/>
      <c r="F3784" s="3" t="s">
        <v>123</v>
      </c>
      <c r="G3784" s="9">
        <v>886</v>
      </c>
      <c r="H3784" s="9">
        <v>700</v>
      </c>
      <c r="I3784" s="12"/>
      <c r="J3784" s="5" t="e">
        <f>SUM(SUMIFS(#REF!,#REF!,Planning[[#This Row],[Tipo de Tarea y especialidad]],#REF!,Planning[[#This Row],[Proyectos Reiwa]]),SUMIFS(#REF!,#REF!,Planning[[#This Row],[Tipo de Tarea y especialidad]],#REF!,Planning[[#This Row],[Proyectos]]))</f>
        <v>#REF!</v>
      </c>
      <c r="K3784" s="5" t="e">
        <f>+Planning[[#This Row],[Horas Planificadas]]+Planning[[#This Row],[Horas ajustadas adicionales]]-Planning[[#This Row],[Horas utilizadas]]</f>
        <v>#REF!</v>
      </c>
      <c r="L3784" s="7">
        <v>0</v>
      </c>
      <c r="M3784" s="19" t="e">
        <f>Planning[[#This Row],[Saldo]]-Planning[[#This Row],[Saldo estimado]]</f>
        <v>#REF!</v>
      </c>
      <c r="N3784" s="60" t="e">
        <f>+SUMIFS(#REF!,#REF!,Planning[[#This Row],[Proyectos]],#REF!,Planning[[#This Row],[Tipo de Tarea y especialidad]])</f>
        <v>#REF!</v>
      </c>
      <c r="O3784" s="19">
        <f t="shared" si="118"/>
        <v>10</v>
      </c>
      <c r="P3784" s="19">
        <f t="shared" si="119"/>
        <v>2024</v>
      </c>
      <c r="Q37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84" s="19" t="str">
        <f>TEXT(Planning[[#This Row],[Mes]]*29,"mmmm")</f>
        <v>October</v>
      </c>
      <c r="S37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84" s="210"/>
      <c r="U3784" s="43" t="e">
        <f>IF(Planning[[#This Row],[Horas Planificadas]]&lt;&gt;0,+K3784/Planning[[#This Row],[Horas Planificadas]],0)</f>
        <v>#REF!</v>
      </c>
      <c r="V3784" s="43" t="e">
        <f>IF(Planning[[#This Row],[Horas Planificadas]]&lt;&gt;0,Planning[[#This Row],[Horas utilizadas]]/Planning[[#This Row],[Horas Planificadas]],0)</f>
        <v>#REF!</v>
      </c>
      <c r="W3784" s="44">
        <f>Planning[[#This Row],[Horas Planificadas]]+Planning[[#This Row],[Horas ajustadas adicionales]]</f>
        <v>700</v>
      </c>
      <c r="X3784" s="142"/>
    </row>
    <row r="3785" spans="1:24" x14ac:dyDescent="0.2">
      <c r="A3785" s="7" t="s">
        <v>117</v>
      </c>
      <c r="B3785" s="7" t="s">
        <v>178</v>
      </c>
      <c r="C3785" s="3"/>
      <c r="D3785" s="3" t="s">
        <v>674</v>
      </c>
      <c r="E3785" s="4"/>
      <c r="F3785" s="3" t="s">
        <v>124</v>
      </c>
      <c r="G3785" s="9">
        <v>0</v>
      </c>
      <c r="H3785" s="9">
        <v>0</v>
      </c>
      <c r="I3785" s="12"/>
      <c r="J3785" s="5" t="e">
        <f>SUM(SUMIFS(#REF!,#REF!,Planning[[#This Row],[Tipo de Tarea y especialidad]],#REF!,Planning[[#This Row],[Proyectos Reiwa]]),SUMIFS(#REF!,#REF!,Planning[[#This Row],[Tipo de Tarea y especialidad]],#REF!,Planning[[#This Row],[Proyectos]]))</f>
        <v>#REF!</v>
      </c>
      <c r="K3785" s="5" t="e">
        <f>+Planning[[#This Row],[Horas Planificadas]]+Planning[[#This Row],[Horas ajustadas adicionales]]-Planning[[#This Row],[Horas utilizadas]]</f>
        <v>#REF!</v>
      </c>
      <c r="L3785" s="7">
        <v>0</v>
      </c>
      <c r="M3785" s="19" t="e">
        <f>Planning[[#This Row],[Saldo]]-Planning[[#This Row],[Saldo estimado]]</f>
        <v>#REF!</v>
      </c>
      <c r="N3785" s="60" t="e">
        <f>+SUMIFS(#REF!,#REF!,Planning[[#This Row],[Proyectos]],#REF!,Planning[[#This Row],[Tipo de Tarea y especialidad]])</f>
        <v>#REF!</v>
      </c>
      <c r="O3785" s="19">
        <f t="shared" si="118"/>
        <v>10</v>
      </c>
      <c r="P3785" s="19">
        <f t="shared" si="119"/>
        <v>2024</v>
      </c>
      <c r="Q37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85" s="19" t="str">
        <f>TEXT(Planning[[#This Row],[Mes]]*29,"mmmm")</f>
        <v>October</v>
      </c>
      <c r="S37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85" s="210"/>
      <c r="U3785" s="43">
        <f>IF(Planning[[#This Row],[Horas Planificadas]]&lt;&gt;0,+K3785/Planning[[#This Row],[Horas Planificadas]],0)</f>
        <v>0</v>
      </c>
      <c r="V3785" s="43">
        <f>IF(Planning[[#This Row],[Horas Planificadas]]&lt;&gt;0,Planning[[#This Row],[Horas utilizadas]]/Planning[[#This Row],[Horas Planificadas]],0)</f>
        <v>0</v>
      </c>
      <c r="W3785" s="44">
        <f>Planning[[#This Row],[Horas Planificadas]]+Planning[[#This Row],[Horas ajustadas adicionales]]</f>
        <v>0</v>
      </c>
      <c r="X3785" s="142"/>
    </row>
    <row r="3786" spans="1:24" x14ac:dyDescent="0.2">
      <c r="A3786" s="7" t="s">
        <v>117</v>
      </c>
      <c r="B3786" s="7" t="s">
        <v>178</v>
      </c>
      <c r="C3786" s="3"/>
      <c r="D3786" s="3" t="s">
        <v>674</v>
      </c>
      <c r="E3786" s="4"/>
      <c r="F3786" s="3" t="s">
        <v>125</v>
      </c>
      <c r="G3786" s="9">
        <v>0</v>
      </c>
      <c r="H3786" s="9">
        <v>186</v>
      </c>
      <c r="I3786" s="12"/>
      <c r="J3786" s="5" t="e">
        <f>SUM(SUMIFS(#REF!,#REF!,Planning[[#This Row],[Tipo de Tarea y especialidad]],#REF!,Planning[[#This Row],[Proyectos Reiwa]]),SUMIFS(#REF!,#REF!,Planning[[#This Row],[Tipo de Tarea y especialidad]],#REF!,Planning[[#This Row],[Proyectos]]))</f>
        <v>#REF!</v>
      </c>
      <c r="K3786" s="5" t="e">
        <f>+Planning[[#This Row],[Horas Planificadas]]+Planning[[#This Row],[Horas ajustadas adicionales]]-Planning[[#This Row],[Horas utilizadas]]</f>
        <v>#REF!</v>
      </c>
      <c r="L3786" s="7">
        <v>0</v>
      </c>
      <c r="M3786" s="19" t="e">
        <f>Planning[[#This Row],[Saldo]]-Planning[[#This Row],[Saldo estimado]]</f>
        <v>#REF!</v>
      </c>
      <c r="N3786" s="60" t="e">
        <f>+SUMIFS(#REF!,#REF!,Planning[[#This Row],[Proyectos]],#REF!,Planning[[#This Row],[Tipo de Tarea y especialidad]])</f>
        <v>#REF!</v>
      </c>
      <c r="O3786" s="19">
        <f t="shared" si="118"/>
        <v>10</v>
      </c>
      <c r="P3786" s="19">
        <f t="shared" si="119"/>
        <v>2024</v>
      </c>
      <c r="Q37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86" s="19" t="str">
        <f>TEXT(Planning[[#This Row],[Mes]]*29,"mmmm")</f>
        <v>October</v>
      </c>
      <c r="S37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86" s="210"/>
      <c r="U3786" s="43" t="e">
        <f>IF(Planning[[#This Row],[Horas Planificadas]]&lt;&gt;0,+K3786/Planning[[#This Row],[Horas Planificadas]],0)</f>
        <v>#REF!</v>
      </c>
      <c r="V3786" s="43" t="e">
        <f>IF(Planning[[#This Row],[Horas Planificadas]]&lt;&gt;0,Planning[[#This Row],[Horas utilizadas]]/Planning[[#This Row],[Horas Planificadas]],0)</f>
        <v>#REF!</v>
      </c>
      <c r="W3786" s="44">
        <f>Planning[[#This Row],[Horas Planificadas]]+Planning[[#This Row],[Horas ajustadas adicionales]]</f>
        <v>186</v>
      </c>
      <c r="X3786" s="142"/>
    </row>
    <row r="3787" spans="1:24" x14ac:dyDescent="0.2">
      <c r="A3787" s="7" t="s">
        <v>117</v>
      </c>
      <c r="B3787" s="7" t="s">
        <v>178</v>
      </c>
      <c r="C3787" s="3"/>
      <c r="D3787" s="3" t="s">
        <v>674</v>
      </c>
      <c r="E3787" s="4"/>
      <c r="F3787" s="3" t="s">
        <v>126</v>
      </c>
      <c r="G3787" s="9">
        <v>0</v>
      </c>
      <c r="H3787" s="9">
        <v>0</v>
      </c>
      <c r="I3787" s="12"/>
      <c r="J3787" s="5" t="e">
        <f>SUM(SUMIFS(#REF!,#REF!,Planning[[#This Row],[Tipo de Tarea y especialidad]],#REF!,Planning[[#This Row],[Proyectos Reiwa]]),SUMIFS(#REF!,#REF!,Planning[[#This Row],[Tipo de Tarea y especialidad]],#REF!,Planning[[#This Row],[Proyectos]]))</f>
        <v>#REF!</v>
      </c>
      <c r="K3787" s="5" t="e">
        <f>+Planning[[#This Row],[Horas Planificadas]]+Planning[[#This Row],[Horas ajustadas adicionales]]-Planning[[#This Row],[Horas utilizadas]]</f>
        <v>#REF!</v>
      </c>
      <c r="L3787" s="7">
        <v>0</v>
      </c>
      <c r="M3787" s="19" t="e">
        <f>Planning[[#This Row],[Saldo]]-Planning[[#This Row],[Saldo estimado]]</f>
        <v>#REF!</v>
      </c>
      <c r="N3787" s="60" t="e">
        <f>+SUMIFS(#REF!,#REF!,Planning[[#This Row],[Proyectos]],#REF!,Planning[[#This Row],[Tipo de Tarea y especialidad]])</f>
        <v>#REF!</v>
      </c>
      <c r="O3787" s="19">
        <f t="shared" si="118"/>
        <v>10</v>
      </c>
      <c r="P3787" s="19">
        <f t="shared" si="119"/>
        <v>2024</v>
      </c>
      <c r="Q37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87" s="19" t="str">
        <f>TEXT(Planning[[#This Row],[Mes]]*29,"mmmm")</f>
        <v>October</v>
      </c>
      <c r="S37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87" s="210"/>
      <c r="U3787" s="43">
        <f>IF(Planning[[#This Row],[Horas Planificadas]]&lt;&gt;0,+K3787/Planning[[#This Row],[Horas Planificadas]],0)</f>
        <v>0</v>
      </c>
      <c r="V3787" s="43">
        <f>IF(Planning[[#This Row],[Horas Planificadas]]&lt;&gt;0,Planning[[#This Row],[Horas utilizadas]]/Planning[[#This Row],[Horas Planificadas]],0)</f>
        <v>0</v>
      </c>
      <c r="W3787" s="44">
        <f>Planning[[#This Row],[Horas Planificadas]]+Planning[[#This Row],[Horas ajustadas adicionales]]</f>
        <v>0</v>
      </c>
      <c r="X3787" s="142"/>
    </row>
    <row r="3788" spans="1:24" x14ac:dyDescent="0.2">
      <c r="A3788" s="7" t="s">
        <v>117</v>
      </c>
      <c r="B3788" s="7" t="s">
        <v>178</v>
      </c>
      <c r="C3788" s="3"/>
      <c r="D3788" s="3" t="s">
        <v>674</v>
      </c>
      <c r="E3788" s="4"/>
      <c r="F3788" s="3" t="s">
        <v>127</v>
      </c>
      <c r="G3788" s="9">
        <v>144</v>
      </c>
      <c r="H3788" s="9">
        <v>144</v>
      </c>
      <c r="I3788" s="12"/>
      <c r="J3788" s="5" t="e">
        <f>SUM(SUMIFS(#REF!,#REF!,Planning[[#This Row],[Tipo de Tarea y especialidad]],#REF!,Planning[[#This Row],[Proyectos Reiwa]]),SUMIFS(#REF!,#REF!,Planning[[#This Row],[Tipo de Tarea y especialidad]],#REF!,Planning[[#This Row],[Proyectos]]))</f>
        <v>#REF!</v>
      </c>
      <c r="K3788" s="5" t="e">
        <f>+Planning[[#This Row],[Horas Planificadas]]+Planning[[#This Row],[Horas ajustadas adicionales]]-Planning[[#This Row],[Horas utilizadas]]</f>
        <v>#REF!</v>
      </c>
      <c r="L3788" s="7">
        <v>0</v>
      </c>
      <c r="M3788" s="19" t="e">
        <f>Planning[[#This Row],[Saldo]]-Planning[[#This Row],[Saldo estimado]]</f>
        <v>#REF!</v>
      </c>
      <c r="N3788" s="60" t="e">
        <f>+SUMIFS(#REF!,#REF!,Planning[[#This Row],[Proyectos]],#REF!,Planning[[#This Row],[Tipo de Tarea y especialidad]])</f>
        <v>#REF!</v>
      </c>
      <c r="O3788" s="19">
        <f t="shared" si="118"/>
        <v>10</v>
      </c>
      <c r="P3788" s="19">
        <f t="shared" si="119"/>
        <v>2024</v>
      </c>
      <c r="Q37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88" s="19" t="str">
        <f>TEXT(Planning[[#This Row],[Mes]]*29,"mmmm")</f>
        <v>October</v>
      </c>
      <c r="S37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88" s="210"/>
      <c r="U3788" s="43" t="e">
        <f>IF(Planning[[#This Row],[Horas Planificadas]]&lt;&gt;0,+K3788/Planning[[#This Row],[Horas Planificadas]],0)</f>
        <v>#REF!</v>
      </c>
      <c r="V3788" s="43" t="e">
        <f>IF(Planning[[#This Row],[Horas Planificadas]]&lt;&gt;0,Planning[[#This Row],[Horas utilizadas]]/Planning[[#This Row],[Horas Planificadas]],0)</f>
        <v>#REF!</v>
      </c>
      <c r="W3788" s="44">
        <f>Planning[[#This Row],[Horas Planificadas]]+Planning[[#This Row],[Horas ajustadas adicionales]]</f>
        <v>144</v>
      </c>
      <c r="X3788" s="142"/>
    </row>
    <row r="3789" spans="1:24" x14ac:dyDescent="0.2">
      <c r="A3789" s="7" t="s">
        <v>117</v>
      </c>
      <c r="B3789" s="7" t="s">
        <v>178</v>
      </c>
      <c r="C3789" s="3"/>
      <c r="D3789" s="3" t="s">
        <v>674</v>
      </c>
      <c r="E3789" s="4"/>
      <c r="F3789" s="3" t="s">
        <v>128</v>
      </c>
      <c r="G3789" s="9">
        <v>0</v>
      </c>
      <c r="H3789" s="9">
        <v>0</v>
      </c>
      <c r="I3789" s="12"/>
      <c r="J3789" s="5" t="e">
        <f>SUM(SUMIFS(#REF!,#REF!,Planning[[#This Row],[Tipo de Tarea y especialidad]],#REF!,Planning[[#This Row],[Proyectos Reiwa]]),SUMIFS(#REF!,#REF!,Planning[[#This Row],[Tipo de Tarea y especialidad]],#REF!,Planning[[#This Row],[Proyectos]]))</f>
        <v>#REF!</v>
      </c>
      <c r="K3789" s="5" t="e">
        <f>+Planning[[#This Row],[Horas Planificadas]]+Planning[[#This Row],[Horas ajustadas adicionales]]-Planning[[#This Row],[Horas utilizadas]]</f>
        <v>#REF!</v>
      </c>
      <c r="L3789" s="7">
        <v>0</v>
      </c>
      <c r="M3789" s="19" t="e">
        <f>Planning[[#This Row],[Saldo]]-Planning[[#This Row],[Saldo estimado]]</f>
        <v>#REF!</v>
      </c>
      <c r="N3789" s="60" t="e">
        <f>+SUMIFS(#REF!,#REF!,Planning[[#This Row],[Proyectos]],#REF!,Planning[[#This Row],[Tipo de Tarea y especialidad]])</f>
        <v>#REF!</v>
      </c>
      <c r="O3789" s="19">
        <f t="shared" si="118"/>
        <v>10</v>
      </c>
      <c r="P3789" s="19">
        <f t="shared" si="119"/>
        <v>2024</v>
      </c>
      <c r="Q37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89" s="19" t="str">
        <f>TEXT(Planning[[#This Row],[Mes]]*29,"mmmm")</f>
        <v>October</v>
      </c>
      <c r="S37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89" s="210"/>
      <c r="U3789" s="43">
        <f>IF(Planning[[#This Row],[Horas Planificadas]]&lt;&gt;0,+K3789/Planning[[#This Row],[Horas Planificadas]],0)</f>
        <v>0</v>
      </c>
      <c r="V3789" s="43">
        <f>IF(Planning[[#This Row],[Horas Planificadas]]&lt;&gt;0,Planning[[#This Row],[Horas utilizadas]]/Planning[[#This Row],[Horas Planificadas]],0)</f>
        <v>0</v>
      </c>
      <c r="W3789" s="44">
        <f>Planning[[#This Row],[Horas Planificadas]]+Planning[[#This Row],[Horas ajustadas adicionales]]</f>
        <v>0</v>
      </c>
      <c r="X3789" s="142"/>
    </row>
    <row r="3790" spans="1:24" x14ac:dyDescent="0.2">
      <c r="A3790" s="7" t="s">
        <v>117</v>
      </c>
      <c r="B3790" s="7" t="s">
        <v>178</v>
      </c>
      <c r="C3790" s="3"/>
      <c r="D3790" s="3" t="s">
        <v>674</v>
      </c>
      <c r="E3790" s="4" t="s">
        <v>31</v>
      </c>
      <c r="F3790" s="3" t="s">
        <v>31</v>
      </c>
      <c r="G3790" s="9">
        <v>220</v>
      </c>
      <c r="H3790" s="17">
        <f>Planning[[#This Row],[Horas Precálculo]]</f>
        <v>220</v>
      </c>
      <c r="I3790" s="18"/>
      <c r="J3790" s="14" t="e">
        <f>+SUMIFS(#REF!,#REF!,Planning[[#This Row],[Tarifa]],#REF!,Planning[[#This Row],[Proyectos]])</f>
        <v>#REF!</v>
      </c>
      <c r="K3790" s="14" t="e">
        <f>+Planning[[#This Row],[Horas Planificadas]]+Planning[[#This Row],[Horas ajustadas adicionales]]-Planning[[#This Row],[Horas utilizadas]]</f>
        <v>#REF!</v>
      </c>
      <c r="L3790" s="15">
        <v>0</v>
      </c>
      <c r="M3790" s="16" t="e">
        <f>Planning[[#This Row],[Saldo]]-Planning[[#This Row],[Saldo estimado]]</f>
        <v>#REF!</v>
      </c>
      <c r="N3790" s="60" t="e">
        <f>+SUMIFS(#REF!,#REF!,Planning[[#This Row],[Proyectos]],#REF!,Planning[[#This Row],[Tipo de Tarea y especialidad]])</f>
        <v>#REF!</v>
      </c>
      <c r="O3790" s="16">
        <f t="shared" si="118"/>
        <v>10</v>
      </c>
      <c r="P3790" s="16">
        <f t="shared" si="119"/>
        <v>2024</v>
      </c>
      <c r="Q3790" s="16" t="e">
        <f>+SUMIFS(#REF!,#REF!,Planning[[#This Row],[Tarifa]],#REF!,Planning[[#This Row],[Proyectos]],#REF!,Planning[[#This Row],[Mes]],#REF!,Planning[[#This Row],[Año]])</f>
        <v>#REF!</v>
      </c>
      <c r="R3790" s="16" t="str">
        <f>TEXT(Planning[[#This Row],[Mes]]*29,"mmmm")</f>
        <v>October</v>
      </c>
      <c r="S37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90" s="210"/>
      <c r="U3790" s="43" t="e">
        <f>IF(Planning[[#This Row],[Horas Planificadas]]&lt;&gt;0,+K3790/Planning[[#This Row],[Horas Planificadas]],0)</f>
        <v>#REF!</v>
      </c>
      <c r="V3790" s="43" t="e">
        <f>IF(Planning[[#This Row],[Horas Planificadas]]&lt;&gt;0,Planning[[#This Row],[Horas utilizadas]]/Planning[[#This Row],[Horas Planificadas]],0)</f>
        <v>#REF!</v>
      </c>
      <c r="W3790" s="44">
        <f>Planning[[#This Row],[Horas Planificadas]]+Planning[[#This Row],[Horas ajustadas adicionales]]</f>
        <v>220</v>
      </c>
      <c r="X3790" s="142"/>
    </row>
    <row r="3791" spans="1:24" ht="22.5" x14ac:dyDescent="0.2">
      <c r="A3791" s="7" t="s">
        <v>117</v>
      </c>
      <c r="B3791" s="7" t="s">
        <v>178</v>
      </c>
      <c r="C3791" s="3"/>
      <c r="D3791" s="3" t="s">
        <v>674</v>
      </c>
      <c r="E3791" s="4" t="s">
        <v>32</v>
      </c>
      <c r="F3791" s="3"/>
      <c r="G3791" s="9">
        <v>380</v>
      </c>
      <c r="H3791" s="14">
        <f>SUM(H3792:H3794)</f>
        <v>380</v>
      </c>
      <c r="I3791" s="14"/>
      <c r="J3791" s="14" t="e">
        <f>SUM(J3792:J3794)</f>
        <v>#REF!</v>
      </c>
      <c r="K3791" s="14" t="e">
        <f>+Planning[[#This Row],[Horas Planificadas]]+Planning[[#This Row],[Horas ajustadas adicionales]]-Planning[[#This Row],[Horas utilizadas]]</f>
        <v>#REF!</v>
      </c>
      <c r="L3791" s="15">
        <f>SUM(L3792:L3794)</f>
        <v>0</v>
      </c>
      <c r="M3791" s="16" t="e">
        <f>SUM(M3792:M3794)</f>
        <v>#REF!</v>
      </c>
      <c r="N3791" s="60" t="e">
        <f>+SUMIFS(#REF!,#REF!,Planning[[#This Row],[Proyectos]],#REF!,Planning[[#This Row],[Tipo de Tarea y especialidad]])</f>
        <v>#REF!</v>
      </c>
      <c r="O3791" s="16">
        <f t="shared" si="118"/>
        <v>10</v>
      </c>
      <c r="P3791" s="16">
        <f t="shared" si="119"/>
        <v>2024</v>
      </c>
      <c r="Q3791" s="16" t="e">
        <f>SUM(Q3792:Q3794)</f>
        <v>#REF!</v>
      </c>
      <c r="R3791" s="16" t="str">
        <f>TEXT(Planning[[#This Row],[Mes]]*29,"mmmm")</f>
        <v>October</v>
      </c>
      <c r="S37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91" s="210"/>
      <c r="U3791" s="43" t="e">
        <f>IF(Planning[[#This Row],[Horas Planificadas]]&lt;&gt;0,+K3791/Planning[[#This Row],[Horas Planificadas]],0)</f>
        <v>#REF!</v>
      </c>
      <c r="V3791" s="43" t="e">
        <f>IF(Planning[[#This Row],[Horas Planificadas]]&lt;&gt;0,Planning[[#This Row],[Horas utilizadas]]/Planning[[#This Row],[Horas Planificadas]],0)</f>
        <v>#REF!</v>
      </c>
      <c r="W3791" s="44">
        <f>Planning[[#This Row],[Horas Planificadas]]+Planning[[#This Row],[Horas ajustadas adicionales]]</f>
        <v>380</v>
      </c>
      <c r="X3791" s="142"/>
    </row>
    <row r="3792" spans="1:24" x14ac:dyDescent="0.2">
      <c r="A3792" s="7" t="s">
        <v>117</v>
      </c>
      <c r="B3792" s="7" t="s">
        <v>178</v>
      </c>
      <c r="C3792" s="3"/>
      <c r="D3792" s="3" t="s">
        <v>674</v>
      </c>
      <c r="E3792" s="4"/>
      <c r="F3792" s="3" t="s">
        <v>129</v>
      </c>
      <c r="G3792" s="9">
        <v>0</v>
      </c>
      <c r="H3792" s="9">
        <v>0</v>
      </c>
      <c r="I3792" s="12"/>
      <c r="J3792" s="5" t="e">
        <f>SUM(SUMIFS(#REF!,#REF!,Planning[[#This Row],[Tipo de Tarea y especialidad]],#REF!,Planning[[#This Row],[Proyectos Reiwa]]),SUMIFS(#REF!,#REF!,Planning[[#This Row],[Tipo de Tarea y especialidad]],#REF!,Planning[[#This Row],[Proyectos]]))</f>
        <v>#REF!</v>
      </c>
      <c r="K3792" s="5" t="e">
        <f>+Planning[[#This Row],[Horas Planificadas]]+Planning[[#This Row],[Horas ajustadas adicionales]]-Planning[[#This Row],[Horas utilizadas]]</f>
        <v>#REF!</v>
      </c>
      <c r="L3792" s="7">
        <v>0</v>
      </c>
      <c r="M3792" s="19" t="e">
        <f>Planning[[#This Row],[Saldo]]-Planning[[#This Row],[Saldo estimado]]</f>
        <v>#REF!</v>
      </c>
      <c r="N3792" s="60" t="e">
        <f>+SUMIFS(#REF!,#REF!,Planning[[#This Row],[Proyectos]],#REF!,Planning[[#This Row],[Tipo de Tarea y especialidad]])</f>
        <v>#REF!</v>
      </c>
      <c r="O3792" s="19">
        <f t="shared" si="118"/>
        <v>10</v>
      </c>
      <c r="P3792" s="19">
        <f t="shared" si="119"/>
        <v>2024</v>
      </c>
      <c r="Q37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92" s="19" t="str">
        <f>TEXT(Planning[[#This Row],[Mes]]*29,"mmmm")</f>
        <v>October</v>
      </c>
      <c r="S37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92" s="210"/>
      <c r="U3792" s="43">
        <f>IF(Planning[[#This Row],[Horas Planificadas]]&lt;&gt;0,+K3792/Planning[[#This Row],[Horas Planificadas]],0)</f>
        <v>0</v>
      </c>
      <c r="V3792" s="43">
        <f>IF(Planning[[#This Row],[Horas Planificadas]]&lt;&gt;0,Planning[[#This Row],[Horas utilizadas]]/Planning[[#This Row],[Horas Planificadas]],0)</f>
        <v>0</v>
      </c>
      <c r="W3792" s="44">
        <f>Planning[[#This Row],[Horas Planificadas]]+Planning[[#This Row],[Horas ajustadas adicionales]]</f>
        <v>0</v>
      </c>
      <c r="X3792" s="142"/>
    </row>
    <row r="3793" spans="1:24" x14ac:dyDescent="0.2">
      <c r="A3793" s="7" t="s">
        <v>117</v>
      </c>
      <c r="B3793" s="7" t="s">
        <v>178</v>
      </c>
      <c r="C3793" s="3"/>
      <c r="D3793" s="3" t="s">
        <v>674</v>
      </c>
      <c r="E3793" s="4"/>
      <c r="F3793" s="3" t="s">
        <v>130</v>
      </c>
      <c r="G3793" s="9">
        <v>380</v>
      </c>
      <c r="H3793" s="9">
        <v>380</v>
      </c>
      <c r="I3793" s="12"/>
      <c r="J3793" s="5" t="e">
        <f>SUM(SUMIFS(#REF!,#REF!,Planning[[#This Row],[Tipo de Tarea y especialidad]],#REF!,Planning[[#This Row],[Proyectos Reiwa]]),SUMIFS(#REF!,#REF!,Planning[[#This Row],[Tipo de Tarea y especialidad]],#REF!,Planning[[#This Row],[Proyectos]]))</f>
        <v>#REF!</v>
      </c>
      <c r="K3793" s="5" t="e">
        <f>+Planning[[#This Row],[Horas Planificadas]]+Planning[[#This Row],[Horas ajustadas adicionales]]-Planning[[#This Row],[Horas utilizadas]]</f>
        <v>#REF!</v>
      </c>
      <c r="L3793" s="7">
        <v>0</v>
      </c>
      <c r="M3793" s="19" t="e">
        <f>Planning[[#This Row],[Saldo]]-Planning[[#This Row],[Saldo estimado]]</f>
        <v>#REF!</v>
      </c>
      <c r="N3793" s="60" t="e">
        <f>+SUMIFS(#REF!,#REF!,Planning[[#This Row],[Proyectos]],#REF!,Planning[[#This Row],[Tipo de Tarea y especialidad]])</f>
        <v>#REF!</v>
      </c>
      <c r="O3793" s="19">
        <f t="shared" si="118"/>
        <v>10</v>
      </c>
      <c r="P3793" s="19">
        <f t="shared" si="119"/>
        <v>2024</v>
      </c>
      <c r="Q37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93" s="19" t="str">
        <f>TEXT(Planning[[#This Row],[Mes]]*29,"mmmm")</f>
        <v>October</v>
      </c>
      <c r="S37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93" s="210"/>
      <c r="U3793" s="43" t="e">
        <f>IF(Planning[[#This Row],[Horas Planificadas]]&lt;&gt;0,+K3793/Planning[[#This Row],[Horas Planificadas]],0)</f>
        <v>#REF!</v>
      </c>
      <c r="V3793" s="43" t="e">
        <f>IF(Planning[[#This Row],[Horas Planificadas]]&lt;&gt;0,Planning[[#This Row],[Horas utilizadas]]/Planning[[#This Row],[Horas Planificadas]],0)</f>
        <v>#REF!</v>
      </c>
      <c r="W3793" s="44">
        <f>Planning[[#This Row],[Horas Planificadas]]+Planning[[#This Row],[Horas ajustadas adicionales]]</f>
        <v>380</v>
      </c>
      <c r="X3793" s="142"/>
    </row>
    <row r="3794" spans="1:24" x14ac:dyDescent="0.2">
      <c r="A3794" s="7" t="s">
        <v>117</v>
      </c>
      <c r="B3794" s="7" t="s">
        <v>178</v>
      </c>
      <c r="C3794" s="3"/>
      <c r="D3794" s="3" t="s">
        <v>674</v>
      </c>
      <c r="E3794" s="4"/>
      <c r="F3794" s="3" t="s">
        <v>131</v>
      </c>
      <c r="G3794" s="9">
        <v>0</v>
      </c>
      <c r="H3794" s="9">
        <v>0</v>
      </c>
      <c r="I3794" s="12"/>
      <c r="J3794" s="5" t="e">
        <f>SUM(SUMIFS(#REF!,#REF!,Planning[[#This Row],[Tipo de Tarea y especialidad]],#REF!,Planning[[#This Row],[Proyectos Reiwa]]),SUMIFS(#REF!,#REF!,Planning[[#This Row],[Tipo de Tarea y especialidad]],#REF!,Planning[[#This Row],[Proyectos]]))</f>
        <v>#REF!</v>
      </c>
      <c r="K3794" s="5" t="e">
        <f>+Planning[[#This Row],[Horas Planificadas]]+Planning[[#This Row],[Horas ajustadas adicionales]]-Planning[[#This Row],[Horas utilizadas]]</f>
        <v>#REF!</v>
      </c>
      <c r="L3794" s="7">
        <v>0</v>
      </c>
      <c r="M3794" s="19" t="e">
        <f>Planning[[#This Row],[Saldo]]-Planning[[#This Row],[Saldo estimado]]</f>
        <v>#REF!</v>
      </c>
      <c r="N3794" s="60" t="e">
        <f>+SUMIFS(#REF!,#REF!,Planning[[#This Row],[Proyectos]],#REF!,Planning[[#This Row],[Tipo de Tarea y especialidad]])</f>
        <v>#REF!</v>
      </c>
      <c r="O3794" s="19">
        <f t="shared" si="118"/>
        <v>10</v>
      </c>
      <c r="P3794" s="19">
        <f t="shared" si="119"/>
        <v>2024</v>
      </c>
      <c r="Q37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94" s="19" t="str">
        <f>TEXT(Planning[[#This Row],[Mes]]*29,"mmmm")</f>
        <v>October</v>
      </c>
      <c r="S37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94" s="210"/>
      <c r="U3794" s="43">
        <f>IF(Planning[[#This Row],[Horas Planificadas]]&lt;&gt;0,+K3794/Planning[[#This Row],[Horas Planificadas]],0)</f>
        <v>0</v>
      </c>
      <c r="V3794" s="43">
        <f>IF(Planning[[#This Row],[Horas Planificadas]]&lt;&gt;0,Planning[[#This Row],[Horas utilizadas]]/Planning[[#This Row],[Horas Planificadas]],0)</f>
        <v>0</v>
      </c>
      <c r="W3794" s="44">
        <f>Planning[[#This Row],[Horas Planificadas]]+Planning[[#This Row],[Horas ajustadas adicionales]]</f>
        <v>0</v>
      </c>
      <c r="X3794" s="142"/>
    </row>
    <row r="3795" spans="1:24" ht="22.5" x14ac:dyDescent="0.2">
      <c r="A3795" s="7" t="s">
        <v>435</v>
      </c>
      <c r="B3795" s="7" t="s">
        <v>463</v>
      </c>
      <c r="C3795" s="3">
        <v>116878</v>
      </c>
      <c r="D3795" s="3" t="s">
        <v>676</v>
      </c>
      <c r="E3795" s="4" t="s">
        <v>28</v>
      </c>
      <c r="F3795" s="3"/>
      <c r="G3795" s="9">
        <v>230</v>
      </c>
      <c r="H3795" s="14">
        <f>SUM(H3796:H3797)</f>
        <v>230</v>
      </c>
      <c r="I3795" s="14"/>
      <c r="J3795" s="14" t="e">
        <f>SUM(J3796:J3797)</f>
        <v>#REF!</v>
      </c>
      <c r="K3795" s="14" t="e">
        <f>+Planning[[#This Row],[Horas Planificadas]]+Planning[[#This Row],[Horas ajustadas adicionales]]-Planning[[#This Row],[Horas utilizadas]]</f>
        <v>#REF!</v>
      </c>
      <c r="L3795" s="15">
        <f>SUM(L3796:L3797)</f>
        <v>18</v>
      </c>
      <c r="M3795" s="14" t="e">
        <f>SUM(M3796:M3797)</f>
        <v>#REF!</v>
      </c>
      <c r="N3795" s="66" t="e">
        <f>+SUMIFS(#REF!,#REF!,Planning[[#This Row],[Proyectos]],#REF!,Planning[[#This Row],[Tipo de Tarea y especialidad]])</f>
        <v>#REF!</v>
      </c>
      <c r="O3795" s="14">
        <f t="shared" si="118"/>
        <v>10</v>
      </c>
      <c r="P3795" s="14">
        <f t="shared" si="119"/>
        <v>2024</v>
      </c>
      <c r="Q3795" s="28" t="e">
        <f>SUM(Q3796:Q3797)</f>
        <v>#REF!</v>
      </c>
      <c r="R3795" s="28" t="str">
        <f>TEXT(Planning[[#This Row],[Mes]]*29,"mmmm")</f>
        <v>October</v>
      </c>
      <c r="S37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95" s="240" t="s">
        <v>677</v>
      </c>
      <c r="U3795" s="43" t="e">
        <f>IF(Planning[[#This Row],[Horas Planificadas]]&lt;&gt;0,+K3795/Planning[[#This Row],[Horas Planificadas]],0)</f>
        <v>#REF!</v>
      </c>
      <c r="V3795" s="43" t="e">
        <f>IF(Planning[[#This Row],[Horas Planificadas]]&lt;&gt;0,Planning[[#This Row],[Horas utilizadas]]/Planning[[#This Row],[Horas Planificadas]],0)</f>
        <v>#REF!</v>
      </c>
      <c r="W3795" s="44">
        <f>Planning[[#This Row],[Horas Planificadas]]+Planning[[#This Row],[Horas ajustadas adicionales]]</f>
        <v>230</v>
      </c>
      <c r="X3795" s="142"/>
    </row>
    <row r="3796" spans="1:24" x14ac:dyDescent="0.2">
      <c r="A3796" s="7" t="s">
        <v>435</v>
      </c>
      <c r="B3796" s="7" t="s">
        <v>463</v>
      </c>
      <c r="C3796" s="3">
        <v>116878</v>
      </c>
      <c r="D3796" s="3" t="s">
        <v>676</v>
      </c>
      <c r="E3796" s="4"/>
      <c r="F3796" s="3" t="s">
        <v>120</v>
      </c>
      <c r="G3796" s="9"/>
      <c r="H3796" s="9">
        <v>140</v>
      </c>
      <c r="I3796" s="12">
        <v>-130</v>
      </c>
      <c r="J3796" s="5" t="e">
        <f>SUM(SUMIFS(#REF!,#REF!,Planning[[#This Row],[Tipo de Tarea y especialidad]],#REF!,Planning[[#This Row],[Proyectos Reiwa]]),SUMIFS(#REF!,#REF!,Planning[[#This Row],[Tipo de Tarea y especialidad]],#REF!,Planning[[#This Row],[Proyectos]]))</f>
        <v>#REF!</v>
      </c>
      <c r="K3796" s="5" t="e">
        <f>+Planning[[#This Row],[Horas Planificadas]]+Planning[[#This Row],[Horas ajustadas adicionales]]-Planning[[#This Row],[Horas utilizadas]]</f>
        <v>#REF!</v>
      </c>
      <c r="L3796" s="7">
        <v>0</v>
      </c>
      <c r="M3796" s="19" t="e">
        <f>Planning[[#This Row],[Saldo]]-Planning[[#This Row],[Saldo estimado]]</f>
        <v>#REF!</v>
      </c>
      <c r="N3796" s="60" t="e">
        <f>+SUMIFS(#REF!,#REF!,Planning[[#This Row],[Proyectos]],#REF!,Planning[[#This Row],[Tipo de Tarea y especialidad]])</f>
        <v>#REF!</v>
      </c>
      <c r="O3796" s="19">
        <f t="shared" si="118"/>
        <v>10</v>
      </c>
      <c r="P3796" s="19">
        <f t="shared" si="119"/>
        <v>2024</v>
      </c>
      <c r="Q37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96" s="19" t="str">
        <f>TEXT(Planning[[#This Row],[Mes]]*29,"mmmm")</f>
        <v>October</v>
      </c>
      <c r="S37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96" s="210"/>
      <c r="U3796" s="43" t="e">
        <f>IF(Planning[[#This Row],[Horas Planificadas]]&lt;&gt;0,+K3796/Planning[[#This Row],[Horas Planificadas]],0)</f>
        <v>#REF!</v>
      </c>
      <c r="V3796" s="43" t="e">
        <f>IF(Planning[[#This Row],[Horas Planificadas]]&lt;&gt;0,Planning[[#This Row],[Horas utilizadas]]/Planning[[#This Row],[Horas Planificadas]],0)</f>
        <v>#REF!</v>
      </c>
      <c r="W3796" s="44">
        <f>Planning[[#This Row],[Horas Planificadas]]+Planning[[#This Row],[Horas ajustadas adicionales]]</f>
        <v>10</v>
      </c>
      <c r="X3796" s="142"/>
    </row>
    <row r="3797" spans="1:24" x14ac:dyDescent="0.2">
      <c r="A3797" s="7" t="s">
        <v>435</v>
      </c>
      <c r="B3797" s="7" t="s">
        <v>463</v>
      </c>
      <c r="C3797" s="3">
        <v>116878</v>
      </c>
      <c r="D3797" s="3" t="s">
        <v>676</v>
      </c>
      <c r="E3797" s="4"/>
      <c r="F3797" s="3" t="s">
        <v>121</v>
      </c>
      <c r="G3797" s="9"/>
      <c r="H3797" s="9">
        <v>90</v>
      </c>
      <c r="I3797" s="12"/>
      <c r="J3797" s="5" t="e">
        <f>SUM(SUMIFS(#REF!,#REF!,Planning[[#This Row],[Tipo de Tarea y especialidad]],#REF!,Planning[[#This Row],[Proyectos Reiwa]]),SUMIFS(#REF!,#REF!,Planning[[#This Row],[Tipo de Tarea y especialidad]],#REF!,Planning[[#This Row],[Proyectos]]))</f>
        <v>#REF!</v>
      </c>
      <c r="K3797" s="5" t="e">
        <f>+Planning[[#This Row],[Horas Planificadas]]+Planning[[#This Row],[Horas ajustadas adicionales]]-Planning[[#This Row],[Horas utilizadas]]</f>
        <v>#REF!</v>
      </c>
      <c r="L3797" s="7">
        <v>18</v>
      </c>
      <c r="M3797" s="19" t="e">
        <f>Planning[[#This Row],[Saldo]]-Planning[[#This Row],[Saldo estimado]]</f>
        <v>#REF!</v>
      </c>
      <c r="N3797" s="60" t="e">
        <f>+SUMIFS(#REF!,#REF!,Planning[[#This Row],[Proyectos]],#REF!,Planning[[#This Row],[Tipo de Tarea y especialidad]])</f>
        <v>#REF!</v>
      </c>
      <c r="O3797" s="19">
        <f t="shared" si="118"/>
        <v>10</v>
      </c>
      <c r="P3797" s="19">
        <f t="shared" si="119"/>
        <v>2024</v>
      </c>
      <c r="Q37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97" s="19" t="str">
        <f>TEXT(Planning[[#This Row],[Mes]]*29,"mmmm")</f>
        <v>October</v>
      </c>
      <c r="S37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97" s="210"/>
      <c r="U3797" s="43" t="e">
        <f>IF(Planning[[#This Row],[Horas Planificadas]]&lt;&gt;0,+K3797/Planning[[#This Row],[Horas Planificadas]],0)</f>
        <v>#REF!</v>
      </c>
      <c r="V3797" s="43" t="e">
        <f>IF(Planning[[#This Row],[Horas Planificadas]]&lt;&gt;0,Planning[[#This Row],[Horas utilizadas]]/Planning[[#This Row],[Horas Planificadas]],0)</f>
        <v>#REF!</v>
      </c>
      <c r="W3797" s="44">
        <f>Planning[[#This Row],[Horas Planificadas]]+Planning[[#This Row],[Horas ajustadas adicionales]]</f>
        <v>90</v>
      </c>
      <c r="X3797" s="142"/>
    </row>
    <row r="3798" spans="1:24" x14ac:dyDescent="0.2">
      <c r="A3798" s="7" t="s">
        <v>435</v>
      </c>
      <c r="B3798" s="7" t="s">
        <v>463</v>
      </c>
      <c r="C3798" s="3">
        <v>116878</v>
      </c>
      <c r="D3798" s="3" t="s">
        <v>676</v>
      </c>
      <c r="E3798" s="4" t="s">
        <v>30</v>
      </c>
      <c r="F3798" s="3"/>
      <c r="G3798" s="9">
        <v>396</v>
      </c>
      <c r="H3798" s="14">
        <f>SUM(H3799:H3805)</f>
        <v>396</v>
      </c>
      <c r="I3798" s="14"/>
      <c r="J3798" s="14" t="e">
        <f>SUM(J3799:J3805)</f>
        <v>#REF!</v>
      </c>
      <c r="K3798" s="14" t="e">
        <f>+Planning[[#This Row],[Horas Planificadas]]+Planning[[#This Row],[Horas ajustadas adicionales]]-Planning[[#This Row],[Horas utilizadas]]</f>
        <v>#REF!</v>
      </c>
      <c r="L3798" s="15" t="e">
        <f>SUM(L3799:L3805)</f>
        <v>#REF!</v>
      </c>
      <c r="M3798" s="16" t="e">
        <f>SUM(M3799:M3805)</f>
        <v>#REF!</v>
      </c>
      <c r="N3798" s="60" t="e">
        <f>+SUMIFS(#REF!,#REF!,Planning[[#This Row],[Proyectos]],#REF!,Planning[[#This Row],[Tipo de Tarea y especialidad]])</f>
        <v>#REF!</v>
      </c>
      <c r="O3798" s="16">
        <f t="shared" si="118"/>
        <v>10</v>
      </c>
      <c r="P3798" s="16">
        <f t="shared" si="119"/>
        <v>2024</v>
      </c>
      <c r="Q3798" s="16" t="e">
        <f>SUM(Q3799:Q3805)</f>
        <v>#REF!</v>
      </c>
      <c r="R3798" s="16" t="str">
        <f>TEXT(Planning[[#This Row],[Mes]]*29,"mmmm")</f>
        <v>October</v>
      </c>
      <c r="S37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98" s="210"/>
      <c r="U3798" s="43" t="e">
        <f>IF(Planning[[#This Row],[Horas Planificadas]]&lt;&gt;0,+K3798/Planning[[#This Row],[Horas Planificadas]],0)</f>
        <v>#REF!</v>
      </c>
      <c r="V3798" s="43" t="e">
        <f>IF(Planning[[#This Row],[Horas Planificadas]]&lt;&gt;0,Planning[[#This Row],[Horas utilizadas]]/Planning[[#This Row],[Horas Planificadas]],0)</f>
        <v>#REF!</v>
      </c>
      <c r="W3798" s="44">
        <f>Planning[[#This Row],[Horas Planificadas]]+Planning[[#This Row],[Horas ajustadas adicionales]]</f>
        <v>396</v>
      </c>
      <c r="X3798" s="142"/>
    </row>
    <row r="3799" spans="1:24" x14ac:dyDescent="0.2">
      <c r="A3799" s="7" t="s">
        <v>435</v>
      </c>
      <c r="B3799" s="7" t="s">
        <v>463</v>
      </c>
      <c r="C3799" s="3">
        <v>116878</v>
      </c>
      <c r="D3799" s="3" t="s">
        <v>676</v>
      </c>
      <c r="E3799" s="4"/>
      <c r="F3799" s="3" t="s">
        <v>122</v>
      </c>
      <c r="G3799" s="9"/>
      <c r="H3799" s="9"/>
      <c r="I3799" s="12"/>
      <c r="J3799" s="5" t="e">
        <f>SUM(SUMIFS(#REF!,#REF!,Planning[[#This Row],[Tipo de Tarea y especialidad]],#REF!,Planning[[#This Row],[Proyectos Reiwa]]),SUMIFS(#REF!,#REF!,Planning[[#This Row],[Tipo de Tarea y especialidad]],#REF!,Planning[[#This Row],[Proyectos]]))</f>
        <v>#REF!</v>
      </c>
      <c r="K3799" s="5" t="e">
        <f>+Planning[[#This Row],[Horas Planificadas]]+Planning[[#This Row],[Horas ajustadas adicionales]]-Planning[[#This Row],[Horas utilizadas]]</f>
        <v>#REF!</v>
      </c>
      <c r="L3799" s="7"/>
      <c r="M3799" s="19" t="e">
        <f>Planning[[#This Row],[Saldo]]-Planning[[#This Row],[Saldo estimado]]</f>
        <v>#REF!</v>
      </c>
      <c r="N3799" s="60" t="e">
        <f>+SUMIFS(#REF!,#REF!,Planning[[#This Row],[Proyectos]],#REF!,Planning[[#This Row],[Tipo de Tarea y especialidad]])</f>
        <v>#REF!</v>
      </c>
      <c r="O3799" s="19">
        <f t="shared" si="118"/>
        <v>10</v>
      </c>
      <c r="P3799" s="19">
        <f t="shared" si="119"/>
        <v>2024</v>
      </c>
      <c r="Q37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799" s="19" t="str">
        <f>TEXT(Planning[[#This Row],[Mes]]*29,"mmmm")</f>
        <v>October</v>
      </c>
      <c r="S37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799" s="210"/>
      <c r="U3799" s="43">
        <f>IF(Planning[[#This Row],[Horas Planificadas]]&lt;&gt;0,+K3799/Planning[[#This Row],[Horas Planificadas]],0)</f>
        <v>0</v>
      </c>
      <c r="V3799" s="43">
        <f>IF(Planning[[#This Row],[Horas Planificadas]]&lt;&gt;0,Planning[[#This Row],[Horas utilizadas]]/Planning[[#This Row],[Horas Planificadas]],0)</f>
        <v>0</v>
      </c>
      <c r="W3799" s="44">
        <f>Planning[[#This Row],[Horas Planificadas]]+Planning[[#This Row],[Horas ajustadas adicionales]]</f>
        <v>0</v>
      </c>
      <c r="X3799" s="142"/>
    </row>
    <row r="3800" spans="1:24" x14ac:dyDescent="0.2">
      <c r="A3800" s="7" t="s">
        <v>435</v>
      </c>
      <c r="B3800" s="7" t="s">
        <v>463</v>
      </c>
      <c r="C3800" s="3">
        <v>116878</v>
      </c>
      <c r="D3800" s="3" t="s">
        <v>676</v>
      </c>
      <c r="E3800" s="4"/>
      <c r="F3800" s="3" t="s">
        <v>123</v>
      </c>
      <c r="G3800" s="9"/>
      <c r="H3800" s="9">
        <v>225</v>
      </c>
      <c r="I3800" s="12"/>
      <c r="J3800" s="5" t="e">
        <f>SUM(SUMIFS(#REF!,#REF!,Planning[[#This Row],[Tipo de Tarea y especialidad]],#REF!,Planning[[#This Row],[Proyectos Reiwa]]),SUMIFS(#REF!,#REF!,Planning[[#This Row],[Tipo de Tarea y especialidad]],#REF!,Planning[[#This Row],[Proyectos]]))</f>
        <v>#REF!</v>
      </c>
      <c r="K3800" s="5" t="e">
        <f>+Planning[[#This Row],[Horas Planificadas]]+Planning[[#This Row],[Horas ajustadas adicionales]]-Planning[[#This Row],[Horas utilizadas]]</f>
        <v>#REF!</v>
      </c>
      <c r="L3800" s="7" t="e">
        <f>Planning[[#This Row],[Saldo]]</f>
        <v>#REF!</v>
      </c>
      <c r="M3800" s="19" t="e">
        <f>Planning[[#This Row],[Saldo]]-Planning[[#This Row],[Saldo estimado]]</f>
        <v>#REF!</v>
      </c>
      <c r="N3800" s="60" t="e">
        <f>+SUMIFS(#REF!,#REF!,Planning[[#This Row],[Proyectos]],#REF!,Planning[[#This Row],[Tipo de Tarea y especialidad]])</f>
        <v>#REF!</v>
      </c>
      <c r="O3800" s="19">
        <f t="shared" si="118"/>
        <v>10</v>
      </c>
      <c r="P3800" s="19">
        <f t="shared" si="119"/>
        <v>2024</v>
      </c>
      <c r="Q38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00" s="19" t="str">
        <f>TEXT(Planning[[#This Row],[Mes]]*29,"mmmm")</f>
        <v>October</v>
      </c>
      <c r="S38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00" s="210"/>
      <c r="U3800" s="43" t="e">
        <f>IF(Planning[[#This Row],[Horas Planificadas]]&lt;&gt;0,+K3800/Planning[[#This Row],[Horas Planificadas]],0)</f>
        <v>#REF!</v>
      </c>
      <c r="V3800" s="43" t="e">
        <f>IF(Planning[[#This Row],[Horas Planificadas]]&lt;&gt;0,Planning[[#This Row],[Horas utilizadas]]/Planning[[#This Row],[Horas Planificadas]],0)</f>
        <v>#REF!</v>
      </c>
      <c r="W3800" s="44">
        <f>Planning[[#This Row],[Horas Planificadas]]+Planning[[#This Row],[Horas ajustadas adicionales]]</f>
        <v>225</v>
      </c>
      <c r="X3800" s="142"/>
    </row>
    <row r="3801" spans="1:24" x14ac:dyDescent="0.2">
      <c r="A3801" s="7" t="s">
        <v>435</v>
      </c>
      <c r="B3801" s="7" t="s">
        <v>463</v>
      </c>
      <c r="C3801" s="3">
        <v>116878</v>
      </c>
      <c r="D3801" s="3" t="s">
        <v>676</v>
      </c>
      <c r="E3801" s="4"/>
      <c r="F3801" s="3" t="s">
        <v>124</v>
      </c>
      <c r="G3801" s="9"/>
      <c r="H3801" s="9"/>
      <c r="I3801" s="12"/>
      <c r="J3801" s="5" t="e">
        <f>SUM(SUMIFS(#REF!,#REF!,Planning[[#This Row],[Tipo de Tarea y especialidad]],#REF!,Planning[[#This Row],[Proyectos Reiwa]]),SUMIFS(#REF!,#REF!,Planning[[#This Row],[Tipo de Tarea y especialidad]],#REF!,Planning[[#This Row],[Proyectos]]))</f>
        <v>#REF!</v>
      </c>
      <c r="K3801" s="5" t="e">
        <f>+Planning[[#This Row],[Horas Planificadas]]+Planning[[#This Row],[Horas ajustadas adicionales]]-Planning[[#This Row],[Horas utilizadas]]</f>
        <v>#REF!</v>
      </c>
      <c r="L3801" s="7"/>
      <c r="M3801" s="19" t="e">
        <f>Planning[[#This Row],[Saldo]]-Planning[[#This Row],[Saldo estimado]]</f>
        <v>#REF!</v>
      </c>
      <c r="N3801" s="60" t="e">
        <f>+SUMIFS(#REF!,#REF!,Planning[[#This Row],[Proyectos]],#REF!,Planning[[#This Row],[Tipo de Tarea y especialidad]])</f>
        <v>#REF!</v>
      </c>
      <c r="O3801" s="19">
        <f t="shared" si="118"/>
        <v>10</v>
      </c>
      <c r="P3801" s="19">
        <f t="shared" si="119"/>
        <v>2024</v>
      </c>
      <c r="Q38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01" s="19" t="str">
        <f>TEXT(Planning[[#This Row],[Mes]]*29,"mmmm")</f>
        <v>October</v>
      </c>
      <c r="S38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01" s="210"/>
      <c r="U3801" s="43">
        <f>IF(Planning[[#This Row],[Horas Planificadas]]&lt;&gt;0,+K3801/Planning[[#This Row],[Horas Planificadas]],0)</f>
        <v>0</v>
      </c>
      <c r="V3801" s="43">
        <f>IF(Planning[[#This Row],[Horas Planificadas]]&lt;&gt;0,Planning[[#This Row],[Horas utilizadas]]/Planning[[#This Row],[Horas Planificadas]],0)</f>
        <v>0</v>
      </c>
      <c r="W3801" s="44">
        <f>Planning[[#This Row],[Horas Planificadas]]+Planning[[#This Row],[Horas ajustadas adicionales]]</f>
        <v>0</v>
      </c>
      <c r="X3801" s="142"/>
    </row>
    <row r="3802" spans="1:24" x14ac:dyDescent="0.2">
      <c r="A3802" s="7" t="s">
        <v>435</v>
      </c>
      <c r="B3802" s="7" t="s">
        <v>463</v>
      </c>
      <c r="C3802" s="3">
        <v>116878</v>
      </c>
      <c r="D3802" s="3" t="s">
        <v>676</v>
      </c>
      <c r="E3802" s="4"/>
      <c r="F3802" s="3" t="s">
        <v>125</v>
      </c>
      <c r="G3802" s="9"/>
      <c r="H3802" s="9">
        <v>108</v>
      </c>
      <c r="I3802" s="12"/>
      <c r="J3802" s="5" t="e">
        <f>SUM(SUMIFS(#REF!,#REF!,Planning[[#This Row],[Tipo de Tarea y especialidad]],#REF!,Planning[[#This Row],[Proyectos Reiwa]]),SUMIFS(#REF!,#REF!,Planning[[#This Row],[Tipo de Tarea y especialidad]],#REF!,Planning[[#This Row],[Proyectos]]))</f>
        <v>#REF!</v>
      </c>
      <c r="K3802" s="5" t="e">
        <f>+Planning[[#This Row],[Horas Planificadas]]+Planning[[#This Row],[Horas ajustadas adicionales]]-Planning[[#This Row],[Horas utilizadas]]</f>
        <v>#REF!</v>
      </c>
      <c r="L3802" s="7">
        <v>18</v>
      </c>
      <c r="M3802" s="19" t="e">
        <f>Planning[[#This Row],[Saldo]]-Planning[[#This Row],[Saldo estimado]]</f>
        <v>#REF!</v>
      </c>
      <c r="N3802" s="60" t="e">
        <f>+SUMIFS(#REF!,#REF!,Planning[[#This Row],[Proyectos]],#REF!,Planning[[#This Row],[Tipo de Tarea y especialidad]])</f>
        <v>#REF!</v>
      </c>
      <c r="O3802" s="19">
        <f t="shared" si="118"/>
        <v>10</v>
      </c>
      <c r="P3802" s="19">
        <f t="shared" si="119"/>
        <v>2024</v>
      </c>
      <c r="Q38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02" s="19" t="str">
        <f>TEXT(Planning[[#This Row],[Mes]]*29,"mmmm")</f>
        <v>October</v>
      </c>
      <c r="S38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02" s="210"/>
      <c r="U3802" s="43" t="e">
        <f>IF(Planning[[#This Row],[Horas Planificadas]]&lt;&gt;0,+K3802/Planning[[#This Row],[Horas Planificadas]],0)</f>
        <v>#REF!</v>
      </c>
      <c r="V3802" s="43" t="e">
        <f>IF(Planning[[#This Row],[Horas Planificadas]]&lt;&gt;0,Planning[[#This Row],[Horas utilizadas]]/Planning[[#This Row],[Horas Planificadas]],0)</f>
        <v>#REF!</v>
      </c>
      <c r="W3802" s="44">
        <f>Planning[[#This Row],[Horas Planificadas]]+Planning[[#This Row],[Horas ajustadas adicionales]]</f>
        <v>108</v>
      </c>
      <c r="X3802" s="142"/>
    </row>
    <row r="3803" spans="1:24" x14ac:dyDescent="0.2">
      <c r="A3803" s="7" t="s">
        <v>435</v>
      </c>
      <c r="B3803" s="7" t="s">
        <v>463</v>
      </c>
      <c r="C3803" s="3">
        <v>116878</v>
      </c>
      <c r="D3803" s="3" t="s">
        <v>676</v>
      </c>
      <c r="E3803" s="4"/>
      <c r="F3803" s="3" t="s">
        <v>126</v>
      </c>
      <c r="G3803" s="9"/>
      <c r="H3803" s="9"/>
      <c r="I3803" s="12"/>
      <c r="J3803" s="5" t="e">
        <f>SUM(SUMIFS(#REF!,#REF!,Planning[[#This Row],[Tipo de Tarea y especialidad]],#REF!,Planning[[#This Row],[Proyectos Reiwa]]),SUMIFS(#REF!,#REF!,Planning[[#This Row],[Tipo de Tarea y especialidad]],#REF!,Planning[[#This Row],[Proyectos]]))</f>
        <v>#REF!</v>
      </c>
      <c r="K3803" s="5" t="e">
        <f>+Planning[[#This Row],[Horas Planificadas]]+Planning[[#This Row],[Horas ajustadas adicionales]]-Planning[[#This Row],[Horas utilizadas]]</f>
        <v>#REF!</v>
      </c>
      <c r="L3803" s="7"/>
      <c r="M3803" s="19" t="e">
        <f>Planning[[#This Row],[Saldo]]-Planning[[#This Row],[Saldo estimado]]</f>
        <v>#REF!</v>
      </c>
      <c r="N3803" s="60" t="e">
        <f>+SUMIFS(#REF!,#REF!,Planning[[#This Row],[Proyectos]],#REF!,Planning[[#This Row],[Tipo de Tarea y especialidad]])</f>
        <v>#REF!</v>
      </c>
      <c r="O3803" s="19">
        <f t="shared" si="118"/>
        <v>10</v>
      </c>
      <c r="P3803" s="19">
        <f t="shared" si="119"/>
        <v>2024</v>
      </c>
      <c r="Q38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03" s="19" t="str">
        <f>TEXT(Planning[[#This Row],[Mes]]*29,"mmmm")</f>
        <v>October</v>
      </c>
      <c r="S38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03" s="210"/>
      <c r="U3803" s="43">
        <f>IF(Planning[[#This Row],[Horas Planificadas]]&lt;&gt;0,+K3803/Planning[[#This Row],[Horas Planificadas]],0)</f>
        <v>0</v>
      </c>
      <c r="V3803" s="43">
        <f>IF(Planning[[#This Row],[Horas Planificadas]]&lt;&gt;0,Planning[[#This Row],[Horas utilizadas]]/Planning[[#This Row],[Horas Planificadas]],0)</f>
        <v>0</v>
      </c>
      <c r="W3803" s="44">
        <f>Planning[[#This Row],[Horas Planificadas]]+Planning[[#This Row],[Horas ajustadas adicionales]]</f>
        <v>0</v>
      </c>
      <c r="X3803" s="142"/>
    </row>
    <row r="3804" spans="1:24" x14ac:dyDescent="0.2">
      <c r="A3804" s="7" t="s">
        <v>435</v>
      </c>
      <c r="B3804" s="7" t="s">
        <v>463</v>
      </c>
      <c r="C3804" s="3">
        <v>116878</v>
      </c>
      <c r="D3804" s="3" t="s">
        <v>676</v>
      </c>
      <c r="E3804" s="4"/>
      <c r="F3804" s="3" t="s">
        <v>127</v>
      </c>
      <c r="G3804" s="9"/>
      <c r="H3804" s="9">
        <v>63</v>
      </c>
      <c r="I3804" s="12"/>
      <c r="J3804" s="5" t="e">
        <f>SUM(SUMIFS(#REF!,#REF!,Planning[[#This Row],[Tipo de Tarea y especialidad]],#REF!,Planning[[#This Row],[Proyectos Reiwa]]),SUMIFS(#REF!,#REF!,Planning[[#This Row],[Tipo de Tarea y especialidad]],#REF!,Planning[[#This Row],[Proyectos]]))</f>
        <v>#REF!</v>
      </c>
      <c r="K3804" s="5" t="e">
        <f>+Planning[[#This Row],[Horas Planificadas]]+Planning[[#This Row],[Horas ajustadas adicionales]]-Planning[[#This Row],[Horas utilizadas]]</f>
        <v>#REF!</v>
      </c>
      <c r="L3804" s="7">
        <v>0</v>
      </c>
      <c r="M3804" s="19" t="e">
        <f>Planning[[#This Row],[Saldo]]-Planning[[#This Row],[Saldo estimado]]</f>
        <v>#REF!</v>
      </c>
      <c r="N3804" s="60" t="e">
        <f>+SUMIFS(#REF!,#REF!,Planning[[#This Row],[Proyectos]],#REF!,Planning[[#This Row],[Tipo de Tarea y especialidad]])</f>
        <v>#REF!</v>
      </c>
      <c r="O3804" s="19">
        <f t="shared" si="118"/>
        <v>10</v>
      </c>
      <c r="P3804" s="19">
        <f t="shared" si="119"/>
        <v>2024</v>
      </c>
      <c r="Q38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04" s="19" t="str">
        <f>TEXT(Planning[[#This Row],[Mes]]*29,"mmmm")</f>
        <v>October</v>
      </c>
      <c r="S38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04" s="210"/>
      <c r="U3804" s="43" t="e">
        <f>IF(Planning[[#This Row],[Horas Planificadas]]&lt;&gt;0,+K3804/Planning[[#This Row],[Horas Planificadas]],0)</f>
        <v>#REF!</v>
      </c>
      <c r="V3804" s="43" t="e">
        <f>IF(Planning[[#This Row],[Horas Planificadas]]&lt;&gt;0,Planning[[#This Row],[Horas utilizadas]]/Planning[[#This Row],[Horas Planificadas]],0)</f>
        <v>#REF!</v>
      </c>
      <c r="W3804" s="44">
        <f>Planning[[#This Row],[Horas Planificadas]]+Planning[[#This Row],[Horas ajustadas adicionales]]</f>
        <v>63</v>
      </c>
      <c r="X3804" s="142"/>
    </row>
    <row r="3805" spans="1:24" x14ac:dyDescent="0.2">
      <c r="A3805" s="7" t="s">
        <v>435</v>
      </c>
      <c r="B3805" s="7" t="s">
        <v>463</v>
      </c>
      <c r="C3805" s="3">
        <v>116878</v>
      </c>
      <c r="D3805" s="3" t="s">
        <v>676</v>
      </c>
      <c r="E3805" s="4"/>
      <c r="F3805" s="3" t="s">
        <v>128</v>
      </c>
      <c r="G3805" s="9"/>
      <c r="H3805" s="9"/>
      <c r="I3805" s="12">
        <v>5</v>
      </c>
      <c r="J3805" s="5" t="e">
        <f>SUM(SUMIFS(#REF!,#REF!,Planning[[#This Row],[Tipo de Tarea y especialidad]],#REF!,Planning[[#This Row],[Proyectos Reiwa]]),SUMIFS(#REF!,#REF!,Planning[[#This Row],[Tipo de Tarea y especialidad]],#REF!,Planning[[#This Row],[Proyectos]]))</f>
        <v>#REF!</v>
      </c>
      <c r="K3805" s="5" t="e">
        <f>+Planning[[#This Row],[Horas Planificadas]]+Planning[[#This Row],[Horas ajustadas adicionales]]-Planning[[#This Row],[Horas utilizadas]]</f>
        <v>#REF!</v>
      </c>
      <c r="L3805" s="7">
        <v>0</v>
      </c>
      <c r="M3805" s="19" t="e">
        <f>Planning[[#This Row],[Saldo]]-Planning[[#This Row],[Saldo estimado]]</f>
        <v>#REF!</v>
      </c>
      <c r="N3805" s="60" t="e">
        <f>+SUMIFS(#REF!,#REF!,Planning[[#This Row],[Proyectos]],#REF!,Planning[[#This Row],[Tipo de Tarea y especialidad]])</f>
        <v>#REF!</v>
      </c>
      <c r="O3805" s="19">
        <f t="shared" si="118"/>
        <v>10</v>
      </c>
      <c r="P3805" s="19">
        <f t="shared" si="119"/>
        <v>2024</v>
      </c>
      <c r="Q38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05" s="19" t="str">
        <f>TEXT(Planning[[#This Row],[Mes]]*29,"mmmm")</f>
        <v>October</v>
      </c>
      <c r="S38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05" s="210"/>
      <c r="U3805" s="43">
        <f>IF(Planning[[#This Row],[Horas Planificadas]]&lt;&gt;0,+K3805/Planning[[#This Row],[Horas Planificadas]],0)</f>
        <v>0</v>
      </c>
      <c r="V3805" s="43">
        <f>IF(Planning[[#This Row],[Horas Planificadas]]&lt;&gt;0,Planning[[#This Row],[Horas utilizadas]]/Planning[[#This Row],[Horas Planificadas]],0)</f>
        <v>0</v>
      </c>
      <c r="W3805" s="44">
        <f>Planning[[#This Row],[Horas Planificadas]]+Planning[[#This Row],[Horas ajustadas adicionales]]</f>
        <v>5</v>
      </c>
      <c r="X3805" s="142"/>
    </row>
    <row r="3806" spans="1:24" x14ac:dyDescent="0.2">
      <c r="A3806" s="7" t="s">
        <v>435</v>
      </c>
      <c r="B3806" s="7" t="s">
        <v>463</v>
      </c>
      <c r="C3806" s="3">
        <v>116878</v>
      </c>
      <c r="D3806" s="3" t="s">
        <v>676</v>
      </c>
      <c r="E3806" s="4" t="s">
        <v>31</v>
      </c>
      <c r="F3806" s="3" t="s">
        <v>31</v>
      </c>
      <c r="G3806" s="9">
        <v>134</v>
      </c>
      <c r="H3806" s="17">
        <f>Planning[[#This Row],[Horas Precálculo]]</f>
        <v>134</v>
      </c>
      <c r="I3806" s="18">
        <v>4</v>
      </c>
      <c r="J3806" s="14" t="e">
        <f>+SUMIFS(#REF!,#REF!,Planning[[#This Row],[Tarifa]],#REF!,Planning[[#This Row],[Proyectos]])</f>
        <v>#REF!</v>
      </c>
      <c r="K3806" s="14" t="e">
        <f>+Planning[[#This Row],[Horas Planificadas]]+Planning[[#This Row],[Horas ajustadas adicionales]]-Planning[[#This Row],[Horas utilizadas]]</f>
        <v>#REF!</v>
      </c>
      <c r="L3806" s="15" t="e">
        <f>Planning[[#This Row],[Saldo]]</f>
        <v>#REF!</v>
      </c>
      <c r="M3806" s="16" t="e">
        <f>Planning[[#This Row],[Saldo]]-Planning[[#This Row],[Saldo estimado]]</f>
        <v>#REF!</v>
      </c>
      <c r="N3806" s="60" t="e">
        <f>+SUMIFS(#REF!,#REF!,Planning[[#This Row],[Proyectos]],#REF!,Planning[[#This Row],[Tipo de Tarea y especialidad]])</f>
        <v>#REF!</v>
      </c>
      <c r="O3806" s="16">
        <f t="shared" si="118"/>
        <v>10</v>
      </c>
      <c r="P3806" s="16">
        <f t="shared" si="119"/>
        <v>2024</v>
      </c>
      <c r="Q3806" s="16" t="e">
        <f>+SUMIFS(#REF!,#REF!,Planning[[#This Row],[Tarifa]],#REF!,Planning[[#This Row],[Proyectos]],#REF!,Planning[[#This Row],[Mes]],#REF!,Planning[[#This Row],[Año]])</f>
        <v>#REF!</v>
      </c>
      <c r="R3806" s="16" t="str">
        <f>TEXT(Planning[[#This Row],[Mes]]*29,"mmmm")</f>
        <v>October</v>
      </c>
      <c r="S38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06" s="210"/>
      <c r="U3806" s="43" t="e">
        <f>IF(Planning[[#This Row],[Horas Planificadas]]&lt;&gt;0,+K3806/Planning[[#This Row],[Horas Planificadas]],0)</f>
        <v>#REF!</v>
      </c>
      <c r="V3806" s="43" t="e">
        <f>IF(Planning[[#This Row],[Horas Planificadas]]&lt;&gt;0,Planning[[#This Row],[Horas utilizadas]]/Planning[[#This Row],[Horas Planificadas]],0)</f>
        <v>#REF!</v>
      </c>
      <c r="W3806" s="44">
        <f>Planning[[#This Row],[Horas Planificadas]]+Planning[[#This Row],[Horas ajustadas adicionales]]</f>
        <v>138</v>
      </c>
      <c r="X3806" s="142"/>
    </row>
    <row r="3807" spans="1:24" ht="22.5" x14ac:dyDescent="0.2">
      <c r="A3807" s="7" t="s">
        <v>435</v>
      </c>
      <c r="B3807" s="7" t="s">
        <v>463</v>
      </c>
      <c r="C3807" s="3">
        <v>116878</v>
      </c>
      <c r="D3807" s="3" t="s">
        <v>676</v>
      </c>
      <c r="E3807" s="4" t="s">
        <v>32</v>
      </c>
      <c r="F3807" s="3"/>
      <c r="G3807" s="9">
        <v>160</v>
      </c>
      <c r="H3807" s="14">
        <f>SUM(H3808:H3810)</f>
        <v>160</v>
      </c>
      <c r="I3807" s="14"/>
      <c r="J3807" s="14" t="e">
        <f>SUM(J3808:J3810)</f>
        <v>#REF!</v>
      </c>
      <c r="K3807" s="14" t="e">
        <f>+Planning[[#This Row],[Horas Planificadas]]+Planning[[#This Row],[Horas ajustadas adicionales]]-Planning[[#This Row],[Horas utilizadas]]</f>
        <v>#REF!</v>
      </c>
      <c r="L3807" s="15">
        <v>0</v>
      </c>
      <c r="M3807" s="16" t="e">
        <f>SUM(M3808:M3810)</f>
        <v>#REF!</v>
      </c>
      <c r="N3807" s="60" t="e">
        <f>+SUMIFS(#REF!,#REF!,Planning[[#This Row],[Proyectos]],#REF!,Planning[[#This Row],[Tipo de Tarea y especialidad]])</f>
        <v>#REF!</v>
      </c>
      <c r="O3807" s="16">
        <f t="shared" si="118"/>
        <v>10</v>
      </c>
      <c r="P3807" s="16">
        <f t="shared" si="119"/>
        <v>2024</v>
      </c>
      <c r="Q3807" s="16" t="e">
        <f>SUM(Q3808:Q3810)</f>
        <v>#REF!</v>
      </c>
      <c r="R3807" s="16" t="str">
        <f>TEXT(Planning[[#This Row],[Mes]]*29,"mmmm")</f>
        <v>October</v>
      </c>
      <c r="S38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07" s="210"/>
      <c r="U3807" s="43" t="e">
        <f>IF(Planning[[#This Row],[Horas Planificadas]]&lt;&gt;0,+K3807/Planning[[#This Row],[Horas Planificadas]],0)</f>
        <v>#REF!</v>
      </c>
      <c r="V3807" s="43" t="e">
        <f>IF(Planning[[#This Row],[Horas Planificadas]]&lt;&gt;0,Planning[[#This Row],[Horas utilizadas]]/Planning[[#This Row],[Horas Planificadas]],0)</f>
        <v>#REF!</v>
      </c>
      <c r="W3807" s="44">
        <f>Planning[[#This Row],[Horas Planificadas]]+Planning[[#This Row],[Horas ajustadas adicionales]]</f>
        <v>160</v>
      </c>
      <c r="X3807" s="142"/>
    </row>
    <row r="3808" spans="1:24" x14ac:dyDescent="0.2">
      <c r="A3808" s="7" t="s">
        <v>435</v>
      </c>
      <c r="B3808" s="7" t="s">
        <v>463</v>
      </c>
      <c r="C3808" s="3">
        <v>116878</v>
      </c>
      <c r="D3808" s="3" t="s">
        <v>676</v>
      </c>
      <c r="E3808" s="4"/>
      <c r="F3808" s="3" t="s">
        <v>129</v>
      </c>
      <c r="G3808" s="9"/>
      <c r="H3808" s="9"/>
      <c r="I3808" s="12"/>
      <c r="J3808" s="5" t="e">
        <f>SUM(SUMIFS(#REF!,#REF!,Planning[[#This Row],[Tipo de Tarea y especialidad]],#REF!,Planning[[#This Row],[Proyectos Reiwa]]),SUMIFS(#REF!,#REF!,Planning[[#This Row],[Tipo de Tarea y especialidad]],#REF!,Planning[[#This Row],[Proyectos]]))</f>
        <v>#REF!</v>
      </c>
      <c r="K3808" s="5" t="e">
        <f>+Planning[[#This Row],[Horas Planificadas]]+Planning[[#This Row],[Horas ajustadas adicionales]]-Planning[[#This Row],[Horas utilizadas]]</f>
        <v>#REF!</v>
      </c>
      <c r="L3808" s="7"/>
      <c r="M3808" s="19" t="e">
        <f>Planning[[#This Row],[Saldo]]-Planning[[#This Row],[Saldo estimado]]</f>
        <v>#REF!</v>
      </c>
      <c r="N3808" s="60" t="e">
        <f>+SUMIFS(#REF!,#REF!,Planning[[#This Row],[Proyectos]],#REF!,Planning[[#This Row],[Tipo de Tarea y especialidad]])</f>
        <v>#REF!</v>
      </c>
      <c r="O3808" s="19">
        <f t="shared" si="118"/>
        <v>10</v>
      </c>
      <c r="P3808" s="19">
        <f t="shared" si="119"/>
        <v>2024</v>
      </c>
      <c r="Q38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08" s="19" t="str">
        <f>TEXT(Planning[[#This Row],[Mes]]*29,"mmmm")</f>
        <v>October</v>
      </c>
      <c r="S38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08" s="210"/>
      <c r="U3808" s="43">
        <f>IF(Planning[[#This Row],[Horas Planificadas]]&lt;&gt;0,+K3808/Planning[[#This Row],[Horas Planificadas]],0)</f>
        <v>0</v>
      </c>
      <c r="V3808" s="43">
        <f>IF(Planning[[#This Row],[Horas Planificadas]]&lt;&gt;0,Planning[[#This Row],[Horas utilizadas]]/Planning[[#This Row],[Horas Planificadas]],0)</f>
        <v>0</v>
      </c>
      <c r="W3808" s="44">
        <f>Planning[[#This Row],[Horas Planificadas]]+Planning[[#This Row],[Horas ajustadas adicionales]]</f>
        <v>0</v>
      </c>
      <c r="X3808" s="142"/>
    </row>
    <row r="3809" spans="1:24" x14ac:dyDescent="0.2">
      <c r="A3809" s="7" t="s">
        <v>435</v>
      </c>
      <c r="B3809" s="7" t="s">
        <v>463</v>
      </c>
      <c r="C3809" s="3">
        <v>116878</v>
      </c>
      <c r="D3809" s="3" t="s">
        <v>676</v>
      </c>
      <c r="E3809" s="4"/>
      <c r="F3809" s="3" t="s">
        <v>130</v>
      </c>
      <c r="G3809" s="9"/>
      <c r="H3809" s="9">
        <v>160</v>
      </c>
      <c r="I3809" s="12"/>
      <c r="J3809" s="5" t="e">
        <f>SUM(SUMIFS(#REF!,#REF!,Planning[[#This Row],[Tipo de Tarea y especialidad]],#REF!,Planning[[#This Row],[Proyectos Reiwa]]),SUMIFS(#REF!,#REF!,Planning[[#This Row],[Tipo de Tarea y especialidad]],#REF!,Planning[[#This Row],[Proyectos]]))</f>
        <v>#REF!</v>
      </c>
      <c r="K3809" s="5" t="e">
        <f>+Planning[[#This Row],[Horas Planificadas]]+Planning[[#This Row],[Horas ajustadas adicionales]]-Planning[[#This Row],[Horas utilizadas]]</f>
        <v>#REF!</v>
      </c>
      <c r="L3809" s="7" t="e">
        <f>Planning[[#This Row],[Saldo]]</f>
        <v>#REF!</v>
      </c>
      <c r="M3809" s="19" t="e">
        <f>Planning[[#This Row],[Saldo]]-Planning[[#This Row],[Saldo estimado]]</f>
        <v>#REF!</v>
      </c>
      <c r="N3809" s="60" t="e">
        <f>+SUMIFS(#REF!,#REF!,Planning[[#This Row],[Proyectos]],#REF!,Planning[[#This Row],[Tipo de Tarea y especialidad]])</f>
        <v>#REF!</v>
      </c>
      <c r="O3809" s="19">
        <f t="shared" si="118"/>
        <v>10</v>
      </c>
      <c r="P3809" s="19">
        <f t="shared" si="119"/>
        <v>2024</v>
      </c>
      <c r="Q38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09" s="19" t="str">
        <f>TEXT(Planning[[#This Row],[Mes]]*29,"mmmm")</f>
        <v>October</v>
      </c>
      <c r="S38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09" s="210"/>
      <c r="U3809" s="43" t="e">
        <f>IF(Planning[[#This Row],[Horas Planificadas]]&lt;&gt;0,+K3809/Planning[[#This Row],[Horas Planificadas]],0)</f>
        <v>#REF!</v>
      </c>
      <c r="V3809" s="43" t="e">
        <f>IF(Planning[[#This Row],[Horas Planificadas]]&lt;&gt;0,Planning[[#This Row],[Horas utilizadas]]/Planning[[#This Row],[Horas Planificadas]],0)</f>
        <v>#REF!</v>
      </c>
      <c r="W3809" s="44">
        <f>Planning[[#This Row],[Horas Planificadas]]+Planning[[#This Row],[Horas ajustadas adicionales]]</f>
        <v>160</v>
      </c>
      <c r="X3809" s="142"/>
    </row>
    <row r="3810" spans="1:24" x14ac:dyDescent="0.2">
      <c r="A3810" s="7" t="s">
        <v>435</v>
      </c>
      <c r="B3810" s="7" t="s">
        <v>463</v>
      </c>
      <c r="C3810" s="3">
        <v>116878</v>
      </c>
      <c r="D3810" s="3" t="s">
        <v>676</v>
      </c>
      <c r="E3810" s="4"/>
      <c r="F3810" s="3" t="s">
        <v>131</v>
      </c>
      <c r="G3810" s="9"/>
      <c r="H3810" s="9"/>
      <c r="I3810" s="12">
        <v>40</v>
      </c>
      <c r="J3810" s="5" t="e">
        <f>SUM(SUMIFS(#REF!,#REF!,Planning[[#This Row],[Tipo de Tarea y especialidad]],#REF!,Planning[[#This Row],[Proyectos Reiwa]]),SUMIFS(#REF!,#REF!,Planning[[#This Row],[Tipo de Tarea y especialidad]],#REF!,Planning[[#This Row],[Proyectos]]))</f>
        <v>#REF!</v>
      </c>
      <c r="K3810" s="5" t="e">
        <f>+Planning[[#This Row],[Horas Planificadas]]+Planning[[#This Row],[Horas ajustadas adicionales]]-Planning[[#This Row],[Horas utilizadas]]</f>
        <v>#REF!</v>
      </c>
      <c r="L3810" s="7" t="e">
        <f>Planning[[#This Row],[Saldo]]</f>
        <v>#REF!</v>
      </c>
      <c r="M3810" s="19" t="e">
        <f>Planning[[#This Row],[Saldo]]-Planning[[#This Row],[Saldo estimado]]</f>
        <v>#REF!</v>
      </c>
      <c r="N3810" s="60" t="e">
        <f>+SUMIFS(#REF!,#REF!,Planning[[#This Row],[Proyectos]],#REF!,Planning[[#This Row],[Tipo de Tarea y especialidad]])</f>
        <v>#REF!</v>
      </c>
      <c r="O3810" s="19">
        <f t="shared" si="118"/>
        <v>10</v>
      </c>
      <c r="P3810" s="19">
        <f t="shared" si="119"/>
        <v>2024</v>
      </c>
      <c r="Q38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10" s="19" t="str">
        <f>TEXT(Planning[[#This Row],[Mes]]*29,"mmmm")</f>
        <v>October</v>
      </c>
      <c r="S38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10" s="210"/>
      <c r="U3810" s="43">
        <f>IF(Planning[[#This Row],[Horas Planificadas]]&lt;&gt;0,+K3810/Planning[[#This Row],[Horas Planificadas]],0)</f>
        <v>0</v>
      </c>
      <c r="V3810" s="43">
        <f>IF(Planning[[#This Row],[Horas Planificadas]]&lt;&gt;0,Planning[[#This Row],[Horas utilizadas]]/Planning[[#This Row],[Horas Planificadas]],0)</f>
        <v>0</v>
      </c>
      <c r="W3810" s="44">
        <f>Planning[[#This Row],[Horas Planificadas]]+Planning[[#This Row],[Horas ajustadas adicionales]]</f>
        <v>40</v>
      </c>
      <c r="X3810" s="142"/>
    </row>
    <row r="3811" spans="1:24" ht="13.35" customHeight="1" x14ac:dyDescent="0.2">
      <c r="A3811" s="7" t="s">
        <v>483</v>
      </c>
      <c r="B3811" s="7" t="s">
        <v>288</v>
      </c>
      <c r="C3811" s="3"/>
      <c r="D3811" s="3" t="s">
        <v>678</v>
      </c>
      <c r="E3811" s="4" t="s">
        <v>28</v>
      </c>
      <c r="F3811" s="3"/>
      <c r="G3811" s="9">
        <v>24</v>
      </c>
      <c r="H3811" s="14">
        <f>SUM(H3812:H3813)</f>
        <v>24</v>
      </c>
      <c r="I3811" s="14"/>
      <c r="J3811" s="14" t="e">
        <f>SUM(J3812:J3813)</f>
        <v>#REF!</v>
      </c>
      <c r="K3811" s="14" t="e">
        <f>+Planning[[#This Row],[Horas Planificadas]]+Planning[[#This Row],[Horas ajustadas adicionales]]-Planning[[#This Row],[Horas utilizadas]]</f>
        <v>#REF!</v>
      </c>
      <c r="L3811" s="15">
        <f>SUM(L3812:L3813)</f>
        <v>0</v>
      </c>
      <c r="M3811" s="14" t="e">
        <f>SUM(M3812:M3813)</f>
        <v>#REF!</v>
      </c>
      <c r="N3811" s="66" t="e">
        <f>+SUMIFS(#REF!,#REF!,Planning[[#This Row],[Proyectos]],#REF!,Planning[[#This Row],[Tipo de Tarea y especialidad]])</f>
        <v>#REF!</v>
      </c>
      <c r="O3811" s="14">
        <f t="shared" si="118"/>
        <v>10</v>
      </c>
      <c r="P3811" s="14">
        <f t="shared" si="119"/>
        <v>2024</v>
      </c>
      <c r="Q3811" s="28" t="e">
        <f>SUM(Q3812:Q3813)</f>
        <v>#REF!</v>
      </c>
      <c r="R3811" s="28" t="str">
        <f>TEXT(Planning[[#This Row],[Mes]]*29,"mmmm")</f>
        <v>October</v>
      </c>
      <c r="S38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11" s="207" t="s">
        <v>679</v>
      </c>
      <c r="U3811" s="43" t="e">
        <f>IF(Planning[[#This Row],[Horas Planificadas]]&lt;&gt;0,+K3811/Planning[[#This Row],[Horas Planificadas]],0)</f>
        <v>#REF!</v>
      </c>
      <c r="V3811" s="43" t="e">
        <f>IF(Planning[[#This Row],[Horas Planificadas]]&lt;&gt;0,Planning[[#This Row],[Horas utilizadas]]/Planning[[#This Row],[Horas Planificadas]],0)</f>
        <v>#REF!</v>
      </c>
      <c r="W3811" s="44">
        <f>Planning[[#This Row],[Horas Planificadas]]+Planning[[#This Row],[Horas ajustadas adicionales]]</f>
        <v>24</v>
      </c>
      <c r="X3811" s="142"/>
    </row>
    <row r="3812" spans="1:24" x14ac:dyDescent="0.2">
      <c r="A3812" s="7" t="s">
        <v>483</v>
      </c>
      <c r="B3812" s="7" t="s">
        <v>288</v>
      </c>
      <c r="C3812" s="3"/>
      <c r="D3812" s="3" t="s">
        <v>678</v>
      </c>
      <c r="E3812" s="4"/>
      <c r="F3812" s="3" t="s">
        <v>120</v>
      </c>
      <c r="G3812" s="9">
        <v>24</v>
      </c>
      <c r="H3812" s="9">
        <v>24</v>
      </c>
      <c r="I3812" s="12"/>
      <c r="J3812" s="5" t="e">
        <f>SUM(SUMIFS(#REF!,#REF!,Planning[[#This Row],[Tipo de Tarea y especialidad]],#REF!,Planning[[#This Row],[Proyectos Reiwa]]),SUMIFS(#REF!,#REF!,Planning[[#This Row],[Tipo de Tarea y especialidad]],#REF!,Planning[[#This Row],[Proyectos]]))</f>
        <v>#REF!</v>
      </c>
      <c r="K3812" s="5" t="e">
        <f>+Planning[[#This Row],[Horas Planificadas]]+Planning[[#This Row],[Horas ajustadas adicionales]]-Planning[[#This Row],[Horas utilizadas]]</f>
        <v>#REF!</v>
      </c>
      <c r="L3812" s="7">
        <v>0</v>
      </c>
      <c r="M3812" s="19" t="e">
        <f>Planning[[#This Row],[Saldo]]-Planning[[#This Row],[Saldo estimado]]</f>
        <v>#REF!</v>
      </c>
      <c r="N3812" s="60" t="e">
        <f>+SUMIFS(#REF!,#REF!,Planning[[#This Row],[Proyectos]],#REF!,Planning[[#This Row],[Tipo de Tarea y especialidad]])</f>
        <v>#REF!</v>
      </c>
      <c r="O3812" s="19">
        <f t="shared" si="118"/>
        <v>10</v>
      </c>
      <c r="P3812" s="19">
        <f t="shared" si="119"/>
        <v>2024</v>
      </c>
      <c r="Q38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12" s="19" t="str">
        <f>TEXT(Planning[[#This Row],[Mes]]*29,"mmmm")</f>
        <v>October</v>
      </c>
      <c r="S38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12" s="208"/>
      <c r="U3812" s="43" t="e">
        <f>IF(Planning[[#This Row],[Horas Planificadas]]&lt;&gt;0,+K3812/Planning[[#This Row],[Horas Planificadas]],0)</f>
        <v>#REF!</v>
      </c>
      <c r="V3812" s="43" t="e">
        <f>IF(Planning[[#This Row],[Horas Planificadas]]&lt;&gt;0,Planning[[#This Row],[Horas utilizadas]]/Planning[[#This Row],[Horas Planificadas]],0)</f>
        <v>#REF!</v>
      </c>
      <c r="W3812" s="44">
        <f>Planning[[#This Row],[Horas Planificadas]]+Planning[[#This Row],[Horas ajustadas adicionales]]</f>
        <v>24</v>
      </c>
      <c r="X3812" s="142"/>
    </row>
    <row r="3813" spans="1:24" x14ac:dyDescent="0.2">
      <c r="A3813" s="7" t="s">
        <v>483</v>
      </c>
      <c r="B3813" s="7" t="s">
        <v>288</v>
      </c>
      <c r="C3813" s="3"/>
      <c r="D3813" s="3" t="s">
        <v>678</v>
      </c>
      <c r="E3813" s="4"/>
      <c r="F3813" s="3" t="s">
        <v>121</v>
      </c>
      <c r="G3813" s="9"/>
      <c r="H3813" s="9"/>
      <c r="I3813" s="12"/>
      <c r="J3813" s="5" t="e">
        <f>SUM(SUMIFS(#REF!,#REF!,Planning[[#This Row],[Tipo de Tarea y especialidad]],#REF!,Planning[[#This Row],[Proyectos Reiwa]]),SUMIFS(#REF!,#REF!,Planning[[#This Row],[Tipo de Tarea y especialidad]],#REF!,Planning[[#This Row],[Proyectos]]))</f>
        <v>#REF!</v>
      </c>
      <c r="K3813" s="5" t="e">
        <f>+Planning[[#This Row],[Horas Planificadas]]+Planning[[#This Row],[Horas ajustadas adicionales]]-Planning[[#This Row],[Horas utilizadas]]</f>
        <v>#REF!</v>
      </c>
      <c r="L3813" s="7"/>
      <c r="M3813" s="19" t="e">
        <f>Planning[[#This Row],[Saldo]]-Planning[[#This Row],[Saldo estimado]]</f>
        <v>#REF!</v>
      </c>
      <c r="N3813" s="60" t="e">
        <f>+SUMIFS(#REF!,#REF!,Planning[[#This Row],[Proyectos]],#REF!,Planning[[#This Row],[Tipo de Tarea y especialidad]])</f>
        <v>#REF!</v>
      </c>
      <c r="O3813" s="19">
        <f t="shared" si="118"/>
        <v>10</v>
      </c>
      <c r="P3813" s="19">
        <f t="shared" si="119"/>
        <v>2024</v>
      </c>
      <c r="Q38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13" s="19" t="str">
        <f>TEXT(Planning[[#This Row],[Mes]]*29,"mmmm")</f>
        <v>October</v>
      </c>
      <c r="S38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13" s="208"/>
      <c r="U3813" s="43">
        <f>IF(Planning[[#This Row],[Horas Planificadas]]&lt;&gt;0,+K3813/Planning[[#This Row],[Horas Planificadas]],0)</f>
        <v>0</v>
      </c>
      <c r="V3813" s="43">
        <f>IF(Planning[[#This Row],[Horas Planificadas]]&lt;&gt;0,Planning[[#This Row],[Horas utilizadas]]/Planning[[#This Row],[Horas Planificadas]],0)</f>
        <v>0</v>
      </c>
      <c r="W3813" s="44">
        <f>Planning[[#This Row],[Horas Planificadas]]+Planning[[#This Row],[Horas ajustadas adicionales]]</f>
        <v>0</v>
      </c>
      <c r="X3813" s="142"/>
    </row>
    <row r="3814" spans="1:24" x14ac:dyDescent="0.2">
      <c r="A3814" s="7" t="s">
        <v>483</v>
      </c>
      <c r="B3814" s="7" t="s">
        <v>288</v>
      </c>
      <c r="C3814" s="3"/>
      <c r="D3814" s="3" t="s">
        <v>678</v>
      </c>
      <c r="E3814" s="4" t="s">
        <v>30</v>
      </c>
      <c r="F3814" s="3"/>
      <c r="G3814" s="9">
        <v>180</v>
      </c>
      <c r="H3814" s="14">
        <f>SUM(H3815:H3821)</f>
        <v>180</v>
      </c>
      <c r="I3814" s="14"/>
      <c r="J3814" s="14" t="e">
        <f>SUM(J3815:J3821)</f>
        <v>#REF!</v>
      </c>
      <c r="K3814" s="14" t="e">
        <f>+Planning[[#This Row],[Horas Planificadas]]+Planning[[#This Row],[Horas ajustadas adicionales]]-Planning[[#This Row],[Horas utilizadas]]</f>
        <v>#REF!</v>
      </c>
      <c r="L3814" s="15">
        <f>SUM(L3815:L3821)</f>
        <v>0</v>
      </c>
      <c r="M3814" s="16" t="e">
        <f>SUM(M3815:M3821)</f>
        <v>#REF!</v>
      </c>
      <c r="N3814" s="60" t="e">
        <f>+SUMIFS(#REF!,#REF!,Planning[[#This Row],[Proyectos]],#REF!,Planning[[#This Row],[Tipo de Tarea y especialidad]])</f>
        <v>#REF!</v>
      </c>
      <c r="O3814" s="16">
        <f t="shared" si="118"/>
        <v>10</v>
      </c>
      <c r="P3814" s="16">
        <f t="shared" si="119"/>
        <v>2024</v>
      </c>
      <c r="Q3814" s="16" t="e">
        <f>SUM(Q3815:Q3821)</f>
        <v>#REF!</v>
      </c>
      <c r="R3814" s="16" t="str">
        <f>TEXT(Planning[[#This Row],[Mes]]*29,"mmmm")</f>
        <v>October</v>
      </c>
      <c r="S38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14" s="208"/>
      <c r="U3814" s="43" t="e">
        <f>IF(Planning[[#This Row],[Horas Planificadas]]&lt;&gt;0,+K3814/Planning[[#This Row],[Horas Planificadas]],0)</f>
        <v>#REF!</v>
      </c>
      <c r="V3814" s="43" t="e">
        <f>IF(Planning[[#This Row],[Horas Planificadas]]&lt;&gt;0,Planning[[#This Row],[Horas utilizadas]]/Planning[[#This Row],[Horas Planificadas]],0)</f>
        <v>#REF!</v>
      </c>
      <c r="W3814" s="44">
        <f>Planning[[#This Row],[Horas Planificadas]]+Planning[[#This Row],[Horas ajustadas adicionales]]</f>
        <v>180</v>
      </c>
      <c r="X3814" s="142"/>
    </row>
    <row r="3815" spans="1:24" x14ac:dyDescent="0.2">
      <c r="A3815" s="7" t="s">
        <v>483</v>
      </c>
      <c r="B3815" s="7" t="s">
        <v>288</v>
      </c>
      <c r="C3815" s="3"/>
      <c r="D3815" s="3" t="s">
        <v>678</v>
      </c>
      <c r="E3815" s="4"/>
      <c r="F3815" s="3" t="s">
        <v>122</v>
      </c>
      <c r="G3815" s="9"/>
      <c r="H3815" s="9"/>
      <c r="I3815" s="12"/>
      <c r="J3815" s="5" t="e">
        <f>SUM(SUMIFS(#REF!,#REF!,Planning[[#This Row],[Tipo de Tarea y especialidad]],#REF!,Planning[[#This Row],[Proyectos Reiwa]]),SUMIFS(#REF!,#REF!,Planning[[#This Row],[Tipo de Tarea y especialidad]],#REF!,Planning[[#This Row],[Proyectos]]))</f>
        <v>#REF!</v>
      </c>
      <c r="K3815" s="5" t="e">
        <f>+Planning[[#This Row],[Horas Planificadas]]+Planning[[#This Row],[Horas ajustadas adicionales]]-Planning[[#This Row],[Horas utilizadas]]</f>
        <v>#REF!</v>
      </c>
      <c r="L3815" s="7"/>
      <c r="M3815" s="19" t="e">
        <f>Planning[[#This Row],[Saldo]]-Planning[[#This Row],[Saldo estimado]]</f>
        <v>#REF!</v>
      </c>
      <c r="N3815" s="60" t="e">
        <f>+SUMIFS(#REF!,#REF!,Planning[[#This Row],[Proyectos]],#REF!,Planning[[#This Row],[Tipo de Tarea y especialidad]])</f>
        <v>#REF!</v>
      </c>
      <c r="O3815" s="19">
        <f t="shared" si="118"/>
        <v>10</v>
      </c>
      <c r="P3815" s="19">
        <f t="shared" si="119"/>
        <v>2024</v>
      </c>
      <c r="Q38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15" s="19" t="str">
        <f>TEXT(Planning[[#This Row],[Mes]]*29,"mmmm")</f>
        <v>October</v>
      </c>
      <c r="S38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15" s="208"/>
      <c r="U3815" s="43">
        <f>IF(Planning[[#This Row],[Horas Planificadas]]&lt;&gt;0,+K3815/Planning[[#This Row],[Horas Planificadas]],0)</f>
        <v>0</v>
      </c>
      <c r="V3815" s="43">
        <f>IF(Planning[[#This Row],[Horas Planificadas]]&lt;&gt;0,Planning[[#This Row],[Horas utilizadas]]/Planning[[#This Row],[Horas Planificadas]],0)</f>
        <v>0</v>
      </c>
      <c r="W3815" s="44">
        <f>Planning[[#This Row],[Horas Planificadas]]+Planning[[#This Row],[Horas ajustadas adicionales]]</f>
        <v>0</v>
      </c>
      <c r="X3815" s="142"/>
    </row>
    <row r="3816" spans="1:24" x14ac:dyDescent="0.2">
      <c r="A3816" s="7" t="s">
        <v>483</v>
      </c>
      <c r="B3816" s="7" t="s">
        <v>288</v>
      </c>
      <c r="C3816" s="3"/>
      <c r="D3816" s="3" t="s">
        <v>678</v>
      </c>
      <c r="E3816" s="4"/>
      <c r="F3816" s="3" t="s">
        <v>123</v>
      </c>
      <c r="G3816" s="9"/>
      <c r="H3816" s="9"/>
      <c r="I3816" s="12"/>
      <c r="J3816" s="5" t="e">
        <f>SUM(SUMIFS(#REF!,#REF!,Planning[[#This Row],[Tipo de Tarea y especialidad]],#REF!,Planning[[#This Row],[Proyectos Reiwa]]),SUMIFS(#REF!,#REF!,Planning[[#This Row],[Tipo de Tarea y especialidad]],#REF!,Planning[[#This Row],[Proyectos]]))</f>
        <v>#REF!</v>
      </c>
      <c r="K3816" s="5" t="e">
        <f>+Planning[[#This Row],[Horas Planificadas]]+Planning[[#This Row],[Horas ajustadas adicionales]]-Planning[[#This Row],[Horas utilizadas]]</f>
        <v>#REF!</v>
      </c>
      <c r="L3816" s="7"/>
      <c r="M3816" s="19" t="e">
        <f>Planning[[#This Row],[Saldo]]-Planning[[#This Row],[Saldo estimado]]</f>
        <v>#REF!</v>
      </c>
      <c r="N3816" s="60" t="e">
        <f>+SUMIFS(#REF!,#REF!,Planning[[#This Row],[Proyectos]],#REF!,Planning[[#This Row],[Tipo de Tarea y especialidad]])</f>
        <v>#REF!</v>
      </c>
      <c r="O3816" s="19">
        <f t="shared" si="118"/>
        <v>10</v>
      </c>
      <c r="P3816" s="19">
        <f t="shared" si="119"/>
        <v>2024</v>
      </c>
      <c r="Q38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16" s="19" t="str">
        <f>TEXT(Planning[[#This Row],[Mes]]*29,"mmmm")</f>
        <v>October</v>
      </c>
      <c r="S38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16" s="208"/>
      <c r="U3816" s="43">
        <f>IF(Planning[[#This Row],[Horas Planificadas]]&lt;&gt;0,+K3816/Planning[[#This Row],[Horas Planificadas]],0)</f>
        <v>0</v>
      </c>
      <c r="V3816" s="43">
        <f>IF(Planning[[#This Row],[Horas Planificadas]]&lt;&gt;0,Planning[[#This Row],[Horas utilizadas]]/Planning[[#This Row],[Horas Planificadas]],0)</f>
        <v>0</v>
      </c>
      <c r="W3816" s="44">
        <f>Planning[[#This Row],[Horas Planificadas]]+Planning[[#This Row],[Horas ajustadas adicionales]]</f>
        <v>0</v>
      </c>
      <c r="X3816" s="142"/>
    </row>
    <row r="3817" spans="1:24" x14ac:dyDescent="0.2">
      <c r="A3817" s="7" t="s">
        <v>483</v>
      </c>
      <c r="B3817" s="7" t="s">
        <v>288</v>
      </c>
      <c r="C3817" s="3"/>
      <c r="D3817" s="3" t="s">
        <v>678</v>
      </c>
      <c r="E3817" s="4"/>
      <c r="F3817" s="3" t="s">
        <v>124</v>
      </c>
      <c r="G3817" s="9"/>
      <c r="H3817" s="9">
        <v>120</v>
      </c>
      <c r="I3817" s="12"/>
      <c r="J3817" s="5" t="e">
        <f>SUM(SUMIFS(#REF!,#REF!,Planning[[#This Row],[Tipo de Tarea y especialidad]],#REF!,Planning[[#This Row],[Proyectos Reiwa]]),SUMIFS(#REF!,#REF!,Planning[[#This Row],[Tipo de Tarea y especialidad]],#REF!,Planning[[#This Row],[Proyectos]]))</f>
        <v>#REF!</v>
      </c>
      <c r="K3817" s="5" t="e">
        <f>+Planning[[#This Row],[Horas Planificadas]]+Planning[[#This Row],[Horas ajustadas adicionales]]-Planning[[#This Row],[Horas utilizadas]]</f>
        <v>#REF!</v>
      </c>
      <c r="L3817" s="7"/>
      <c r="M3817" s="19" t="e">
        <f>Planning[[#This Row],[Saldo]]-Planning[[#This Row],[Saldo estimado]]</f>
        <v>#REF!</v>
      </c>
      <c r="N3817" s="60" t="e">
        <f>+SUMIFS(#REF!,#REF!,Planning[[#This Row],[Proyectos]],#REF!,Planning[[#This Row],[Tipo de Tarea y especialidad]])</f>
        <v>#REF!</v>
      </c>
      <c r="O3817" s="19">
        <f t="shared" si="118"/>
        <v>10</v>
      </c>
      <c r="P3817" s="19">
        <f t="shared" si="119"/>
        <v>2024</v>
      </c>
      <c r="Q38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17" s="19" t="str">
        <f>TEXT(Planning[[#This Row],[Mes]]*29,"mmmm")</f>
        <v>October</v>
      </c>
      <c r="S38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17" s="208"/>
      <c r="U3817" s="43" t="e">
        <f>IF(Planning[[#This Row],[Horas Planificadas]]&lt;&gt;0,+K3817/Planning[[#This Row],[Horas Planificadas]],0)</f>
        <v>#REF!</v>
      </c>
      <c r="V3817" s="43" t="e">
        <f>IF(Planning[[#This Row],[Horas Planificadas]]&lt;&gt;0,Planning[[#This Row],[Horas utilizadas]]/Planning[[#This Row],[Horas Planificadas]],0)</f>
        <v>#REF!</v>
      </c>
      <c r="W3817" s="44">
        <f>Planning[[#This Row],[Horas Planificadas]]+Planning[[#This Row],[Horas ajustadas adicionales]]</f>
        <v>120</v>
      </c>
      <c r="X3817" s="142"/>
    </row>
    <row r="3818" spans="1:24" x14ac:dyDescent="0.2">
      <c r="A3818" s="7" t="s">
        <v>483</v>
      </c>
      <c r="B3818" s="7" t="s">
        <v>288</v>
      </c>
      <c r="C3818" s="3"/>
      <c r="D3818" s="3" t="s">
        <v>678</v>
      </c>
      <c r="E3818" s="4"/>
      <c r="F3818" s="3" t="s">
        <v>125</v>
      </c>
      <c r="G3818" s="9"/>
      <c r="H3818" s="9"/>
      <c r="I3818" s="12"/>
      <c r="J3818" s="5" t="e">
        <f>SUM(SUMIFS(#REF!,#REF!,Planning[[#This Row],[Tipo de Tarea y especialidad]],#REF!,Planning[[#This Row],[Proyectos Reiwa]]),SUMIFS(#REF!,#REF!,Planning[[#This Row],[Tipo de Tarea y especialidad]],#REF!,Planning[[#This Row],[Proyectos]]))</f>
        <v>#REF!</v>
      </c>
      <c r="K3818" s="5" t="e">
        <f>+Planning[[#This Row],[Horas Planificadas]]+Planning[[#This Row],[Horas ajustadas adicionales]]-Planning[[#This Row],[Horas utilizadas]]</f>
        <v>#REF!</v>
      </c>
      <c r="L3818" s="7"/>
      <c r="M3818" s="19" t="e">
        <f>Planning[[#This Row],[Saldo]]-Planning[[#This Row],[Saldo estimado]]</f>
        <v>#REF!</v>
      </c>
      <c r="N3818" s="60" t="e">
        <f>+SUMIFS(#REF!,#REF!,Planning[[#This Row],[Proyectos]],#REF!,Planning[[#This Row],[Tipo de Tarea y especialidad]])</f>
        <v>#REF!</v>
      </c>
      <c r="O3818" s="19">
        <f t="shared" si="118"/>
        <v>10</v>
      </c>
      <c r="P3818" s="19">
        <f t="shared" si="119"/>
        <v>2024</v>
      </c>
      <c r="Q38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18" s="19" t="str">
        <f>TEXT(Planning[[#This Row],[Mes]]*29,"mmmm")</f>
        <v>October</v>
      </c>
      <c r="S38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18" s="208"/>
      <c r="U3818" s="43">
        <f>IF(Planning[[#This Row],[Horas Planificadas]]&lt;&gt;0,+K3818/Planning[[#This Row],[Horas Planificadas]],0)</f>
        <v>0</v>
      </c>
      <c r="V3818" s="43">
        <f>IF(Planning[[#This Row],[Horas Planificadas]]&lt;&gt;0,Planning[[#This Row],[Horas utilizadas]]/Planning[[#This Row],[Horas Planificadas]],0)</f>
        <v>0</v>
      </c>
      <c r="W3818" s="44">
        <f>Planning[[#This Row],[Horas Planificadas]]+Planning[[#This Row],[Horas ajustadas adicionales]]</f>
        <v>0</v>
      </c>
      <c r="X3818" s="142"/>
    </row>
    <row r="3819" spans="1:24" x14ac:dyDescent="0.2">
      <c r="A3819" s="7" t="s">
        <v>483</v>
      </c>
      <c r="B3819" s="7" t="s">
        <v>288</v>
      </c>
      <c r="C3819" s="3"/>
      <c r="D3819" s="3" t="s">
        <v>678</v>
      </c>
      <c r="E3819" s="4"/>
      <c r="F3819" s="3" t="s">
        <v>126</v>
      </c>
      <c r="G3819" s="9"/>
      <c r="H3819" s="9"/>
      <c r="I3819" s="12"/>
      <c r="J3819" s="5" t="e">
        <f>SUM(SUMIFS(#REF!,#REF!,Planning[[#This Row],[Tipo de Tarea y especialidad]],#REF!,Planning[[#This Row],[Proyectos Reiwa]]),SUMIFS(#REF!,#REF!,Planning[[#This Row],[Tipo de Tarea y especialidad]],#REF!,Planning[[#This Row],[Proyectos]]))</f>
        <v>#REF!</v>
      </c>
      <c r="K3819" s="5" t="e">
        <f>+Planning[[#This Row],[Horas Planificadas]]+Planning[[#This Row],[Horas ajustadas adicionales]]-Planning[[#This Row],[Horas utilizadas]]</f>
        <v>#REF!</v>
      </c>
      <c r="L3819" s="7"/>
      <c r="M3819" s="19" t="e">
        <f>Planning[[#This Row],[Saldo]]-Planning[[#This Row],[Saldo estimado]]</f>
        <v>#REF!</v>
      </c>
      <c r="N3819" s="60" t="e">
        <f>+SUMIFS(#REF!,#REF!,Planning[[#This Row],[Proyectos]],#REF!,Planning[[#This Row],[Tipo de Tarea y especialidad]])</f>
        <v>#REF!</v>
      </c>
      <c r="O3819" s="19">
        <f t="shared" si="118"/>
        <v>10</v>
      </c>
      <c r="P3819" s="19">
        <f t="shared" si="119"/>
        <v>2024</v>
      </c>
      <c r="Q38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19" s="19" t="str">
        <f>TEXT(Planning[[#This Row],[Mes]]*29,"mmmm")</f>
        <v>October</v>
      </c>
      <c r="S38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19" s="208"/>
      <c r="U3819" s="43">
        <f>IF(Planning[[#This Row],[Horas Planificadas]]&lt;&gt;0,+K3819/Planning[[#This Row],[Horas Planificadas]],0)</f>
        <v>0</v>
      </c>
      <c r="V3819" s="43">
        <f>IF(Planning[[#This Row],[Horas Planificadas]]&lt;&gt;0,Planning[[#This Row],[Horas utilizadas]]/Planning[[#This Row],[Horas Planificadas]],0)</f>
        <v>0</v>
      </c>
      <c r="W3819" s="44">
        <f>Planning[[#This Row],[Horas Planificadas]]+Planning[[#This Row],[Horas ajustadas adicionales]]</f>
        <v>0</v>
      </c>
      <c r="X3819" s="142"/>
    </row>
    <row r="3820" spans="1:24" x14ac:dyDescent="0.2">
      <c r="A3820" s="7" t="s">
        <v>483</v>
      </c>
      <c r="B3820" s="7" t="s">
        <v>288</v>
      </c>
      <c r="C3820" s="3"/>
      <c r="D3820" s="3" t="s">
        <v>678</v>
      </c>
      <c r="E3820" s="4"/>
      <c r="F3820" s="3" t="s">
        <v>127</v>
      </c>
      <c r="G3820" s="9"/>
      <c r="H3820" s="9"/>
      <c r="I3820" s="12"/>
      <c r="J3820" s="5" t="e">
        <f>SUM(SUMIFS(#REF!,#REF!,Planning[[#This Row],[Tipo de Tarea y especialidad]],#REF!,Planning[[#This Row],[Proyectos Reiwa]]),SUMIFS(#REF!,#REF!,Planning[[#This Row],[Tipo de Tarea y especialidad]],#REF!,Planning[[#This Row],[Proyectos]]))</f>
        <v>#REF!</v>
      </c>
      <c r="K3820" s="5" t="e">
        <f>+Planning[[#This Row],[Horas Planificadas]]+Planning[[#This Row],[Horas ajustadas adicionales]]-Planning[[#This Row],[Horas utilizadas]]</f>
        <v>#REF!</v>
      </c>
      <c r="L3820" s="7"/>
      <c r="M3820" s="19" t="e">
        <f>Planning[[#This Row],[Saldo]]-Planning[[#This Row],[Saldo estimado]]</f>
        <v>#REF!</v>
      </c>
      <c r="N3820" s="60" t="e">
        <f>+SUMIFS(#REF!,#REF!,Planning[[#This Row],[Proyectos]],#REF!,Planning[[#This Row],[Tipo de Tarea y especialidad]])</f>
        <v>#REF!</v>
      </c>
      <c r="O3820" s="19">
        <f t="shared" si="118"/>
        <v>10</v>
      </c>
      <c r="P3820" s="19">
        <f t="shared" si="119"/>
        <v>2024</v>
      </c>
      <c r="Q38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20" s="19" t="str">
        <f>TEXT(Planning[[#This Row],[Mes]]*29,"mmmm")</f>
        <v>October</v>
      </c>
      <c r="S38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20" s="208"/>
      <c r="U3820" s="43">
        <f>IF(Planning[[#This Row],[Horas Planificadas]]&lt;&gt;0,+K3820/Planning[[#This Row],[Horas Planificadas]],0)</f>
        <v>0</v>
      </c>
      <c r="V3820" s="43">
        <f>IF(Planning[[#This Row],[Horas Planificadas]]&lt;&gt;0,Planning[[#This Row],[Horas utilizadas]]/Planning[[#This Row],[Horas Planificadas]],0)</f>
        <v>0</v>
      </c>
      <c r="W3820" s="44">
        <f>Planning[[#This Row],[Horas Planificadas]]+Planning[[#This Row],[Horas ajustadas adicionales]]</f>
        <v>0</v>
      </c>
      <c r="X3820" s="142"/>
    </row>
    <row r="3821" spans="1:24" x14ac:dyDescent="0.2">
      <c r="A3821" s="7" t="s">
        <v>483</v>
      </c>
      <c r="B3821" s="7" t="s">
        <v>288</v>
      </c>
      <c r="C3821" s="3"/>
      <c r="D3821" s="3" t="s">
        <v>678</v>
      </c>
      <c r="E3821" s="4"/>
      <c r="F3821" s="3" t="s">
        <v>128</v>
      </c>
      <c r="G3821" s="9"/>
      <c r="H3821" s="9">
        <v>60</v>
      </c>
      <c r="I3821" s="12"/>
      <c r="J3821" s="5" t="e">
        <f>SUM(SUMIFS(#REF!,#REF!,Planning[[#This Row],[Tipo de Tarea y especialidad]],#REF!,Planning[[#This Row],[Proyectos Reiwa]]),SUMIFS(#REF!,#REF!,Planning[[#This Row],[Tipo de Tarea y especialidad]],#REF!,Planning[[#This Row],[Proyectos]]))</f>
        <v>#REF!</v>
      </c>
      <c r="K3821" s="5" t="e">
        <f>+Planning[[#This Row],[Horas Planificadas]]+Planning[[#This Row],[Horas ajustadas adicionales]]-Planning[[#This Row],[Horas utilizadas]]</f>
        <v>#REF!</v>
      </c>
      <c r="L3821" s="7">
        <v>0</v>
      </c>
      <c r="M3821" s="19" t="e">
        <f>Planning[[#This Row],[Saldo]]-Planning[[#This Row],[Saldo estimado]]</f>
        <v>#REF!</v>
      </c>
      <c r="N3821" s="60" t="e">
        <f>+SUMIFS(#REF!,#REF!,Planning[[#This Row],[Proyectos]],#REF!,Planning[[#This Row],[Tipo de Tarea y especialidad]])</f>
        <v>#REF!</v>
      </c>
      <c r="O3821" s="19">
        <f t="shared" si="118"/>
        <v>10</v>
      </c>
      <c r="P3821" s="19">
        <f t="shared" si="119"/>
        <v>2024</v>
      </c>
      <c r="Q38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21" s="19" t="str">
        <f>TEXT(Planning[[#This Row],[Mes]]*29,"mmmm")</f>
        <v>October</v>
      </c>
      <c r="S38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21" s="208"/>
      <c r="U3821" s="43" t="e">
        <f>IF(Planning[[#This Row],[Horas Planificadas]]&lt;&gt;0,+K3821/Planning[[#This Row],[Horas Planificadas]],0)</f>
        <v>#REF!</v>
      </c>
      <c r="V3821" s="43" t="e">
        <f>IF(Planning[[#This Row],[Horas Planificadas]]&lt;&gt;0,Planning[[#This Row],[Horas utilizadas]]/Planning[[#This Row],[Horas Planificadas]],0)</f>
        <v>#REF!</v>
      </c>
      <c r="W3821" s="44">
        <f>Planning[[#This Row],[Horas Planificadas]]+Planning[[#This Row],[Horas ajustadas adicionales]]</f>
        <v>60</v>
      </c>
      <c r="X3821" s="142"/>
    </row>
    <row r="3822" spans="1:24" x14ac:dyDescent="0.2">
      <c r="A3822" s="7" t="s">
        <v>483</v>
      </c>
      <c r="B3822" s="7" t="s">
        <v>288</v>
      </c>
      <c r="C3822" s="3"/>
      <c r="D3822" s="3" t="s">
        <v>678</v>
      </c>
      <c r="E3822" s="4" t="s">
        <v>31</v>
      </c>
      <c r="F3822" s="3" t="s">
        <v>31</v>
      </c>
      <c r="G3822" s="9">
        <v>240</v>
      </c>
      <c r="H3822" s="17">
        <f>Planning[[#This Row],[Horas Precálculo]]</f>
        <v>240</v>
      </c>
      <c r="I3822" s="18"/>
      <c r="J3822" s="14" t="e">
        <f>+SUMIFS(#REF!,#REF!,Planning[[#This Row],[Tarifa]],#REF!,Planning[[#This Row],[Proyectos]])</f>
        <v>#REF!</v>
      </c>
      <c r="K3822" s="14" t="e">
        <f>+Planning[[#This Row],[Horas Planificadas]]+Planning[[#This Row],[Horas ajustadas adicionales]]-Planning[[#This Row],[Horas utilizadas]]</f>
        <v>#REF!</v>
      </c>
      <c r="L3822" s="15"/>
      <c r="M3822" s="16" t="e">
        <f>Planning[[#This Row],[Saldo]]-Planning[[#This Row],[Saldo estimado]]</f>
        <v>#REF!</v>
      </c>
      <c r="N3822" s="60" t="e">
        <f>+SUMIFS(#REF!,#REF!,Planning[[#This Row],[Proyectos]],#REF!,Planning[[#This Row],[Tipo de Tarea y especialidad]])</f>
        <v>#REF!</v>
      </c>
      <c r="O3822" s="16">
        <f t="shared" si="118"/>
        <v>10</v>
      </c>
      <c r="P3822" s="16">
        <f t="shared" si="119"/>
        <v>2024</v>
      </c>
      <c r="Q3822" s="16" t="e">
        <f>+SUMIFS(#REF!,#REF!,Planning[[#This Row],[Tarifa]],#REF!,Planning[[#This Row],[Proyectos]],#REF!,Planning[[#This Row],[Mes]],#REF!,Planning[[#This Row],[Año]])</f>
        <v>#REF!</v>
      </c>
      <c r="R3822" s="16" t="str">
        <f>TEXT(Planning[[#This Row],[Mes]]*29,"mmmm")</f>
        <v>October</v>
      </c>
      <c r="S38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22" s="208"/>
      <c r="U3822" s="43" t="e">
        <f>IF(Planning[[#This Row],[Horas Planificadas]]&lt;&gt;0,+K3822/Planning[[#This Row],[Horas Planificadas]],0)</f>
        <v>#REF!</v>
      </c>
      <c r="V3822" s="43" t="e">
        <f>IF(Planning[[#This Row],[Horas Planificadas]]&lt;&gt;0,Planning[[#This Row],[Horas utilizadas]]/Planning[[#This Row],[Horas Planificadas]],0)</f>
        <v>#REF!</v>
      </c>
      <c r="W3822" s="44">
        <f>Planning[[#This Row],[Horas Planificadas]]+Planning[[#This Row],[Horas ajustadas adicionales]]</f>
        <v>240</v>
      </c>
      <c r="X3822" s="142"/>
    </row>
    <row r="3823" spans="1:24" ht="22.5" x14ac:dyDescent="0.2">
      <c r="A3823" s="7" t="s">
        <v>483</v>
      </c>
      <c r="B3823" s="7" t="s">
        <v>288</v>
      </c>
      <c r="C3823" s="3"/>
      <c r="D3823" s="3" t="s">
        <v>678</v>
      </c>
      <c r="E3823" s="4" t="s">
        <v>32</v>
      </c>
      <c r="F3823" s="3"/>
      <c r="G3823" s="9">
        <v>180</v>
      </c>
      <c r="H3823" s="14">
        <f>SUM(H3824:H3826)</f>
        <v>180</v>
      </c>
      <c r="I3823" s="14"/>
      <c r="J3823" s="14" t="e">
        <f>SUM(J3824:J3826)</f>
        <v>#REF!</v>
      </c>
      <c r="K3823" s="14" t="e">
        <f>+Planning[[#This Row],[Horas Planificadas]]+Planning[[#This Row],[Horas ajustadas adicionales]]-Planning[[#This Row],[Horas utilizadas]]</f>
        <v>#REF!</v>
      </c>
      <c r="L3823" s="15"/>
      <c r="M3823" s="16" t="e">
        <f>SUM(M3824:M3826)</f>
        <v>#REF!</v>
      </c>
      <c r="N3823" s="60" t="e">
        <f>+SUMIFS(#REF!,#REF!,Planning[[#This Row],[Proyectos]],#REF!,Planning[[#This Row],[Tipo de Tarea y especialidad]])</f>
        <v>#REF!</v>
      </c>
      <c r="O3823" s="16">
        <f t="shared" si="118"/>
        <v>10</v>
      </c>
      <c r="P3823" s="16">
        <f t="shared" si="119"/>
        <v>2024</v>
      </c>
      <c r="Q3823" s="16" t="e">
        <f>SUM(Q3824:Q3826)</f>
        <v>#REF!</v>
      </c>
      <c r="R3823" s="16" t="str">
        <f>TEXT(Planning[[#This Row],[Mes]]*29,"mmmm")</f>
        <v>October</v>
      </c>
      <c r="S38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23" s="208"/>
      <c r="U3823" s="43" t="e">
        <f>IF(Planning[[#This Row],[Horas Planificadas]]&lt;&gt;0,+K3823/Planning[[#This Row],[Horas Planificadas]],0)</f>
        <v>#REF!</v>
      </c>
      <c r="V3823" s="43" t="e">
        <f>IF(Planning[[#This Row],[Horas Planificadas]]&lt;&gt;0,Planning[[#This Row],[Horas utilizadas]]/Planning[[#This Row],[Horas Planificadas]],0)</f>
        <v>#REF!</v>
      </c>
      <c r="W3823" s="44">
        <f>Planning[[#This Row],[Horas Planificadas]]+Planning[[#This Row],[Horas ajustadas adicionales]]</f>
        <v>180</v>
      </c>
      <c r="X3823" s="142"/>
    </row>
    <row r="3824" spans="1:24" x14ac:dyDescent="0.2">
      <c r="A3824" s="7" t="s">
        <v>483</v>
      </c>
      <c r="B3824" s="7" t="s">
        <v>288</v>
      </c>
      <c r="C3824" s="3"/>
      <c r="D3824" s="3" t="s">
        <v>678</v>
      </c>
      <c r="E3824" s="4"/>
      <c r="F3824" s="3" t="s">
        <v>129</v>
      </c>
      <c r="G3824" s="9"/>
      <c r="H3824" s="9"/>
      <c r="I3824" s="12"/>
      <c r="J3824" s="5" t="e">
        <f>SUM(SUMIFS(#REF!,#REF!,Planning[[#This Row],[Tipo de Tarea y especialidad]],#REF!,Planning[[#This Row],[Proyectos Reiwa]]),SUMIFS(#REF!,#REF!,Planning[[#This Row],[Tipo de Tarea y especialidad]],#REF!,Planning[[#This Row],[Proyectos]]))</f>
        <v>#REF!</v>
      </c>
      <c r="K3824" s="5" t="e">
        <f>+Planning[[#This Row],[Horas Planificadas]]+Planning[[#This Row],[Horas ajustadas adicionales]]-Planning[[#This Row],[Horas utilizadas]]</f>
        <v>#REF!</v>
      </c>
      <c r="L3824" s="7"/>
      <c r="M3824" s="19" t="e">
        <f>Planning[[#This Row],[Saldo]]-Planning[[#This Row],[Saldo estimado]]</f>
        <v>#REF!</v>
      </c>
      <c r="N3824" s="60" t="e">
        <f>+SUMIFS(#REF!,#REF!,Planning[[#This Row],[Proyectos]],#REF!,Planning[[#This Row],[Tipo de Tarea y especialidad]])</f>
        <v>#REF!</v>
      </c>
      <c r="O3824" s="19">
        <f t="shared" si="118"/>
        <v>10</v>
      </c>
      <c r="P3824" s="19">
        <f t="shared" si="119"/>
        <v>2024</v>
      </c>
      <c r="Q38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24" s="19" t="str">
        <f>TEXT(Planning[[#This Row],[Mes]]*29,"mmmm")</f>
        <v>October</v>
      </c>
      <c r="S38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24" s="208"/>
      <c r="U3824" s="43">
        <f>IF(Planning[[#This Row],[Horas Planificadas]]&lt;&gt;0,+K3824/Planning[[#This Row],[Horas Planificadas]],0)</f>
        <v>0</v>
      </c>
      <c r="V3824" s="43">
        <f>IF(Planning[[#This Row],[Horas Planificadas]]&lt;&gt;0,Planning[[#This Row],[Horas utilizadas]]/Planning[[#This Row],[Horas Planificadas]],0)</f>
        <v>0</v>
      </c>
      <c r="W3824" s="44">
        <f>Planning[[#This Row],[Horas Planificadas]]+Planning[[#This Row],[Horas ajustadas adicionales]]</f>
        <v>0</v>
      </c>
      <c r="X3824" s="142"/>
    </row>
    <row r="3825" spans="1:24" x14ac:dyDescent="0.2">
      <c r="A3825" s="7" t="s">
        <v>483</v>
      </c>
      <c r="B3825" s="7" t="s">
        <v>288</v>
      </c>
      <c r="C3825" s="3"/>
      <c r="D3825" s="3" t="s">
        <v>678</v>
      </c>
      <c r="E3825" s="4"/>
      <c r="F3825" s="3" t="s">
        <v>130</v>
      </c>
      <c r="G3825" s="9"/>
      <c r="H3825" s="9"/>
      <c r="I3825" s="12"/>
      <c r="J3825" s="5" t="e">
        <f>SUM(SUMIFS(#REF!,#REF!,Planning[[#This Row],[Tipo de Tarea y especialidad]],#REF!,Planning[[#This Row],[Proyectos Reiwa]]),SUMIFS(#REF!,#REF!,Planning[[#This Row],[Tipo de Tarea y especialidad]],#REF!,Planning[[#This Row],[Proyectos]]))</f>
        <v>#REF!</v>
      </c>
      <c r="K3825" s="5" t="e">
        <f>+Planning[[#This Row],[Horas Planificadas]]+Planning[[#This Row],[Horas ajustadas adicionales]]-Planning[[#This Row],[Horas utilizadas]]</f>
        <v>#REF!</v>
      </c>
      <c r="L3825" s="7"/>
      <c r="M3825" s="19" t="e">
        <f>Planning[[#This Row],[Saldo]]-Planning[[#This Row],[Saldo estimado]]</f>
        <v>#REF!</v>
      </c>
      <c r="N3825" s="60" t="e">
        <f>+SUMIFS(#REF!,#REF!,Planning[[#This Row],[Proyectos]],#REF!,Planning[[#This Row],[Tipo de Tarea y especialidad]])</f>
        <v>#REF!</v>
      </c>
      <c r="O3825" s="19">
        <f t="shared" si="118"/>
        <v>10</v>
      </c>
      <c r="P3825" s="19">
        <f t="shared" si="119"/>
        <v>2024</v>
      </c>
      <c r="Q38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25" s="19" t="str">
        <f>TEXT(Planning[[#This Row],[Mes]]*29,"mmmm")</f>
        <v>October</v>
      </c>
      <c r="S38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25" s="208"/>
      <c r="U3825" s="43">
        <f>IF(Planning[[#This Row],[Horas Planificadas]]&lt;&gt;0,+K3825/Planning[[#This Row],[Horas Planificadas]],0)</f>
        <v>0</v>
      </c>
      <c r="V3825" s="43">
        <f>IF(Planning[[#This Row],[Horas Planificadas]]&lt;&gt;0,Planning[[#This Row],[Horas utilizadas]]/Planning[[#This Row],[Horas Planificadas]],0)</f>
        <v>0</v>
      </c>
      <c r="W3825" s="44">
        <f>Planning[[#This Row],[Horas Planificadas]]+Planning[[#This Row],[Horas ajustadas adicionales]]</f>
        <v>0</v>
      </c>
      <c r="X3825" s="142"/>
    </row>
    <row r="3826" spans="1:24" x14ac:dyDescent="0.2">
      <c r="A3826" s="7" t="s">
        <v>483</v>
      </c>
      <c r="B3826" s="7" t="s">
        <v>288</v>
      </c>
      <c r="C3826" s="3"/>
      <c r="D3826" s="3" t="s">
        <v>678</v>
      </c>
      <c r="E3826" s="4"/>
      <c r="F3826" s="3" t="s">
        <v>131</v>
      </c>
      <c r="G3826" s="9"/>
      <c r="H3826" s="9">
        <v>180</v>
      </c>
      <c r="I3826" s="12"/>
      <c r="J3826" s="5" t="e">
        <f>SUM(SUMIFS(#REF!,#REF!,Planning[[#This Row],[Tipo de Tarea y especialidad]],#REF!,Planning[[#This Row],[Proyectos Reiwa]]),SUMIFS(#REF!,#REF!,Planning[[#This Row],[Tipo de Tarea y especialidad]],#REF!,Planning[[#This Row],[Proyectos]]))</f>
        <v>#REF!</v>
      </c>
      <c r="K3826" s="5" t="e">
        <f>+Planning[[#This Row],[Horas Planificadas]]+Planning[[#This Row],[Horas ajustadas adicionales]]-Planning[[#This Row],[Horas utilizadas]]</f>
        <v>#REF!</v>
      </c>
      <c r="L3826" s="7"/>
      <c r="M3826" s="19" t="e">
        <f>Planning[[#This Row],[Saldo]]-Planning[[#This Row],[Saldo estimado]]</f>
        <v>#REF!</v>
      </c>
      <c r="N3826" s="60" t="e">
        <f>+SUMIFS(#REF!,#REF!,Planning[[#This Row],[Proyectos]],#REF!,Planning[[#This Row],[Tipo de Tarea y especialidad]])</f>
        <v>#REF!</v>
      </c>
      <c r="O3826" s="19">
        <f t="shared" si="118"/>
        <v>10</v>
      </c>
      <c r="P3826" s="19">
        <f t="shared" si="119"/>
        <v>2024</v>
      </c>
      <c r="Q38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26" s="19" t="str">
        <f>TEXT(Planning[[#This Row],[Mes]]*29,"mmmm")</f>
        <v>October</v>
      </c>
      <c r="S38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26" s="208"/>
      <c r="U3826" s="43" t="e">
        <f>IF(Planning[[#This Row],[Horas Planificadas]]&lt;&gt;0,+K3826/Planning[[#This Row],[Horas Planificadas]],0)</f>
        <v>#REF!</v>
      </c>
      <c r="V3826" s="43" t="e">
        <f>IF(Planning[[#This Row],[Horas Planificadas]]&lt;&gt;0,Planning[[#This Row],[Horas utilizadas]]/Planning[[#This Row],[Horas Planificadas]],0)</f>
        <v>#REF!</v>
      </c>
      <c r="W3826" s="44">
        <f>Planning[[#This Row],[Horas Planificadas]]+Planning[[#This Row],[Horas ajustadas adicionales]]</f>
        <v>180</v>
      </c>
      <c r="X3826" s="142"/>
    </row>
    <row r="3827" spans="1:24" ht="12.75" customHeight="1" x14ac:dyDescent="0.2">
      <c r="A3827" s="7" t="s">
        <v>168</v>
      </c>
      <c r="B3827" s="7" t="s">
        <v>205</v>
      </c>
      <c r="C3827" s="3"/>
      <c r="D3827" s="3" t="s">
        <v>680</v>
      </c>
      <c r="E3827" s="4" t="s">
        <v>28</v>
      </c>
      <c r="F3827" s="3"/>
      <c r="G3827" s="9">
        <v>1300</v>
      </c>
      <c r="H3827" s="14">
        <f>SUBTOTAL(9,H3828:H3829)</f>
        <v>1300</v>
      </c>
      <c r="I3827" s="14"/>
      <c r="J3827" s="14" t="e">
        <f>SUM(J3828:J3829)</f>
        <v>#REF!</v>
      </c>
      <c r="K3827" s="18" t="e">
        <f>SUM(K3828:K3829)</f>
        <v>#REF!</v>
      </c>
      <c r="L3827" s="15" t="e">
        <f>SUM(L3828:L3829)</f>
        <v>#REF!</v>
      </c>
      <c r="M3827" s="14" t="e">
        <f>SUM(M3828:M3829)</f>
        <v>#REF!</v>
      </c>
      <c r="N3827" s="66" t="e">
        <f>+SUMIFS(#REF!,#REF!,Planning[[#This Row],[Proyectos]],#REF!,Planning[[#This Row],[Tipo de Tarea y especialidad]])</f>
        <v>#REF!</v>
      </c>
      <c r="O3827" s="14">
        <f t="shared" si="118"/>
        <v>10</v>
      </c>
      <c r="P3827" s="14">
        <f t="shared" si="119"/>
        <v>2024</v>
      </c>
      <c r="Q3827" s="28" t="e">
        <f>SUM(Q3828:Q3829)</f>
        <v>#REF!</v>
      </c>
      <c r="R3827" s="28" t="str">
        <f>TEXT(Planning[[#This Row],[Mes]]*29,"mmmm")</f>
        <v>October</v>
      </c>
      <c r="S38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27" s="256" t="s">
        <v>681</v>
      </c>
      <c r="U3827" s="43" t="e">
        <f>IF(Planning[[#This Row],[Horas Planificadas]]&lt;&gt;0,+K3827/Planning[[#This Row],[Horas Planificadas]],0)</f>
        <v>#REF!</v>
      </c>
      <c r="V3827" s="43" t="e">
        <f>IF(Planning[[#This Row],[Horas Planificadas]]&lt;&gt;0,Planning[[#This Row],[Horas utilizadas]]/Planning[[#This Row],[Horas Planificadas]],0)</f>
        <v>#REF!</v>
      </c>
      <c r="W3827" s="44">
        <f>Planning[[#This Row],[Horas Planificadas]]+Planning[[#This Row],[Horas ajustadas adicionales]]</f>
        <v>1300</v>
      </c>
      <c r="X3827" s="142"/>
    </row>
    <row r="3828" spans="1:24" x14ac:dyDescent="0.2">
      <c r="A3828" s="7" t="s">
        <v>168</v>
      </c>
      <c r="B3828" s="7" t="s">
        <v>205</v>
      </c>
      <c r="C3828" s="3"/>
      <c r="D3828" s="3" t="s">
        <v>680</v>
      </c>
      <c r="E3828" s="4"/>
      <c r="F3828" s="3" t="s">
        <v>120</v>
      </c>
      <c r="G3828" s="9"/>
      <c r="H3828" s="9">
        <v>1300</v>
      </c>
      <c r="I3828" s="12"/>
      <c r="J3828" s="5" t="e">
        <f>SUM(SUMIFS(#REF!,#REF!,Planning[[#This Row],[Tipo de Tarea y especialidad]],#REF!,Planning[[#This Row],[Proyectos Reiwa]]),SUMIFS(#REF!,#REF!,Planning[[#This Row],[Tipo de Tarea y especialidad]],#REF!,Planning[[#This Row],[Proyectos]]))</f>
        <v>#REF!</v>
      </c>
      <c r="K3828" s="5" t="e">
        <f>Planning[[#This Row],[Horas Planificadas]]+Planning[[#This Row],[Horas ajustadas adicionales]]-Planning[[#This Row],[Horas utilizadas]]</f>
        <v>#REF!</v>
      </c>
      <c r="L3828" s="7">
        <v>434</v>
      </c>
      <c r="M3828" s="19" t="e">
        <f>Planning[[#This Row],[Saldo]]-Planning[[#This Row],[Saldo estimado]]</f>
        <v>#REF!</v>
      </c>
      <c r="N3828" s="60" t="e">
        <f>+SUMIFS(#REF!,#REF!,Planning[[#This Row],[Proyectos]],#REF!,Planning[[#This Row],[Tipo de Tarea y especialidad]])</f>
        <v>#REF!</v>
      </c>
      <c r="O3828" s="19">
        <f t="shared" si="118"/>
        <v>10</v>
      </c>
      <c r="P3828" s="19">
        <f t="shared" si="119"/>
        <v>2024</v>
      </c>
      <c r="Q38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28" s="19" t="str">
        <f>TEXT(Planning[[#This Row],[Mes]]*29,"mmmm")</f>
        <v>October</v>
      </c>
      <c r="S38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28" s="210"/>
      <c r="U3828" s="43" t="e">
        <f>IF(Planning[[#This Row],[Horas Planificadas]]&lt;&gt;0,+K3828/Planning[[#This Row],[Horas Planificadas]],0)</f>
        <v>#REF!</v>
      </c>
      <c r="V3828" s="43" t="e">
        <f>IF(Planning[[#This Row],[Horas Planificadas]]&lt;&gt;0,Planning[[#This Row],[Horas utilizadas]]/Planning[[#This Row],[Horas Planificadas]],0)</f>
        <v>#REF!</v>
      </c>
      <c r="W3828" s="44">
        <f>Planning[[#This Row],[Horas Planificadas]]+Planning[[#This Row],[Horas ajustadas adicionales]]</f>
        <v>1300</v>
      </c>
      <c r="X3828" s="142"/>
    </row>
    <row r="3829" spans="1:24" x14ac:dyDescent="0.2">
      <c r="A3829" s="7" t="s">
        <v>168</v>
      </c>
      <c r="B3829" s="7" t="s">
        <v>205</v>
      </c>
      <c r="C3829" s="3"/>
      <c r="D3829" s="3" t="s">
        <v>680</v>
      </c>
      <c r="E3829" s="4"/>
      <c r="F3829" s="3" t="s">
        <v>121</v>
      </c>
      <c r="G3829" s="9"/>
      <c r="H3829" s="9"/>
      <c r="I3829" s="12"/>
      <c r="J3829" s="5" t="e">
        <f>SUM(SUMIFS(#REF!,#REF!,Planning[[#This Row],[Tipo de Tarea y especialidad]],#REF!,Planning[[#This Row],[Proyectos Reiwa]]),SUMIFS(#REF!,#REF!,Planning[[#This Row],[Tipo de Tarea y especialidad]],#REF!,Planning[[#This Row],[Proyectos]]))</f>
        <v>#REF!</v>
      </c>
      <c r="K3829" s="5" t="e">
        <f>Planning[[#This Row],[Horas Planificadas]]+Planning[[#This Row],[Horas ajustadas adicionales]]-Planning[[#This Row],[Horas utilizadas]]</f>
        <v>#REF!</v>
      </c>
      <c r="L3829" s="7" t="e">
        <f>Planning[[#This Row],[Saldo]]</f>
        <v>#REF!</v>
      </c>
      <c r="M3829" s="19" t="e">
        <f>Planning[[#This Row],[Saldo]]-Planning[[#This Row],[Saldo estimado]]</f>
        <v>#REF!</v>
      </c>
      <c r="N3829" s="60" t="e">
        <f>+SUMIFS(#REF!,#REF!,Planning[[#This Row],[Proyectos]],#REF!,Planning[[#This Row],[Tipo de Tarea y especialidad]])</f>
        <v>#REF!</v>
      </c>
      <c r="O3829" s="19">
        <f t="shared" si="118"/>
        <v>10</v>
      </c>
      <c r="P3829" s="19">
        <f t="shared" si="119"/>
        <v>2024</v>
      </c>
      <c r="Q38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29" s="19" t="str">
        <f>TEXT(Planning[[#This Row],[Mes]]*29,"mmmm")</f>
        <v>October</v>
      </c>
      <c r="S38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29" s="210"/>
      <c r="U3829" s="43">
        <f>IF(Planning[[#This Row],[Horas Planificadas]]&lt;&gt;0,+K3829/Planning[[#This Row],[Horas Planificadas]],0)</f>
        <v>0</v>
      </c>
      <c r="V3829" s="43">
        <f>IF(Planning[[#This Row],[Horas Planificadas]]&lt;&gt;0,Planning[[#This Row],[Horas utilizadas]]/Planning[[#This Row],[Horas Planificadas]],0)</f>
        <v>0</v>
      </c>
      <c r="W3829" s="44">
        <f>Planning[[#This Row],[Horas Planificadas]]+Planning[[#This Row],[Horas ajustadas adicionales]]</f>
        <v>0</v>
      </c>
      <c r="X3829" s="142"/>
    </row>
    <row r="3830" spans="1:24" x14ac:dyDescent="0.2">
      <c r="A3830" s="7" t="s">
        <v>168</v>
      </c>
      <c r="B3830" s="7" t="s">
        <v>205</v>
      </c>
      <c r="C3830" s="3"/>
      <c r="D3830" s="3" t="s">
        <v>680</v>
      </c>
      <c r="E3830" s="4" t="s">
        <v>30</v>
      </c>
      <c r="F3830" s="3"/>
      <c r="G3830" s="9">
        <v>27</v>
      </c>
      <c r="H3830" s="14">
        <f>SUBTOTAL(9,H3831:H3837)</f>
        <v>27</v>
      </c>
      <c r="I3830" s="14"/>
      <c r="J3830" s="14" t="e">
        <f>SUM(J3831:J3837)</f>
        <v>#REF!</v>
      </c>
      <c r="K3830" s="18" t="e">
        <f>SUM(K3831:K3837)</f>
        <v>#REF!</v>
      </c>
      <c r="L3830" s="15" t="e">
        <f>SUM(L3831:L3837)</f>
        <v>#REF!</v>
      </c>
      <c r="M3830" s="16" t="e">
        <f>SUM(M3831:M3837)</f>
        <v>#REF!</v>
      </c>
      <c r="N3830" s="60" t="e">
        <f>+SUMIFS(#REF!,#REF!,Planning[[#This Row],[Proyectos]],#REF!,Planning[[#This Row],[Tipo de Tarea y especialidad]])</f>
        <v>#REF!</v>
      </c>
      <c r="O3830" s="16">
        <f t="shared" si="118"/>
        <v>10</v>
      </c>
      <c r="P3830" s="16">
        <f t="shared" si="119"/>
        <v>2024</v>
      </c>
      <c r="Q3830" s="16" t="e">
        <f>SUM(Q3831:Q3837)</f>
        <v>#REF!</v>
      </c>
      <c r="R3830" s="16" t="str">
        <f>TEXT(Planning[[#This Row],[Mes]]*29,"mmmm")</f>
        <v>October</v>
      </c>
      <c r="S38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30" s="210"/>
      <c r="U3830" s="43" t="e">
        <f>IF(Planning[[#This Row],[Horas Planificadas]]&lt;&gt;0,+K3830/Planning[[#This Row],[Horas Planificadas]],0)</f>
        <v>#REF!</v>
      </c>
      <c r="V3830" s="43" t="e">
        <f>IF(Planning[[#This Row],[Horas Planificadas]]&lt;&gt;0,Planning[[#This Row],[Horas utilizadas]]/Planning[[#This Row],[Horas Planificadas]],0)</f>
        <v>#REF!</v>
      </c>
      <c r="W3830" s="44">
        <f>Planning[[#This Row],[Horas Planificadas]]+Planning[[#This Row],[Horas ajustadas adicionales]]</f>
        <v>27</v>
      </c>
      <c r="X3830" s="142"/>
    </row>
    <row r="3831" spans="1:24" x14ac:dyDescent="0.2">
      <c r="A3831" s="7" t="s">
        <v>168</v>
      </c>
      <c r="B3831" s="7" t="s">
        <v>205</v>
      </c>
      <c r="C3831" s="3"/>
      <c r="D3831" s="3" t="s">
        <v>680</v>
      </c>
      <c r="E3831" s="4"/>
      <c r="F3831" s="3" t="s">
        <v>122</v>
      </c>
      <c r="G3831" s="9"/>
      <c r="H3831" s="9"/>
      <c r="I3831" s="12"/>
      <c r="J3831" s="5" t="e">
        <f>SUM(SUMIFS(#REF!,#REF!,Planning[[#This Row],[Tipo de Tarea y especialidad]],#REF!,Planning[[#This Row],[Proyectos Reiwa]]),SUMIFS(#REF!,#REF!,Planning[[#This Row],[Tipo de Tarea y especialidad]],#REF!,Planning[[#This Row],[Proyectos]]))</f>
        <v>#REF!</v>
      </c>
      <c r="K3831" s="5" t="e">
        <f>Planning[[#This Row],[Horas Planificadas]]+Planning[[#This Row],[Horas ajustadas adicionales]]-Planning[[#This Row],[Horas utilizadas]]</f>
        <v>#REF!</v>
      </c>
      <c r="L3831" s="7"/>
      <c r="M3831" s="19" t="e">
        <f>Planning[[#This Row],[Saldo]]-Planning[[#This Row],[Saldo estimado]]</f>
        <v>#REF!</v>
      </c>
      <c r="N3831" s="60" t="e">
        <f>+SUMIFS(#REF!,#REF!,Planning[[#This Row],[Proyectos]],#REF!,Planning[[#This Row],[Tipo de Tarea y especialidad]])</f>
        <v>#REF!</v>
      </c>
      <c r="O3831" s="19">
        <f t="shared" si="118"/>
        <v>10</v>
      </c>
      <c r="P3831" s="19">
        <f t="shared" si="119"/>
        <v>2024</v>
      </c>
      <c r="Q38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31" s="19" t="str">
        <f>TEXT(Planning[[#This Row],[Mes]]*29,"mmmm")</f>
        <v>October</v>
      </c>
      <c r="S38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31" s="210"/>
      <c r="U3831" s="43">
        <f>IF(Planning[[#This Row],[Horas Planificadas]]&lt;&gt;0,+K3831/Planning[[#This Row],[Horas Planificadas]],0)</f>
        <v>0</v>
      </c>
      <c r="V3831" s="43">
        <f>IF(Planning[[#This Row],[Horas Planificadas]]&lt;&gt;0,Planning[[#This Row],[Horas utilizadas]]/Planning[[#This Row],[Horas Planificadas]],0)</f>
        <v>0</v>
      </c>
      <c r="W3831" s="44">
        <f>Planning[[#This Row],[Horas Planificadas]]+Planning[[#This Row],[Horas ajustadas adicionales]]</f>
        <v>0</v>
      </c>
      <c r="X3831" s="142"/>
    </row>
    <row r="3832" spans="1:24" x14ac:dyDescent="0.2">
      <c r="A3832" s="7" t="s">
        <v>168</v>
      </c>
      <c r="B3832" s="7" t="s">
        <v>205</v>
      </c>
      <c r="C3832" s="3"/>
      <c r="D3832" s="3" t="s">
        <v>680</v>
      </c>
      <c r="E3832" s="4"/>
      <c r="F3832" s="3" t="s">
        <v>123</v>
      </c>
      <c r="G3832" s="9"/>
      <c r="H3832" s="9"/>
      <c r="I3832" s="12"/>
      <c r="J3832" s="5" t="e">
        <f>SUM(SUMIFS(#REF!,#REF!,Planning[[#This Row],[Tipo de Tarea y especialidad]],#REF!,Planning[[#This Row],[Proyectos Reiwa]]),SUMIFS(#REF!,#REF!,Planning[[#This Row],[Tipo de Tarea y especialidad]],#REF!,Planning[[#This Row],[Proyectos]]))</f>
        <v>#REF!</v>
      </c>
      <c r="K3832" s="5" t="e">
        <f>Planning[[#This Row],[Horas Planificadas]]+Planning[[#This Row],[Horas ajustadas adicionales]]-Planning[[#This Row],[Horas utilizadas]]</f>
        <v>#REF!</v>
      </c>
      <c r="L3832" s="7" t="e">
        <f>Planning[[#This Row],[Saldo]]</f>
        <v>#REF!</v>
      </c>
      <c r="M3832" s="19" t="e">
        <f>Planning[[#This Row],[Saldo]]-Planning[[#This Row],[Saldo estimado]]</f>
        <v>#REF!</v>
      </c>
      <c r="N3832" s="60" t="e">
        <f>+SUMIFS(#REF!,#REF!,Planning[[#This Row],[Proyectos]],#REF!,Planning[[#This Row],[Tipo de Tarea y especialidad]])</f>
        <v>#REF!</v>
      </c>
      <c r="O3832" s="19">
        <f t="shared" si="118"/>
        <v>10</v>
      </c>
      <c r="P3832" s="19">
        <f t="shared" si="119"/>
        <v>2024</v>
      </c>
      <c r="Q38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32" s="19" t="str">
        <f>TEXT(Planning[[#This Row],[Mes]]*29,"mmmm")</f>
        <v>October</v>
      </c>
      <c r="S38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32" s="210"/>
      <c r="U3832" s="43">
        <f>IF(Planning[[#This Row],[Horas Planificadas]]&lt;&gt;0,+K3832/Planning[[#This Row],[Horas Planificadas]],0)</f>
        <v>0</v>
      </c>
      <c r="V3832" s="43">
        <f>IF(Planning[[#This Row],[Horas Planificadas]]&lt;&gt;0,Planning[[#This Row],[Horas utilizadas]]/Planning[[#This Row],[Horas Planificadas]],0)</f>
        <v>0</v>
      </c>
      <c r="W3832" s="44">
        <f>Planning[[#This Row],[Horas Planificadas]]+Planning[[#This Row],[Horas ajustadas adicionales]]</f>
        <v>0</v>
      </c>
      <c r="X3832" s="142"/>
    </row>
    <row r="3833" spans="1:24" x14ac:dyDescent="0.2">
      <c r="A3833" s="7" t="s">
        <v>168</v>
      </c>
      <c r="B3833" s="7" t="s">
        <v>205</v>
      </c>
      <c r="C3833" s="3"/>
      <c r="D3833" s="3" t="s">
        <v>680</v>
      </c>
      <c r="E3833" s="4"/>
      <c r="F3833" s="3" t="s">
        <v>124</v>
      </c>
      <c r="G3833" s="9"/>
      <c r="H3833" s="9"/>
      <c r="I3833" s="12"/>
      <c r="J3833" s="5" t="e">
        <f>SUM(SUMIFS(#REF!,#REF!,Planning[[#This Row],[Tipo de Tarea y especialidad]],#REF!,Planning[[#This Row],[Proyectos Reiwa]]),SUMIFS(#REF!,#REF!,Planning[[#This Row],[Tipo de Tarea y especialidad]],#REF!,Planning[[#This Row],[Proyectos]]))</f>
        <v>#REF!</v>
      </c>
      <c r="K3833" s="5" t="e">
        <f>Planning[[#This Row],[Horas Planificadas]]+Planning[[#This Row],[Horas ajustadas adicionales]]-Planning[[#This Row],[Horas utilizadas]]</f>
        <v>#REF!</v>
      </c>
      <c r="L3833" s="7"/>
      <c r="M3833" s="19" t="e">
        <f>Planning[[#This Row],[Saldo]]-Planning[[#This Row],[Saldo estimado]]</f>
        <v>#REF!</v>
      </c>
      <c r="N3833" s="60" t="e">
        <f>+SUMIFS(#REF!,#REF!,Planning[[#This Row],[Proyectos]],#REF!,Planning[[#This Row],[Tipo de Tarea y especialidad]])</f>
        <v>#REF!</v>
      </c>
      <c r="O3833" s="19">
        <f t="shared" si="118"/>
        <v>10</v>
      </c>
      <c r="P3833" s="19">
        <f t="shared" si="119"/>
        <v>2024</v>
      </c>
      <c r="Q38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33" s="19" t="str">
        <f>TEXT(Planning[[#This Row],[Mes]]*29,"mmmm")</f>
        <v>October</v>
      </c>
      <c r="S38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33" s="210"/>
      <c r="U3833" s="43">
        <f>IF(Planning[[#This Row],[Horas Planificadas]]&lt;&gt;0,+K3833/Planning[[#This Row],[Horas Planificadas]],0)</f>
        <v>0</v>
      </c>
      <c r="V3833" s="43">
        <f>IF(Planning[[#This Row],[Horas Planificadas]]&lt;&gt;0,Planning[[#This Row],[Horas utilizadas]]/Planning[[#This Row],[Horas Planificadas]],0)</f>
        <v>0</v>
      </c>
      <c r="W3833" s="44">
        <f>Planning[[#This Row],[Horas Planificadas]]+Planning[[#This Row],[Horas ajustadas adicionales]]</f>
        <v>0</v>
      </c>
      <c r="X3833" s="142"/>
    </row>
    <row r="3834" spans="1:24" x14ac:dyDescent="0.2">
      <c r="A3834" s="7" t="s">
        <v>168</v>
      </c>
      <c r="B3834" s="7" t="s">
        <v>205</v>
      </c>
      <c r="C3834" s="3"/>
      <c r="D3834" s="3" t="s">
        <v>680</v>
      </c>
      <c r="E3834" s="4"/>
      <c r="F3834" s="3" t="s">
        <v>125</v>
      </c>
      <c r="G3834" s="9"/>
      <c r="H3834" s="9">
        <v>27</v>
      </c>
      <c r="I3834" s="12"/>
      <c r="J3834" s="5" t="e">
        <f>SUM(SUMIFS(#REF!,#REF!,Planning[[#This Row],[Tipo de Tarea y especialidad]],#REF!,Planning[[#This Row],[Proyectos Reiwa]]),SUMIFS(#REF!,#REF!,Planning[[#This Row],[Tipo de Tarea y especialidad]],#REF!,Planning[[#This Row],[Proyectos]]))</f>
        <v>#REF!</v>
      </c>
      <c r="K3834" s="5" t="e">
        <f>Planning[[#This Row],[Horas Planificadas]]+Planning[[#This Row],[Horas ajustadas adicionales]]-Planning[[#This Row],[Horas utilizadas]]</f>
        <v>#REF!</v>
      </c>
      <c r="L3834" s="7">
        <v>27</v>
      </c>
      <c r="M3834" s="19" t="e">
        <f>Planning[[#This Row],[Saldo]]-Planning[[#This Row],[Saldo estimado]]</f>
        <v>#REF!</v>
      </c>
      <c r="N3834" s="60" t="e">
        <f>+SUMIFS(#REF!,#REF!,Planning[[#This Row],[Proyectos]],#REF!,Planning[[#This Row],[Tipo de Tarea y especialidad]])</f>
        <v>#REF!</v>
      </c>
      <c r="O3834" s="19">
        <f t="shared" si="118"/>
        <v>10</v>
      </c>
      <c r="P3834" s="19">
        <f t="shared" si="119"/>
        <v>2024</v>
      </c>
      <c r="Q38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34" s="19" t="str">
        <f>TEXT(Planning[[#This Row],[Mes]]*29,"mmmm")</f>
        <v>October</v>
      </c>
      <c r="S38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34" s="210"/>
      <c r="U3834" s="43" t="e">
        <f>IF(Planning[[#This Row],[Horas Planificadas]]&lt;&gt;0,+K3834/Planning[[#This Row],[Horas Planificadas]],0)</f>
        <v>#REF!</v>
      </c>
      <c r="V3834" s="43" t="e">
        <f>IF(Planning[[#This Row],[Horas Planificadas]]&lt;&gt;0,Planning[[#This Row],[Horas utilizadas]]/Planning[[#This Row],[Horas Planificadas]],0)</f>
        <v>#REF!</v>
      </c>
      <c r="W3834" s="44">
        <f>Planning[[#This Row],[Horas Planificadas]]+Planning[[#This Row],[Horas ajustadas adicionales]]</f>
        <v>27</v>
      </c>
      <c r="X3834" s="142"/>
    </row>
    <row r="3835" spans="1:24" x14ac:dyDescent="0.2">
      <c r="A3835" s="7" t="s">
        <v>168</v>
      </c>
      <c r="B3835" s="7" t="s">
        <v>205</v>
      </c>
      <c r="C3835" s="3"/>
      <c r="D3835" s="3" t="s">
        <v>680</v>
      </c>
      <c r="E3835" s="4"/>
      <c r="F3835" s="3" t="s">
        <v>126</v>
      </c>
      <c r="G3835" s="9"/>
      <c r="H3835" s="9"/>
      <c r="I3835" s="12"/>
      <c r="J3835" s="5" t="e">
        <f>SUM(SUMIFS(#REF!,#REF!,Planning[[#This Row],[Tipo de Tarea y especialidad]],#REF!,Planning[[#This Row],[Proyectos Reiwa]]),SUMIFS(#REF!,#REF!,Planning[[#This Row],[Tipo de Tarea y especialidad]],#REF!,Planning[[#This Row],[Proyectos]]))</f>
        <v>#REF!</v>
      </c>
      <c r="K3835" s="5" t="e">
        <f>Planning[[#This Row],[Horas Planificadas]]+Planning[[#This Row],[Horas ajustadas adicionales]]-Planning[[#This Row],[Horas utilizadas]]</f>
        <v>#REF!</v>
      </c>
      <c r="L3835" s="7"/>
      <c r="M3835" s="19" t="e">
        <f>Planning[[#This Row],[Saldo]]-Planning[[#This Row],[Saldo estimado]]</f>
        <v>#REF!</v>
      </c>
      <c r="N3835" s="60" t="e">
        <f>+SUMIFS(#REF!,#REF!,Planning[[#This Row],[Proyectos]],#REF!,Planning[[#This Row],[Tipo de Tarea y especialidad]])</f>
        <v>#REF!</v>
      </c>
      <c r="O3835" s="19">
        <f t="shared" si="118"/>
        <v>10</v>
      </c>
      <c r="P3835" s="19">
        <f t="shared" si="119"/>
        <v>2024</v>
      </c>
      <c r="Q38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35" s="19" t="str">
        <f>TEXT(Planning[[#This Row],[Mes]]*29,"mmmm")</f>
        <v>October</v>
      </c>
      <c r="S38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35" s="210"/>
      <c r="U3835" s="43">
        <f>IF(Planning[[#This Row],[Horas Planificadas]]&lt;&gt;0,+K3835/Planning[[#This Row],[Horas Planificadas]],0)</f>
        <v>0</v>
      </c>
      <c r="V3835" s="43">
        <f>IF(Planning[[#This Row],[Horas Planificadas]]&lt;&gt;0,Planning[[#This Row],[Horas utilizadas]]/Planning[[#This Row],[Horas Planificadas]],0)</f>
        <v>0</v>
      </c>
      <c r="W3835" s="44">
        <f>Planning[[#This Row],[Horas Planificadas]]+Planning[[#This Row],[Horas ajustadas adicionales]]</f>
        <v>0</v>
      </c>
      <c r="X3835" s="142"/>
    </row>
    <row r="3836" spans="1:24" x14ac:dyDescent="0.2">
      <c r="A3836" s="7" t="s">
        <v>168</v>
      </c>
      <c r="B3836" s="7" t="s">
        <v>205</v>
      </c>
      <c r="C3836" s="3"/>
      <c r="D3836" s="3" t="s">
        <v>680</v>
      </c>
      <c r="E3836" s="4"/>
      <c r="F3836" s="3" t="s">
        <v>127</v>
      </c>
      <c r="G3836" s="9"/>
      <c r="H3836" s="9"/>
      <c r="I3836" s="12"/>
      <c r="J3836" s="5" t="e">
        <f>SUM(SUMIFS(#REF!,#REF!,Planning[[#This Row],[Tipo de Tarea y especialidad]],#REF!,Planning[[#This Row],[Proyectos Reiwa]]),SUMIFS(#REF!,#REF!,Planning[[#This Row],[Tipo de Tarea y especialidad]],#REF!,Planning[[#This Row],[Proyectos]]))</f>
        <v>#REF!</v>
      </c>
      <c r="K3836" s="5" t="e">
        <f>Planning[[#This Row],[Horas Planificadas]]+Planning[[#This Row],[Horas ajustadas adicionales]]-Planning[[#This Row],[Horas utilizadas]]</f>
        <v>#REF!</v>
      </c>
      <c r="L3836" s="7" t="e">
        <f>Planning[[#This Row],[Saldo]]</f>
        <v>#REF!</v>
      </c>
      <c r="M3836" s="19" t="e">
        <f>Planning[[#This Row],[Saldo]]-Planning[[#This Row],[Saldo estimado]]</f>
        <v>#REF!</v>
      </c>
      <c r="N3836" s="60" t="e">
        <f>+SUMIFS(#REF!,#REF!,Planning[[#This Row],[Proyectos]],#REF!,Planning[[#This Row],[Tipo de Tarea y especialidad]])</f>
        <v>#REF!</v>
      </c>
      <c r="O3836" s="19">
        <f t="shared" si="118"/>
        <v>10</v>
      </c>
      <c r="P3836" s="19">
        <f t="shared" si="119"/>
        <v>2024</v>
      </c>
      <c r="Q38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36" s="19" t="str">
        <f>TEXT(Planning[[#This Row],[Mes]]*29,"mmmm")</f>
        <v>October</v>
      </c>
      <c r="S38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36" s="210"/>
      <c r="U3836" s="43">
        <f>IF(Planning[[#This Row],[Horas Planificadas]]&lt;&gt;0,+K3836/Planning[[#This Row],[Horas Planificadas]],0)</f>
        <v>0</v>
      </c>
      <c r="V3836" s="43">
        <f>IF(Planning[[#This Row],[Horas Planificadas]]&lt;&gt;0,Planning[[#This Row],[Horas utilizadas]]/Planning[[#This Row],[Horas Planificadas]],0)</f>
        <v>0</v>
      </c>
      <c r="W3836" s="44">
        <f>Planning[[#This Row],[Horas Planificadas]]+Planning[[#This Row],[Horas ajustadas adicionales]]</f>
        <v>0</v>
      </c>
      <c r="X3836" s="142"/>
    </row>
    <row r="3837" spans="1:24" x14ac:dyDescent="0.2">
      <c r="A3837" s="7" t="s">
        <v>168</v>
      </c>
      <c r="B3837" s="7" t="s">
        <v>205</v>
      </c>
      <c r="C3837" s="3"/>
      <c r="D3837" s="3" t="s">
        <v>680</v>
      </c>
      <c r="E3837" s="4"/>
      <c r="F3837" s="3" t="s">
        <v>128</v>
      </c>
      <c r="G3837" s="9"/>
      <c r="H3837" s="9"/>
      <c r="I3837" s="12"/>
      <c r="J3837" s="5" t="e">
        <f>SUM(SUMIFS(#REF!,#REF!,Planning[[#This Row],[Tipo de Tarea y especialidad]],#REF!,Planning[[#This Row],[Proyectos Reiwa]]),SUMIFS(#REF!,#REF!,Planning[[#This Row],[Tipo de Tarea y especialidad]],#REF!,Planning[[#This Row],[Proyectos]]))</f>
        <v>#REF!</v>
      </c>
      <c r="K3837" s="5" t="e">
        <f>Planning[[#This Row],[Horas Planificadas]]+Planning[[#This Row],[Horas ajustadas adicionales]]-Planning[[#This Row],[Horas utilizadas]]</f>
        <v>#REF!</v>
      </c>
      <c r="L3837" s="7"/>
      <c r="M3837" s="19" t="e">
        <f>Planning[[#This Row],[Saldo]]-Planning[[#This Row],[Saldo estimado]]</f>
        <v>#REF!</v>
      </c>
      <c r="N3837" s="60" t="e">
        <f>+SUMIFS(#REF!,#REF!,Planning[[#This Row],[Proyectos]],#REF!,Planning[[#This Row],[Tipo de Tarea y especialidad]])</f>
        <v>#REF!</v>
      </c>
      <c r="O3837" s="19">
        <f t="shared" si="118"/>
        <v>10</v>
      </c>
      <c r="P3837" s="19">
        <f t="shared" si="119"/>
        <v>2024</v>
      </c>
      <c r="Q38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37" s="19" t="str">
        <f>TEXT(Planning[[#This Row],[Mes]]*29,"mmmm")</f>
        <v>October</v>
      </c>
      <c r="S38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37" s="210"/>
      <c r="U3837" s="43">
        <f>IF(Planning[[#This Row],[Horas Planificadas]]&lt;&gt;0,+K3837/Planning[[#This Row],[Horas Planificadas]],0)</f>
        <v>0</v>
      </c>
      <c r="V3837" s="43">
        <f>IF(Planning[[#This Row],[Horas Planificadas]]&lt;&gt;0,Planning[[#This Row],[Horas utilizadas]]/Planning[[#This Row],[Horas Planificadas]],0)</f>
        <v>0</v>
      </c>
      <c r="W3837" s="44">
        <f>Planning[[#This Row],[Horas Planificadas]]+Planning[[#This Row],[Horas ajustadas adicionales]]</f>
        <v>0</v>
      </c>
      <c r="X3837" s="142"/>
    </row>
    <row r="3838" spans="1:24" x14ac:dyDescent="0.2">
      <c r="A3838" s="7" t="s">
        <v>168</v>
      </c>
      <c r="B3838" s="7" t="s">
        <v>205</v>
      </c>
      <c r="C3838" s="3"/>
      <c r="D3838" s="3" t="s">
        <v>680</v>
      </c>
      <c r="E3838" s="4" t="s">
        <v>31</v>
      </c>
      <c r="F3838" s="3" t="s">
        <v>31</v>
      </c>
      <c r="G3838" s="9">
        <v>0</v>
      </c>
      <c r="H3838" s="17">
        <v>0</v>
      </c>
      <c r="I3838" s="18"/>
      <c r="J3838" s="14" t="e">
        <f>+SUMIFS(#REF!,#REF!,Planning[[#This Row],[Tarifa]],#REF!,Planning[[#This Row],[Proyectos]])</f>
        <v>#REF!</v>
      </c>
      <c r="K3838" s="14" t="e">
        <f>Planning[[#This Row],[Horas Planificadas]]+Planning[[#This Row],[Horas ajustadas adicionales]]-Planning[[#This Row],[Horas utilizadas]]</f>
        <v>#REF!</v>
      </c>
      <c r="L3838" s="15" t="e">
        <f>Planning[[#This Row],[Saldo]]</f>
        <v>#REF!</v>
      </c>
      <c r="M3838" s="16" t="e">
        <f>Planning[[#This Row],[Saldo]]-Planning[[#This Row],[Saldo estimado]]</f>
        <v>#REF!</v>
      </c>
      <c r="N3838" s="60" t="e">
        <f>+SUMIFS(#REF!,#REF!,Planning[[#This Row],[Proyectos]],#REF!,Planning[[#This Row],[Tipo de Tarea y especialidad]])</f>
        <v>#REF!</v>
      </c>
      <c r="O3838" s="16">
        <f t="shared" si="118"/>
        <v>10</v>
      </c>
      <c r="P3838" s="16">
        <f t="shared" si="119"/>
        <v>2024</v>
      </c>
      <c r="Q3838" s="16" t="e">
        <f>+SUMIFS(#REF!,#REF!,Planning[[#This Row],[Tarifa]],#REF!,Planning[[#This Row],[Proyectos]],#REF!,Planning[[#This Row],[Mes]],#REF!,Planning[[#This Row],[Año]])</f>
        <v>#REF!</v>
      </c>
      <c r="R3838" s="16" t="str">
        <f>TEXT(Planning[[#This Row],[Mes]]*29,"mmmm")</f>
        <v>October</v>
      </c>
      <c r="S38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38" s="210"/>
      <c r="U3838" s="43">
        <f>IF(Planning[[#This Row],[Horas Planificadas]]&lt;&gt;0,+K3838/Planning[[#This Row],[Horas Planificadas]],0)</f>
        <v>0</v>
      </c>
      <c r="V3838" s="43">
        <f>IF(Planning[[#This Row],[Horas Planificadas]]&lt;&gt;0,Planning[[#This Row],[Horas utilizadas]]/Planning[[#This Row],[Horas Planificadas]],0)</f>
        <v>0</v>
      </c>
      <c r="W3838" s="44">
        <f>Planning[[#This Row],[Horas Planificadas]]+Planning[[#This Row],[Horas ajustadas adicionales]]</f>
        <v>0</v>
      </c>
      <c r="X3838" s="142"/>
    </row>
    <row r="3839" spans="1:24" ht="22.5" x14ac:dyDescent="0.2">
      <c r="A3839" s="7" t="s">
        <v>168</v>
      </c>
      <c r="B3839" s="7" t="s">
        <v>205</v>
      </c>
      <c r="C3839" s="3"/>
      <c r="D3839" s="3" t="s">
        <v>680</v>
      </c>
      <c r="E3839" s="4" t="s">
        <v>32</v>
      </c>
      <c r="F3839" s="3"/>
      <c r="G3839" s="9">
        <v>0</v>
      </c>
      <c r="H3839" s="14">
        <f>SUBTOTAL(9,H3840:H3842)</f>
        <v>0</v>
      </c>
      <c r="I3839" s="14"/>
      <c r="J3839" s="14" t="e">
        <f>SUM(J3840:J3842)</f>
        <v>#REF!</v>
      </c>
      <c r="K3839" s="18" t="e">
        <f>SUM(K3840:K3842)</f>
        <v>#REF!</v>
      </c>
      <c r="L3839" s="15" t="e">
        <f>SUM(L3840:L3842)</f>
        <v>#REF!</v>
      </c>
      <c r="M3839" s="16" t="e">
        <f>SUM(M3840:M3842)</f>
        <v>#REF!</v>
      </c>
      <c r="N3839" s="60" t="e">
        <f>+SUMIFS(#REF!,#REF!,Planning[[#This Row],[Proyectos]],#REF!,Planning[[#This Row],[Tipo de Tarea y especialidad]])</f>
        <v>#REF!</v>
      </c>
      <c r="O3839" s="16">
        <f t="shared" si="118"/>
        <v>10</v>
      </c>
      <c r="P3839" s="16">
        <f t="shared" si="119"/>
        <v>2024</v>
      </c>
      <c r="Q3839" s="16" t="e">
        <f>SUM(Q3840:Q3842)</f>
        <v>#REF!</v>
      </c>
      <c r="R3839" s="16" t="str">
        <f>TEXT(Planning[[#This Row],[Mes]]*29,"mmmm")</f>
        <v>October</v>
      </c>
      <c r="S38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39" s="210"/>
      <c r="U3839" s="43">
        <f>IF(Planning[[#This Row],[Horas Planificadas]]&lt;&gt;0,+K3839/Planning[[#This Row],[Horas Planificadas]],0)</f>
        <v>0</v>
      </c>
      <c r="V3839" s="43">
        <f>IF(Planning[[#This Row],[Horas Planificadas]]&lt;&gt;0,Planning[[#This Row],[Horas utilizadas]]/Planning[[#This Row],[Horas Planificadas]],0)</f>
        <v>0</v>
      </c>
      <c r="W3839" s="44">
        <f>Planning[[#This Row],[Horas Planificadas]]+Planning[[#This Row],[Horas ajustadas adicionales]]</f>
        <v>0</v>
      </c>
      <c r="X3839" s="142"/>
    </row>
    <row r="3840" spans="1:24" x14ac:dyDescent="0.2">
      <c r="A3840" s="7" t="s">
        <v>168</v>
      </c>
      <c r="B3840" s="7" t="s">
        <v>205</v>
      </c>
      <c r="C3840" s="3"/>
      <c r="D3840" s="3" t="s">
        <v>680</v>
      </c>
      <c r="E3840" s="4"/>
      <c r="F3840" s="3" t="s">
        <v>129</v>
      </c>
      <c r="G3840" s="9"/>
      <c r="H3840" s="9"/>
      <c r="I3840" s="12"/>
      <c r="J3840" s="5" t="e">
        <f>SUM(SUMIFS(#REF!,#REF!,Planning[[#This Row],[Tipo de Tarea y especialidad]],#REF!,Planning[[#This Row],[Proyectos Reiwa]]),SUMIFS(#REF!,#REF!,Planning[[#This Row],[Tipo de Tarea y especialidad]],#REF!,Planning[[#This Row],[Proyectos]]))</f>
        <v>#REF!</v>
      </c>
      <c r="K3840" s="5" t="e">
        <f>Planning[[#This Row],[Horas Planificadas]]+Planning[[#This Row],[Horas ajustadas adicionales]]-Planning[[#This Row],[Horas utilizadas]]</f>
        <v>#REF!</v>
      </c>
      <c r="L3840" s="7"/>
      <c r="M3840" s="19" t="e">
        <f>Planning[[#This Row],[Saldo]]-Planning[[#This Row],[Saldo estimado]]</f>
        <v>#REF!</v>
      </c>
      <c r="N3840" s="60" t="e">
        <f>+SUMIFS(#REF!,#REF!,Planning[[#This Row],[Proyectos]],#REF!,Planning[[#This Row],[Tipo de Tarea y especialidad]])</f>
        <v>#REF!</v>
      </c>
      <c r="O3840" s="19">
        <f t="shared" si="118"/>
        <v>10</v>
      </c>
      <c r="P3840" s="19">
        <f t="shared" si="119"/>
        <v>2024</v>
      </c>
      <c r="Q38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40" s="19" t="str">
        <f>TEXT(Planning[[#This Row],[Mes]]*29,"mmmm")</f>
        <v>October</v>
      </c>
      <c r="S38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40" s="210"/>
      <c r="U3840" s="43">
        <f>IF(Planning[[#This Row],[Horas Planificadas]]&lt;&gt;0,+K3840/Planning[[#This Row],[Horas Planificadas]],0)</f>
        <v>0</v>
      </c>
      <c r="V3840" s="43">
        <f>IF(Planning[[#This Row],[Horas Planificadas]]&lt;&gt;0,Planning[[#This Row],[Horas utilizadas]]/Planning[[#This Row],[Horas Planificadas]],0)</f>
        <v>0</v>
      </c>
      <c r="W3840" s="44">
        <f>Planning[[#This Row],[Horas Planificadas]]+Planning[[#This Row],[Horas ajustadas adicionales]]</f>
        <v>0</v>
      </c>
      <c r="X3840" s="142"/>
    </row>
    <row r="3841" spans="1:24" x14ac:dyDescent="0.2">
      <c r="A3841" s="7" t="s">
        <v>168</v>
      </c>
      <c r="B3841" s="7" t="s">
        <v>205</v>
      </c>
      <c r="C3841" s="3"/>
      <c r="D3841" s="3" t="s">
        <v>680</v>
      </c>
      <c r="E3841" s="4"/>
      <c r="F3841" s="3" t="s">
        <v>130</v>
      </c>
      <c r="G3841" s="9"/>
      <c r="H3841" s="9"/>
      <c r="I3841" s="12"/>
      <c r="J3841" s="5" t="e">
        <f>SUM(SUMIFS(#REF!,#REF!,Planning[[#This Row],[Tipo de Tarea y especialidad]],#REF!,Planning[[#This Row],[Proyectos Reiwa]]),SUMIFS(#REF!,#REF!,Planning[[#This Row],[Tipo de Tarea y especialidad]],#REF!,Planning[[#This Row],[Proyectos]]))</f>
        <v>#REF!</v>
      </c>
      <c r="K3841" s="5" t="e">
        <f>Planning[[#This Row],[Horas Planificadas]]+Planning[[#This Row],[Horas ajustadas adicionales]]-Planning[[#This Row],[Horas utilizadas]]</f>
        <v>#REF!</v>
      </c>
      <c r="L3841" s="7" t="e">
        <f>Planning[[#This Row],[Saldo]]</f>
        <v>#REF!</v>
      </c>
      <c r="M3841" s="19" t="e">
        <f>Planning[[#This Row],[Saldo]]-Planning[[#This Row],[Saldo estimado]]</f>
        <v>#REF!</v>
      </c>
      <c r="N3841" s="60" t="e">
        <f>+SUMIFS(#REF!,#REF!,Planning[[#This Row],[Proyectos]],#REF!,Planning[[#This Row],[Tipo de Tarea y especialidad]])</f>
        <v>#REF!</v>
      </c>
      <c r="O3841" s="19">
        <f t="shared" si="118"/>
        <v>10</v>
      </c>
      <c r="P3841" s="19">
        <f t="shared" si="119"/>
        <v>2024</v>
      </c>
      <c r="Q38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41" s="19" t="str">
        <f>TEXT(Planning[[#This Row],[Mes]]*29,"mmmm")</f>
        <v>October</v>
      </c>
      <c r="S38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41" s="210"/>
      <c r="U3841" s="43">
        <f>IF(Planning[[#This Row],[Horas Planificadas]]&lt;&gt;0,+K3841/Planning[[#This Row],[Horas Planificadas]],0)</f>
        <v>0</v>
      </c>
      <c r="V3841" s="43">
        <f>IF(Planning[[#This Row],[Horas Planificadas]]&lt;&gt;0,Planning[[#This Row],[Horas utilizadas]]/Planning[[#This Row],[Horas Planificadas]],0)</f>
        <v>0</v>
      </c>
      <c r="W3841" s="44">
        <f>Planning[[#This Row],[Horas Planificadas]]+Planning[[#This Row],[Horas ajustadas adicionales]]</f>
        <v>0</v>
      </c>
      <c r="X3841" s="142"/>
    </row>
    <row r="3842" spans="1:24" x14ac:dyDescent="0.2">
      <c r="A3842" s="7" t="s">
        <v>168</v>
      </c>
      <c r="B3842" s="7" t="s">
        <v>205</v>
      </c>
      <c r="C3842" s="3"/>
      <c r="D3842" s="3" t="s">
        <v>680</v>
      </c>
      <c r="E3842" s="4"/>
      <c r="F3842" s="3" t="s">
        <v>131</v>
      </c>
      <c r="G3842" s="9"/>
      <c r="H3842" s="9"/>
      <c r="I3842" s="12"/>
      <c r="J3842" s="5" t="e">
        <f>SUM(SUMIFS(#REF!,#REF!,Planning[[#This Row],[Tipo de Tarea y especialidad]],#REF!,Planning[[#This Row],[Proyectos Reiwa]]),SUMIFS(#REF!,#REF!,Planning[[#This Row],[Tipo de Tarea y especialidad]],#REF!,Planning[[#This Row],[Proyectos]]))</f>
        <v>#REF!</v>
      </c>
      <c r="K3842" s="5" t="e">
        <f>Planning[[#This Row],[Horas Planificadas]]+Planning[[#This Row],[Horas ajustadas adicionales]]-Planning[[#This Row],[Horas utilizadas]]</f>
        <v>#REF!</v>
      </c>
      <c r="L3842" s="7"/>
      <c r="M3842" s="19" t="e">
        <f>Planning[[#This Row],[Saldo]]-Planning[[#This Row],[Saldo estimado]]</f>
        <v>#REF!</v>
      </c>
      <c r="N3842" s="60" t="e">
        <f>+SUMIFS(#REF!,#REF!,Planning[[#This Row],[Proyectos]],#REF!,Planning[[#This Row],[Tipo de Tarea y especialidad]])</f>
        <v>#REF!</v>
      </c>
      <c r="O3842" s="19">
        <f t="shared" si="118"/>
        <v>10</v>
      </c>
      <c r="P3842" s="19">
        <f t="shared" si="119"/>
        <v>2024</v>
      </c>
      <c r="Q38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42" s="19" t="str">
        <f>TEXT(Planning[[#This Row],[Mes]]*29,"mmmm")</f>
        <v>October</v>
      </c>
      <c r="S38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42" s="210"/>
      <c r="U3842" s="43">
        <f>IF(Planning[[#This Row],[Horas Planificadas]]&lt;&gt;0,+K3842/Planning[[#This Row],[Horas Planificadas]],0)</f>
        <v>0</v>
      </c>
      <c r="V3842" s="43">
        <f>IF(Planning[[#This Row],[Horas Planificadas]]&lt;&gt;0,Planning[[#This Row],[Horas utilizadas]]/Planning[[#This Row],[Horas Planificadas]],0)</f>
        <v>0</v>
      </c>
      <c r="W3842" s="44">
        <f>Planning[[#This Row],[Horas Planificadas]]+Planning[[#This Row],[Horas ajustadas adicionales]]</f>
        <v>0</v>
      </c>
      <c r="X3842" s="142"/>
    </row>
    <row r="3843" spans="1:24" ht="12.75" customHeight="1" x14ac:dyDescent="0.2">
      <c r="A3843" s="7" t="s">
        <v>435</v>
      </c>
      <c r="B3843" s="7" t="s">
        <v>205</v>
      </c>
      <c r="C3843" s="3"/>
      <c r="D3843" s="3" t="s">
        <v>682</v>
      </c>
      <c r="E3843" s="4" t="s">
        <v>28</v>
      </c>
      <c r="F3843" s="3"/>
      <c r="G3843" s="9">
        <v>90</v>
      </c>
      <c r="H3843" s="14">
        <f>SUM(H3844:H3845)</f>
        <v>90</v>
      </c>
      <c r="I3843" s="14"/>
      <c r="J3843" s="14" t="e">
        <f>SUM(J3844:J3845)</f>
        <v>#REF!</v>
      </c>
      <c r="K3843" s="14" t="e">
        <f>+Planning[[#This Row],[Horas Planificadas]]+Planning[[#This Row],[Horas ajustadas adicionales]]-Planning[[#This Row],[Horas utilizadas]]</f>
        <v>#REF!</v>
      </c>
      <c r="L3843" s="15">
        <f>SUM(L3844:L3845)</f>
        <v>18</v>
      </c>
      <c r="M3843" s="14" t="e">
        <f>SUM(M3844:M3845)</f>
        <v>#REF!</v>
      </c>
      <c r="N3843" s="66" t="e">
        <f>+SUMIFS(#REF!,#REF!,Planning[[#This Row],[Proyectos]],#REF!,Planning[[#This Row],[Tipo de Tarea y especialidad]])</f>
        <v>#REF!</v>
      </c>
      <c r="O3843" s="14">
        <f t="shared" si="118"/>
        <v>10</v>
      </c>
      <c r="P3843" s="14">
        <f t="shared" si="119"/>
        <v>2024</v>
      </c>
      <c r="Q3843" s="28" t="e">
        <f>SUM(Q3844:Q3845)</f>
        <v>#REF!</v>
      </c>
      <c r="R3843" s="28" t="str">
        <f>TEXT(Planning[[#This Row],[Mes]]*29,"mmmm")</f>
        <v>October</v>
      </c>
      <c r="S38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43" s="220" t="s">
        <v>683</v>
      </c>
      <c r="U3843" s="43" t="e">
        <f>IF(Planning[[#This Row],[Horas Planificadas]]&lt;&gt;0,+K3843/Planning[[#This Row],[Horas Planificadas]],0)</f>
        <v>#REF!</v>
      </c>
      <c r="V3843" s="43" t="e">
        <f>IF(Planning[[#This Row],[Horas Planificadas]]&lt;&gt;0,Planning[[#This Row],[Horas utilizadas]]/Planning[[#This Row],[Horas Planificadas]],0)</f>
        <v>#REF!</v>
      </c>
      <c r="W3843" s="44">
        <f>Planning[[#This Row],[Horas Planificadas]]+Planning[[#This Row],[Horas ajustadas adicionales]]</f>
        <v>90</v>
      </c>
      <c r="X3843" s="142"/>
    </row>
    <row r="3844" spans="1:24" ht="12.75" customHeight="1" x14ac:dyDescent="0.2">
      <c r="A3844" s="7" t="s">
        <v>435</v>
      </c>
      <c r="B3844" s="7" t="s">
        <v>205</v>
      </c>
      <c r="C3844" s="3"/>
      <c r="D3844" s="3" t="s">
        <v>682</v>
      </c>
      <c r="E3844" s="4"/>
      <c r="F3844" s="3" t="s">
        <v>120</v>
      </c>
      <c r="G3844" s="9"/>
      <c r="H3844" s="9"/>
      <c r="I3844" s="12"/>
      <c r="J3844" s="5" t="e">
        <f>SUM(SUMIFS(#REF!,#REF!,Planning[[#This Row],[Tipo de Tarea y especialidad]],#REF!,Planning[[#This Row],[Proyectos Reiwa]]),SUMIFS(#REF!,#REF!,Planning[[#This Row],[Tipo de Tarea y especialidad]],#REF!,Planning[[#This Row],[Proyectos]]))</f>
        <v>#REF!</v>
      </c>
      <c r="K3844" s="5" t="e">
        <f>+Planning[[#This Row],[Horas Planificadas]]+Planning[[#This Row],[Horas ajustadas adicionales]]-Planning[[#This Row],[Horas utilizadas]]</f>
        <v>#REF!</v>
      </c>
      <c r="L3844" s="7"/>
      <c r="M3844" s="19" t="e">
        <f>Planning[[#This Row],[Saldo]]-Planning[[#This Row],[Saldo estimado]]</f>
        <v>#REF!</v>
      </c>
      <c r="N3844" s="60" t="e">
        <f>+SUMIFS(#REF!,#REF!,Planning[[#This Row],[Proyectos]],#REF!,Planning[[#This Row],[Tipo de Tarea y especialidad]])</f>
        <v>#REF!</v>
      </c>
      <c r="O3844" s="19">
        <f t="shared" si="118"/>
        <v>10</v>
      </c>
      <c r="P3844" s="19">
        <f t="shared" si="119"/>
        <v>2024</v>
      </c>
      <c r="Q38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44" s="19" t="str">
        <f>TEXT(Planning[[#This Row],[Mes]]*29,"mmmm")</f>
        <v>October</v>
      </c>
      <c r="S38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44" s="210"/>
      <c r="U3844" s="43">
        <f>IF(Planning[[#This Row],[Horas Planificadas]]&lt;&gt;0,+K3844/Planning[[#This Row],[Horas Planificadas]],0)</f>
        <v>0</v>
      </c>
      <c r="V3844" s="43">
        <f>IF(Planning[[#This Row],[Horas Planificadas]]&lt;&gt;0,Planning[[#This Row],[Horas utilizadas]]/Planning[[#This Row],[Horas Planificadas]],0)</f>
        <v>0</v>
      </c>
      <c r="W3844" s="44">
        <f>Planning[[#This Row],[Horas Planificadas]]+Planning[[#This Row],[Horas ajustadas adicionales]]</f>
        <v>0</v>
      </c>
      <c r="X3844" s="142"/>
    </row>
    <row r="3845" spans="1:24" ht="12.75" customHeight="1" x14ac:dyDescent="0.2">
      <c r="A3845" s="7" t="s">
        <v>435</v>
      </c>
      <c r="B3845" s="7" t="s">
        <v>205</v>
      </c>
      <c r="C3845" s="3"/>
      <c r="D3845" s="3" t="s">
        <v>682</v>
      </c>
      <c r="E3845" s="4"/>
      <c r="F3845" s="3" t="s">
        <v>121</v>
      </c>
      <c r="G3845" s="9"/>
      <c r="H3845" s="9">
        <v>90</v>
      </c>
      <c r="I3845" s="12"/>
      <c r="J3845" s="5" t="e">
        <f>SUM(SUMIFS(#REF!,#REF!,Planning[[#This Row],[Tipo de Tarea y especialidad]],#REF!,Planning[[#This Row],[Proyectos Reiwa]]),SUMIFS(#REF!,#REF!,Planning[[#This Row],[Tipo de Tarea y especialidad]],#REF!,Planning[[#This Row],[Proyectos]]))</f>
        <v>#REF!</v>
      </c>
      <c r="K3845" s="5" t="e">
        <f>+Planning[[#This Row],[Horas Planificadas]]+Planning[[#This Row],[Horas ajustadas adicionales]]-Planning[[#This Row],[Horas utilizadas]]</f>
        <v>#REF!</v>
      </c>
      <c r="L3845" s="7">
        <v>18</v>
      </c>
      <c r="M3845" s="19" t="e">
        <f>Planning[[#This Row],[Saldo]]-Planning[[#This Row],[Saldo estimado]]</f>
        <v>#REF!</v>
      </c>
      <c r="N3845" s="60" t="e">
        <f>+SUMIFS(#REF!,#REF!,Planning[[#This Row],[Proyectos]],#REF!,Planning[[#This Row],[Tipo de Tarea y especialidad]])</f>
        <v>#REF!</v>
      </c>
      <c r="O3845" s="19">
        <f t="shared" si="118"/>
        <v>10</v>
      </c>
      <c r="P3845" s="19">
        <f t="shared" si="119"/>
        <v>2024</v>
      </c>
      <c r="Q38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45" s="19" t="str">
        <f>TEXT(Planning[[#This Row],[Mes]]*29,"mmmm")</f>
        <v>October</v>
      </c>
      <c r="S38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45" s="210"/>
      <c r="U3845" s="43" t="e">
        <f>IF(Planning[[#This Row],[Horas Planificadas]]&lt;&gt;0,+K3845/Planning[[#This Row],[Horas Planificadas]],0)</f>
        <v>#REF!</v>
      </c>
      <c r="V3845" s="43" t="e">
        <f>IF(Planning[[#This Row],[Horas Planificadas]]&lt;&gt;0,Planning[[#This Row],[Horas utilizadas]]/Planning[[#This Row],[Horas Planificadas]],0)</f>
        <v>#REF!</v>
      </c>
      <c r="W3845" s="44">
        <f>Planning[[#This Row],[Horas Planificadas]]+Planning[[#This Row],[Horas ajustadas adicionales]]</f>
        <v>90</v>
      </c>
      <c r="X3845" s="142"/>
    </row>
    <row r="3846" spans="1:24" ht="12.75" customHeight="1" x14ac:dyDescent="0.2">
      <c r="A3846" s="7" t="s">
        <v>435</v>
      </c>
      <c r="B3846" s="7" t="s">
        <v>205</v>
      </c>
      <c r="C3846" s="3"/>
      <c r="D3846" s="3" t="s">
        <v>682</v>
      </c>
      <c r="E3846" s="4" t="s">
        <v>30</v>
      </c>
      <c r="F3846" s="3"/>
      <c r="G3846" s="9">
        <v>198</v>
      </c>
      <c r="H3846" s="14">
        <f>SUM(H3847:H3853)</f>
        <v>198</v>
      </c>
      <c r="I3846" s="14"/>
      <c r="J3846" s="14" t="e">
        <f>SUM(J3847:J3853)</f>
        <v>#REF!</v>
      </c>
      <c r="K3846" s="14" t="e">
        <f>+Planning[[#This Row],[Horas Planificadas]]+Planning[[#This Row],[Horas ajustadas adicionales]]-Planning[[#This Row],[Horas utilizadas]]</f>
        <v>#REF!</v>
      </c>
      <c r="L3846" s="15" t="e">
        <f>SUM(L3847:L3853)</f>
        <v>#REF!</v>
      </c>
      <c r="M3846" s="16" t="e">
        <f>SUM(M3847:M3853)</f>
        <v>#REF!</v>
      </c>
      <c r="N3846" s="60" t="e">
        <f>+SUMIFS(#REF!,#REF!,Planning[[#This Row],[Proyectos]],#REF!,Planning[[#This Row],[Tipo de Tarea y especialidad]])</f>
        <v>#REF!</v>
      </c>
      <c r="O3846" s="16">
        <f t="shared" si="118"/>
        <v>10</v>
      </c>
      <c r="P3846" s="16">
        <f t="shared" si="119"/>
        <v>2024</v>
      </c>
      <c r="Q3846" s="16" t="e">
        <f>SUM(Q3847:Q3853)</f>
        <v>#REF!</v>
      </c>
      <c r="R3846" s="16" t="str">
        <f>TEXT(Planning[[#This Row],[Mes]]*29,"mmmm")</f>
        <v>October</v>
      </c>
      <c r="S38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46" s="210"/>
      <c r="U3846" s="43" t="e">
        <f>IF(Planning[[#This Row],[Horas Planificadas]]&lt;&gt;0,+K3846/Planning[[#This Row],[Horas Planificadas]],0)</f>
        <v>#REF!</v>
      </c>
      <c r="V3846" s="43" t="e">
        <f>IF(Planning[[#This Row],[Horas Planificadas]]&lt;&gt;0,Planning[[#This Row],[Horas utilizadas]]/Planning[[#This Row],[Horas Planificadas]],0)</f>
        <v>#REF!</v>
      </c>
      <c r="W3846" s="44">
        <f>Planning[[#This Row],[Horas Planificadas]]+Planning[[#This Row],[Horas ajustadas adicionales]]</f>
        <v>198</v>
      </c>
      <c r="X3846" s="142"/>
    </row>
    <row r="3847" spans="1:24" ht="12.75" customHeight="1" x14ac:dyDescent="0.2">
      <c r="A3847" s="7" t="s">
        <v>435</v>
      </c>
      <c r="B3847" s="7" t="s">
        <v>205</v>
      </c>
      <c r="C3847" s="3"/>
      <c r="D3847" s="3" t="s">
        <v>682</v>
      </c>
      <c r="E3847" s="4"/>
      <c r="F3847" s="3" t="s">
        <v>122</v>
      </c>
      <c r="G3847" s="9"/>
      <c r="H3847" s="9"/>
      <c r="I3847" s="12"/>
      <c r="J3847" s="5" t="e">
        <f>SUM(SUMIFS(#REF!,#REF!,Planning[[#This Row],[Tipo de Tarea y especialidad]],#REF!,Planning[[#This Row],[Proyectos Reiwa]]),SUMIFS(#REF!,#REF!,Planning[[#This Row],[Tipo de Tarea y especialidad]],#REF!,Planning[[#This Row],[Proyectos]]))</f>
        <v>#REF!</v>
      </c>
      <c r="K3847" s="5" t="e">
        <f>+Planning[[#This Row],[Horas Planificadas]]+Planning[[#This Row],[Horas ajustadas adicionales]]-Planning[[#This Row],[Horas utilizadas]]</f>
        <v>#REF!</v>
      </c>
      <c r="L3847" s="7"/>
      <c r="M3847" s="19" t="e">
        <f>Planning[[#This Row],[Saldo]]-Planning[[#This Row],[Saldo estimado]]</f>
        <v>#REF!</v>
      </c>
      <c r="N3847" s="60" t="e">
        <f>+SUMIFS(#REF!,#REF!,Planning[[#This Row],[Proyectos]],#REF!,Planning[[#This Row],[Tipo de Tarea y especialidad]])</f>
        <v>#REF!</v>
      </c>
      <c r="O3847" s="19">
        <f t="shared" ref="O3847:O3910" si="120">$L$4</f>
        <v>10</v>
      </c>
      <c r="P3847" s="19">
        <f t="shared" ref="P3847:P3910" si="121">$M$4</f>
        <v>2024</v>
      </c>
      <c r="Q38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47" s="19" t="str">
        <f>TEXT(Planning[[#This Row],[Mes]]*29,"mmmm")</f>
        <v>October</v>
      </c>
      <c r="S38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47" s="210"/>
      <c r="U3847" s="43">
        <f>IF(Planning[[#This Row],[Horas Planificadas]]&lt;&gt;0,+K3847/Planning[[#This Row],[Horas Planificadas]],0)</f>
        <v>0</v>
      </c>
      <c r="V3847" s="43">
        <f>IF(Planning[[#This Row],[Horas Planificadas]]&lt;&gt;0,Planning[[#This Row],[Horas utilizadas]]/Planning[[#This Row],[Horas Planificadas]],0)</f>
        <v>0</v>
      </c>
      <c r="W3847" s="44">
        <f>Planning[[#This Row],[Horas Planificadas]]+Planning[[#This Row],[Horas ajustadas adicionales]]</f>
        <v>0</v>
      </c>
      <c r="X3847" s="142"/>
    </row>
    <row r="3848" spans="1:24" ht="12.75" customHeight="1" x14ac:dyDescent="0.2">
      <c r="A3848" s="7" t="s">
        <v>435</v>
      </c>
      <c r="B3848" s="7" t="s">
        <v>205</v>
      </c>
      <c r="C3848" s="3"/>
      <c r="D3848" s="3" t="s">
        <v>682</v>
      </c>
      <c r="E3848" s="4"/>
      <c r="F3848" s="3" t="s">
        <v>123</v>
      </c>
      <c r="G3848" s="9"/>
      <c r="H3848" s="9">
        <v>90</v>
      </c>
      <c r="I3848" s="12"/>
      <c r="J3848" s="5" t="e">
        <f>SUM(SUMIFS(#REF!,#REF!,Planning[[#This Row],[Tipo de Tarea y especialidad]],#REF!,Planning[[#This Row],[Proyectos Reiwa]]),SUMIFS(#REF!,#REF!,Planning[[#This Row],[Tipo de Tarea y especialidad]],#REF!,Planning[[#This Row],[Proyectos]]))</f>
        <v>#REF!</v>
      </c>
      <c r="K3848" s="5" t="e">
        <f>+Planning[[#This Row],[Horas Planificadas]]+Planning[[#This Row],[Horas ajustadas adicionales]]-Planning[[#This Row],[Horas utilizadas]]</f>
        <v>#REF!</v>
      </c>
      <c r="L3848" s="7">
        <v>0</v>
      </c>
      <c r="M3848" s="19" t="e">
        <f>Planning[[#This Row],[Saldo]]-Planning[[#This Row],[Saldo estimado]]</f>
        <v>#REF!</v>
      </c>
      <c r="N3848" s="60" t="e">
        <f>+SUMIFS(#REF!,#REF!,Planning[[#This Row],[Proyectos]],#REF!,Planning[[#This Row],[Tipo de Tarea y especialidad]])</f>
        <v>#REF!</v>
      </c>
      <c r="O3848" s="19">
        <f t="shared" si="120"/>
        <v>10</v>
      </c>
      <c r="P3848" s="19">
        <f t="shared" si="121"/>
        <v>2024</v>
      </c>
      <c r="Q38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48" s="19" t="str">
        <f>TEXT(Planning[[#This Row],[Mes]]*29,"mmmm")</f>
        <v>October</v>
      </c>
      <c r="S38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48" s="210"/>
      <c r="U3848" s="43" t="e">
        <f>IF(Planning[[#This Row],[Horas Planificadas]]&lt;&gt;0,+K3848/Planning[[#This Row],[Horas Planificadas]],0)</f>
        <v>#REF!</v>
      </c>
      <c r="V3848" s="43" t="e">
        <f>IF(Planning[[#This Row],[Horas Planificadas]]&lt;&gt;0,Planning[[#This Row],[Horas utilizadas]]/Planning[[#This Row],[Horas Planificadas]],0)</f>
        <v>#REF!</v>
      </c>
      <c r="W3848" s="44">
        <f>Planning[[#This Row],[Horas Planificadas]]+Planning[[#This Row],[Horas ajustadas adicionales]]</f>
        <v>90</v>
      </c>
      <c r="X3848" s="142"/>
    </row>
    <row r="3849" spans="1:24" ht="12.75" customHeight="1" x14ac:dyDescent="0.2">
      <c r="A3849" s="7" t="s">
        <v>435</v>
      </c>
      <c r="B3849" s="7" t="s">
        <v>205</v>
      </c>
      <c r="C3849" s="3"/>
      <c r="D3849" s="3" t="s">
        <v>682</v>
      </c>
      <c r="E3849" s="4"/>
      <c r="F3849" s="3" t="s">
        <v>124</v>
      </c>
      <c r="G3849" s="9"/>
      <c r="H3849" s="9"/>
      <c r="I3849" s="12"/>
      <c r="J3849" s="5" t="e">
        <f>SUM(SUMIFS(#REF!,#REF!,Planning[[#This Row],[Tipo de Tarea y especialidad]],#REF!,Planning[[#This Row],[Proyectos Reiwa]]),SUMIFS(#REF!,#REF!,Planning[[#This Row],[Tipo de Tarea y especialidad]],#REF!,Planning[[#This Row],[Proyectos]]))</f>
        <v>#REF!</v>
      </c>
      <c r="K3849" s="5" t="e">
        <f>+Planning[[#This Row],[Horas Planificadas]]+Planning[[#This Row],[Horas ajustadas adicionales]]-Planning[[#This Row],[Horas utilizadas]]</f>
        <v>#REF!</v>
      </c>
      <c r="L3849" s="7"/>
      <c r="M3849" s="19" t="e">
        <f>Planning[[#This Row],[Saldo]]-Planning[[#This Row],[Saldo estimado]]</f>
        <v>#REF!</v>
      </c>
      <c r="N3849" s="60" t="e">
        <f>+SUMIFS(#REF!,#REF!,Planning[[#This Row],[Proyectos]],#REF!,Planning[[#This Row],[Tipo de Tarea y especialidad]])</f>
        <v>#REF!</v>
      </c>
      <c r="O3849" s="19">
        <f t="shared" si="120"/>
        <v>10</v>
      </c>
      <c r="P3849" s="19">
        <f t="shared" si="121"/>
        <v>2024</v>
      </c>
      <c r="Q38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49" s="19" t="str">
        <f>TEXT(Planning[[#This Row],[Mes]]*29,"mmmm")</f>
        <v>October</v>
      </c>
      <c r="S38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49" s="210"/>
      <c r="U3849" s="43">
        <f>IF(Planning[[#This Row],[Horas Planificadas]]&lt;&gt;0,+K3849/Planning[[#This Row],[Horas Planificadas]],0)</f>
        <v>0</v>
      </c>
      <c r="V3849" s="43">
        <f>IF(Planning[[#This Row],[Horas Planificadas]]&lt;&gt;0,Planning[[#This Row],[Horas utilizadas]]/Planning[[#This Row],[Horas Planificadas]],0)</f>
        <v>0</v>
      </c>
      <c r="W3849" s="44">
        <f>Planning[[#This Row],[Horas Planificadas]]+Planning[[#This Row],[Horas ajustadas adicionales]]</f>
        <v>0</v>
      </c>
      <c r="X3849" s="142"/>
    </row>
    <row r="3850" spans="1:24" ht="12.75" customHeight="1" x14ac:dyDescent="0.2">
      <c r="A3850" s="7" t="s">
        <v>435</v>
      </c>
      <c r="B3850" s="7" t="s">
        <v>205</v>
      </c>
      <c r="C3850" s="3"/>
      <c r="D3850" s="3" t="s">
        <v>682</v>
      </c>
      <c r="E3850" s="4"/>
      <c r="F3850" s="3" t="s">
        <v>125</v>
      </c>
      <c r="G3850" s="9"/>
      <c r="H3850" s="9">
        <v>54</v>
      </c>
      <c r="I3850" s="12"/>
      <c r="J3850" s="5" t="e">
        <f>SUM(SUMIFS(#REF!,#REF!,Planning[[#This Row],[Tipo de Tarea y especialidad]],#REF!,Planning[[#This Row],[Proyectos Reiwa]]),SUMIFS(#REF!,#REF!,Planning[[#This Row],[Tipo de Tarea y especialidad]],#REF!,Planning[[#This Row],[Proyectos]]))</f>
        <v>#REF!</v>
      </c>
      <c r="K3850" s="5" t="e">
        <f>+Planning[[#This Row],[Horas Planificadas]]+Planning[[#This Row],[Horas ajustadas adicionales]]-Planning[[#This Row],[Horas utilizadas]]</f>
        <v>#REF!</v>
      </c>
      <c r="L3850" s="7">
        <v>18</v>
      </c>
      <c r="M3850" s="19" t="e">
        <f>Planning[[#This Row],[Saldo]]-Planning[[#This Row],[Saldo estimado]]</f>
        <v>#REF!</v>
      </c>
      <c r="N3850" s="60" t="e">
        <f>+SUMIFS(#REF!,#REF!,Planning[[#This Row],[Proyectos]],#REF!,Planning[[#This Row],[Tipo de Tarea y especialidad]])</f>
        <v>#REF!</v>
      </c>
      <c r="O3850" s="19">
        <f t="shared" si="120"/>
        <v>10</v>
      </c>
      <c r="P3850" s="19">
        <f t="shared" si="121"/>
        <v>2024</v>
      </c>
      <c r="Q38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50" s="19" t="str">
        <f>TEXT(Planning[[#This Row],[Mes]]*29,"mmmm")</f>
        <v>October</v>
      </c>
      <c r="S38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50" s="210"/>
      <c r="U3850" s="43" t="e">
        <f>IF(Planning[[#This Row],[Horas Planificadas]]&lt;&gt;0,+K3850/Planning[[#This Row],[Horas Planificadas]],0)</f>
        <v>#REF!</v>
      </c>
      <c r="V3850" s="43" t="e">
        <f>IF(Planning[[#This Row],[Horas Planificadas]]&lt;&gt;0,Planning[[#This Row],[Horas utilizadas]]/Planning[[#This Row],[Horas Planificadas]],0)</f>
        <v>#REF!</v>
      </c>
      <c r="W3850" s="44">
        <f>Planning[[#This Row],[Horas Planificadas]]+Planning[[#This Row],[Horas ajustadas adicionales]]</f>
        <v>54</v>
      </c>
      <c r="X3850" s="142"/>
    </row>
    <row r="3851" spans="1:24" ht="12.75" customHeight="1" x14ac:dyDescent="0.2">
      <c r="A3851" s="7" t="s">
        <v>435</v>
      </c>
      <c r="B3851" s="7" t="s">
        <v>205</v>
      </c>
      <c r="C3851" s="3"/>
      <c r="D3851" s="3" t="s">
        <v>682</v>
      </c>
      <c r="E3851" s="4"/>
      <c r="F3851" s="3" t="s">
        <v>126</v>
      </c>
      <c r="G3851" s="9"/>
      <c r="H3851" s="9"/>
      <c r="I3851" s="12"/>
      <c r="J3851" s="5" t="e">
        <f>SUM(SUMIFS(#REF!,#REF!,Planning[[#This Row],[Tipo de Tarea y especialidad]],#REF!,Planning[[#This Row],[Proyectos Reiwa]]),SUMIFS(#REF!,#REF!,Planning[[#This Row],[Tipo de Tarea y especialidad]],#REF!,Planning[[#This Row],[Proyectos]]))</f>
        <v>#REF!</v>
      </c>
      <c r="K3851" s="5" t="e">
        <f>+Planning[[#This Row],[Horas Planificadas]]+Planning[[#This Row],[Horas ajustadas adicionales]]-Planning[[#This Row],[Horas utilizadas]]</f>
        <v>#REF!</v>
      </c>
      <c r="L3851" s="7"/>
      <c r="M3851" s="19" t="e">
        <f>Planning[[#This Row],[Saldo]]-Planning[[#This Row],[Saldo estimado]]</f>
        <v>#REF!</v>
      </c>
      <c r="N3851" s="60" t="e">
        <f>+SUMIFS(#REF!,#REF!,Planning[[#This Row],[Proyectos]],#REF!,Planning[[#This Row],[Tipo de Tarea y especialidad]])</f>
        <v>#REF!</v>
      </c>
      <c r="O3851" s="19">
        <f t="shared" si="120"/>
        <v>10</v>
      </c>
      <c r="P3851" s="19">
        <f t="shared" si="121"/>
        <v>2024</v>
      </c>
      <c r="Q38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51" s="19" t="str">
        <f>TEXT(Planning[[#This Row],[Mes]]*29,"mmmm")</f>
        <v>October</v>
      </c>
      <c r="S38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51" s="210"/>
      <c r="U3851" s="43">
        <f>IF(Planning[[#This Row],[Horas Planificadas]]&lt;&gt;0,+K3851/Planning[[#This Row],[Horas Planificadas]],0)</f>
        <v>0</v>
      </c>
      <c r="V3851" s="43">
        <f>IF(Planning[[#This Row],[Horas Planificadas]]&lt;&gt;0,Planning[[#This Row],[Horas utilizadas]]/Planning[[#This Row],[Horas Planificadas]],0)</f>
        <v>0</v>
      </c>
      <c r="W3851" s="44">
        <f>Planning[[#This Row],[Horas Planificadas]]+Planning[[#This Row],[Horas ajustadas adicionales]]</f>
        <v>0</v>
      </c>
      <c r="X3851" s="142"/>
    </row>
    <row r="3852" spans="1:24" ht="12.75" customHeight="1" x14ac:dyDescent="0.2">
      <c r="A3852" s="7" t="s">
        <v>435</v>
      </c>
      <c r="B3852" s="7" t="s">
        <v>205</v>
      </c>
      <c r="C3852" s="3"/>
      <c r="D3852" s="3" t="s">
        <v>682</v>
      </c>
      <c r="E3852" s="4"/>
      <c r="F3852" s="3" t="s">
        <v>127</v>
      </c>
      <c r="G3852" s="9"/>
      <c r="H3852" s="9">
        <v>54</v>
      </c>
      <c r="I3852" s="12"/>
      <c r="J3852" s="5" t="e">
        <f>SUM(SUMIFS(#REF!,#REF!,Planning[[#This Row],[Tipo de Tarea y especialidad]],#REF!,Planning[[#This Row],[Proyectos Reiwa]]),SUMIFS(#REF!,#REF!,Planning[[#This Row],[Tipo de Tarea y especialidad]],#REF!,Planning[[#This Row],[Proyectos]]))</f>
        <v>#REF!</v>
      </c>
      <c r="K3852" s="5" t="e">
        <f>+Planning[[#This Row],[Horas Planificadas]]+Planning[[#This Row],[Horas ajustadas adicionales]]-Planning[[#This Row],[Horas utilizadas]]</f>
        <v>#REF!</v>
      </c>
      <c r="L3852" s="7" t="e">
        <f>Planning[[#This Row],[Saldo]]</f>
        <v>#REF!</v>
      </c>
      <c r="M3852" s="19" t="e">
        <f>Planning[[#This Row],[Saldo]]-Planning[[#This Row],[Saldo estimado]]</f>
        <v>#REF!</v>
      </c>
      <c r="N3852" s="60" t="e">
        <f>+SUMIFS(#REF!,#REF!,Planning[[#This Row],[Proyectos]],#REF!,Planning[[#This Row],[Tipo de Tarea y especialidad]])</f>
        <v>#REF!</v>
      </c>
      <c r="O3852" s="19">
        <f t="shared" si="120"/>
        <v>10</v>
      </c>
      <c r="P3852" s="19">
        <f t="shared" si="121"/>
        <v>2024</v>
      </c>
      <c r="Q38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52" s="19" t="str">
        <f>TEXT(Planning[[#This Row],[Mes]]*29,"mmmm")</f>
        <v>October</v>
      </c>
      <c r="S38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52" s="210"/>
      <c r="U3852" s="43" t="e">
        <f>IF(Planning[[#This Row],[Horas Planificadas]]&lt;&gt;0,+K3852/Planning[[#This Row],[Horas Planificadas]],0)</f>
        <v>#REF!</v>
      </c>
      <c r="V3852" s="43" t="e">
        <f>IF(Planning[[#This Row],[Horas Planificadas]]&lt;&gt;0,Planning[[#This Row],[Horas utilizadas]]/Planning[[#This Row],[Horas Planificadas]],0)</f>
        <v>#REF!</v>
      </c>
      <c r="W3852" s="44">
        <f>Planning[[#This Row],[Horas Planificadas]]+Planning[[#This Row],[Horas ajustadas adicionales]]</f>
        <v>54</v>
      </c>
      <c r="X3852" s="142"/>
    </row>
    <row r="3853" spans="1:24" ht="12.75" customHeight="1" x14ac:dyDescent="0.2">
      <c r="A3853" s="7" t="s">
        <v>435</v>
      </c>
      <c r="B3853" s="7" t="s">
        <v>205</v>
      </c>
      <c r="C3853" s="3"/>
      <c r="D3853" s="3" t="s">
        <v>682</v>
      </c>
      <c r="E3853" s="4"/>
      <c r="F3853" s="3" t="s">
        <v>128</v>
      </c>
      <c r="G3853" s="9"/>
      <c r="H3853" s="9"/>
      <c r="I3853" s="12"/>
      <c r="J3853" s="5" t="e">
        <f>SUM(SUMIFS(#REF!,#REF!,Planning[[#This Row],[Tipo de Tarea y especialidad]],#REF!,Planning[[#This Row],[Proyectos Reiwa]]),SUMIFS(#REF!,#REF!,Planning[[#This Row],[Tipo de Tarea y especialidad]],#REF!,Planning[[#This Row],[Proyectos]]))</f>
        <v>#REF!</v>
      </c>
      <c r="K3853" s="5" t="e">
        <f>+Planning[[#This Row],[Horas Planificadas]]+Planning[[#This Row],[Horas ajustadas adicionales]]-Planning[[#This Row],[Horas utilizadas]]</f>
        <v>#REF!</v>
      </c>
      <c r="L3853" s="7"/>
      <c r="M3853" s="19" t="e">
        <f>Planning[[#This Row],[Saldo]]-Planning[[#This Row],[Saldo estimado]]</f>
        <v>#REF!</v>
      </c>
      <c r="N3853" s="60" t="e">
        <f>+SUMIFS(#REF!,#REF!,Planning[[#This Row],[Proyectos]],#REF!,Planning[[#This Row],[Tipo de Tarea y especialidad]])</f>
        <v>#REF!</v>
      </c>
      <c r="O3853" s="19">
        <f t="shared" si="120"/>
        <v>10</v>
      </c>
      <c r="P3853" s="19">
        <f t="shared" si="121"/>
        <v>2024</v>
      </c>
      <c r="Q38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53" s="19" t="str">
        <f>TEXT(Planning[[#This Row],[Mes]]*29,"mmmm")</f>
        <v>October</v>
      </c>
      <c r="S38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53" s="210"/>
      <c r="U3853" s="43">
        <f>IF(Planning[[#This Row],[Horas Planificadas]]&lt;&gt;0,+K3853/Planning[[#This Row],[Horas Planificadas]],0)</f>
        <v>0</v>
      </c>
      <c r="V3853" s="43">
        <f>IF(Planning[[#This Row],[Horas Planificadas]]&lt;&gt;0,Planning[[#This Row],[Horas utilizadas]]/Planning[[#This Row],[Horas Planificadas]],0)</f>
        <v>0</v>
      </c>
      <c r="W3853" s="44">
        <f>Planning[[#This Row],[Horas Planificadas]]+Planning[[#This Row],[Horas ajustadas adicionales]]</f>
        <v>0</v>
      </c>
      <c r="X3853" s="142"/>
    </row>
    <row r="3854" spans="1:24" ht="12.75" customHeight="1" x14ac:dyDescent="0.2">
      <c r="A3854" s="7" t="s">
        <v>435</v>
      </c>
      <c r="B3854" s="7" t="s">
        <v>205</v>
      </c>
      <c r="C3854" s="3"/>
      <c r="D3854" s="3" t="s">
        <v>682</v>
      </c>
      <c r="E3854" s="4" t="s">
        <v>31</v>
      </c>
      <c r="F3854" s="3" t="s">
        <v>31</v>
      </c>
      <c r="G3854" s="9">
        <v>36</v>
      </c>
      <c r="H3854" s="17">
        <f>Planning[[#This Row],[Horas Precálculo]]</f>
        <v>36</v>
      </c>
      <c r="I3854" s="18"/>
      <c r="J3854" s="14" t="e">
        <f>+SUMIFS(#REF!,#REF!,Planning[[#This Row],[Tarifa]],#REF!,Planning[[#This Row],[Proyectos]])</f>
        <v>#REF!</v>
      </c>
      <c r="K3854" s="14" t="e">
        <f>+Planning[[#This Row],[Horas Planificadas]]+Planning[[#This Row],[Horas ajustadas adicionales]]-Planning[[#This Row],[Horas utilizadas]]</f>
        <v>#REF!</v>
      </c>
      <c r="L3854" s="15" t="e">
        <f>Planning[[#This Row],[Saldo]]</f>
        <v>#REF!</v>
      </c>
      <c r="M3854" s="16" t="e">
        <f>Planning[[#This Row],[Saldo]]-Planning[[#This Row],[Saldo estimado]]</f>
        <v>#REF!</v>
      </c>
      <c r="N3854" s="60" t="e">
        <f>+SUMIFS(#REF!,#REF!,Planning[[#This Row],[Proyectos]],#REF!,Planning[[#This Row],[Tipo de Tarea y especialidad]])</f>
        <v>#REF!</v>
      </c>
      <c r="O3854" s="16">
        <f t="shared" si="120"/>
        <v>10</v>
      </c>
      <c r="P3854" s="16">
        <f t="shared" si="121"/>
        <v>2024</v>
      </c>
      <c r="Q3854" s="16" t="e">
        <f>+SUMIFS(#REF!,#REF!,Planning[[#This Row],[Tarifa]],#REF!,Planning[[#This Row],[Proyectos]],#REF!,Planning[[#This Row],[Mes]],#REF!,Planning[[#This Row],[Año]])</f>
        <v>#REF!</v>
      </c>
      <c r="R3854" s="16" t="str">
        <f>TEXT(Planning[[#This Row],[Mes]]*29,"mmmm")</f>
        <v>October</v>
      </c>
      <c r="S38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54" s="210"/>
      <c r="U3854" s="43" t="e">
        <f>IF(Planning[[#This Row],[Horas Planificadas]]&lt;&gt;0,+K3854/Planning[[#This Row],[Horas Planificadas]],0)</f>
        <v>#REF!</v>
      </c>
      <c r="V3854" s="43" t="e">
        <f>IF(Planning[[#This Row],[Horas Planificadas]]&lt;&gt;0,Planning[[#This Row],[Horas utilizadas]]/Planning[[#This Row],[Horas Planificadas]],0)</f>
        <v>#REF!</v>
      </c>
      <c r="W3854" s="44">
        <f>Planning[[#This Row],[Horas Planificadas]]+Planning[[#This Row],[Horas ajustadas adicionales]]</f>
        <v>36</v>
      </c>
      <c r="X3854" s="142"/>
    </row>
    <row r="3855" spans="1:24" ht="12.75" customHeight="1" x14ac:dyDescent="0.2">
      <c r="A3855" s="7" t="s">
        <v>435</v>
      </c>
      <c r="B3855" s="7" t="s">
        <v>205</v>
      </c>
      <c r="C3855" s="3"/>
      <c r="D3855" s="3" t="s">
        <v>682</v>
      </c>
      <c r="E3855" s="4" t="s">
        <v>32</v>
      </c>
      <c r="F3855" s="3"/>
      <c r="G3855" s="9">
        <v>80</v>
      </c>
      <c r="H3855" s="14">
        <f>SUM(H3856:H3858)</f>
        <v>80</v>
      </c>
      <c r="I3855" s="14"/>
      <c r="J3855" s="14" t="e">
        <f>SUM(J3856:J3858)</f>
        <v>#REF!</v>
      </c>
      <c r="K3855" s="14" t="e">
        <f>+Planning[[#This Row],[Horas Planificadas]]+Planning[[#This Row],[Horas ajustadas adicionales]]-Planning[[#This Row],[Horas utilizadas]]</f>
        <v>#REF!</v>
      </c>
      <c r="L3855" s="15" t="e">
        <f>Planning[[#This Row],[Saldo]]</f>
        <v>#REF!</v>
      </c>
      <c r="M3855" s="16" t="e">
        <f>SUM(M3856:M3858)</f>
        <v>#REF!</v>
      </c>
      <c r="N3855" s="60" t="e">
        <f>+SUMIFS(#REF!,#REF!,Planning[[#This Row],[Proyectos]],#REF!,Planning[[#This Row],[Tipo de Tarea y especialidad]])</f>
        <v>#REF!</v>
      </c>
      <c r="O3855" s="16">
        <f t="shared" si="120"/>
        <v>10</v>
      </c>
      <c r="P3855" s="16">
        <f t="shared" si="121"/>
        <v>2024</v>
      </c>
      <c r="Q3855" s="16" t="e">
        <f>SUM(Q3856:Q3858)</f>
        <v>#REF!</v>
      </c>
      <c r="R3855" s="16" t="str">
        <f>TEXT(Planning[[#This Row],[Mes]]*29,"mmmm")</f>
        <v>October</v>
      </c>
      <c r="S38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55" s="210"/>
      <c r="U3855" s="43" t="e">
        <f>IF(Planning[[#This Row],[Horas Planificadas]]&lt;&gt;0,+K3855/Planning[[#This Row],[Horas Planificadas]],0)</f>
        <v>#REF!</v>
      </c>
      <c r="V3855" s="43" t="e">
        <f>IF(Planning[[#This Row],[Horas Planificadas]]&lt;&gt;0,Planning[[#This Row],[Horas utilizadas]]/Planning[[#This Row],[Horas Planificadas]],0)</f>
        <v>#REF!</v>
      </c>
      <c r="W3855" s="44">
        <f>Planning[[#This Row],[Horas Planificadas]]+Planning[[#This Row],[Horas ajustadas adicionales]]</f>
        <v>80</v>
      </c>
      <c r="X3855" s="142"/>
    </row>
    <row r="3856" spans="1:24" ht="12.75" customHeight="1" x14ac:dyDescent="0.2">
      <c r="A3856" s="7" t="s">
        <v>435</v>
      </c>
      <c r="B3856" s="7" t="s">
        <v>205</v>
      </c>
      <c r="C3856" s="3"/>
      <c r="D3856" s="3" t="s">
        <v>682</v>
      </c>
      <c r="E3856" s="4"/>
      <c r="F3856" s="3" t="s">
        <v>129</v>
      </c>
      <c r="G3856" s="9"/>
      <c r="H3856" s="9"/>
      <c r="I3856" s="12"/>
      <c r="J3856" s="5" t="e">
        <f>SUM(SUMIFS(#REF!,#REF!,Planning[[#This Row],[Tipo de Tarea y especialidad]],#REF!,Planning[[#This Row],[Proyectos Reiwa]]),SUMIFS(#REF!,#REF!,Planning[[#This Row],[Tipo de Tarea y especialidad]],#REF!,Planning[[#This Row],[Proyectos]]))</f>
        <v>#REF!</v>
      </c>
      <c r="K3856" s="5" t="e">
        <f>+Planning[[#This Row],[Horas Planificadas]]+Planning[[#This Row],[Horas ajustadas adicionales]]-Planning[[#This Row],[Horas utilizadas]]</f>
        <v>#REF!</v>
      </c>
      <c r="L3856" s="7"/>
      <c r="M3856" s="19" t="e">
        <f>Planning[[#This Row],[Saldo]]-Planning[[#This Row],[Saldo estimado]]</f>
        <v>#REF!</v>
      </c>
      <c r="N3856" s="60" t="e">
        <f>+SUMIFS(#REF!,#REF!,Planning[[#This Row],[Proyectos]],#REF!,Planning[[#This Row],[Tipo de Tarea y especialidad]])</f>
        <v>#REF!</v>
      </c>
      <c r="O3856" s="19">
        <f t="shared" si="120"/>
        <v>10</v>
      </c>
      <c r="P3856" s="19">
        <f t="shared" si="121"/>
        <v>2024</v>
      </c>
      <c r="Q38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56" s="19" t="str">
        <f>TEXT(Planning[[#This Row],[Mes]]*29,"mmmm")</f>
        <v>October</v>
      </c>
      <c r="S38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56" s="210"/>
      <c r="U3856" s="43">
        <f>IF(Planning[[#This Row],[Horas Planificadas]]&lt;&gt;0,+K3856/Planning[[#This Row],[Horas Planificadas]],0)</f>
        <v>0</v>
      </c>
      <c r="V3856" s="43">
        <f>IF(Planning[[#This Row],[Horas Planificadas]]&lt;&gt;0,Planning[[#This Row],[Horas utilizadas]]/Planning[[#This Row],[Horas Planificadas]],0)</f>
        <v>0</v>
      </c>
      <c r="W3856" s="44">
        <f>Planning[[#This Row],[Horas Planificadas]]+Planning[[#This Row],[Horas ajustadas adicionales]]</f>
        <v>0</v>
      </c>
      <c r="X3856" s="142"/>
    </row>
    <row r="3857" spans="1:24" ht="12.75" customHeight="1" x14ac:dyDescent="0.2">
      <c r="A3857" s="7" t="s">
        <v>435</v>
      </c>
      <c r="B3857" s="7" t="s">
        <v>205</v>
      </c>
      <c r="C3857" s="3"/>
      <c r="D3857" s="3" t="s">
        <v>682</v>
      </c>
      <c r="E3857" s="4"/>
      <c r="F3857" s="3" t="s">
        <v>130</v>
      </c>
      <c r="G3857" s="9"/>
      <c r="H3857" s="9">
        <v>80</v>
      </c>
      <c r="I3857" s="12"/>
      <c r="J3857" s="5" t="e">
        <f>SUM(SUMIFS(#REF!,#REF!,Planning[[#This Row],[Tipo de Tarea y especialidad]],#REF!,Planning[[#This Row],[Proyectos Reiwa]]),SUMIFS(#REF!,#REF!,Planning[[#This Row],[Tipo de Tarea y especialidad]],#REF!,Planning[[#This Row],[Proyectos]]))</f>
        <v>#REF!</v>
      </c>
      <c r="K3857" s="5" t="e">
        <f>+Planning[[#This Row],[Horas Planificadas]]+Planning[[#This Row],[Horas ajustadas adicionales]]-Planning[[#This Row],[Horas utilizadas]]</f>
        <v>#REF!</v>
      </c>
      <c r="L3857" s="7" t="e">
        <f>Planning[[#This Row],[Saldo]]</f>
        <v>#REF!</v>
      </c>
      <c r="M3857" s="19" t="e">
        <f>Planning[[#This Row],[Saldo]]-Planning[[#This Row],[Saldo estimado]]</f>
        <v>#REF!</v>
      </c>
      <c r="N3857" s="60" t="e">
        <f>+SUMIFS(#REF!,#REF!,Planning[[#This Row],[Proyectos]],#REF!,Planning[[#This Row],[Tipo de Tarea y especialidad]])</f>
        <v>#REF!</v>
      </c>
      <c r="O3857" s="19">
        <f t="shared" si="120"/>
        <v>10</v>
      </c>
      <c r="P3857" s="19">
        <f t="shared" si="121"/>
        <v>2024</v>
      </c>
      <c r="Q38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57" s="19" t="str">
        <f>TEXT(Planning[[#This Row],[Mes]]*29,"mmmm")</f>
        <v>October</v>
      </c>
      <c r="S38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57" s="210"/>
      <c r="U3857" s="43" t="e">
        <f>IF(Planning[[#This Row],[Horas Planificadas]]&lt;&gt;0,+K3857/Planning[[#This Row],[Horas Planificadas]],0)</f>
        <v>#REF!</v>
      </c>
      <c r="V3857" s="43" t="e">
        <f>IF(Planning[[#This Row],[Horas Planificadas]]&lt;&gt;0,Planning[[#This Row],[Horas utilizadas]]/Planning[[#This Row],[Horas Planificadas]],0)</f>
        <v>#REF!</v>
      </c>
      <c r="W3857" s="44">
        <f>Planning[[#This Row],[Horas Planificadas]]+Planning[[#This Row],[Horas ajustadas adicionales]]</f>
        <v>80</v>
      </c>
      <c r="X3857" s="142"/>
    </row>
    <row r="3858" spans="1:24" ht="12.75" customHeight="1" x14ac:dyDescent="0.2">
      <c r="A3858" s="7" t="s">
        <v>435</v>
      </c>
      <c r="B3858" s="7" t="s">
        <v>205</v>
      </c>
      <c r="C3858" s="3"/>
      <c r="D3858" s="3" t="s">
        <v>682</v>
      </c>
      <c r="E3858" s="4"/>
      <c r="F3858" s="3" t="s">
        <v>131</v>
      </c>
      <c r="G3858" s="9"/>
      <c r="H3858" s="9"/>
      <c r="I3858" s="12"/>
      <c r="J3858" s="5" t="e">
        <f>SUM(SUMIFS(#REF!,#REF!,Planning[[#This Row],[Tipo de Tarea y especialidad]],#REF!,Planning[[#This Row],[Proyectos Reiwa]]),SUMIFS(#REF!,#REF!,Planning[[#This Row],[Tipo de Tarea y especialidad]],#REF!,Planning[[#This Row],[Proyectos]]))</f>
        <v>#REF!</v>
      </c>
      <c r="K3858" s="5" t="e">
        <f>+Planning[[#This Row],[Horas Planificadas]]+Planning[[#This Row],[Horas ajustadas adicionales]]-Planning[[#This Row],[Horas utilizadas]]</f>
        <v>#REF!</v>
      </c>
      <c r="L3858" s="7"/>
      <c r="M3858" s="19" t="e">
        <f>Planning[[#This Row],[Saldo]]-Planning[[#This Row],[Saldo estimado]]</f>
        <v>#REF!</v>
      </c>
      <c r="N3858" s="60" t="e">
        <f>+SUMIFS(#REF!,#REF!,Planning[[#This Row],[Proyectos]],#REF!,Planning[[#This Row],[Tipo de Tarea y especialidad]])</f>
        <v>#REF!</v>
      </c>
      <c r="O3858" s="19">
        <f t="shared" si="120"/>
        <v>10</v>
      </c>
      <c r="P3858" s="19">
        <f t="shared" si="121"/>
        <v>2024</v>
      </c>
      <c r="Q38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58" s="19" t="str">
        <f>TEXT(Planning[[#This Row],[Mes]]*29,"mmmm")</f>
        <v>October</v>
      </c>
      <c r="S38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58" s="210"/>
      <c r="U3858" s="43">
        <f>IF(Planning[[#This Row],[Horas Planificadas]]&lt;&gt;0,+K3858/Planning[[#This Row],[Horas Planificadas]],0)</f>
        <v>0</v>
      </c>
      <c r="V3858" s="43">
        <f>IF(Planning[[#This Row],[Horas Planificadas]]&lt;&gt;0,Planning[[#This Row],[Horas utilizadas]]/Planning[[#This Row],[Horas Planificadas]],0)</f>
        <v>0</v>
      </c>
      <c r="W3858" s="44">
        <f>Planning[[#This Row],[Horas Planificadas]]+Planning[[#This Row],[Horas ajustadas adicionales]]</f>
        <v>0</v>
      </c>
      <c r="X3858" s="142"/>
    </row>
    <row r="3859" spans="1:24" ht="12.75" customHeight="1" x14ac:dyDescent="0.2">
      <c r="A3859" s="7" t="s">
        <v>684</v>
      </c>
      <c r="B3859" s="7" t="s">
        <v>685</v>
      </c>
      <c r="C3859" s="3">
        <v>116990</v>
      </c>
      <c r="D3859" s="3" t="s">
        <v>686</v>
      </c>
      <c r="E3859" s="4" t="s">
        <v>28</v>
      </c>
      <c r="F3859" s="3"/>
      <c r="G3859" s="9"/>
      <c r="H3859" s="14">
        <f>SUM(H3860:H3861)</f>
        <v>5649</v>
      </c>
      <c r="I3859" s="14">
        <f>I3860+I3861</f>
        <v>3089</v>
      </c>
      <c r="J3859" s="14" t="e">
        <f>SUM(J3860:J3861)</f>
        <v>#REF!</v>
      </c>
      <c r="K3859" s="14" t="e">
        <f>+Planning[[#This Row],[Horas Planificadas]]+Planning[[#This Row],[Horas ajustadas adicionales]]-Planning[[#This Row],[Horas utilizadas]]</f>
        <v>#REF!</v>
      </c>
      <c r="L3859" s="15">
        <f>SUM(L3860:L3861)</f>
        <v>1441</v>
      </c>
      <c r="M3859" s="14" t="e">
        <f>SUM(M3860:M3861)</f>
        <v>#REF!</v>
      </c>
      <c r="N3859" s="66" t="e">
        <f>+SUMIFS(#REF!,#REF!,Planning[[#This Row],[Proyectos]],#REF!,Planning[[#This Row],[Tipo de Tarea y especialidad]])</f>
        <v>#REF!</v>
      </c>
      <c r="O3859" s="14">
        <f t="shared" si="120"/>
        <v>10</v>
      </c>
      <c r="P3859" s="14">
        <f t="shared" si="121"/>
        <v>2024</v>
      </c>
      <c r="Q3859" s="28" t="e">
        <f>SUM(Q3860:Q3861)</f>
        <v>#REF!</v>
      </c>
      <c r="R3859" s="14" t="str">
        <f>TEXT(Planning[[#This Row],[Mes]]*29,"mmmm")</f>
        <v>October</v>
      </c>
      <c r="S385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59" s="236" t="s">
        <v>687</v>
      </c>
      <c r="U3859" s="43" t="e">
        <f>IF(Planning[[#This Row],[Horas Planificadas]]&lt;&gt;0,+K3859/Planning[[#This Row],[Horas Planificadas]],0)</f>
        <v>#REF!</v>
      </c>
      <c r="V3859" s="43" t="e">
        <f>IF(Planning[[#This Row],[Horas Planificadas]]&lt;&gt;0,Planning[[#This Row],[Horas utilizadas]]/Planning[[#This Row],[Horas Planificadas]],0)</f>
        <v>#REF!</v>
      </c>
      <c r="W3859" s="44">
        <f>Planning[[#This Row],[Horas Planificadas]]+Planning[[#This Row],[Horas ajustadas adicionales]]</f>
        <v>8738</v>
      </c>
      <c r="X3859" s="142"/>
    </row>
    <row r="3860" spans="1:24" x14ac:dyDescent="0.2">
      <c r="A3860" s="7" t="s">
        <v>684</v>
      </c>
      <c r="B3860" s="7" t="s">
        <v>685</v>
      </c>
      <c r="C3860" s="3">
        <v>116990</v>
      </c>
      <c r="D3860" s="3" t="s">
        <v>686</v>
      </c>
      <c r="E3860" s="4"/>
      <c r="F3860" s="3" t="s">
        <v>120</v>
      </c>
      <c r="G3860" s="9">
        <v>4021</v>
      </c>
      <c r="H3860" s="9">
        <v>4163</v>
      </c>
      <c r="I3860" s="12">
        <v>1231</v>
      </c>
      <c r="J3860" s="5" t="e">
        <f>SUM(SUMIFS(#REF!,#REF!,Planning[[#This Row],[Tipo de Tarea y especialidad]],#REF!,Planning[[#This Row],[Proyectos Reiwa]]),SUMIFS(#REF!,#REF!,Planning[[#This Row],[Tipo de Tarea y especialidad]],#REF!,Planning[[#This Row],[Proyectos]]))</f>
        <v>#REF!</v>
      </c>
      <c r="K3860" s="5" t="e">
        <f>+Planning[[#This Row],[Horas Planificadas]]+Planning[[#This Row],[Horas ajustadas adicionales]]-Planning[[#This Row],[Horas utilizadas]]</f>
        <v>#REF!</v>
      </c>
      <c r="L3860" s="7">
        <v>1186</v>
      </c>
      <c r="M3860" s="19" t="e">
        <f>Planning[[#This Row],[Saldo]]-Planning[[#This Row],[Saldo estimado]]</f>
        <v>#REF!</v>
      </c>
      <c r="N3860" s="60" t="e">
        <f>+SUMIFS(#REF!,#REF!,Planning[[#This Row],[Proyectos]],#REF!,Planning[[#This Row],[Tipo de Tarea y especialidad]])</f>
        <v>#REF!</v>
      </c>
      <c r="O3860" s="19">
        <f t="shared" si="120"/>
        <v>10</v>
      </c>
      <c r="P3860" s="19">
        <f t="shared" si="121"/>
        <v>2024</v>
      </c>
      <c r="Q38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60" s="34" t="str">
        <f>TEXT(Planning[[#This Row],[Mes]]*29,"mmmm")</f>
        <v>October</v>
      </c>
      <c r="S386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60" s="237"/>
      <c r="U3860" s="43" t="e">
        <f>IF(Planning[[#This Row],[Horas Planificadas]]&lt;&gt;0,+K3860/Planning[[#This Row],[Horas Planificadas]],0)</f>
        <v>#REF!</v>
      </c>
      <c r="V3860" s="43" t="e">
        <f>IF(Planning[[#This Row],[Horas Planificadas]]&lt;&gt;0,Planning[[#This Row],[Horas utilizadas]]/Planning[[#This Row],[Horas Planificadas]],0)</f>
        <v>#REF!</v>
      </c>
      <c r="W3860" s="44">
        <f>Planning[[#This Row],[Horas Planificadas]]+Planning[[#This Row],[Horas ajustadas adicionales]]</f>
        <v>5394</v>
      </c>
      <c r="X3860" s="142"/>
    </row>
    <row r="3861" spans="1:24" x14ac:dyDescent="0.2">
      <c r="A3861" s="7" t="s">
        <v>684</v>
      </c>
      <c r="B3861" s="7" t="s">
        <v>685</v>
      </c>
      <c r="C3861" s="3">
        <v>116990</v>
      </c>
      <c r="D3861" s="3" t="s">
        <v>686</v>
      </c>
      <c r="E3861" s="4"/>
      <c r="F3861" s="3" t="s">
        <v>121</v>
      </c>
      <c r="G3861" s="9">
        <v>1486</v>
      </c>
      <c r="H3861" s="9">
        <f>1486</f>
        <v>1486</v>
      </c>
      <c r="I3861" s="12">
        <v>1858</v>
      </c>
      <c r="J3861" s="5" t="e">
        <f>SUM(SUMIFS(#REF!,#REF!,Planning[[#This Row],[Tipo de Tarea y especialidad]],#REF!,Planning[[#This Row],[Proyectos Reiwa]]),SUMIFS(#REF!,#REF!,Planning[[#This Row],[Tipo de Tarea y especialidad]],#REF!,Planning[[#This Row],[Proyectos]]))</f>
        <v>#REF!</v>
      </c>
      <c r="K3861" s="5" t="e">
        <f>+Planning[[#This Row],[Horas Planificadas]]+Planning[[#This Row],[Horas ajustadas adicionales]]-Planning[[#This Row],[Horas utilizadas]]</f>
        <v>#REF!</v>
      </c>
      <c r="L3861" s="7">
        <v>255</v>
      </c>
      <c r="M3861" s="19" t="e">
        <f>Planning[[#This Row],[Saldo]]-Planning[[#This Row],[Saldo estimado]]</f>
        <v>#REF!</v>
      </c>
      <c r="N3861" s="60" t="e">
        <f>+SUMIFS(#REF!,#REF!,Planning[[#This Row],[Proyectos]],#REF!,Planning[[#This Row],[Tipo de Tarea y especialidad]])</f>
        <v>#REF!</v>
      </c>
      <c r="O3861" s="19">
        <f t="shared" si="120"/>
        <v>10</v>
      </c>
      <c r="P3861" s="19">
        <f t="shared" si="121"/>
        <v>2024</v>
      </c>
      <c r="Q38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61" s="34" t="str">
        <f>TEXT(Planning[[#This Row],[Mes]]*29,"mmmm")</f>
        <v>October</v>
      </c>
      <c r="S386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61" s="237"/>
      <c r="U3861" s="43" t="e">
        <f>IF(Planning[[#This Row],[Horas Planificadas]]&lt;&gt;0,+K3861/Planning[[#This Row],[Horas Planificadas]],0)</f>
        <v>#REF!</v>
      </c>
      <c r="V3861" s="43" t="e">
        <f>IF(Planning[[#This Row],[Horas Planificadas]]&lt;&gt;0,Planning[[#This Row],[Horas utilizadas]]/Planning[[#This Row],[Horas Planificadas]],0)</f>
        <v>#REF!</v>
      </c>
      <c r="W3861" s="44">
        <f>Planning[[#This Row],[Horas Planificadas]]+Planning[[#This Row],[Horas ajustadas adicionales]]</f>
        <v>3344</v>
      </c>
      <c r="X3861" s="142"/>
    </row>
    <row r="3862" spans="1:24" x14ac:dyDescent="0.2">
      <c r="A3862" s="7" t="s">
        <v>684</v>
      </c>
      <c r="B3862" s="7" t="s">
        <v>685</v>
      </c>
      <c r="C3862" s="3">
        <v>116990</v>
      </c>
      <c r="D3862" s="3" t="s">
        <v>686</v>
      </c>
      <c r="E3862" s="4" t="s">
        <v>30</v>
      </c>
      <c r="F3862" s="3"/>
      <c r="G3862" s="9"/>
      <c r="H3862" s="14">
        <f>SUM(H3863:H3869)</f>
        <v>3414</v>
      </c>
      <c r="I3862" s="14">
        <f>I3863+I3864+I3866+I3867+I3868</f>
        <v>1507</v>
      </c>
      <c r="J3862" s="14" t="e">
        <f>SUM(J3863:J3869)</f>
        <v>#REF!</v>
      </c>
      <c r="K3862" s="14" t="e">
        <f>+Planning[[#This Row],[Horas Planificadas]]+Planning[[#This Row],[Horas ajustadas adicionales]]-Planning[[#This Row],[Horas utilizadas]]</f>
        <v>#REF!</v>
      </c>
      <c r="L3862" s="15">
        <f>SUM(L3863:L3869)</f>
        <v>1535</v>
      </c>
      <c r="M3862" s="16" t="e">
        <f>SUM(M3863:M3869)</f>
        <v>#REF!</v>
      </c>
      <c r="N3862" s="60" t="e">
        <f>+SUMIFS(#REF!,#REF!,Planning[[#This Row],[Proyectos]],#REF!,Planning[[#This Row],[Tipo de Tarea y especialidad]])</f>
        <v>#REF!</v>
      </c>
      <c r="O3862" s="16">
        <f t="shared" si="120"/>
        <v>10</v>
      </c>
      <c r="P3862" s="16">
        <f t="shared" si="121"/>
        <v>2024</v>
      </c>
      <c r="Q3862" s="16" t="e">
        <f>SUM(Q3863:Q3869)</f>
        <v>#REF!</v>
      </c>
      <c r="R3862" s="35" t="str">
        <f>TEXT(Planning[[#This Row],[Mes]]*29,"mmmm")</f>
        <v>October</v>
      </c>
      <c r="S386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62" s="237"/>
      <c r="U3862" s="43" t="e">
        <f>IF(Planning[[#This Row],[Horas Planificadas]]&lt;&gt;0,+K3862/Planning[[#This Row],[Horas Planificadas]],0)</f>
        <v>#REF!</v>
      </c>
      <c r="V3862" s="43" t="e">
        <f>IF(Planning[[#This Row],[Horas Planificadas]]&lt;&gt;0,Planning[[#This Row],[Horas utilizadas]]/Planning[[#This Row],[Horas Planificadas]],0)</f>
        <v>#REF!</v>
      </c>
      <c r="W3862" s="44">
        <f>Planning[[#This Row],[Horas Planificadas]]+Planning[[#This Row],[Horas ajustadas adicionales]]</f>
        <v>4921</v>
      </c>
      <c r="X3862" s="142"/>
    </row>
    <row r="3863" spans="1:24" x14ac:dyDescent="0.2">
      <c r="A3863" s="7" t="s">
        <v>684</v>
      </c>
      <c r="B3863" s="7" t="s">
        <v>685</v>
      </c>
      <c r="C3863" s="3">
        <v>116990</v>
      </c>
      <c r="D3863" s="3" t="s">
        <v>686</v>
      </c>
      <c r="E3863" s="4"/>
      <c r="F3863" s="3" t="s">
        <v>122</v>
      </c>
      <c r="G3863" s="9">
        <v>811</v>
      </c>
      <c r="H3863" s="9">
        <v>811</v>
      </c>
      <c r="I3863" s="12">
        <v>308</v>
      </c>
      <c r="J3863" s="5" t="e">
        <f>SUM(SUMIFS(#REF!,#REF!,Planning[[#This Row],[Tipo de Tarea y especialidad]],#REF!,Planning[[#This Row],[Proyectos Reiwa]]),SUMIFS(#REF!,#REF!,Planning[[#This Row],[Tipo de Tarea y especialidad]],#REF!,Planning[[#This Row],[Proyectos]]))</f>
        <v>#REF!</v>
      </c>
      <c r="K3863" s="5" t="e">
        <f>+Planning[[#This Row],[Horas Planificadas]]+Planning[[#This Row],[Horas ajustadas adicionales]]-Planning[[#This Row],[Horas utilizadas]]</f>
        <v>#REF!</v>
      </c>
      <c r="L3863" s="7">
        <v>230</v>
      </c>
      <c r="M3863" s="19" t="e">
        <f>Planning[[#This Row],[Saldo]]-Planning[[#This Row],[Saldo estimado]]</f>
        <v>#REF!</v>
      </c>
      <c r="N3863" s="60" t="e">
        <f>+SUMIFS(#REF!,#REF!,Planning[[#This Row],[Proyectos]],#REF!,Planning[[#This Row],[Tipo de Tarea y especialidad]])</f>
        <v>#REF!</v>
      </c>
      <c r="O3863" s="19">
        <f t="shared" si="120"/>
        <v>10</v>
      </c>
      <c r="P3863" s="19">
        <f t="shared" si="121"/>
        <v>2024</v>
      </c>
      <c r="Q38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63" s="34" t="str">
        <f>TEXT(Planning[[#This Row],[Mes]]*29,"mmmm")</f>
        <v>October</v>
      </c>
      <c r="S386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63" s="237"/>
      <c r="U3863" s="43" t="e">
        <f>IF(Planning[[#This Row],[Horas Planificadas]]&lt;&gt;0,+K3863/Planning[[#This Row],[Horas Planificadas]],0)</f>
        <v>#REF!</v>
      </c>
      <c r="V3863" s="43" t="e">
        <f>IF(Planning[[#This Row],[Horas Planificadas]]&lt;&gt;0,Planning[[#This Row],[Horas utilizadas]]/Planning[[#This Row],[Horas Planificadas]],0)</f>
        <v>#REF!</v>
      </c>
      <c r="W3863" s="44">
        <f>Planning[[#This Row],[Horas Planificadas]]+Planning[[#This Row],[Horas ajustadas adicionales]]</f>
        <v>1119</v>
      </c>
      <c r="X3863" s="142"/>
    </row>
    <row r="3864" spans="1:24" x14ac:dyDescent="0.2">
      <c r="A3864" s="7" t="s">
        <v>684</v>
      </c>
      <c r="B3864" s="7" t="s">
        <v>685</v>
      </c>
      <c r="C3864" s="3">
        <v>116990</v>
      </c>
      <c r="D3864" s="3" t="s">
        <v>686</v>
      </c>
      <c r="E3864" s="4"/>
      <c r="F3864" s="3" t="s">
        <v>123</v>
      </c>
      <c r="G3864" s="9">
        <v>659</v>
      </c>
      <c r="H3864" s="9">
        <v>659</v>
      </c>
      <c r="I3864" s="12">
        <v>302</v>
      </c>
      <c r="J3864" s="5" t="e">
        <f>SUM(SUMIFS(#REF!,#REF!,Planning[[#This Row],[Tipo de Tarea y especialidad]],#REF!,Planning[[#This Row],[Proyectos Reiwa]]),SUMIFS(#REF!,#REF!,Planning[[#This Row],[Tipo de Tarea y especialidad]],#REF!,Planning[[#This Row],[Proyectos]]))</f>
        <v>#REF!</v>
      </c>
      <c r="K3864" s="5" t="e">
        <f>+Planning[[#This Row],[Horas Planificadas]]+Planning[[#This Row],[Horas ajustadas adicionales]]-Planning[[#This Row],[Horas utilizadas]]</f>
        <v>#REF!</v>
      </c>
      <c r="L3864" s="7">
        <v>225</v>
      </c>
      <c r="M3864" s="19" t="e">
        <f>Planning[[#This Row],[Saldo]]-Planning[[#This Row],[Saldo estimado]]</f>
        <v>#REF!</v>
      </c>
      <c r="N3864" s="60" t="e">
        <f>+SUMIFS(#REF!,#REF!,Planning[[#This Row],[Proyectos]],#REF!,Planning[[#This Row],[Tipo de Tarea y especialidad]])</f>
        <v>#REF!</v>
      </c>
      <c r="O3864" s="19">
        <f t="shared" si="120"/>
        <v>10</v>
      </c>
      <c r="P3864" s="19">
        <f t="shared" si="121"/>
        <v>2024</v>
      </c>
      <c r="Q38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64" s="34" t="str">
        <f>TEXT(Planning[[#This Row],[Mes]]*29,"mmmm")</f>
        <v>October</v>
      </c>
      <c r="S386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64" s="237"/>
      <c r="U3864" s="43" t="e">
        <f>IF(Planning[[#This Row],[Horas Planificadas]]&lt;&gt;0,+K3864/Planning[[#This Row],[Horas Planificadas]],0)</f>
        <v>#REF!</v>
      </c>
      <c r="V3864" s="43" t="e">
        <f>IF(Planning[[#This Row],[Horas Planificadas]]&lt;&gt;0,Planning[[#This Row],[Horas utilizadas]]/Planning[[#This Row],[Horas Planificadas]],0)</f>
        <v>#REF!</v>
      </c>
      <c r="W3864" s="44">
        <f>Planning[[#This Row],[Horas Planificadas]]+Planning[[#This Row],[Horas ajustadas adicionales]]</f>
        <v>961</v>
      </c>
      <c r="X3864" s="142"/>
    </row>
    <row r="3865" spans="1:24" ht="22.5" customHeight="1" x14ac:dyDescent="0.2">
      <c r="A3865" s="7" t="s">
        <v>684</v>
      </c>
      <c r="B3865" s="7" t="s">
        <v>685</v>
      </c>
      <c r="C3865" s="3">
        <v>116990</v>
      </c>
      <c r="D3865" s="3" t="s">
        <v>686</v>
      </c>
      <c r="E3865" s="4"/>
      <c r="F3865" s="3" t="s">
        <v>124</v>
      </c>
      <c r="G3865" s="9"/>
      <c r="H3865" s="9">
        <v>0</v>
      </c>
      <c r="I3865" s="12"/>
      <c r="J3865" s="5" t="e">
        <f>SUM(SUMIFS(#REF!,#REF!,Planning[[#This Row],[Tipo de Tarea y especialidad]],#REF!,Planning[[#This Row],[Proyectos Reiwa]]),SUMIFS(#REF!,#REF!,Planning[[#This Row],[Tipo de Tarea y especialidad]],#REF!,Planning[[#This Row],[Proyectos]]))</f>
        <v>#REF!</v>
      </c>
      <c r="K3865" s="5" t="e">
        <f>+Planning[[#This Row],[Horas Planificadas]]+Planning[[#This Row],[Horas ajustadas adicionales]]-Planning[[#This Row],[Horas utilizadas]]</f>
        <v>#REF!</v>
      </c>
      <c r="L3865" s="7">
        <v>0</v>
      </c>
      <c r="M3865" s="19" t="e">
        <f>Planning[[#This Row],[Saldo]]-Planning[[#This Row],[Saldo estimado]]</f>
        <v>#REF!</v>
      </c>
      <c r="N3865" s="60" t="e">
        <f>+SUMIFS(#REF!,#REF!,Planning[[#This Row],[Proyectos]],#REF!,Planning[[#This Row],[Tipo de Tarea y especialidad]])</f>
        <v>#REF!</v>
      </c>
      <c r="O3865" s="19">
        <f t="shared" si="120"/>
        <v>10</v>
      </c>
      <c r="P3865" s="19">
        <f t="shared" si="121"/>
        <v>2024</v>
      </c>
      <c r="Q38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65" s="34" t="str">
        <f>TEXT(Planning[[#This Row],[Mes]]*29,"mmmm")</f>
        <v>October</v>
      </c>
      <c r="S386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65" s="237"/>
      <c r="U3865" s="43">
        <f>IF(Planning[[#This Row],[Horas Planificadas]]&lt;&gt;0,+K3865/Planning[[#This Row],[Horas Planificadas]],0)</f>
        <v>0</v>
      </c>
      <c r="V3865" s="43">
        <f>IF(Planning[[#This Row],[Horas Planificadas]]&lt;&gt;0,Planning[[#This Row],[Horas utilizadas]]/Planning[[#This Row],[Horas Planificadas]],0)</f>
        <v>0</v>
      </c>
      <c r="W3865" s="44">
        <f>Planning[[#This Row],[Horas Planificadas]]+Planning[[#This Row],[Horas ajustadas adicionales]]</f>
        <v>0</v>
      </c>
      <c r="X3865" s="142"/>
    </row>
    <row r="3866" spans="1:24" x14ac:dyDescent="0.2">
      <c r="A3866" s="7" t="s">
        <v>684</v>
      </c>
      <c r="B3866" s="7" t="s">
        <v>685</v>
      </c>
      <c r="C3866" s="3">
        <v>116990</v>
      </c>
      <c r="D3866" s="3" t="s">
        <v>686</v>
      </c>
      <c r="E3866" s="4"/>
      <c r="F3866" s="3" t="s">
        <v>125</v>
      </c>
      <c r="G3866" s="9"/>
      <c r="H3866" s="9">
        <v>298</v>
      </c>
      <c r="I3866" s="12">
        <v>293</v>
      </c>
      <c r="J3866" s="5" t="e">
        <f>SUM(SUMIFS(#REF!,#REF!,Planning[[#This Row],[Tipo de Tarea y especialidad]],#REF!,Planning[[#This Row],[Proyectos Reiwa]]),SUMIFS(#REF!,#REF!,Planning[[#This Row],[Tipo de Tarea y especialidad]],#REF!,Planning[[#This Row],[Proyectos]]))</f>
        <v>#REF!</v>
      </c>
      <c r="K3866" s="5" t="e">
        <f>+Planning[[#This Row],[Horas Planificadas]]+Planning[[#This Row],[Horas ajustadas adicionales]]-Planning[[#This Row],[Horas utilizadas]]</f>
        <v>#REF!</v>
      </c>
      <c r="L3866" s="7">
        <v>36</v>
      </c>
      <c r="M3866" s="19" t="e">
        <f>Planning[[#This Row],[Saldo]]-Planning[[#This Row],[Saldo estimado]]</f>
        <v>#REF!</v>
      </c>
      <c r="N3866" s="60" t="e">
        <f>+SUMIFS(#REF!,#REF!,Planning[[#This Row],[Proyectos]],#REF!,Planning[[#This Row],[Tipo de Tarea y especialidad]])</f>
        <v>#REF!</v>
      </c>
      <c r="O3866" s="19">
        <f t="shared" si="120"/>
        <v>10</v>
      </c>
      <c r="P3866" s="19">
        <f t="shared" si="121"/>
        <v>2024</v>
      </c>
      <c r="Q38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66" s="34" t="str">
        <f>TEXT(Planning[[#This Row],[Mes]]*29,"mmmm")</f>
        <v>October</v>
      </c>
      <c r="S386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66" s="237"/>
      <c r="U3866" s="43" t="e">
        <f>IF(Planning[[#This Row],[Horas Planificadas]]&lt;&gt;0,+K3866/Planning[[#This Row],[Horas Planificadas]],0)</f>
        <v>#REF!</v>
      </c>
      <c r="V3866" s="43" t="e">
        <f>IF(Planning[[#This Row],[Horas Planificadas]]&lt;&gt;0,Planning[[#This Row],[Horas utilizadas]]/Planning[[#This Row],[Horas Planificadas]],0)</f>
        <v>#REF!</v>
      </c>
      <c r="W3866" s="44">
        <f>Planning[[#This Row],[Horas Planificadas]]+Planning[[#This Row],[Horas ajustadas adicionales]]</f>
        <v>591</v>
      </c>
      <c r="X3866" s="142"/>
    </row>
    <row r="3867" spans="1:24" x14ac:dyDescent="0.2">
      <c r="A3867" s="7" t="s">
        <v>684</v>
      </c>
      <c r="B3867" s="7" t="s">
        <v>685</v>
      </c>
      <c r="C3867" s="3">
        <v>116990</v>
      </c>
      <c r="D3867" s="3" t="s">
        <v>686</v>
      </c>
      <c r="E3867" s="4"/>
      <c r="F3867" s="3" t="s">
        <v>126</v>
      </c>
      <c r="G3867" s="9">
        <v>1074</v>
      </c>
      <c r="H3867" s="9">
        <v>1200</v>
      </c>
      <c r="I3867" s="12">
        <v>402</v>
      </c>
      <c r="J3867" s="5" t="e">
        <f>SUM(SUMIFS(#REF!,#REF!,Planning[[#This Row],[Tipo de Tarea y especialidad]],#REF!,Planning[[#This Row],[Proyectos Reiwa]]),SUMIFS(#REF!,#REF!,Planning[[#This Row],[Tipo de Tarea y especialidad]],#REF!,Planning[[#This Row],[Proyectos]]))</f>
        <v>#REF!</v>
      </c>
      <c r="K3867" s="5" t="e">
        <f>+Planning[[#This Row],[Horas Planificadas]]+Planning[[#This Row],[Horas ajustadas adicionales]]-Planning[[#This Row],[Horas utilizadas]]</f>
        <v>#REF!</v>
      </c>
      <c r="L3867" s="7">
        <v>774</v>
      </c>
      <c r="M3867" s="19" t="e">
        <f>Planning[[#This Row],[Saldo]]-Planning[[#This Row],[Saldo estimado]]</f>
        <v>#REF!</v>
      </c>
      <c r="N3867" s="60" t="e">
        <f>+SUMIFS(#REF!,#REF!,Planning[[#This Row],[Proyectos]],#REF!,Planning[[#This Row],[Tipo de Tarea y especialidad]])</f>
        <v>#REF!</v>
      </c>
      <c r="O3867" s="19">
        <f t="shared" si="120"/>
        <v>10</v>
      </c>
      <c r="P3867" s="19">
        <f t="shared" si="121"/>
        <v>2024</v>
      </c>
      <c r="Q38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67" s="34" t="str">
        <f>TEXT(Planning[[#This Row],[Mes]]*29,"mmmm")</f>
        <v>October</v>
      </c>
      <c r="S386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67" s="237"/>
      <c r="U3867" s="43" t="e">
        <f>IF(Planning[[#This Row],[Horas Planificadas]]&lt;&gt;0,+K3867/Planning[[#This Row],[Horas Planificadas]],0)</f>
        <v>#REF!</v>
      </c>
      <c r="V3867" s="43" t="e">
        <f>IF(Planning[[#This Row],[Horas Planificadas]]&lt;&gt;0,Planning[[#This Row],[Horas utilizadas]]/Planning[[#This Row],[Horas Planificadas]],0)</f>
        <v>#REF!</v>
      </c>
      <c r="W3867" s="44">
        <f>Planning[[#This Row],[Horas Planificadas]]+Planning[[#This Row],[Horas ajustadas adicionales]]</f>
        <v>1602</v>
      </c>
      <c r="X3867" s="142"/>
    </row>
    <row r="3868" spans="1:24" x14ac:dyDescent="0.2">
      <c r="A3868" s="7" t="s">
        <v>684</v>
      </c>
      <c r="B3868" s="7" t="s">
        <v>685</v>
      </c>
      <c r="C3868" s="3">
        <v>116990</v>
      </c>
      <c r="D3868" s="3" t="s">
        <v>686</v>
      </c>
      <c r="E3868" s="4"/>
      <c r="F3868" s="3" t="s">
        <v>127</v>
      </c>
      <c r="G3868" s="9">
        <v>283</v>
      </c>
      <c r="H3868" s="9">
        <v>446</v>
      </c>
      <c r="I3868" s="12">
        <v>202</v>
      </c>
      <c r="J3868" s="5" t="e">
        <f>SUM(SUMIFS(#REF!,#REF!,Planning[[#This Row],[Tipo de Tarea y especialidad]],#REF!,Planning[[#This Row],[Proyectos Reiwa]]),SUMIFS(#REF!,#REF!,Planning[[#This Row],[Tipo de Tarea y especialidad]],#REF!,Planning[[#This Row],[Proyectos]]))</f>
        <v>#REF!</v>
      </c>
      <c r="K3868" s="5" t="e">
        <f>+Planning[[#This Row],[Horas Planificadas]]+Planning[[#This Row],[Horas ajustadas adicionales]]-Planning[[#This Row],[Horas utilizadas]]</f>
        <v>#REF!</v>
      </c>
      <c r="L3868" s="7">
        <v>270</v>
      </c>
      <c r="M3868" s="19" t="e">
        <f>Planning[[#This Row],[Saldo]]-Planning[[#This Row],[Saldo estimado]]</f>
        <v>#REF!</v>
      </c>
      <c r="N3868" s="60" t="e">
        <f>+SUMIFS(#REF!,#REF!,Planning[[#This Row],[Proyectos]],#REF!,Planning[[#This Row],[Tipo de Tarea y especialidad]])</f>
        <v>#REF!</v>
      </c>
      <c r="O3868" s="19">
        <f t="shared" si="120"/>
        <v>10</v>
      </c>
      <c r="P3868" s="19">
        <f t="shared" si="121"/>
        <v>2024</v>
      </c>
      <c r="Q38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68" s="34" t="str">
        <f>TEXT(Planning[[#This Row],[Mes]]*29,"mmmm")</f>
        <v>October</v>
      </c>
      <c r="S386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68" s="237"/>
      <c r="U3868" s="43" t="e">
        <f>IF(Planning[[#This Row],[Horas Planificadas]]&lt;&gt;0,+K3868/Planning[[#This Row],[Horas Planificadas]],0)</f>
        <v>#REF!</v>
      </c>
      <c r="V3868" s="43" t="e">
        <f>IF(Planning[[#This Row],[Horas Planificadas]]&lt;&gt;0,Planning[[#This Row],[Horas utilizadas]]/Planning[[#This Row],[Horas Planificadas]],0)</f>
        <v>#REF!</v>
      </c>
      <c r="W3868" s="44">
        <f>Planning[[#This Row],[Horas Planificadas]]+Planning[[#This Row],[Horas ajustadas adicionales]]</f>
        <v>648</v>
      </c>
      <c r="X3868" s="142"/>
    </row>
    <row r="3869" spans="1:24" x14ac:dyDescent="0.2">
      <c r="A3869" s="7" t="s">
        <v>684</v>
      </c>
      <c r="B3869" s="7" t="s">
        <v>685</v>
      </c>
      <c r="C3869" s="3">
        <v>116990</v>
      </c>
      <c r="D3869" s="3" t="s">
        <v>686</v>
      </c>
      <c r="E3869" s="4"/>
      <c r="F3869" s="3" t="s">
        <v>128</v>
      </c>
      <c r="G3869" s="9"/>
      <c r="H3869" s="9">
        <v>0</v>
      </c>
      <c r="I3869" s="12"/>
      <c r="J3869" s="5" t="e">
        <f>SUM(SUMIFS(#REF!,#REF!,Planning[[#This Row],[Tipo de Tarea y especialidad]],#REF!,Planning[[#This Row],[Proyectos Reiwa]]),SUMIFS(#REF!,#REF!,Planning[[#This Row],[Tipo de Tarea y especialidad]],#REF!,Planning[[#This Row],[Proyectos]]))</f>
        <v>#REF!</v>
      </c>
      <c r="K3869" s="5" t="e">
        <f>+Planning[[#This Row],[Horas Planificadas]]+Planning[[#This Row],[Horas ajustadas adicionales]]-Planning[[#This Row],[Horas utilizadas]]</f>
        <v>#REF!</v>
      </c>
      <c r="L3869" s="7">
        <v>0</v>
      </c>
      <c r="M3869" s="19" t="e">
        <f>Planning[[#This Row],[Saldo]]-Planning[[#This Row],[Saldo estimado]]</f>
        <v>#REF!</v>
      </c>
      <c r="N3869" s="60" t="e">
        <f>+SUMIFS(#REF!,#REF!,Planning[[#This Row],[Proyectos]],#REF!,Planning[[#This Row],[Tipo de Tarea y especialidad]])</f>
        <v>#REF!</v>
      </c>
      <c r="O3869" s="19">
        <f t="shared" si="120"/>
        <v>10</v>
      </c>
      <c r="P3869" s="19">
        <f t="shared" si="121"/>
        <v>2024</v>
      </c>
      <c r="Q38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69" s="34" t="str">
        <f>TEXT(Planning[[#This Row],[Mes]]*29,"mmmm")</f>
        <v>October</v>
      </c>
      <c r="S386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69" s="237"/>
      <c r="U3869" s="43">
        <f>IF(Planning[[#This Row],[Horas Planificadas]]&lt;&gt;0,+K3869/Planning[[#This Row],[Horas Planificadas]],0)</f>
        <v>0</v>
      </c>
      <c r="V3869" s="43">
        <f>IF(Planning[[#This Row],[Horas Planificadas]]&lt;&gt;0,Planning[[#This Row],[Horas utilizadas]]/Planning[[#This Row],[Horas Planificadas]],0)</f>
        <v>0</v>
      </c>
      <c r="W3869" s="44">
        <f>Planning[[#This Row],[Horas Planificadas]]+Planning[[#This Row],[Horas ajustadas adicionales]]</f>
        <v>0</v>
      </c>
      <c r="X3869" s="142"/>
    </row>
    <row r="3870" spans="1:24" x14ac:dyDescent="0.2">
      <c r="A3870" s="7" t="s">
        <v>684</v>
      </c>
      <c r="B3870" s="7" t="s">
        <v>685</v>
      </c>
      <c r="C3870" s="3">
        <v>116990</v>
      </c>
      <c r="D3870" s="3" t="s">
        <v>686</v>
      </c>
      <c r="E3870" s="4" t="s">
        <v>31</v>
      </c>
      <c r="F3870" s="3" t="s">
        <v>31</v>
      </c>
      <c r="G3870" s="9">
        <v>346</v>
      </c>
      <c r="H3870" s="17">
        <f>Planning[[#This Row],[Horas Precálculo]]</f>
        <v>346</v>
      </c>
      <c r="I3870" s="18"/>
      <c r="J3870" s="14" t="e">
        <f>+SUMIFS(#REF!,#REF!,Planning[[#This Row],[Tarifa]],#REF!,Planning[[#This Row],[Proyectos]])</f>
        <v>#REF!</v>
      </c>
      <c r="K3870" s="14" t="e">
        <f>+Planning[[#This Row],[Horas Planificadas]]+Planning[[#This Row],[Horas ajustadas adicionales]]-Planning[[#This Row],[Horas utilizadas]]</f>
        <v>#REF!</v>
      </c>
      <c r="L3870" s="15">
        <v>0</v>
      </c>
      <c r="M3870" s="16" t="e">
        <f>Planning[[#This Row],[Saldo]]-Planning[[#This Row],[Saldo estimado]]</f>
        <v>#REF!</v>
      </c>
      <c r="N3870" s="60" t="e">
        <f>+SUMIFS(#REF!,#REF!,Planning[[#This Row],[Proyectos]],#REF!,Planning[[#This Row],[Tipo de Tarea y especialidad]])</f>
        <v>#REF!</v>
      </c>
      <c r="O3870" s="16">
        <f t="shared" si="120"/>
        <v>10</v>
      </c>
      <c r="P3870" s="16">
        <f t="shared" si="121"/>
        <v>2024</v>
      </c>
      <c r="Q3870" s="16" t="e">
        <f>+SUMIFS(#REF!,#REF!,Planning[[#This Row],[Tarifa]],#REF!,Planning[[#This Row],[Proyectos]],#REF!,Planning[[#This Row],[Mes]],#REF!,Planning[[#This Row],[Año]])</f>
        <v>#REF!</v>
      </c>
      <c r="R3870" s="35" t="str">
        <f>TEXT(Planning[[#This Row],[Mes]]*29,"mmmm")</f>
        <v>October</v>
      </c>
      <c r="S387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70" s="237"/>
      <c r="U3870" s="43" t="e">
        <f>IF(Planning[[#This Row],[Horas Planificadas]]&lt;&gt;0,+K3870/Planning[[#This Row],[Horas Planificadas]],0)</f>
        <v>#REF!</v>
      </c>
      <c r="V3870" s="43" t="e">
        <f>IF(Planning[[#This Row],[Horas Planificadas]]&lt;&gt;0,Planning[[#This Row],[Horas utilizadas]]/Planning[[#This Row],[Horas Planificadas]],0)</f>
        <v>#REF!</v>
      </c>
      <c r="W3870" s="44">
        <f>Planning[[#This Row],[Horas Planificadas]]+Planning[[#This Row],[Horas ajustadas adicionales]]</f>
        <v>346</v>
      </c>
      <c r="X3870" s="142"/>
    </row>
    <row r="3871" spans="1:24" ht="22.5" x14ac:dyDescent="0.2">
      <c r="A3871" s="7" t="s">
        <v>684</v>
      </c>
      <c r="B3871" s="7" t="s">
        <v>685</v>
      </c>
      <c r="C3871" s="3">
        <v>116990</v>
      </c>
      <c r="D3871" s="3" t="s">
        <v>686</v>
      </c>
      <c r="E3871" s="4" t="s">
        <v>32</v>
      </c>
      <c r="F3871" s="3"/>
      <c r="G3871" s="9"/>
      <c r="H3871" s="14">
        <f>SUM(H3872:H3874)</f>
        <v>1260</v>
      </c>
      <c r="I3871" s="14"/>
      <c r="J3871" s="14" t="e">
        <f>SUM(J3872:J3874)</f>
        <v>#REF!</v>
      </c>
      <c r="K3871" s="14" t="e">
        <f>+Planning[[#This Row],[Horas Planificadas]]+Planning[[#This Row],[Horas ajustadas adicionales]]-Planning[[#This Row],[Horas utilizadas]]</f>
        <v>#REF!</v>
      </c>
      <c r="L3871" s="15">
        <f>SUM(L3872:L3874)</f>
        <v>1260</v>
      </c>
      <c r="M3871" s="16" t="e">
        <f>SUM(M3872:M3874)</f>
        <v>#REF!</v>
      </c>
      <c r="N3871" s="60" t="e">
        <f>+SUMIFS(#REF!,#REF!,Planning[[#This Row],[Proyectos]],#REF!,Planning[[#This Row],[Tipo de Tarea y especialidad]])</f>
        <v>#REF!</v>
      </c>
      <c r="O3871" s="16">
        <f t="shared" si="120"/>
        <v>10</v>
      </c>
      <c r="P3871" s="16">
        <f t="shared" si="121"/>
        <v>2024</v>
      </c>
      <c r="Q3871" s="16" t="e">
        <f>SUM(Q3872:Q3874)</f>
        <v>#REF!</v>
      </c>
      <c r="R3871" s="35" t="str">
        <f>TEXT(Planning[[#This Row],[Mes]]*29,"mmmm")</f>
        <v>October</v>
      </c>
      <c r="S387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71" s="237"/>
      <c r="U3871" s="43" t="e">
        <f>IF(Planning[[#This Row],[Horas Planificadas]]&lt;&gt;0,+K3871/Planning[[#This Row],[Horas Planificadas]],0)</f>
        <v>#REF!</v>
      </c>
      <c r="V3871" s="43" t="e">
        <f>IF(Planning[[#This Row],[Horas Planificadas]]&lt;&gt;0,Planning[[#This Row],[Horas utilizadas]]/Planning[[#This Row],[Horas Planificadas]],0)</f>
        <v>#REF!</v>
      </c>
      <c r="W3871" s="44">
        <f>Planning[[#This Row],[Horas Planificadas]]+Planning[[#This Row],[Horas ajustadas adicionales]]</f>
        <v>1260</v>
      </c>
      <c r="X3871" s="142"/>
    </row>
    <row r="3872" spans="1:24" x14ac:dyDescent="0.2">
      <c r="A3872" s="7" t="s">
        <v>684</v>
      </c>
      <c r="B3872" s="7" t="s">
        <v>685</v>
      </c>
      <c r="C3872" s="3">
        <v>116990</v>
      </c>
      <c r="D3872" s="3" t="s">
        <v>686</v>
      </c>
      <c r="E3872" s="4"/>
      <c r="F3872" s="3" t="s">
        <v>129</v>
      </c>
      <c r="G3872" s="9"/>
      <c r="H3872" s="9">
        <v>610</v>
      </c>
      <c r="I3872" s="12"/>
      <c r="J3872" s="5" t="e">
        <f>SUM(SUMIFS(#REF!,#REF!,Planning[[#This Row],[Tipo de Tarea y especialidad]],#REF!,Planning[[#This Row],[Proyectos Reiwa]]),SUMIFS(#REF!,#REF!,Planning[[#This Row],[Tipo de Tarea y especialidad]],#REF!,Planning[[#This Row],[Proyectos]]))</f>
        <v>#REF!</v>
      </c>
      <c r="K3872" s="5" t="e">
        <f>+Planning[[#This Row],[Horas Planificadas]]+Planning[[#This Row],[Horas ajustadas adicionales]]-Planning[[#This Row],[Horas utilizadas]]</f>
        <v>#REF!</v>
      </c>
      <c r="L3872" s="7">
        <v>610</v>
      </c>
      <c r="M3872" s="19" t="e">
        <f>Planning[[#This Row],[Saldo]]-Planning[[#This Row],[Saldo estimado]]</f>
        <v>#REF!</v>
      </c>
      <c r="N3872" s="60" t="e">
        <f>+SUMIFS(#REF!,#REF!,Planning[[#This Row],[Proyectos]],#REF!,Planning[[#This Row],[Tipo de Tarea y especialidad]])</f>
        <v>#REF!</v>
      </c>
      <c r="O3872" s="19">
        <f t="shared" si="120"/>
        <v>10</v>
      </c>
      <c r="P3872" s="19">
        <f t="shared" si="121"/>
        <v>2024</v>
      </c>
      <c r="Q38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72" s="34" t="str">
        <f>TEXT(Planning[[#This Row],[Mes]]*29,"mmmm")</f>
        <v>October</v>
      </c>
      <c r="S387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72" s="237"/>
      <c r="U3872" s="43" t="e">
        <f>IF(Planning[[#This Row],[Horas Planificadas]]&lt;&gt;0,+K3872/Planning[[#This Row],[Horas Planificadas]],0)</f>
        <v>#REF!</v>
      </c>
      <c r="V3872" s="43" t="e">
        <f>IF(Planning[[#This Row],[Horas Planificadas]]&lt;&gt;0,Planning[[#This Row],[Horas utilizadas]]/Planning[[#This Row],[Horas Planificadas]],0)</f>
        <v>#REF!</v>
      </c>
      <c r="W3872" s="44">
        <f>Planning[[#This Row],[Horas Planificadas]]+Planning[[#This Row],[Horas ajustadas adicionales]]</f>
        <v>610</v>
      </c>
      <c r="X3872" s="142"/>
    </row>
    <row r="3873" spans="1:24" x14ac:dyDescent="0.2">
      <c r="A3873" s="7" t="s">
        <v>684</v>
      </c>
      <c r="B3873" s="7" t="s">
        <v>685</v>
      </c>
      <c r="C3873" s="3">
        <v>116990</v>
      </c>
      <c r="D3873" s="3" t="s">
        <v>686</v>
      </c>
      <c r="E3873" s="4"/>
      <c r="F3873" s="3" t="s">
        <v>130</v>
      </c>
      <c r="G3873" s="9"/>
      <c r="H3873" s="9">
        <v>650</v>
      </c>
      <c r="I3873" s="12"/>
      <c r="J3873" s="5" t="e">
        <f>SUM(SUMIFS(#REF!,#REF!,Planning[[#This Row],[Tipo de Tarea y especialidad]],#REF!,Planning[[#This Row],[Proyectos Reiwa]]),SUMIFS(#REF!,#REF!,Planning[[#This Row],[Tipo de Tarea y especialidad]],#REF!,Planning[[#This Row],[Proyectos]]))</f>
        <v>#REF!</v>
      </c>
      <c r="K3873" s="5" t="e">
        <f>+Planning[[#This Row],[Horas Planificadas]]+Planning[[#This Row],[Horas ajustadas adicionales]]-Planning[[#This Row],[Horas utilizadas]]</f>
        <v>#REF!</v>
      </c>
      <c r="L3873" s="7">
        <v>650</v>
      </c>
      <c r="M3873" s="19" t="e">
        <f>Planning[[#This Row],[Saldo]]-Planning[[#This Row],[Saldo estimado]]</f>
        <v>#REF!</v>
      </c>
      <c r="N3873" s="60" t="e">
        <f>+SUMIFS(#REF!,#REF!,Planning[[#This Row],[Proyectos]],#REF!,Planning[[#This Row],[Tipo de Tarea y especialidad]])</f>
        <v>#REF!</v>
      </c>
      <c r="O3873" s="19">
        <f t="shared" si="120"/>
        <v>10</v>
      </c>
      <c r="P3873" s="19">
        <f t="shared" si="121"/>
        <v>2024</v>
      </c>
      <c r="Q38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73" s="34" t="str">
        <f>TEXT(Planning[[#This Row],[Mes]]*29,"mmmm")</f>
        <v>October</v>
      </c>
      <c r="S387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73" s="237"/>
      <c r="U3873" s="43" t="e">
        <f>IF(Planning[[#This Row],[Horas Planificadas]]&lt;&gt;0,+K3873/Planning[[#This Row],[Horas Planificadas]],0)</f>
        <v>#REF!</v>
      </c>
      <c r="V3873" s="43" t="e">
        <f>IF(Planning[[#This Row],[Horas Planificadas]]&lt;&gt;0,Planning[[#This Row],[Horas utilizadas]]/Planning[[#This Row],[Horas Planificadas]],0)</f>
        <v>#REF!</v>
      </c>
      <c r="W3873" s="44">
        <f>Planning[[#This Row],[Horas Planificadas]]+Planning[[#This Row],[Horas ajustadas adicionales]]</f>
        <v>650</v>
      </c>
      <c r="X3873" s="142"/>
    </row>
    <row r="3874" spans="1:24" ht="22.5" customHeight="1" x14ac:dyDescent="0.2">
      <c r="A3874" s="7" t="s">
        <v>684</v>
      </c>
      <c r="B3874" s="7" t="s">
        <v>685</v>
      </c>
      <c r="C3874" s="3">
        <v>116990</v>
      </c>
      <c r="D3874" s="3" t="s">
        <v>686</v>
      </c>
      <c r="E3874" s="4"/>
      <c r="F3874" s="3" t="s">
        <v>131</v>
      </c>
      <c r="G3874" s="9"/>
      <c r="H3874" s="9">
        <v>0</v>
      </c>
      <c r="I3874" s="12"/>
      <c r="J3874" s="5" t="e">
        <f>SUM(SUMIFS(#REF!,#REF!,Planning[[#This Row],[Tipo de Tarea y especialidad]],#REF!,Planning[[#This Row],[Proyectos Reiwa]]),SUMIFS(#REF!,#REF!,Planning[[#This Row],[Tipo de Tarea y especialidad]],#REF!,Planning[[#This Row],[Proyectos]]))</f>
        <v>#REF!</v>
      </c>
      <c r="K3874" s="5" t="e">
        <f>+Planning[[#This Row],[Horas Planificadas]]+Planning[[#This Row],[Horas ajustadas adicionales]]-Planning[[#This Row],[Horas utilizadas]]</f>
        <v>#REF!</v>
      </c>
      <c r="L3874" s="7">
        <v>0</v>
      </c>
      <c r="M3874" s="19" t="e">
        <f>Planning[[#This Row],[Saldo]]-Planning[[#This Row],[Saldo estimado]]</f>
        <v>#REF!</v>
      </c>
      <c r="N3874" s="60" t="e">
        <f>+SUMIFS(#REF!,#REF!,Planning[[#This Row],[Proyectos]],#REF!,Planning[[#This Row],[Tipo de Tarea y especialidad]])</f>
        <v>#REF!</v>
      </c>
      <c r="O3874" s="19">
        <f t="shared" si="120"/>
        <v>10</v>
      </c>
      <c r="P3874" s="19">
        <f t="shared" si="121"/>
        <v>2024</v>
      </c>
      <c r="Q38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74" s="34" t="str">
        <f>TEXT(Planning[[#This Row],[Mes]]*29,"mmmm")</f>
        <v>October</v>
      </c>
      <c r="S387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74" s="238"/>
      <c r="U3874" s="43">
        <f>IF(Planning[[#This Row],[Horas Planificadas]]&lt;&gt;0,+K3874/Planning[[#This Row],[Horas Planificadas]],0)</f>
        <v>0</v>
      </c>
      <c r="V3874" s="43">
        <f>IF(Planning[[#This Row],[Horas Planificadas]]&lt;&gt;0,Planning[[#This Row],[Horas utilizadas]]/Planning[[#This Row],[Horas Planificadas]],0)</f>
        <v>0</v>
      </c>
      <c r="W3874" s="44">
        <f>Planning[[#This Row],[Horas Planificadas]]+Planning[[#This Row],[Horas ajustadas adicionales]]</f>
        <v>0</v>
      </c>
      <c r="X3874" s="142"/>
    </row>
    <row r="3875" spans="1:24" ht="13.35" customHeight="1" x14ac:dyDescent="0.2">
      <c r="A3875" s="7" t="s">
        <v>168</v>
      </c>
      <c r="B3875" s="7" t="s">
        <v>463</v>
      </c>
      <c r="C3875" s="3">
        <v>116991</v>
      </c>
      <c r="D3875" s="3" t="s">
        <v>688</v>
      </c>
      <c r="E3875" s="4" t="s">
        <v>28</v>
      </c>
      <c r="F3875" s="3"/>
      <c r="G3875" s="9">
        <v>446</v>
      </c>
      <c r="H3875" s="14">
        <f>SUM(H3876:H3877)</f>
        <v>446</v>
      </c>
      <c r="I3875" s="14"/>
      <c r="J3875" s="14" t="e">
        <f>SUM(J3876:J3877)</f>
        <v>#REF!</v>
      </c>
      <c r="K3875" s="14" t="e">
        <f>+Planning[[#This Row],[Horas Planificadas]]+Planning[[#This Row],[Horas ajustadas adicionales]]-Planning[[#This Row],[Horas utilizadas]]</f>
        <v>#REF!</v>
      </c>
      <c r="L3875" s="15">
        <f>SUM(L3876:L3877)</f>
        <v>27</v>
      </c>
      <c r="M3875" s="14" t="e">
        <f>SUM(M3876:M3877)</f>
        <v>#REF!</v>
      </c>
      <c r="N3875" s="66" t="e">
        <f>+SUMIFS(#REF!,#REF!,Planning[[#This Row],[Proyectos]],#REF!,Planning[[#This Row],[Tipo de Tarea y especialidad]])</f>
        <v>#REF!</v>
      </c>
      <c r="O3875" s="14">
        <f t="shared" si="120"/>
        <v>10</v>
      </c>
      <c r="P3875" s="14">
        <f t="shared" si="121"/>
        <v>2024</v>
      </c>
      <c r="Q3875" s="28" t="e">
        <f>SUM(Q3876:Q3877)</f>
        <v>#REF!</v>
      </c>
      <c r="R3875" s="28" t="str">
        <f>TEXT(Planning[[#This Row],[Mes]]*29,"mmmm")</f>
        <v>October</v>
      </c>
      <c r="S38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75" s="224" t="s">
        <v>689</v>
      </c>
      <c r="U3875" s="43" t="e">
        <f>IF(Planning[[#This Row],[Horas Planificadas]]&lt;&gt;0,+K3875/Planning[[#This Row],[Horas Planificadas]],0)</f>
        <v>#REF!</v>
      </c>
      <c r="V3875" s="43" t="e">
        <f>IF(Planning[[#This Row],[Horas Planificadas]]&lt;&gt;0,Planning[[#This Row],[Horas utilizadas]]/Planning[[#This Row],[Horas Planificadas]],0)</f>
        <v>#REF!</v>
      </c>
      <c r="W3875" s="44">
        <f>Planning[[#This Row],[Horas Planificadas]]+Planning[[#This Row],[Horas ajustadas adicionales]]</f>
        <v>446</v>
      </c>
      <c r="X3875" s="142"/>
    </row>
    <row r="3876" spans="1:24" ht="13.35" customHeight="1" x14ac:dyDescent="0.2">
      <c r="A3876" s="7" t="s">
        <v>168</v>
      </c>
      <c r="B3876" s="7" t="s">
        <v>463</v>
      </c>
      <c r="C3876" s="3">
        <v>116991</v>
      </c>
      <c r="D3876" s="3" t="s">
        <v>688</v>
      </c>
      <c r="E3876" s="4"/>
      <c r="F3876" s="3" t="s">
        <v>120</v>
      </c>
      <c r="G3876" s="9"/>
      <c r="H3876" s="9">
        <v>320</v>
      </c>
      <c r="I3876" s="12"/>
      <c r="J3876" s="5" t="e">
        <f>SUM(SUMIFS(#REF!,#REF!,Planning[[#This Row],[Tipo de Tarea y especialidad]],#REF!,Planning[[#This Row],[Proyectos Reiwa]]),SUMIFS(#REF!,#REF!,Planning[[#This Row],[Tipo de Tarea y especialidad]],#REF!,Planning[[#This Row],[Proyectos]]))</f>
        <v>#REF!</v>
      </c>
      <c r="K3876" s="5" t="e">
        <f>+Planning[[#This Row],[Horas Planificadas]]+Planning[[#This Row],[Horas ajustadas adicionales]]-Planning[[#This Row],[Horas utilizadas]]</f>
        <v>#REF!</v>
      </c>
      <c r="L3876" s="7">
        <v>0</v>
      </c>
      <c r="M3876" s="19" t="e">
        <f>Planning[[#This Row],[Saldo]]-Planning[[#This Row],[Saldo estimado]]</f>
        <v>#REF!</v>
      </c>
      <c r="N3876" s="60" t="e">
        <f>+SUMIFS(#REF!,#REF!,Planning[[#This Row],[Proyectos]],#REF!,Planning[[#This Row],[Tipo de Tarea y especialidad]])</f>
        <v>#REF!</v>
      </c>
      <c r="O3876" s="19">
        <f t="shared" si="120"/>
        <v>10</v>
      </c>
      <c r="P3876" s="19">
        <f t="shared" si="121"/>
        <v>2024</v>
      </c>
      <c r="Q38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76" s="19" t="str">
        <f>TEXT(Planning[[#This Row],[Mes]]*29,"mmmm")</f>
        <v>October</v>
      </c>
      <c r="S38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76" s="210"/>
      <c r="U3876" s="43" t="e">
        <f>IF(Planning[[#This Row],[Horas Planificadas]]&lt;&gt;0,+K3876/Planning[[#This Row],[Horas Planificadas]],0)</f>
        <v>#REF!</v>
      </c>
      <c r="V3876" s="43" t="e">
        <f>IF(Planning[[#This Row],[Horas Planificadas]]&lt;&gt;0,Planning[[#This Row],[Horas utilizadas]]/Planning[[#This Row],[Horas Planificadas]],0)</f>
        <v>#REF!</v>
      </c>
      <c r="W3876" s="44">
        <f>Planning[[#This Row],[Horas Planificadas]]+Planning[[#This Row],[Horas ajustadas adicionales]]</f>
        <v>320</v>
      </c>
      <c r="X3876" s="142"/>
    </row>
    <row r="3877" spans="1:24" ht="13.35" customHeight="1" x14ac:dyDescent="0.2">
      <c r="A3877" s="7" t="s">
        <v>168</v>
      </c>
      <c r="B3877" s="7" t="s">
        <v>463</v>
      </c>
      <c r="C3877" s="3">
        <v>116991</v>
      </c>
      <c r="D3877" s="3" t="s">
        <v>688</v>
      </c>
      <c r="E3877" s="4"/>
      <c r="F3877" s="3" t="s">
        <v>121</v>
      </c>
      <c r="G3877" s="9"/>
      <c r="H3877" s="9">
        <v>126</v>
      </c>
      <c r="I3877" s="12"/>
      <c r="J3877" s="5" t="e">
        <f>SUM(SUMIFS(#REF!,#REF!,Planning[[#This Row],[Tipo de Tarea y especialidad]],#REF!,Planning[[#This Row],[Proyectos Reiwa]]),SUMIFS(#REF!,#REF!,Planning[[#This Row],[Tipo de Tarea y especialidad]],#REF!,Planning[[#This Row],[Proyectos]]))</f>
        <v>#REF!</v>
      </c>
      <c r="K3877" s="5" t="e">
        <f>+Planning[[#This Row],[Horas Planificadas]]+Planning[[#This Row],[Horas ajustadas adicionales]]-Planning[[#This Row],[Horas utilizadas]]</f>
        <v>#REF!</v>
      </c>
      <c r="L3877" s="7">
        <v>27</v>
      </c>
      <c r="M3877" s="19" t="e">
        <f>Planning[[#This Row],[Saldo]]-Planning[[#This Row],[Saldo estimado]]</f>
        <v>#REF!</v>
      </c>
      <c r="N3877" s="60" t="e">
        <f>+SUMIFS(#REF!,#REF!,Planning[[#This Row],[Proyectos]],#REF!,Planning[[#This Row],[Tipo de Tarea y especialidad]])</f>
        <v>#REF!</v>
      </c>
      <c r="O3877" s="19">
        <f t="shared" si="120"/>
        <v>10</v>
      </c>
      <c r="P3877" s="19">
        <f t="shared" si="121"/>
        <v>2024</v>
      </c>
      <c r="Q38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77" s="19" t="str">
        <f>TEXT(Planning[[#This Row],[Mes]]*29,"mmmm")</f>
        <v>October</v>
      </c>
      <c r="S38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77" s="210"/>
      <c r="U3877" s="43" t="e">
        <f>IF(Planning[[#This Row],[Horas Planificadas]]&lt;&gt;0,+K3877/Planning[[#This Row],[Horas Planificadas]],0)</f>
        <v>#REF!</v>
      </c>
      <c r="V3877" s="43" t="e">
        <f>IF(Planning[[#This Row],[Horas Planificadas]]&lt;&gt;0,Planning[[#This Row],[Horas utilizadas]]/Planning[[#This Row],[Horas Planificadas]],0)</f>
        <v>#REF!</v>
      </c>
      <c r="W3877" s="44">
        <f>Planning[[#This Row],[Horas Planificadas]]+Planning[[#This Row],[Horas ajustadas adicionales]]</f>
        <v>126</v>
      </c>
      <c r="X3877" s="142"/>
    </row>
    <row r="3878" spans="1:24" ht="13.35" customHeight="1" x14ac:dyDescent="0.2">
      <c r="A3878" s="7" t="s">
        <v>168</v>
      </c>
      <c r="B3878" s="7" t="s">
        <v>463</v>
      </c>
      <c r="C3878" s="3">
        <v>116991</v>
      </c>
      <c r="D3878" s="3" t="s">
        <v>688</v>
      </c>
      <c r="E3878" s="4" t="s">
        <v>30</v>
      </c>
      <c r="F3878" s="3"/>
      <c r="G3878" s="9">
        <v>770</v>
      </c>
      <c r="H3878" s="14">
        <f>SUM(H3879:H3885)</f>
        <v>770</v>
      </c>
      <c r="I3878" s="14"/>
      <c r="J3878" s="14" t="e">
        <f>SUM(J3879:J3885)</f>
        <v>#REF!</v>
      </c>
      <c r="K3878" s="14" t="e">
        <f>+Planning[[#This Row],[Horas Planificadas]]+Planning[[#This Row],[Horas ajustadas adicionales]]-Planning[[#This Row],[Horas utilizadas]]</f>
        <v>#REF!</v>
      </c>
      <c r="L3878" s="15">
        <f>SUM(L3879:L3885)</f>
        <v>33</v>
      </c>
      <c r="M3878" s="16" t="e">
        <f>SUM(M3879:M3885)</f>
        <v>#REF!</v>
      </c>
      <c r="N3878" s="60" t="e">
        <f>+SUMIFS(#REF!,#REF!,Planning[[#This Row],[Proyectos]],#REF!,Planning[[#This Row],[Tipo de Tarea y especialidad]])</f>
        <v>#REF!</v>
      </c>
      <c r="O3878" s="16">
        <f t="shared" si="120"/>
        <v>10</v>
      </c>
      <c r="P3878" s="16">
        <f t="shared" si="121"/>
        <v>2024</v>
      </c>
      <c r="Q3878" s="16" t="e">
        <f>SUM(Q3879:Q3885)</f>
        <v>#REF!</v>
      </c>
      <c r="R3878" s="16" t="str">
        <f>TEXT(Planning[[#This Row],[Mes]]*29,"mmmm")</f>
        <v>October</v>
      </c>
      <c r="S38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78" s="210"/>
      <c r="U3878" s="43" t="e">
        <f>IF(Planning[[#This Row],[Horas Planificadas]]&lt;&gt;0,+K3878/Planning[[#This Row],[Horas Planificadas]],0)</f>
        <v>#REF!</v>
      </c>
      <c r="V3878" s="43" t="e">
        <f>IF(Planning[[#This Row],[Horas Planificadas]]&lt;&gt;0,Planning[[#This Row],[Horas utilizadas]]/Planning[[#This Row],[Horas Planificadas]],0)</f>
        <v>#REF!</v>
      </c>
      <c r="W3878" s="44">
        <f>Planning[[#This Row],[Horas Planificadas]]+Planning[[#This Row],[Horas ajustadas adicionales]]</f>
        <v>770</v>
      </c>
      <c r="X3878" s="142"/>
    </row>
    <row r="3879" spans="1:24" ht="13.35" customHeight="1" x14ac:dyDescent="0.2">
      <c r="A3879" s="7" t="s">
        <v>168</v>
      </c>
      <c r="B3879" s="7" t="s">
        <v>463</v>
      </c>
      <c r="C3879" s="3">
        <v>116991</v>
      </c>
      <c r="D3879" s="3" t="s">
        <v>688</v>
      </c>
      <c r="E3879" s="4"/>
      <c r="F3879" s="3" t="s">
        <v>122</v>
      </c>
      <c r="G3879" s="9"/>
      <c r="H3879" s="9"/>
      <c r="I3879" s="12"/>
      <c r="J3879" s="5" t="e">
        <f>SUM(SUMIFS(#REF!,#REF!,Planning[[#This Row],[Tipo de Tarea y especialidad]],#REF!,Planning[[#This Row],[Proyectos Reiwa]]),SUMIFS(#REF!,#REF!,Planning[[#This Row],[Tipo de Tarea y especialidad]],#REF!,Planning[[#This Row],[Proyectos]]))</f>
        <v>#REF!</v>
      </c>
      <c r="K3879" s="5" t="e">
        <f>+Planning[[#This Row],[Horas Planificadas]]+Planning[[#This Row],[Horas ajustadas adicionales]]-Planning[[#This Row],[Horas utilizadas]]</f>
        <v>#REF!</v>
      </c>
      <c r="L3879" s="7"/>
      <c r="M3879" s="19" t="e">
        <f>Planning[[#This Row],[Saldo]]-Planning[[#This Row],[Saldo estimado]]</f>
        <v>#REF!</v>
      </c>
      <c r="N3879" s="60" t="e">
        <f>+SUMIFS(#REF!,#REF!,Planning[[#This Row],[Proyectos]],#REF!,Planning[[#This Row],[Tipo de Tarea y especialidad]])</f>
        <v>#REF!</v>
      </c>
      <c r="O3879" s="19">
        <f t="shared" si="120"/>
        <v>10</v>
      </c>
      <c r="P3879" s="19">
        <f t="shared" si="121"/>
        <v>2024</v>
      </c>
      <c r="Q38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79" s="19" t="str">
        <f>TEXT(Planning[[#This Row],[Mes]]*29,"mmmm")</f>
        <v>October</v>
      </c>
      <c r="S38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79" s="210"/>
      <c r="U3879" s="43">
        <f>IF(Planning[[#This Row],[Horas Planificadas]]&lt;&gt;0,+K3879/Planning[[#This Row],[Horas Planificadas]],0)</f>
        <v>0</v>
      </c>
      <c r="V3879" s="43">
        <f>IF(Planning[[#This Row],[Horas Planificadas]]&lt;&gt;0,Planning[[#This Row],[Horas utilizadas]]/Planning[[#This Row],[Horas Planificadas]],0)</f>
        <v>0</v>
      </c>
      <c r="W3879" s="44">
        <f>Planning[[#This Row],[Horas Planificadas]]+Planning[[#This Row],[Horas ajustadas adicionales]]</f>
        <v>0</v>
      </c>
      <c r="X3879" s="142"/>
    </row>
    <row r="3880" spans="1:24" ht="13.35" customHeight="1" x14ac:dyDescent="0.2">
      <c r="A3880" s="7" t="s">
        <v>168</v>
      </c>
      <c r="B3880" s="7" t="s">
        <v>463</v>
      </c>
      <c r="C3880" s="3">
        <v>116991</v>
      </c>
      <c r="D3880" s="3" t="s">
        <v>688</v>
      </c>
      <c r="E3880" s="4"/>
      <c r="F3880" s="3" t="s">
        <v>123</v>
      </c>
      <c r="G3880" s="9"/>
      <c r="H3880" s="9">
        <v>372</v>
      </c>
      <c r="I3880" s="12"/>
      <c r="J3880" s="5" t="e">
        <f>SUM(SUMIFS(#REF!,#REF!,Planning[[#This Row],[Tipo de Tarea y especialidad]],#REF!,Planning[[#This Row],[Proyectos Reiwa]]),SUMIFS(#REF!,#REF!,Planning[[#This Row],[Tipo de Tarea y especialidad]],#REF!,Planning[[#This Row],[Proyectos]]))</f>
        <v>#REF!</v>
      </c>
      <c r="K3880" s="5" t="e">
        <f>+Planning[[#This Row],[Horas Planificadas]]+Planning[[#This Row],[Horas ajustadas adicionales]]-Planning[[#This Row],[Horas utilizadas]]</f>
        <v>#REF!</v>
      </c>
      <c r="L3880" s="7">
        <v>0</v>
      </c>
      <c r="M3880" s="19" t="e">
        <f>Planning[[#This Row],[Saldo]]-Planning[[#This Row],[Saldo estimado]]</f>
        <v>#REF!</v>
      </c>
      <c r="N3880" s="60" t="e">
        <f>+SUMIFS(#REF!,#REF!,Planning[[#This Row],[Proyectos]],#REF!,Planning[[#This Row],[Tipo de Tarea y especialidad]])</f>
        <v>#REF!</v>
      </c>
      <c r="O3880" s="19">
        <f t="shared" si="120"/>
        <v>10</v>
      </c>
      <c r="P3880" s="19">
        <f t="shared" si="121"/>
        <v>2024</v>
      </c>
      <c r="Q38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80" s="19" t="str">
        <f>TEXT(Planning[[#This Row],[Mes]]*29,"mmmm")</f>
        <v>October</v>
      </c>
      <c r="S38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80" s="210"/>
      <c r="U3880" s="43" t="e">
        <f>IF(Planning[[#This Row],[Horas Planificadas]]&lt;&gt;0,+K3880/Planning[[#This Row],[Horas Planificadas]],0)</f>
        <v>#REF!</v>
      </c>
      <c r="V3880" s="43" t="e">
        <f>IF(Planning[[#This Row],[Horas Planificadas]]&lt;&gt;0,Planning[[#This Row],[Horas utilizadas]]/Planning[[#This Row],[Horas Planificadas]],0)</f>
        <v>#REF!</v>
      </c>
      <c r="W3880" s="44">
        <f>Planning[[#This Row],[Horas Planificadas]]+Planning[[#This Row],[Horas ajustadas adicionales]]</f>
        <v>372</v>
      </c>
      <c r="X3880" s="142"/>
    </row>
    <row r="3881" spans="1:24" ht="13.35" customHeight="1" x14ac:dyDescent="0.2">
      <c r="A3881" s="7" t="s">
        <v>168</v>
      </c>
      <c r="B3881" s="7" t="s">
        <v>463</v>
      </c>
      <c r="C3881" s="3">
        <v>116991</v>
      </c>
      <c r="D3881" s="3" t="s">
        <v>688</v>
      </c>
      <c r="E3881" s="4"/>
      <c r="F3881" s="3" t="s">
        <v>124</v>
      </c>
      <c r="G3881" s="9"/>
      <c r="H3881" s="9">
        <v>27</v>
      </c>
      <c r="I3881" s="12"/>
      <c r="J3881" s="5" t="e">
        <f>SUM(SUMIFS(#REF!,#REF!,Planning[[#This Row],[Tipo de Tarea y especialidad]],#REF!,Planning[[#This Row],[Proyectos Reiwa]]),SUMIFS(#REF!,#REF!,Planning[[#This Row],[Tipo de Tarea y especialidad]],#REF!,Planning[[#This Row],[Proyectos]]))</f>
        <v>#REF!</v>
      </c>
      <c r="K3881" s="5" t="e">
        <f>+Planning[[#This Row],[Horas Planificadas]]+Planning[[#This Row],[Horas ajustadas adicionales]]-Planning[[#This Row],[Horas utilizadas]]</f>
        <v>#REF!</v>
      </c>
      <c r="L3881" s="7">
        <v>0</v>
      </c>
      <c r="M3881" s="19" t="e">
        <f>Planning[[#This Row],[Saldo]]-Planning[[#This Row],[Saldo estimado]]</f>
        <v>#REF!</v>
      </c>
      <c r="N3881" s="60" t="e">
        <f>+SUMIFS(#REF!,#REF!,Planning[[#This Row],[Proyectos]],#REF!,Planning[[#This Row],[Tipo de Tarea y especialidad]])</f>
        <v>#REF!</v>
      </c>
      <c r="O3881" s="19">
        <f t="shared" si="120"/>
        <v>10</v>
      </c>
      <c r="P3881" s="19">
        <f t="shared" si="121"/>
        <v>2024</v>
      </c>
      <c r="Q38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81" s="19" t="str">
        <f>TEXT(Planning[[#This Row],[Mes]]*29,"mmmm")</f>
        <v>October</v>
      </c>
      <c r="S38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81" s="210"/>
      <c r="U3881" s="43" t="e">
        <f>IF(Planning[[#This Row],[Horas Planificadas]]&lt;&gt;0,+K3881/Planning[[#This Row],[Horas Planificadas]],0)</f>
        <v>#REF!</v>
      </c>
      <c r="V3881" s="43" t="e">
        <f>IF(Planning[[#This Row],[Horas Planificadas]]&lt;&gt;0,Planning[[#This Row],[Horas utilizadas]]/Planning[[#This Row],[Horas Planificadas]],0)</f>
        <v>#REF!</v>
      </c>
      <c r="W3881" s="44">
        <f>Planning[[#This Row],[Horas Planificadas]]+Planning[[#This Row],[Horas ajustadas adicionales]]</f>
        <v>27</v>
      </c>
      <c r="X3881" s="142"/>
    </row>
    <row r="3882" spans="1:24" ht="13.35" customHeight="1" x14ac:dyDescent="0.2">
      <c r="A3882" s="7" t="s">
        <v>168</v>
      </c>
      <c r="B3882" s="7" t="s">
        <v>463</v>
      </c>
      <c r="C3882" s="3">
        <v>116991</v>
      </c>
      <c r="D3882" s="3" t="s">
        <v>688</v>
      </c>
      <c r="E3882" s="4"/>
      <c r="F3882" s="3" t="s">
        <v>125</v>
      </c>
      <c r="G3882" s="9"/>
      <c r="H3882" s="9">
        <v>159</v>
      </c>
      <c r="I3882" s="12"/>
      <c r="J3882" s="5" t="e">
        <f>SUM(SUMIFS(#REF!,#REF!,Planning[[#This Row],[Tipo de Tarea y especialidad]],#REF!,Planning[[#This Row],[Proyectos Reiwa]]),SUMIFS(#REF!,#REF!,Planning[[#This Row],[Tipo de Tarea y especialidad]],#REF!,Planning[[#This Row],[Proyectos]]))</f>
        <v>#REF!</v>
      </c>
      <c r="K3882" s="5" t="e">
        <f>+Planning[[#This Row],[Horas Planificadas]]+Planning[[#This Row],[Horas ajustadas adicionales]]-Planning[[#This Row],[Horas utilizadas]]</f>
        <v>#REF!</v>
      </c>
      <c r="L3882" s="7">
        <v>33</v>
      </c>
      <c r="M3882" s="19" t="e">
        <f>Planning[[#This Row],[Saldo]]-Planning[[#This Row],[Saldo estimado]]</f>
        <v>#REF!</v>
      </c>
      <c r="N3882" s="60" t="e">
        <f>+SUMIFS(#REF!,#REF!,Planning[[#This Row],[Proyectos]],#REF!,Planning[[#This Row],[Tipo de Tarea y especialidad]])</f>
        <v>#REF!</v>
      </c>
      <c r="O3882" s="19">
        <f t="shared" si="120"/>
        <v>10</v>
      </c>
      <c r="P3882" s="19">
        <f t="shared" si="121"/>
        <v>2024</v>
      </c>
      <c r="Q38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82" s="19" t="str">
        <f>TEXT(Planning[[#This Row],[Mes]]*29,"mmmm")</f>
        <v>October</v>
      </c>
      <c r="S38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82" s="210"/>
      <c r="U3882" s="43" t="e">
        <f>IF(Planning[[#This Row],[Horas Planificadas]]&lt;&gt;0,+K3882/Planning[[#This Row],[Horas Planificadas]],0)</f>
        <v>#REF!</v>
      </c>
      <c r="V3882" s="43" t="e">
        <f>IF(Planning[[#This Row],[Horas Planificadas]]&lt;&gt;0,Planning[[#This Row],[Horas utilizadas]]/Planning[[#This Row],[Horas Planificadas]],0)</f>
        <v>#REF!</v>
      </c>
      <c r="W3882" s="44">
        <f>Planning[[#This Row],[Horas Planificadas]]+Planning[[#This Row],[Horas ajustadas adicionales]]</f>
        <v>159</v>
      </c>
      <c r="X3882" s="142"/>
    </row>
    <row r="3883" spans="1:24" ht="13.35" customHeight="1" x14ac:dyDescent="0.2">
      <c r="A3883" s="7" t="s">
        <v>168</v>
      </c>
      <c r="B3883" s="7" t="s">
        <v>463</v>
      </c>
      <c r="C3883" s="3">
        <v>116991</v>
      </c>
      <c r="D3883" s="3" t="s">
        <v>688</v>
      </c>
      <c r="E3883" s="4"/>
      <c r="F3883" s="3" t="s">
        <v>126</v>
      </c>
      <c r="G3883" s="9"/>
      <c r="H3883" s="9"/>
      <c r="I3883" s="12"/>
      <c r="J3883" s="5" t="e">
        <f>SUM(SUMIFS(#REF!,#REF!,Planning[[#This Row],[Tipo de Tarea y especialidad]],#REF!,Planning[[#This Row],[Proyectos Reiwa]]),SUMIFS(#REF!,#REF!,Planning[[#This Row],[Tipo de Tarea y especialidad]],#REF!,Planning[[#This Row],[Proyectos]]))</f>
        <v>#REF!</v>
      </c>
      <c r="K3883" s="5" t="e">
        <f>+Planning[[#This Row],[Horas Planificadas]]+Planning[[#This Row],[Horas ajustadas adicionales]]-Planning[[#This Row],[Horas utilizadas]]</f>
        <v>#REF!</v>
      </c>
      <c r="L3883" s="7"/>
      <c r="M3883" s="19" t="e">
        <f>Planning[[#This Row],[Saldo]]-Planning[[#This Row],[Saldo estimado]]</f>
        <v>#REF!</v>
      </c>
      <c r="N3883" s="60" t="e">
        <f>+SUMIFS(#REF!,#REF!,Planning[[#This Row],[Proyectos]],#REF!,Planning[[#This Row],[Tipo de Tarea y especialidad]])</f>
        <v>#REF!</v>
      </c>
      <c r="O3883" s="19">
        <f t="shared" si="120"/>
        <v>10</v>
      </c>
      <c r="P3883" s="19">
        <f t="shared" si="121"/>
        <v>2024</v>
      </c>
      <c r="Q38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83" s="19" t="str">
        <f>TEXT(Planning[[#This Row],[Mes]]*29,"mmmm")</f>
        <v>October</v>
      </c>
      <c r="S38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83" s="210"/>
      <c r="U3883" s="43">
        <f>IF(Planning[[#This Row],[Horas Planificadas]]&lt;&gt;0,+K3883/Planning[[#This Row],[Horas Planificadas]],0)</f>
        <v>0</v>
      </c>
      <c r="V3883" s="43">
        <f>IF(Planning[[#This Row],[Horas Planificadas]]&lt;&gt;0,Planning[[#This Row],[Horas utilizadas]]/Planning[[#This Row],[Horas Planificadas]],0)</f>
        <v>0</v>
      </c>
      <c r="W3883" s="44">
        <f>Planning[[#This Row],[Horas Planificadas]]+Planning[[#This Row],[Horas ajustadas adicionales]]</f>
        <v>0</v>
      </c>
      <c r="X3883" s="142"/>
    </row>
    <row r="3884" spans="1:24" ht="13.35" customHeight="1" x14ac:dyDescent="0.2">
      <c r="A3884" s="7" t="s">
        <v>168</v>
      </c>
      <c r="B3884" s="7" t="s">
        <v>463</v>
      </c>
      <c r="C3884" s="3">
        <v>116991</v>
      </c>
      <c r="D3884" s="3" t="s">
        <v>688</v>
      </c>
      <c r="E3884" s="4"/>
      <c r="F3884" s="3" t="s">
        <v>127</v>
      </c>
      <c r="G3884" s="9"/>
      <c r="H3884" s="9">
        <v>149</v>
      </c>
      <c r="I3884" s="12"/>
      <c r="J3884" s="5" t="e">
        <f>SUM(SUMIFS(#REF!,#REF!,Planning[[#This Row],[Tipo de Tarea y especialidad]],#REF!,Planning[[#This Row],[Proyectos Reiwa]]),SUMIFS(#REF!,#REF!,Planning[[#This Row],[Tipo de Tarea y especialidad]],#REF!,Planning[[#This Row],[Proyectos]]))</f>
        <v>#REF!</v>
      </c>
      <c r="K3884" s="5" t="e">
        <f>+Planning[[#This Row],[Horas Planificadas]]+Planning[[#This Row],[Horas ajustadas adicionales]]-Planning[[#This Row],[Horas utilizadas]]</f>
        <v>#REF!</v>
      </c>
      <c r="L3884" s="7">
        <v>0</v>
      </c>
      <c r="M3884" s="19" t="e">
        <f>Planning[[#This Row],[Saldo]]-Planning[[#This Row],[Saldo estimado]]</f>
        <v>#REF!</v>
      </c>
      <c r="N3884" s="60" t="e">
        <f>+SUMIFS(#REF!,#REF!,Planning[[#This Row],[Proyectos]],#REF!,Planning[[#This Row],[Tipo de Tarea y especialidad]])</f>
        <v>#REF!</v>
      </c>
      <c r="O3884" s="19">
        <f t="shared" si="120"/>
        <v>10</v>
      </c>
      <c r="P3884" s="19">
        <f t="shared" si="121"/>
        <v>2024</v>
      </c>
      <c r="Q38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84" s="19" t="str">
        <f>TEXT(Planning[[#This Row],[Mes]]*29,"mmmm")</f>
        <v>October</v>
      </c>
      <c r="S38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84" s="210"/>
      <c r="U3884" s="43" t="e">
        <f>IF(Planning[[#This Row],[Horas Planificadas]]&lt;&gt;0,+K3884/Planning[[#This Row],[Horas Planificadas]],0)</f>
        <v>#REF!</v>
      </c>
      <c r="V3884" s="43" t="e">
        <f>IF(Planning[[#This Row],[Horas Planificadas]]&lt;&gt;0,Planning[[#This Row],[Horas utilizadas]]/Planning[[#This Row],[Horas Planificadas]],0)</f>
        <v>#REF!</v>
      </c>
      <c r="W3884" s="44">
        <f>Planning[[#This Row],[Horas Planificadas]]+Planning[[#This Row],[Horas ajustadas adicionales]]</f>
        <v>149</v>
      </c>
      <c r="X3884" s="142"/>
    </row>
    <row r="3885" spans="1:24" ht="13.35" customHeight="1" x14ac:dyDescent="0.2">
      <c r="A3885" s="7" t="s">
        <v>168</v>
      </c>
      <c r="B3885" s="7" t="s">
        <v>463</v>
      </c>
      <c r="C3885" s="3">
        <v>116991</v>
      </c>
      <c r="D3885" s="3" t="s">
        <v>688</v>
      </c>
      <c r="E3885" s="4"/>
      <c r="F3885" s="3" t="s">
        <v>128</v>
      </c>
      <c r="G3885" s="9"/>
      <c r="H3885" s="9">
        <v>63</v>
      </c>
      <c r="I3885" s="12"/>
      <c r="J3885" s="5" t="e">
        <f>SUM(SUMIFS(#REF!,#REF!,Planning[[#This Row],[Tipo de Tarea y especialidad]],#REF!,Planning[[#This Row],[Proyectos Reiwa]]),SUMIFS(#REF!,#REF!,Planning[[#This Row],[Tipo de Tarea y especialidad]],#REF!,Planning[[#This Row],[Proyectos]]))</f>
        <v>#REF!</v>
      </c>
      <c r="K3885" s="5" t="e">
        <f>+Planning[[#This Row],[Horas Planificadas]]+Planning[[#This Row],[Horas ajustadas adicionales]]-Planning[[#This Row],[Horas utilizadas]]</f>
        <v>#REF!</v>
      </c>
      <c r="L3885" s="7">
        <v>0</v>
      </c>
      <c r="M3885" s="19" t="e">
        <f>Planning[[#This Row],[Saldo]]-Planning[[#This Row],[Saldo estimado]]</f>
        <v>#REF!</v>
      </c>
      <c r="N3885" s="60" t="e">
        <f>+SUMIFS(#REF!,#REF!,Planning[[#This Row],[Proyectos]],#REF!,Planning[[#This Row],[Tipo de Tarea y especialidad]])</f>
        <v>#REF!</v>
      </c>
      <c r="O3885" s="19">
        <f t="shared" si="120"/>
        <v>10</v>
      </c>
      <c r="P3885" s="19">
        <f t="shared" si="121"/>
        <v>2024</v>
      </c>
      <c r="Q38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85" s="19" t="str">
        <f>TEXT(Planning[[#This Row],[Mes]]*29,"mmmm")</f>
        <v>October</v>
      </c>
      <c r="S38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85" s="210"/>
      <c r="U3885" s="43" t="e">
        <f>IF(Planning[[#This Row],[Horas Planificadas]]&lt;&gt;0,+K3885/Planning[[#This Row],[Horas Planificadas]],0)</f>
        <v>#REF!</v>
      </c>
      <c r="V3885" s="43" t="e">
        <f>IF(Planning[[#This Row],[Horas Planificadas]]&lt;&gt;0,Planning[[#This Row],[Horas utilizadas]]/Planning[[#This Row],[Horas Planificadas]],0)</f>
        <v>#REF!</v>
      </c>
      <c r="W3885" s="44">
        <f>Planning[[#This Row],[Horas Planificadas]]+Planning[[#This Row],[Horas ajustadas adicionales]]</f>
        <v>63</v>
      </c>
      <c r="X3885" s="142"/>
    </row>
    <row r="3886" spans="1:24" ht="13.35" customHeight="1" x14ac:dyDescent="0.2">
      <c r="A3886" s="7" t="s">
        <v>168</v>
      </c>
      <c r="B3886" s="7" t="s">
        <v>463</v>
      </c>
      <c r="C3886" s="3">
        <v>116991</v>
      </c>
      <c r="D3886" s="3" t="s">
        <v>688</v>
      </c>
      <c r="E3886" s="4" t="s">
        <v>31</v>
      </c>
      <c r="F3886" s="3" t="s">
        <v>31</v>
      </c>
      <c r="G3886" s="9">
        <v>188</v>
      </c>
      <c r="H3886" s="17">
        <f>Planning[[#This Row],[Horas Precálculo]]</f>
        <v>188</v>
      </c>
      <c r="I3886" s="18"/>
      <c r="J3886" s="14" t="e">
        <f>+SUMIFS(#REF!,#REF!,Planning[[#This Row],[Tarifa]],#REF!,Planning[[#This Row],[Proyectos]])</f>
        <v>#REF!</v>
      </c>
      <c r="K3886" s="14" t="e">
        <f>+Planning[[#This Row],[Horas Planificadas]]+Planning[[#This Row],[Horas ajustadas adicionales]]-Planning[[#This Row],[Horas utilizadas]]</f>
        <v>#REF!</v>
      </c>
      <c r="L3886" s="15" t="e">
        <f>Planning[[#This Row],[Saldo]]</f>
        <v>#REF!</v>
      </c>
      <c r="M3886" s="16" t="e">
        <f>Planning[[#This Row],[Saldo]]-Planning[[#This Row],[Saldo estimado]]</f>
        <v>#REF!</v>
      </c>
      <c r="N3886" s="60" t="e">
        <f>+SUMIFS(#REF!,#REF!,Planning[[#This Row],[Proyectos]],#REF!,Planning[[#This Row],[Tipo de Tarea y especialidad]])</f>
        <v>#REF!</v>
      </c>
      <c r="O3886" s="16">
        <f t="shared" si="120"/>
        <v>10</v>
      </c>
      <c r="P3886" s="16">
        <f t="shared" si="121"/>
        <v>2024</v>
      </c>
      <c r="Q3886" s="16" t="e">
        <f>+SUMIFS(#REF!,#REF!,Planning[[#This Row],[Tarifa]],#REF!,Planning[[#This Row],[Proyectos]],#REF!,Planning[[#This Row],[Mes]],#REF!,Planning[[#This Row],[Año]])</f>
        <v>#REF!</v>
      </c>
      <c r="R3886" s="16" t="str">
        <f>TEXT(Planning[[#This Row],[Mes]]*29,"mmmm")</f>
        <v>October</v>
      </c>
      <c r="S38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86" s="210"/>
      <c r="U3886" s="43" t="e">
        <f>IF(Planning[[#This Row],[Horas Planificadas]]&lt;&gt;0,+K3886/Planning[[#This Row],[Horas Planificadas]],0)</f>
        <v>#REF!</v>
      </c>
      <c r="V3886" s="43" t="e">
        <f>IF(Planning[[#This Row],[Horas Planificadas]]&lt;&gt;0,Planning[[#This Row],[Horas utilizadas]]/Planning[[#This Row],[Horas Planificadas]],0)</f>
        <v>#REF!</v>
      </c>
      <c r="W3886" s="44">
        <f>Planning[[#This Row],[Horas Planificadas]]+Planning[[#This Row],[Horas ajustadas adicionales]]</f>
        <v>188</v>
      </c>
      <c r="X3886" s="142"/>
    </row>
    <row r="3887" spans="1:24" ht="13.35" customHeight="1" x14ac:dyDescent="0.2">
      <c r="A3887" s="7" t="s">
        <v>168</v>
      </c>
      <c r="B3887" s="7" t="s">
        <v>463</v>
      </c>
      <c r="C3887" s="3">
        <v>116991</v>
      </c>
      <c r="D3887" s="3" t="s">
        <v>688</v>
      </c>
      <c r="E3887" s="4" t="s">
        <v>32</v>
      </c>
      <c r="F3887" s="3"/>
      <c r="G3887" s="9">
        <v>310</v>
      </c>
      <c r="H3887" s="14">
        <f>SUM(H3888:H3890)</f>
        <v>310</v>
      </c>
      <c r="I3887" s="14"/>
      <c r="J3887" s="14" t="e">
        <f>SUM(J3888:J3890)</f>
        <v>#REF!</v>
      </c>
      <c r="K3887" s="14" t="e">
        <f>+Planning[[#This Row],[Horas Planificadas]]+Planning[[#This Row],[Horas ajustadas adicionales]]-Planning[[#This Row],[Horas utilizadas]]</f>
        <v>#REF!</v>
      </c>
      <c r="L3887" s="15">
        <f>SUM(L3888:L3890)</f>
        <v>300</v>
      </c>
      <c r="M3887" s="16" t="e">
        <f>SUM(M3888:M3890)</f>
        <v>#REF!</v>
      </c>
      <c r="N3887" s="60" t="e">
        <f>+SUMIFS(#REF!,#REF!,Planning[[#This Row],[Proyectos]],#REF!,Planning[[#This Row],[Tipo de Tarea y especialidad]])</f>
        <v>#REF!</v>
      </c>
      <c r="O3887" s="16">
        <f t="shared" si="120"/>
        <v>10</v>
      </c>
      <c r="P3887" s="16">
        <f t="shared" si="121"/>
        <v>2024</v>
      </c>
      <c r="Q3887" s="16" t="e">
        <f>SUM(Q3888:Q3890)</f>
        <v>#REF!</v>
      </c>
      <c r="R3887" s="16" t="str">
        <f>TEXT(Planning[[#This Row],[Mes]]*29,"mmmm")</f>
        <v>October</v>
      </c>
      <c r="S38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87" s="210"/>
      <c r="U3887" s="43" t="e">
        <f>IF(Planning[[#This Row],[Horas Planificadas]]&lt;&gt;0,+K3887/Planning[[#This Row],[Horas Planificadas]],0)</f>
        <v>#REF!</v>
      </c>
      <c r="V3887" s="43" t="e">
        <f>IF(Planning[[#This Row],[Horas Planificadas]]&lt;&gt;0,Planning[[#This Row],[Horas utilizadas]]/Planning[[#This Row],[Horas Planificadas]],0)</f>
        <v>#REF!</v>
      </c>
      <c r="W3887" s="44">
        <f>Planning[[#This Row],[Horas Planificadas]]+Planning[[#This Row],[Horas ajustadas adicionales]]</f>
        <v>310</v>
      </c>
      <c r="X3887" s="142"/>
    </row>
    <row r="3888" spans="1:24" ht="13.35" customHeight="1" x14ac:dyDescent="0.2">
      <c r="A3888" s="7" t="s">
        <v>168</v>
      </c>
      <c r="B3888" s="7" t="s">
        <v>463</v>
      </c>
      <c r="C3888" s="3">
        <v>116991</v>
      </c>
      <c r="D3888" s="3" t="s">
        <v>688</v>
      </c>
      <c r="E3888" s="4"/>
      <c r="F3888" s="3" t="s">
        <v>129</v>
      </c>
      <c r="G3888" s="9"/>
      <c r="H3888" s="9"/>
      <c r="I3888" s="12"/>
      <c r="J3888" s="5" t="e">
        <f>SUM(SUMIFS(#REF!,#REF!,Planning[[#This Row],[Tipo de Tarea y especialidad]],#REF!,Planning[[#This Row],[Proyectos Reiwa]]),SUMIFS(#REF!,#REF!,Planning[[#This Row],[Tipo de Tarea y especialidad]],#REF!,Planning[[#This Row],[Proyectos]]))</f>
        <v>#REF!</v>
      </c>
      <c r="K3888" s="5" t="e">
        <f>+Planning[[#This Row],[Horas Planificadas]]+Planning[[#This Row],[Horas ajustadas adicionales]]-Planning[[#This Row],[Horas utilizadas]]</f>
        <v>#REF!</v>
      </c>
      <c r="L3888" s="7"/>
      <c r="M3888" s="19" t="e">
        <f>Planning[[#This Row],[Saldo]]-Planning[[#This Row],[Saldo estimado]]</f>
        <v>#REF!</v>
      </c>
      <c r="N3888" s="60" t="e">
        <f>+SUMIFS(#REF!,#REF!,Planning[[#This Row],[Proyectos]],#REF!,Planning[[#This Row],[Tipo de Tarea y especialidad]])</f>
        <v>#REF!</v>
      </c>
      <c r="O3888" s="19">
        <f t="shared" si="120"/>
        <v>10</v>
      </c>
      <c r="P3888" s="19">
        <f t="shared" si="121"/>
        <v>2024</v>
      </c>
      <c r="Q38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88" s="19" t="str">
        <f>TEXT(Planning[[#This Row],[Mes]]*29,"mmmm")</f>
        <v>October</v>
      </c>
      <c r="S38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88" s="210"/>
      <c r="U3888" s="43">
        <f>IF(Planning[[#This Row],[Horas Planificadas]]&lt;&gt;0,+K3888/Planning[[#This Row],[Horas Planificadas]],0)</f>
        <v>0</v>
      </c>
      <c r="V3888" s="43">
        <f>IF(Planning[[#This Row],[Horas Planificadas]]&lt;&gt;0,Planning[[#This Row],[Horas utilizadas]]/Planning[[#This Row],[Horas Planificadas]],0)</f>
        <v>0</v>
      </c>
      <c r="W3888" s="44">
        <f>Planning[[#This Row],[Horas Planificadas]]+Planning[[#This Row],[Horas ajustadas adicionales]]</f>
        <v>0</v>
      </c>
      <c r="X3888" s="142"/>
    </row>
    <row r="3889" spans="1:24" ht="13.35" customHeight="1" x14ac:dyDescent="0.2">
      <c r="A3889" s="7" t="s">
        <v>168</v>
      </c>
      <c r="B3889" s="7" t="s">
        <v>463</v>
      </c>
      <c r="C3889" s="3">
        <v>116991</v>
      </c>
      <c r="D3889" s="3" t="s">
        <v>688</v>
      </c>
      <c r="E3889" s="4"/>
      <c r="F3889" s="3" t="s">
        <v>130</v>
      </c>
      <c r="G3889" s="9"/>
      <c r="H3889" s="9">
        <v>280</v>
      </c>
      <c r="I3889" s="12"/>
      <c r="J3889" s="5" t="e">
        <f>SUM(SUMIFS(#REF!,#REF!,Planning[[#This Row],[Tipo de Tarea y especialidad]],#REF!,Planning[[#This Row],[Proyectos Reiwa]]),SUMIFS(#REF!,#REF!,Planning[[#This Row],[Tipo de Tarea y especialidad]],#REF!,Planning[[#This Row],[Proyectos]]))</f>
        <v>#REF!</v>
      </c>
      <c r="K3889" s="5" t="e">
        <f>+Planning[[#This Row],[Horas Planificadas]]+Planning[[#This Row],[Horas ajustadas adicionales]]-Planning[[#This Row],[Horas utilizadas]]</f>
        <v>#REF!</v>
      </c>
      <c r="L3889" s="7">
        <v>280</v>
      </c>
      <c r="M3889" s="19" t="e">
        <f>Planning[[#This Row],[Saldo]]-Planning[[#This Row],[Saldo estimado]]</f>
        <v>#REF!</v>
      </c>
      <c r="N3889" s="60" t="e">
        <f>+SUMIFS(#REF!,#REF!,Planning[[#This Row],[Proyectos]],#REF!,Planning[[#This Row],[Tipo de Tarea y especialidad]])</f>
        <v>#REF!</v>
      </c>
      <c r="O3889" s="19">
        <f t="shared" si="120"/>
        <v>10</v>
      </c>
      <c r="P3889" s="19">
        <f t="shared" si="121"/>
        <v>2024</v>
      </c>
      <c r="Q38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89" s="19" t="str">
        <f>TEXT(Planning[[#This Row],[Mes]]*29,"mmmm")</f>
        <v>October</v>
      </c>
      <c r="S38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89" s="210"/>
      <c r="U3889" s="43" t="e">
        <f>IF(Planning[[#This Row],[Horas Planificadas]]&lt;&gt;0,+K3889/Planning[[#This Row],[Horas Planificadas]],0)</f>
        <v>#REF!</v>
      </c>
      <c r="V3889" s="43" t="e">
        <f>IF(Planning[[#This Row],[Horas Planificadas]]&lt;&gt;0,Planning[[#This Row],[Horas utilizadas]]/Planning[[#This Row],[Horas Planificadas]],0)</f>
        <v>#REF!</v>
      </c>
      <c r="W3889" s="44">
        <f>Planning[[#This Row],[Horas Planificadas]]+Planning[[#This Row],[Horas ajustadas adicionales]]</f>
        <v>280</v>
      </c>
      <c r="X3889" s="142"/>
    </row>
    <row r="3890" spans="1:24" ht="13.35" customHeight="1" x14ac:dyDescent="0.2">
      <c r="A3890" s="7" t="s">
        <v>168</v>
      </c>
      <c r="B3890" s="7" t="s">
        <v>463</v>
      </c>
      <c r="C3890" s="3">
        <v>116991</v>
      </c>
      <c r="D3890" s="3" t="s">
        <v>688</v>
      </c>
      <c r="E3890" s="4"/>
      <c r="F3890" s="3" t="s">
        <v>131</v>
      </c>
      <c r="G3890" s="9"/>
      <c r="H3890" s="9">
        <v>30</v>
      </c>
      <c r="I3890" s="12"/>
      <c r="J3890" s="5" t="e">
        <f>SUM(SUMIFS(#REF!,#REF!,Planning[[#This Row],[Tipo de Tarea y especialidad]],#REF!,Planning[[#This Row],[Proyectos Reiwa]]),SUMIFS(#REF!,#REF!,Planning[[#This Row],[Tipo de Tarea y especialidad]],#REF!,Planning[[#This Row],[Proyectos]]))</f>
        <v>#REF!</v>
      </c>
      <c r="K3890" s="5" t="e">
        <f>+Planning[[#This Row],[Horas Planificadas]]+Planning[[#This Row],[Horas ajustadas adicionales]]-Planning[[#This Row],[Horas utilizadas]]</f>
        <v>#REF!</v>
      </c>
      <c r="L3890" s="7">
        <v>20</v>
      </c>
      <c r="M3890" s="19" t="e">
        <f>Planning[[#This Row],[Saldo]]-Planning[[#This Row],[Saldo estimado]]</f>
        <v>#REF!</v>
      </c>
      <c r="N3890" s="60" t="e">
        <f>+SUMIFS(#REF!,#REF!,Planning[[#This Row],[Proyectos]],#REF!,Planning[[#This Row],[Tipo de Tarea y especialidad]])</f>
        <v>#REF!</v>
      </c>
      <c r="O3890" s="19">
        <f t="shared" si="120"/>
        <v>10</v>
      </c>
      <c r="P3890" s="19">
        <f t="shared" si="121"/>
        <v>2024</v>
      </c>
      <c r="Q38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90" s="19" t="str">
        <f>TEXT(Planning[[#This Row],[Mes]]*29,"mmmm")</f>
        <v>October</v>
      </c>
      <c r="S38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90" s="210"/>
      <c r="U3890" s="43" t="e">
        <f>IF(Planning[[#This Row],[Horas Planificadas]]&lt;&gt;0,+K3890/Planning[[#This Row],[Horas Planificadas]],0)</f>
        <v>#REF!</v>
      </c>
      <c r="V3890" s="43" t="e">
        <f>IF(Planning[[#This Row],[Horas Planificadas]]&lt;&gt;0,Planning[[#This Row],[Horas utilizadas]]/Planning[[#This Row],[Horas Planificadas]],0)</f>
        <v>#REF!</v>
      </c>
      <c r="W3890" s="44">
        <f>Planning[[#This Row],[Horas Planificadas]]+Planning[[#This Row],[Horas ajustadas adicionales]]</f>
        <v>30</v>
      </c>
      <c r="X3890" s="142"/>
    </row>
    <row r="3891" spans="1:24" ht="13.35" customHeight="1" x14ac:dyDescent="0.2">
      <c r="A3891" s="7" t="s">
        <v>435</v>
      </c>
      <c r="B3891" s="7" t="s">
        <v>288</v>
      </c>
      <c r="C3891" s="3"/>
      <c r="D3891" s="3" t="s">
        <v>690</v>
      </c>
      <c r="E3891" s="4" t="s">
        <v>28</v>
      </c>
      <c r="F3891" s="3"/>
      <c r="G3891" s="9">
        <v>61</v>
      </c>
      <c r="H3891" s="14">
        <f>SUM(H3892:H3893)</f>
        <v>61</v>
      </c>
      <c r="I3891" s="14"/>
      <c r="J3891" s="14" t="e">
        <f>SUM(J3892:J3893)</f>
        <v>#REF!</v>
      </c>
      <c r="K3891" s="14" t="e">
        <f>+Planning[[#This Row],[Horas Planificadas]]+Planning[[#This Row],[Horas ajustadas adicionales]]-Planning[[#This Row],[Horas utilizadas]]</f>
        <v>#REF!</v>
      </c>
      <c r="L3891" s="15">
        <f>SUM(L3892:L3893)</f>
        <v>0</v>
      </c>
      <c r="M3891" s="14" t="e">
        <f>SUM(M3892:M3893)</f>
        <v>#REF!</v>
      </c>
      <c r="N3891" s="66" t="e">
        <f>+SUMIFS(#REF!,#REF!,Planning[[#This Row],[Proyectos]],#REF!,Planning[[#This Row],[Tipo de Tarea y especialidad]])</f>
        <v>#REF!</v>
      </c>
      <c r="O3891" s="14">
        <f t="shared" si="120"/>
        <v>10</v>
      </c>
      <c r="P3891" s="14">
        <f t="shared" si="121"/>
        <v>2024</v>
      </c>
      <c r="Q3891" s="28" t="e">
        <f>SUM(Q3892:Q3893)</f>
        <v>#REF!</v>
      </c>
      <c r="R3891" s="28" t="str">
        <f>TEXT(Planning[[#This Row],[Mes]]*29,"mmmm")</f>
        <v>October</v>
      </c>
      <c r="S38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91" s="207" t="s">
        <v>691</v>
      </c>
      <c r="U3891" s="43" t="e">
        <f>IF(Planning[[#This Row],[Horas Planificadas]]&lt;&gt;0,+K3891/Planning[[#This Row],[Horas Planificadas]],0)</f>
        <v>#REF!</v>
      </c>
      <c r="V3891" s="43" t="e">
        <f>IF(Planning[[#This Row],[Horas Planificadas]]&lt;&gt;0,Planning[[#This Row],[Horas utilizadas]]/Planning[[#This Row],[Horas Planificadas]],0)</f>
        <v>#REF!</v>
      </c>
      <c r="W3891" s="44">
        <f>Planning[[#This Row],[Horas Planificadas]]+Planning[[#This Row],[Horas ajustadas adicionales]]</f>
        <v>61</v>
      </c>
      <c r="X3891" s="142"/>
    </row>
    <row r="3892" spans="1:24" ht="13.35" customHeight="1" x14ac:dyDescent="0.2">
      <c r="A3892" s="7" t="s">
        <v>435</v>
      </c>
      <c r="B3892" s="7" t="s">
        <v>288</v>
      </c>
      <c r="C3892" s="3"/>
      <c r="D3892" s="3" t="s">
        <v>690</v>
      </c>
      <c r="E3892" s="4"/>
      <c r="F3892" s="3" t="s">
        <v>120</v>
      </c>
      <c r="G3892" s="9">
        <v>40</v>
      </c>
      <c r="H3892" s="9">
        <v>40</v>
      </c>
      <c r="I3892" s="12">
        <v>13</v>
      </c>
      <c r="J3892" s="5" t="e">
        <f>SUM(SUMIFS(#REF!,#REF!,Planning[[#This Row],[Tipo de Tarea y especialidad]],#REF!,Planning[[#This Row],[Proyectos Reiwa]]),SUMIFS(#REF!,#REF!,Planning[[#This Row],[Tipo de Tarea y especialidad]],#REF!,Planning[[#This Row],[Proyectos]]))</f>
        <v>#REF!</v>
      </c>
      <c r="K3892" s="5" t="e">
        <f>+Planning[[#This Row],[Horas Planificadas]]+Planning[[#This Row],[Horas ajustadas adicionales]]-Planning[[#This Row],[Horas utilizadas]]</f>
        <v>#REF!</v>
      </c>
      <c r="L3892" s="7"/>
      <c r="M3892" s="19" t="e">
        <f>Planning[[#This Row],[Saldo]]-Planning[[#This Row],[Saldo estimado]]</f>
        <v>#REF!</v>
      </c>
      <c r="N3892" s="60" t="e">
        <f>+SUMIFS(#REF!,#REF!,Planning[[#This Row],[Proyectos]],#REF!,Planning[[#This Row],[Tipo de Tarea y especialidad]])</f>
        <v>#REF!</v>
      </c>
      <c r="O3892" s="19">
        <f t="shared" si="120"/>
        <v>10</v>
      </c>
      <c r="P3892" s="19">
        <f t="shared" si="121"/>
        <v>2024</v>
      </c>
      <c r="Q38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92" s="19" t="str">
        <f>TEXT(Planning[[#This Row],[Mes]]*29,"mmmm")</f>
        <v>October</v>
      </c>
      <c r="S38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92" s="208"/>
      <c r="U3892" s="43" t="e">
        <f>IF(Planning[[#This Row],[Horas Planificadas]]&lt;&gt;0,+K3892/Planning[[#This Row],[Horas Planificadas]],0)</f>
        <v>#REF!</v>
      </c>
      <c r="V3892" s="43" t="e">
        <f>IF(Planning[[#This Row],[Horas Planificadas]]&lt;&gt;0,Planning[[#This Row],[Horas utilizadas]]/Planning[[#This Row],[Horas Planificadas]],0)</f>
        <v>#REF!</v>
      </c>
      <c r="W3892" s="44">
        <f>Planning[[#This Row],[Horas Planificadas]]+Planning[[#This Row],[Horas ajustadas adicionales]]</f>
        <v>53</v>
      </c>
      <c r="X3892" s="142"/>
    </row>
    <row r="3893" spans="1:24" ht="13.35" customHeight="1" x14ac:dyDescent="0.2">
      <c r="A3893" s="7" t="s">
        <v>435</v>
      </c>
      <c r="B3893" s="7" t="s">
        <v>288</v>
      </c>
      <c r="C3893" s="3"/>
      <c r="D3893" s="3" t="s">
        <v>690</v>
      </c>
      <c r="E3893" s="4"/>
      <c r="F3893" s="3" t="s">
        <v>121</v>
      </c>
      <c r="G3893" s="9">
        <v>21</v>
      </c>
      <c r="H3893" s="9">
        <v>21</v>
      </c>
      <c r="I3893" s="12"/>
      <c r="J3893" s="5" t="e">
        <f>SUM(SUMIFS(#REF!,#REF!,Planning[[#This Row],[Tipo de Tarea y especialidad]],#REF!,Planning[[#This Row],[Proyectos Reiwa]]),SUMIFS(#REF!,#REF!,Planning[[#This Row],[Tipo de Tarea y especialidad]],#REF!,Planning[[#This Row],[Proyectos]]))</f>
        <v>#REF!</v>
      </c>
      <c r="K3893" s="5" t="e">
        <f>+Planning[[#This Row],[Horas Planificadas]]+Planning[[#This Row],[Horas ajustadas adicionales]]-Planning[[#This Row],[Horas utilizadas]]</f>
        <v>#REF!</v>
      </c>
      <c r="L3893" s="7"/>
      <c r="M3893" s="19" t="e">
        <f>Planning[[#This Row],[Saldo]]-Planning[[#This Row],[Saldo estimado]]</f>
        <v>#REF!</v>
      </c>
      <c r="N3893" s="60" t="e">
        <f>+SUMIFS(#REF!,#REF!,Planning[[#This Row],[Proyectos]],#REF!,Planning[[#This Row],[Tipo de Tarea y especialidad]])</f>
        <v>#REF!</v>
      </c>
      <c r="O3893" s="19">
        <f t="shared" si="120"/>
        <v>10</v>
      </c>
      <c r="P3893" s="19">
        <f t="shared" si="121"/>
        <v>2024</v>
      </c>
      <c r="Q38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93" s="19" t="str">
        <f>TEXT(Planning[[#This Row],[Mes]]*29,"mmmm")</f>
        <v>October</v>
      </c>
      <c r="S38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93" s="208"/>
      <c r="U3893" s="43" t="e">
        <f>IF(Planning[[#This Row],[Horas Planificadas]]&lt;&gt;0,+K3893/Planning[[#This Row],[Horas Planificadas]],0)</f>
        <v>#REF!</v>
      </c>
      <c r="V3893" s="43" t="e">
        <f>IF(Planning[[#This Row],[Horas Planificadas]]&lt;&gt;0,Planning[[#This Row],[Horas utilizadas]]/Planning[[#This Row],[Horas Planificadas]],0)</f>
        <v>#REF!</v>
      </c>
      <c r="W3893" s="44">
        <f>Planning[[#This Row],[Horas Planificadas]]+Planning[[#This Row],[Horas ajustadas adicionales]]</f>
        <v>21</v>
      </c>
      <c r="X3893" s="142"/>
    </row>
    <row r="3894" spans="1:24" ht="13.35" customHeight="1" x14ac:dyDescent="0.2">
      <c r="A3894" s="7" t="s">
        <v>435</v>
      </c>
      <c r="B3894" s="7" t="s">
        <v>288</v>
      </c>
      <c r="C3894" s="3"/>
      <c r="D3894" s="3" t="s">
        <v>690</v>
      </c>
      <c r="E3894" s="4" t="s">
        <v>30</v>
      </c>
      <c r="F3894" s="3"/>
      <c r="G3894" s="9">
        <v>110</v>
      </c>
      <c r="H3894" s="14">
        <f>SUM(H3895:H3901)</f>
        <v>140</v>
      </c>
      <c r="I3894" s="14"/>
      <c r="J3894" s="14" t="e">
        <f>SUM(J3895:J3901)</f>
        <v>#REF!</v>
      </c>
      <c r="K3894" s="14" t="e">
        <f>+Planning[[#This Row],[Horas Planificadas]]+Planning[[#This Row],[Horas ajustadas adicionales]]-Planning[[#This Row],[Horas utilizadas]]</f>
        <v>#REF!</v>
      </c>
      <c r="L3894" s="15">
        <f>SUM(L3895:L3901)</f>
        <v>0</v>
      </c>
      <c r="M3894" s="16" t="e">
        <f>SUM(M3895:M3901)</f>
        <v>#REF!</v>
      </c>
      <c r="N3894" s="60" t="e">
        <f>+SUMIFS(#REF!,#REF!,Planning[[#This Row],[Proyectos]],#REF!,Planning[[#This Row],[Tipo de Tarea y especialidad]])</f>
        <v>#REF!</v>
      </c>
      <c r="O3894" s="16">
        <f t="shared" si="120"/>
        <v>10</v>
      </c>
      <c r="P3894" s="16">
        <f t="shared" si="121"/>
        <v>2024</v>
      </c>
      <c r="Q3894" s="16" t="e">
        <f>SUM(Q3895:Q3901)</f>
        <v>#REF!</v>
      </c>
      <c r="R3894" s="16" t="str">
        <f>TEXT(Planning[[#This Row],[Mes]]*29,"mmmm")</f>
        <v>October</v>
      </c>
      <c r="S38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94" s="208"/>
      <c r="U3894" s="43" t="e">
        <f>IF(Planning[[#This Row],[Horas Planificadas]]&lt;&gt;0,+K3894/Planning[[#This Row],[Horas Planificadas]],0)</f>
        <v>#REF!</v>
      </c>
      <c r="V3894" s="43" t="e">
        <f>IF(Planning[[#This Row],[Horas Planificadas]]&lt;&gt;0,Planning[[#This Row],[Horas utilizadas]]/Planning[[#This Row],[Horas Planificadas]],0)</f>
        <v>#REF!</v>
      </c>
      <c r="W3894" s="44">
        <f>Planning[[#This Row],[Horas Planificadas]]+Planning[[#This Row],[Horas ajustadas adicionales]]</f>
        <v>140</v>
      </c>
      <c r="X3894" s="142"/>
    </row>
    <row r="3895" spans="1:24" ht="13.35" customHeight="1" x14ac:dyDescent="0.2">
      <c r="A3895" s="7" t="s">
        <v>435</v>
      </c>
      <c r="B3895" s="7" t="s">
        <v>288</v>
      </c>
      <c r="C3895" s="3"/>
      <c r="D3895" s="3" t="s">
        <v>690</v>
      </c>
      <c r="E3895" s="4"/>
      <c r="F3895" s="3" t="s">
        <v>122</v>
      </c>
      <c r="G3895" s="9"/>
      <c r="H3895" s="9"/>
      <c r="I3895" s="12"/>
      <c r="J3895" s="5" t="e">
        <f>SUM(SUMIFS(#REF!,#REF!,Planning[[#This Row],[Tipo de Tarea y especialidad]],#REF!,Planning[[#This Row],[Proyectos Reiwa]]),SUMIFS(#REF!,#REF!,Planning[[#This Row],[Tipo de Tarea y especialidad]],#REF!,Planning[[#This Row],[Proyectos]]))</f>
        <v>#REF!</v>
      </c>
      <c r="K3895" s="5" t="e">
        <f>+Planning[[#This Row],[Horas Planificadas]]+Planning[[#This Row],[Horas ajustadas adicionales]]-Planning[[#This Row],[Horas utilizadas]]</f>
        <v>#REF!</v>
      </c>
      <c r="L3895" s="7"/>
      <c r="M3895" s="19" t="e">
        <f>Planning[[#This Row],[Saldo]]-Planning[[#This Row],[Saldo estimado]]</f>
        <v>#REF!</v>
      </c>
      <c r="N3895" s="60" t="e">
        <f>+SUMIFS(#REF!,#REF!,Planning[[#This Row],[Proyectos]],#REF!,Planning[[#This Row],[Tipo de Tarea y especialidad]])</f>
        <v>#REF!</v>
      </c>
      <c r="O3895" s="19">
        <f t="shared" si="120"/>
        <v>10</v>
      </c>
      <c r="P3895" s="19">
        <f t="shared" si="121"/>
        <v>2024</v>
      </c>
      <c r="Q38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95" s="19" t="str">
        <f>TEXT(Planning[[#This Row],[Mes]]*29,"mmmm")</f>
        <v>October</v>
      </c>
      <c r="S38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95" s="208"/>
      <c r="U3895" s="43">
        <f>IF(Planning[[#This Row],[Horas Planificadas]]&lt;&gt;0,+K3895/Planning[[#This Row],[Horas Planificadas]],0)</f>
        <v>0</v>
      </c>
      <c r="V3895" s="43">
        <f>IF(Planning[[#This Row],[Horas Planificadas]]&lt;&gt;0,Planning[[#This Row],[Horas utilizadas]]/Planning[[#This Row],[Horas Planificadas]],0)</f>
        <v>0</v>
      </c>
      <c r="W3895" s="44">
        <f>Planning[[#This Row],[Horas Planificadas]]+Planning[[#This Row],[Horas ajustadas adicionales]]</f>
        <v>0</v>
      </c>
      <c r="X3895" s="142"/>
    </row>
    <row r="3896" spans="1:24" ht="13.35" customHeight="1" x14ac:dyDescent="0.2">
      <c r="A3896" s="7" t="s">
        <v>435</v>
      </c>
      <c r="B3896" s="7" t="s">
        <v>288</v>
      </c>
      <c r="C3896" s="3"/>
      <c r="D3896" s="3" t="s">
        <v>690</v>
      </c>
      <c r="E3896" s="4"/>
      <c r="F3896" s="3" t="s">
        <v>123</v>
      </c>
      <c r="G3896" s="9"/>
      <c r="H3896" s="9"/>
      <c r="I3896" s="12"/>
      <c r="J3896" s="5" t="e">
        <f>SUM(SUMIFS(#REF!,#REF!,Planning[[#This Row],[Tipo de Tarea y especialidad]],#REF!,Planning[[#This Row],[Proyectos Reiwa]]),SUMIFS(#REF!,#REF!,Planning[[#This Row],[Tipo de Tarea y especialidad]],#REF!,Planning[[#This Row],[Proyectos]]))</f>
        <v>#REF!</v>
      </c>
      <c r="K3896" s="5" t="e">
        <f>+Planning[[#This Row],[Horas Planificadas]]+Planning[[#This Row],[Horas ajustadas adicionales]]-Planning[[#This Row],[Horas utilizadas]]</f>
        <v>#REF!</v>
      </c>
      <c r="L3896" s="7"/>
      <c r="M3896" s="19" t="e">
        <f>Planning[[#This Row],[Saldo]]-Planning[[#This Row],[Saldo estimado]]</f>
        <v>#REF!</v>
      </c>
      <c r="N3896" s="60" t="e">
        <f>+SUMIFS(#REF!,#REF!,Planning[[#This Row],[Proyectos]],#REF!,Planning[[#This Row],[Tipo de Tarea y especialidad]])</f>
        <v>#REF!</v>
      </c>
      <c r="O3896" s="19">
        <f t="shared" si="120"/>
        <v>10</v>
      </c>
      <c r="P3896" s="19">
        <f t="shared" si="121"/>
        <v>2024</v>
      </c>
      <c r="Q38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96" s="19" t="str">
        <f>TEXT(Planning[[#This Row],[Mes]]*29,"mmmm")</f>
        <v>October</v>
      </c>
      <c r="S38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96" s="208"/>
      <c r="U3896" s="43">
        <f>IF(Planning[[#This Row],[Horas Planificadas]]&lt;&gt;0,+K3896/Planning[[#This Row],[Horas Planificadas]],0)</f>
        <v>0</v>
      </c>
      <c r="V3896" s="43">
        <f>IF(Planning[[#This Row],[Horas Planificadas]]&lt;&gt;0,Planning[[#This Row],[Horas utilizadas]]/Planning[[#This Row],[Horas Planificadas]],0)</f>
        <v>0</v>
      </c>
      <c r="W3896" s="44">
        <f>Planning[[#This Row],[Horas Planificadas]]+Planning[[#This Row],[Horas ajustadas adicionales]]</f>
        <v>0</v>
      </c>
      <c r="X3896" s="142"/>
    </row>
    <row r="3897" spans="1:24" ht="13.35" customHeight="1" x14ac:dyDescent="0.2">
      <c r="A3897" s="7" t="s">
        <v>435</v>
      </c>
      <c r="B3897" s="7" t="s">
        <v>288</v>
      </c>
      <c r="C3897" s="3"/>
      <c r="D3897" s="3" t="s">
        <v>690</v>
      </c>
      <c r="E3897" s="4"/>
      <c r="F3897" s="3" t="s">
        <v>124</v>
      </c>
      <c r="G3897" s="9"/>
      <c r="H3897" s="9">
        <v>110</v>
      </c>
      <c r="I3897" s="12">
        <v>36</v>
      </c>
      <c r="J3897" s="5" t="e">
        <f>SUM(SUMIFS(#REF!,#REF!,Planning[[#This Row],[Tipo de Tarea y especialidad]],#REF!,Planning[[#This Row],[Proyectos Reiwa]]),SUMIFS(#REF!,#REF!,Planning[[#This Row],[Tipo de Tarea y especialidad]],#REF!,Planning[[#This Row],[Proyectos]]))</f>
        <v>#REF!</v>
      </c>
      <c r="K3897" s="5" t="e">
        <f>+Planning[[#This Row],[Horas Planificadas]]+Planning[[#This Row],[Horas ajustadas adicionales]]-Planning[[#This Row],[Horas utilizadas]]</f>
        <v>#REF!</v>
      </c>
      <c r="L3897" s="7"/>
      <c r="M3897" s="19" t="e">
        <f>Planning[[#This Row],[Saldo]]-Planning[[#This Row],[Saldo estimado]]</f>
        <v>#REF!</v>
      </c>
      <c r="N3897" s="60" t="e">
        <f>+SUMIFS(#REF!,#REF!,Planning[[#This Row],[Proyectos]],#REF!,Planning[[#This Row],[Tipo de Tarea y especialidad]])</f>
        <v>#REF!</v>
      </c>
      <c r="O3897" s="19">
        <f t="shared" si="120"/>
        <v>10</v>
      </c>
      <c r="P3897" s="19">
        <f t="shared" si="121"/>
        <v>2024</v>
      </c>
      <c r="Q38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97" s="19" t="str">
        <f>TEXT(Planning[[#This Row],[Mes]]*29,"mmmm")</f>
        <v>October</v>
      </c>
      <c r="S38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97" s="208"/>
      <c r="U3897" s="43" t="e">
        <f>IF(Planning[[#This Row],[Horas Planificadas]]&lt;&gt;0,+K3897/Planning[[#This Row],[Horas Planificadas]],0)</f>
        <v>#REF!</v>
      </c>
      <c r="V3897" s="43" t="e">
        <f>IF(Planning[[#This Row],[Horas Planificadas]]&lt;&gt;0,Planning[[#This Row],[Horas utilizadas]]/Planning[[#This Row],[Horas Planificadas]],0)</f>
        <v>#REF!</v>
      </c>
      <c r="W3897" s="44">
        <f>Planning[[#This Row],[Horas Planificadas]]+Planning[[#This Row],[Horas ajustadas adicionales]]</f>
        <v>146</v>
      </c>
      <c r="X3897" s="142"/>
    </row>
    <row r="3898" spans="1:24" ht="13.35" customHeight="1" x14ac:dyDescent="0.2">
      <c r="A3898" s="7" t="s">
        <v>435</v>
      </c>
      <c r="B3898" s="7" t="s">
        <v>288</v>
      </c>
      <c r="C3898" s="3"/>
      <c r="D3898" s="3" t="s">
        <v>690</v>
      </c>
      <c r="E3898" s="4"/>
      <c r="F3898" s="3" t="s">
        <v>125</v>
      </c>
      <c r="G3898" s="9"/>
      <c r="H3898" s="9"/>
      <c r="I3898" s="12"/>
      <c r="J3898" s="5" t="e">
        <f>SUM(SUMIFS(#REF!,#REF!,Planning[[#This Row],[Tipo de Tarea y especialidad]],#REF!,Planning[[#This Row],[Proyectos Reiwa]]),SUMIFS(#REF!,#REF!,Planning[[#This Row],[Tipo de Tarea y especialidad]],#REF!,Planning[[#This Row],[Proyectos]]))</f>
        <v>#REF!</v>
      </c>
      <c r="K3898" s="5" t="e">
        <f>+Planning[[#This Row],[Horas Planificadas]]+Planning[[#This Row],[Horas ajustadas adicionales]]-Planning[[#This Row],[Horas utilizadas]]</f>
        <v>#REF!</v>
      </c>
      <c r="L3898" s="7"/>
      <c r="M3898" s="19" t="e">
        <f>Planning[[#This Row],[Saldo]]-Planning[[#This Row],[Saldo estimado]]</f>
        <v>#REF!</v>
      </c>
      <c r="N3898" s="60" t="e">
        <f>+SUMIFS(#REF!,#REF!,Planning[[#This Row],[Proyectos]],#REF!,Planning[[#This Row],[Tipo de Tarea y especialidad]])</f>
        <v>#REF!</v>
      </c>
      <c r="O3898" s="19">
        <f t="shared" si="120"/>
        <v>10</v>
      </c>
      <c r="P3898" s="19">
        <f t="shared" si="121"/>
        <v>2024</v>
      </c>
      <c r="Q38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98" s="19" t="str">
        <f>TEXT(Planning[[#This Row],[Mes]]*29,"mmmm")</f>
        <v>October</v>
      </c>
      <c r="S38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98" s="208"/>
      <c r="U3898" s="43">
        <f>IF(Planning[[#This Row],[Horas Planificadas]]&lt;&gt;0,+K3898/Planning[[#This Row],[Horas Planificadas]],0)</f>
        <v>0</v>
      </c>
      <c r="V3898" s="43">
        <f>IF(Planning[[#This Row],[Horas Planificadas]]&lt;&gt;0,Planning[[#This Row],[Horas utilizadas]]/Planning[[#This Row],[Horas Planificadas]],0)</f>
        <v>0</v>
      </c>
      <c r="W3898" s="44">
        <f>Planning[[#This Row],[Horas Planificadas]]+Planning[[#This Row],[Horas ajustadas adicionales]]</f>
        <v>0</v>
      </c>
      <c r="X3898" s="142"/>
    </row>
    <row r="3899" spans="1:24" ht="13.35" customHeight="1" x14ac:dyDescent="0.2">
      <c r="A3899" s="7" t="s">
        <v>435</v>
      </c>
      <c r="B3899" s="7" t="s">
        <v>288</v>
      </c>
      <c r="C3899" s="3"/>
      <c r="D3899" s="3" t="s">
        <v>690</v>
      </c>
      <c r="E3899" s="4"/>
      <c r="F3899" s="3" t="s">
        <v>126</v>
      </c>
      <c r="G3899" s="9"/>
      <c r="H3899" s="9"/>
      <c r="I3899" s="12"/>
      <c r="J3899" s="5" t="e">
        <f>SUM(SUMIFS(#REF!,#REF!,Planning[[#This Row],[Tipo de Tarea y especialidad]],#REF!,Planning[[#This Row],[Proyectos Reiwa]]),SUMIFS(#REF!,#REF!,Planning[[#This Row],[Tipo de Tarea y especialidad]],#REF!,Planning[[#This Row],[Proyectos]]))</f>
        <v>#REF!</v>
      </c>
      <c r="K3899" s="5" t="e">
        <f>+Planning[[#This Row],[Horas Planificadas]]+Planning[[#This Row],[Horas ajustadas adicionales]]-Planning[[#This Row],[Horas utilizadas]]</f>
        <v>#REF!</v>
      </c>
      <c r="L3899" s="7"/>
      <c r="M3899" s="19" t="e">
        <f>Planning[[#This Row],[Saldo]]-Planning[[#This Row],[Saldo estimado]]</f>
        <v>#REF!</v>
      </c>
      <c r="N3899" s="60" t="e">
        <f>+SUMIFS(#REF!,#REF!,Planning[[#This Row],[Proyectos]],#REF!,Planning[[#This Row],[Tipo de Tarea y especialidad]])</f>
        <v>#REF!</v>
      </c>
      <c r="O3899" s="19">
        <f t="shared" si="120"/>
        <v>10</v>
      </c>
      <c r="P3899" s="19">
        <f t="shared" si="121"/>
        <v>2024</v>
      </c>
      <c r="Q38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899" s="19" t="str">
        <f>TEXT(Planning[[#This Row],[Mes]]*29,"mmmm")</f>
        <v>October</v>
      </c>
      <c r="S38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899" s="208"/>
      <c r="U3899" s="43">
        <f>IF(Planning[[#This Row],[Horas Planificadas]]&lt;&gt;0,+K3899/Planning[[#This Row],[Horas Planificadas]],0)</f>
        <v>0</v>
      </c>
      <c r="V3899" s="43">
        <f>IF(Planning[[#This Row],[Horas Planificadas]]&lt;&gt;0,Planning[[#This Row],[Horas utilizadas]]/Planning[[#This Row],[Horas Planificadas]],0)</f>
        <v>0</v>
      </c>
      <c r="W3899" s="44">
        <f>Planning[[#This Row],[Horas Planificadas]]+Planning[[#This Row],[Horas ajustadas adicionales]]</f>
        <v>0</v>
      </c>
      <c r="X3899" s="142"/>
    </row>
    <row r="3900" spans="1:24" ht="13.35" customHeight="1" x14ac:dyDescent="0.2">
      <c r="A3900" s="7" t="s">
        <v>435</v>
      </c>
      <c r="B3900" s="7" t="s">
        <v>288</v>
      </c>
      <c r="C3900" s="3"/>
      <c r="D3900" s="3" t="s">
        <v>690</v>
      </c>
      <c r="E3900" s="4"/>
      <c r="F3900" s="3" t="s">
        <v>127</v>
      </c>
      <c r="G3900" s="9"/>
      <c r="H3900" s="9"/>
      <c r="I3900" s="12"/>
      <c r="J3900" s="5" t="e">
        <f>SUM(SUMIFS(#REF!,#REF!,Planning[[#This Row],[Tipo de Tarea y especialidad]],#REF!,Planning[[#This Row],[Proyectos Reiwa]]),SUMIFS(#REF!,#REF!,Planning[[#This Row],[Tipo de Tarea y especialidad]],#REF!,Planning[[#This Row],[Proyectos]]))</f>
        <v>#REF!</v>
      </c>
      <c r="K3900" s="5" t="e">
        <f>+Planning[[#This Row],[Horas Planificadas]]+Planning[[#This Row],[Horas ajustadas adicionales]]-Planning[[#This Row],[Horas utilizadas]]</f>
        <v>#REF!</v>
      </c>
      <c r="L3900" s="7"/>
      <c r="M3900" s="19" t="e">
        <f>Planning[[#This Row],[Saldo]]-Planning[[#This Row],[Saldo estimado]]</f>
        <v>#REF!</v>
      </c>
      <c r="N3900" s="60" t="e">
        <f>+SUMIFS(#REF!,#REF!,Planning[[#This Row],[Proyectos]],#REF!,Planning[[#This Row],[Tipo de Tarea y especialidad]])</f>
        <v>#REF!</v>
      </c>
      <c r="O3900" s="19">
        <f t="shared" si="120"/>
        <v>10</v>
      </c>
      <c r="P3900" s="19">
        <f t="shared" si="121"/>
        <v>2024</v>
      </c>
      <c r="Q39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00" s="19" t="str">
        <f>TEXT(Planning[[#This Row],[Mes]]*29,"mmmm")</f>
        <v>October</v>
      </c>
      <c r="S39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00" s="208"/>
      <c r="U3900" s="43">
        <f>IF(Planning[[#This Row],[Horas Planificadas]]&lt;&gt;0,+K3900/Planning[[#This Row],[Horas Planificadas]],0)</f>
        <v>0</v>
      </c>
      <c r="V3900" s="43">
        <f>IF(Planning[[#This Row],[Horas Planificadas]]&lt;&gt;0,Planning[[#This Row],[Horas utilizadas]]/Planning[[#This Row],[Horas Planificadas]],0)</f>
        <v>0</v>
      </c>
      <c r="W3900" s="44">
        <f>Planning[[#This Row],[Horas Planificadas]]+Planning[[#This Row],[Horas ajustadas adicionales]]</f>
        <v>0</v>
      </c>
      <c r="X3900" s="142"/>
    </row>
    <row r="3901" spans="1:24" ht="13.35" customHeight="1" x14ac:dyDescent="0.2">
      <c r="A3901" s="7" t="s">
        <v>435</v>
      </c>
      <c r="B3901" s="7" t="s">
        <v>288</v>
      </c>
      <c r="C3901" s="3"/>
      <c r="D3901" s="3" t="s">
        <v>690</v>
      </c>
      <c r="E3901" s="4"/>
      <c r="F3901" s="3" t="s">
        <v>128</v>
      </c>
      <c r="G3901" s="9"/>
      <c r="H3901" s="9">
        <v>30</v>
      </c>
      <c r="I3901" s="12"/>
      <c r="J3901" s="5" t="e">
        <f>SUM(SUMIFS(#REF!,#REF!,Planning[[#This Row],[Tipo de Tarea y especialidad]],#REF!,Planning[[#This Row],[Proyectos Reiwa]]),SUMIFS(#REF!,#REF!,Planning[[#This Row],[Tipo de Tarea y especialidad]],#REF!,Planning[[#This Row],[Proyectos]]))</f>
        <v>#REF!</v>
      </c>
      <c r="K3901" s="5" t="e">
        <f>+Planning[[#This Row],[Horas Planificadas]]+Planning[[#This Row],[Horas ajustadas adicionales]]-Planning[[#This Row],[Horas utilizadas]]</f>
        <v>#REF!</v>
      </c>
      <c r="L3901" s="7"/>
      <c r="M3901" s="19" t="e">
        <f>Planning[[#This Row],[Saldo]]-Planning[[#This Row],[Saldo estimado]]</f>
        <v>#REF!</v>
      </c>
      <c r="N3901" s="60" t="e">
        <f>+SUMIFS(#REF!,#REF!,Planning[[#This Row],[Proyectos]],#REF!,Planning[[#This Row],[Tipo de Tarea y especialidad]])</f>
        <v>#REF!</v>
      </c>
      <c r="O3901" s="19">
        <f t="shared" si="120"/>
        <v>10</v>
      </c>
      <c r="P3901" s="19">
        <f t="shared" si="121"/>
        <v>2024</v>
      </c>
      <c r="Q39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01" s="19" t="str">
        <f>TEXT(Planning[[#This Row],[Mes]]*29,"mmmm")</f>
        <v>October</v>
      </c>
      <c r="S39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01" s="208"/>
      <c r="U3901" s="43" t="e">
        <f>IF(Planning[[#This Row],[Horas Planificadas]]&lt;&gt;0,+K3901/Planning[[#This Row],[Horas Planificadas]],0)</f>
        <v>#REF!</v>
      </c>
      <c r="V3901" s="43" t="e">
        <f>IF(Planning[[#This Row],[Horas Planificadas]]&lt;&gt;0,Planning[[#This Row],[Horas utilizadas]]/Planning[[#This Row],[Horas Planificadas]],0)</f>
        <v>#REF!</v>
      </c>
      <c r="W3901" s="44">
        <f>Planning[[#This Row],[Horas Planificadas]]+Planning[[#This Row],[Horas ajustadas adicionales]]</f>
        <v>30</v>
      </c>
      <c r="X3901" s="142"/>
    </row>
    <row r="3902" spans="1:24" ht="13.35" customHeight="1" x14ac:dyDescent="0.2">
      <c r="A3902" s="7" t="s">
        <v>435</v>
      </c>
      <c r="B3902" s="7" t="s">
        <v>288</v>
      </c>
      <c r="C3902" s="3"/>
      <c r="D3902" s="3" t="s">
        <v>690</v>
      </c>
      <c r="E3902" s="4" t="s">
        <v>31</v>
      </c>
      <c r="F3902" s="3" t="s">
        <v>31</v>
      </c>
      <c r="G3902" s="9">
        <v>100</v>
      </c>
      <c r="H3902" s="17">
        <f>Planning[[#This Row],[Horas Precálculo]]</f>
        <v>100</v>
      </c>
      <c r="I3902" s="18"/>
      <c r="J3902" s="14" t="e">
        <f>+SUMIFS(#REF!,#REF!,Planning[[#This Row],[Tarifa]],#REF!,Planning[[#This Row],[Proyectos]])</f>
        <v>#REF!</v>
      </c>
      <c r="K3902" s="14" t="e">
        <f>+Planning[[#This Row],[Horas Planificadas]]+Planning[[#This Row],[Horas ajustadas adicionales]]-Planning[[#This Row],[Horas utilizadas]]</f>
        <v>#REF!</v>
      </c>
      <c r="L3902" s="15"/>
      <c r="M3902" s="16" t="e">
        <f>Planning[[#This Row],[Saldo]]-Planning[[#This Row],[Saldo estimado]]</f>
        <v>#REF!</v>
      </c>
      <c r="N3902" s="60" t="e">
        <f>+SUMIFS(#REF!,#REF!,Planning[[#This Row],[Proyectos]],#REF!,Planning[[#This Row],[Tipo de Tarea y especialidad]])</f>
        <v>#REF!</v>
      </c>
      <c r="O3902" s="16">
        <f t="shared" si="120"/>
        <v>10</v>
      </c>
      <c r="P3902" s="16">
        <f t="shared" si="121"/>
        <v>2024</v>
      </c>
      <c r="Q3902" s="16" t="e">
        <f>+SUMIFS(#REF!,#REF!,Planning[[#This Row],[Tarifa]],#REF!,Planning[[#This Row],[Proyectos]],#REF!,Planning[[#This Row],[Mes]],#REF!,Planning[[#This Row],[Año]])</f>
        <v>#REF!</v>
      </c>
      <c r="R3902" s="16" t="str">
        <f>TEXT(Planning[[#This Row],[Mes]]*29,"mmmm")</f>
        <v>October</v>
      </c>
      <c r="S39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02" s="208"/>
      <c r="U3902" s="43" t="e">
        <f>IF(Planning[[#This Row],[Horas Planificadas]]&lt;&gt;0,+K3902/Planning[[#This Row],[Horas Planificadas]],0)</f>
        <v>#REF!</v>
      </c>
      <c r="V3902" s="43" t="e">
        <f>IF(Planning[[#This Row],[Horas Planificadas]]&lt;&gt;0,Planning[[#This Row],[Horas utilizadas]]/Planning[[#This Row],[Horas Planificadas]],0)</f>
        <v>#REF!</v>
      </c>
      <c r="W3902" s="44">
        <f>Planning[[#This Row],[Horas Planificadas]]+Planning[[#This Row],[Horas ajustadas adicionales]]</f>
        <v>100</v>
      </c>
      <c r="X3902" s="142"/>
    </row>
    <row r="3903" spans="1:24" ht="13.35" customHeight="1" x14ac:dyDescent="0.2">
      <c r="A3903" s="7" t="s">
        <v>435</v>
      </c>
      <c r="B3903" s="7" t="s">
        <v>288</v>
      </c>
      <c r="C3903" s="3"/>
      <c r="D3903" s="3" t="s">
        <v>690</v>
      </c>
      <c r="E3903" s="4" t="s">
        <v>32</v>
      </c>
      <c r="F3903" s="3"/>
      <c r="G3903" s="9">
        <v>130</v>
      </c>
      <c r="H3903" s="14">
        <f>SUM(H3904:H3906)</f>
        <v>130</v>
      </c>
      <c r="I3903" s="14"/>
      <c r="J3903" s="14" t="e">
        <f>SUM(J3904:J3906)</f>
        <v>#REF!</v>
      </c>
      <c r="K3903" s="14" t="e">
        <f>+Planning[[#This Row],[Horas Planificadas]]+Planning[[#This Row],[Horas ajustadas adicionales]]-Planning[[#This Row],[Horas utilizadas]]</f>
        <v>#REF!</v>
      </c>
      <c r="L3903" s="15"/>
      <c r="M3903" s="16" t="e">
        <f>SUM(M3904:M3906)</f>
        <v>#REF!</v>
      </c>
      <c r="N3903" s="60" t="e">
        <f>+SUMIFS(#REF!,#REF!,Planning[[#This Row],[Proyectos]],#REF!,Planning[[#This Row],[Tipo de Tarea y especialidad]])</f>
        <v>#REF!</v>
      </c>
      <c r="O3903" s="16">
        <f t="shared" si="120"/>
        <v>10</v>
      </c>
      <c r="P3903" s="16">
        <f t="shared" si="121"/>
        <v>2024</v>
      </c>
      <c r="Q3903" s="16" t="e">
        <f>SUM(Q3904:Q3906)</f>
        <v>#REF!</v>
      </c>
      <c r="R3903" s="16" t="str">
        <f>TEXT(Planning[[#This Row],[Mes]]*29,"mmmm")</f>
        <v>October</v>
      </c>
      <c r="S39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03" s="208"/>
      <c r="U3903" s="43" t="e">
        <f>IF(Planning[[#This Row],[Horas Planificadas]]&lt;&gt;0,+K3903/Planning[[#This Row],[Horas Planificadas]],0)</f>
        <v>#REF!</v>
      </c>
      <c r="V3903" s="43" t="e">
        <f>IF(Planning[[#This Row],[Horas Planificadas]]&lt;&gt;0,Planning[[#This Row],[Horas utilizadas]]/Planning[[#This Row],[Horas Planificadas]],0)</f>
        <v>#REF!</v>
      </c>
      <c r="W3903" s="44">
        <f>Planning[[#This Row],[Horas Planificadas]]+Planning[[#This Row],[Horas ajustadas adicionales]]</f>
        <v>130</v>
      </c>
      <c r="X3903" s="142"/>
    </row>
    <row r="3904" spans="1:24" ht="13.35" customHeight="1" x14ac:dyDescent="0.2">
      <c r="A3904" s="7" t="s">
        <v>435</v>
      </c>
      <c r="B3904" s="7" t="s">
        <v>288</v>
      </c>
      <c r="C3904" s="3"/>
      <c r="D3904" s="3" t="s">
        <v>690</v>
      </c>
      <c r="E3904" s="4"/>
      <c r="F3904" s="3" t="s">
        <v>129</v>
      </c>
      <c r="G3904" s="9"/>
      <c r="H3904" s="9"/>
      <c r="I3904" s="12"/>
      <c r="J3904" s="5" t="e">
        <f>SUM(SUMIFS(#REF!,#REF!,Planning[[#This Row],[Tipo de Tarea y especialidad]],#REF!,Planning[[#This Row],[Proyectos Reiwa]]),SUMIFS(#REF!,#REF!,Planning[[#This Row],[Tipo de Tarea y especialidad]],#REF!,Planning[[#This Row],[Proyectos]]))</f>
        <v>#REF!</v>
      </c>
      <c r="K3904" s="5" t="e">
        <f>+Planning[[#This Row],[Horas Planificadas]]+Planning[[#This Row],[Horas ajustadas adicionales]]-Planning[[#This Row],[Horas utilizadas]]</f>
        <v>#REF!</v>
      </c>
      <c r="L3904" s="7"/>
      <c r="M3904" s="19" t="e">
        <f>Planning[[#This Row],[Saldo]]-Planning[[#This Row],[Saldo estimado]]</f>
        <v>#REF!</v>
      </c>
      <c r="N3904" s="60" t="e">
        <f>+SUMIFS(#REF!,#REF!,Planning[[#This Row],[Proyectos]],#REF!,Planning[[#This Row],[Tipo de Tarea y especialidad]])</f>
        <v>#REF!</v>
      </c>
      <c r="O3904" s="19">
        <f t="shared" si="120"/>
        <v>10</v>
      </c>
      <c r="P3904" s="19">
        <f t="shared" si="121"/>
        <v>2024</v>
      </c>
      <c r="Q39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04" s="19" t="str">
        <f>TEXT(Planning[[#This Row],[Mes]]*29,"mmmm")</f>
        <v>October</v>
      </c>
      <c r="S39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04" s="208"/>
      <c r="U3904" s="43">
        <f>IF(Planning[[#This Row],[Horas Planificadas]]&lt;&gt;0,+K3904/Planning[[#This Row],[Horas Planificadas]],0)</f>
        <v>0</v>
      </c>
      <c r="V3904" s="43">
        <f>IF(Planning[[#This Row],[Horas Planificadas]]&lt;&gt;0,Planning[[#This Row],[Horas utilizadas]]/Planning[[#This Row],[Horas Planificadas]],0)</f>
        <v>0</v>
      </c>
      <c r="W3904" s="44">
        <f>Planning[[#This Row],[Horas Planificadas]]+Planning[[#This Row],[Horas ajustadas adicionales]]</f>
        <v>0</v>
      </c>
      <c r="X3904" s="142"/>
    </row>
    <row r="3905" spans="1:24" ht="13.35" customHeight="1" x14ac:dyDescent="0.2">
      <c r="A3905" s="7" t="s">
        <v>435</v>
      </c>
      <c r="B3905" s="7" t="s">
        <v>288</v>
      </c>
      <c r="C3905" s="3"/>
      <c r="D3905" s="3" t="s">
        <v>690</v>
      </c>
      <c r="E3905" s="4"/>
      <c r="F3905" s="3" t="s">
        <v>130</v>
      </c>
      <c r="G3905" s="9"/>
      <c r="H3905" s="9"/>
      <c r="I3905" s="12"/>
      <c r="J3905" s="5" t="e">
        <f>SUM(SUMIFS(#REF!,#REF!,Planning[[#This Row],[Tipo de Tarea y especialidad]],#REF!,Planning[[#This Row],[Proyectos Reiwa]]),SUMIFS(#REF!,#REF!,Planning[[#This Row],[Tipo de Tarea y especialidad]],#REF!,Planning[[#This Row],[Proyectos]]))</f>
        <v>#REF!</v>
      </c>
      <c r="K3905" s="5" t="e">
        <f>+Planning[[#This Row],[Horas Planificadas]]+Planning[[#This Row],[Horas ajustadas adicionales]]-Planning[[#This Row],[Horas utilizadas]]</f>
        <v>#REF!</v>
      </c>
      <c r="L3905" s="7"/>
      <c r="M3905" s="19" t="e">
        <f>Planning[[#This Row],[Saldo]]-Planning[[#This Row],[Saldo estimado]]</f>
        <v>#REF!</v>
      </c>
      <c r="N3905" s="60" t="e">
        <f>+SUMIFS(#REF!,#REF!,Planning[[#This Row],[Proyectos]],#REF!,Planning[[#This Row],[Tipo de Tarea y especialidad]])</f>
        <v>#REF!</v>
      </c>
      <c r="O3905" s="19">
        <f t="shared" si="120"/>
        <v>10</v>
      </c>
      <c r="P3905" s="19">
        <f t="shared" si="121"/>
        <v>2024</v>
      </c>
      <c r="Q39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05" s="19" t="str">
        <f>TEXT(Planning[[#This Row],[Mes]]*29,"mmmm")</f>
        <v>October</v>
      </c>
      <c r="S39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05" s="208"/>
      <c r="U3905" s="43">
        <f>IF(Planning[[#This Row],[Horas Planificadas]]&lt;&gt;0,+K3905/Planning[[#This Row],[Horas Planificadas]],0)</f>
        <v>0</v>
      </c>
      <c r="V3905" s="43">
        <f>IF(Planning[[#This Row],[Horas Planificadas]]&lt;&gt;0,Planning[[#This Row],[Horas utilizadas]]/Planning[[#This Row],[Horas Planificadas]],0)</f>
        <v>0</v>
      </c>
      <c r="W3905" s="44">
        <f>Planning[[#This Row],[Horas Planificadas]]+Planning[[#This Row],[Horas ajustadas adicionales]]</f>
        <v>0</v>
      </c>
      <c r="X3905" s="142"/>
    </row>
    <row r="3906" spans="1:24" ht="13.35" customHeight="1" x14ac:dyDescent="0.2">
      <c r="A3906" s="7" t="s">
        <v>435</v>
      </c>
      <c r="B3906" s="7" t="s">
        <v>288</v>
      </c>
      <c r="C3906" s="3"/>
      <c r="D3906" s="3" t="s">
        <v>690</v>
      </c>
      <c r="E3906" s="4"/>
      <c r="F3906" s="3" t="s">
        <v>131</v>
      </c>
      <c r="G3906" s="9"/>
      <c r="H3906" s="9">
        <v>130</v>
      </c>
      <c r="I3906" s="12">
        <v>80</v>
      </c>
      <c r="J3906" s="5" t="e">
        <f>SUM(SUMIFS(#REF!,#REF!,Planning[[#This Row],[Tipo de Tarea y especialidad]],#REF!,Planning[[#This Row],[Proyectos Reiwa]]),SUMIFS(#REF!,#REF!,Planning[[#This Row],[Tipo de Tarea y especialidad]],#REF!,Planning[[#This Row],[Proyectos]]))</f>
        <v>#REF!</v>
      </c>
      <c r="K3906" s="5" t="e">
        <f>+Planning[[#This Row],[Horas Planificadas]]+Planning[[#This Row],[Horas ajustadas adicionales]]-Planning[[#This Row],[Horas utilizadas]]</f>
        <v>#REF!</v>
      </c>
      <c r="L3906" s="7">
        <v>0</v>
      </c>
      <c r="M3906" s="19" t="e">
        <f>Planning[[#This Row],[Saldo]]-Planning[[#This Row],[Saldo estimado]]</f>
        <v>#REF!</v>
      </c>
      <c r="N3906" s="60" t="e">
        <f>+SUMIFS(#REF!,#REF!,Planning[[#This Row],[Proyectos]],#REF!,Planning[[#This Row],[Tipo de Tarea y especialidad]])</f>
        <v>#REF!</v>
      </c>
      <c r="O3906" s="19">
        <f t="shared" si="120"/>
        <v>10</v>
      </c>
      <c r="P3906" s="19">
        <f t="shared" si="121"/>
        <v>2024</v>
      </c>
      <c r="Q39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06" s="19" t="str">
        <f>TEXT(Planning[[#This Row],[Mes]]*29,"mmmm")</f>
        <v>October</v>
      </c>
      <c r="S39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06" s="208"/>
      <c r="U3906" s="43" t="e">
        <f>IF(Planning[[#This Row],[Horas Planificadas]]&lt;&gt;0,+K3906/Planning[[#This Row],[Horas Planificadas]],0)</f>
        <v>#REF!</v>
      </c>
      <c r="V3906" s="43" t="e">
        <f>IF(Planning[[#This Row],[Horas Planificadas]]&lt;&gt;0,Planning[[#This Row],[Horas utilizadas]]/Planning[[#This Row],[Horas Planificadas]],0)</f>
        <v>#REF!</v>
      </c>
      <c r="W3906" s="44">
        <f>Planning[[#This Row],[Horas Planificadas]]+Planning[[#This Row],[Horas ajustadas adicionales]]</f>
        <v>210</v>
      </c>
      <c r="X3906" s="142"/>
    </row>
    <row r="3907" spans="1:24" ht="22.5" x14ac:dyDescent="0.2">
      <c r="A3907" s="7" t="s">
        <v>117</v>
      </c>
      <c r="B3907" s="7" t="s">
        <v>178</v>
      </c>
      <c r="C3907" s="3"/>
      <c r="D3907" s="3" t="s">
        <v>692</v>
      </c>
      <c r="E3907" s="4" t="s">
        <v>28</v>
      </c>
      <c r="F3907" s="3"/>
      <c r="G3907" s="9">
        <v>9</v>
      </c>
      <c r="H3907" s="14">
        <f>SUM(H3908:H3909)</f>
        <v>9</v>
      </c>
      <c r="I3907" s="14"/>
      <c r="J3907" s="14" t="e">
        <f>SUM(J3908:J3909)</f>
        <v>#REF!</v>
      </c>
      <c r="K3907" s="14" t="e">
        <f>+Planning[[#This Row],[Horas Planificadas]]+Planning[[#This Row],[Horas ajustadas adicionales]]-Planning[[#This Row],[Horas utilizadas]]</f>
        <v>#REF!</v>
      </c>
      <c r="L3907" s="15" t="e">
        <f>SUM(L3908:L3909)</f>
        <v>#REF!</v>
      </c>
      <c r="M3907" s="14" t="e">
        <f>SUM(M3908:M3909)</f>
        <v>#REF!</v>
      </c>
      <c r="N3907" s="66" t="e">
        <f>+SUMIFS(#REF!,#REF!,Planning[[#This Row],[Proyectos]],#REF!,Planning[[#This Row],[Tipo de Tarea y especialidad]])</f>
        <v>#REF!</v>
      </c>
      <c r="O3907" s="14">
        <f t="shared" si="120"/>
        <v>10</v>
      </c>
      <c r="P3907" s="14">
        <f t="shared" si="121"/>
        <v>2024</v>
      </c>
      <c r="Q3907" s="28" t="e">
        <f>SUM(Q3908:Q3909)</f>
        <v>#REF!</v>
      </c>
      <c r="R3907" s="28" t="str">
        <f>TEXT(Planning[[#This Row],[Mes]]*29,"mmmm")</f>
        <v>October</v>
      </c>
      <c r="S39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07" s="220" t="s">
        <v>693</v>
      </c>
      <c r="U3907" s="43" t="e">
        <f>IF(Planning[[#This Row],[Horas Planificadas]]&lt;&gt;0,+K3907/Planning[[#This Row],[Horas Planificadas]],0)</f>
        <v>#REF!</v>
      </c>
      <c r="V3907" s="43" t="e">
        <f>IF(Planning[[#This Row],[Horas Planificadas]]&lt;&gt;0,Planning[[#This Row],[Horas utilizadas]]/Planning[[#This Row],[Horas Planificadas]],0)</f>
        <v>#REF!</v>
      </c>
      <c r="W3907" s="44">
        <f>Planning[[#This Row],[Horas Planificadas]]+Planning[[#This Row],[Horas ajustadas adicionales]]</f>
        <v>9</v>
      </c>
      <c r="X3907" s="142"/>
    </row>
    <row r="3908" spans="1:24" x14ac:dyDescent="0.2">
      <c r="A3908" s="7" t="s">
        <v>117</v>
      </c>
      <c r="B3908" s="7" t="s">
        <v>178</v>
      </c>
      <c r="C3908" s="3"/>
      <c r="D3908" s="3" t="s">
        <v>692</v>
      </c>
      <c r="E3908" s="4"/>
      <c r="F3908" s="3" t="s">
        <v>120</v>
      </c>
      <c r="G3908" s="9"/>
      <c r="H3908" s="9">
        <v>0</v>
      </c>
      <c r="I3908" s="12"/>
      <c r="J3908" s="5" t="e">
        <f>SUM(SUMIFS(#REF!,#REF!,Planning[[#This Row],[Tipo de Tarea y especialidad]],#REF!,Planning[[#This Row],[Proyectos Reiwa]]),SUMIFS(#REF!,#REF!,Planning[[#This Row],[Tipo de Tarea y especialidad]],#REF!,Planning[[#This Row],[Proyectos]]))</f>
        <v>#REF!</v>
      </c>
      <c r="K3908" s="5" t="e">
        <f>+Planning[[#This Row],[Horas Planificadas]]+Planning[[#This Row],[Horas ajustadas adicionales]]-Planning[[#This Row],[Horas utilizadas]]</f>
        <v>#REF!</v>
      </c>
      <c r="L3908" s="7" t="e">
        <f>Planning[[#This Row],[Saldo]]</f>
        <v>#REF!</v>
      </c>
      <c r="M3908" s="19" t="e">
        <f>Planning[[#This Row],[Saldo]]-Planning[[#This Row],[Saldo estimado]]</f>
        <v>#REF!</v>
      </c>
      <c r="N3908" s="60" t="e">
        <f>+SUMIFS(#REF!,#REF!,Planning[[#This Row],[Proyectos]],#REF!,Planning[[#This Row],[Tipo de Tarea y especialidad]])</f>
        <v>#REF!</v>
      </c>
      <c r="O3908" s="19">
        <f t="shared" si="120"/>
        <v>10</v>
      </c>
      <c r="P3908" s="19">
        <f t="shared" si="121"/>
        <v>2024</v>
      </c>
      <c r="Q39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08" s="19" t="str">
        <f>TEXT(Planning[[#This Row],[Mes]]*29,"mmmm")</f>
        <v>October</v>
      </c>
      <c r="S39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08" s="210"/>
      <c r="U3908" s="43">
        <f>IF(Planning[[#This Row],[Horas Planificadas]]&lt;&gt;0,+K3908/Planning[[#This Row],[Horas Planificadas]],0)</f>
        <v>0</v>
      </c>
      <c r="V3908" s="43">
        <f>IF(Planning[[#This Row],[Horas Planificadas]]&lt;&gt;0,Planning[[#This Row],[Horas utilizadas]]/Planning[[#This Row],[Horas Planificadas]],0)</f>
        <v>0</v>
      </c>
      <c r="W3908" s="44">
        <f>Planning[[#This Row],[Horas Planificadas]]+Planning[[#This Row],[Horas ajustadas adicionales]]</f>
        <v>0</v>
      </c>
      <c r="X3908" s="142"/>
    </row>
    <row r="3909" spans="1:24" x14ac:dyDescent="0.2">
      <c r="A3909" s="7" t="s">
        <v>117</v>
      </c>
      <c r="B3909" s="7" t="s">
        <v>178</v>
      </c>
      <c r="C3909" s="3"/>
      <c r="D3909" s="3" t="s">
        <v>692</v>
      </c>
      <c r="E3909" s="4"/>
      <c r="F3909" s="3" t="s">
        <v>121</v>
      </c>
      <c r="G3909" s="9"/>
      <c r="H3909" s="9">
        <v>9</v>
      </c>
      <c r="I3909" s="12"/>
      <c r="J3909" s="5" t="e">
        <f>SUM(SUMIFS(#REF!,#REF!,Planning[[#This Row],[Tipo de Tarea y especialidad]],#REF!,Planning[[#This Row],[Proyectos Reiwa]]),SUMIFS(#REF!,#REF!,Planning[[#This Row],[Tipo de Tarea y especialidad]],#REF!,Planning[[#This Row],[Proyectos]]))</f>
        <v>#REF!</v>
      </c>
      <c r="K3909" s="5" t="e">
        <f>+Planning[[#This Row],[Horas Planificadas]]+Planning[[#This Row],[Horas ajustadas adicionales]]-Planning[[#This Row],[Horas utilizadas]]</f>
        <v>#REF!</v>
      </c>
      <c r="L3909" s="7">
        <v>0</v>
      </c>
      <c r="M3909" s="19" t="e">
        <f>Planning[[#This Row],[Saldo]]-Planning[[#This Row],[Saldo estimado]]</f>
        <v>#REF!</v>
      </c>
      <c r="N3909" s="60" t="e">
        <f>+SUMIFS(#REF!,#REF!,Planning[[#This Row],[Proyectos]],#REF!,Planning[[#This Row],[Tipo de Tarea y especialidad]])</f>
        <v>#REF!</v>
      </c>
      <c r="O3909" s="19">
        <f t="shared" si="120"/>
        <v>10</v>
      </c>
      <c r="P3909" s="19">
        <f t="shared" si="121"/>
        <v>2024</v>
      </c>
      <c r="Q39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09" s="19" t="str">
        <f>TEXT(Planning[[#This Row],[Mes]]*29,"mmmm")</f>
        <v>October</v>
      </c>
      <c r="S39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09" s="210"/>
      <c r="U3909" s="43" t="e">
        <f>IF(Planning[[#This Row],[Horas Planificadas]]&lt;&gt;0,+K3909/Planning[[#This Row],[Horas Planificadas]],0)</f>
        <v>#REF!</v>
      </c>
      <c r="V3909" s="43" t="e">
        <f>IF(Planning[[#This Row],[Horas Planificadas]]&lt;&gt;0,Planning[[#This Row],[Horas utilizadas]]/Planning[[#This Row],[Horas Planificadas]],0)</f>
        <v>#REF!</v>
      </c>
      <c r="W3909" s="44">
        <f>Planning[[#This Row],[Horas Planificadas]]+Planning[[#This Row],[Horas ajustadas adicionales]]</f>
        <v>9</v>
      </c>
      <c r="X3909" s="142"/>
    </row>
    <row r="3910" spans="1:24" x14ac:dyDescent="0.2">
      <c r="A3910" s="7" t="s">
        <v>117</v>
      </c>
      <c r="B3910" s="7" t="s">
        <v>178</v>
      </c>
      <c r="C3910" s="3"/>
      <c r="D3910" s="3" t="s">
        <v>692</v>
      </c>
      <c r="E3910" s="4" t="s">
        <v>30</v>
      </c>
      <c r="F3910" s="3"/>
      <c r="G3910" s="9">
        <v>198</v>
      </c>
      <c r="H3910" s="14">
        <f>SUM(H3911:H3917)</f>
        <v>198</v>
      </c>
      <c r="I3910" s="14"/>
      <c r="J3910" s="14" t="e">
        <f>SUM(J3911:J3917)</f>
        <v>#REF!</v>
      </c>
      <c r="K3910" s="14" t="e">
        <f>+Planning[[#This Row],[Horas Planificadas]]+Planning[[#This Row],[Horas ajustadas adicionales]]-Planning[[#This Row],[Horas utilizadas]]</f>
        <v>#REF!</v>
      </c>
      <c r="L3910" s="15">
        <f>SUM(L3911:L3917)</f>
        <v>0</v>
      </c>
      <c r="M3910" s="16" t="e">
        <f>SUM(M3911:M3917)</f>
        <v>#REF!</v>
      </c>
      <c r="N3910" s="60" t="e">
        <f>+SUMIFS(#REF!,#REF!,Planning[[#This Row],[Proyectos]],#REF!,Planning[[#This Row],[Tipo de Tarea y especialidad]])</f>
        <v>#REF!</v>
      </c>
      <c r="O3910" s="16">
        <f t="shared" si="120"/>
        <v>10</v>
      </c>
      <c r="P3910" s="16">
        <f t="shared" si="121"/>
        <v>2024</v>
      </c>
      <c r="Q3910" s="16" t="e">
        <f>SUM(Q3911:Q3917)</f>
        <v>#REF!</v>
      </c>
      <c r="R3910" s="16" t="str">
        <f>TEXT(Planning[[#This Row],[Mes]]*29,"mmmm")</f>
        <v>October</v>
      </c>
      <c r="S39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10" s="210"/>
      <c r="U3910" s="43" t="e">
        <f>IF(Planning[[#This Row],[Horas Planificadas]]&lt;&gt;0,+K3910/Planning[[#This Row],[Horas Planificadas]],0)</f>
        <v>#REF!</v>
      </c>
      <c r="V3910" s="43" t="e">
        <f>IF(Planning[[#This Row],[Horas Planificadas]]&lt;&gt;0,Planning[[#This Row],[Horas utilizadas]]/Planning[[#This Row],[Horas Planificadas]],0)</f>
        <v>#REF!</v>
      </c>
      <c r="W3910" s="44">
        <f>Planning[[#This Row],[Horas Planificadas]]+Planning[[#This Row],[Horas ajustadas adicionales]]</f>
        <v>198</v>
      </c>
      <c r="X3910" s="142"/>
    </row>
    <row r="3911" spans="1:24" x14ac:dyDescent="0.2">
      <c r="A3911" s="7" t="s">
        <v>117</v>
      </c>
      <c r="B3911" s="7" t="s">
        <v>178</v>
      </c>
      <c r="C3911" s="3"/>
      <c r="D3911" s="3" t="s">
        <v>692</v>
      </c>
      <c r="E3911" s="4"/>
      <c r="F3911" s="3" t="s">
        <v>122</v>
      </c>
      <c r="G3911" s="9"/>
      <c r="H3911" s="9">
        <v>0</v>
      </c>
      <c r="I3911" s="12"/>
      <c r="J3911" s="5" t="e">
        <f>SUM(SUMIFS(#REF!,#REF!,Planning[[#This Row],[Tipo de Tarea y especialidad]],#REF!,Planning[[#This Row],[Proyectos Reiwa]]),SUMIFS(#REF!,#REF!,Planning[[#This Row],[Tipo de Tarea y especialidad]],#REF!,Planning[[#This Row],[Proyectos]]))</f>
        <v>#REF!</v>
      </c>
      <c r="K3911" s="5" t="e">
        <f>+Planning[[#This Row],[Horas Planificadas]]+Planning[[#This Row],[Horas ajustadas adicionales]]-Planning[[#This Row],[Horas utilizadas]]</f>
        <v>#REF!</v>
      </c>
      <c r="L3911" s="7">
        <v>0</v>
      </c>
      <c r="M3911" s="19" t="e">
        <f>Planning[[#This Row],[Saldo]]-Planning[[#This Row],[Saldo estimado]]</f>
        <v>#REF!</v>
      </c>
      <c r="N3911" s="60" t="e">
        <f>+SUMIFS(#REF!,#REF!,Planning[[#This Row],[Proyectos]],#REF!,Planning[[#This Row],[Tipo de Tarea y especialidad]])</f>
        <v>#REF!</v>
      </c>
      <c r="O3911" s="19">
        <f t="shared" ref="O3911:O3974" si="122">$L$4</f>
        <v>10</v>
      </c>
      <c r="P3911" s="19">
        <f t="shared" ref="P3911:P3974" si="123">$M$4</f>
        <v>2024</v>
      </c>
      <c r="Q39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11" s="19" t="str">
        <f>TEXT(Planning[[#This Row],[Mes]]*29,"mmmm")</f>
        <v>October</v>
      </c>
      <c r="S39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11" s="210"/>
      <c r="U3911" s="43">
        <f>IF(Planning[[#This Row],[Horas Planificadas]]&lt;&gt;0,+K3911/Planning[[#This Row],[Horas Planificadas]],0)</f>
        <v>0</v>
      </c>
      <c r="V3911" s="43">
        <f>IF(Planning[[#This Row],[Horas Planificadas]]&lt;&gt;0,Planning[[#This Row],[Horas utilizadas]]/Planning[[#This Row],[Horas Planificadas]],0)</f>
        <v>0</v>
      </c>
      <c r="W3911" s="44">
        <f>Planning[[#This Row],[Horas Planificadas]]+Planning[[#This Row],[Horas ajustadas adicionales]]</f>
        <v>0</v>
      </c>
      <c r="X3911" s="142"/>
    </row>
    <row r="3912" spans="1:24" x14ac:dyDescent="0.2">
      <c r="A3912" s="7" t="s">
        <v>117</v>
      </c>
      <c r="B3912" s="7" t="s">
        <v>178</v>
      </c>
      <c r="C3912" s="3"/>
      <c r="D3912" s="3" t="s">
        <v>692</v>
      </c>
      <c r="E3912" s="4"/>
      <c r="F3912" s="3" t="s">
        <v>123</v>
      </c>
      <c r="G3912" s="9"/>
      <c r="H3912" s="9">
        <v>45</v>
      </c>
      <c r="I3912" s="12"/>
      <c r="J3912" s="5" t="e">
        <f>SUM(SUMIFS(#REF!,#REF!,Planning[[#This Row],[Tipo de Tarea y especialidad]],#REF!,Planning[[#This Row],[Proyectos Reiwa]]),SUMIFS(#REF!,#REF!,Planning[[#This Row],[Tipo de Tarea y especialidad]],#REF!,Planning[[#This Row],[Proyectos]]))</f>
        <v>#REF!</v>
      </c>
      <c r="K3912" s="5" t="e">
        <f>+Planning[[#This Row],[Horas Planificadas]]+Planning[[#This Row],[Horas ajustadas adicionales]]-Planning[[#This Row],[Horas utilizadas]]</f>
        <v>#REF!</v>
      </c>
      <c r="L3912" s="7">
        <v>0</v>
      </c>
      <c r="M3912" s="19" t="e">
        <f>Planning[[#This Row],[Saldo]]-Planning[[#This Row],[Saldo estimado]]</f>
        <v>#REF!</v>
      </c>
      <c r="N3912" s="60" t="e">
        <f>+SUMIFS(#REF!,#REF!,Planning[[#This Row],[Proyectos]],#REF!,Planning[[#This Row],[Tipo de Tarea y especialidad]])</f>
        <v>#REF!</v>
      </c>
      <c r="O3912" s="19">
        <f t="shared" si="122"/>
        <v>10</v>
      </c>
      <c r="P3912" s="19">
        <f t="shared" si="123"/>
        <v>2024</v>
      </c>
      <c r="Q39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12" s="19" t="str">
        <f>TEXT(Planning[[#This Row],[Mes]]*29,"mmmm")</f>
        <v>October</v>
      </c>
      <c r="S39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12" s="210"/>
      <c r="U3912" s="43" t="e">
        <f>IF(Planning[[#This Row],[Horas Planificadas]]&lt;&gt;0,+K3912/Planning[[#This Row],[Horas Planificadas]],0)</f>
        <v>#REF!</v>
      </c>
      <c r="V3912" s="43" t="e">
        <f>IF(Planning[[#This Row],[Horas Planificadas]]&lt;&gt;0,Planning[[#This Row],[Horas utilizadas]]/Planning[[#This Row],[Horas Planificadas]],0)</f>
        <v>#REF!</v>
      </c>
      <c r="W3912" s="44">
        <f>Planning[[#This Row],[Horas Planificadas]]+Planning[[#This Row],[Horas ajustadas adicionales]]</f>
        <v>45</v>
      </c>
      <c r="X3912" s="142"/>
    </row>
    <row r="3913" spans="1:24" x14ac:dyDescent="0.2">
      <c r="A3913" s="7" t="s">
        <v>117</v>
      </c>
      <c r="B3913" s="7" t="s">
        <v>178</v>
      </c>
      <c r="C3913" s="3"/>
      <c r="D3913" s="3" t="s">
        <v>692</v>
      </c>
      <c r="E3913" s="4"/>
      <c r="F3913" s="3" t="s">
        <v>124</v>
      </c>
      <c r="G3913" s="9"/>
      <c r="H3913" s="9">
        <v>0</v>
      </c>
      <c r="I3913" s="12"/>
      <c r="J3913" s="5" t="e">
        <f>SUM(SUMIFS(#REF!,#REF!,Planning[[#This Row],[Tipo de Tarea y especialidad]],#REF!,Planning[[#This Row],[Proyectos Reiwa]]),SUMIFS(#REF!,#REF!,Planning[[#This Row],[Tipo de Tarea y especialidad]],#REF!,Planning[[#This Row],[Proyectos]]))</f>
        <v>#REF!</v>
      </c>
      <c r="K3913" s="5" t="e">
        <f>+Planning[[#This Row],[Horas Planificadas]]+Planning[[#This Row],[Horas ajustadas adicionales]]-Planning[[#This Row],[Horas utilizadas]]</f>
        <v>#REF!</v>
      </c>
      <c r="L3913" s="7">
        <v>0</v>
      </c>
      <c r="M3913" s="19" t="e">
        <f>Planning[[#This Row],[Saldo]]-Planning[[#This Row],[Saldo estimado]]</f>
        <v>#REF!</v>
      </c>
      <c r="N3913" s="60" t="e">
        <f>+SUMIFS(#REF!,#REF!,Planning[[#This Row],[Proyectos]],#REF!,Planning[[#This Row],[Tipo de Tarea y especialidad]])</f>
        <v>#REF!</v>
      </c>
      <c r="O3913" s="19">
        <f t="shared" si="122"/>
        <v>10</v>
      </c>
      <c r="P3913" s="19">
        <f t="shared" si="123"/>
        <v>2024</v>
      </c>
      <c r="Q39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13" s="19" t="str">
        <f>TEXT(Planning[[#This Row],[Mes]]*29,"mmmm")</f>
        <v>October</v>
      </c>
      <c r="S39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13" s="210"/>
      <c r="U3913" s="43">
        <f>IF(Planning[[#This Row],[Horas Planificadas]]&lt;&gt;0,+K3913/Planning[[#This Row],[Horas Planificadas]],0)</f>
        <v>0</v>
      </c>
      <c r="V3913" s="43">
        <f>IF(Planning[[#This Row],[Horas Planificadas]]&lt;&gt;0,Planning[[#This Row],[Horas utilizadas]]/Planning[[#This Row],[Horas Planificadas]],0)</f>
        <v>0</v>
      </c>
      <c r="W3913" s="44">
        <f>Planning[[#This Row],[Horas Planificadas]]+Planning[[#This Row],[Horas ajustadas adicionales]]</f>
        <v>0</v>
      </c>
      <c r="X3913" s="142"/>
    </row>
    <row r="3914" spans="1:24" x14ac:dyDescent="0.2">
      <c r="A3914" s="7" t="s">
        <v>117</v>
      </c>
      <c r="B3914" s="7" t="s">
        <v>178</v>
      </c>
      <c r="C3914" s="3"/>
      <c r="D3914" s="3" t="s">
        <v>692</v>
      </c>
      <c r="E3914" s="4"/>
      <c r="F3914" s="3" t="s">
        <v>125</v>
      </c>
      <c r="G3914" s="9"/>
      <c r="H3914" s="9">
        <v>90</v>
      </c>
      <c r="I3914" s="12"/>
      <c r="J3914" s="5" t="e">
        <f>SUM(SUMIFS(#REF!,#REF!,Planning[[#This Row],[Tipo de Tarea y especialidad]],#REF!,Planning[[#This Row],[Proyectos Reiwa]]),SUMIFS(#REF!,#REF!,Planning[[#This Row],[Tipo de Tarea y especialidad]],#REF!,Planning[[#This Row],[Proyectos]]))</f>
        <v>#REF!</v>
      </c>
      <c r="K3914" s="5" t="e">
        <f>+Planning[[#This Row],[Horas Planificadas]]+Planning[[#This Row],[Horas ajustadas adicionales]]-Planning[[#This Row],[Horas utilizadas]]</f>
        <v>#REF!</v>
      </c>
      <c r="L3914" s="7">
        <v>0</v>
      </c>
      <c r="M3914" s="19" t="e">
        <f>Planning[[#This Row],[Saldo]]-Planning[[#This Row],[Saldo estimado]]</f>
        <v>#REF!</v>
      </c>
      <c r="N3914" s="60" t="e">
        <f>+SUMIFS(#REF!,#REF!,Planning[[#This Row],[Proyectos]],#REF!,Planning[[#This Row],[Tipo de Tarea y especialidad]])</f>
        <v>#REF!</v>
      </c>
      <c r="O3914" s="19">
        <f t="shared" si="122"/>
        <v>10</v>
      </c>
      <c r="P3914" s="19">
        <f t="shared" si="123"/>
        <v>2024</v>
      </c>
      <c r="Q39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14" s="19" t="str">
        <f>TEXT(Planning[[#This Row],[Mes]]*29,"mmmm")</f>
        <v>October</v>
      </c>
      <c r="S39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14" s="210"/>
      <c r="U3914" s="43" t="e">
        <f>IF(Planning[[#This Row],[Horas Planificadas]]&lt;&gt;0,+K3914/Planning[[#This Row],[Horas Planificadas]],0)</f>
        <v>#REF!</v>
      </c>
      <c r="V3914" s="43" t="e">
        <f>IF(Planning[[#This Row],[Horas Planificadas]]&lt;&gt;0,Planning[[#This Row],[Horas utilizadas]]/Planning[[#This Row],[Horas Planificadas]],0)</f>
        <v>#REF!</v>
      </c>
      <c r="W3914" s="44">
        <f>Planning[[#This Row],[Horas Planificadas]]+Planning[[#This Row],[Horas ajustadas adicionales]]</f>
        <v>90</v>
      </c>
      <c r="X3914" s="142"/>
    </row>
    <row r="3915" spans="1:24" x14ac:dyDescent="0.2">
      <c r="A3915" s="7" t="s">
        <v>117</v>
      </c>
      <c r="B3915" s="7" t="s">
        <v>178</v>
      </c>
      <c r="C3915" s="3"/>
      <c r="D3915" s="3" t="s">
        <v>692</v>
      </c>
      <c r="E3915" s="4"/>
      <c r="F3915" s="3" t="s">
        <v>126</v>
      </c>
      <c r="G3915" s="9"/>
      <c r="H3915" s="9">
        <v>0</v>
      </c>
      <c r="I3915" s="12"/>
      <c r="J3915" s="5" t="e">
        <f>SUM(SUMIFS(#REF!,#REF!,Planning[[#This Row],[Tipo de Tarea y especialidad]],#REF!,Planning[[#This Row],[Proyectos Reiwa]]),SUMIFS(#REF!,#REF!,Planning[[#This Row],[Tipo de Tarea y especialidad]],#REF!,Planning[[#This Row],[Proyectos]]))</f>
        <v>#REF!</v>
      </c>
      <c r="K3915" s="5" t="e">
        <f>+Planning[[#This Row],[Horas Planificadas]]+Planning[[#This Row],[Horas ajustadas adicionales]]-Planning[[#This Row],[Horas utilizadas]]</f>
        <v>#REF!</v>
      </c>
      <c r="L3915" s="7">
        <v>0</v>
      </c>
      <c r="M3915" s="19" t="e">
        <f>Planning[[#This Row],[Saldo]]-Planning[[#This Row],[Saldo estimado]]</f>
        <v>#REF!</v>
      </c>
      <c r="N3915" s="60" t="e">
        <f>+SUMIFS(#REF!,#REF!,Planning[[#This Row],[Proyectos]],#REF!,Planning[[#This Row],[Tipo de Tarea y especialidad]])</f>
        <v>#REF!</v>
      </c>
      <c r="O3915" s="19">
        <f t="shared" si="122"/>
        <v>10</v>
      </c>
      <c r="P3915" s="19">
        <f t="shared" si="123"/>
        <v>2024</v>
      </c>
      <c r="Q39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15" s="19" t="str">
        <f>TEXT(Planning[[#This Row],[Mes]]*29,"mmmm")</f>
        <v>October</v>
      </c>
      <c r="S39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15" s="210"/>
      <c r="U3915" s="43">
        <f>IF(Planning[[#This Row],[Horas Planificadas]]&lt;&gt;0,+K3915/Planning[[#This Row],[Horas Planificadas]],0)</f>
        <v>0</v>
      </c>
      <c r="V3915" s="43">
        <f>IF(Planning[[#This Row],[Horas Planificadas]]&lt;&gt;0,Planning[[#This Row],[Horas utilizadas]]/Planning[[#This Row],[Horas Planificadas]],0)</f>
        <v>0</v>
      </c>
      <c r="W3915" s="44">
        <f>Planning[[#This Row],[Horas Planificadas]]+Planning[[#This Row],[Horas ajustadas adicionales]]</f>
        <v>0</v>
      </c>
      <c r="X3915" s="142"/>
    </row>
    <row r="3916" spans="1:24" x14ac:dyDescent="0.2">
      <c r="A3916" s="7" t="s">
        <v>117</v>
      </c>
      <c r="B3916" s="7" t="s">
        <v>178</v>
      </c>
      <c r="C3916" s="3"/>
      <c r="D3916" s="3" t="s">
        <v>692</v>
      </c>
      <c r="E3916" s="4"/>
      <c r="F3916" s="3" t="s">
        <v>127</v>
      </c>
      <c r="G3916" s="9"/>
      <c r="H3916" s="9">
        <v>63</v>
      </c>
      <c r="I3916" s="12"/>
      <c r="J3916" s="5" t="e">
        <f>SUM(SUMIFS(#REF!,#REF!,Planning[[#This Row],[Tipo de Tarea y especialidad]],#REF!,Planning[[#This Row],[Proyectos Reiwa]]),SUMIFS(#REF!,#REF!,Planning[[#This Row],[Tipo de Tarea y especialidad]],#REF!,Planning[[#This Row],[Proyectos]]))</f>
        <v>#REF!</v>
      </c>
      <c r="K3916" s="5" t="e">
        <f>+Planning[[#This Row],[Horas Planificadas]]+Planning[[#This Row],[Horas ajustadas adicionales]]-Planning[[#This Row],[Horas utilizadas]]</f>
        <v>#REF!</v>
      </c>
      <c r="L3916" s="7">
        <v>0</v>
      </c>
      <c r="M3916" s="19" t="e">
        <f>Planning[[#This Row],[Saldo]]-Planning[[#This Row],[Saldo estimado]]</f>
        <v>#REF!</v>
      </c>
      <c r="N3916" s="60" t="e">
        <f>+SUMIFS(#REF!,#REF!,Planning[[#This Row],[Proyectos]],#REF!,Planning[[#This Row],[Tipo de Tarea y especialidad]])</f>
        <v>#REF!</v>
      </c>
      <c r="O3916" s="19">
        <f t="shared" si="122"/>
        <v>10</v>
      </c>
      <c r="P3916" s="19">
        <f t="shared" si="123"/>
        <v>2024</v>
      </c>
      <c r="Q39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16" s="19" t="str">
        <f>TEXT(Planning[[#This Row],[Mes]]*29,"mmmm")</f>
        <v>October</v>
      </c>
      <c r="S39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16" s="210"/>
      <c r="U3916" s="43" t="e">
        <f>IF(Planning[[#This Row],[Horas Planificadas]]&lt;&gt;0,+K3916/Planning[[#This Row],[Horas Planificadas]],0)</f>
        <v>#REF!</v>
      </c>
      <c r="V3916" s="43" t="e">
        <f>IF(Planning[[#This Row],[Horas Planificadas]]&lt;&gt;0,Planning[[#This Row],[Horas utilizadas]]/Planning[[#This Row],[Horas Planificadas]],0)</f>
        <v>#REF!</v>
      </c>
      <c r="W3916" s="44">
        <f>Planning[[#This Row],[Horas Planificadas]]+Planning[[#This Row],[Horas ajustadas adicionales]]</f>
        <v>63</v>
      </c>
      <c r="X3916" s="142"/>
    </row>
    <row r="3917" spans="1:24" x14ac:dyDescent="0.2">
      <c r="A3917" s="7" t="s">
        <v>117</v>
      </c>
      <c r="B3917" s="7" t="s">
        <v>178</v>
      </c>
      <c r="C3917" s="3"/>
      <c r="D3917" s="3" t="s">
        <v>692</v>
      </c>
      <c r="E3917" s="4"/>
      <c r="F3917" s="3" t="s">
        <v>128</v>
      </c>
      <c r="G3917" s="9"/>
      <c r="H3917" s="9">
        <v>0</v>
      </c>
      <c r="I3917" s="12"/>
      <c r="J3917" s="5" t="e">
        <f>SUM(SUMIFS(#REF!,#REF!,Planning[[#This Row],[Tipo de Tarea y especialidad]],#REF!,Planning[[#This Row],[Proyectos Reiwa]]),SUMIFS(#REF!,#REF!,Planning[[#This Row],[Tipo de Tarea y especialidad]],#REF!,Planning[[#This Row],[Proyectos]]))</f>
        <v>#REF!</v>
      </c>
      <c r="K3917" s="5" t="e">
        <f>+Planning[[#This Row],[Horas Planificadas]]+Planning[[#This Row],[Horas ajustadas adicionales]]-Planning[[#This Row],[Horas utilizadas]]</f>
        <v>#REF!</v>
      </c>
      <c r="L3917" s="7">
        <v>0</v>
      </c>
      <c r="M3917" s="19" t="e">
        <f>Planning[[#This Row],[Saldo]]-Planning[[#This Row],[Saldo estimado]]</f>
        <v>#REF!</v>
      </c>
      <c r="N3917" s="60" t="e">
        <f>+SUMIFS(#REF!,#REF!,Planning[[#This Row],[Proyectos]],#REF!,Planning[[#This Row],[Tipo de Tarea y especialidad]])</f>
        <v>#REF!</v>
      </c>
      <c r="O3917" s="19">
        <f t="shared" si="122"/>
        <v>10</v>
      </c>
      <c r="P3917" s="19">
        <f t="shared" si="123"/>
        <v>2024</v>
      </c>
      <c r="Q39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17" s="19" t="str">
        <f>TEXT(Planning[[#This Row],[Mes]]*29,"mmmm")</f>
        <v>October</v>
      </c>
      <c r="S39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17" s="210"/>
      <c r="U3917" s="43">
        <f>IF(Planning[[#This Row],[Horas Planificadas]]&lt;&gt;0,+K3917/Planning[[#This Row],[Horas Planificadas]],0)</f>
        <v>0</v>
      </c>
      <c r="V3917" s="43">
        <f>IF(Planning[[#This Row],[Horas Planificadas]]&lt;&gt;0,Planning[[#This Row],[Horas utilizadas]]/Planning[[#This Row],[Horas Planificadas]],0)</f>
        <v>0</v>
      </c>
      <c r="W3917" s="44">
        <f>Planning[[#This Row],[Horas Planificadas]]+Planning[[#This Row],[Horas ajustadas adicionales]]</f>
        <v>0</v>
      </c>
      <c r="X3917" s="142"/>
    </row>
    <row r="3918" spans="1:24" x14ac:dyDescent="0.2">
      <c r="A3918" s="7" t="s">
        <v>117</v>
      </c>
      <c r="B3918" s="7" t="s">
        <v>178</v>
      </c>
      <c r="C3918" s="3"/>
      <c r="D3918" s="3" t="s">
        <v>692</v>
      </c>
      <c r="E3918" s="4" t="s">
        <v>31</v>
      </c>
      <c r="F3918" s="3" t="s">
        <v>31</v>
      </c>
      <c r="G3918" s="9">
        <v>36</v>
      </c>
      <c r="H3918" s="17">
        <f>Planning[[#This Row],[Horas Precálculo]]</f>
        <v>36</v>
      </c>
      <c r="I3918" s="18"/>
      <c r="J3918" s="14" t="e">
        <f>+SUMIFS(#REF!,#REF!,Planning[[#This Row],[Tarifa]],#REF!,Planning[[#This Row],[Proyectos]])</f>
        <v>#REF!</v>
      </c>
      <c r="K3918" s="14" t="e">
        <f>+Planning[[#This Row],[Horas Planificadas]]+Planning[[#This Row],[Horas ajustadas adicionales]]-Planning[[#This Row],[Horas utilizadas]]</f>
        <v>#REF!</v>
      </c>
      <c r="L3918" s="15">
        <v>0</v>
      </c>
      <c r="M3918" s="16" t="e">
        <f>Planning[[#This Row],[Saldo]]-Planning[[#This Row],[Saldo estimado]]</f>
        <v>#REF!</v>
      </c>
      <c r="N3918" s="60" t="e">
        <f>+SUMIFS(#REF!,#REF!,Planning[[#This Row],[Proyectos]],#REF!,Planning[[#This Row],[Tipo de Tarea y especialidad]])</f>
        <v>#REF!</v>
      </c>
      <c r="O3918" s="16">
        <f t="shared" si="122"/>
        <v>10</v>
      </c>
      <c r="P3918" s="16">
        <f t="shared" si="123"/>
        <v>2024</v>
      </c>
      <c r="Q3918" s="16" t="e">
        <f>+SUMIFS(#REF!,#REF!,Planning[[#This Row],[Tarifa]],#REF!,Planning[[#This Row],[Proyectos]],#REF!,Planning[[#This Row],[Mes]],#REF!,Planning[[#This Row],[Año]])</f>
        <v>#REF!</v>
      </c>
      <c r="R3918" s="16" t="str">
        <f>TEXT(Planning[[#This Row],[Mes]]*29,"mmmm")</f>
        <v>October</v>
      </c>
      <c r="S39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18" s="210"/>
      <c r="U3918" s="43" t="e">
        <f>IF(Planning[[#This Row],[Horas Planificadas]]&lt;&gt;0,+K3918/Planning[[#This Row],[Horas Planificadas]],0)</f>
        <v>#REF!</v>
      </c>
      <c r="V3918" s="43" t="e">
        <f>IF(Planning[[#This Row],[Horas Planificadas]]&lt;&gt;0,Planning[[#This Row],[Horas utilizadas]]/Planning[[#This Row],[Horas Planificadas]],0)</f>
        <v>#REF!</v>
      </c>
      <c r="W3918" s="44">
        <f>Planning[[#This Row],[Horas Planificadas]]+Planning[[#This Row],[Horas ajustadas adicionales]]</f>
        <v>36</v>
      </c>
      <c r="X3918" s="142"/>
    </row>
    <row r="3919" spans="1:24" ht="22.5" x14ac:dyDescent="0.2">
      <c r="A3919" s="7" t="s">
        <v>117</v>
      </c>
      <c r="B3919" s="7" t="s">
        <v>178</v>
      </c>
      <c r="C3919" s="3"/>
      <c r="D3919" s="3" t="s">
        <v>692</v>
      </c>
      <c r="E3919" s="4" t="s">
        <v>32</v>
      </c>
      <c r="F3919" s="3"/>
      <c r="G3919" s="9">
        <v>50</v>
      </c>
      <c r="H3919" s="14">
        <f>SUM(H3920:H3922)</f>
        <v>50</v>
      </c>
      <c r="I3919" s="14"/>
      <c r="J3919" s="14" t="e">
        <f>SUM(J3920:J3922)</f>
        <v>#REF!</v>
      </c>
      <c r="K3919" s="14" t="e">
        <f>+Planning[[#This Row],[Horas Planificadas]]+Planning[[#This Row],[Horas ajustadas adicionales]]-Planning[[#This Row],[Horas utilizadas]]</f>
        <v>#REF!</v>
      </c>
      <c r="L3919" s="15" t="e">
        <f>SUM(L3920:L3922)</f>
        <v>#REF!</v>
      </c>
      <c r="M3919" s="16" t="e">
        <f>SUM(M3920:M3922)</f>
        <v>#REF!</v>
      </c>
      <c r="N3919" s="60" t="e">
        <f>+SUMIFS(#REF!,#REF!,Planning[[#This Row],[Proyectos]],#REF!,Planning[[#This Row],[Tipo de Tarea y especialidad]])</f>
        <v>#REF!</v>
      </c>
      <c r="O3919" s="16">
        <f t="shared" si="122"/>
        <v>10</v>
      </c>
      <c r="P3919" s="16">
        <f t="shared" si="123"/>
        <v>2024</v>
      </c>
      <c r="Q3919" s="16" t="e">
        <f>SUM(Q3920:Q3922)</f>
        <v>#REF!</v>
      </c>
      <c r="R3919" s="16" t="str">
        <f>TEXT(Planning[[#This Row],[Mes]]*29,"mmmm")</f>
        <v>October</v>
      </c>
      <c r="S39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19" s="210"/>
      <c r="U3919" s="43" t="e">
        <f>IF(Planning[[#This Row],[Horas Planificadas]]&lt;&gt;0,+K3919/Planning[[#This Row],[Horas Planificadas]],0)</f>
        <v>#REF!</v>
      </c>
      <c r="V3919" s="43" t="e">
        <f>IF(Planning[[#This Row],[Horas Planificadas]]&lt;&gt;0,Planning[[#This Row],[Horas utilizadas]]/Planning[[#This Row],[Horas Planificadas]],0)</f>
        <v>#REF!</v>
      </c>
      <c r="W3919" s="44">
        <f>Planning[[#This Row],[Horas Planificadas]]+Planning[[#This Row],[Horas ajustadas adicionales]]</f>
        <v>50</v>
      </c>
      <c r="X3919" s="142"/>
    </row>
    <row r="3920" spans="1:24" x14ac:dyDescent="0.2">
      <c r="A3920" s="7" t="s">
        <v>117</v>
      </c>
      <c r="B3920" s="7" t="s">
        <v>178</v>
      </c>
      <c r="C3920" s="3"/>
      <c r="D3920" s="3" t="s">
        <v>692</v>
      </c>
      <c r="E3920" s="4"/>
      <c r="F3920" s="3" t="s">
        <v>129</v>
      </c>
      <c r="G3920" s="9"/>
      <c r="H3920" s="9">
        <v>0</v>
      </c>
      <c r="I3920" s="12"/>
      <c r="J3920" s="5" t="e">
        <f>SUM(SUMIFS(#REF!,#REF!,Planning[[#This Row],[Tipo de Tarea y especialidad]],#REF!,Planning[[#This Row],[Proyectos Reiwa]]),SUMIFS(#REF!,#REF!,Planning[[#This Row],[Tipo de Tarea y especialidad]],#REF!,Planning[[#This Row],[Proyectos]]))</f>
        <v>#REF!</v>
      </c>
      <c r="K3920" s="5" t="e">
        <f>+Planning[[#This Row],[Horas Planificadas]]+Planning[[#This Row],[Horas ajustadas adicionales]]-Planning[[#This Row],[Horas utilizadas]]</f>
        <v>#REF!</v>
      </c>
      <c r="L3920" s="7">
        <v>0</v>
      </c>
      <c r="M3920" s="19" t="e">
        <f>Planning[[#This Row],[Saldo]]-Planning[[#This Row],[Saldo estimado]]</f>
        <v>#REF!</v>
      </c>
      <c r="N3920" s="60" t="e">
        <f>+SUMIFS(#REF!,#REF!,Planning[[#This Row],[Proyectos]],#REF!,Planning[[#This Row],[Tipo de Tarea y especialidad]])</f>
        <v>#REF!</v>
      </c>
      <c r="O3920" s="19">
        <f t="shared" si="122"/>
        <v>10</v>
      </c>
      <c r="P3920" s="19">
        <f t="shared" si="123"/>
        <v>2024</v>
      </c>
      <c r="Q39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20" s="19" t="str">
        <f>TEXT(Planning[[#This Row],[Mes]]*29,"mmmm")</f>
        <v>October</v>
      </c>
      <c r="S39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20" s="210"/>
      <c r="U3920" s="43">
        <f>IF(Planning[[#This Row],[Horas Planificadas]]&lt;&gt;0,+K3920/Planning[[#This Row],[Horas Planificadas]],0)</f>
        <v>0</v>
      </c>
      <c r="V3920" s="43">
        <f>IF(Planning[[#This Row],[Horas Planificadas]]&lt;&gt;0,Planning[[#This Row],[Horas utilizadas]]/Planning[[#This Row],[Horas Planificadas]],0)</f>
        <v>0</v>
      </c>
      <c r="W3920" s="44">
        <f>Planning[[#This Row],[Horas Planificadas]]+Planning[[#This Row],[Horas ajustadas adicionales]]</f>
        <v>0</v>
      </c>
      <c r="X3920" s="142"/>
    </row>
    <row r="3921" spans="1:24" x14ac:dyDescent="0.2">
      <c r="A3921" s="7" t="s">
        <v>117</v>
      </c>
      <c r="B3921" s="7" t="s">
        <v>178</v>
      </c>
      <c r="C3921" s="3"/>
      <c r="D3921" s="3" t="s">
        <v>692</v>
      </c>
      <c r="E3921" s="4"/>
      <c r="F3921" s="3" t="s">
        <v>130</v>
      </c>
      <c r="G3921" s="9"/>
      <c r="H3921" s="9">
        <v>50</v>
      </c>
      <c r="I3921" s="12"/>
      <c r="J3921" s="5" t="e">
        <f>SUM(SUMIFS(#REF!,#REF!,Planning[[#This Row],[Tipo de Tarea y especialidad]],#REF!,Planning[[#This Row],[Proyectos Reiwa]]),SUMIFS(#REF!,#REF!,Planning[[#This Row],[Tipo de Tarea y especialidad]],#REF!,Planning[[#This Row],[Proyectos]]))</f>
        <v>#REF!</v>
      </c>
      <c r="K3921" s="5" t="e">
        <f>+Planning[[#This Row],[Horas Planificadas]]+Planning[[#This Row],[Horas ajustadas adicionales]]-Planning[[#This Row],[Horas utilizadas]]</f>
        <v>#REF!</v>
      </c>
      <c r="L3921" s="7">
        <v>0</v>
      </c>
      <c r="M3921" s="19" t="e">
        <f>Planning[[#This Row],[Saldo]]-Planning[[#This Row],[Saldo estimado]]</f>
        <v>#REF!</v>
      </c>
      <c r="N3921" s="60" t="e">
        <f>+SUMIFS(#REF!,#REF!,Planning[[#This Row],[Proyectos]],#REF!,Planning[[#This Row],[Tipo de Tarea y especialidad]])</f>
        <v>#REF!</v>
      </c>
      <c r="O3921" s="19">
        <f t="shared" si="122"/>
        <v>10</v>
      </c>
      <c r="P3921" s="19">
        <f t="shared" si="123"/>
        <v>2024</v>
      </c>
      <c r="Q39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21" s="19" t="str">
        <f>TEXT(Planning[[#This Row],[Mes]]*29,"mmmm")</f>
        <v>October</v>
      </c>
      <c r="S39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21" s="210"/>
      <c r="U3921" s="43" t="e">
        <f>IF(Planning[[#This Row],[Horas Planificadas]]&lt;&gt;0,+K3921/Planning[[#This Row],[Horas Planificadas]],0)</f>
        <v>#REF!</v>
      </c>
      <c r="V3921" s="43" t="e">
        <f>IF(Planning[[#This Row],[Horas Planificadas]]&lt;&gt;0,Planning[[#This Row],[Horas utilizadas]]/Planning[[#This Row],[Horas Planificadas]],0)</f>
        <v>#REF!</v>
      </c>
      <c r="W3921" s="44">
        <f>Planning[[#This Row],[Horas Planificadas]]+Planning[[#This Row],[Horas ajustadas adicionales]]</f>
        <v>50</v>
      </c>
      <c r="X3921" s="142"/>
    </row>
    <row r="3922" spans="1:24" x14ac:dyDescent="0.2">
      <c r="A3922" s="7" t="s">
        <v>117</v>
      </c>
      <c r="B3922" s="7" t="s">
        <v>178</v>
      </c>
      <c r="C3922" s="3"/>
      <c r="D3922" s="3" t="s">
        <v>692</v>
      </c>
      <c r="E3922" s="4"/>
      <c r="F3922" s="3" t="s">
        <v>131</v>
      </c>
      <c r="G3922" s="9"/>
      <c r="H3922" s="9">
        <v>0</v>
      </c>
      <c r="I3922" s="12"/>
      <c r="J3922" s="5" t="e">
        <f>SUM(SUMIFS(#REF!,#REF!,Planning[[#This Row],[Tipo de Tarea y especialidad]],#REF!,Planning[[#This Row],[Proyectos Reiwa]]),SUMIFS(#REF!,#REF!,Planning[[#This Row],[Tipo de Tarea y especialidad]],#REF!,Planning[[#This Row],[Proyectos]]))</f>
        <v>#REF!</v>
      </c>
      <c r="K3922" s="5" t="e">
        <f>+Planning[[#This Row],[Horas Planificadas]]+Planning[[#This Row],[Horas ajustadas adicionales]]-Planning[[#This Row],[Horas utilizadas]]</f>
        <v>#REF!</v>
      </c>
      <c r="L3922" s="7" t="e">
        <f>Planning[[#This Row],[Saldo]]</f>
        <v>#REF!</v>
      </c>
      <c r="M3922" s="19" t="e">
        <f>Planning[[#This Row],[Saldo]]-Planning[[#This Row],[Saldo estimado]]</f>
        <v>#REF!</v>
      </c>
      <c r="N3922" s="60" t="e">
        <f>+SUMIFS(#REF!,#REF!,Planning[[#This Row],[Proyectos]],#REF!,Planning[[#This Row],[Tipo de Tarea y especialidad]])</f>
        <v>#REF!</v>
      </c>
      <c r="O3922" s="19">
        <f t="shared" si="122"/>
        <v>10</v>
      </c>
      <c r="P3922" s="19">
        <f t="shared" si="123"/>
        <v>2024</v>
      </c>
      <c r="Q39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22" s="19" t="str">
        <f>TEXT(Planning[[#This Row],[Mes]]*29,"mmmm")</f>
        <v>October</v>
      </c>
      <c r="S39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22" s="210"/>
      <c r="U3922" s="43">
        <f>IF(Planning[[#This Row],[Horas Planificadas]]&lt;&gt;0,+K3922/Planning[[#This Row],[Horas Planificadas]],0)</f>
        <v>0</v>
      </c>
      <c r="V3922" s="43">
        <f>IF(Planning[[#This Row],[Horas Planificadas]]&lt;&gt;0,Planning[[#This Row],[Horas utilizadas]]/Planning[[#This Row],[Horas Planificadas]],0)</f>
        <v>0</v>
      </c>
      <c r="W3922" s="44">
        <f>Planning[[#This Row],[Horas Planificadas]]+Planning[[#This Row],[Horas ajustadas adicionales]]</f>
        <v>0</v>
      </c>
      <c r="X3922" s="142"/>
    </row>
    <row r="3923" spans="1:24" ht="12.75" customHeight="1" x14ac:dyDescent="0.2">
      <c r="A3923" s="7" t="s">
        <v>435</v>
      </c>
      <c r="B3923" s="7" t="s">
        <v>205</v>
      </c>
      <c r="C3923" s="3"/>
      <c r="D3923" s="3" t="s">
        <v>694</v>
      </c>
      <c r="E3923" s="4" t="s">
        <v>28</v>
      </c>
      <c r="F3923" s="3"/>
      <c r="G3923" s="9">
        <f>36+9</f>
        <v>45</v>
      </c>
      <c r="H3923" s="14">
        <f>SUM(H3924:H3925)</f>
        <v>55</v>
      </c>
      <c r="I3923" s="14"/>
      <c r="J3923" s="14" t="e">
        <f>SUM(J3924:J3925)</f>
        <v>#REF!</v>
      </c>
      <c r="K3923" s="14" t="e">
        <f>+Planning[[#This Row],[Horas Planificadas]]+Planning[[#This Row],[Horas ajustadas adicionales]]-Planning[[#This Row],[Horas utilizadas]]</f>
        <v>#REF!</v>
      </c>
      <c r="L3923" s="15">
        <f>SUM(L3924:L3925)</f>
        <v>0</v>
      </c>
      <c r="M3923" s="14" t="e">
        <f>SUM(M3924:M3925)</f>
        <v>#REF!</v>
      </c>
      <c r="N3923" s="66" t="e">
        <f>+SUMIFS(#REF!,#REF!,Planning[[#This Row],[Proyectos]],#REF!,Planning[[#This Row],[Tipo de Tarea y especialidad]])</f>
        <v>#REF!</v>
      </c>
      <c r="O3923" s="14">
        <f t="shared" si="122"/>
        <v>10</v>
      </c>
      <c r="P3923" s="14">
        <f t="shared" si="123"/>
        <v>2024</v>
      </c>
      <c r="Q3923" s="28" t="e">
        <f>SUM(Q3924:Q3925)</f>
        <v>#REF!</v>
      </c>
      <c r="R3923" s="28" t="str">
        <f>TEXT(Planning[[#This Row],[Mes]]*29,"mmmm")</f>
        <v>October</v>
      </c>
      <c r="S39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23" s="220" t="s">
        <v>695</v>
      </c>
      <c r="U3923" s="43" t="e">
        <f>IF(Planning[[#This Row],[Horas Planificadas]]&lt;&gt;0,+K3923/Planning[[#This Row],[Horas Planificadas]],0)</f>
        <v>#REF!</v>
      </c>
      <c r="V3923" s="43" t="e">
        <f>IF(Planning[[#This Row],[Horas Planificadas]]&lt;&gt;0,Planning[[#This Row],[Horas utilizadas]]/Planning[[#This Row],[Horas Planificadas]],0)</f>
        <v>#REF!</v>
      </c>
      <c r="W3923" s="44">
        <f>Planning[[#This Row],[Horas Planificadas]]+Planning[[#This Row],[Horas ajustadas adicionales]]</f>
        <v>55</v>
      </c>
      <c r="X3923" s="142"/>
    </row>
    <row r="3924" spans="1:24" x14ac:dyDescent="0.2">
      <c r="A3924" s="7" t="s">
        <v>435</v>
      </c>
      <c r="B3924" s="7" t="s">
        <v>205</v>
      </c>
      <c r="C3924" s="3"/>
      <c r="D3924" s="3" t="s">
        <v>694</v>
      </c>
      <c r="E3924" s="4"/>
      <c r="F3924" s="3" t="s">
        <v>120</v>
      </c>
      <c r="G3924" s="9"/>
      <c r="H3924" s="9">
        <v>10</v>
      </c>
      <c r="I3924" s="12">
        <v>18</v>
      </c>
      <c r="J3924" s="5" t="e">
        <f>SUM(SUMIFS(#REF!,#REF!,Planning[[#This Row],[Tipo de Tarea y especialidad]],#REF!,Planning[[#This Row],[Proyectos Reiwa]]),SUMIFS(#REF!,#REF!,Planning[[#This Row],[Tipo de Tarea y especialidad]],#REF!,Planning[[#This Row],[Proyectos]]))</f>
        <v>#REF!</v>
      </c>
      <c r="K3924" s="5" t="e">
        <f>+Planning[[#This Row],[Horas Planificadas]]+Planning[[#This Row],[Horas ajustadas adicionales]]-Planning[[#This Row],[Horas utilizadas]]</f>
        <v>#REF!</v>
      </c>
      <c r="L3924" s="7">
        <v>0</v>
      </c>
      <c r="M3924" s="19" t="e">
        <f>Planning[[#This Row],[Saldo]]-Planning[[#This Row],[Saldo estimado]]</f>
        <v>#REF!</v>
      </c>
      <c r="N3924" s="60" t="e">
        <f>+SUMIFS(#REF!,#REF!,Planning[[#This Row],[Proyectos]],#REF!,Planning[[#This Row],[Tipo de Tarea y especialidad]])</f>
        <v>#REF!</v>
      </c>
      <c r="O3924" s="19">
        <f t="shared" si="122"/>
        <v>10</v>
      </c>
      <c r="P3924" s="19">
        <f t="shared" si="123"/>
        <v>2024</v>
      </c>
      <c r="Q39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24" s="19" t="str">
        <f>TEXT(Planning[[#This Row],[Mes]]*29,"mmmm")</f>
        <v>October</v>
      </c>
      <c r="S39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24" s="210"/>
      <c r="U3924" s="43" t="e">
        <f>IF(Planning[[#This Row],[Horas Planificadas]]&lt;&gt;0,+K3924/Planning[[#This Row],[Horas Planificadas]],0)</f>
        <v>#REF!</v>
      </c>
      <c r="V3924" s="43" t="e">
        <f>IF(Planning[[#This Row],[Horas Planificadas]]&lt;&gt;0,Planning[[#This Row],[Horas utilizadas]]/Planning[[#This Row],[Horas Planificadas]],0)</f>
        <v>#REF!</v>
      </c>
      <c r="W3924" s="44">
        <f>Planning[[#This Row],[Horas Planificadas]]+Planning[[#This Row],[Horas ajustadas adicionales]]</f>
        <v>28</v>
      </c>
      <c r="X3924" s="142"/>
    </row>
    <row r="3925" spans="1:24" x14ac:dyDescent="0.2">
      <c r="A3925" s="7" t="s">
        <v>435</v>
      </c>
      <c r="B3925" s="7" t="s">
        <v>205</v>
      </c>
      <c r="C3925" s="3"/>
      <c r="D3925" s="3" t="s">
        <v>694</v>
      </c>
      <c r="E3925" s="4"/>
      <c r="F3925" s="3" t="s">
        <v>121</v>
      </c>
      <c r="G3925" s="9"/>
      <c r="H3925" s="9">
        <v>45</v>
      </c>
      <c r="I3925" s="12">
        <v>63</v>
      </c>
      <c r="J3925" s="5" t="e">
        <f>SUM(SUMIFS(#REF!,#REF!,Planning[[#This Row],[Tipo de Tarea y especialidad]],#REF!,Planning[[#This Row],[Proyectos Reiwa]]),SUMIFS(#REF!,#REF!,Planning[[#This Row],[Tipo de Tarea y especialidad]],#REF!,Planning[[#This Row],[Proyectos]]))</f>
        <v>#REF!</v>
      </c>
      <c r="K3925" s="5" t="e">
        <f>+Planning[[#This Row],[Horas Planificadas]]+Planning[[#This Row],[Horas ajustadas adicionales]]-Planning[[#This Row],[Horas utilizadas]]</f>
        <v>#REF!</v>
      </c>
      <c r="L3925" s="7">
        <v>0</v>
      </c>
      <c r="M3925" s="19" t="e">
        <f>Planning[[#This Row],[Saldo]]-Planning[[#This Row],[Saldo estimado]]</f>
        <v>#REF!</v>
      </c>
      <c r="N3925" s="60" t="e">
        <f>+SUMIFS(#REF!,#REF!,Planning[[#This Row],[Proyectos]],#REF!,Planning[[#This Row],[Tipo de Tarea y especialidad]])</f>
        <v>#REF!</v>
      </c>
      <c r="O3925" s="19">
        <f t="shared" si="122"/>
        <v>10</v>
      </c>
      <c r="P3925" s="19">
        <f t="shared" si="123"/>
        <v>2024</v>
      </c>
      <c r="Q39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25" s="19" t="str">
        <f>TEXT(Planning[[#This Row],[Mes]]*29,"mmmm")</f>
        <v>October</v>
      </c>
      <c r="S39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25" s="210"/>
      <c r="U3925" s="43" t="e">
        <f>IF(Planning[[#This Row],[Horas Planificadas]]&lt;&gt;0,+K3925/Planning[[#This Row],[Horas Planificadas]],0)</f>
        <v>#REF!</v>
      </c>
      <c r="V3925" s="43" t="e">
        <f>IF(Planning[[#This Row],[Horas Planificadas]]&lt;&gt;0,Planning[[#This Row],[Horas utilizadas]]/Planning[[#This Row],[Horas Planificadas]],0)</f>
        <v>#REF!</v>
      </c>
      <c r="W3925" s="44">
        <f>Planning[[#This Row],[Horas Planificadas]]+Planning[[#This Row],[Horas ajustadas adicionales]]</f>
        <v>108</v>
      </c>
      <c r="X3925" s="142"/>
    </row>
    <row r="3926" spans="1:24" x14ac:dyDescent="0.2">
      <c r="A3926" s="7" t="s">
        <v>435</v>
      </c>
      <c r="B3926" s="7" t="s">
        <v>205</v>
      </c>
      <c r="C3926" s="3"/>
      <c r="D3926" s="3" t="s">
        <v>694</v>
      </c>
      <c r="E3926" s="4" t="s">
        <v>30</v>
      </c>
      <c r="F3926" s="3"/>
      <c r="G3926" s="9">
        <f>169+45</f>
        <v>214</v>
      </c>
      <c r="H3926" s="14">
        <f>SUM(H3927:H3933)</f>
        <v>214</v>
      </c>
      <c r="I3926" s="14"/>
      <c r="J3926" s="14" t="e">
        <f>SUM(J3927:J3933)</f>
        <v>#REF!</v>
      </c>
      <c r="K3926" s="14" t="e">
        <f>+Planning[[#This Row],[Horas Planificadas]]+Planning[[#This Row],[Horas ajustadas adicionales]]-Planning[[#This Row],[Horas utilizadas]]</f>
        <v>#REF!</v>
      </c>
      <c r="L3926" s="15">
        <f>SUM(L3927:L3933)</f>
        <v>0</v>
      </c>
      <c r="M3926" s="16" t="e">
        <f>SUM(M3927:M3933)</f>
        <v>#REF!</v>
      </c>
      <c r="N3926" s="60" t="e">
        <f>+SUMIFS(#REF!,#REF!,Planning[[#This Row],[Proyectos]],#REF!,Planning[[#This Row],[Tipo de Tarea y especialidad]])</f>
        <v>#REF!</v>
      </c>
      <c r="O3926" s="16">
        <f t="shared" si="122"/>
        <v>10</v>
      </c>
      <c r="P3926" s="16">
        <f t="shared" si="123"/>
        <v>2024</v>
      </c>
      <c r="Q3926" s="16" t="e">
        <f>SUM(Q3927:Q3933)</f>
        <v>#REF!</v>
      </c>
      <c r="R3926" s="16" t="str">
        <f>TEXT(Planning[[#This Row],[Mes]]*29,"mmmm")</f>
        <v>October</v>
      </c>
      <c r="S39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26" s="210"/>
      <c r="U3926" s="43" t="e">
        <f>IF(Planning[[#This Row],[Horas Planificadas]]&lt;&gt;0,+K3926/Planning[[#This Row],[Horas Planificadas]],0)</f>
        <v>#REF!</v>
      </c>
      <c r="V3926" s="43" t="e">
        <f>IF(Planning[[#This Row],[Horas Planificadas]]&lt;&gt;0,Planning[[#This Row],[Horas utilizadas]]/Planning[[#This Row],[Horas Planificadas]],0)</f>
        <v>#REF!</v>
      </c>
      <c r="W3926" s="44">
        <f>Planning[[#This Row],[Horas Planificadas]]+Planning[[#This Row],[Horas ajustadas adicionales]]</f>
        <v>214</v>
      </c>
      <c r="X3926" s="142"/>
    </row>
    <row r="3927" spans="1:24" x14ac:dyDescent="0.2">
      <c r="A3927" s="7" t="s">
        <v>435</v>
      </c>
      <c r="B3927" s="7" t="s">
        <v>205</v>
      </c>
      <c r="C3927" s="3"/>
      <c r="D3927" s="3" t="s">
        <v>694</v>
      </c>
      <c r="E3927" s="4"/>
      <c r="F3927" s="3" t="s">
        <v>122</v>
      </c>
      <c r="G3927" s="9"/>
      <c r="H3927" s="9"/>
      <c r="I3927" s="12"/>
      <c r="J3927" s="5" t="e">
        <f>SUM(SUMIFS(#REF!,#REF!,Planning[[#This Row],[Tipo de Tarea y especialidad]],#REF!,Planning[[#This Row],[Proyectos Reiwa]]),SUMIFS(#REF!,#REF!,Planning[[#This Row],[Tipo de Tarea y especialidad]],#REF!,Planning[[#This Row],[Proyectos]]))</f>
        <v>#REF!</v>
      </c>
      <c r="K3927" s="5" t="e">
        <f>+Planning[[#This Row],[Horas Planificadas]]+Planning[[#This Row],[Horas ajustadas adicionales]]-Planning[[#This Row],[Horas utilizadas]]</f>
        <v>#REF!</v>
      </c>
      <c r="L3927" s="7"/>
      <c r="M3927" s="19" t="e">
        <f>Planning[[#This Row],[Saldo]]-Planning[[#This Row],[Saldo estimado]]</f>
        <v>#REF!</v>
      </c>
      <c r="N3927" s="60" t="e">
        <f>+SUMIFS(#REF!,#REF!,Planning[[#This Row],[Proyectos]],#REF!,Planning[[#This Row],[Tipo de Tarea y especialidad]])</f>
        <v>#REF!</v>
      </c>
      <c r="O3927" s="19">
        <f t="shared" si="122"/>
        <v>10</v>
      </c>
      <c r="P3927" s="19">
        <f t="shared" si="123"/>
        <v>2024</v>
      </c>
      <c r="Q39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27" s="19" t="str">
        <f>TEXT(Planning[[#This Row],[Mes]]*29,"mmmm")</f>
        <v>October</v>
      </c>
      <c r="S39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27" s="210"/>
      <c r="U3927" s="43">
        <f>IF(Planning[[#This Row],[Horas Planificadas]]&lt;&gt;0,+K3927/Planning[[#This Row],[Horas Planificadas]],0)</f>
        <v>0</v>
      </c>
      <c r="V3927" s="43">
        <f>IF(Planning[[#This Row],[Horas Planificadas]]&lt;&gt;0,Planning[[#This Row],[Horas utilizadas]]/Planning[[#This Row],[Horas Planificadas]],0)</f>
        <v>0</v>
      </c>
      <c r="W3927" s="44">
        <f>Planning[[#This Row],[Horas Planificadas]]+Planning[[#This Row],[Horas ajustadas adicionales]]</f>
        <v>0</v>
      </c>
      <c r="X3927" s="142"/>
    </row>
    <row r="3928" spans="1:24" x14ac:dyDescent="0.2">
      <c r="A3928" s="7" t="s">
        <v>435</v>
      </c>
      <c r="B3928" s="7" t="s">
        <v>205</v>
      </c>
      <c r="C3928" s="3"/>
      <c r="D3928" s="3" t="s">
        <v>694</v>
      </c>
      <c r="E3928" s="4"/>
      <c r="F3928" s="3" t="s">
        <v>123</v>
      </c>
      <c r="G3928" s="9"/>
      <c r="H3928" s="9">
        <v>90</v>
      </c>
      <c r="I3928" s="12">
        <v>9</v>
      </c>
      <c r="J3928" s="5" t="e">
        <f>SUM(SUMIFS(#REF!,#REF!,Planning[[#This Row],[Tipo de Tarea y especialidad]],#REF!,Planning[[#This Row],[Proyectos Reiwa]]),SUMIFS(#REF!,#REF!,Planning[[#This Row],[Tipo de Tarea y especialidad]],#REF!,Planning[[#This Row],[Proyectos]]))</f>
        <v>#REF!</v>
      </c>
      <c r="K3928" s="5" t="e">
        <f>+Planning[[#This Row],[Horas Planificadas]]+Planning[[#This Row],[Horas ajustadas adicionales]]-Planning[[#This Row],[Horas utilizadas]]</f>
        <v>#REF!</v>
      </c>
      <c r="L3928" s="7">
        <v>0</v>
      </c>
      <c r="M3928" s="19" t="e">
        <f>Planning[[#This Row],[Saldo]]-Planning[[#This Row],[Saldo estimado]]</f>
        <v>#REF!</v>
      </c>
      <c r="N3928" s="60" t="e">
        <f>+SUMIFS(#REF!,#REF!,Planning[[#This Row],[Proyectos]],#REF!,Planning[[#This Row],[Tipo de Tarea y especialidad]])</f>
        <v>#REF!</v>
      </c>
      <c r="O3928" s="19">
        <f t="shared" si="122"/>
        <v>10</v>
      </c>
      <c r="P3928" s="19">
        <f t="shared" si="123"/>
        <v>2024</v>
      </c>
      <c r="Q39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28" s="19" t="str">
        <f>TEXT(Planning[[#This Row],[Mes]]*29,"mmmm")</f>
        <v>October</v>
      </c>
      <c r="S39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28" s="210"/>
      <c r="U3928" s="43" t="e">
        <f>IF(Planning[[#This Row],[Horas Planificadas]]&lt;&gt;0,+K3928/Planning[[#This Row],[Horas Planificadas]],0)</f>
        <v>#REF!</v>
      </c>
      <c r="V3928" s="43" t="e">
        <f>IF(Planning[[#This Row],[Horas Planificadas]]&lt;&gt;0,Planning[[#This Row],[Horas utilizadas]]/Planning[[#This Row],[Horas Planificadas]],0)</f>
        <v>#REF!</v>
      </c>
      <c r="W3928" s="44">
        <f>Planning[[#This Row],[Horas Planificadas]]+Planning[[#This Row],[Horas ajustadas adicionales]]</f>
        <v>99</v>
      </c>
      <c r="X3928" s="142"/>
    </row>
    <row r="3929" spans="1:24" x14ac:dyDescent="0.2">
      <c r="A3929" s="7" t="s">
        <v>435</v>
      </c>
      <c r="B3929" s="7" t="s">
        <v>205</v>
      </c>
      <c r="C3929" s="3"/>
      <c r="D3929" s="3" t="s">
        <v>694</v>
      </c>
      <c r="E3929" s="4"/>
      <c r="F3929" s="3" t="s">
        <v>124</v>
      </c>
      <c r="G3929" s="9"/>
      <c r="H3929" s="9">
        <v>21</v>
      </c>
      <c r="I3929" s="12">
        <v>9</v>
      </c>
      <c r="J3929" s="5" t="e">
        <f>SUM(SUMIFS(#REF!,#REF!,Planning[[#This Row],[Tipo de Tarea y especialidad]],#REF!,Planning[[#This Row],[Proyectos Reiwa]]),SUMIFS(#REF!,#REF!,Planning[[#This Row],[Tipo de Tarea y especialidad]],#REF!,Planning[[#This Row],[Proyectos]]))</f>
        <v>#REF!</v>
      </c>
      <c r="K3929" s="5" t="e">
        <f>+Planning[[#This Row],[Horas Planificadas]]+Planning[[#This Row],[Horas ajustadas adicionales]]-Planning[[#This Row],[Horas utilizadas]]</f>
        <v>#REF!</v>
      </c>
      <c r="L3929" s="7">
        <v>0</v>
      </c>
      <c r="M3929" s="19" t="e">
        <f>Planning[[#This Row],[Saldo]]-Planning[[#This Row],[Saldo estimado]]</f>
        <v>#REF!</v>
      </c>
      <c r="N3929" s="60" t="e">
        <f>+SUMIFS(#REF!,#REF!,Planning[[#This Row],[Proyectos]],#REF!,Planning[[#This Row],[Tipo de Tarea y especialidad]])</f>
        <v>#REF!</v>
      </c>
      <c r="O3929" s="19">
        <f t="shared" si="122"/>
        <v>10</v>
      </c>
      <c r="P3929" s="19">
        <f t="shared" si="123"/>
        <v>2024</v>
      </c>
      <c r="Q39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29" s="19" t="str">
        <f>TEXT(Planning[[#This Row],[Mes]]*29,"mmmm")</f>
        <v>October</v>
      </c>
      <c r="S39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29" s="210"/>
      <c r="U3929" s="43" t="e">
        <f>IF(Planning[[#This Row],[Horas Planificadas]]&lt;&gt;0,+K3929/Planning[[#This Row],[Horas Planificadas]],0)</f>
        <v>#REF!</v>
      </c>
      <c r="V3929" s="43" t="e">
        <f>IF(Planning[[#This Row],[Horas Planificadas]]&lt;&gt;0,Planning[[#This Row],[Horas utilizadas]]/Planning[[#This Row],[Horas Planificadas]],0)</f>
        <v>#REF!</v>
      </c>
      <c r="W3929" s="44">
        <f>Planning[[#This Row],[Horas Planificadas]]+Planning[[#This Row],[Horas ajustadas adicionales]]</f>
        <v>30</v>
      </c>
      <c r="X3929" s="142"/>
    </row>
    <row r="3930" spans="1:24" x14ac:dyDescent="0.2">
      <c r="A3930" s="7" t="s">
        <v>435</v>
      </c>
      <c r="B3930" s="7" t="s">
        <v>205</v>
      </c>
      <c r="C3930" s="3"/>
      <c r="D3930" s="3" t="s">
        <v>694</v>
      </c>
      <c r="E3930" s="4"/>
      <c r="F3930" s="3" t="s">
        <v>125</v>
      </c>
      <c r="G3930" s="9"/>
      <c r="H3930" s="9">
        <v>46</v>
      </c>
      <c r="I3930" s="12">
        <v>27</v>
      </c>
      <c r="J3930" s="5" t="e">
        <f>SUM(SUMIFS(#REF!,#REF!,Planning[[#This Row],[Tipo de Tarea y especialidad]],#REF!,Planning[[#This Row],[Proyectos Reiwa]]),SUMIFS(#REF!,#REF!,Planning[[#This Row],[Tipo de Tarea y especialidad]],#REF!,Planning[[#This Row],[Proyectos]]))</f>
        <v>#REF!</v>
      </c>
      <c r="K3930" s="5" t="e">
        <f>+Planning[[#This Row],[Horas Planificadas]]+Planning[[#This Row],[Horas ajustadas adicionales]]-Planning[[#This Row],[Horas utilizadas]]</f>
        <v>#REF!</v>
      </c>
      <c r="L3930" s="7">
        <v>0</v>
      </c>
      <c r="M3930" s="19" t="e">
        <f>Planning[[#This Row],[Saldo]]-Planning[[#This Row],[Saldo estimado]]</f>
        <v>#REF!</v>
      </c>
      <c r="N3930" s="60" t="e">
        <f>+SUMIFS(#REF!,#REF!,Planning[[#This Row],[Proyectos]],#REF!,Planning[[#This Row],[Tipo de Tarea y especialidad]])</f>
        <v>#REF!</v>
      </c>
      <c r="O3930" s="19">
        <f t="shared" si="122"/>
        <v>10</v>
      </c>
      <c r="P3930" s="19">
        <f t="shared" si="123"/>
        <v>2024</v>
      </c>
      <c r="Q39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30" s="19" t="str">
        <f>TEXT(Planning[[#This Row],[Mes]]*29,"mmmm")</f>
        <v>October</v>
      </c>
      <c r="S39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30" s="210"/>
      <c r="U3930" s="43" t="e">
        <f>IF(Planning[[#This Row],[Horas Planificadas]]&lt;&gt;0,+K3930/Planning[[#This Row],[Horas Planificadas]],0)</f>
        <v>#REF!</v>
      </c>
      <c r="V3930" s="43" t="e">
        <f>IF(Planning[[#This Row],[Horas Planificadas]]&lt;&gt;0,Planning[[#This Row],[Horas utilizadas]]/Planning[[#This Row],[Horas Planificadas]],0)</f>
        <v>#REF!</v>
      </c>
      <c r="W3930" s="44">
        <f>Planning[[#This Row],[Horas Planificadas]]+Planning[[#This Row],[Horas ajustadas adicionales]]</f>
        <v>73</v>
      </c>
      <c r="X3930" s="142"/>
    </row>
    <row r="3931" spans="1:24" x14ac:dyDescent="0.2">
      <c r="A3931" s="7" t="s">
        <v>435</v>
      </c>
      <c r="B3931" s="7" t="s">
        <v>205</v>
      </c>
      <c r="C3931" s="3"/>
      <c r="D3931" s="3" t="s">
        <v>694</v>
      </c>
      <c r="E3931" s="4"/>
      <c r="F3931" s="3" t="s">
        <v>126</v>
      </c>
      <c r="G3931" s="9"/>
      <c r="H3931" s="9"/>
      <c r="I3931" s="12"/>
      <c r="J3931" s="5" t="e">
        <f>SUM(SUMIFS(#REF!,#REF!,Planning[[#This Row],[Tipo de Tarea y especialidad]],#REF!,Planning[[#This Row],[Proyectos Reiwa]]),SUMIFS(#REF!,#REF!,Planning[[#This Row],[Tipo de Tarea y especialidad]],#REF!,Planning[[#This Row],[Proyectos]]))</f>
        <v>#REF!</v>
      </c>
      <c r="K3931" s="5" t="e">
        <f>+Planning[[#This Row],[Horas Planificadas]]+Planning[[#This Row],[Horas ajustadas adicionales]]-Planning[[#This Row],[Horas utilizadas]]</f>
        <v>#REF!</v>
      </c>
      <c r="L3931" s="7"/>
      <c r="M3931" s="19" t="e">
        <f>Planning[[#This Row],[Saldo]]-Planning[[#This Row],[Saldo estimado]]</f>
        <v>#REF!</v>
      </c>
      <c r="N3931" s="60" t="e">
        <f>+SUMIFS(#REF!,#REF!,Planning[[#This Row],[Proyectos]],#REF!,Planning[[#This Row],[Tipo de Tarea y especialidad]])</f>
        <v>#REF!</v>
      </c>
      <c r="O3931" s="19">
        <f t="shared" si="122"/>
        <v>10</v>
      </c>
      <c r="P3931" s="19">
        <f t="shared" si="123"/>
        <v>2024</v>
      </c>
      <c r="Q39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31" s="19" t="str">
        <f>TEXT(Planning[[#This Row],[Mes]]*29,"mmmm")</f>
        <v>October</v>
      </c>
      <c r="S39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31" s="210"/>
      <c r="U3931" s="43">
        <f>IF(Planning[[#This Row],[Horas Planificadas]]&lt;&gt;0,+K3931/Planning[[#This Row],[Horas Planificadas]],0)</f>
        <v>0</v>
      </c>
      <c r="V3931" s="43">
        <f>IF(Planning[[#This Row],[Horas Planificadas]]&lt;&gt;0,Planning[[#This Row],[Horas utilizadas]]/Planning[[#This Row],[Horas Planificadas]],0)</f>
        <v>0</v>
      </c>
      <c r="W3931" s="44">
        <f>Planning[[#This Row],[Horas Planificadas]]+Planning[[#This Row],[Horas ajustadas adicionales]]</f>
        <v>0</v>
      </c>
      <c r="X3931" s="142"/>
    </row>
    <row r="3932" spans="1:24" x14ac:dyDescent="0.2">
      <c r="A3932" s="7" t="s">
        <v>435</v>
      </c>
      <c r="B3932" s="7" t="s">
        <v>205</v>
      </c>
      <c r="C3932" s="3"/>
      <c r="D3932" s="3" t="s">
        <v>694</v>
      </c>
      <c r="E3932" s="4"/>
      <c r="F3932" s="3" t="s">
        <v>127</v>
      </c>
      <c r="G3932" s="9"/>
      <c r="H3932" s="9">
        <v>45</v>
      </c>
      <c r="I3932" s="12"/>
      <c r="J3932" s="5" t="e">
        <f>SUM(SUMIFS(#REF!,#REF!,Planning[[#This Row],[Tipo de Tarea y especialidad]],#REF!,Planning[[#This Row],[Proyectos Reiwa]]),SUMIFS(#REF!,#REF!,Planning[[#This Row],[Tipo de Tarea y especialidad]],#REF!,Planning[[#This Row],[Proyectos]]))</f>
        <v>#REF!</v>
      </c>
      <c r="K3932" s="5" t="e">
        <f>+Planning[[#This Row],[Horas Planificadas]]+Planning[[#This Row],[Horas ajustadas adicionales]]-Planning[[#This Row],[Horas utilizadas]]</f>
        <v>#REF!</v>
      </c>
      <c r="L3932" s="7">
        <v>0</v>
      </c>
      <c r="M3932" s="19" t="e">
        <f>Planning[[#This Row],[Saldo]]-Planning[[#This Row],[Saldo estimado]]</f>
        <v>#REF!</v>
      </c>
      <c r="N3932" s="60" t="e">
        <f>+SUMIFS(#REF!,#REF!,Planning[[#This Row],[Proyectos]],#REF!,Planning[[#This Row],[Tipo de Tarea y especialidad]])</f>
        <v>#REF!</v>
      </c>
      <c r="O3932" s="19">
        <f t="shared" si="122"/>
        <v>10</v>
      </c>
      <c r="P3932" s="19">
        <f t="shared" si="123"/>
        <v>2024</v>
      </c>
      <c r="Q39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32" s="19" t="str">
        <f>TEXT(Planning[[#This Row],[Mes]]*29,"mmmm")</f>
        <v>October</v>
      </c>
      <c r="S39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32" s="210"/>
      <c r="U3932" s="43" t="e">
        <f>IF(Planning[[#This Row],[Horas Planificadas]]&lt;&gt;0,+K3932/Planning[[#This Row],[Horas Planificadas]],0)</f>
        <v>#REF!</v>
      </c>
      <c r="V3932" s="43" t="e">
        <f>IF(Planning[[#This Row],[Horas Planificadas]]&lt;&gt;0,Planning[[#This Row],[Horas utilizadas]]/Planning[[#This Row],[Horas Planificadas]],0)</f>
        <v>#REF!</v>
      </c>
      <c r="W3932" s="44">
        <f>Planning[[#This Row],[Horas Planificadas]]+Planning[[#This Row],[Horas ajustadas adicionales]]</f>
        <v>45</v>
      </c>
      <c r="X3932" s="142"/>
    </row>
    <row r="3933" spans="1:24" x14ac:dyDescent="0.2">
      <c r="A3933" s="7" t="s">
        <v>435</v>
      </c>
      <c r="B3933" s="7" t="s">
        <v>205</v>
      </c>
      <c r="C3933" s="3"/>
      <c r="D3933" s="3" t="s">
        <v>694</v>
      </c>
      <c r="E3933" s="4"/>
      <c r="F3933" s="3" t="s">
        <v>128</v>
      </c>
      <c r="G3933" s="9"/>
      <c r="H3933" s="9">
        <v>12</v>
      </c>
      <c r="I3933" s="12"/>
      <c r="J3933" s="5" t="e">
        <f>SUM(SUMIFS(#REF!,#REF!,Planning[[#This Row],[Tipo de Tarea y especialidad]],#REF!,Planning[[#This Row],[Proyectos Reiwa]]),SUMIFS(#REF!,#REF!,Planning[[#This Row],[Tipo de Tarea y especialidad]],#REF!,Planning[[#This Row],[Proyectos]]))</f>
        <v>#REF!</v>
      </c>
      <c r="K3933" s="5" t="e">
        <f>+Planning[[#This Row],[Horas Planificadas]]+Planning[[#This Row],[Horas ajustadas adicionales]]-Planning[[#This Row],[Horas utilizadas]]</f>
        <v>#REF!</v>
      </c>
      <c r="L3933" s="7">
        <v>0</v>
      </c>
      <c r="M3933" s="19" t="e">
        <f>Planning[[#This Row],[Saldo]]-Planning[[#This Row],[Saldo estimado]]</f>
        <v>#REF!</v>
      </c>
      <c r="N3933" s="60" t="e">
        <f>+SUMIFS(#REF!,#REF!,Planning[[#This Row],[Proyectos]],#REF!,Planning[[#This Row],[Tipo de Tarea y especialidad]])</f>
        <v>#REF!</v>
      </c>
      <c r="O3933" s="19">
        <f t="shared" si="122"/>
        <v>10</v>
      </c>
      <c r="P3933" s="19">
        <f t="shared" si="123"/>
        <v>2024</v>
      </c>
      <c r="Q39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33" s="19" t="str">
        <f>TEXT(Planning[[#This Row],[Mes]]*29,"mmmm")</f>
        <v>October</v>
      </c>
      <c r="S39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33" s="210"/>
      <c r="U3933" s="43" t="e">
        <f>IF(Planning[[#This Row],[Horas Planificadas]]&lt;&gt;0,+K3933/Planning[[#This Row],[Horas Planificadas]],0)</f>
        <v>#REF!</v>
      </c>
      <c r="V3933" s="43" t="e">
        <f>IF(Planning[[#This Row],[Horas Planificadas]]&lt;&gt;0,Planning[[#This Row],[Horas utilizadas]]/Planning[[#This Row],[Horas Planificadas]],0)</f>
        <v>#REF!</v>
      </c>
      <c r="W3933" s="44">
        <f>Planning[[#This Row],[Horas Planificadas]]+Planning[[#This Row],[Horas ajustadas adicionales]]</f>
        <v>12</v>
      </c>
      <c r="X3933" s="142"/>
    </row>
    <row r="3934" spans="1:24" x14ac:dyDescent="0.2">
      <c r="A3934" s="7" t="s">
        <v>435</v>
      </c>
      <c r="B3934" s="7" t="s">
        <v>205</v>
      </c>
      <c r="C3934" s="3"/>
      <c r="D3934" s="3" t="s">
        <v>694</v>
      </c>
      <c r="E3934" s="4" t="s">
        <v>31</v>
      </c>
      <c r="F3934" s="3" t="s">
        <v>31</v>
      </c>
      <c r="G3934" s="9">
        <v>61</v>
      </c>
      <c r="H3934" s="17">
        <f>Planning[[#This Row],[Horas Precálculo]]</f>
        <v>61</v>
      </c>
      <c r="I3934" s="18"/>
      <c r="J3934" s="14" t="e">
        <f>+SUMIFS(#REF!,#REF!,Planning[[#This Row],[Tarifa]],#REF!,Planning[[#This Row],[Proyectos]])</f>
        <v>#REF!</v>
      </c>
      <c r="K3934" s="14" t="e">
        <f>+Planning[[#This Row],[Horas Planificadas]]+Planning[[#This Row],[Horas ajustadas adicionales]]-Planning[[#This Row],[Horas utilizadas]]</f>
        <v>#REF!</v>
      </c>
      <c r="L3934" s="15">
        <v>0</v>
      </c>
      <c r="M3934" s="16" t="e">
        <f>Planning[[#This Row],[Saldo]]-Planning[[#This Row],[Saldo estimado]]</f>
        <v>#REF!</v>
      </c>
      <c r="N3934" s="60" t="e">
        <f>+SUMIFS(#REF!,#REF!,Planning[[#This Row],[Proyectos]],#REF!,Planning[[#This Row],[Tipo de Tarea y especialidad]])</f>
        <v>#REF!</v>
      </c>
      <c r="O3934" s="16">
        <f t="shared" si="122"/>
        <v>10</v>
      </c>
      <c r="P3934" s="16">
        <f t="shared" si="123"/>
        <v>2024</v>
      </c>
      <c r="Q3934" s="16" t="e">
        <f>+SUMIFS(#REF!,#REF!,Planning[[#This Row],[Tarifa]],#REF!,Planning[[#This Row],[Proyectos]],#REF!,Planning[[#This Row],[Mes]],#REF!,Planning[[#This Row],[Año]])</f>
        <v>#REF!</v>
      </c>
      <c r="R3934" s="16" t="str">
        <f>TEXT(Planning[[#This Row],[Mes]]*29,"mmmm")</f>
        <v>October</v>
      </c>
      <c r="S39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34" s="210"/>
      <c r="U3934" s="43" t="e">
        <f>IF(Planning[[#This Row],[Horas Planificadas]]&lt;&gt;0,+K3934/Planning[[#This Row],[Horas Planificadas]],0)</f>
        <v>#REF!</v>
      </c>
      <c r="V3934" s="43" t="e">
        <f>IF(Planning[[#This Row],[Horas Planificadas]]&lt;&gt;0,Planning[[#This Row],[Horas utilizadas]]/Planning[[#This Row],[Horas Planificadas]],0)</f>
        <v>#REF!</v>
      </c>
      <c r="W3934" s="44">
        <f>Planning[[#This Row],[Horas Planificadas]]+Planning[[#This Row],[Horas ajustadas adicionales]]</f>
        <v>61</v>
      </c>
      <c r="X3934" s="142"/>
    </row>
    <row r="3935" spans="1:24" ht="22.5" x14ac:dyDescent="0.2">
      <c r="A3935" s="7" t="s">
        <v>435</v>
      </c>
      <c r="B3935" s="7" t="s">
        <v>205</v>
      </c>
      <c r="C3935" s="3"/>
      <c r="D3935" s="3" t="s">
        <v>694</v>
      </c>
      <c r="E3935" s="4" t="s">
        <v>32</v>
      </c>
      <c r="F3935" s="3"/>
      <c r="G3935" s="9">
        <f>50+80</f>
        <v>130</v>
      </c>
      <c r="H3935" s="14">
        <f>SUM(H3936:H3938)</f>
        <v>130</v>
      </c>
      <c r="I3935" s="14"/>
      <c r="J3935" s="14" t="e">
        <f>SUM(J3936:J3938)</f>
        <v>#REF!</v>
      </c>
      <c r="K3935" s="14" t="e">
        <f>+Planning[[#This Row],[Horas Planificadas]]+Planning[[#This Row],[Horas ajustadas adicionales]]-Planning[[#This Row],[Horas utilizadas]]</f>
        <v>#REF!</v>
      </c>
      <c r="L3935" s="15">
        <f>SUM(L3936:L3938)</f>
        <v>0</v>
      </c>
      <c r="M3935" s="16" t="e">
        <f>SUM(M3936:M3938)</f>
        <v>#REF!</v>
      </c>
      <c r="N3935" s="60" t="e">
        <f>+SUMIFS(#REF!,#REF!,Planning[[#This Row],[Proyectos]],#REF!,Planning[[#This Row],[Tipo de Tarea y especialidad]])</f>
        <v>#REF!</v>
      </c>
      <c r="O3935" s="16">
        <f t="shared" si="122"/>
        <v>10</v>
      </c>
      <c r="P3935" s="16">
        <f t="shared" si="123"/>
        <v>2024</v>
      </c>
      <c r="Q3935" s="16" t="e">
        <f>SUM(Q3936:Q3938)</f>
        <v>#REF!</v>
      </c>
      <c r="R3935" s="16" t="str">
        <f>TEXT(Planning[[#This Row],[Mes]]*29,"mmmm")</f>
        <v>October</v>
      </c>
      <c r="S39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35" s="210"/>
      <c r="U3935" s="43" t="e">
        <f>IF(Planning[[#This Row],[Horas Planificadas]]&lt;&gt;0,+K3935/Planning[[#This Row],[Horas Planificadas]],0)</f>
        <v>#REF!</v>
      </c>
      <c r="V3935" s="43" t="e">
        <f>IF(Planning[[#This Row],[Horas Planificadas]]&lt;&gt;0,Planning[[#This Row],[Horas utilizadas]]/Planning[[#This Row],[Horas Planificadas]],0)</f>
        <v>#REF!</v>
      </c>
      <c r="W3935" s="44">
        <f>Planning[[#This Row],[Horas Planificadas]]+Planning[[#This Row],[Horas ajustadas adicionales]]</f>
        <v>130</v>
      </c>
      <c r="X3935" s="142"/>
    </row>
    <row r="3936" spans="1:24" x14ac:dyDescent="0.2">
      <c r="A3936" s="7" t="s">
        <v>435</v>
      </c>
      <c r="B3936" s="7" t="s">
        <v>205</v>
      </c>
      <c r="C3936" s="3"/>
      <c r="D3936" s="3" t="s">
        <v>694</v>
      </c>
      <c r="E3936" s="4"/>
      <c r="F3936" s="3" t="s">
        <v>129</v>
      </c>
      <c r="G3936" s="9"/>
      <c r="H3936" s="9">
        <v>30</v>
      </c>
      <c r="I3936" s="12"/>
      <c r="J3936" s="5" t="e">
        <f>SUM(SUMIFS(#REF!,#REF!,Planning[[#This Row],[Tipo de Tarea y especialidad]],#REF!,Planning[[#This Row],[Proyectos Reiwa]]),SUMIFS(#REF!,#REF!,Planning[[#This Row],[Tipo de Tarea y especialidad]],#REF!,Planning[[#This Row],[Proyectos]]))</f>
        <v>#REF!</v>
      </c>
      <c r="K3936" s="5" t="e">
        <f>+Planning[[#This Row],[Horas Planificadas]]+Planning[[#This Row],[Horas ajustadas adicionales]]-Planning[[#This Row],[Horas utilizadas]]</f>
        <v>#REF!</v>
      </c>
      <c r="L3936" s="7">
        <v>0</v>
      </c>
      <c r="M3936" s="19" t="e">
        <f>Planning[[#This Row],[Saldo]]-Planning[[#This Row],[Saldo estimado]]</f>
        <v>#REF!</v>
      </c>
      <c r="N3936" s="60" t="e">
        <f>+SUMIFS(#REF!,#REF!,Planning[[#This Row],[Proyectos]],#REF!,Planning[[#This Row],[Tipo de Tarea y especialidad]])</f>
        <v>#REF!</v>
      </c>
      <c r="O3936" s="19">
        <f t="shared" si="122"/>
        <v>10</v>
      </c>
      <c r="P3936" s="19">
        <f t="shared" si="123"/>
        <v>2024</v>
      </c>
      <c r="Q39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36" s="19" t="str">
        <f>TEXT(Planning[[#This Row],[Mes]]*29,"mmmm")</f>
        <v>October</v>
      </c>
      <c r="S39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36" s="210"/>
      <c r="U3936" s="43" t="e">
        <f>IF(Planning[[#This Row],[Horas Planificadas]]&lt;&gt;0,+K3936/Planning[[#This Row],[Horas Planificadas]],0)</f>
        <v>#REF!</v>
      </c>
      <c r="V3936" s="43" t="e">
        <f>IF(Planning[[#This Row],[Horas Planificadas]]&lt;&gt;0,Planning[[#This Row],[Horas utilizadas]]/Planning[[#This Row],[Horas Planificadas]],0)</f>
        <v>#REF!</v>
      </c>
      <c r="W3936" s="44">
        <f>Planning[[#This Row],[Horas Planificadas]]+Planning[[#This Row],[Horas ajustadas adicionales]]</f>
        <v>30</v>
      </c>
      <c r="X3936" s="142"/>
    </row>
    <row r="3937" spans="1:24" x14ac:dyDescent="0.2">
      <c r="A3937" s="7" t="s">
        <v>435</v>
      </c>
      <c r="B3937" s="7" t="s">
        <v>205</v>
      </c>
      <c r="C3937" s="3"/>
      <c r="D3937" s="3" t="s">
        <v>694</v>
      </c>
      <c r="E3937" s="4"/>
      <c r="F3937" s="3" t="s">
        <v>130</v>
      </c>
      <c r="G3937" s="9"/>
      <c r="H3937" s="9">
        <v>60</v>
      </c>
      <c r="I3937" s="12">
        <v>36</v>
      </c>
      <c r="J3937" s="5" t="e">
        <f>SUM(SUMIFS(#REF!,#REF!,Planning[[#This Row],[Tipo de Tarea y especialidad]],#REF!,Planning[[#This Row],[Proyectos Reiwa]]),SUMIFS(#REF!,#REF!,Planning[[#This Row],[Tipo de Tarea y especialidad]],#REF!,Planning[[#This Row],[Proyectos]]))</f>
        <v>#REF!</v>
      </c>
      <c r="K3937" s="5" t="e">
        <f>+Planning[[#This Row],[Horas Planificadas]]+Planning[[#This Row],[Horas ajustadas adicionales]]-Planning[[#This Row],[Horas utilizadas]]</f>
        <v>#REF!</v>
      </c>
      <c r="L3937" s="7">
        <v>0</v>
      </c>
      <c r="M3937" s="19" t="e">
        <f>Planning[[#This Row],[Saldo]]-Planning[[#This Row],[Saldo estimado]]</f>
        <v>#REF!</v>
      </c>
      <c r="N3937" s="60" t="e">
        <f>+SUMIFS(#REF!,#REF!,Planning[[#This Row],[Proyectos]],#REF!,Planning[[#This Row],[Tipo de Tarea y especialidad]])</f>
        <v>#REF!</v>
      </c>
      <c r="O3937" s="19">
        <f t="shared" si="122"/>
        <v>10</v>
      </c>
      <c r="P3937" s="19">
        <f t="shared" si="123"/>
        <v>2024</v>
      </c>
      <c r="Q39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37" s="19" t="str">
        <f>TEXT(Planning[[#This Row],[Mes]]*29,"mmmm")</f>
        <v>October</v>
      </c>
      <c r="S39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37" s="210"/>
      <c r="U3937" s="43" t="e">
        <f>IF(Planning[[#This Row],[Horas Planificadas]]&lt;&gt;0,+K3937/Planning[[#This Row],[Horas Planificadas]],0)</f>
        <v>#REF!</v>
      </c>
      <c r="V3937" s="43" t="e">
        <f>IF(Planning[[#This Row],[Horas Planificadas]]&lt;&gt;0,Planning[[#This Row],[Horas utilizadas]]/Planning[[#This Row],[Horas Planificadas]],0)</f>
        <v>#REF!</v>
      </c>
      <c r="W3937" s="44">
        <f>Planning[[#This Row],[Horas Planificadas]]+Planning[[#This Row],[Horas ajustadas adicionales]]</f>
        <v>96</v>
      </c>
      <c r="X3937" s="142"/>
    </row>
    <row r="3938" spans="1:24" x14ac:dyDescent="0.2">
      <c r="A3938" s="7" t="s">
        <v>435</v>
      </c>
      <c r="B3938" s="7" t="s">
        <v>205</v>
      </c>
      <c r="C3938" s="3"/>
      <c r="D3938" s="3" t="s">
        <v>694</v>
      </c>
      <c r="E3938" s="4"/>
      <c r="F3938" s="3" t="s">
        <v>131</v>
      </c>
      <c r="G3938" s="9"/>
      <c r="H3938" s="9">
        <v>40</v>
      </c>
      <c r="I3938" s="12"/>
      <c r="J3938" s="5" t="e">
        <f>SUM(SUMIFS(#REF!,#REF!,Planning[[#This Row],[Tipo de Tarea y especialidad]],#REF!,Planning[[#This Row],[Proyectos Reiwa]]),SUMIFS(#REF!,#REF!,Planning[[#This Row],[Tipo de Tarea y especialidad]],#REF!,Planning[[#This Row],[Proyectos]]))</f>
        <v>#REF!</v>
      </c>
      <c r="K3938" s="5" t="e">
        <f>+Planning[[#This Row],[Horas Planificadas]]+Planning[[#This Row],[Horas ajustadas adicionales]]-Planning[[#This Row],[Horas utilizadas]]</f>
        <v>#REF!</v>
      </c>
      <c r="L3938" s="7">
        <v>0</v>
      </c>
      <c r="M3938" s="19" t="e">
        <f>Planning[[#This Row],[Saldo]]-Planning[[#This Row],[Saldo estimado]]</f>
        <v>#REF!</v>
      </c>
      <c r="N3938" s="60" t="e">
        <f>+SUMIFS(#REF!,#REF!,Planning[[#This Row],[Proyectos]],#REF!,Planning[[#This Row],[Tipo de Tarea y especialidad]])</f>
        <v>#REF!</v>
      </c>
      <c r="O3938" s="19">
        <f t="shared" si="122"/>
        <v>10</v>
      </c>
      <c r="P3938" s="19">
        <f t="shared" si="123"/>
        <v>2024</v>
      </c>
      <c r="Q39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38" s="19" t="str">
        <f>TEXT(Planning[[#This Row],[Mes]]*29,"mmmm")</f>
        <v>October</v>
      </c>
      <c r="S39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38" s="210"/>
      <c r="U3938" s="43" t="e">
        <f>IF(Planning[[#This Row],[Horas Planificadas]]&lt;&gt;0,+K3938/Planning[[#This Row],[Horas Planificadas]],0)</f>
        <v>#REF!</v>
      </c>
      <c r="V3938" s="43" t="e">
        <f>IF(Planning[[#This Row],[Horas Planificadas]]&lt;&gt;0,Planning[[#This Row],[Horas utilizadas]]/Planning[[#This Row],[Horas Planificadas]],0)</f>
        <v>#REF!</v>
      </c>
      <c r="W3938" s="44">
        <f>Planning[[#This Row],[Horas Planificadas]]+Planning[[#This Row],[Horas ajustadas adicionales]]</f>
        <v>40</v>
      </c>
      <c r="X3938" s="142"/>
    </row>
    <row r="3939" spans="1:24" ht="22.5" x14ac:dyDescent="0.2">
      <c r="A3939" s="7" t="s">
        <v>435</v>
      </c>
      <c r="B3939" s="7" t="s">
        <v>205</v>
      </c>
      <c r="C3939" s="3"/>
      <c r="D3939" s="3" t="s">
        <v>696</v>
      </c>
      <c r="E3939" s="4" t="s">
        <v>28</v>
      </c>
      <c r="F3939" s="3"/>
      <c r="G3939" s="9">
        <v>80</v>
      </c>
      <c r="H3939" s="14">
        <f>SUM(H3940:H3941)</f>
        <v>80</v>
      </c>
      <c r="I3939" s="14"/>
      <c r="J3939" s="14" t="e">
        <f>SUM(J3940:J3941)</f>
        <v>#REF!</v>
      </c>
      <c r="K3939" s="14" t="e">
        <f>+Planning[[#This Row],[Horas Planificadas]]+Planning[[#This Row],[Horas ajustadas adicionales]]-Planning[[#This Row],[Horas utilizadas]]</f>
        <v>#REF!</v>
      </c>
      <c r="L3939" s="15">
        <f>SUM(L3940:L3941)</f>
        <v>0</v>
      </c>
      <c r="M3939" s="14" t="e">
        <f>SUM(M3940:M3941)</f>
        <v>#REF!</v>
      </c>
      <c r="N3939" s="66" t="e">
        <f>+SUMIFS(#REF!,#REF!,Planning[[#This Row],[Proyectos]],#REF!,Planning[[#This Row],[Tipo de Tarea y especialidad]])</f>
        <v>#REF!</v>
      </c>
      <c r="O3939" s="14">
        <f t="shared" si="122"/>
        <v>10</v>
      </c>
      <c r="P3939" s="14">
        <f t="shared" si="123"/>
        <v>2024</v>
      </c>
      <c r="Q3939" s="28" t="e">
        <f>SUM(Q3940:Q3941)</f>
        <v>#REF!</v>
      </c>
      <c r="R3939" s="28" t="str">
        <f>TEXT(Planning[[#This Row],[Mes]]*29,"mmmm")</f>
        <v>October</v>
      </c>
      <c r="S39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39" s="220" t="s">
        <v>697</v>
      </c>
      <c r="U3939" s="43" t="e">
        <f>IF(Planning[[#This Row],[Horas Planificadas]]&lt;&gt;0,+K3939/Planning[[#This Row],[Horas Planificadas]],0)</f>
        <v>#REF!</v>
      </c>
      <c r="V3939" s="43" t="e">
        <f>IF(Planning[[#This Row],[Horas Planificadas]]&lt;&gt;0,Planning[[#This Row],[Horas utilizadas]]/Planning[[#This Row],[Horas Planificadas]],0)</f>
        <v>#REF!</v>
      </c>
      <c r="W3939" s="44">
        <f>Planning[[#This Row],[Horas Planificadas]]+Planning[[#This Row],[Horas ajustadas adicionales]]</f>
        <v>80</v>
      </c>
      <c r="X3939" s="142"/>
    </row>
    <row r="3940" spans="1:24" x14ac:dyDescent="0.2">
      <c r="A3940" s="7" t="s">
        <v>435</v>
      </c>
      <c r="B3940" s="7" t="s">
        <v>205</v>
      </c>
      <c r="C3940" s="3"/>
      <c r="D3940" s="3" t="s">
        <v>696</v>
      </c>
      <c r="E3940" s="4"/>
      <c r="F3940" s="3" t="s">
        <v>120</v>
      </c>
      <c r="G3940" s="9"/>
      <c r="H3940" s="9"/>
      <c r="I3940" s="12"/>
      <c r="J3940" s="5" t="e">
        <f>SUM(SUMIFS(#REF!,#REF!,Planning[[#This Row],[Tipo de Tarea y especialidad]],#REF!,Planning[[#This Row],[Proyectos Reiwa]]),SUMIFS(#REF!,#REF!,Planning[[#This Row],[Tipo de Tarea y especialidad]],#REF!,Planning[[#This Row],[Proyectos]]))</f>
        <v>#REF!</v>
      </c>
      <c r="K3940" s="5" t="e">
        <f>+Planning[[#This Row],[Horas Planificadas]]+Planning[[#This Row],[Horas ajustadas adicionales]]-Planning[[#This Row],[Horas utilizadas]]</f>
        <v>#REF!</v>
      </c>
      <c r="L3940" s="7"/>
      <c r="M3940" s="19" t="e">
        <f>Planning[[#This Row],[Saldo]]-Planning[[#This Row],[Saldo estimado]]</f>
        <v>#REF!</v>
      </c>
      <c r="N3940" s="60" t="e">
        <f>+SUMIFS(#REF!,#REF!,Planning[[#This Row],[Proyectos]],#REF!,Planning[[#This Row],[Tipo de Tarea y especialidad]])</f>
        <v>#REF!</v>
      </c>
      <c r="O3940" s="19">
        <f t="shared" si="122"/>
        <v>10</v>
      </c>
      <c r="P3940" s="19">
        <f t="shared" si="123"/>
        <v>2024</v>
      </c>
      <c r="Q39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40" s="19" t="str">
        <f>TEXT(Planning[[#This Row],[Mes]]*29,"mmmm")</f>
        <v>October</v>
      </c>
      <c r="S39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40" s="210"/>
      <c r="U3940" s="43">
        <f>IF(Planning[[#This Row],[Horas Planificadas]]&lt;&gt;0,+K3940/Planning[[#This Row],[Horas Planificadas]],0)</f>
        <v>0</v>
      </c>
      <c r="V3940" s="43">
        <f>IF(Planning[[#This Row],[Horas Planificadas]]&lt;&gt;0,Planning[[#This Row],[Horas utilizadas]]/Planning[[#This Row],[Horas Planificadas]],0)</f>
        <v>0</v>
      </c>
      <c r="W3940" s="44">
        <f>Planning[[#This Row],[Horas Planificadas]]+Planning[[#This Row],[Horas ajustadas adicionales]]</f>
        <v>0</v>
      </c>
      <c r="X3940" s="142"/>
    </row>
    <row r="3941" spans="1:24" x14ac:dyDescent="0.2">
      <c r="A3941" s="7" t="s">
        <v>435</v>
      </c>
      <c r="B3941" s="7" t="s">
        <v>205</v>
      </c>
      <c r="C3941" s="3"/>
      <c r="D3941" s="3" t="s">
        <v>696</v>
      </c>
      <c r="E3941" s="4"/>
      <c r="F3941" s="3" t="s">
        <v>121</v>
      </c>
      <c r="G3941" s="9"/>
      <c r="H3941" s="9">
        <v>80</v>
      </c>
      <c r="I3941" s="12"/>
      <c r="J3941" s="5" t="e">
        <f>SUM(SUMIFS(#REF!,#REF!,Planning[[#This Row],[Tipo de Tarea y especialidad]],#REF!,Planning[[#This Row],[Proyectos Reiwa]]),SUMIFS(#REF!,#REF!,Planning[[#This Row],[Tipo de Tarea y especialidad]],#REF!,Planning[[#This Row],[Proyectos]]))</f>
        <v>#REF!</v>
      </c>
      <c r="K3941" s="5" t="e">
        <f>+Planning[[#This Row],[Horas Planificadas]]+Planning[[#This Row],[Horas ajustadas adicionales]]-Planning[[#This Row],[Horas utilizadas]]</f>
        <v>#REF!</v>
      </c>
      <c r="L3941" s="7">
        <v>0</v>
      </c>
      <c r="M3941" s="19" t="e">
        <f>Planning[[#This Row],[Saldo]]-Planning[[#This Row],[Saldo estimado]]</f>
        <v>#REF!</v>
      </c>
      <c r="N3941" s="60" t="e">
        <f>+SUMIFS(#REF!,#REF!,Planning[[#This Row],[Proyectos]],#REF!,Planning[[#This Row],[Tipo de Tarea y especialidad]])</f>
        <v>#REF!</v>
      </c>
      <c r="O3941" s="19">
        <f t="shared" si="122"/>
        <v>10</v>
      </c>
      <c r="P3941" s="19">
        <f t="shared" si="123"/>
        <v>2024</v>
      </c>
      <c r="Q39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41" s="19" t="str">
        <f>TEXT(Planning[[#This Row],[Mes]]*29,"mmmm")</f>
        <v>October</v>
      </c>
      <c r="S39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41" s="210"/>
      <c r="U3941" s="43" t="e">
        <f>IF(Planning[[#This Row],[Horas Planificadas]]&lt;&gt;0,+K3941/Planning[[#This Row],[Horas Planificadas]],0)</f>
        <v>#REF!</v>
      </c>
      <c r="V3941" s="43" t="e">
        <f>IF(Planning[[#This Row],[Horas Planificadas]]&lt;&gt;0,Planning[[#This Row],[Horas utilizadas]]/Planning[[#This Row],[Horas Planificadas]],0)</f>
        <v>#REF!</v>
      </c>
      <c r="W3941" s="44">
        <f>Planning[[#This Row],[Horas Planificadas]]+Planning[[#This Row],[Horas ajustadas adicionales]]</f>
        <v>80</v>
      </c>
      <c r="X3941" s="142"/>
    </row>
    <row r="3942" spans="1:24" x14ac:dyDescent="0.2">
      <c r="A3942" s="7" t="s">
        <v>435</v>
      </c>
      <c r="B3942" s="7" t="s">
        <v>205</v>
      </c>
      <c r="C3942" s="3"/>
      <c r="D3942" s="3" t="s">
        <v>696</v>
      </c>
      <c r="E3942" s="4" t="s">
        <v>30</v>
      </c>
      <c r="F3942" s="3"/>
      <c r="G3942" s="9">
        <v>170</v>
      </c>
      <c r="H3942" s="14">
        <f>SUM(H3943:H3949)</f>
        <v>170</v>
      </c>
      <c r="I3942" s="14"/>
      <c r="J3942" s="14" t="e">
        <f>SUM(J3943:J3949)</f>
        <v>#REF!</v>
      </c>
      <c r="K3942" s="14" t="e">
        <f>+Planning[[#This Row],[Horas Planificadas]]+Planning[[#This Row],[Horas ajustadas adicionales]]-Planning[[#This Row],[Horas utilizadas]]</f>
        <v>#REF!</v>
      </c>
      <c r="L3942" s="15">
        <f>SUM(L3943:L3949)</f>
        <v>0</v>
      </c>
      <c r="M3942" s="16" t="e">
        <f>SUM(M3943:M3949)</f>
        <v>#REF!</v>
      </c>
      <c r="N3942" s="60" t="e">
        <f>+SUMIFS(#REF!,#REF!,Planning[[#This Row],[Proyectos]],#REF!,Planning[[#This Row],[Tipo de Tarea y especialidad]])</f>
        <v>#REF!</v>
      </c>
      <c r="O3942" s="16">
        <f t="shared" si="122"/>
        <v>10</v>
      </c>
      <c r="P3942" s="16">
        <f t="shared" si="123"/>
        <v>2024</v>
      </c>
      <c r="Q3942" s="16" t="e">
        <f>SUM(Q3943:Q3949)</f>
        <v>#REF!</v>
      </c>
      <c r="R3942" s="16" t="str">
        <f>TEXT(Planning[[#This Row],[Mes]]*29,"mmmm")</f>
        <v>October</v>
      </c>
      <c r="S39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42" s="210"/>
      <c r="U3942" s="43" t="e">
        <f>IF(Planning[[#This Row],[Horas Planificadas]]&lt;&gt;0,+K3942/Planning[[#This Row],[Horas Planificadas]],0)</f>
        <v>#REF!</v>
      </c>
      <c r="V3942" s="43" t="e">
        <f>IF(Planning[[#This Row],[Horas Planificadas]]&lt;&gt;0,Planning[[#This Row],[Horas utilizadas]]/Planning[[#This Row],[Horas Planificadas]],0)</f>
        <v>#REF!</v>
      </c>
      <c r="W3942" s="44">
        <f>Planning[[#This Row],[Horas Planificadas]]+Planning[[#This Row],[Horas ajustadas adicionales]]</f>
        <v>170</v>
      </c>
      <c r="X3942" s="142"/>
    </row>
    <row r="3943" spans="1:24" x14ac:dyDescent="0.2">
      <c r="A3943" s="7" t="s">
        <v>435</v>
      </c>
      <c r="B3943" s="7" t="s">
        <v>205</v>
      </c>
      <c r="C3943" s="3"/>
      <c r="D3943" s="3" t="s">
        <v>696</v>
      </c>
      <c r="E3943" s="4"/>
      <c r="F3943" s="3" t="s">
        <v>122</v>
      </c>
      <c r="G3943" s="9"/>
      <c r="H3943" s="9"/>
      <c r="I3943" s="12"/>
      <c r="J3943" s="5" t="e">
        <f>SUM(SUMIFS(#REF!,#REF!,Planning[[#This Row],[Tipo de Tarea y especialidad]],#REF!,Planning[[#This Row],[Proyectos Reiwa]]),SUMIFS(#REF!,#REF!,Planning[[#This Row],[Tipo de Tarea y especialidad]],#REF!,Planning[[#This Row],[Proyectos]]))</f>
        <v>#REF!</v>
      </c>
      <c r="K3943" s="5" t="e">
        <f>+Planning[[#This Row],[Horas Planificadas]]+Planning[[#This Row],[Horas ajustadas adicionales]]-Planning[[#This Row],[Horas utilizadas]]</f>
        <v>#REF!</v>
      </c>
      <c r="L3943" s="7"/>
      <c r="M3943" s="19" t="e">
        <f>Planning[[#This Row],[Saldo]]-Planning[[#This Row],[Saldo estimado]]</f>
        <v>#REF!</v>
      </c>
      <c r="N3943" s="60" t="e">
        <f>+SUMIFS(#REF!,#REF!,Planning[[#This Row],[Proyectos]],#REF!,Planning[[#This Row],[Tipo de Tarea y especialidad]])</f>
        <v>#REF!</v>
      </c>
      <c r="O3943" s="19">
        <f t="shared" si="122"/>
        <v>10</v>
      </c>
      <c r="P3943" s="19">
        <f t="shared" si="123"/>
        <v>2024</v>
      </c>
      <c r="Q39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43" s="19" t="str">
        <f>TEXT(Planning[[#This Row],[Mes]]*29,"mmmm")</f>
        <v>October</v>
      </c>
      <c r="S39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43" s="210"/>
      <c r="U3943" s="43">
        <f>IF(Planning[[#This Row],[Horas Planificadas]]&lt;&gt;0,+K3943/Planning[[#This Row],[Horas Planificadas]],0)</f>
        <v>0</v>
      </c>
      <c r="V3943" s="43">
        <f>IF(Planning[[#This Row],[Horas Planificadas]]&lt;&gt;0,Planning[[#This Row],[Horas utilizadas]]/Planning[[#This Row],[Horas Planificadas]],0)</f>
        <v>0</v>
      </c>
      <c r="W3943" s="44">
        <f>Planning[[#This Row],[Horas Planificadas]]+Planning[[#This Row],[Horas ajustadas adicionales]]</f>
        <v>0</v>
      </c>
      <c r="X3943" s="142"/>
    </row>
    <row r="3944" spans="1:24" x14ac:dyDescent="0.2">
      <c r="A3944" s="7" t="s">
        <v>435</v>
      </c>
      <c r="B3944" s="7" t="s">
        <v>205</v>
      </c>
      <c r="C3944" s="3"/>
      <c r="D3944" s="3" t="s">
        <v>696</v>
      </c>
      <c r="E3944" s="4"/>
      <c r="F3944" s="3" t="s">
        <v>123</v>
      </c>
      <c r="G3944" s="9"/>
      <c r="H3944" s="9">
        <v>72</v>
      </c>
      <c r="I3944" s="12"/>
      <c r="J3944" s="5" t="e">
        <f>SUM(SUMIFS(#REF!,#REF!,Planning[[#This Row],[Tipo de Tarea y especialidad]],#REF!,Planning[[#This Row],[Proyectos Reiwa]]),SUMIFS(#REF!,#REF!,Planning[[#This Row],[Tipo de Tarea y especialidad]],#REF!,Planning[[#This Row],[Proyectos]]))</f>
        <v>#REF!</v>
      </c>
      <c r="K3944" s="5" t="e">
        <f>+Planning[[#This Row],[Horas Planificadas]]+Planning[[#This Row],[Horas ajustadas adicionales]]-Planning[[#This Row],[Horas utilizadas]]</f>
        <v>#REF!</v>
      </c>
      <c r="L3944" s="7">
        <v>0</v>
      </c>
      <c r="M3944" s="19" t="e">
        <f>Planning[[#This Row],[Saldo]]-Planning[[#This Row],[Saldo estimado]]</f>
        <v>#REF!</v>
      </c>
      <c r="N3944" s="60" t="e">
        <f>+SUMIFS(#REF!,#REF!,Planning[[#This Row],[Proyectos]],#REF!,Planning[[#This Row],[Tipo de Tarea y especialidad]])</f>
        <v>#REF!</v>
      </c>
      <c r="O3944" s="19">
        <f t="shared" si="122"/>
        <v>10</v>
      </c>
      <c r="P3944" s="19">
        <f t="shared" si="123"/>
        <v>2024</v>
      </c>
      <c r="Q39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44" s="19" t="str">
        <f>TEXT(Planning[[#This Row],[Mes]]*29,"mmmm")</f>
        <v>October</v>
      </c>
      <c r="S39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44" s="210"/>
      <c r="U3944" s="43" t="e">
        <f>IF(Planning[[#This Row],[Horas Planificadas]]&lt;&gt;0,+K3944/Planning[[#This Row],[Horas Planificadas]],0)</f>
        <v>#REF!</v>
      </c>
      <c r="V3944" s="43" t="e">
        <f>IF(Planning[[#This Row],[Horas Planificadas]]&lt;&gt;0,Planning[[#This Row],[Horas utilizadas]]/Planning[[#This Row],[Horas Planificadas]],0)</f>
        <v>#REF!</v>
      </c>
      <c r="W3944" s="44">
        <f>Planning[[#This Row],[Horas Planificadas]]+Planning[[#This Row],[Horas ajustadas adicionales]]</f>
        <v>72</v>
      </c>
      <c r="X3944" s="142"/>
    </row>
    <row r="3945" spans="1:24" x14ac:dyDescent="0.2">
      <c r="A3945" s="7" t="s">
        <v>435</v>
      </c>
      <c r="B3945" s="7" t="s">
        <v>205</v>
      </c>
      <c r="C3945" s="3"/>
      <c r="D3945" s="3" t="s">
        <v>696</v>
      </c>
      <c r="E3945" s="4"/>
      <c r="F3945" s="3" t="s">
        <v>124</v>
      </c>
      <c r="G3945" s="9"/>
      <c r="H3945" s="9"/>
      <c r="I3945" s="12"/>
      <c r="J3945" s="5" t="e">
        <f>SUM(SUMIFS(#REF!,#REF!,Planning[[#This Row],[Tipo de Tarea y especialidad]],#REF!,Planning[[#This Row],[Proyectos Reiwa]]),SUMIFS(#REF!,#REF!,Planning[[#This Row],[Tipo de Tarea y especialidad]],#REF!,Planning[[#This Row],[Proyectos]]))</f>
        <v>#REF!</v>
      </c>
      <c r="K3945" s="5" t="e">
        <f>+Planning[[#This Row],[Horas Planificadas]]+Planning[[#This Row],[Horas ajustadas adicionales]]-Planning[[#This Row],[Horas utilizadas]]</f>
        <v>#REF!</v>
      </c>
      <c r="L3945" s="7"/>
      <c r="M3945" s="19" t="e">
        <f>Planning[[#This Row],[Saldo]]-Planning[[#This Row],[Saldo estimado]]</f>
        <v>#REF!</v>
      </c>
      <c r="N3945" s="60" t="e">
        <f>+SUMIFS(#REF!,#REF!,Planning[[#This Row],[Proyectos]],#REF!,Planning[[#This Row],[Tipo de Tarea y especialidad]])</f>
        <v>#REF!</v>
      </c>
      <c r="O3945" s="19">
        <f t="shared" si="122"/>
        <v>10</v>
      </c>
      <c r="P3945" s="19">
        <f t="shared" si="123"/>
        <v>2024</v>
      </c>
      <c r="Q39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45" s="19" t="str">
        <f>TEXT(Planning[[#This Row],[Mes]]*29,"mmmm")</f>
        <v>October</v>
      </c>
      <c r="S39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45" s="210"/>
      <c r="U3945" s="43">
        <f>IF(Planning[[#This Row],[Horas Planificadas]]&lt;&gt;0,+K3945/Planning[[#This Row],[Horas Planificadas]],0)</f>
        <v>0</v>
      </c>
      <c r="V3945" s="43">
        <f>IF(Planning[[#This Row],[Horas Planificadas]]&lt;&gt;0,Planning[[#This Row],[Horas utilizadas]]/Planning[[#This Row],[Horas Planificadas]],0)</f>
        <v>0</v>
      </c>
      <c r="W3945" s="44">
        <f>Planning[[#This Row],[Horas Planificadas]]+Planning[[#This Row],[Horas ajustadas adicionales]]</f>
        <v>0</v>
      </c>
      <c r="X3945" s="142"/>
    </row>
    <row r="3946" spans="1:24" x14ac:dyDescent="0.2">
      <c r="A3946" s="7" t="s">
        <v>435</v>
      </c>
      <c r="B3946" s="7" t="s">
        <v>205</v>
      </c>
      <c r="C3946" s="3"/>
      <c r="D3946" s="3" t="s">
        <v>696</v>
      </c>
      <c r="E3946" s="4"/>
      <c r="F3946" s="3" t="s">
        <v>125</v>
      </c>
      <c r="G3946" s="9"/>
      <c r="H3946" s="9">
        <v>51</v>
      </c>
      <c r="I3946" s="12"/>
      <c r="J3946" s="5" t="e">
        <f>SUM(SUMIFS(#REF!,#REF!,Planning[[#This Row],[Tipo de Tarea y especialidad]],#REF!,Planning[[#This Row],[Proyectos Reiwa]]),SUMIFS(#REF!,#REF!,Planning[[#This Row],[Tipo de Tarea y especialidad]],#REF!,Planning[[#This Row],[Proyectos]]))</f>
        <v>#REF!</v>
      </c>
      <c r="K3946" s="5" t="e">
        <f>+Planning[[#This Row],[Horas Planificadas]]+Planning[[#This Row],[Horas ajustadas adicionales]]-Planning[[#This Row],[Horas utilizadas]]</f>
        <v>#REF!</v>
      </c>
      <c r="L3946" s="7">
        <v>0</v>
      </c>
      <c r="M3946" s="19" t="e">
        <f>Planning[[#This Row],[Saldo]]-Planning[[#This Row],[Saldo estimado]]</f>
        <v>#REF!</v>
      </c>
      <c r="N3946" s="60" t="e">
        <f>+SUMIFS(#REF!,#REF!,Planning[[#This Row],[Proyectos]],#REF!,Planning[[#This Row],[Tipo de Tarea y especialidad]])</f>
        <v>#REF!</v>
      </c>
      <c r="O3946" s="19">
        <f t="shared" si="122"/>
        <v>10</v>
      </c>
      <c r="P3946" s="19">
        <f t="shared" si="123"/>
        <v>2024</v>
      </c>
      <c r="Q39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46" s="19" t="str">
        <f>TEXT(Planning[[#This Row],[Mes]]*29,"mmmm")</f>
        <v>October</v>
      </c>
      <c r="S39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46" s="210"/>
      <c r="U3946" s="43" t="e">
        <f>IF(Planning[[#This Row],[Horas Planificadas]]&lt;&gt;0,+K3946/Planning[[#This Row],[Horas Planificadas]],0)</f>
        <v>#REF!</v>
      </c>
      <c r="V3946" s="43" t="e">
        <f>IF(Planning[[#This Row],[Horas Planificadas]]&lt;&gt;0,Planning[[#This Row],[Horas utilizadas]]/Planning[[#This Row],[Horas Planificadas]],0)</f>
        <v>#REF!</v>
      </c>
      <c r="W3946" s="44">
        <f>Planning[[#This Row],[Horas Planificadas]]+Planning[[#This Row],[Horas ajustadas adicionales]]</f>
        <v>51</v>
      </c>
      <c r="X3946" s="142"/>
    </row>
    <row r="3947" spans="1:24" x14ac:dyDescent="0.2">
      <c r="A3947" s="7" t="s">
        <v>435</v>
      </c>
      <c r="B3947" s="7" t="s">
        <v>205</v>
      </c>
      <c r="C3947" s="3"/>
      <c r="D3947" s="3" t="s">
        <v>696</v>
      </c>
      <c r="E3947" s="4"/>
      <c r="F3947" s="3" t="s">
        <v>126</v>
      </c>
      <c r="G3947" s="9"/>
      <c r="H3947" s="9"/>
      <c r="I3947" s="12"/>
      <c r="J3947" s="5" t="e">
        <f>SUM(SUMIFS(#REF!,#REF!,Planning[[#This Row],[Tipo de Tarea y especialidad]],#REF!,Planning[[#This Row],[Proyectos Reiwa]]),SUMIFS(#REF!,#REF!,Planning[[#This Row],[Tipo de Tarea y especialidad]],#REF!,Planning[[#This Row],[Proyectos]]))</f>
        <v>#REF!</v>
      </c>
      <c r="K3947" s="5" t="e">
        <f>+Planning[[#This Row],[Horas Planificadas]]+Planning[[#This Row],[Horas ajustadas adicionales]]-Planning[[#This Row],[Horas utilizadas]]</f>
        <v>#REF!</v>
      </c>
      <c r="L3947" s="7"/>
      <c r="M3947" s="19" t="e">
        <f>Planning[[#This Row],[Saldo]]-Planning[[#This Row],[Saldo estimado]]</f>
        <v>#REF!</v>
      </c>
      <c r="N3947" s="60" t="e">
        <f>+SUMIFS(#REF!,#REF!,Planning[[#This Row],[Proyectos]],#REF!,Planning[[#This Row],[Tipo de Tarea y especialidad]])</f>
        <v>#REF!</v>
      </c>
      <c r="O3947" s="19">
        <f t="shared" si="122"/>
        <v>10</v>
      </c>
      <c r="P3947" s="19">
        <f t="shared" si="123"/>
        <v>2024</v>
      </c>
      <c r="Q39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47" s="19" t="str">
        <f>TEXT(Planning[[#This Row],[Mes]]*29,"mmmm")</f>
        <v>October</v>
      </c>
      <c r="S39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47" s="210"/>
      <c r="U3947" s="43">
        <f>IF(Planning[[#This Row],[Horas Planificadas]]&lt;&gt;0,+K3947/Planning[[#This Row],[Horas Planificadas]],0)</f>
        <v>0</v>
      </c>
      <c r="V3947" s="43">
        <f>IF(Planning[[#This Row],[Horas Planificadas]]&lt;&gt;0,Planning[[#This Row],[Horas utilizadas]]/Planning[[#This Row],[Horas Planificadas]],0)</f>
        <v>0</v>
      </c>
      <c r="W3947" s="44">
        <f>Planning[[#This Row],[Horas Planificadas]]+Planning[[#This Row],[Horas ajustadas adicionales]]</f>
        <v>0</v>
      </c>
      <c r="X3947" s="142"/>
    </row>
    <row r="3948" spans="1:24" x14ac:dyDescent="0.2">
      <c r="A3948" s="7" t="s">
        <v>435</v>
      </c>
      <c r="B3948" s="7" t="s">
        <v>205</v>
      </c>
      <c r="C3948" s="3"/>
      <c r="D3948" s="3" t="s">
        <v>696</v>
      </c>
      <c r="E3948" s="4"/>
      <c r="F3948" s="3" t="s">
        <v>127</v>
      </c>
      <c r="G3948" s="9"/>
      <c r="H3948" s="9">
        <v>47</v>
      </c>
      <c r="I3948" s="12"/>
      <c r="J3948" s="5" t="e">
        <f>SUM(SUMIFS(#REF!,#REF!,Planning[[#This Row],[Tipo de Tarea y especialidad]],#REF!,Planning[[#This Row],[Proyectos Reiwa]]),SUMIFS(#REF!,#REF!,Planning[[#This Row],[Tipo de Tarea y especialidad]],#REF!,Planning[[#This Row],[Proyectos]]))</f>
        <v>#REF!</v>
      </c>
      <c r="K3948" s="5" t="e">
        <f>+Planning[[#This Row],[Horas Planificadas]]+Planning[[#This Row],[Horas ajustadas adicionales]]-Planning[[#This Row],[Horas utilizadas]]</f>
        <v>#REF!</v>
      </c>
      <c r="L3948" s="7">
        <v>0</v>
      </c>
      <c r="M3948" s="19" t="e">
        <f>Planning[[#This Row],[Saldo]]-Planning[[#This Row],[Saldo estimado]]</f>
        <v>#REF!</v>
      </c>
      <c r="N3948" s="60" t="e">
        <f>+SUMIFS(#REF!,#REF!,Planning[[#This Row],[Proyectos]],#REF!,Planning[[#This Row],[Tipo de Tarea y especialidad]])</f>
        <v>#REF!</v>
      </c>
      <c r="O3948" s="19">
        <f t="shared" si="122"/>
        <v>10</v>
      </c>
      <c r="P3948" s="19">
        <f t="shared" si="123"/>
        <v>2024</v>
      </c>
      <c r="Q39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48" s="19" t="str">
        <f>TEXT(Planning[[#This Row],[Mes]]*29,"mmmm")</f>
        <v>October</v>
      </c>
      <c r="S39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48" s="210"/>
      <c r="U3948" s="43" t="e">
        <f>IF(Planning[[#This Row],[Horas Planificadas]]&lt;&gt;0,+K3948/Planning[[#This Row],[Horas Planificadas]],0)</f>
        <v>#REF!</v>
      </c>
      <c r="V3948" s="43" t="e">
        <f>IF(Planning[[#This Row],[Horas Planificadas]]&lt;&gt;0,Planning[[#This Row],[Horas utilizadas]]/Planning[[#This Row],[Horas Planificadas]],0)</f>
        <v>#REF!</v>
      </c>
      <c r="W3948" s="44">
        <f>Planning[[#This Row],[Horas Planificadas]]+Planning[[#This Row],[Horas ajustadas adicionales]]</f>
        <v>47</v>
      </c>
      <c r="X3948" s="142"/>
    </row>
    <row r="3949" spans="1:24" x14ac:dyDescent="0.2">
      <c r="A3949" s="7" t="s">
        <v>435</v>
      </c>
      <c r="B3949" s="7" t="s">
        <v>205</v>
      </c>
      <c r="C3949" s="3"/>
      <c r="D3949" s="3" t="s">
        <v>696</v>
      </c>
      <c r="E3949" s="4"/>
      <c r="F3949" s="3" t="s">
        <v>128</v>
      </c>
      <c r="G3949" s="9"/>
      <c r="H3949" s="9"/>
      <c r="I3949" s="12"/>
      <c r="J3949" s="5" t="e">
        <f>SUM(SUMIFS(#REF!,#REF!,Planning[[#This Row],[Tipo de Tarea y especialidad]],#REF!,Planning[[#This Row],[Proyectos Reiwa]]),SUMIFS(#REF!,#REF!,Planning[[#This Row],[Tipo de Tarea y especialidad]],#REF!,Planning[[#This Row],[Proyectos]]))</f>
        <v>#REF!</v>
      </c>
      <c r="K3949" s="5" t="e">
        <f>+Planning[[#This Row],[Horas Planificadas]]+Planning[[#This Row],[Horas ajustadas adicionales]]-Planning[[#This Row],[Horas utilizadas]]</f>
        <v>#REF!</v>
      </c>
      <c r="L3949" s="7"/>
      <c r="M3949" s="19" t="e">
        <f>Planning[[#This Row],[Saldo]]-Planning[[#This Row],[Saldo estimado]]</f>
        <v>#REF!</v>
      </c>
      <c r="N3949" s="60" t="e">
        <f>+SUMIFS(#REF!,#REF!,Planning[[#This Row],[Proyectos]],#REF!,Planning[[#This Row],[Tipo de Tarea y especialidad]])</f>
        <v>#REF!</v>
      </c>
      <c r="O3949" s="19">
        <f t="shared" si="122"/>
        <v>10</v>
      </c>
      <c r="P3949" s="19">
        <f t="shared" si="123"/>
        <v>2024</v>
      </c>
      <c r="Q39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49" s="19" t="str">
        <f>TEXT(Planning[[#This Row],[Mes]]*29,"mmmm")</f>
        <v>October</v>
      </c>
      <c r="S39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49" s="210"/>
      <c r="U3949" s="43">
        <f>IF(Planning[[#This Row],[Horas Planificadas]]&lt;&gt;0,+K3949/Planning[[#This Row],[Horas Planificadas]],0)</f>
        <v>0</v>
      </c>
      <c r="V3949" s="43">
        <f>IF(Planning[[#This Row],[Horas Planificadas]]&lt;&gt;0,Planning[[#This Row],[Horas utilizadas]]/Planning[[#This Row],[Horas Planificadas]],0)</f>
        <v>0</v>
      </c>
      <c r="W3949" s="44">
        <f>Planning[[#This Row],[Horas Planificadas]]+Planning[[#This Row],[Horas ajustadas adicionales]]</f>
        <v>0</v>
      </c>
      <c r="X3949" s="142"/>
    </row>
    <row r="3950" spans="1:24" x14ac:dyDescent="0.2">
      <c r="A3950" s="7" t="s">
        <v>435</v>
      </c>
      <c r="B3950" s="7" t="s">
        <v>205</v>
      </c>
      <c r="C3950" s="3"/>
      <c r="D3950" s="3" t="s">
        <v>696</v>
      </c>
      <c r="E3950" s="4" t="s">
        <v>31</v>
      </c>
      <c r="F3950" s="3" t="s">
        <v>31</v>
      </c>
      <c r="G3950" s="9">
        <v>45</v>
      </c>
      <c r="H3950" s="17">
        <f>Planning[[#This Row],[Horas Precálculo]]</f>
        <v>45</v>
      </c>
      <c r="I3950" s="18"/>
      <c r="J3950" s="14" t="e">
        <f>+SUMIFS(#REF!,#REF!,Planning[[#This Row],[Tarifa]],#REF!,Planning[[#This Row],[Proyectos]])</f>
        <v>#REF!</v>
      </c>
      <c r="K3950" s="14" t="e">
        <f>+Planning[[#This Row],[Horas Planificadas]]+Planning[[#This Row],[Horas ajustadas adicionales]]-Planning[[#This Row],[Horas utilizadas]]</f>
        <v>#REF!</v>
      </c>
      <c r="L3950" s="15">
        <v>0</v>
      </c>
      <c r="M3950" s="16" t="e">
        <f>Planning[[#This Row],[Saldo]]-Planning[[#This Row],[Saldo estimado]]</f>
        <v>#REF!</v>
      </c>
      <c r="N3950" s="60" t="e">
        <f>+SUMIFS(#REF!,#REF!,Planning[[#This Row],[Proyectos]],#REF!,Planning[[#This Row],[Tipo de Tarea y especialidad]])</f>
        <v>#REF!</v>
      </c>
      <c r="O3950" s="16">
        <f t="shared" si="122"/>
        <v>10</v>
      </c>
      <c r="P3950" s="16">
        <f t="shared" si="123"/>
        <v>2024</v>
      </c>
      <c r="Q3950" s="16" t="e">
        <f>+SUMIFS(#REF!,#REF!,Planning[[#This Row],[Tarifa]],#REF!,Planning[[#This Row],[Proyectos]],#REF!,Planning[[#This Row],[Mes]],#REF!,Planning[[#This Row],[Año]])</f>
        <v>#REF!</v>
      </c>
      <c r="R3950" s="16" t="str">
        <f>TEXT(Planning[[#This Row],[Mes]]*29,"mmmm")</f>
        <v>October</v>
      </c>
      <c r="S39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50" s="210"/>
      <c r="U3950" s="43" t="e">
        <f>IF(Planning[[#This Row],[Horas Planificadas]]&lt;&gt;0,+K3950/Planning[[#This Row],[Horas Planificadas]],0)</f>
        <v>#REF!</v>
      </c>
      <c r="V3950" s="43" t="e">
        <f>IF(Planning[[#This Row],[Horas Planificadas]]&lt;&gt;0,Planning[[#This Row],[Horas utilizadas]]/Planning[[#This Row],[Horas Planificadas]],0)</f>
        <v>#REF!</v>
      </c>
      <c r="W3950" s="44">
        <f>Planning[[#This Row],[Horas Planificadas]]+Planning[[#This Row],[Horas ajustadas adicionales]]</f>
        <v>45</v>
      </c>
      <c r="X3950" s="142"/>
    </row>
    <row r="3951" spans="1:24" ht="22.5" x14ac:dyDescent="0.2">
      <c r="A3951" s="7" t="s">
        <v>435</v>
      </c>
      <c r="B3951" s="7" t="s">
        <v>205</v>
      </c>
      <c r="C3951" s="3"/>
      <c r="D3951" s="3" t="s">
        <v>696</v>
      </c>
      <c r="E3951" s="4" t="s">
        <v>32</v>
      </c>
      <c r="F3951" s="3"/>
      <c r="G3951" s="9">
        <v>50</v>
      </c>
      <c r="H3951" s="14">
        <f>SUM(H3952:H3954)</f>
        <v>50</v>
      </c>
      <c r="I3951" s="14"/>
      <c r="J3951" s="14" t="e">
        <f>SUM(J3952:J3954)</f>
        <v>#REF!</v>
      </c>
      <c r="K3951" s="14" t="e">
        <f>+Planning[[#This Row],[Horas Planificadas]]+Planning[[#This Row],[Horas ajustadas adicionales]]-Planning[[#This Row],[Horas utilizadas]]</f>
        <v>#REF!</v>
      </c>
      <c r="L3951" s="15">
        <f>SUM(L3952:L3954)</f>
        <v>0</v>
      </c>
      <c r="M3951" s="16" t="e">
        <f>SUM(M3952:M3954)</f>
        <v>#REF!</v>
      </c>
      <c r="N3951" s="60" t="e">
        <f>+SUMIFS(#REF!,#REF!,Planning[[#This Row],[Proyectos]],#REF!,Planning[[#This Row],[Tipo de Tarea y especialidad]])</f>
        <v>#REF!</v>
      </c>
      <c r="O3951" s="16">
        <f t="shared" si="122"/>
        <v>10</v>
      </c>
      <c r="P3951" s="16">
        <f t="shared" si="123"/>
        <v>2024</v>
      </c>
      <c r="Q3951" s="16" t="e">
        <f>SUM(Q3952:Q3954)</f>
        <v>#REF!</v>
      </c>
      <c r="R3951" s="16" t="str">
        <f>TEXT(Planning[[#This Row],[Mes]]*29,"mmmm")</f>
        <v>October</v>
      </c>
      <c r="S39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51" s="210"/>
      <c r="U3951" s="43" t="e">
        <f>IF(Planning[[#This Row],[Horas Planificadas]]&lt;&gt;0,+K3951/Planning[[#This Row],[Horas Planificadas]],0)</f>
        <v>#REF!</v>
      </c>
      <c r="V3951" s="43" t="e">
        <f>IF(Planning[[#This Row],[Horas Planificadas]]&lt;&gt;0,Planning[[#This Row],[Horas utilizadas]]/Planning[[#This Row],[Horas Planificadas]],0)</f>
        <v>#REF!</v>
      </c>
      <c r="W3951" s="44">
        <f>Planning[[#This Row],[Horas Planificadas]]+Planning[[#This Row],[Horas ajustadas adicionales]]</f>
        <v>50</v>
      </c>
      <c r="X3951" s="142"/>
    </row>
    <row r="3952" spans="1:24" x14ac:dyDescent="0.2">
      <c r="A3952" s="7" t="s">
        <v>435</v>
      </c>
      <c r="B3952" s="7" t="s">
        <v>205</v>
      </c>
      <c r="C3952" s="3"/>
      <c r="D3952" s="3" t="s">
        <v>696</v>
      </c>
      <c r="E3952" s="4"/>
      <c r="F3952" s="3" t="s">
        <v>129</v>
      </c>
      <c r="G3952" s="9"/>
      <c r="H3952" s="9"/>
      <c r="I3952" s="12"/>
      <c r="J3952" s="5" t="e">
        <f>SUM(SUMIFS(#REF!,#REF!,Planning[[#This Row],[Tipo de Tarea y especialidad]],#REF!,Planning[[#This Row],[Proyectos Reiwa]]),SUMIFS(#REF!,#REF!,Planning[[#This Row],[Tipo de Tarea y especialidad]],#REF!,Planning[[#This Row],[Proyectos]]))</f>
        <v>#REF!</v>
      </c>
      <c r="K3952" s="5" t="e">
        <f>+Planning[[#This Row],[Horas Planificadas]]+Planning[[#This Row],[Horas ajustadas adicionales]]-Planning[[#This Row],[Horas utilizadas]]</f>
        <v>#REF!</v>
      </c>
      <c r="L3952" s="7"/>
      <c r="M3952" s="19" t="e">
        <f>Planning[[#This Row],[Saldo]]-Planning[[#This Row],[Saldo estimado]]</f>
        <v>#REF!</v>
      </c>
      <c r="N3952" s="60" t="e">
        <f>+SUMIFS(#REF!,#REF!,Planning[[#This Row],[Proyectos]],#REF!,Planning[[#This Row],[Tipo de Tarea y especialidad]])</f>
        <v>#REF!</v>
      </c>
      <c r="O3952" s="19">
        <f t="shared" si="122"/>
        <v>10</v>
      </c>
      <c r="P3952" s="19">
        <f t="shared" si="123"/>
        <v>2024</v>
      </c>
      <c r="Q39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52" s="19" t="str">
        <f>TEXT(Planning[[#This Row],[Mes]]*29,"mmmm")</f>
        <v>October</v>
      </c>
      <c r="S39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52" s="210"/>
      <c r="U3952" s="43">
        <f>IF(Planning[[#This Row],[Horas Planificadas]]&lt;&gt;0,+K3952/Planning[[#This Row],[Horas Planificadas]],0)</f>
        <v>0</v>
      </c>
      <c r="V3952" s="43">
        <f>IF(Planning[[#This Row],[Horas Planificadas]]&lt;&gt;0,Planning[[#This Row],[Horas utilizadas]]/Planning[[#This Row],[Horas Planificadas]],0)</f>
        <v>0</v>
      </c>
      <c r="W3952" s="44">
        <f>Planning[[#This Row],[Horas Planificadas]]+Planning[[#This Row],[Horas ajustadas adicionales]]</f>
        <v>0</v>
      </c>
      <c r="X3952" s="142"/>
    </row>
    <row r="3953" spans="1:24" x14ac:dyDescent="0.2">
      <c r="A3953" s="7" t="s">
        <v>435</v>
      </c>
      <c r="B3953" s="7" t="s">
        <v>205</v>
      </c>
      <c r="C3953" s="3"/>
      <c r="D3953" s="3" t="s">
        <v>696</v>
      </c>
      <c r="E3953" s="4"/>
      <c r="F3953" s="3" t="s">
        <v>130</v>
      </c>
      <c r="G3953" s="9"/>
      <c r="H3953" s="9">
        <v>50</v>
      </c>
      <c r="I3953" s="12"/>
      <c r="J3953" s="5" t="e">
        <f>SUM(SUMIFS(#REF!,#REF!,Planning[[#This Row],[Tipo de Tarea y especialidad]],#REF!,Planning[[#This Row],[Proyectos Reiwa]]),SUMIFS(#REF!,#REF!,Planning[[#This Row],[Tipo de Tarea y especialidad]],#REF!,Planning[[#This Row],[Proyectos]]))</f>
        <v>#REF!</v>
      </c>
      <c r="K3953" s="5" t="e">
        <f>+Planning[[#This Row],[Horas Planificadas]]+Planning[[#This Row],[Horas ajustadas adicionales]]-Planning[[#This Row],[Horas utilizadas]]</f>
        <v>#REF!</v>
      </c>
      <c r="L3953" s="7">
        <v>0</v>
      </c>
      <c r="M3953" s="19" t="e">
        <f>Planning[[#This Row],[Saldo]]-Planning[[#This Row],[Saldo estimado]]</f>
        <v>#REF!</v>
      </c>
      <c r="N3953" s="60" t="e">
        <f>+SUMIFS(#REF!,#REF!,Planning[[#This Row],[Proyectos]],#REF!,Planning[[#This Row],[Tipo de Tarea y especialidad]])</f>
        <v>#REF!</v>
      </c>
      <c r="O3953" s="19">
        <f t="shared" si="122"/>
        <v>10</v>
      </c>
      <c r="P3953" s="19">
        <f t="shared" si="123"/>
        <v>2024</v>
      </c>
      <c r="Q39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53" s="19" t="str">
        <f>TEXT(Planning[[#This Row],[Mes]]*29,"mmmm")</f>
        <v>October</v>
      </c>
      <c r="S39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53" s="210"/>
      <c r="U3953" s="43" t="e">
        <f>IF(Planning[[#This Row],[Horas Planificadas]]&lt;&gt;0,+K3953/Planning[[#This Row],[Horas Planificadas]],0)</f>
        <v>#REF!</v>
      </c>
      <c r="V3953" s="43" t="e">
        <f>IF(Planning[[#This Row],[Horas Planificadas]]&lt;&gt;0,Planning[[#This Row],[Horas utilizadas]]/Planning[[#This Row],[Horas Planificadas]],0)</f>
        <v>#REF!</v>
      </c>
      <c r="W3953" s="44">
        <f>Planning[[#This Row],[Horas Planificadas]]+Planning[[#This Row],[Horas ajustadas adicionales]]</f>
        <v>50</v>
      </c>
      <c r="X3953" s="142"/>
    </row>
    <row r="3954" spans="1:24" x14ac:dyDescent="0.2">
      <c r="A3954" s="7" t="s">
        <v>435</v>
      </c>
      <c r="B3954" s="7" t="s">
        <v>205</v>
      </c>
      <c r="C3954" s="3"/>
      <c r="D3954" s="3" t="s">
        <v>696</v>
      </c>
      <c r="E3954" s="4"/>
      <c r="F3954" s="3" t="s">
        <v>131</v>
      </c>
      <c r="G3954" s="9"/>
      <c r="H3954" s="9"/>
      <c r="I3954" s="12"/>
      <c r="J3954" s="5" t="e">
        <f>SUM(SUMIFS(#REF!,#REF!,Planning[[#This Row],[Tipo de Tarea y especialidad]],#REF!,Planning[[#This Row],[Proyectos Reiwa]]),SUMIFS(#REF!,#REF!,Planning[[#This Row],[Tipo de Tarea y especialidad]],#REF!,Planning[[#This Row],[Proyectos]]))</f>
        <v>#REF!</v>
      </c>
      <c r="K3954" s="5" t="e">
        <f>+Planning[[#This Row],[Horas Planificadas]]+Planning[[#This Row],[Horas ajustadas adicionales]]-Planning[[#This Row],[Horas utilizadas]]</f>
        <v>#REF!</v>
      </c>
      <c r="L3954" s="7"/>
      <c r="M3954" s="19" t="e">
        <f>Planning[[#This Row],[Saldo]]-Planning[[#This Row],[Saldo estimado]]</f>
        <v>#REF!</v>
      </c>
      <c r="N3954" s="60" t="e">
        <f>+SUMIFS(#REF!,#REF!,Planning[[#This Row],[Proyectos]],#REF!,Planning[[#This Row],[Tipo de Tarea y especialidad]])</f>
        <v>#REF!</v>
      </c>
      <c r="O3954" s="19">
        <f t="shared" si="122"/>
        <v>10</v>
      </c>
      <c r="P3954" s="19">
        <f t="shared" si="123"/>
        <v>2024</v>
      </c>
      <c r="Q39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54" s="19" t="str">
        <f>TEXT(Planning[[#This Row],[Mes]]*29,"mmmm")</f>
        <v>October</v>
      </c>
      <c r="S39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54" s="210"/>
      <c r="U3954" s="43">
        <f>IF(Planning[[#This Row],[Horas Planificadas]]&lt;&gt;0,+K3954/Planning[[#This Row],[Horas Planificadas]],0)</f>
        <v>0</v>
      </c>
      <c r="V3954" s="43">
        <f>IF(Planning[[#This Row],[Horas Planificadas]]&lt;&gt;0,Planning[[#This Row],[Horas utilizadas]]/Planning[[#This Row],[Horas Planificadas]],0)</f>
        <v>0</v>
      </c>
      <c r="W3954" s="44">
        <f>Planning[[#This Row],[Horas Planificadas]]+Planning[[#This Row],[Horas ajustadas adicionales]]</f>
        <v>0</v>
      </c>
      <c r="X3954" s="142"/>
    </row>
    <row r="3955" spans="1:24" ht="13.35" customHeight="1" x14ac:dyDescent="0.2">
      <c r="A3955" s="7" t="s">
        <v>483</v>
      </c>
      <c r="B3955" s="7" t="s">
        <v>288</v>
      </c>
      <c r="C3955" s="3"/>
      <c r="D3955" s="3" t="s">
        <v>698</v>
      </c>
      <c r="E3955" s="4" t="s">
        <v>28</v>
      </c>
      <c r="F3955" s="3"/>
      <c r="G3955" s="9">
        <v>8</v>
      </c>
      <c r="H3955" s="14">
        <f>SUM(H3956:H3957)</f>
        <v>8</v>
      </c>
      <c r="I3955" s="14"/>
      <c r="J3955" s="14" t="e">
        <f>SUM(J3956:J3957)</f>
        <v>#REF!</v>
      </c>
      <c r="K3955" s="14" t="e">
        <f>+Planning[[#This Row],[Horas Planificadas]]+Planning[[#This Row],[Horas ajustadas adicionales]]-Planning[[#This Row],[Horas utilizadas]]</f>
        <v>#REF!</v>
      </c>
      <c r="L3955" s="15">
        <f>SUM(L3956:L3957)</f>
        <v>0</v>
      </c>
      <c r="M3955" s="14" t="e">
        <f>SUM(M3956:M3957)</f>
        <v>#REF!</v>
      </c>
      <c r="N3955" s="66" t="e">
        <f>+SUMIFS(#REF!,#REF!,Planning[[#This Row],[Proyectos]],#REF!,Planning[[#This Row],[Tipo de Tarea y especialidad]])</f>
        <v>#REF!</v>
      </c>
      <c r="O3955" s="14">
        <f t="shared" si="122"/>
        <v>10</v>
      </c>
      <c r="P3955" s="14">
        <f t="shared" si="123"/>
        <v>2024</v>
      </c>
      <c r="Q3955" s="28" t="e">
        <f>SUM(Q3956:Q3957)</f>
        <v>#REF!</v>
      </c>
      <c r="R3955" s="28" t="str">
        <f>TEXT(Planning[[#This Row],[Mes]]*29,"mmmm")</f>
        <v>October</v>
      </c>
      <c r="S39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55" s="207" t="s">
        <v>699</v>
      </c>
      <c r="U3955" s="43" t="e">
        <f>IF(Planning[[#This Row],[Horas Planificadas]]&lt;&gt;0,+K3955/Planning[[#This Row],[Horas Planificadas]],0)</f>
        <v>#REF!</v>
      </c>
      <c r="V3955" s="43" t="e">
        <f>IF(Planning[[#This Row],[Horas Planificadas]]&lt;&gt;0,Planning[[#This Row],[Horas utilizadas]]/Planning[[#This Row],[Horas Planificadas]],0)</f>
        <v>#REF!</v>
      </c>
      <c r="W3955" s="44">
        <f>Planning[[#This Row],[Horas Planificadas]]+Planning[[#This Row],[Horas ajustadas adicionales]]</f>
        <v>8</v>
      </c>
      <c r="X3955" s="142"/>
    </row>
    <row r="3956" spans="1:24" ht="13.35" customHeight="1" x14ac:dyDescent="0.2">
      <c r="A3956" s="7" t="s">
        <v>483</v>
      </c>
      <c r="B3956" s="7" t="s">
        <v>288</v>
      </c>
      <c r="C3956" s="3"/>
      <c r="D3956" s="3" t="s">
        <v>698</v>
      </c>
      <c r="E3956" s="4"/>
      <c r="F3956" s="3" t="s">
        <v>120</v>
      </c>
      <c r="G3956" s="9">
        <v>8</v>
      </c>
      <c r="H3956" s="9">
        <v>8</v>
      </c>
      <c r="I3956" s="12"/>
      <c r="J3956" s="5" t="e">
        <f>SUM(SUMIFS(#REF!,#REF!,Planning[[#This Row],[Tipo de Tarea y especialidad]],#REF!,Planning[[#This Row],[Proyectos Reiwa]]),SUMIFS(#REF!,#REF!,Planning[[#This Row],[Tipo de Tarea y especialidad]],#REF!,Planning[[#This Row],[Proyectos]]))</f>
        <v>#REF!</v>
      </c>
      <c r="K3956" s="5" t="e">
        <f>+Planning[[#This Row],[Horas Planificadas]]+Planning[[#This Row],[Horas ajustadas adicionales]]-Planning[[#This Row],[Horas utilizadas]]</f>
        <v>#REF!</v>
      </c>
      <c r="L3956" s="7"/>
      <c r="M3956" s="19" t="e">
        <f>Planning[[#This Row],[Saldo]]-Planning[[#This Row],[Saldo estimado]]</f>
        <v>#REF!</v>
      </c>
      <c r="N3956" s="60" t="e">
        <f>+SUMIFS(#REF!,#REF!,Planning[[#This Row],[Proyectos]],#REF!,Planning[[#This Row],[Tipo de Tarea y especialidad]])</f>
        <v>#REF!</v>
      </c>
      <c r="O3956" s="19">
        <f t="shared" si="122"/>
        <v>10</v>
      </c>
      <c r="P3956" s="19">
        <f t="shared" si="123"/>
        <v>2024</v>
      </c>
      <c r="Q39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56" s="19" t="str">
        <f>TEXT(Planning[[#This Row],[Mes]]*29,"mmmm")</f>
        <v>October</v>
      </c>
      <c r="S39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56" s="208"/>
      <c r="U3956" s="43" t="e">
        <f>IF(Planning[[#This Row],[Horas Planificadas]]&lt;&gt;0,+K3956/Planning[[#This Row],[Horas Planificadas]],0)</f>
        <v>#REF!</v>
      </c>
      <c r="V3956" s="43" t="e">
        <f>IF(Planning[[#This Row],[Horas Planificadas]]&lt;&gt;0,Planning[[#This Row],[Horas utilizadas]]/Planning[[#This Row],[Horas Planificadas]],0)</f>
        <v>#REF!</v>
      </c>
      <c r="W3956" s="44">
        <f>Planning[[#This Row],[Horas Planificadas]]+Planning[[#This Row],[Horas ajustadas adicionales]]</f>
        <v>8</v>
      </c>
      <c r="X3956" s="142"/>
    </row>
    <row r="3957" spans="1:24" ht="13.35" customHeight="1" x14ac:dyDescent="0.2">
      <c r="A3957" s="7" t="s">
        <v>483</v>
      </c>
      <c r="B3957" s="7" t="s">
        <v>288</v>
      </c>
      <c r="C3957" s="3"/>
      <c r="D3957" s="3" t="s">
        <v>698</v>
      </c>
      <c r="E3957" s="4"/>
      <c r="F3957" s="3" t="s">
        <v>121</v>
      </c>
      <c r="G3957" s="9">
        <v>0</v>
      </c>
      <c r="H3957" s="9">
        <v>0</v>
      </c>
      <c r="I3957" s="12"/>
      <c r="J3957" s="5" t="e">
        <f>SUM(SUMIFS(#REF!,#REF!,Planning[[#This Row],[Tipo de Tarea y especialidad]],#REF!,Planning[[#This Row],[Proyectos Reiwa]]),SUMIFS(#REF!,#REF!,Planning[[#This Row],[Tipo de Tarea y especialidad]],#REF!,Planning[[#This Row],[Proyectos]]))</f>
        <v>#REF!</v>
      </c>
      <c r="K3957" s="5" t="e">
        <f>+Planning[[#This Row],[Horas Planificadas]]+Planning[[#This Row],[Horas ajustadas adicionales]]-Planning[[#This Row],[Horas utilizadas]]</f>
        <v>#REF!</v>
      </c>
      <c r="L3957" s="7"/>
      <c r="M3957" s="19" t="e">
        <f>Planning[[#This Row],[Saldo]]-Planning[[#This Row],[Saldo estimado]]</f>
        <v>#REF!</v>
      </c>
      <c r="N3957" s="60" t="e">
        <f>+SUMIFS(#REF!,#REF!,Planning[[#This Row],[Proyectos]],#REF!,Planning[[#This Row],[Tipo de Tarea y especialidad]])</f>
        <v>#REF!</v>
      </c>
      <c r="O3957" s="19">
        <f t="shared" si="122"/>
        <v>10</v>
      </c>
      <c r="P3957" s="19">
        <f t="shared" si="123"/>
        <v>2024</v>
      </c>
      <c r="Q39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57" s="19" t="str">
        <f>TEXT(Planning[[#This Row],[Mes]]*29,"mmmm")</f>
        <v>October</v>
      </c>
      <c r="S39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57" s="208"/>
      <c r="U3957" s="43">
        <f>IF(Planning[[#This Row],[Horas Planificadas]]&lt;&gt;0,+K3957/Planning[[#This Row],[Horas Planificadas]],0)</f>
        <v>0</v>
      </c>
      <c r="V3957" s="43">
        <f>IF(Planning[[#This Row],[Horas Planificadas]]&lt;&gt;0,Planning[[#This Row],[Horas utilizadas]]/Planning[[#This Row],[Horas Planificadas]],0)</f>
        <v>0</v>
      </c>
      <c r="W3957" s="44">
        <f>Planning[[#This Row],[Horas Planificadas]]+Planning[[#This Row],[Horas ajustadas adicionales]]</f>
        <v>0</v>
      </c>
      <c r="X3957" s="142"/>
    </row>
    <row r="3958" spans="1:24" ht="13.35" customHeight="1" x14ac:dyDescent="0.2">
      <c r="A3958" s="7" t="s">
        <v>483</v>
      </c>
      <c r="B3958" s="7" t="s">
        <v>288</v>
      </c>
      <c r="C3958" s="3"/>
      <c r="D3958" s="3" t="s">
        <v>698</v>
      </c>
      <c r="E3958" s="4" t="s">
        <v>30</v>
      </c>
      <c r="F3958" s="3"/>
      <c r="G3958" s="9">
        <v>54</v>
      </c>
      <c r="H3958" s="14">
        <f>SUM(H3959:H3965)</f>
        <v>54</v>
      </c>
      <c r="I3958" s="14"/>
      <c r="J3958" s="14" t="e">
        <f>SUM(J3959:J3965)</f>
        <v>#REF!</v>
      </c>
      <c r="K3958" s="14" t="e">
        <f>+Planning[[#This Row],[Horas Planificadas]]+Planning[[#This Row],[Horas ajustadas adicionales]]-Planning[[#This Row],[Horas utilizadas]]</f>
        <v>#REF!</v>
      </c>
      <c r="L3958" s="15">
        <f>SUM(L3959:L3965)</f>
        <v>0</v>
      </c>
      <c r="M3958" s="16" t="e">
        <f>SUM(M3959:M3965)</f>
        <v>#REF!</v>
      </c>
      <c r="N3958" s="60" t="e">
        <f>+SUMIFS(#REF!,#REF!,Planning[[#This Row],[Proyectos]],#REF!,Planning[[#This Row],[Tipo de Tarea y especialidad]])</f>
        <v>#REF!</v>
      </c>
      <c r="O3958" s="16">
        <f t="shared" si="122"/>
        <v>10</v>
      </c>
      <c r="P3958" s="16">
        <f t="shared" si="123"/>
        <v>2024</v>
      </c>
      <c r="Q3958" s="16" t="e">
        <f>SUM(Q3959:Q3965)</f>
        <v>#REF!</v>
      </c>
      <c r="R3958" s="16" t="str">
        <f>TEXT(Planning[[#This Row],[Mes]]*29,"mmmm")</f>
        <v>October</v>
      </c>
      <c r="S39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58" s="208"/>
      <c r="U3958" s="43" t="e">
        <f>IF(Planning[[#This Row],[Horas Planificadas]]&lt;&gt;0,+K3958/Planning[[#This Row],[Horas Planificadas]],0)</f>
        <v>#REF!</v>
      </c>
      <c r="V3958" s="43" t="e">
        <f>IF(Planning[[#This Row],[Horas Planificadas]]&lt;&gt;0,Planning[[#This Row],[Horas utilizadas]]/Planning[[#This Row],[Horas Planificadas]],0)</f>
        <v>#REF!</v>
      </c>
      <c r="W3958" s="44">
        <f>Planning[[#This Row],[Horas Planificadas]]+Planning[[#This Row],[Horas ajustadas adicionales]]</f>
        <v>54</v>
      </c>
      <c r="X3958" s="142"/>
    </row>
    <row r="3959" spans="1:24" ht="13.35" customHeight="1" x14ac:dyDescent="0.2">
      <c r="A3959" s="7" t="s">
        <v>483</v>
      </c>
      <c r="B3959" s="7" t="s">
        <v>288</v>
      </c>
      <c r="C3959" s="3"/>
      <c r="D3959" s="3" t="s">
        <v>698</v>
      </c>
      <c r="E3959" s="4"/>
      <c r="F3959" s="3" t="s">
        <v>122</v>
      </c>
      <c r="G3959" s="9"/>
      <c r="H3959" s="9"/>
      <c r="I3959" s="12"/>
      <c r="J3959" s="5" t="e">
        <f>SUM(SUMIFS(#REF!,#REF!,Planning[[#This Row],[Tipo de Tarea y especialidad]],#REF!,Planning[[#This Row],[Proyectos Reiwa]]),SUMIFS(#REF!,#REF!,Planning[[#This Row],[Tipo de Tarea y especialidad]],#REF!,Planning[[#This Row],[Proyectos]]))</f>
        <v>#REF!</v>
      </c>
      <c r="K3959" s="5" t="e">
        <f>+Planning[[#This Row],[Horas Planificadas]]+Planning[[#This Row],[Horas ajustadas adicionales]]-Planning[[#This Row],[Horas utilizadas]]</f>
        <v>#REF!</v>
      </c>
      <c r="L3959" s="7"/>
      <c r="M3959" s="19" t="e">
        <f>Planning[[#This Row],[Saldo]]-Planning[[#This Row],[Saldo estimado]]</f>
        <v>#REF!</v>
      </c>
      <c r="N3959" s="60" t="e">
        <f>+SUMIFS(#REF!,#REF!,Planning[[#This Row],[Proyectos]],#REF!,Planning[[#This Row],[Tipo de Tarea y especialidad]])</f>
        <v>#REF!</v>
      </c>
      <c r="O3959" s="19">
        <f t="shared" si="122"/>
        <v>10</v>
      </c>
      <c r="P3959" s="19">
        <f t="shared" si="123"/>
        <v>2024</v>
      </c>
      <c r="Q39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59" s="19" t="str">
        <f>TEXT(Planning[[#This Row],[Mes]]*29,"mmmm")</f>
        <v>October</v>
      </c>
      <c r="S39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59" s="208"/>
      <c r="U3959" s="43">
        <f>IF(Planning[[#This Row],[Horas Planificadas]]&lt;&gt;0,+K3959/Planning[[#This Row],[Horas Planificadas]],0)</f>
        <v>0</v>
      </c>
      <c r="V3959" s="43">
        <f>IF(Planning[[#This Row],[Horas Planificadas]]&lt;&gt;0,Planning[[#This Row],[Horas utilizadas]]/Planning[[#This Row],[Horas Planificadas]],0)</f>
        <v>0</v>
      </c>
      <c r="W3959" s="44">
        <f>Planning[[#This Row],[Horas Planificadas]]+Planning[[#This Row],[Horas ajustadas adicionales]]</f>
        <v>0</v>
      </c>
      <c r="X3959" s="142"/>
    </row>
    <row r="3960" spans="1:24" ht="13.35" customHeight="1" x14ac:dyDescent="0.2">
      <c r="A3960" s="7" t="s">
        <v>483</v>
      </c>
      <c r="B3960" s="7" t="s">
        <v>288</v>
      </c>
      <c r="C3960" s="3"/>
      <c r="D3960" s="3" t="s">
        <v>698</v>
      </c>
      <c r="E3960" s="4"/>
      <c r="F3960" s="3" t="s">
        <v>123</v>
      </c>
      <c r="G3960" s="9"/>
      <c r="H3960" s="9"/>
      <c r="I3960" s="12"/>
      <c r="J3960" s="5" t="e">
        <f>SUM(SUMIFS(#REF!,#REF!,Planning[[#This Row],[Tipo de Tarea y especialidad]],#REF!,Planning[[#This Row],[Proyectos Reiwa]]),SUMIFS(#REF!,#REF!,Planning[[#This Row],[Tipo de Tarea y especialidad]],#REF!,Planning[[#This Row],[Proyectos]]))</f>
        <v>#REF!</v>
      </c>
      <c r="K3960" s="5" t="e">
        <f>+Planning[[#This Row],[Horas Planificadas]]+Planning[[#This Row],[Horas ajustadas adicionales]]-Planning[[#This Row],[Horas utilizadas]]</f>
        <v>#REF!</v>
      </c>
      <c r="L3960" s="7"/>
      <c r="M3960" s="19" t="e">
        <f>Planning[[#This Row],[Saldo]]-Planning[[#This Row],[Saldo estimado]]</f>
        <v>#REF!</v>
      </c>
      <c r="N3960" s="60" t="e">
        <f>+SUMIFS(#REF!,#REF!,Planning[[#This Row],[Proyectos]],#REF!,Planning[[#This Row],[Tipo de Tarea y especialidad]])</f>
        <v>#REF!</v>
      </c>
      <c r="O3960" s="19">
        <f t="shared" si="122"/>
        <v>10</v>
      </c>
      <c r="P3960" s="19">
        <f t="shared" si="123"/>
        <v>2024</v>
      </c>
      <c r="Q39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60" s="19" t="str">
        <f>TEXT(Planning[[#This Row],[Mes]]*29,"mmmm")</f>
        <v>October</v>
      </c>
      <c r="S39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60" s="208"/>
      <c r="U3960" s="43">
        <f>IF(Planning[[#This Row],[Horas Planificadas]]&lt;&gt;0,+K3960/Planning[[#This Row],[Horas Planificadas]],0)</f>
        <v>0</v>
      </c>
      <c r="V3960" s="43">
        <f>IF(Planning[[#This Row],[Horas Planificadas]]&lt;&gt;0,Planning[[#This Row],[Horas utilizadas]]/Planning[[#This Row],[Horas Planificadas]],0)</f>
        <v>0</v>
      </c>
      <c r="W3960" s="44">
        <f>Planning[[#This Row],[Horas Planificadas]]+Planning[[#This Row],[Horas ajustadas adicionales]]</f>
        <v>0</v>
      </c>
      <c r="X3960" s="142"/>
    </row>
    <row r="3961" spans="1:24" ht="13.35" customHeight="1" x14ac:dyDescent="0.2">
      <c r="A3961" s="7" t="s">
        <v>483</v>
      </c>
      <c r="B3961" s="7" t="s">
        <v>288</v>
      </c>
      <c r="C3961" s="3"/>
      <c r="D3961" s="3" t="s">
        <v>698</v>
      </c>
      <c r="E3961" s="4"/>
      <c r="F3961" s="3" t="s">
        <v>124</v>
      </c>
      <c r="G3961" s="9">
        <v>36</v>
      </c>
      <c r="H3961" s="9">
        <v>36</v>
      </c>
      <c r="I3961" s="12"/>
      <c r="J3961" s="5" t="e">
        <f>SUM(SUMIFS(#REF!,#REF!,Planning[[#This Row],[Tipo de Tarea y especialidad]],#REF!,Planning[[#This Row],[Proyectos Reiwa]]),SUMIFS(#REF!,#REF!,Planning[[#This Row],[Tipo de Tarea y especialidad]],#REF!,Planning[[#This Row],[Proyectos]]))</f>
        <v>#REF!</v>
      </c>
      <c r="K3961" s="5" t="e">
        <f>+Planning[[#This Row],[Horas Planificadas]]+Planning[[#This Row],[Horas ajustadas adicionales]]-Planning[[#This Row],[Horas utilizadas]]</f>
        <v>#REF!</v>
      </c>
      <c r="L3961" s="7"/>
      <c r="M3961" s="19" t="e">
        <f>Planning[[#This Row],[Saldo]]-Planning[[#This Row],[Saldo estimado]]</f>
        <v>#REF!</v>
      </c>
      <c r="N3961" s="60" t="e">
        <f>+SUMIFS(#REF!,#REF!,Planning[[#This Row],[Proyectos]],#REF!,Planning[[#This Row],[Tipo de Tarea y especialidad]])</f>
        <v>#REF!</v>
      </c>
      <c r="O3961" s="19">
        <f t="shared" si="122"/>
        <v>10</v>
      </c>
      <c r="P3961" s="19">
        <f t="shared" si="123"/>
        <v>2024</v>
      </c>
      <c r="Q39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61" s="19" t="str">
        <f>TEXT(Planning[[#This Row],[Mes]]*29,"mmmm")</f>
        <v>October</v>
      </c>
      <c r="S39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61" s="208"/>
      <c r="U3961" s="43" t="e">
        <f>IF(Planning[[#This Row],[Horas Planificadas]]&lt;&gt;0,+K3961/Planning[[#This Row],[Horas Planificadas]],0)</f>
        <v>#REF!</v>
      </c>
      <c r="V3961" s="43" t="e">
        <f>IF(Planning[[#This Row],[Horas Planificadas]]&lt;&gt;0,Planning[[#This Row],[Horas utilizadas]]/Planning[[#This Row],[Horas Planificadas]],0)</f>
        <v>#REF!</v>
      </c>
      <c r="W3961" s="44">
        <f>Planning[[#This Row],[Horas Planificadas]]+Planning[[#This Row],[Horas ajustadas adicionales]]</f>
        <v>36</v>
      </c>
      <c r="X3961" s="142"/>
    </row>
    <row r="3962" spans="1:24" ht="13.35" customHeight="1" x14ac:dyDescent="0.2">
      <c r="A3962" s="7" t="s">
        <v>483</v>
      </c>
      <c r="B3962" s="7" t="s">
        <v>288</v>
      </c>
      <c r="C3962" s="3"/>
      <c r="D3962" s="3" t="s">
        <v>698</v>
      </c>
      <c r="E3962" s="4"/>
      <c r="F3962" s="3" t="s">
        <v>125</v>
      </c>
      <c r="G3962" s="9"/>
      <c r="H3962" s="9"/>
      <c r="I3962" s="12"/>
      <c r="J3962" s="5" t="e">
        <f>SUM(SUMIFS(#REF!,#REF!,Planning[[#This Row],[Tipo de Tarea y especialidad]],#REF!,Planning[[#This Row],[Proyectos Reiwa]]),SUMIFS(#REF!,#REF!,Planning[[#This Row],[Tipo de Tarea y especialidad]],#REF!,Planning[[#This Row],[Proyectos]]))</f>
        <v>#REF!</v>
      </c>
      <c r="K3962" s="5" t="e">
        <f>+Planning[[#This Row],[Horas Planificadas]]+Planning[[#This Row],[Horas ajustadas adicionales]]-Planning[[#This Row],[Horas utilizadas]]</f>
        <v>#REF!</v>
      </c>
      <c r="L3962" s="7"/>
      <c r="M3962" s="19" t="e">
        <f>Planning[[#This Row],[Saldo]]-Planning[[#This Row],[Saldo estimado]]</f>
        <v>#REF!</v>
      </c>
      <c r="N3962" s="60" t="e">
        <f>+SUMIFS(#REF!,#REF!,Planning[[#This Row],[Proyectos]],#REF!,Planning[[#This Row],[Tipo de Tarea y especialidad]])</f>
        <v>#REF!</v>
      </c>
      <c r="O3962" s="19">
        <f t="shared" si="122"/>
        <v>10</v>
      </c>
      <c r="P3962" s="19">
        <f t="shared" si="123"/>
        <v>2024</v>
      </c>
      <c r="Q39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62" s="19" t="str">
        <f>TEXT(Planning[[#This Row],[Mes]]*29,"mmmm")</f>
        <v>October</v>
      </c>
      <c r="S39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62" s="208"/>
      <c r="U3962" s="43">
        <f>IF(Planning[[#This Row],[Horas Planificadas]]&lt;&gt;0,+K3962/Planning[[#This Row],[Horas Planificadas]],0)</f>
        <v>0</v>
      </c>
      <c r="V3962" s="43">
        <f>IF(Planning[[#This Row],[Horas Planificadas]]&lt;&gt;0,Planning[[#This Row],[Horas utilizadas]]/Planning[[#This Row],[Horas Planificadas]],0)</f>
        <v>0</v>
      </c>
      <c r="W3962" s="44">
        <f>Planning[[#This Row],[Horas Planificadas]]+Planning[[#This Row],[Horas ajustadas adicionales]]</f>
        <v>0</v>
      </c>
      <c r="X3962" s="142"/>
    </row>
    <row r="3963" spans="1:24" ht="13.35" customHeight="1" x14ac:dyDescent="0.2">
      <c r="A3963" s="7" t="s">
        <v>483</v>
      </c>
      <c r="B3963" s="7" t="s">
        <v>288</v>
      </c>
      <c r="C3963" s="3"/>
      <c r="D3963" s="3" t="s">
        <v>698</v>
      </c>
      <c r="E3963" s="4"/>
      <c r="F3963" s="3" t="s">
        <v>126</v>
      </c>
      <c r="G3963" s="9"/>
      <c r="H3963" s="9"/>
      <c r="I3963" s="12"/>
      <c r="J3963" s="5" t="e">
        <f>SUM(SUMIFS(#REF!,#REF!,Planning[[#This Row],[Tipo de Tarea y especialidad]],#REF!,Planning[[#This Row],[Proyectos Reiwa]]),SUMIFS(#REF!,#REF!,Planning[[#This Row],[Tipo de Tarea y especialidad]],#REF!,Planning[[#This Row],[Proyectos]]))</f>
        <v>#REF!</v>
      </c>
      <c r="K3963" s="5" t="e">
        <f>+Planning[[#This Row],[Horas Planificadas]]+Planning[[#This Row],[Horas ajustadas adicionales]]-Planning[[#This Row],[Horas utilizadas]]</f>
        <v>#REF!</v>
      </c>
      <c r="L3963" s="7"/>
      <c r="M3963" s="19" t="e">
        <f>Planning[[#This Row],[Saldo]]-Planning[[#This Row],[Saldo estimado]]</f>
        <v>#REF!</v>
      </c>
      <c r="N3963" s="60" t="e">
        <f>+SUMIFS(#REF!,#REF!,Planning[[#This Row],[Proyectos]],#REF!,Planning[[#This Row],[Tipo de Tarea y especialidad]])</f>
        <v>#REF!</v>
      </c>
      <c r="O3963" s="19">
        <f t="shared" si="122"/>
        <v>10</v>
      </c>
      <c r="P3963" s="19">
        <f t="shared" si="123"/>
        <v>2024</v>
      </c>
      <c r="Q39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63" s="19" t="str">
        <f>TEXT(Planning[[#This Row],[Mes]]*29,"mmmm")</f>
        <v>October</v>
      </c>
      <c r="S39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63" s="208"/>
      <c r="U3963" s="43">
        <f>IF(Planning[[#This Row],[Horas Planificadas]]&lt;&gt;0,+K3963/Planning[[#This Row],[Horas Planificadas]],0)</f>
        <v>0</v>
      </c>
      <c r="V3963" s="43">
        <f>IF(Planning[[#This Row],[Horas Planificadas]]&lt;&gt;0,Planning[[#This Row],[Horas utilizadas]]/Planning[[#This Row],[Horas Planificadas]],0)</f>
        <v>0</v>
      </c>
      <c r="W3963" s="44">
        <f>Planning[[#This Row],[Horas Planificadas]]+Planning[[#This Row],[Horas ajustadas adicionales]]</f>
        <v>0</v>
      </c>
      <c r="X3963" s="142"/>
    </row>
    <row r="3964" spans="1:24" ht="13.35" customHeight="1" x14ac:dyDescent="0.2">
      <c r="A3964" s="7" t="s">
        <v>483</v>
      </c>
      <c r="B3964" s="7" t="s">
        <v>288</v>
      </c>
      <c r="C3964" s="3"/>
      <c r="D3964" s="3" t="s">
        <v>698</v>
      </c>
      <c r="E3964" s="4"/>
      <c r="F3964" s="3" t="s">
        <v>127</v>
      </c>
      <c r="G3964" s="9"/>
      <c r="H3964" s="9"/>
      <c r="I3964" s="12"/>
      <c r="J3964" s="5" t="e">
        <f>SUM(SUMIFS(#REF!,#REF!,Planning[[#This Row],[Tipo de Tarea y especialidad]],#REF!,Planning[[#This Row],[Proyectos Reiwa]]),SUMIFS(#REF!,#REF!,Planning[[#This Row],[Tipo de Tarea y especialidad]],#REF!,Planning[[#This Row],[Proyectos]]))</f>
        <v>#REF!</v>
      </c>
      <c r="K3964" s="5" t="e">
        <f>+Planning[[#This Row],[Horas Planificadas]]+Planning[[#This Row],[Horas ajustadas adicionales]]-Planning[[#This Row],[Horas utilizadas]]</f>
        <v>#REF!</v>
      </c>
      <c r="L3964" s="7"/>
      <c r="M3964" s="19" t="e">
        <f>Planning[[#This Row],[Saldo]]-Planning[[#This Row],[Saldo estimado]]</f>
        <v>#REF!</v>
      </c>
      <c r="N3964" s="60" t="e">
        <f>+SUMIFS(#REF!,#REF!,Planning[[#This Row],[Proyectos]],#REF!,Planning[[#This Row],[Tipo de Tarea y especialidad]])</f>
        <v>#REF!</v>
      </c>
      <c r="O3964" s="19">
        <f t="shared" si="122"/>
        <v>10</v>
      </c>
      <c r="P3964" s="19">
        <f t="shared" si="123"/>
        <v>2024</v>
      </c>
      <c r="Q39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64" s="19" t="str">
        <f>TEXT(Planning[[#This Row],[Mes]]*29,"mmmm")</f>
        <v>October</v>
      </c>
      <c r="S39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64" s="208"/>
      <c r="U3964" s="43">
        <f>IF(Planning[[#This Row],[Horas Planificadas]]&lt;&gt;0,+K3964/Planning[[#This Row],[Horas Planificadas]],0)</f>
        <v>0</v>
      </c>
      <c r="V3964" s="43">
        <f>IF(Planning[[#This Row],[Horas Planificadas]]&lt;&gt;0,Planning[[#This Row],[Horas utilizadas]]/Planning[[#This Row],[Horas Planificadas]],0)</f>
        <v>0</v>
      </c>
      <c r="W3964" s="44">
        <f>Planning[[#This Row],[Horas Planificadas]]+Planning[[#This Row],[Horas ajustadas adicionales]]</f>
        <v>0</v>
      </c>
      <c r="X3964" s="142"/>
    </row>
    <row r="3965" spans="1:24" ht="13.35" customHeight="1" x14ac:dyDescent="0.2">
      <c r="A3965" s="7" t="s">
        <v>483</v>
      </c>
      <c r="B3965" s="7" t="s">
        <v>288</v>
      </c>
      <c r="C3965" s="3"/>
      <c r="D3965" s="3" t="s">
        <v>698</v>
      </c>
      <c r="E3965" s="4"/>
      <c r="F3965" s="3" t="s">
        <v>128</v>
      </c>
      <c r="G3965" s="9">
        <v>18</v>
      </c>
      <c r="H3965" s="9">
        <v>18</v>
      </c>
      <c r="I3965" s="12"/>
      <c r="J3965" s="5" t="e">
        <f>SUM(SUMIFS(#REF!,#REF!,Planning[[#This Row],[Tipo de Tarea y especialidad]],#REF!,Planning[[#This Row],[Proyectos Reiwa]]),SUMIFS(#REF!,#REF!,Planning[[#This Row],[Tipo de Tarea y especialidad]],#REF!,Planning[[#This Row],[Proyectos]]))</f>
        <v>#REF!</v>
      </c>
      <c r="K3965" s="5" t="e">
        <f>+Planning[[#This Row],[Horas Planificadas]]+Planning[[#This Row],[Horas ajustadas adicionales]]-Planning[[#This Row],[Horas utilizadas]]</f>
        <v>#REF!</v>
      </c>
      <c r="L3965" s="7"/>
      <c r="M3965" s="19" t="e">
        <f>Planning[[#This Row],[Saldo]]-Planning[[#This Row],[Saldo estimado]]</f>
        <v>#REF!</v>
      </c>
      <c r="N3965" s="60" t="e">
        <f>+SUMIFS(#REF!,#REF!,Planning[[#This Row],[Proyectos]],#REF!,Planning[[#This Row],[Tipo de Tarea y especialidad]])</f>
        <v>#REF!</v>
      </c>
      <c r="O3965" s="19">
        <f t="shared" si="122"/>
        <v>10</v>
      </c>
      <c r="P3965" s="19">
        <f t="shared" si="123"/>
        <v>2024</v>
      </c>
      <c r="Q39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65" s="19" t="str">
        <f>TEXT(Planning[[#This Row],[Mes]]*29,"mmmm")</f>
        <v>October</v>
      </c>
      <c r="S39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65" s="208"/>
      <c r="U3965" s="43" t="e">
        <f>IF(Planning[[#This Row],[Horas Planificadas]]&lt;&gt;0,+K3965/Planning[[#This Row],[Horas Planificadas]],0)</f>
        <v>#REF!</v>
      </c>
      <c r="V3965" s="43" t="e">
        <f>IF(Planning[[#This Row],[Horas Planificadas]]&lt;&gt;0,Planning[[#This Row],[Horas utilizadas]]/Planning[[#This Row],[Horas Planificadas]],0)</f>
        <v>#REF!</v>
      </c>
      <c r="W3965" s="44">
        <f>Planning[[#This Row],[Horas Planificadas]]+Planning[[#This Row],[Horas ajustadas adicionales]]</f>
        <v>18</v>
      </c>
      <c r="X3965" s="142"/>
    </row>
    <row r="3966" spans="1:24" ht="13.35" customHeight="1" x14ac:dyDescent="0.2">
      <c r="A3966" s="7" t="s">
        <v>483</v>
      </c>
      <c r="B3966" s="7" t="s">
        <v>288</v>
      </c>
      <c r="C3966" s="3"/>
      <c r="D3966" s="3" t="s">
        <v>698</v>
      </c>
      <c r="E3966" s="4" t="s">
        <v>31</v>
      </c>
      <c r="F3966" s="3" t="s">
        <v>31</v>
      </c>
      <c r="G3966" s="9">
        <v>80</v>
      </c>
      <c r="H3966" s="17">
        <f>Planning[[#This Row],[Horas Precálculo]]</f>
        <v>80</v>
      </c>
      <c r="I3966" s="18"/>
      <c r="J3966" s="14" t="e">
        <f>+SUMIFS(#REF!,#REF!,Planning[[#This Row],[Tarifa]],#REF!,Planning[[#This Row],[Proyectos]])</f>
        <v>#REF!</v>
      </c>
      <c r="K3966" s="14" t="e">
        <f>+Planning[[#This Row],[Horas Planificadas]]+Planning[[#This Row],[Horas ajustadas adicionales]]-Planning[[#This Row],[Horas utilizadas]]</f>
        <v>#REF!</v>
      </c>
      <c r="L3966" s="15"/>
      <c r="M3966" s="16" t="e">
        <f>Planning[[#This Row],[Saldo]]-Planning[[#This Row],[Saldo estimado]]</f>
        <v>#REF!</v>
      </c>
      <c r="N3966" s="60" t="e">
        <f>+SUMIFS(#REF!,#REF!,Planning[[#This Row],[Proyectos]],#REF!,Planning[[#This Row],[Tipo de Tarea y especialidad]])</f>
        <v>#REF!</v>
      </c>
      <c r="O3966" s="16">
        <f t="shared" si="122"/>
        <v>10</v>
      </c>
      <c r="P3966" s="16">
        <f t="shared" si="123"/>
        <v>2024</v>
      </c>
      <c r="Q3966" s="16" t="e">
        <f>+SUMIFS(#REF!,#REF!,Planning[[#This Row],[Tarifa]],#REF!,Planning[[#This Row],[Proyectos]],#REF!,Planning[[#This Row],[Mes]],#REF!,Planning[[#This Row],[Año]])</f>
        <v>#REF!</v>
      </c>
      <c r="R3966" s="16" t="str">
        <f>TEXT(Planning[[#This Row],[Mes]]*29,"mmmm")</f>
        <v>October</v>
      </c>
      <c r="S39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66" s="208"/>
      <c r="U3966" s="43" t="e">
        <f>IF(Planning[[#This Row],[Horas Planificadas]]&lt;&gt;0,+K3966/Planning[[#This Row],[Horas Planificadas]],0)</f>
        <v>#REF!</v>
      </c>
      <c r="V3966" s="43" t="e">
        <f>IF(Planning[[#This Row],[Horas Planificadas]]&lt;&gt;0,Planning[[#This Row],[Horas utilizadas]]/Planning[[#This Row],[Horas Planificadas]],0)</f>
        <v>#REF!</v>
      </c>
      <c r="W3966" s="44">
        <f>Planning[[#This Row],[Horas Planificadas]]+Planning[[#This Row],[Horas ajustadas adicionales]]</f>
        <v>80</v>
      </c>
      <c r="X3966" s="142"/>
    </row>
    <row r="3967" spans="1:24" ht="13.35" customHeight="1" x14ac:dyDescent="0.2">
      <c r="A3967" s="7" t="s">
        <v>483</v>
      </c>
      <c r="B3967" s="7" t="s">
        <v>288</v>
      </c>
      <c r="C3967" s="3"/>
      <c r="D3967" s="3" t="s">
        <v>698</v>
      </c>
      <c r="E3967" s="4" t="s">
        <v>32</v>
      </c>
      <c r="F3967" s="3"/>
      <c r="G3967" s="9">
        <v>60</v>
      </c>
      <c r="H3967" s="14">
        <f>SUM(H3968:H3970)</f>
        <v>60</v>
      </c>
      <c r="I3967" s="14"/>
      <c r="J3967" s="14" t="e">
        <f>SUM(J3968:J3970)</f>
        <v>#REF!</v>
      </c>
      <c r="K3967" s="14" t="e">
        <f>+Planning[[#This Row],[Horas Planificadas]]+Planning[[#This Row],[Horas ajustadas adicionales]]-Planning[[#This Row],[Horas utilizadas]]</f>
        <v>#REF!</v>
      </c>
      <c r="L3967" s="15"/>
      <c r="M3967" s="16" t="e">
        <f>SUM(M3968:M3970)</f>
        <v>#REF!</v>
      </c>
      <c r="N3967" s="60" t="e">
        <f>+SUMIFS(#REF!,#REF!,Planning[[#This Row],[Proyectos]],#REF!,Planning[[#This Row],[Tipo de Tarea y especialidad]])</f>
        <v>#REF!</v>
      </c>
      <c r="O3967" s="16">
        <f t="shared" si="122"/>
        <v>10</v>
      </c>
      <c r="P3967" s="16">
        <f t="shared" si="123"/>
        <v>2024</v>
      </c>
      <c r="Q3967" s="16" t="e">
        <f>SUM(Q3968:Q3970)</f>
        <v>#REF!</v>
      </c>
      <c r="R3967" s="16" t="str">
        <f>TEXT(Planning[[#This Row],[Mes]]*29,"mmmm")</f>
        <v>October</v>
      </c>
      <c r="S39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67" s="208"/>
      <c r="U3967" s="43" t="e">
        <f>IF(Planning[[#This Row],[Horas Planificadas]]&lt;&gt;0,+K3967/Planning[[#This Row],[Horas Planificadas]],0)</f>
        <v>#REF!</v>
      </c>
      <c r="V3967" s="43" t="e">
        <f>IF(Planning[[#This Row],[Horas Planificadas]]&lt;&gt;0,Planning[[#This Row],[Horas utilizadas]]/Planning[[#This Row],[Horas Planificadas]],0)</f>
        <v>#REF!</v>
      </c>
      <c r="W3967" s="44">
        <f>Planning[[#This Row],[Horas Planificadas]]+Planning[[#This Row],[Horas ajustadas adicionales]]</f>
        <v>60</v>
      </c>
      <c r="X3967" s="142"/>
    </row>
    <row r="3968" spans="1:24" ht="13.35" customHeight="1" x14ac:dyDescent="0.2">
      <c r="A3968" s="7" t="s">
        <v>483</v>
      </c>
      <c r="B3968" s="7" t="s">
        <v>288</v>
      </c>
      <c r="C3968" s="3"/>
      <c r="D3968" s="3" t="s">
        <v>698</v>
      </c>
      <c r="E3968" s="4"/>
      <c r="F3968" s="3" t="s">
        <v>129</v>
      </c>
      <c r="G3968" s="9"/>
      <c r="H3968" s="9"/>
      <c r="I3968" s="12"/>
      <c r="J3968" s="5" t="e">
        <f>SUM(SUMIFS(#REF!,#REF!,Planning[[#This Row],[Tipo de Tarea y especialidad]],#REF!,Planning[[#This Row],[Proyectos Reiwa]]),SUMIFS(#REF!,#REF!,Planning[[#This Row],[Tipo de Tarea y especialidad]],#REF!,Planning[[#This Row],[Proyectos]]))</f>
        <v>#REF!</v>
      </c>
      <c r="K3968" s="5" t="e">
        <f>+Planning[[#This Row],[Horas Planificadas]]+Planning[[#This Row],[Horas ajustadas adicionales]]-Planning[[#This Row],[Horas utilizadas]]</f>
        <v>#REF!</v>
      </c>
      <c r="L3968" s="7"/>
      <c r="M3968" s="19" t="e">
        <f>Planning[[#This Row],[Saldo]]-Planning[[#This Row],[Saldo estimado]]</f>
        <v>#REF!</v>
      </c>
      <c r="N3968" s="60" t="e">
        <f>+SUMIFS(#REF!,#REF!,Planning[[#This Row],[Proyectos]],#REF!,Planning[[#This Row],[Tipo de Tarea y especialidad]])</f>
        <v>#REF!</v>
      </c>
      <c r="O3968" s="19">
        <f t="shared" si="122"/>
        <v>10</v>
      </c>
      <c r="P3968" s="19">
        <f t="shared" si="123"/>
        <v>2024</v>
      </c>
      <c r="Q39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68" s="19" t="str">
        <f>TEXT(Planning[[#This Row],[Mes]]*29,"mmmm")</f>
        <v>October</v>
      </c>
      <c r="S39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68" s="208"/>
      <c r="U3968" s="43">
        <f>IF(Planning[[#This Row],[Horas Planificadas]]&lt;&gt;0,+K3968/Planning[[#This Row],[Horas Planificadas]],0)</f>
        <v>0</v>
      </c>
      <c r="V3968" s="43">
        <f>IF(Planning[[#This Row],[Horas Planificadas]]&lt;&gt;0,Planning[[#This Row],[Horas utilizadas]]/Planning[[#This Row],[Horas Planificadas]],0)</f>
        <v>0</v>
      </c>
      <c r="W3968" s="44">
        <f>Planning[[#This Row],[Horas Planificadas]]+Planning[[#This Row],[Horas ajustadas adicionales]]</f>
        <v>0</v>
      </c>
      <c r="X3968" s="142"/>
    </row>
    <row r="3969" spans="1:24" ht="13.35" customHeight="1" x14ac:dyDescent="0.2">
      <c r="A3969" s="7" t="s">
        <v>483</v>
      </c>
      <c r="B3969" s="7" t="s">
        <v>288</v>
      </c>
      <c r="C3969" s="3"/>
      <c r="D3969" s="3" t="s">
        <v>698</v>
      </c>
      <c r="E3969" s="4"/>
      <c r="F3969" s="3" t="s">
        <v>130</v>
      </c>
      <c r="G3969" s="9"/>
      <c r="H3969" s="9"/>
      <c r="I3969" s="12"/>
      <c r="J3969" s="5" t="e">
        <f>SUM(SUMIFS(#REF!,#REF!,Planning[[#This Row],[Tipo de Tarea y especialidad]],#REF!,Planning[[#This Row],[Proyectos Reiwa]]),SUMIFS(#REF!,#REF!,Planning[[#This Row],[Tipo de Tarea y especialidad]],#REF!,Planning[[#This Row],[Proyectos]]))</f>
        <v>#REF!</v>
      </c>
      <c r="K3969" s="5" t="e">
        <f>+Planning[[#This Row],[Horas Planificadas]]+Planning[[#This Row],[Horas ajustadas adicionales]]-Planning[[#This Row],[Horas utilizadas]]</f>
        <v>#REF!</v>
      </c>
      <c r="L3969" s="7"/>
      <c r="M3969" s="19" t="e">
        <f>Planning[[#This Row],[Saldo]]-Planning[[#This Row],[Saldo estimado]]</f>
        <v>#REF!</v>
      </c>
      <c r="N3969" s="60" t="e">
        <f>+SUMIFS(#REF!,#REF!,Planning[[#This Row],[Proyectos]],#REF!,Planning[[#This Row],[Tipo de Tarea y especialidad]])</f>
        <v>#REF!</v>
      </c>
      <c r="O3969" s="19">
        <f t="shared" si="122"/>
        <v>10</v>
      </c>
      <c r="P3969" s="19">
        <f t="shared" si="123"/>
        <v>2024</v>
      </c>
      <c r="Q39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69" s="19" t="str">
        <f>TEXT(Planning[[#This Row],[Mes]]*29,"mmmm")</f>
        <v>October</v>
      </c>
      <c r="S39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69" s="208"/>
      <c r="U3969" s="43">
        <f>IF(Planning[[#This Row],[Horas Planificadas]]&lt;&gt;0,+K3969/Planning[[#This Row],[Horas Planificadas]],0)</f>
        <v>0</v>
      </c>
      <c r="V3969" s="43">
        <f>IF(Planning[[#This Row],[Horas Planificadas]]&lt;&gt;0,Planning[[#This Row],[Horas utilizadas]]/Planning[[#This Row],[Horas Planificadas]],0)</f>
        <v>0</v>
      </c>
      <c r="W3969" s="44">
        <f>Planning[[#This Row],[Horas Planificadas]]+Planning[[#This Row],[Horas ajustadas adicionales]]</f>
        <v>0</v>
      </c>
      <c r="X3969" s="142"/>
    </row>
    <row r="3970" spans="1:24" ht="13.35" customHeight="1" x14ac:dyDescent="0.2">
      <c r="A3970" s="7" t="s">
        <v>483</v>
      </c>
      <c r="B3970" s="7" t="s">
        <v>288</v>
      </c>
      <c r="C3970" s="3"/>
      <c r="D3970" s="3" t="s">
        <v>698</v>
      </c>
      <c r="E3970" s="4"/>
      <c r="F3970" s="3" t="s">
        <v>131</v>
      </c>
      <c r="G3970" s="9">
        <v>60</v>
      </c>
      <c r="H3970" s="9">
        <v>60</v>
      </c>
      <c r="I3970" s="12"/>
      <c r="J3970" s="5" t="e">
        <f>SUM(SUMIFS(#REF!,#REF!,Planning[[#This Row],[Tipo de Tarea y especialidad]],#REF!,Planning[[#This Row],[Proyectos Reiwa]]),SUMIFS(#REF!,#REF!,Planning[[#This Row],[Tipo de Tarea y especialidad]],#REF!,Planning[[#This Row],[Proyectos]]))</f>
        <v>#REF!</v>
      </c>
      <c r="K3970" s="5" t="e">
        <f>+Planning[[#This Row],[Horas Planificadas]]+Planning[[#This Row],[Horas ajustadas adicionales]]-Planning[[#This Row],[Horas utilizadas]]</f>
        <v>#REF!</v>
      </c>
      <c r="L3970" s="7"/>
      <c r="M3970" s="19" t="e">
        <f>Planning[[#This Row],[Saldo]]-Planning[[#This Row],[Saldo estimado]]</f>
        <v>#REF!</v>
      </c>
      <c r="N3970" s="60" t="e">
        <f>+SUMIFS(#REF!,#REF!,Planning[[#This Row],[Proyectos]],#REF!,Planning[[#This Row],[Tipo de Tarea y especialidad]])</f>
        <v>#REF!</v>
      </c>
      <c r="O3970" s="19">
        <f t="shared" si="122"/>
        <v>10</v>
      </c>
      <c r="P3970" s="19">
        <f t="shared" si="123"/>
        <v>2024</v>
      </c>
      <c r="Q39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70" s="19" t="str">
        <f>TEXT(Planning[[#This Row],[Mes]]*29,"mmmm")</f>
        <v>October</v>
      </c>
      <c r="S39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70" s="208"/>
      <c r="U3970" s="43" t="e">
        <f>IF(Planning[[#This Row],[Horas Planificadas]]&lt;&gt;0,+K3970/Planning[[#This Row],[Horas Planificadas]],0)</f>
        <v>#REF!</v>
      </c>
      <c r="V3970" s="43" t="e">
        <f>IF(Planning[[#This Row],[Horas Planificadas]]&lt;&gt;0,Planning[[#This Row],[Horas utilizadas]]/Planning[[#This Row],[Horas Planificadas]],0)</f>
        <v>#REF!</v>
      </c>
      <c r="W3970" s="44">
        <f>Planning[[#This Row],[Horas Planificadas]]+Planning[[#This Row],[Horas ajustadas adicionales]]</f>
        <v>60</v>
      </c>
      <c r="X3970" s="142"/>
    </row>
    <row r="3971" spans="1:24" ht="22.5" x14ac:dyDescent="0.2">
      <c r="A3971" s="7" t="s">
        <v>483</v>
      </c>
      <c r="B3971" s="7" t="s">
        <v>205</v>
      </c>
      <c r="C3971" s="3"/>
      <c r="D3971" s="3" t="s">
        <v>700</v>
      </c>
      <c r="E3971" s="4" t="s">
        <v>28</v>
      </c>
      <c r="F3971" s="3"/>
      <c r="G3971" s="9"/>
      <c r="H3971" s="14">
        <f>SUM(H3972:H3973)</f>
        <v>0</v>
      </c>
      <c r="I3971" s="14"/>
      <c r="J3971" s="14" t="e">
        <f>SUM(J3972:J3973)</f>
        <v>#REF!</v>
      </c>
      <c r="K3971" s="14" t="e">
        <f>+Planning[[#This Row],[Horas Planificadas]]+Planning[[#This Row],[Horas ajustadas adicionales]]-Planning[[#This Row],[Horas utilizadas]]</f>
        <v>#REF!</v>
      </c>
      <c r="L3971" s="15">
        <f>SUM(L3972:L3973)</f>
        <v>0</v>
      </c>
      <c r="M3971" s="14" t="e">
        <f>SUM(M3972:M3973)</f>
        <v>#REF!</v>
      </c>
      <c r="N3971" s="66" t="e">
        <f>+SUMIFS(#REF!,#REF!,Planning[[#This Row],[Proyectos]],#REF!,Planning[[#This Row],[Tipo de Tarea y especialidad]])</f>
        <v>#REF!</v>
      </c>
      <c r="O3971" s="14">
        <f t="shared" si="122"/>
        <v>10</v>
      </c>
      <c r="P3971" s="14">
        <f t="shared" si="123"/>
        <v>2024</v>
      </c>
      <c r="Q3971" s="28" t="e">
        <f>SUM(Q3972:Q3973)</f>
        <v>#REF!</v>
      </c>
      <c r="R3971" s="28" t="str">
        <f>TEXT(Planning[[#This Row],[Mes]]*29,"mmmm")</f>
        <v>October</v>
      </c>
      <c r="S39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71" s="220" t="s">
        <v>701</v>
      </c>
      <c r="U3971" s="43">
        <f>IF(Planning[[#This Row],[Horas Planificadas]]&lt;&gt;0,+K3971/Planning[[#This Row],[Horas Planificadas]],0)</f>
        <v>0</v>
      </c>
      <c r="V3971" s="43">
        <f>IF(Planning[[#This Row],[Horas Planificadas]]&lt;&gt;0,Planning[[#This Row],[Horas utilizadas]]/Planning[[#This Row],[Horas Planificadas]],0)</f>
        <v>0</v>
      </c>
      <c r="W3971" s="44">
        <f>Planning[[#This Row],[Horas Planificadas]]+Planning[[#This Row],[Horas ajustadas adicionales]]</f>
        <v>0</v>
      </c>
      <c r="X3971" s="142"/>
    </row>
    <row r="3972" spans="1:24" x14ac:dyDescent="0.2">
      <c r="A3972" s="7" t="s">
        <v>483</v>
      </c>
      <c r="B3972" s="7" t="s">
        <v>205</v>
      </c>
      <c r="C3972" s="3"/>
      <c r="D3972" s="3" t="s">
        <v>700</v>
      </c>
      <c r="E3972" s="4"/>
      <c r="F3972" s="3" t="s">
        <v>120</v>
      </c>
      <c r="G3972" s="9"/>
      <c r="H3972" s="9"/>
      <c r="I3972" s="12"/>
      <c r="J3972" s="5" t="e">
        <f>SUM(SUMIFS(#REF!,#REF!,Planning[[#This Row],[Tipo de Tarea y especialidad]],#REF!,Planning[[#This Row],[Proyectos Reiwa]]),SUMIFS(#REF!,#REF!,Planning[[#This Row],[Tipo de Tarea y especialidad]],#REF!,Planning[[#This Row],[Proyectos]]))</f>
        <v>#REF!</v>
      </c>
      <c r="K3972" s="5" t="e">
        <f>+Planning[[#This Row],[Horas Planificadas]]+Planning[[#This Row],[Horas ajustadas adicionales]]-Planning[[#This Row],[Horas utilizadas]]</f>
        <v>#REF!</v>
      </c>
      <c r="L3972" s="7"/>
      <c r="M3972" s="19" t="e">
        <f>Planning[[#This Row],[Saldo]]-Planning[[#This Row],[Saldo estimado]]</f>
        <v>#REF!</v>
      </c>
      <c r="N3972" s="60" t="e">
        <f>+SUMIFS(#REF!,#REF!,Planning[[#This Row],[Proyectos]],#REF!,Planning[[#This Row],[Tipo de Tarea y especialidad]])</f>
        <v>#REF!</v>
      </c>
      <c r="O3972" s="19">
        <f t="shared" si="122"/>
        <v>10</v>
      </c>
      <c r="P3972" s="19">
        <f t="shared" si="123"/>
        <v>2024</v>
      </c>
      <c r="Q39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72" s="19" t="str">
        <f>TEXT(Planning[[#This Row],[Mes]]*29,"mmmm")</f>
        <v>October</v>
      </c>
      <c r="S39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72" s="210"/>
      <c r="U3972" s="43">
        <f>IF(Planning[[#This Row],[Horas Planificadas]]&lt;&gt;0,+K3972/Planning[[#This Row],[Horas Planificadas]],0)</f>
        <v>0</v>
      </c>
      <c r="V3972" s="43">
        <f>IF(Planning[[#This Row],[Horas Planificadas]]&lt;&gt;0,Planning[[#This Row],[Horas utilizadas]]/Planning[[#This Row],[Horas Planificadas]],0)</f>
        <v>0</v>
      </c>
      <c r="W3972" s="44">
        <f>Planning[[#This Row],[Horas Planificadas]]+Planning[[#This Row],[Horas ajustadas adicionales]]</f>
        <v>0</v>
      </c>
      <c r="X3972" s="142"/>
    </row>
    <row r="3973" spans="1:24" x14ac:dyDescent="0.2">
      <c r="A3973" s="7" t="s">
        <v>483</v>
      </c>
      <c r="B3973" s="7" t="s">
        <v>205</v>
      </c>
      <c r="C3973" s="3"/>
      <c r="D3973" s="3" t="s">
        <v>700</v>
      </c>
      <c r="E3973" s="4"/>
      <c r="F3973" s="3" t="s">
        <v>121</v>
      </c>
      <c r="G3973" s="9"/>
      <c r="H3973" s="9"/>
      <c r="I3973" s="12"/>
      <c r="J3973" s="5" t="e">
        <f>SUM(SUMIFS(#REF!,#REF!,Planning[[#This Row],[Tipo de Tarea y especialidad]],#REF!,Planning[[#This Row],[Proyectos Reiwa]]),SUMIFS(#REF!,#REF!,Planning[[#This Row],[Tipo de Tarea y especialidad]],#REF!,Planning[[#This Row],[Proyectos]]))</f>
        <v>#REF!</v>
      </c>
      <c r="K3973" s="5" t="e">
        <f>+Planning[[#This Row],[Horas Planificadas]]+Planning[[#This Row],[Horas ajustadas adicionales]]-Planning[[#This Row],[Horas utilizadas]]</f>
        <v>#REF!</v>
      </c>
      <c r="L3973" s="7">
        <v>0</v>
      </c>
      <c r="M3973" s="19" t="e">
        <f>Planning[[#This Row],[Saldo]]-Planning[[#This Row],[Saldo estimado]]</f>
        <v>#REF!</v>
      </c>
      <c r="N3973" s="60" t="e">
        <f>+SUMIFS(#REF!,#REF!,Planning[[#This Row],[Proyectos]],#REF!,Planning[[#This Row],[Tipo de Tarea y especialidad]])</f>
        <v>#REF!</v>
      </c>
      <c r="O3973" s="19">
        <f t="shared" si="122"/>
        <v>10</v>
      </c>
      <c r="P3973" s="19">
        <f t="shared" si="123"/>
        <v>2024</v>
      </c>
      <c r="Q39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73" s="19" t="str">
        <f>TEXT(Planning[[#This Row],[Mes]]*29,"mmmm")</f>
        <v>October</v>
      </c>
      <c r="S39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73" s="210"/>
      <c r="U3973" s="43">
        <f>IF(Planning[[#This Row],[Horas Planificadas]]&lt;&gt;0,+K3973/Planning[[#This Row],[Horas Planificadas]],0)</f>
        <v>0</v>
      </c>
      <c r="V3973" s="43">
        <f>IF(Planning[[#This Row],[Horas Planificadas]]&lt;&gt;0,Planning[[#This Row],[Horas utilizadas]]/Planning[[#This Row],[Horas Planificadas]],0)</f>
        <v>0</v>
      </c>
      <c r="W3973" s="44">
        <f>Planning[[#This Row],[Horas Planificadas]]+Planning[[#This Row],[Horas ajustadas adicionales]]</f>
        <v>0</v>
      </c>
      <c r="X3973" s="142"/>
    </row>
    <row r="3974" spans="1:24" x14ac:dyDescent="0.2">
      <c r="A3974" s="7" t="s">
        <v>483</v>
      </c>
      <c r="B3974" s="7" t="s">
        <v>205</v>
      </c>
      <c r="C3974" s="3"/>
      <c r="D3974" s="3" t="s">
        <v>700</v>
      </c>
      <c r="E3974" s="4" t="s">
        <v>30</v>
      </c>
      <c r="F3974" s="3"/>
      <c r="G3974" s="9">
        <v>500</v>
      </c>
      <c r="H3974" s="14">
        <f>SUM(H3975:H3981)</f>
        <v>500</v>
      </c>
      <c r="I3974" s="14"/>
      <c r="J3974" s="14" t="e">
        <f>SUM(J3975:J3981)</f>
        <v>#REF!</v>
      </c>
      <c r="K3974" s="14" t="e">
        <f>+Planning[[#This Row],[Horas Planificadas]]+Planning[[#This Row],[Horas ajustadas adicionales]]-Planning[[#This Row],[Horas utilizadas]]</f>
        <v>#REF!</v>
      </c>
      <c r="L3974" s="15" t="e">
        <f>SUM(L3975:L3981)</f>
        <v>#REF!</v>
      </c>
      <c r="M3974" s="16" t="e">
        <f>SUM(M3975:M3981)</f>
        <v>#REF!</v>
      </c>
      <c r="N3974" s="60" t="e">
        <f>+SUMIFS(#REF!,#REF!,Planning[[#This Row],[Proyectos]],#REF!,Planning[[#This Row],[Tipo de Tarea y especialidad]])</f>
        <v>#REF!</v>
      </c>
      <c r="O3974" s="16">
        <f t="shared" si="122"/>
        <v>10</v>
      </c>
      <c r="P3974" s="16">
        <f t="shared" si="123"/>
        <v>2024</v>
      </c>
      <c r="Q3974" s="16" t="e">
        <f>SUM(Q3975:Q3981)</f>
        <v>#REF!</v>
      </c>
      <c r="R3974" s="16" t="str">
        <f>TEXT(Planning[[#This Row],[Mes]]*29,"mmmm")</f>
        <v>October</v>
      </c>
      <c r="S39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74" s="210"/>
      <c r="U3974" s="43" t="e">
        <f>IF(Planning[[#This Row],[Horas Planificadas]]&lt;&gt;0,+K3974/Planning[[#This Row],[Horas Planificadas]],0)</f>
        <v>#REF!</v>
      </c>
      <c r="V3974" s="43" t="e">
        <f>IF(Planning[[#This Row],[Horas Planificadas]]&lt;&gt;0,Planning[[#This Row],[Horas utilizadas]]/Planning[[#This Row],[Horas Planificadas]],0)</f>
        <v>#REF!</v>
      </c>
      <c r="W3974" s="44">
        <f>Planning[[#This Row],[Horas Planificadas]]+Planning[[#This Row],[Horas ajustadas adicionales]]</f>
        <v>500</v>
      </c>
      <c r="X3974" s="142"/>
    </row>
    <row r="3975" spans="1:24" x14ac:dyDescent="0.2">
      <c r="A3975" s="7" t="s">
        <v>483</v>
      </c>
      <c r="B3975" s="7" t="s">
        <v>205</v>
      </c>
      <c r="C3975" s="3"/>
      <c r="D3975" s="3" t="s">
        <v>700</v>
      </c>
      <c r="E3975" s="4"/>
      <c r="F3975" s="3" t="s">
        <v>122</v>
      </c>
      <c r="G3975" s="9"/>
      <c r="H3975" s="9"/>
      <c r="I3975" s="12"/>
      <c r="J3975" s="5" t="e">
        <f>SUM(SUMIFS(#REF!,#REF!,Planning[[#This Row],[Tipo de Tarea y especialidad]],#REF!,Planning[[#This Row],[Proyectos Reiwa]]),SUMIFS(#REF!,#REF!,Planning[[#This Row],[Tipo de Tarea y especialidad]],#REF!,Planning[[#This Row],[Proyectos]]))</f>
        <v>#REF!</v>
      </c>
      <c r="K3975" s="5" t="e">
        <f>+Planning[[#This Row],[Horas Planificadas]]+Planning[[#This Row],[Horas ajustadas adicionales]]-Planning[[#This Row],[Horas utilizadas]]</f>
        <v>#REF!</v>
      </c>
      <c r="L3975" s="7"/>
      <c r="M3975" s="19" t="e">
        <f>Planning[[#This Row],[Saldo]]-Planning[[#This Row],[Saldo estimado]]</f>
        <v>#REF!</v>
      </c>
      <c r="N3975" s="60" t="e">
        <f>+SUMIFS(#REF!,#REF!,Planning[[#This Row],[Proyectos]],#REF!,Planning[[#This Row],[Tipo de Tarea y especialidad]])</f>
        <v>#REF!</v>
      </c>
      <c r="O3975" s="19">
        <f t="shared" ref="O3975:O4038" si="124">$L$4</f>
        <v>10</v>
      </c>
      <c r="P3975" s="19">
        <f t="shared" ref="P3975:P4038" si="125">$M$4</f>
        <v>2024</v>
      </c>
      <c r="Q39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75" s="19" t="str">
        <f>TEXT(Planning[[#This Row],[Mes]]*29,"mmmm")</f>
        <v>October</v>
      </c>
      <c r="S39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75" s="210"/>
      <c r="U3975" s="43">
        <f>IF(Planning[[#This Row],[Horas Planificadas]]&lt;&gt;0,+K3975/Planning[[#This Row],[Horas Planificadas]],0)</f>
        <v>0</v>
      </c>
      <c r="V3975" s="43">
        <f>IF(Planning[[#This Row],[Horas Planificadas]]&lt;&gt;0,Planning[[#This Row],[Horas utilizadas]]/Planning[[#This Row],[Horas Planificadas]],0)</f>
        <v>0</v>
      </c>
      <c r="W3975" s="44">
        <f>Planning[[#This Row],[Horas Planificadas]]+Planning[[#This Row],[Horas ajustadas adicionales]]</f>
        <v>0</v>
      </c>
      <c r="X3975" s="142"/>
    </row>
    <row r="3976" spans="1:24" x14ac:dyDescent="0.2">
      <c r="A3976" s="7" t="s">
        <v>483</v>
      </c>
      <c r="B3976" s="7" t="s">
        <v>205</v>
      </c>
      <c r="C3976" s="3"/>
      <c r="D3976" s="3" t="s">
        <v>700</v>
      </c>
      <c r="E3976" s="4"/>
      <c r="F3976" s="3" t="s">
        <v>123</v>
      </c>
      <c r="G3976" s="9"/>
      <c r="H3976" s="9">
        <v>410</v>
      </c>
      <c r="I3976" s="12"/>
      <c r="J3976" s="5" t="e">
        <f>SUM(SUMIFS(#REF!,#REF!,Planning[[#This Row],[Tipo de Tarea y especialidad]],#REF!,Planning[[#This Row],[Proyectos Reiwa]]),SUMIFS(#REF!,#REF!,Planning[[#This Row],[Tipo de Tarea y especialidad]],#REF!,Planning[[#This Row],[Proyectos]]))</f>
        <v>#REF!</v>
      </c>
      <c r="K3976" s="5" t="e">
        <f>+Planning[[#This Row],[Horas Planificadas]]+Planning[[#This Row],[Horas ajustadas adicionales]]-Planning[[#This Row],[Horas utilizadas]]</f>
        <v>#REF!</v>
      </c>
      <c r="L3976" s="7" t="e">
        <f>Planning[[#This Row],[Saldo]]+M3972+M3973+M3978+M3980</f>
        <v>#REF!</v>
      </c>
      <c r="M3976" s="19" t="e">
        <f>Planning[[#This Row],[Saldo]]-Planning[[#This Row],[Saldo estimado]]</f>
        <v>#REF!</v>
      </c>
      <c r="N3976" s="60" t="e">
        <f>+SUMIFS(#REF!,#REF!,Planning[[#This Row],[Proyectos]],#REF!,Planning[[#This Row],[Tipo de Tarea y especialidad]])</f>
        <v>#REF!</v>
      </c>
      <c r="O3976" s="19">
        <f t="shared" si="124"/>
        <v>10</v>
      </c>
      <c r="P3976" s="19">
        <f t="shared" si="125"/>
        <v>2024</v>
      </c>
      <c r="Q39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76" s="19" t="str">
        <f>TEXT(Planning[[#This Row],[Mes]]*29,"mmmm")</f>
        <v>October</v>
      </c>
      <c r="S39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76" s="210"/>
      <c r="U3976" s="43" t="e">
        <f>IF(Planning[[#This Row],[Horas Planificadas]]&lt;&gt;0,+K3976/Planning[[#This Row],[Horas Planificadas]],0)</f>
        <v>#REF!</v>
      </c>
      <c r="V3976" s="43" t="e">
        <f>IF(Planning[[#This Row],[Horas Planificadas]]&lt;&gt;0,Planning[[#This Row],[Horas utilizadas]]/Planning[[#This Row],[Horas Planificadas]],0)</f>
        <v>#REF!</v>
      </c>
      <c r="W3976" s="44">
        <f>Planning[[#This Row],[Horas Planificadas]]+Planning[[#This Row],[Horas ajustadas adicionales]]</f>
        <v>410</v>
      </c>
      <c r="X3976" s="142"/>
    </row>
    <row r="3977" spans="1:24" x14ac:dyDescent="0.2">
      <c r="A3977" s="7" t="s">
        <v>483</v>
      </c>
      <c r="B3977" s="7" t="s">
        <v>205</v>
      </c>
      <c r="C3977" s="3"/>
      <c r="D3977" s="3" t="s">
        <v>700</v>
      </c>
      <c r="E3977" s="4"/>
      <c r="F3977" s="3" t="s">
        <v>124</v>
      </c>
      <c r="G3977" s="9"/>
      <c r="H3977" s="9"/>
      <c r="I3977" s="12"/>
      <c r="J3977" s="5" t="e">
        <f>SUM(SUMIFS(#REF!,#REF!,Planning[[#This Row],[Tipo de Tarea y especialidad]],#REF!,Planning[[#This Row],[Proyectos Reiwa]]),SUMIFS(#REF!,#REF!,Planning[[#This Row],[Tipo de Tarea y especialidad]],#REF!,Planning[[#This Row],[Proyectos]]))</f>
        <v>#REF!</v>
      </c>
      <c r="K3977" s="5" t="e">
        <f>+Planning[[#This Row],[Horas Planificadas]]+Planning[[#This Row],[Horas ajustadas adicionales]]-Planning[[#This Row],[Horas utilizadas]]</f>
        <v>#REF!</v>
      </c>
      <c r="L3977" s="7"/>
      <c r="M3977" s="19" t="e">
        <f>Planning[[#This Row],[Saldo]]-Planning[[#This Row],[Saldo estimado]]</f>
        <v>#REF!</v>
      </c>
      <c r="N3977" s="60" t="e">
        <f>+SUMIFS(#REF!,#REF!,Planning[[#This Row],[Proyectos]],#REF!,Planning[[#This Row],[Tipo de Tarea y especialidad]])</f>
        <v>#REF!</v>
      </c>
      <c r="O3977" s="19">
        <f t="shared" si="124"/>
        <v>10</v>
      </c>
      <c r="P3977" s="19">
        <f t="shared" si="125"/>
        <v>2024</v>
      </c>
      <c r="Q39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77" s="19" t="str">
        <f>TEXT(Planning[[#This Row],[Mes]]*29,"mmmm")</f>
        <v>October</v>
      </c>
      <c r="S39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77" s="210"/>
      <c r="U3977" s="43">
        <f>IF(Planning[[#This Row],[Horas Planificadas]]&lt;&gt;0,+K3977/Planning[[#This Row],[Horas Planificadas]],0)</f>
        <v>0</v>
      </c>
      <c r="V3977" s="43">
        <f>IF(Planning[[#This Row],[Horas Planificadas]]&lt;&gt;0,Planning[[#This Row],[Horas utilizadas]]/Planning[[#This Row],[Horas Planificadas]],0)</f>
        <v>0</v>
      </c>
      <c r="W3977" s="44">
        <f>Planning[[#This Row],[Horas Planificadas]]+Planning[[#This Row],[Horas ajustadas adicionales]]</f>
        <v>0</v>
      </c>
      <c r="X3977" s="142"/>
    </row>
    <row r="3978" spans="1:24" x14ac:dyDescent="0.2">
      <c r="A3978" s="7" t="s">
        <v>483</v>
      </c>
      <c r="B3978" s="7" t="s">
        <v>205</v>
      </c>
      <c r="C3978" s="3"/>
      <c r="D3978" s="3" t="s">
        <v>700</v>
      </c>
      <c r="E3978" s="4"/>
      <c r="F3978" s="3" t="s">
        <v>125</v>
      </c>
      <c r="G3978" s="9"/>
      <c r="H3978" s="9">
        <v>90</v>
      </c>
      <c r="I3978" s="12"/>
      <c r="J3978" s="5" t="e">
        <f>SUM(SUMIFS(#REF!,#REF!,Planning[[#This Row],[Tipo de Tarea y especialidad]],#REF!,Planning[[#This Row],[Proyectos Reiwa]]),SUMIFS(#REF!,#REF!,Planning[[#This Row],[Tipo de Tarea y especialidad]],#REF!,Planning[[#This Row],[Proyectos]]))</f>
        <v>#REF!</v>
      </c>
      <c r="K3978" s="5" t="e">
        <f>+Planning[[#This Row],[Horas Planificadas]]+Planning[[#This Row],[Horas ajustadas adicionales]]-Planning[[#This Row],[Horas utilizadas]]</f>
        <v>#REF!</v>
      </c>
      <c r="L3978" s="7">
        <v>0</v>
      </c>
      <c r="M3978" s="19" t="e">
        <f>Planning[[#This Row],[Saldo]]-Planning[[#This Row],[Saldo estimado]]</f>
        <v>#REF!</v>
      </c>
      <c r="N3978" s="60" t="e">
        <f>+SUMIFS(#REF!,#REF!,Planning[[#This Row],[Proyectos]],#REF!,Planning[[#This Row],[Tipo de Tarea y especialidad]])</f>
        <v>#REF!</v>
      </c>
      <c r="O3978" s="19">
        <f t="shared" si="124"/>
        <v>10</v>
      </c>
      <c r="P3978" s="19">
        <f t="shared" si="125"/>
        <v>2024</v>
      </c>
      <c r="Q39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78" s="19" t="str">
        <f>TEXT(Planning[[#This Row],[Mes]]*29,"mmmm")</f>
        <v>October</v>
      </c>
      <c r="S39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78" s="210"/>
      <c r="U3978" s="43" t="e">
        <f>IF(Planning[[#This Row],[Horas Planificadas]]&lt;&gt;0,+K3978/Planning[[#This Row],[Horas Planificadas]],0)</f>
        <v>#REF!</v>
      </c>
      <c r="V3978" s="43" t="e">
        <f>IF(Planning[[#This Row],[Horas Planificadas]]&lt;&gt;0,Planning[[#This Row],[Horas utilizadas]]/Planning[[#This Row],[Horas Planificadas]],0)</f>
        <v>#REF!</v>
      </c>
      <c r="W3978" s="44">
        <f>Planning[[#This Row],[Horas Planificadas]]+Planning[[#This Row],[Horas ajustadas adicionales]]</f>
        <v>90</v>
      </c>
      <c r="X3978" s="142"/>
    </row>
    <row r="3979" spans="1:24" x14ac:dyDescent="0.2">
      <c r="A3979" s="7" t="s">
        <v>483</v>
      </c>
      <c r="B3979" s="7" t="s">
        <v>205</v>
      </c>
      <c r="C3979" s="3"/>
      <c r="D3979" s="3" t="s">
        <v>700</v>
      </c>
      <c r="E3979" s="4"/>
      <c r="F3979" s="3" t="s">
        <v>126</v>
      </c>
      <c r="G3979" s="9"/>
      <c r="H3979" s="9"/>
      <c r="I3979" s="12"/>
      <c r="J3979" s="5" t="e">
        <f>SUM(SUMIFS(#REF!,#REF!,Planning[[#This Row],[Tipo de Tarea y especialidad]],#REF!,Planning[[#This Row],[Proyectos Reiwa]]),SUMIFS(#REF!,#REF!,Planning[[#This Row],[Tipo de Tarea y especialidad]],#REF!,Planning[[#This Row],[Proyectos]]))</f>
        <v>#REF!</v>
      </c>
      <c r="K3979" s="5" t="e">
        <f>+Planning[[#This Row],[Horas Planificadas]]+Planning[[#This Row],[Horas ajustadas adicionales]]-Planning[[#This Row],[Horas utilizadas]]</f>
        <v>#REF!</v>
      </c>
      <c r="L3979" s="7"/>
      <c r="M3979" s="19" t="e">
        <f>Planning[[#This Row],[Saldo]]-Planning[[#This Row],[Saldo estimado]]</f>
        <v>#REF!</v>
      </c>
      <c r="N3979" s="60" t="e">
        <f>+SUMIFS(#REF!,#REF!,Planning[[#This Row],[Proyectos]],#REF!,Planning[[#This Row],[Tipo de Tarea y especialidad]])</f>
        <v>#REF!</v>
      </c>
      <c r="O3979" s="19">
        <f t="shared" si="124"/>
        <v>10</v>
      </c>
      <c r="P3979" s="19">
        <f t="shared" si="125"/>
        <v>2024</v>
      </c>
      <c r="Q39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79" s="19" t="str">
        <f>TEXT(Planning[[#This Row],[Mes]]*29,"mmmm")</f>
        <v>October</v>
      </c>
      <c r="S39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79" s="210"/>
      <c r="U3979" s="43">
        <f>IF(Planning[[#This Row],[Horas Planificadas]]&lt;&gt;0,+K3979/Planning[[#This Row],[Horas Planificadas]],0)</f>
        <v>0</v>
      </c>
      <c r="V3979" s="43">
        <f>IF(Planning[[#This Row],[Horas Planificadas]]&lt;&gt;0,Planning[[#This Row],[Horas utilizadas]]/Planning[[#This Row],[Horas Planificadas]],0)</f>
        <v>0</v>
      </c>
      <c r="W3979" s="44">
        <f>Planning[[#This Row],[Horas Planificadas]]+Planning[[#This Row],[Horas ajustadas adicionales]]</f>
        <v>0</v>
      </c>
      <c r="X3979" s="142"/>
    </row>
    <row r="3980" spans="1:24" x14ac:dyDescent="0.2">
      <c r="A3980" s="7" t="s">
        <v>483</v>
      </c>
      <c r="B3980" s="7" t="s">
        <v>205</v>
      </c>
      <c r="C3980" s="3"/>
      <c r="D3980" s="3" t="s">
        <v>700</v>
      </c>
      <c r="E3980" s="4"/>
      <c r="F3980" s="3" t="s">
        <v>127</v>
      </c>
      <c r="G3980" s="9"/>
      <c r="H3980" s="9"/>
      <c r="I3980" s="12"/>
      <c r="J3980" s="5" t="e">
        <f>SUM(SUMIFS(#REF!,#REF!,Planning[[#This Row],[Tipo de Tarea y especialidad]],#REF!,Planning[[#This Row],[Proyectos Reiwa]]),SUMIFS(#REF!,#REF!,Planning[[#This Row],[Tipo de Tarea y especialidad]],#REF!,Planning[[#This Row],[Proyectos]]))</f>
        <v>#REF!</v>
      </c>
      <c r="K3980" s="5" t="e">
        <f>+Planning[[#This Row],[Horas Planificadas]]+Planning[[#This Row],[Horas ajustadas adicionales]]-Planning[[#This Row],[Horas utilizadas]]</f>
        <v>#REF!</v>
      </c>
      <c r="L3980" s="7">
        <v>0</v>
      </c>
      <c r="M3980" s="19" t="e">
        <f>Planning[[#This Row],[Saldo]]-Planning[[#This Row],[Saldo estimado]]</f>
        <v>#REF!</v>
      </c>
      <c r="N3980" s="60" t="e">
        <f>+SUMIFS(#REF!,#REF!,Planning[[#This Row],[Proyectos]],#REF!,Planning[[#This Row],[Tipo de Tarea y especialidad]])</f>
        <v>#REF!</v>
      </c>
      <c r="O3980" s="19">
        <f t="shared" si="124"/>
        <v>10</v>
      </c>
      <c r="P3980" s="19">
        <f t="shared" si="125"/>
        <v>2024</v>
      </c>
      <c r="Q39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80" s="19" t="str">
        <f>TEXT(Planning[[#This Row],[Mes]]*29,"mmmm")</f>
        <v>October</v>
      </c>
      <c r="S39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80" s="210"/>
      <c r="U3980" s="43">
        <f>IF(Planning[[#This Row],[Horas Planificadas]]&lt;&gt;0,+K3980/Planning[[#This Row],[Horas Planificadas]],0)</f>
        <v>0</v>
      </c>
      <c r="V3980" s="43">
        <f>IF(Planning[[#This Row],[Horas Planificadas]]&lt;&gt;0,Planning[[#This Row],[Horas utilizadas]]/Planning[[#This Row],[Horas Planificadas]],0)</f>
        <v>0</v>
      </c>
      <c r="W3980" s="44">
        <f>Planning[[#This Row],[Horas Planificadas]]+Planning[[#This Row],[Horas ajustadas adicionales]]</f>
        <v>0</v>
      </c>
      <c r="X3980" s="142"/>
    </row>
    <row r="3981" spans="1:24" x14ac:dyDescent="0.2">
      <c r="A3981" s="7" t="s">
        <v>483</v>
      </c>
      <c r="B3981" s="7" t="s">
        <v>205</v>
      </c>
      <c r="C3981" s="3"/>
      <c r="D3981" s="3" t="s">
        <v>700</v>
      </c>
      <c r="E3981" s="4"/>
      <c r="F3981" s="3" t="s">
        <v>128</v>
      </c>
      <c r="G3981" s="9"/>
      <c r="H3981" s="9"/>
      <c r="I3981" s="12"/>
      <c r="J3981" s="5" t="e">
        <f>SUM(SUMIFS(#REF!,#REF!,Planning[[#This Row],[Tipo de Tarea y especialidad]],#REF!,Planning[[#This Row],[Proyectos Reiwa]]),SUMIFS(#REF!,#REF!,Planning[[#This Row],[Tipo de Tarea y especialidad]],#REF!,Planning[[#This Row],[Proyectos]]))</f>
        <v>#REF!</v>
      </c>
      <c r="K3981" s="5" t="e">
        <f>+Planning[[#This Row],[Horas Planificadas]]+Planning[[#This Row],[Horas ajustadas adicionales]]-Planning[[#This Row],[Horas utilizadas]]</f>
        <v>#REF!</v>
      </c>
      <c r="L3981" s="7"/>
      <c r="M3981" s="19" t="e">
        <f>Planning[[#This Row],[Saldo]]-Planning[[#This Row],[Saldo estimado]]</f>
        <v>#REF!</v>
      </c>
      <c r="N3981" s="60" t="e">
        <f>+SUMIFS(#REF!,#REF!,Planning[[#This Row],[Proyectos]],#REF!,Planning[[#This Row],[Tipo de Tarea y especialidad]])</f>
        <v>#REF!</v>
      </c>
      <c r="O3981" s="19">
        <f t="shared" si="124"/>
        <v>10</v>
      </c>
      <c r="P3981" s="19">
        <f t="shared" si="125"/>
        <v>2024</v>
      </c>
      <c r="Q39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81" s="19" t="str">
        <f>TEXT(Planning[[#This Row],[Mes]]*29,"mmmm")</f>
        <v>October</v>
      </c>
      <c r="S39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81" s="210"/>
      <c r="U3981" s="43">
        <f>IF(Planning[[#This Row],[Horas Planificadas]]&lt;&gt;0,+K3981/Planning[[#This Row],[Horas Planificadas]],0)</f>
        <v>0</v>
      </c>
      <c r="V3981" s="43">
        <f>IF(Planning[[#This Row],[Horas Planificadas]]&lt;&gt;0,Planning[[#This Row],[Horas utilizadas]]/Planning[[#This Row],[Horas Planificadas]],0)</f>
        <v>0</v>
      </c>
      <c r="W3981" s="44">
        <f>Planning[[#This Row],[Horas Planificadas]]+Planning[[#This Row],[Horas ajustadas adicionales]]</f>
        <v>0</v>
      </c>
      <c r="X3981" s="142"/>
    </row>
    <row r="3982" spans="1:24" x14ac:dyDescent="0.2">
      <c r="A3982" s="7" t="s">
        <v>483</v>
      </c>
      <c r="B3982" s="7" t="s">
        <v>205</v>
      </c>
      <c r="C3982" s="3"/>
      <c r="D3982" s="3" t="s">
        <v>700</v>
      </c>
      <c r="E3982" s="4" t="s">
        <v>31</v>
      </c>
      <c r="F3982" s="3" t="s">
        <v>31</v>
      </c>
      <c r="G3982" s="9">
        <v>34</v>
      </c>
      <c r="H3982" s="17">
        <f>Planning[[#This Row],[Horas Precálculo]]</f>
        <v>34</v>
      </c>
      <c r="I3982" s="18"/>
      <c r="J3982" s="14" t="e">
        <f>+SUMIFS(#REF!,#REF!,Planning[[#This Row],[Tarifa]],#REF!,Planning[[#This Row],[Proyectos]])</f>
        <v>#REF!</v>
      </c>
      <c r="K3982" s="14" t="e">
        <f>+Planning[[#This Row],[Horas Planificadas]]+Planning[[#This Row],[Horas ajustadas adicionales]]-Planning[[#This Row],[Horas utilizadas]]</f>
        <v>#REF!</v>
      </c>
      <c r="L3982" s="15" t="e">
        <f>Planning[[#This Row],[Saldo]]</f>
        <v>#REF!</v>
      </c>
      <c r="M3982" s="16" t="e">
        <f>Planning[[#This Row],[Saldo]]-Planning[[#This Row],[Saldo estimado]]</f>
        <v>#REF!</v>
      </c>
      <c r="N3982" s="60" t="e">
        <f>+SUMIFS(#REF!,#REF!,Planning[[#This Row],[Proyectos]],#REF!,Planning[[#This Row],[Tipo de Tarea y especialidad]])</f>
        <v>#REF!</v>
      </c>
      <c r="O3982" s="16">
        <f t="shared" si="124"/>
        <v>10</v>
      </c>
      <c r="P3982" s="16">
        <f t="shared" si="125"/>
        <v>2024</v>
      </c>
      <c r="Q3982" s="16" t="e">
        <f>+SUMIFS(#REF!,#REF!,Planning[[#This Row],[Tarifa]],#REF!,Planning[[#This Row],[Proyectos]],#REF!,Planning[[#This Row],[Mes]],#REF!,Planning[[#This Row],[Año]])</f>
        <v>#REF!</v>
      </c>
      <c r="R3982" s="16" t="str">
        <f>TEXT(Planning[[#This Row],[Mes]]*29,"mmmm")</f>
        <v>October</v>
      </c>
      <c r="S39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82" s="210"/>
      <c r="U3982" s="43" t="e">
        <f>IF(Planning[[#This Row],[Horas Planificadas]]&lt;&gt;0,+K3982/Planning[[#This Row],[Horas Planificadas]],0)</f>
        <v>#REF!</v>
      </c>
      <c r="V3982" s="43" t="e">
        <f>IF(Planning[[#This Row],[Horas Planificadas]]&lt;&gt;0,Planning[[#This Row],[Horas utilizadas]]/Planning[[#This Row],[Horas Planificadas]],0)</f>
        <v>#REF!</v>
      </c>
      <c r="W3982" s="44">
        <f>Planning[[#This Row],[Horas Planificadas]]+Planning[[#This Row],[Horas ajustadas adicionales]]</f>
        <v>34</v>
      </c>
      <c r="X3982" s="142"/>
    </row>
    <row r="3983" spans="1:24" ht="22.5" x14ac:dyDescent="0.2">
      <c r="A3983" s="7" t="s">
        <v>483</v>
      </c>
      <c r="B3983" s="7" t="s">
        <v>205</v>
      </c>
      <c r="C3983" s="3"/>
      <c r="D3983" s="3" t="s">
        <v>700</v>
      </c>
      <c r="E3983" s="4" t="s">
        <v>32</v>
      </c>
      <c r="F3983" s="3"/>
      <c r="G3983" s="9">
        <v>162</v>
      </c>
      <c r="H3983" s="14">
        <f>SUM(H3984:H3986)</f>
        <v>162</v>
      </c>
      <c r="I3983" s="14"/>
      <c r="J3983" s="14" t="e">
        <f>SUM(J3984:J3986)</f>
        <v>#REF!</v>
      </c>
      <c r="K3983" s="14" t="e">
        <f>+Planning[[#This Row],[Horas Planificadas]]+Planning[[#This Row],[Horas ajustadas adicionales]]-Planning[[#This Row],[Horas utilizadas]]</f>
        <v>#REF!</v>
      </c>
      <c r="L3983" s="15" t="e">
        <f>SUM(L3984:L3986)</f>
        <v>#REF!</v>
      </c>
      <c r="M3983" s="16" t="e">
        <f>SUM(M3984:M3986)</f>
        <v>#REF!</v>
      </c>
      <c r="N3983" s="60" t="e">
        <f>+SUMIFS(#REF!,#REF!,Planning[[#This Row],[Proyectos]],#REF!,Planning[[#This Row],[Tipo de Tarea y especialidad]])</f>
        <v>#REF!</v>
      </c>
      <c r="O3983" s="16">
        <f t="shared" si="124"/>
        <v>10</v>
      </c>
      <c r="P3983" s="16">
        <f t="shared" si="125"/>
        <v>2024</v>
      </c>
      <c r="Q3983" s="16" t="e">
        <f>SUM(Q3984:Q3986)</f>
        <v>#REF!</v>
      </c>
      <c r="R3983" s="16" t="str">
        <f>TEXT(Planning[[#This Row],[Mes]]*29,"mmmm")</f>
        <v>October</v>
      </c>
      <c r="S39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83" s="210"/>
      <c r="U3983" s="43" t="e">
        <f>IF(Planning[[#This Row],[Horas Planificadas]]&lt;&gt;0,+K3983/Planning[[#This Row],[Horas Planificadas]],0)</f>
        <v>#REF!</v>
      </c>
      <c r="V3983" s="43" t="e">
        <f>IF(Planning[[#This Row],[Horas Planificadas]]&lt;&gt;0,Planning[[#This Row],[Horas utilizadas]]/Planning[[#This Row],[Horas Planificadas]],0)</f>
        <v>#REF!</v>
      </c>
      <c r="W3983" s="44">
        <f>Planning[[#This Row],[Horas Planificadas]]+Planning[[#This Row],[Horas ajustadas adicionales]]</f>
        <v>162</v>
      </c>
      <c r="X3983" s="142"/>
    </row>
    <row r="3984" spans="1:24" x14ac:dyDescent="0.2">
      <c r="A3984" s="7" t="s">
        <v>483</v>
      </c>
      <c r="B3984" s="7" t="s">
        <v>205</v>
      </c>
      <c r="C3984" s="3"/>
      <c r="D3984" s="3" t="s">
        <v>700</v>
      </c>
      <c r="E3984" s="4"/>
      <c r="F3984" s="3" t="s">
        <v>129</v>
      </c>
      <c r="G3984" s="9"/>
      <c r="H3984" s="9"/>
      <c r="I3984" s="12"/>
      <c r="J3984" s="5" t="e">
        <f>SUM(SUMIFS(#REF!,#REF!,Planning[[#This Row],[Tipo de Tarea y especialidad]],#REF!,Planning[[#This Row],[Proyectos Reiwa]]),SUMIFS(#REF!,#REF!,Planning[[#This Row],[Tipo de Tarea y especialidad]],#REF!,Planning[[#This Row],[Proyectos]]))</f>
        <v>#REF!</v>
      </c>
      <c r="K3984" s="5" t="e">
        <f>+Planning[[#This Row],[Horas Planificadas]]+Planning[[#This Row],[Horas ajustadas adicionales]]-Planning[[#This Row],[Horas utilizadas]]</f>
        <v>#REF!</v>
      </c>
      <c r="L3984" s="7"/>
      <c r="M3984" s="19" t="e">
        <f>Planning[[#This Row],[Saldo]]-Planning[[#This Row],[Saldo estimado]]</f>
        <v>#REF!</v>
      </c>
      <c r="N3984" s="60" t="e">
        <f>+SUMIFS(#REF!,#REF!,Planning[[#This Row],[Proyectos]],#REF!,Planning[[#This Row],[Tipo de Tarea y especialidad]])</f>
        <v>#REF!</v>
      </c>
      <c r="O3984" s="19">
        <f t="shared" si="124"/>
        <v>10</v>
      </c>
      <c r="P3984" s="19">
        <f t="shared" si="125"/>
        <v>2024</v>
      </c>
      <c r="Q39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84" s="19" t="str">
        <f>TEXT(Planning[[#This Row],[Mes]]*29,"mmmm")</f>
        <v>October</v>
      </c>
      <c r="S39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84" s="210"/>
      <c r="U3984" s="43">
        <f>IF(Planning[[#This Row],[Horas Planificadas]]&lt;&gt;0,+K3984/Planning[[#This Row],[Horas Planificadas]],0)</f>
        <v>0</v>
      </c>
      <c r="V3984" s="43">
        <f>IF(Planning[[#This Row],[Horas Planificadas]]&lt;&gt;0,Planning[[#This Row],[Horas utilizadas]]/Planning[[#This Row],[Horas Planificadas]],0)</f>
        <v>0</v>
      </c>
      <c r="W3984" s="44">
        <f>Planning[[#This Row],[Horas Planificadas]]+Planning[[#This Row],[Horas ajustadas adicionales]]</f>
        <v>0</v>
      </c>
      <c r="X3984" s="142"/>
    </row>
    <row r="3985" spans="1:24" x14ac:dyDescent="0.2">
      <c r="A3985" s="7" t="s">
        <v>483</v>
      </c>
      <c r="B3985" s="7" t="s">
        <v>205</v>
      </c>
      <c r="C3985" s="3"/>
      <c r="D3985" s="3" t="s">
        <v>700</v>
      </c>
      <c r="E3985" s="4"/>
      <c r="F3985" s="3" t="s">
        <v>130</v>
      </c>
      <c r="G3985" s="9"/>
      <c r="H3985" s="9">
        <v>162</v>
      </c>
      <c r="I3985" s="12"/>
      <c r="J3985" s="5" t="e">
        <f>SUM(SUMIFS(#REF!,#REF!,Planning[[#This Row],[Tipo de Tarea y especialidad]],#REF!,Planning[[#This Row],[Proyectos Reiwa]]),SUMIFS(#REF!,#REF!,Planning[[#This Row],[Tipo de Tarea y especialidad]],#REF!,Planning[[#This Row],[Proyectos]]))</f>
        <v>#REF!</v>
      </c>
      <c r="K3985" s="5" t="e">
        <f>+Planning[[#This Row],[Horas Planificadas]]+Planning[[#This Row],[Horas ajustadas adicionales]]-Planning[[#This Row],[Horas utilizadas]]</f>
        <v>#REF!</v>
      </c>
      <c r="L3985" s="7" t="e">
        <f>Planning[[#This Row],[Saldo]]</f>
        <v>#REF!</v>
      </c>
      <c r="M3985" s="19" t="e">
        <f>Planning[[#This Row],[Saldo]]-Planning[[#This Row],[Saldo estimado]]</f>
        <v>#REF!</v>
      </c>
      <c r="N3985" s="60" t="e">
        <f>+SUMIFS(#REF!,#REF!,Planning[[#This Row],[Proyectos]],#REF!,Planning[[#This Row],[Tipo de Tarea y especialidad]])</f>
        <v>#REF!</v>
      </c>
      <c r="O3985" s="19">
        <f t="shared" si="124"/>
        <v>10</v>
      </c>
      <c r="P3985" s="19">
        <f t="shared" si="125"/>
        <v>2024</v>
      </c>
      <c r="Q39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85" s="19" t="str">
        <f>TEXT(Planning[[#This Row],[Mes]]*29,"mmmm")</f>
        <v>October</v>
      </c>
      <c r="S39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85" s="210"/>
      <c r="U3985" s="43" t="e">
        <f>IF(Planning[[#This Row],[Horas Planificadas]]&lt;&gt;0,+K3985/Planning[[#This Row],[Horas Planificadas]],0)</f>
        <v>#REF!</v>
      </c>
      <c r="V3985" s="43" t="e">
        <f>IF(Planning[[#This Row],[Horas Planificadas]]&lt;&gt;0,Planning[[#This Row],[Horas utilizadas]]/Planning[[#This Row],[Horas Planificadas]],0)</f>
        <v>#REF!</v>
      </c>
      <c r="W3985" s="44">
        <f>Planning[[#This Row],[Horas Planificadas]]+Planning[[#This Row],[Horas ajustadas adicionales]]</f>
        <v>162</v>
      </c>
      <c r="X3985" s="142"/>
    </row>
    <row r="3986" spans="1:24" x14ac:dyDescent="0.2">
      <c r="A3986" s="7" t="s">
        <v>483</v>
      </c>
      <c r="B3986" s="7" t="s">
        <v>205</v>
      </c>
      <c r="C3986" s="3"/>
      <c r="D3986" s="3" t="s">
        <v>700</v>
      </c>
      <c r="E3986" s="4"/>
      <c r="F3986" s="3" t="s">
        <v>131</v>
      </c>
      <c r="G3986" s="9"/>
      <c r="H3986" s="9"/>
      <c r="I3986" s="12"/>
      <c r="J3986" s="5" t="e">
        <f>SUM(SUMIFS(#REF!,#REF!,Planning[[#This Row],[Tipo de Tarea y especialidad]],#REF!,Planning[[#This Row],[Proyectos Reiwa]]),SUMIFS(#REF!,#REF!,Planning[[#This Row],[Tipo de Tarea y especialidad]],#REF!,Planning[[#This Row],[Proyectos]]))</f>
        <v>#REF!</v>
      </c>
      <c r="K3986" s="5" t="e">
        <f>+Planning[[#This Row],[Horas Planificadas]]+Planning[[#This Row],[Horas ajustadas adicionales]]-Planning[[#This Row],[Horas utilizadas]]</f>
        <v>#REF!</v>
      </c>
      <c r="L3986" s="7"/>
      <c r="M3986" s="19" t="e">
        <f>Planning[[#This Row],[Saldo]]-Planning[[#This Row],[Saldo estimado]]</f>
        <v>#REF!</v>
      </c>
      <c r="N3986" s="60" t="e">
        <f>+SUMIFS(#REF!,#REF!,Planning[[#This Row],[Proyectos]],#REF!,Planning[[#This Row],[Tipo de Tarea y especialidad]])</f>
        <v>#REF!</v>
      </c>
      <c r="O3986" s="19">
        <f t="shared" si="124"/>
        <v>10</v>
      </c>
      <c r="P3986" s="19">
        <f t="shared" si="125"/>
        <v>2024</v>
      </c>
      <c r="Q39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86" s="19" t="str">
        <f>TEXT(Planning[[#This Row],[Mes]]*29,"mmmm")</f>
        <v>October</v>
      </c>
      <c r="S39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86" s="210"/>
      <c r="U3986" s="43">
        <f>IF(Planning[[#This Row],[Horas Planificadas]]&lt;&gt;0,+K3986/Planning[[#This Row],[Horas Planificadas]],0)</f>
        <v>0</v>
      </c>
      <c r="V3986" s="43">
        <f>IF(Planning[[#This Row],[Horas Planificadas]]&lt;&gt;0,Planning[[#This Row],[Horas utilizadas]]/Planning[[#This Row],[Horas Planificadas]],0)</f>
        <v>0</v>
      </c>
      <c r="W3986" s="44">
        <f>Planning[[#This Row],[Horas Planificadas]]+Planning[[#This Row],[Horas ajustadas adicionales]]</f>
        <v>0</v>
      </c>
      <c r="X3986" s="142"/>
    </row>
    <row r="3987" spans="1:24" ht="12.75" customHeight="1" x14ac:dyDescent="0.2">
      <c r="A3987" s="7" t="s">
        <v>204</v>
      </c>
      <c r="B3987" s="7" t="s">
        <v>463</v>
      </c>
      <c r="C3987" s="3">
        <v>116879</v>
      </c>
      <c r="D3987" s="3" t="s">
        <v>702</v>
      </c>
      <c r="E3987" s="4" t="s">
        <v>28</v>
      </c>
      <c r="F3987" s="3"/>
      <c r="G3987" s="9">
        <v>816</v>
      </c>
      <c r="H3987" s="14">
        <f>SUM(H3988:H3989)</f>
        <v>816</v>
      </c>
      <c r="I3987" s="14">
        <v>617</v>
      </c>
      <c r="J3987" s="14" t="e">
        <f>SUM(J3988:J3989)</f>
        <v>#REF!</v>
      </c>
      <c r="K3987" s="14" t="e">
        <f>+Planning[[#This Row],[Horas Planificadas]]+Planning[[#This Row],[Horas ajustadas adicionales]]-Planning[[#This Row],[Horas utilizadas]]</f>
        <v>#REF!</v>
      </c>
      <c r="L3987" s="15">
        <f>SUM(L3988:L3989)</f>
        <v>90</v>
      </c>
      <c r="M3987" s="14" t="e">
        <f>SUM(M3988:M3989)</f>
        <v>#REF!</v>
      </c>
      <c r="N3987" s="66" t="e">
        <f>+SUMIFS(#REF!,#REF!,Planning[[#This Row],[Proyectos]],#REF!,Planning[[#This Row],[Tipo de Tarea y especialidad]])</f>
        <v>#REF!</v>
      </c>
      <c r="O3987" s="14">
        <f t="shared" si="124"/>
        <v>10</v>
      </c>
      <c r="P3987" s="14">
        <f t="shared" si="125"/>
        <v>2024</v>
      </c>
      <c r="Q3987" s="28" t="e">
        <f>SUM(Q3988:Q3989)</f>
        <v>#REF!</v>
      </c>
      <c r="R3987" s="28" t="str">
        <f>TEXT(Planning[[#This Row],[Mes]]*29,"mmmm")</f>
        <v>October</v>
      </c>
      <c r="S39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87" s="240" t="s">
        <v>703</v>
      </c>
      <c r="U3987" s="43" t="e">
        <f>IF(Planning[[#This Row],[Horas Planificadas]]&lt;&gt;0,+K3987/Planning[[#This Row],[Horas Planificadas]],0)</f>
        <v>#REF!</v>
      </c>
      <c r="V3987" s="43" t="e">
        <f>IF(Planning[[#This Row],[Horas Planificadas]]&lt;&gt;0,Planning[[#This Row],[Horas utilizadas]]/Planning[[#This Row],[Horas Planificadas]],0)</f>
        <v>#REF!</v>
      </c>
      <c r="W3987" s="44">
        <f>Planning[[#This Row],[Horas Planificadas]]+Planning[[#This Row],[Horas ajustadas adicionales]]</f>
        <v>1433</v>
      </c>
      <c r="X3987" s="142"/>
    </row>
    <row r="3988" spans="1:24" x14ac:dyDescent="0.2">
      <c r="A3988" s="7" t="s">
        <v>204</v>
      </c>
      <c r="B3988" s="7" t="s">
        <v>463</v>
      </c>
      <c r="C3988" s="3">
        <v>116879</v>
      </c>
      <c r="D3988" s="3" t="s">
        <v>702</v>
      </c>
      <c r="E3988" s="4"/>
      <c r="F3988" s="3" t="s">
        <v>120</v>
      </c>
      <c r="G3988" s="9"/>
      <c r="H3988" s="9">
        <v>450</v>
      </c>
      <c r="I3988" s="12">
        <v>426</v>
      </c>
      <c r="J3988" s="5" t="e">
        <f>SUM(SUMIFS(#REF!,#REF!,Planning[[#This Row],[Tipo de Tarea y especialidad]],#REF!,Planning[[#This Row],[Proyectos Reiwa]]),SUMIFS(#REF!,#REF!,Planning[[#This Row],[Tipo de Tarea y especialidad]],#REF!,Planning[[#This Row],[Proyectos]]))</f>
        <v>#REF!</v>
      </c>
      <c r="K3988" s="5" t="e">
        <f>+Planning[[#This Row],[Horas Planificadas]]+Planning[[#This Row],[Horas ajustadas adicionales]]-Planning[[#This Row],[Horas utilizadas]]</f>
        <v>#REF!</v>
      </c>
      <c r="L3988" s="7">
        <v>0</v>
      </c>
      <c r="M3988" s="19" t="e">
        <f>Planning[[#This Row],[Saldo]]-Planning[[#This Row],[Saldo estimado]]</f>
        <v>#REF!</v>
      </c>
      <c r="N3988" s="60" t="e">
        <f>+SUMIFS(#REF!,#REF!,Planning[[#This Row],[Proyectos]],#REF!,Planning[[#This Row],[Tipo de Tarea y especialidad]])</f>
        <v>#REF!</v>
      </c>
      <c r="O3988" s="19">
        <f t="shared" si="124"/>
        <v>10</v>
      </c>
      <c r="P3988" s="19">
        <f t="shared" si="125"/>
        <v>2024</v>
      </c>
      <c r="Q39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88" s="19" t="str">
        <f>TEXT(Planning[[#This Row],[Mes]]*29,"mmmm")</f>
        <v>October</v>
      </c>
      <c r="S39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88" s="210"/>
      <c r="U3988" s="43" t="e">
        <f>IF(Planning[[#This Row],[Horas Planificadas]]&lt;&gt;0,+K3988/Planning[[#This Row],[Horas Planificadas]],0)</f>
        <v>#REF!</v>
      </c>
      <c r="V3988" s="43" t="e">
        <f>IF(Planning[[#This Row],[Horas Planificadas]]&lt;&gt;0,Planning[[#This Row],[Horas utilizadas]]/Planning[[#This Row],[Horas Planificadas]],0)</f>
        <v>#REF!</v>
      </c>
      <c r="W3988" s="44">
        <f>Planning[[#This Row],[Horas Planificadas]]+Planning[[#This Row],[Horas ajustadas adicionales]]</f>
        <v>876</v>
      </c>
      <c r="X3988" s="142"/>
    </row>
    <row r="3989" spans="1:24" x14ac:dyDescent="0.2">
      <c r="A3989" s="7" t="s">
        <v>204</v>
      </c>
      <c r="B3989" s="7" t="s">
        <v>463</v>
      </c>
      <c r="C3989" s="3">
        <v>116879</v>
      </c>
      <c r="D3989" s="3" t="s">
        <v>702</v>
      </c>
      <c r="E3989" s="4"/>
      <c r="F3989" s="3" t="s">
        <v>121</v>
      </c>
      <c r="G3989" s="9"/>
      <c r="H3989" s="9">
        <v>366</v>
      </c>
      <c r="I3989" s="12">
        <v>191</v>
      </c>
      <c r="J3989" s="5" t="e">
        <f>SUM(SUMIFS(#REF!,#REF!,Planning[[#This Row],[Tipo de Tarea y especialidad]],#REF!,Planning[[#This Row],[Proyectos Reiwa]]),SUMIFS(#REF!,#REF!,Planning[[#This Row],[Tipo de Tarea y especialidad]],#REF!,Planning[[#This Row],[Proyectos]]))</f>
        <v>#REF!</v>
      </c>
      <c r="K3989" s="5" t="e">
        <f>+Planning[[#This Row],[Horas Planificadas]]+Planning[[#This Row],[Horas ajustadas adicionales]]-Planning[[#This Row],[Horas utilizadas]]</f>
        <v>#REF!</v>
      </c>
      <c r="L3989" s="7">
        <v>90</v>
      </c>
      <c r="M3989" s="19" t="e">
        <f>Planning[[#This Row],[Saldo]]-Planning[[#This Row],[Saldo estimado]]</f>
        <v>#REF!</v>
      </c>
      <c r="N3989" s="60" t="e">
        <f>+SUMIFS(#REF!,#REF!,Planning[[#This Row],[Proyectos]],#REF!,Planning[[#This Row],[Tipo de Tarea y especialidad]])</f>
        <v>#REF!</v>
      </c>
      <c r="O3989" s="19">
        <f t="shared" si="124"/>
        <v>10</v>
      </c>
      <c r="P3989" s="19">
        <f t="shared" si="125"/>
        <v>2024</v>
      </c>
      <c r="Q39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89" s="19" t="str">
        <f>TEXT(Planning[[#This Row],[Mes]]*29,"mmmm")</f>
        <v>October</v>
      </c>
      <c r="S39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89" s="210"/>
      <c r="U3989" s="43" t="e">
        <f>IF(Planning[[#This Row],[Horas Planificadas]]&lt;&gt;0,+K3989/Planning[[#This Row],[Horas Planificadas]],0)</f>
        <v>#REF!</v>
      </c>
      <c r="V3989" s="43" t="e">
        <f>IF(Planning[[#This Row],[Horas Planificadas]]&lt;&gt;0,Planning[[#This Row],[Horas utilizadas]]/Planning[[#This Row],[Horas Planificadas]],0)</f>
        <v>#REF!</v>
      </c>
      <c r="W3989" s="44">
        <f>Planning[[#This Row],[Horas Planificadas]]+Planning[[#This Row],[Horas ajustadas adicionales]]</f>
        <v>557</v>
      </c>
      <c r="X3989" s="142"/>
    </row>
    <row r="3990" spans="1:24" x14ac:dyDescent="0.2">
      <c r="A3990" s="7" t="s">
        <v>204</v>
      </c>
      <c r="B3990" s="7" t="s">
        <v>463</v>
      </c>
      <c r="C3990" s="3">
        <v>116879</v>
      </c>
      <c r="D3990" s="3" t="s">
        <v>702</v>
      </c>
      <c r="E3990" s="4" t="s">
        <v>30</v>
      </c>
      <c r="F3990" s="3"/>
      <c r="G3990" s="9">
        <v>1286</v>
      </c>
      <c r="H3990" s="14">
        <f>SUM(H3991:H3997)</f>
        <v>1286</v>
      </c>
      <c r="I3990" s="14">
        <v>994</v>
      </c>
      <c r="J3990" s="14" t="e">
        <f>SUM(J3991:J3997)</f>
        <v>#REF!</v>
      </c>
      <c r="K3990" s="14" t="e">
        <f>+Planning[[#This Row],[Horas Planificadas]]+Planning[[#This Row],[Horas ajustadas adicionales]]-Planning[[#This Row],[Horas utilizadas]]</f>
        <v>#REF!</v>
      </c>
      <c r="L3990" s="15">
        <f>SUM(L3991:L3997)</f>
        <v>72</v>
      </c>
      <c r="M3990" s="16" t="e">
        <f>SUM(M3991:M3997)</f>
        <v>#REF!</v>
      </c>
      <c r="N3990" s="60" t="e">
        <f>+SUMIFS(#REF!,#REF!,Planning[[#This Row],[Proyectos]],#REF!,Planning[[#This Row],[Tipo de Tarea y especialidad]])</f>
        <v>#REF!</v>
      </c>
      <c r="O3990" s="16">
        <f t="shared" si="124"/>
        <v>10</v>
      </c>
      <c r="P3990" s="16">
        <f t="shared" si="125"/>
        <v>2024</v>
      </c>
      <c r="Q3990" s="16" t="e">
        <f>SUM(Q3991:Q3997)</f>
        <v>#REF!</v>
      </c>
      <c r="R3990" s="16" t="str">
        <f>TEXT(Planning[[#This Row],[Mes]]*29,"mmmm")</f>
        <v>October</v>
      </c>
      <c r="S39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90" s="210"/>
      <c r="U3990" s="43" t="e">
        <f>IF(Planning[[#This Row],[Horas Planificadas]]&lt;&gt;0,+K3990/Planning[[#This Row],[Horas Planificadas]],0)</f>
        <v>#REF!</v>
      </c>
      <c r="V3990" s="43" t="e">
        <f>IF(Planning[[#This Row],[Horas Planificadas]]&lt;&gt;0,Planning[[#This Row],[Horas utilizadas]]/Planning[[#This Row],[Horas Planificadas]],0)</f>
        <v>#REF!</v>
      </c>
      <c r="W3990" s="44">
        <f>Planning[[#This Row],[Horas Planificadas]]+Planning[[#This Row],[Horas ajustadas adicionales]]</f>
        <v>2280</v>
      </c>
      <c r="X3990" s="142"/>
    </row>
    <row r="3991" spans="1:24" x14ac:dyDescent="0.2">
      <c r="A3991" s="7" t="s">
        <v>204</v>
      </c>
      <c r="B3991" s="7" t="s">
        <v>463</v>
      </c>
      <c r="C3991" s="3">
        <v>116879</v>
      </c>
      <c r="D3991" s="3" t="s">
        <v>702</v>
      </c>
      <c r="E3991" s="4"/>
      <c r="F3991" s="3" t="s">
        <v>122</v>
      </c>
      <c r="G3991" s="9"/>
      <c r="H3991" s="9"/>
      <c r="I3991" s="12"/>
      <c r="J3991" s="5" t="e">
        <f>SUM(SUMIFS(#REF!,#REF!,Planning[[#This Row],[Tipo de Tarea y especialidad]],#REF!,Planning[[#This Row],[Proyectos Reiwa]]),SUMIFS(#REF!,#REF!,Planning[[#This Row],[Tipo de Tarea y especialidad]],#REF!,Planning[[#This Row],[Proyectos]]))</f>
        <v>#REF!</v>
      </c>
      <c r="K3991" s="5" t="e">
        <f>+Planning[[#This Row],[Horas Planificadas]]+Planning[[#This Row],[Horas ajustadas adicionales]]-Planning[[#This Row],[Horas utilizadas]]</f>
        <v>#REF!</v>
      </c>
      <c r="L3991" s="7"/>
      <c r="M3991" s="19" t="e">
        <f>Planning[[#This Row],[Saldo]]-Planning[[#This Row],[Saldo estimado]]</f>
        <v>#REF!</v>
      </c>
      <c r="N3991" s="60" t="e">
        <f>+SUMIFS(#REF!,#REF!,Planning[[#This Row],[Proyectos]],#REF!,Planning[[#This Row],[Tipo de Tarea y especialidad]])</f>
        <v>#REF!</v>
      </c>
      <c r="O3991" s="19">
        <f t="shared" si="124"/>
        <v>10</v>
      </c>
      <c r="P3991" s="19">
        <f t="shared" si="125"/>
        <v>2024</v>
      </c>
      <c r="Q39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91" s="19" t="str">
        <f>TEXT(Planning[[#This Row],[Mes]]*29,"mmmm")</f>
        <v>October</v>
      </c>
      <c r="S39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91" s="210"/>
      <c r="U3991" s="43">
        <f>IF(Planning[[#This Row],[Horas Planificadas]]&lt;&gt;0,+K3991/Planning[[#This Row],[Horas Planificadas]],0)</f>
        <v>0</v>
      </c>
      <c r="V3991" s="43">
        <f>IF(Planning[[#This Row],[Horas Planificadas]]&lt;&gt;0,Planning[[#This Row],[Horas utilizadas]]/Planning[[#This Row],[Horas Planificadas]],0)</f>
        <v>0</v>
      </c>
      <c r="W3991" s="44">
        <f>Planning[[#This Row],[Horas Planificadas]]+Planning[[#This Row],[Horas ajustadas adicionales]]</f>
        <v>0</v>
      </c>
      <c r="X3991" s="142"/>
    </row>
    <row r="3992" spans="1:24" x14ac:dyDescent="0.2">
      <c r="A3992" s="7" t="s">
        <v>204</v>
      </c>
      <c r="B3992" s="7" t="s">
        <v>463</v>
      </c>
      <c r="C3992" s="3">
        <v>116879</v>
      </c>
      <c r="D3992" s="3" t="s">
        <v>702</v>
      </c>
      <c r="E3992" s="4"/>
      <c r="F3992" s="3" t="s">
        <v>123</v>
      </c>
      <c r="G3992" s="9"/>
      <c r="H3992" s="9">
        <v>720</v>
      </c>
      <c r="I3992" s="12">
        <v>303</v>
      </c>
      <c r="J3992" s="5" t="e">
        <f>SUM(SUMIFS(#REF!,#REF!,Planning[[#This Row],[Tipo de Tarea y especialidad]],#REF!,Planning[[#This Row],[Proyectos Reiwa]]),SUMIFS(#REF!,#REF!,Planning[[#This Row],[Tipo de Tarea y especialidad]],#REF!,Planning[[#This Row],[Proyectos]]))</f>
        <v>#REF!</v>
      </c>
      <c r="K3992" s="5" t="e">
        <f>+Planning[[#This Row],[Horas Planificadas]]+Planning[[#This Row],[Horas ajustadas adicionales]]-Planning[[#This Row],[Horas utilizadas]]</f>
        <v>#REF!</v>
      </c>
      <c r="L3992" s="7">
        <v>0</v>
      </c>
      <c r="M3992" s="19" t="e">
        <f>Planning[[#This Row],[Saldo]]-Planning[[#This Row],[Saldo estimado]]</f>
        <v>#REF!</v>
      </c>
      <c r="N3992" s="60" t="e">
        <f>+SUMIFS(#REF!,#REF!,Planning[[#This Row],[Proyectos]],#REF!,Planning[[#This Row],[Tipo de Tarea y especialidad]])</f>
        <v>#REF!</v>
      </c>
      <c r="O3992" s="19">
        <f t="shared" si="124"/>
        <v>10</v>
      </c>
      <c r="P3992" s="19">
        <f t="shared" si="125"/>
        <v>2024</v>
      </c>
      <c r="Q39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92" s="19" t="str">
        <f>TEXT(Planning[[#This Row],[Mes]]*29,"mmmm")</f>
        <v>October</v>
      </c>
      <c r="S39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92" s="210"/>
      <c r="U3992" s="43" t="e">
        <f>IF(Planning[[#This Row],[Horas Planificadas]]&lt;&gt;0,+K3992/Planning[[#This Row],[Horas Planificadas]],0)</f>
        <v>#REF!</v>
      </c>
      <c r="V3992" s="43" t="e">
        <f>IF(Planning[[#This Row],[Horas Planificadas]]&lt;&gt;0,Planning[[#This Row],[Horas utilizadas]]/Planning[[#This Row],[Horas Planificadas]],0)</f>
        <v>#REF!</v>
      </c>
      <c r="W3992" s="44">
        <f>Planning[[#This Row],[Horas Planificadas]]+Planning[[#This Row],[Horas ajustadas adicionales]]</f>
        <v>1023</v>
      </c>
      <c r="X3992" s="142"/>
    </row>
    <row r="3993" spans="1:24" x14ac:dyDescent="0.2">
      <c r="A3993" s="7" t="s">
        <v>204</v>
      </c>
      <c r="B3993" s="7" t="s">
        <v>463</v>
      </c>
      <c r="C3993" s="3">
        <v>116879</v>
      </c>
      <c r="D3993" s="3" t="s">
        <v>702</v>
      </c>
      <c r="E3993" s="4"/>
      <c r="F3993" s="3" t="s">
        <v>124</v>
      </c>
      <c r="G3993" s="9"/>
      <c r="H3993" s="9">
        <v>100</v>
      </c>
      <c r="I3993" s="12">
        <v>272</v>
      </c>
      <c r="J3993" s="5" t="e">
        <f>SUM(SUMIFS(#REF!,#REF!,Planning[[#This Row],[Tipo de Tarea y especialidad]],#REF!,Planning[[#This Row],[Proyectos Reiwa]]),SUMIFS(#REF!,#REF!,Planning[[#This Row],[Tipo de Tarea y especialidad]],#REF!,Planning[[#This Row],[Proyectos]]))</f>
        <v>#REF!</v>
      </c>
      <c r="K3993" s="5" t="e">
        <f>+Planning[[#This Row],[Horas Planificadas]]+Planning[[#This Row],[Horas ajustadas adicionales]]-Planning[[#This Row],[Horas utilizadas]]</f>
        <v>#REF!</v>
      </c>
      <c r="L3993" s="7">
        <v>0</v>
      </c>
      <c r="M3993" s="19" t="e">
        <f>Planning[[#This Row],[Saldo]]-Planning[[#This Row],[Saldo estimado]]</f>
        <v>#REF!</v>
      </c>
      <c r="N3993" s="60" t="e">
        <f>+SUMIFS(#REF!,#REF!,Planning[[#This Row],[Proyectos]],#REF!,Planning[[#This Row],[Tipo de Tarea y especialidad]])</f>
        <v>#REF!</v>
      </c>
      <c r="O3993" s="19">
        <f t="shared" si="124"/>
        <v>10</v>
      </c>
      <c r="P3993" s="19">
        <f t="shared" si="125"/>
        <v>2024</v>
      </c>
      <c r="Q39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93" s="19" t="str">
        <f>TEXT(Planning[[#This Row],[Mes]]*29,"mmmm")</f>
        <v>October</v>
      </c>
      <c r="S39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93" s="210"/>
      <c r="U3993" s="43" t="e">
        <f>IF(Planning[[#This Row],[Horas Planificadas]]&lt;&gt;0,+K3993/Planning[[#This Row],[Horas Planificadas]],0)</f>
        <v>#REF!</v>
      </c>
      <c r="V3993" s="43" t="e">
        <f>IF(Planning[[#This Row],[Horas Planificadas]]&lt;&gt;0,Planning[[#This Row],[Horas utilizadas]]/Planning[[#This Row],[Horas Planificadas]],0)</f>
        <v>#REF!</v>
      </c>
      <c r="W3993" s="44">
        <f>Planning[[#This Row],[Horas Planificadas]]+Planning[[#This Row],[Horas ajustadas adicionales]]</f>
        <v>372</v>
      </c>
      <c r="X3993" s="142"/>
    </row>
    <row r="3994" spans="1:24" x14ac:dyDescent="0.2">
      <c r="A3994" s="7" t="s">
        <v>204</v>
      </c>
      <c r="B3994" s="7" t="s">
        <v>463</v>
      </c>
      <c r="C3994" s="3">
        <v>116879</v>
      </c>
      <c r="D3994" s="3" t="s">
        <v>702</v>
      </c>
      <c r="E3994" s="4"/>
      <c r="F3994" s="3" t="s">
        <v>125</v>
      </c>
      <c r="G3994" s="9"/>
      <c r="H3994" s="9">
        <v>216</v>
      </c>
      <c r="I3994" s="12">
        <v>203</v>
      </c>
      <c r="J3994" s="5" t="e">
        <f>SUM(SUMIFS(#REF!,#REF!,Planning[[#This Row],[Tipo de Tarea y especialidad]],#REF!,Planning[[#This Row],[Proyectos Reiwa]]),SUMIFS(#REF!,#REF!,Planning[[#This Row],[Tipo de Tarea y especialidad]],#REF!,Planning[[#This Row],[Proyectos]]))</f>
        <v>#REF!</v>
      </c>
      <c r="K3994" s="5" t="e">
        <f>+Planning[[#This Row],[Horas Planificadas]]+Planning[[#This Row],[Horas ajustadas adicionales]]-Planning[[#This Row],[Horas utilizadas]]</f>
        <v>#REF!</v>
      </c>
      <c r="L3994" s="7">
        <v>45</v>
      </c>
      <c r="M3994" s="19" t="e">
        <f>Planning[[#This Row],[Saldo]]-Planning[[#This Row],[Saldo estimado]]</f>
        <v>#REF!</v>
      </c>
      <c r="N3994" s="60" t="e">
        <f>+SUMIFS(#REF!,#REF!,Planning[[#This Row],[Proyectos]],#REF!,Planning[[#This Row],[Tipo de Tarea y especialidad]])</f>
        <v>#REF!</v>
      </c>
      <c r="O3994" s="19">
        <f t="shared" si="124"/>
        <v>10</v>
      </c>
      <c r="P3994" s="19">
        <f t="shared" si="125"/>
        <v>2024</v>
      </c>
      <c r="Q39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94" s="19" t="str">
        <f>TEXT(Planning[[#This Row],[Mes]]*29,"mmmm")</f>
        <v>October</v>
      </c>
      <c r="S39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94" s="210"/>
      <c r="U3994" s="43" t="e">
        <f>IF(Planning[[#This Row],[Horas Planificadas]]&lt;&gt;0,+K3994/Planning[[#This Row],[Horas Planificadas]],0)</f>
        <v>#REF!</v>
      </c>
      <c r="V3994" s="43" t="e">
        <f>IF(Planning[[#This Row],[Horas Planificadas]]&lt;&gt;0,Planning[[#This Row],[Horas utilizadas]]/Planning[[#This Row],[Horas Planificadas]],0)</f>
        <v>#REF!</v>
      </c>
      <c r="W3994" s="44">
        <f>Planning[[#This Row],[Horas Planificadas]]+Planning[[#This Row],[Horas ajustadas adicionales]]</f>
        <v>419</v>
      </c>
      <c r="X3994" s="142"/>
    </row>
    <row r="3995" spans="1:24" x14ac:dyDescent="0.2">
      <c r="A3995" s="7" t="s">
        <v>204</v>
      </c>
      <c r="B3995" s="7" t="s">
        <v>463</v>
      </c>
      <c r="C3995" s="3">
        <v>116879</v>
      </c>
      <c r="D3995" s="3" t="s">
        <v>702</v>
      </c>
      <c r="E3995" s="4"/>
      <c r="F3995" s="3" t="s">
        <v>126</v>
      </c>
      <c r="G3995" s="9"/>
      <c r="H3995" s="9"/>
      <c r="I3995" s="12"/>
      <c r="J3995" s="5" t="e">
        <f>SUM(SUMIFS(#REF!,#REF!,Planning[[#This Row],[Tipo de Tarea y especialidad]],#REF!,Planning[[#This Row],[Proyectos Reiwa]]),SUMIFS(#REF!,#REF!,Planning[[#This Row],[Tipo de Tarea y especialidad]],#REF!,Planning[[#This Row],[Proyectos]]))</f>
        <v>#REF!</v>
      </c>
      <c r="K3995" s="5" t="e">
        <f>+Planning[[#This Row],[Horas Planificadas]]+Planning[[#This Row],[Horas ajustadas adicionales]]-Planning[[#This Row],[Horas utilizadas]]</f>
        <v>#REF!</v>
      </c>
      <c r="L3995" s="7"/>
      <c r="M3995" s="19" t="e">
        <f>Planning[[#This Row],[Saldo]]-Planning[[#This Row],[Saldo estimado]]</f>
        <v>#REF!</v>
      </c>
      <c r="N3995" s="60" t="e">
        <f>+SUMIFS(#REF!,#REF!,Planning[[#This Row],[Proyectos]],#REF!,Planning[[#This Row],[Tipo de Tarea y especialidad]])</f>
        <v>#REF!</v>
      </c>
      <c r="O3995" s="19">
        <f t="shared" si="124"/>
        <v>10</v>
      </c>
      <c r="P3995" s="19">
        <f t="shared" si="125"/>
        <v>2024</v>
      </c>
      <c r="Q39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95" s="19" t="str">
        <f>TEXT(Planning[[#This Row],[Mes]]*29,"mmmm")</f>
        <v>October</v>
      </c>
      <c r="S39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95" s="210"/>
      <c r="U3995" s="43">
        <f>IF(Planning[[#This Row],[Horas Planificadas]]&lt;&gt;0,+K3995/Planning[[#This Row],[Horas Planificadas]],0)</f>
        <v>0</v>
      </c>
      <c r="V3995" s="43">
        <f>IF(Planning[[#This Row],[Horas Planificadas]]&lt;&gt;0,Planning[[#This Row],[Horas utilizadas]]/Planning[[#This Row],[Horas Planificadas]],0)</f>
        <v>0</v>
      </c>
      <c r="W3995" s="44">
        <f>Planning[[#This Row],[Horas Planificadas]]+Planning[[#This Row],[Horas ajustadas adicionales]]</f>
        <v>0</v>
      </c>
      <c r="X3995" s="142"/>
    </row>
    <row r="3996" spans="1:24" x14ac:dyDescent="0.2">
      <c r="A3996" s="7" t="s">
        <v>204</v>
      </c>
      <c r="B3996" s="7" t="s">
        <v>463</v>
      </c>
      <c r="C3996" s="3">
        <v>116879</v>
      </c>
      <c r="D3996" s="3" t="s">
        <v>702</v>
      </c>
      <c r="E3996" s="4"/>
      <c r="F3996" s="3" t="s">
        <v>127</v>
      </c>
      <c r="G3996" s="9"/>
      <c r="H3996" s="9">
        <v>180</v>
      </c>
      <c r="I3996" s="12">
        <v>108</v>
      </c>
      <c r="J3996" s="5" t="e">
        <f>SUM(SUMIFS(#REF!,#REF!,Planning[[#This Row],[Tipo de Tarea y especialidad]],#REF!,Planning[[#This Row],[Proyectos Reiwa]]),SUMIFS(#REF!,#REF!,Planning[[#This Row],[Tipo de Tarea y especialidad]],#REF!,Planning[[#This Row],[Proyectos]]))</f>
        <v>#REF!</v>
      </c>
      <c r="K3996" s="5" t="e">
        <f>+Planning[[#This Row],[Horas Planificadas]]+Planning[[#This Row],[Horas ajustadas adicionales]]-Planning[[#This Row],[Horas utilizadas]]</f>
        <v>#REF!</v>
      </c>
      <c r="L3996" s="7">
        <v>0</v>
      </c>
      <c r="M3996" s="19" t="e">
        <f>Planning[[#This Row],[Saldo]]-Planning[[#This Row],[Saldo estimado]]</f>
        <v>#REF!</v>
      </c>
      <c r="N3996" s="60" t="e">
        <f>+SUMIFS(#REF!,#REF!,Planning[[#This Row],[Proyectos]],#REF!,Planning[[#This Row],[Tipo de Tarea y especialidad]])</f>
        <v>#REF!</v>
      </c>
      <c r="O3996" s="19">
        <f t="shared" si="124"/>
        <v>10</v>
      </c>
      <c r="P3996" s="19">
        <f t="shared" si="125"/>
        <v>2024</v>
      </c>
      <c r="Q39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96" s="19" t="str">
        <f>TEXT(Planning[[#This Row],[Mes]]*29,"mmmm")</f>
        <v>October</v>
      </c>
      <c r="S39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96" s="210"/>
      <c r="U3996" s="43" t="e">
        <f>IF(Planning[[#This Row],[Horas Planificadas]]&lt;&gt;0,+K3996/Planning[[#This Row],[Horas Planificadas]],0)</f>
        <v>#REF!</v>
      </c>
      <c r="V3996" s="43" t="e">
        <f>IF(Planning[[#This Row],[Horas Planificadas]]&lt;&gt;0,Planning[[#This Row],[Horas utilizadas]]/Planning[[#This Row],[Horas Planificadas]],0)</f>
        <v>#REF!</v>
      </c>
      <c r="W3996" s="44">
        <f>Planning[[#This Row],[Horas Planificadas]]+Planning[[#This Row],[Horas ajustadas adicionales]]</f>
        <v>288</v>
      </c>
      <c r="X3996" s="142"/>
    </row>
    <row r="3997" spans="1:24" x14ac:dyDescent="0.2">
      <c r="A3997" s="7" t="s">
        <v>204</v>
      </c>
      <c r="B3997" s="7" t="s">
        <v>463</v>
      </c>
      <c r="C3997" s="3">
        <v>116879</v>
      </c>
      <c r="D3997" s="3" t="s">
        <v>702</v>
      </c>
      <c r="E3997" s="4"/>
      <c r="F3997" s="3" t="s">
        <v>128</v>
      </c>
      <c r="G3997" s="9"/>
      <c r="H3997" s="9">
        <v>70</v>
      </c>
      <c r="I3997" s="12">
        <v>108</v>
      </c>
      <c r="J3997" s="5" t="e">
        <f>SUM(SUMIFS(#REF!,#REF!,Planning[[#This Row],[Tipo de Tarea y especialidad]],#REF!,Planning[[#This Row],[Proyectos Reiwa]]),SUMIFS(#REF!,#REF!,Planning[[#This Row],[Tipo de Tarea y especialidad]],#REF!,Planning[[#This Row],[Proyectos]]))</f>
        <v>#REF!</v>
      </c>
      <c r="K3997" s="5" t="e">
        <f>+Planning[[#This Row],[Horas Planificadas]]+Planning[[#This Row],[Horas ajustadas adicionales]]-Planning[[#This Row],[Horas utilizadas]]</f>
        <v>#REF!</v>
      </c>
      <c r="L3997" s="7">
        <v>27</v>
      </c>
      <c r="M3997" s="19" t="e">
        <f>Planning[[#This Row],[Saldo]]-Planning[[#This Row],[Saldo estimado]]</f>
        <v>#REF!</v>
      </c>
      <c r="N3997" s="60" t="e">
        <f>+SUMIFS(#REF!,#REF!,Planning[[#This Row],[Proyectos]],#REF!,Planning[[#This Row],[Tipo de Tarea y especialidad]])</f>
        <v>#REF!</v>
      </c>
      <c r="O3997" s="19">
        <f t="shared" si="124"/>
        <v>10</v>
      </c>
      <c r="P3997" s="19">
        <f t="shared" si="125"/>
        <v>2024</v>
      </c>
      <c r="Q39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3997" s="19" t="str">
        <f>TEXT(Planning[[#This Row],[Mes]]*29,"mmmm")</f>
        <v>October</v>
      </c>
      <c r="S39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97" s="210"/>
      <c r="U3997" s="43" t="e">
        <f>IF(Planning[[#This Row],[Horas Planificadas]]&lt;&gt;0,+K3997/Planning[[#This Row],[Horas Planificadas]],0)</f>
        <v>#REF!</v>
      </c>
      <c r="V3997" s="43" t="e">
        <f>IF(Planning[[#This Row],[Horas Planificadas]]&lt;&gt;0,Planning[[#This Row],[Horas utilizadas]]/Planning[[#This Row],[Horas Planificadas]],0)</f>
        <v>#REF!</v>
      </c>
      <c r="W3997" s="44">
        <f>Planning[[#This Row],[Horas Planificadas]]+Planning[[#This Row],[Horas ajustadas adicionales]]</f>
        <v>178</v>
      </c>
      <c r="X3997" s="142"/>
    </row>
    <row r="3998" spans="1:24" x14ac:dyDescent="0.2">
      <c r="A3998" s="7" t="s">
        <v>204</v>
      </c>
      <c r="B3998" s="7" t="s">
        <v>463</v>
      </c>
      <c r="C3998" s="3">
        <v>116879</v>
      </c>
      <c r="D3998" s="3" t="s">
        <v>702</v>
      </c>
      <c r="E3998" s="4" t="s">
        <v>31</v>
      </c>
      <c r="F3998" s="3" t="s">
        <v>31</v>
      </c>
      <c r="G3998" s="9">
        <v>292</v>
      </c>
      <c r="H3998" s="17">
        <f>Planning[[#This Row],[Horas Precálculo]]</f>
        <v>292</v>
      </c>
      <c r="I3998" s="18">
        <v>206</v>
      </c>
      <c r="J3998" s="14" t="e">
        <f>+SUMIFS(#REF!,#REF!,Planning[[#This Row],[Tarifa]],#REF!,Planning[[#This Row],[Proyectos]])</f>
        <v>#REF!</v>
      </c>
      <c r="K3998" s="14" t="e">
        <f>+Planning[[#This Row],[Horas Planificadas]]+Planning[[#This Row],[Horas ajustadas adicionales]]-Planning[[#This Row],[Horas utilizadas]]</f>
        <v>#REF!</v>
      </c>
      <c r="L3998" s="15" t="e">
        <f>Planning[[#This Row],[Saldo]]</f>
        <v>#REF!</v>
      </c>
      <c r="M3998" s="16" t="e">
        <f>Planning[[#This Row],[Saldo]]-Planning[[#This Row],[Saldo estimado]]</f>
        <v>#REF!</v>
      </c>
      <c r="N3998" s="60" t="e">
        <f>+SUMIFS(#REF!,#REF!,Planning[[#This Row],[Proyectos]],#REF!,Planning[[#This Row],[Tipo de Tarea y especialidad]])</f>
        <v>#REF!</v>
      </c>
      <c r="O3998" s="16">
        <f t="shared" si="124"/>
        <v>10</v>
      </c>
      <c r="P3998" s="16">
        <f t="shared" si="125"/>
        <v>2024</v>
      </c>
      <c r="Q3998" s="16" t="e">
        <f>+SUMIFS(#REF!,#REF!,Planning[[#This Row],[Tarifa]],#REF!,Planning[[#This Row],[Proyectos]],#REF!,Planning[[#This Row],[Mes]],#REF!,Planning[[#This Row],[Año]])</f>
        <v>#REF!</v>
      </c>
      <c r="R3998" s="16" t="str">
        <f>TEXT(Planning[[#This Row],[Mes]]*29,"mmmm")</f>
        <v>October</v>
      </c>
      <c r="S39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98" s="210"/>
      <c r="U3998" s="43" t="e">
        <f>IF(Planning[[#This Row],[Horas Planificadas]]&lt;&gt;0,+K3998/Planning[[#This Row],[Horas Planificadas]],0)</f>
        <v>#REF!</v>
      </c>
      <c r="V3998" s="43" t="e">
        <f>IF(Planning[[#This Row],[Horas Planificadas]]&lt;&gt;0,Planning[[#This Row],[Horas utilizadas]]/Planning[[#This Row],[Horas Planificadas]],0)</f>
        <v>#REF!</v>
      </c>
      <c r="W3998" s="44">
        <f>Planning[[#This Row],[Horas Planificadas]]+Planning[[#This Row],[Horas ajustadas adicionales]]</f>
        <v>498</v>
      </c>
      <c r="X3998" s="142"/>
    </row>
    <row r="3999" spans="1:24" ht="22.5" x14ac:dyDescent="0.2">
      <c r="A3999" s="7" t="s">
        <v>204</v>
      </c>
      <c r="B3999" s="7" t="s">
        <v>463</v>
      </c>
      <c r="C3999" s="3">
        <v>116879</v>
      </c>
      <c r="D3999" s="3" t="s">
        <v>702</v>
      </c>
      <c r="E3999" s="4" t="s">
        <v>32</v>
      </c>
      <c r="F3999" s="3"/>
      <c r="G3999" s="9">
        <v>250</v>
      </c>
      <c r="H3999" s="14">
        <f>SUM(H4000:H4002)</f>
        <v>250</v>
      </c>
      <c r="I3999" s="14">
        <f>I4001+I4002</f>
        <v>490</v>
      </c>
      <c r="J3999" s="14" t="e">
        <f>SUM(J4000:J4002)</f>
        <v>#REF!</v>
      </c>
      <c r="K3999" s="14" t="e">
        <f>+Planning[[#This Row],[Horas Planificadas]]+Planning[[#This Row],[Horas ajustadas adicionales]]-Planning[[#This Row],[Horas utilizadas]]</f>
        <v>#REF!</v>
      </c>
      <c r="L3999" s="15" t="e">
        <f>SUM(L4000:L4002)</f>
        <v>#REF!</v>
      </c>
      <c r="M3999" s="16" t="e">
        <f>SUM(M4000:M4002)</f>
        <v>#REF!</v>
      </c>
      <c r="N3999" s="60" t="e">
        <f>+SUMIFS(#REF!,#REF!,Planning[[#This Row],[Proyectos]],#REF!,Planning[[#This Row],[Tipo de Tarea y especialidad]])</f>
        <v>#REF!</v>
      </c>
      <c r="O3999" s="16">
        <f t="shared" si="124"/>
        <v>10</v>
      </c>
      <c r="P3999" s="16">
        <f t="shared" si="125"/>
        <v>2024</v>
      </c>
      <c r="Q3999" s="16" t="e">
        <f>SUM(Q4000:Q4002)</f>
        <v>#REF!</v>
      </c>
      <c r="R3999" s="16" t="str">
        <f>TEXT(Planning[[#This Row],[Mes]]*29,"mmmm")</f>
        <v>October</v>
      </c>
      <c r="S39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3999" s="210"/>
      <c r="U3999" s="43" t="e">
        <f>IF(Planning[[#This Row],[Horas Planificadas]]&lt;&gt;0,+K3999/Planning[[#This Row],[Horas Planificadas]],0)</f>
        <v>#REF!</v>
      </c>
      <c r="V3999" s="43" t="e">
        <f>IF(Planning[[#This Row],[Horas Planificadas]]&lt;&gt;0,Planning[[#This Row],[Horas utilizadas]]/Planning[[#This Row],[Horas Planificadas]],0)</f>
        <v>#REF!</v>
      </c>
      <c r="W3999" s="44">
        <f>Planning[[#This Row],[Horas Planificadas]]+Planning[[#This Row],[Horas ajustadas adicionales]]</f>
        <v>740</v>
      </c>
      <c r="X3999" s="142"/>
    </row>
    <row r="4000" spans="1:24" x14ac:dyDescent="0.2">
      <c r="A4000" s="7" t="s">
        <v>204</v>
      </c>
      <c r="B4000" s="7" t="s">
        <v>463</v>
      </c>
      <c r="C4000" s="3">
        <v>116879</v>
      </c>
      <c r="D4000" s="3" t="s">
        <v>702</v>
      </c>
      <c r="E4000" s="4"/>
      <c r="F4000" s="3" t="s">
        <v>129</v>
      </c>
      <c r="G4000" s="9"/>
      <c r="H4000" s="9"/>
      <c r="I4000" s="12"/>
      <c r="J4000" s="5" t="e">
        <f>SUM(SUMIFS(#REF!,#REF!,Planning[[#This Row],[Tipo de Tarea y especialidad]],#REF!,Planning[[#This Row],[Proyectos Reiwa]]),SUMIFS(#REF!,#REF!,Planning[[#This Row],[Tipo de Tarea y especialidad]],#REF!,Planning[[#This Row],[Proyectos]]))</f>
        <v>#REF!</v>
      </c>
      <c r="K4000" s="5" t="e">
        <f>+Planning[[#This Row],[Horas Planificadas]]+Planning[[#This Row],[Horas ajustadas adicionales]]-Planning[[#This Row],[Horas utilizadas]]</f>
        <v>#REF!</v>
      </c>
      <c r="L4000" s="7"/>
      <c r="M4000" s="19" t="e">
        <f>Planning[[#This Row],[Saldo]]-Planning[[#This Row],[Saldo estimado]]</f>
        <v>#REF!</v>
      </c>
      <c r="N4000" s="60" t="e">
        <f>+SUMIFS(#REF!,#REF!,Planning[[#This Row],[Proyectos]],#REF!,Planning[[#This Row],[Tipo de Tarea y especialidad]])</f>
        <v>#REF!</v>
      </c>
      <c r="O4000" s="19">
        <f t="shared" si="124"/>
        <v>10</v>
      </c>
      <c r="P4000" s="19">
        <f t="shared" si="125"/>
        <v>2024</v>
      </c>
      <c r="Q40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00" s="19" t="str">
        <f>TEXT(Planning[[#This Row],[Mes]]*29,"mmmm")</f>
        <v>October</v>
      </c>
      <c r="S40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00" s="210"/>
      <c r="U4000" s="43">
        <f>IF(Planning[[#This Row],[Horas Planificadas]]&lt;&gt;0,+K4000/Planning[[#This Row],[Horas Planificadas]],0)</f>
        <v>0</v>
      </c>
      <c r="V4000" s="43">
        <f>IF(Planning[[#This Row],[Horas Planificadas]]&lt;&gt;0,Planning[[#This Row],[Horas utilizadas]]/Planning[[#This Row],[Horas Planificadas]],0)</f>
        <v>0</v>
      </c>
      <c r="W4000" s="44">
        <f>Planning[[#This Row],[Horas Planificadas]]+Planning[[#This Row],[Horas ajustadas adicionales]]</f>
        <v>0</v>
      </c>
      <c r="X4000" s="142"/>
    </row>
    <row r="4001" spans="1:24" x14ac:dyDescent="0.2">
      <c r="A4001" s="7" t="s">
        <v>204</v>
      </c>
      <c r="B4001" s="7" t="s">
        <v>463</v>
      </c>
      <c r="C4001" s="3">
        <v>116879</v>
      </c>
      <c r="D4001" s="3" t="s">
        <v>702</v>
      </c>
      <c r="E4001" s="4"/>
      <c r="F4001" s="3" t="s">
        <v>130</v>
      </c>
      <c r="G4001" s="9"/>
      <c r="H4001" s="9">
        <v>150</v>
      </c>
      <c r="I4001" s="12">
        <v>10</v>
      </c>
      <c r="J4001" s="5" t="e">
        <f>SUM(SUMIFS(#REF!,#REF!,Planning[[#This Row],[Tipo de Tarea y especialidad]],#REF!,Planning[[#This Row],[Proyectos Reiwa]]),SUMIFS(#REF!,#REF!,Planning[[#This Row],[Tipo de Tarea y especialidad]],#REF!,Planning[[#This Row],[Proyectos]]))</f>
        <v>#REF!</v>
      </c>
      <c r="K4001" s="5" t="e">
        <f>+Planning[[#This Row],[Horas Planificadas]]+Planning[[#This Row],[Horas ajustadas adicionales]]-Planning[[#This Row],[Horas utilizadas]]</f>
        <v>#REF!</v>
      </c>
      <c r="L4001" s="7" t="e">
        <f>Planning[[#This Row],[Saldo]]</f>
        <v>#REF!</v>
      </c>
      <c r="M4001" s="19" t="e">
        <f>Planning[[#This Row],[Saldo]]-Planning[[#This Row],[Saldo estimado]]</f>
        <v>#REF!</v>
      </c>
      <c r="N4001" s="60" t="e">
        <f>+SUMIFS(#REF!,#REF!,Planning[[#This Row],[Proyectos]],#REF!,Planning[[#This Row],[Tipo de Tarea y especialidad]])</f>
        <v>#REF!</v>
      </c>
      <c r="O4001" s="19">
        <f t="shared" si="124"/>
        <v>10</v>
      </c>
      <c r="P4001" s="19">
        <f t="shared" si="125"/>
        <v>2024</v>
      </c>
      <c r="Q40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01" s="19" t="str">
        <f>TEXT(Planning[[#This Row],[Mes]]*29,"mmmm")</f>
        <v>October</v>
      </c>
      <c r="S40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01" s="210"/>
      <c r="U4001" s="43" t="e">
        <f>IF(Planning[[#This Row],[Horas Planificadas]]&lt;&gt;0,+K4001/Planning[[#This Row],[Horas Planificadas]],0)</f>
        <v>#REF!</v>
      </c>
      <c r="V4001" s="43" t="e">
        <f>IF(Planning[[#This Row],[Horas Planificadas]]&lt;&gt;0,Planning[[#This Row],[Horas utilizadas]]/Planning[[#This Row],[Horas Planificadas]],0)</f>
        <v>#REF!</v>
      </c>
      <c r="W4001" s="44">
        <f>Planning[[#This Row],[Horas Planificadas]]+Planning[[#This Row],[Horas ajustadas adicionales]]</f>
        <v>160</v>
      </c>
      <c r="X4001" s="142"/>
    </row>
    <row r="4002" spans="1:24" x14ac:dyDescent="0.2">
      <c r="A4002" s="7" t="s">
        <v>204</v>
      </c>
      <c r="B4002" s="7" t="s">
        <v>463</v>
      </c>
      <c r="C4002" s="3">
        <v>116879</v>
      </c>
      <c r="D4002" s="3" t="s">
        <v>702</v>
      </c>
      <c r="E4002" s="4"/>
      <c r="F4002" s="3" t="s">
        <v>131</v>
      </c>
      <c r="G4002" s="9"/>
      <c r="H4002" s="9">
        <v>100</v>
      </c>
      <c r="I4002" s="12">
        <f>380+100</f>
        <v>480</v>
      </c>
      <c r="J4002" s="5" t="e">
        <f>SUM(SUMIFS(#REF!,#REF!,Planning[[#This Row],[Tipo de Tarea y especialidad]],#REF!,Planning[[#This Row],[Proyectos Reiwa]]),SUMIFS(#REF!,#REF!,Planning[[#This Row],[Tipo de Tarea y especialidad]],#REF!,Planning[[#This Row],[Proyectos]]))</f>
        <v>#REF!</v>
      </c>
      <c r="K4002" s="5" t="e">
        <f>+Planning[[#This Row],[Horas Planificadas]]+Planning[[#This Row],[Horas ajustadas adicionales]]-Planning[[#This Row],[Horas utilizadas]]</f>
        <v>#REF!</v>
      </c>
      <c r="L4002" s="7" t="e">
        <f>Planning[[#This Row],[Saldo]]</f>
        <v>#REF!</v>
      </c>
      <c r="M4002" s="19" t="e">
        <f>Planning[[#This Row],[Saldo]]-Planning[[#This Row],[Saldo estimado]]</f>
        <v>#REF!</v>
      </c>
      <c r="N4002" s="60" t="e">
        <f>+SUMIFS(#REF!,#REF!,Planning[[#This Row],[Proyectos]],#REF!,Planning[[#This Row],[Tipo de Tarea y especialidad]])</f>
        <v>#REF!</v>
      </c>
      <c r="O4002" s="19">
        <f t="shared" si="124"/>
        <v>10</v>
      </c>
      <c r="P4002" s="19">
        <f t="shared" si="125"/>
        <v>2024</v>
      </c>
      <c r="Q40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02" s="19" t="str">
        <f>TEXT(Planning[[#This Row],[Mes]]*29,"mmmm")</f>
        <v>October</v>
      </c>
      <c r="S40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02" s="210"/>
      <c r="U4002" s="43" t="e">
        <f>IF(Planning[[#This Row],[Horas Planificadas]]&lt;&gt;0,+K4002/Planning[[#This Row],[Horas Planificadas]],0)</f>
        <v>#REF!</v>
      </c>
      <c r="V4002" s="43" t="e">
        <f>IF(Planning[[#This Row],[Horas Planificadas]]&lt;&gt;0,Planning[[#This Row],[Horas utilizadas]]/Planning[[#This Row],[Horas Planificadas]],0)</f>
        <v>#REF!</v>
      </c>
      <c r="W4002" s="44">
        <f>Planning[[#This Row],[Horas Planificadas]]+Planning[[#This Row],[Horas ajustadas adicionales]]</f>
        <v>580</v>
      </c>
      <c r="X4002" s="142"/>
    </row>
    <row r="4003" spans="1:24" ht="13.35" customHeight="1" x14ac:dyDescent="0.2">
      <c r="A4003" s="7" t="s">
        <v>483</v>
      </c>
      <c r="B4003" s="7" t="s">
        <v>288</v>
      </c>
      <c r="C4003" s="3">
        <v>116880</v>
      </c>
      <c r="D4003" s="3" t="s">
        <v>704</v>
      </c>
      <c r="E4003" s="4" t="s">
        <v>28</v>
      </c>
      <c r="F4003" s="3"/>
      <c r="G4003" s="9">
        <v>38</v>
      </c>
      <c r="H4003" s="14">
        <f>SUM(H4004:H4005)</f>
        <v>38</v>
      </c>
      <c r="I4003" s="14"/>
      <c r="J4003" s="14" t="e">
        <f>SUM(J4004:J4005)</f>
        <v>#REF!</v>
      </c>
      <c r="K4003" s="14" t="e">
        <f>+Planning[[#This Row],[Horas Planificadas]]+Planning[[#This Row],[Horas ajustadas adicionales]]-Planning[[#This Row],[Horas utilizadas]]</f>
        <v>#REF!</v>
      </c>
      <c r="L4003" s="15">
        <f>SUM(L4004:L4005)</f>
        <v>0</v>
      </c>
      <c r="M4003" s="14" t="e">
        <f>SUM(M4004:M4005)</f>
        <v>#REF!</v>
      </c>
      <c r="N4003" s="66" t="e">
        <f>+SUMIFS(#REF!,#REF!,Planning[[#This Row],[Proyectos]],#REF!,Planning[[#This Row],[Tipo de Tarea y especialidad]])</f>
        <v>#REF!</v>
      </c>
      <c r="O4003" s="14">
        <f t="shared" si="124"/>
        <v>10</v>
      </c>
      <c r="P4003" s="14">
        <f t="shared" si="125"/>
        <v>2024</v>
      </c>
      <c r="Q4003" s="28" t="e">
        <f>SUM(Q4004:Q4005)</f>
        <v>#REF!</v>
      </c>
      <c r="R4003" s="24" t="str">
        <f>TEXT(Planning[[#This Row],[Mes]]*29,"mmmm")</f>
        <v>October</v>
      </c>
      <c r="S4003"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03" s="175" t="s">
        <v>705</v>
      </c>
      <c r="U4003" s="43" t="e">
        <f>IF(Planning[[#This Row],[Horas Planificadas]]&lt;&gt;0,+K4003/Planning[[#This Row],[Horas Planificadas]],0)</f>
        <v>#REF!</v>
      </c>
      <c r="V4003" s="43" t="e">
        <f>IF(Planning[[#This Row],[Horas Planificadas]]&lt;&gt;0,Planning[[#This Row],[Horas utilizadas]]/Planning[[#This Row],[Horas Planificadas]],0)</f>
        <v>#REF!</v>
      </c>
      <c r="W4003" s="44">
        <f>Planning[[#This Row],[Horas Planificadas]]+Planning[[#This Row],[Horas ajustadas adicionales]]</f>
        <v>38</v>
      </c>
      <c r="X4003" s="142"/>
    </row>
    <row r="4004" spans="1:24" x14ac:dyDescent="0.2">
      <c r="A4004" s="7" t="s">
        <v>483</v>
      </c>
      <c r="B4004" s="7" t="s">
        <v>288</v>
      </c>
      <c r="C4004" s="3">
        <v>116880</v>
      </c>
      <c r="D4004" s="3" t="s">
        <v>704</v>
      </c>
      <c r="E4004" s="4"/>
      <c r="F4004" s="3" t="s">
        <v>120</v>
      </c>
      <c r="G4004" s="9">
        <v>18</v>
      </c>
      <c r="H4004" s="9">
        <v>18</v>
      </c>
      <c r="I4004" s="12"/>
      <c r="J4004" s="5" t="e">
        <f>SUM(SUMIFS(#REF!,#REF!,Planning[[#This Row],[Tipo de Tarea y especialidad]],#REF!,Planning[[#This Row],[Proyectos Reiwa]]),SUMIFS(#REF!,#REF!,Planning[[#This Row],[Tipo de Tarea y especialidad]],#REF!,Planning[[#This Row],[Proyectos]]))</f>
        <v>#REF!</v>
      </c>
      <c r="K4004" s="5" t="e">
        <f>+Planning[[#This Row],[Horas Planificadas]]+Planning[[#This Row],[Horas ajustadas adicionales]]-Planning[[#This Row],[Horas utilizadas]]</f>
        <v>#REF!</v>
      </c>
      <c r="L4004" s="7">
        <v>0</v>
      </c>
      <c r="M4004" s="19" t="e">
        <f>Planning[[#This Row],[Saldo]]-Planning[[#This Row],[Saldo estimado]]</f>
        <v>#REF!</v>
      </c>
      <c r="N4004" s="60" t="e">
        <f>+SUMIFS(#REF!,#REF!,Planning[[#This Row],[Proyectos]],#REF!,Planning[[#This Row],[Tipo de Tarea y especialidad]])</f>
        <v>#REF!</v>
      </c>
      <c r="O4004" s="19">
        <f t="shared" si="124"/>
        <v>10</v>
      </c>
      <c r="P4004" s="19">
        <f t="shared" si="125"/>
        <v>2024</v>
      </c>
      <c r="Q40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04" s="49" t="str">
        <f>TEXT(Planning[[#This Row],[Mes]]*29,"mmmm")</f>
        <v>October</v>
      </c>
      <c r="S400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04" s="152"/>
      <c r="U4004" s="43" t="e">
        <f>IF(Planning[[#This Row],[Horas Planificadas]]&lt;&gt;0,+K4004/Planning[[#This Row],[Horas Planificadas]],0)</f>
        <v>#REF!</v>
      </c>
      <c r="V4004" s="43" t="e">
        <f>IF(Planning[[#This Row],[Horas Planificadas]]&lt;&gt;0,Planning[[#This Row],[Horas utilizadas]]/Planning[[#This Row],[Horas Planificadas]],0)</f>
        <v>#REF!</v>
      </c>
      <c r="W4004" s="44">
        <f>Planning[[#This Row],[Horas Planificadas]]+Planning[[#This Row],[Horas ajustadas adicionales]]</f>
        <v>18</v>
      </c>
      <c r="X4004" s="142"/>
    </row>
    <row r="4005" spans="1:24" x14ac:dyDescent="0.2">
      <c r="A4005" s="7" t="s">
        <v>483</v>
      </c>
      <c r="B4005" s="7" t="s">
        <v>288</v>
      </c>
      <c r="C4005" s="3">
        <v>116880</v>
      </c>
      <c r="D4005" s="3" t="s">
        <v>704</v>
      </c>
      <c r="E4005" s="4"/>
      <c r="F4005" s="3" t="s">
        <v>121</v>
      </c>
      <c r="G4005" s="9">
        <v>20</v>
      </c>
      <c r="H4005" s="9">
        <v>20</v>
      </c>
      <c r="I4005" s="12"/>
      <c r="J4005" s="5" t="e">
        <f>SUM(SUMIFS(#REF!,#REF!,Planning[[#This Row],[Tipo de Tarea y especialidad]],#REF!,Planning[[#This Row],[Proyectos Reiwa]]),SUMIFS(#REF!,#REF!,Planning[[#This Row],[Tipo de Tarea y especialidad]],#REF!,Planning[[#This Row],[Proyectos]]))</f>
        <v>#REF!</v>
      </c>
      <c r="K4005" s="5" t="e">
        <f>+Planning[[#This Row],[Horas Planificadas]]+Planning[[#This Row],[Horas ajustadas adicionales]]-Planning[[#This Row],[Horas utilizadas]]</f>
        <v>#REF!</v>
      </c>
      <c r="L4005" s="7">
        <v>0</v>
      </c>
      <c r="M4005" s="19" t="e">
        <f>Planning[[#This Row],[Saldo]]-Planning[[#This Row],[Saldo estimado]]</f>
        <v>#REF!</v>
      </c>
      <c r="N4005" s="60" t="e">
        <f>+SUMIFS(#REF!,#REF!,Planning[[#This Row],[Proyectos]],#REF!,Planning[[#This Row],[Tipo de Tarea y especialidad]])</f>
        <v>#REF!</v>
      </c>
      <c r="O4005" s="19">
        <f t="shared" si="124"/>
        <v>10</v>
      </c>
      <c r="P4005" s="19">
        <f t="shared" si="125"/>
        <v>2024</v>
      </c>
      <c r="Q40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05" s="49" t="str">
        <f>TEXT(Planning[[#This Row],[Mes]]*29,"mmmm")</f>
        <v>October</v>
      </c>
      <c r="S400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05" s="152"/>
      <c r="U4005" s="43" t="e">
        <f>IF(Planning[[#This Row],[Horas Planificadas]]&lt;&gt;0,+K4005/Planning[[#This Row],[Horas Planificadas]],0)</f>
        <v>#REF!</v>
      </c>
      <c r="V4005" s="43" t="e">
        <f>IF(Planning[[#This Row],[Horas Planificadas]]&lt;&gt;0,Planning[[#This Row],[Horas utilizadas]]/Planning[[#This Row],[Horas Planificadas]],0)</f>
        <v>#REF!</v>
      </c>
      <c r="W4005" s="44">
        <f>Planning[[#This Row],[Horas Planificadas]]+Planning[[#This Row],[Horas ajustadas adicionales]]</f>
        <v>20</v>
      </c>
      <c r="X4005" s="142"/>
    </row>
    <row r="4006" spans="1:24" x14ac:dyDescent="0.2">
      <c r="A4006" s="7" t="s">
        <v>483</v>
      </c>
      <c r="B4006" s="7" t="s">
        <v>288</v>
      </c>
      <c r="C4006" s="3">
        <v>116880</v>
      </c>
      <c r="D4006" s="3" t="s">
        <v>704</v>
      </c>
      <c r="E4006" s="4" t="s">
        <v>30</v>
      </c>
      <c r="F4006" s="3"/>
      <c r="G4006" s="9">
        <v>54</v>
      </c>
      <c r="H4006" s="14">
        <f>SUM(H4007:H4013)</f>
        <v>120</v>
      </c>
      <c r="I4006" s="14"/>
      <c r="J4006" s="14" t="e">
        <f>SUM(J4007:J4013)</f>
        <v>#REF!</v>
      </c>
      <c r="K4006" s="14" t="e">
        <f>+Planning[[#This Row],[Horas Planificadas]]+Planning[[#This Row],[Horas ajustadas adicionales]]-Planning[[#This Row],[Horas utilizadas]]</f>
        <v>#REF!</v>
      </c>
      <c r="L4006" s="15">
        <f>SUM(L4007:L4013)</f>
        <v>0</v>
      </c>
      <c r="M4006" s="16" t="e">
        <f>SUM(M4007:M4013)</f>
        <v>#REF!</v>
      </c>
      <c r="N4006" s="60" t="e">
        <f>+SUMIFS(#REF!,#REF!,Planning[[#This Row],[Proyectos]],#REF!,Planning[[#This Row],[Tipo de Tarea y especialidad]])</f>
        <v>#REF!</v>
      </c>
      <c r="O4006" s="16">
        <f t="shared" si="124"/>
        <v>10</v>
      </c>
      <c r="P4006" s="16">
        <f t="shared" si="125"/>
        <v>2024</v>
      </c>
      <c r="Q4006" s="16" t="e">
        <f>SUM(Q4007:Q4013)</f>
        <v>#REF!</v>
      </c>
      <c r="R4006" s="50" t="str">
        <f>TEXT(Planning[[#This Row],[Mes]]*29,"mmmm")</f>
        <v>October</v>
      </c>
      <c r="S400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06" s="152"/>
      <c r="U4006" s="43" t="e">
        <f>IF(Planning[[#This Row],[Horas Planificadas]]&lt;&gt;0,+K4006/Planning[[#This Row],[Horas Planificadas]],0)</f>
        <v>#REF!</v>
      </c>
      <c r="V4006" s="43" t="e">
        <f>IF(Planning[[#This Row],[Horas Planificadas]]&lt;&gt;0,Planning[[#This Row],[Horas utilizadas]]/Planning[[#This Row],[Horas Planificadas]],0)</f>
        <v>#REF!</v>
      </c>
      <c r="W4006" s="44">
        <f>Planning[[#This Row],[Horas Planificadas]]+Planning[[#This Row],[Horas ajustadas adicionales]]</f>
        <v>120</v>
      </c>
      <c r="X4006" s="142"/>
    </row>
    <row r="4007" spans="1:24" x14ac:dyDescent="0.2">
      <c r="A4007" s="7" t="s">
        <v>483</v>
      </c>
      <c r="B4007" s="7" t="s">
        <v>288</v>
      </c>
      <c r="C4007" s="3">
        <v>116880</v>
      </c>
      <c r="D4007" s="3" t="s">
        <v>704</v>
      </c>
      <c r="E4007" s="4"/>
      <c r="F4007" s="3" t="s">
        <v>122</v>
      </c>
      <c r="G4007" s="9"/>
      <c r="H4007" s="9"/>
      <c r="I4007" s="12"/>
      <c r="J4007" s="5" t="e">
        <f>SUM(SUMIFS(#REF!,#REF!,Planning[[#This Row],[Tipo de Tarea y especialidad]],#REF!,Planning[[#This Row],[Proyectos Reiwa]]),SUMIFS(#REF!,#REF!,Planning[[#This Row],[Tipo de Tarea y especialidad]],#REF!,Planning[[#This Row],[Proyectos]]))</f>
        <v>#REF!</v>
      </c>
      <c r="K4007" s="5" t="e">
        <f>+Planning[[#This Row],[Horas Planificadas]]+Planning[[#This Row],[Horas ajustadas adicionales]]-Planning[[#This Row],[Horas utilizadas]]</f>
        <v>#REF!</v>
      </c>
      <c r="L4007" s="7"/>
      <c r="M4007" s="19" t="e">
        <f>Planning[[#This Row],[Saldo]]-Planning[[#This Row],[Saldo estimado]]</f>
        <v>#REF!</v>
      </c>
      <c r="N4007" s="60" t="e">
        <f>+SUMIFS(#REF!,#REF!,Planning[[#This Row],[Proyectos]],#REF!,Planning[[#This Row],[Tipo de Tarea y especialidad]])</f>
        <v>#REF!</v>
      </c>
      <c r="O4007" s="19">
        <f t="shared" si="124"/>
        <v>10</v>
      </c>
      <c r="P4007" s="19">
        <f t="shared" si="125"/>
        <v>2024</v>
      </c>
      <c r="Q40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07" s="49" t="str">
        <f>TEXT(Planning[[#This Row],[Mes]]*29,"mmmm")</f>
        <v>October</v>
      </c>
      <c r="S400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07" s="152"/>
      <c r="U4007" s="43">
        <f>IF(Planning[[#This Row],[Horas Planificadas]]&lt;&gt;0,+K4007/Planning[[#This Row],[Horas Planificadas]],0)</f>
        <v>0</v>
      </c>
      <c r="V4007" s="43">
        <f>IF(Planning[[#This Row],[Horas Planificadas]]&lt;&gt;0,Planning[[#This Row],[Horas utilizadas]]/Planning[[#This Row],[Horas Planificadas]],0)</f>
        <v>0</v>
      </c>
      <c r="W4007" s="44">
        <f>Planning[[#This Row],[Horas Planificadas]]+Planning[[#This Row],[Horas ajustadas adicionales]]</f>
        <v>0</v>
      </c>
      <c r="X4007" s="142"/>
    </row>
    <row r="4008" spans="1:24" x14ac:dyDescent="0.2">
      <c r="A4008" s="7" t="s">
        <v>483</v>
      </c>
      <c r="B4008" s="7" t="s">
        <v>288</v>
      </c>
      <c r="C4008" s="3">
        <v>116880</v>
      </c>
      <c r="D4008" s="3" t="s">
        <v>704</v>
      </c>
      <c r="E4008" s="4"/>
      <c r="F4008" s="3" t="s">
        <v>123</v>
      </c>
      <c r="G4008" s="9"/>
      <c r="H4008" s="9"/>
      <c r="I4008" s="12"/>
      <c r="J4008" s="5" t="e">
        <f>SUM(SUMIFS(#REF!,#REF!,Planning[[#This Row],[Tipo de Tarea y especialidad]],#REF!,Planning[[#This Row],[Proyectos Reiwa]]),SUMIFS(#REF!,#REF!,Planning[[#This Row],[Tipo de Tarea y especialidad]],#REF!,Planning[[#This Row],[Proyectos]]))</f>
        <v>#REF!</v>
      </c>
      <c r="K4008" s="5" t="e">
        <f>+Planning[[#This Row],[Horas Planificadas]]+Planning[[#This Row],[Horas ajustadas adicionales]]-Planning[[#This Row],[Horas utilizadas]]</f>
        <v>#REF!</v>
      </c>
      <c r="L4008" s="7"/>
      <c r="M4008" s="19" t="e">
        <f>Planning[[#This Row],[Saldo]]-Planning[[#This Row],[Saldo estimado]]</f>
        <v>#REF!</v>
      </c>
      <c r="N4008" s="60" t="e">
        <f>+SUMIFS(#REF!,#REF!,Planning[[#This Row],[Proyectos]],#REF!,Planning[[#This Row],[Tipo de Tarea y especialidad]])</f>
        <v>#REF!</v>
      </c>
      <c r="O4008" s="19">
        <f t="shared" si="124"/>
        <v>10</v>
      </c>
      <c r="P4008" s="19">
        <f t="shared" si="125"/>
        <v>2024</v>
      </c>
      <c r="Q40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08" s="49" t="str">
        <f>TEXT(Planning[[#This Row],[Mes]]*29,"mmmm")</f>
        <v>October</v>
      </c>
      <c r="S400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08" s="152"/>
      <c r="U4008" s="43">
        <f>IF(Planning[[#This Row],[Horas Planificadas]]&lt;&gt;0,+K4008/Planning[[#This Row],[Horas Planificadas]],0)</f>
        <v>0</v>
      </c>
      <c r="V4008" s="43">
        <f>IF(Planning[[#This Row],[Horas Planificadas]]&lt;&gt;0,Planning[[#This Row],[Horas utilizadas]]/Planning[[#This Row],[Horas Planificadas]],0)</f>
        <v>0</v>
      </c>
      <c r="W4008" s="44">
        <f>Planning[[#This Row],[Horas Planificadas]]+Planning[[#This Row],[Horas ajustadas adicionales]]</f>
        <v>0</v>
      </c>
      <c r="X4008" s="142"/>
    </row>
    <row r="4009" spans="1:24" x14ac:dyDescent="0.2">
      <c r="A4009" s="7" t="s">
        <v>483</v>
      </c>
      <c r="B4009" s="7" t="s">
        <v>288</v>
      </c>
      <c r="C4009" s="3">
        <v>116880</v>
      </c>
      <c r="D4009" s="3" t="s">
        <v>704</v>
      </c>
      <c r="E4009" s="4"/>
      <c r="F4009" s="3" t="s">
        <v>124</v>
      </c>
      <c r="G4009" s="9">
        <v>60</v>
      </c>
      <c r="H4009" s="9">
        <v>60</v>
      </c>
      <c r="I4009" s="12"/>
      <c r="J4009" s="5" t="e">
        <f>SUM(SUMIFS(#REF!,#REF!,Planning[[#This Row],[Tipo de Tarea y especialidad]],#REF!,Planning[[#This Row],[Proyectos Reiwa]]),SUMIFS(#REF!,#REF!,Planning[[#This Row],[Tipo de Tarea y especialidad]],#REF!,Planning[[#This Row],[Proyectos]]))</f>
        <v>#REF!</v>
      </c>
      <c r="K4009" s="5" t="e">
        <f>+Planning[[#This Row],[Horas Planificadas]]+Planning[[#This Row],[Horas ajustadas adicionales]]-Planning[[#This Row],[Horas utilizadas]]</f>
        <v>#REF!</v>
      </c>
      <c r="L4009" s="7">
        <v>0</v>
      </c>
      <c r="M4009" s="19" t="e">
        <f>Planning[[#This Row],[Saldo]]-Planning[[#This Row],[Saldo estimado]]</f>
        <v>#REF!</v>
      </c>
      <c r="N4009" s="60" t="e">
        <f>+SUMIFS(#REF!,#REF!,Planning[[#This Row],[Proyectos]],#REF!,Planning[[#This Row],[Tipo de Tarea y especialidad]])</f>
        <v>#REF!</v>
      </c>
      <c r="O4009" s="19">
        <f t="shared" si="124"/>
        <v>10</v>
      </c>
      <c r="P4009" s="19">
        <f t="shared" si="125"/>
        <v>2024</v>
      </c>
      <c r="Q40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09" s="49" t="str">
        <f>TEXT(Planning[[#This Row],[Mes]]*29,"mmmm")</f>
        <v>October</v>
      </c>
      <c r="S400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09" s="152"/>
      <c r="U4009" s="43" t="e">
        <f>IF(Planning[[#This Row],[Horas Planificadas]]&lt;&gt;0,+K4009/Planning[[#This Row],[Horas Planificadas]],0)</f>
        <v>#REF!</v>
      </c>
      <c r="V4009" s="43" t="e">
        <f>IF(Planning[[#This Row],[Horas Planificadas]]&lt;&gt;0,Planning[[#This Row],[Horas utilizadas]]/Planning[[#This Row],[Horas Planificadas]],0)</f>
        <v>#REF!</v>
      </c>
      <c r="W4009" s="44">
        <f>Planning[[#This Row],[Horas Planificadas]]+Planning[[#This Row],[Horas ajustadas adicionales]]</f>
        <v>60</v>
      </c>
      <c r="X4009" s="142"/>
    </row>
    <row r="4010" spans="1:24" x14ac:dyDescent="0.2">
      <c r="A4010" s="7" t="s">
        <v>483</v>
      </c>
      <c r="B4010" s="7" t="s">
        <v>288</v>
      </c>
      <c r="C4010" s="3">
        <v>116880</v>
      </c>
      <c r="D4010" s="3" t="s">
        <v>704</v>
      </c>
      <c r="E4010" s="4"/>
      <c r="F4010" s="3" t="s">
        <v>125</v>
      </c>
      <c r="G4010" s="9"/>
      <c r="H4010" s="9"/>
      <c r="I4010" s="12"/>
      <c r="J4010" s="5" t="e">
        <f>SUM(SUMIFS(#REF!,#REF!,Planning[[#This Row],[Tipo de Tarea y especialidad]],#REF!,Planning[[#This Row],[Proyectos Reiwa]]),SUMIFS(#REF!,#REF!,Planning[[#This Row],[Tipo de Tarea y especialidad]],#REF!,Planning[[#This Row],[Proyectos]]))</f>
        <v>#REF!</v>
      </c>
      <c r="K4010" s="5" t="e">
        <f>+Planning[[#This Row],[Horas Planificadas]]+Planning[[#This Row],[Horas ajustadas adicionales]]-Planning[[#This Row],[Horas utilizadas]]</f>
        <v>#REF!</v>
      </c>
      <c r="L4010" s="7"/>
      <c r="M4010" s="19" t="e">
        <f>Planning[[#This Row],[Saldo]]-Planning[[#This Row],[Saldo estimado]]</f>
        <v>#REF!</v>
      </c>
      <c r="N4010" s="60" t="e">
        <f>+SUMIFS(#REF!,#REF!,Planning[[#This Row],[Proyectos]],#REF!,Planning[[#This Row],[Tipo de Tarea y especialidad]])</f>
        <v>#REF!</v>
      </c>
      <c r="O4010" s="19">
        <f t="shared" si="124"/>
        <v>10</v>
      </c>
      <c r="P4010" s="19">
        <f t="shared" si="125"/>
        <v>2024</v>
      </c>
      <c r="Q40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10" s="49" t="str">
        <f>TEXT(Planning[[#This Row],[Mes]]*29,"mmmm")</f>
        <v>October</v>
      </c>
      <c r="S401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10" s="152"/>
      <c r="U4010" s="43">
        <f>IF(Planning[[#This Row],[Horas Planificadas]]&lt;&gt;0,+K4010/Planning[[#This Row],[Horas Planificadas]],0)</f>
        <v>0</v>
      </c>
      <c r="V4010" s="43">
        <f>IF(Planning[[#This Row],[Horas Planificadas]]&lt;&gt;0,Planning[[#This Row],[Horas utilizadas]]/Planning[[#This Row],[Horas Planificadas]],0)</f>
        <v>0</v>
      </c>
      <c r="W4010" s="44">
        <f>Planning[[#This Row],[Horas Planificadas]]+Planning[[#This Row],[Horas ajustadas adicionales]]</f>
        <v>0</v>
      </c>
      <c r="X4010" s="142"/>
    </row>
    <row r="4011" spans="1:24" x14ac:dyDescent="0.2">
      <c r="A4011" s="7" t="s">
        <v>483</v>
      </c>
      <c r="B4011" s="7" t="s">
        <v>288</v>
      </c>
      <c r="C4011" s="3">
        <v>116880</v>
      </c>
      <c r="D4011" s="3" t="s">
        <v>704</v>
      </c>
      <c r="E4011" s="4"/>
      <c r="F4011" s="3" t="s">
        <v>126</v>
      </c>
      <c r="G4011" s="9"/>
      <c r="H4011" s="9"/>
      <c r="I4011" s="12"/>
      <c r="J4011" s="5" t="e">
        <f>SUM(SUMIFS(#REF!,#REF!,Planning[[#This Row],[Tipo de Tarea y especialidad]],#REF!,Planning[[#This Row],[Proyectos Reiwa]]),SUMIFS(#REF!,#REF!,Planning[[#This Row],[Tipo de Tarea y especialidad]],#REF!,Planning[[#This Row],[Proyectos]]))</f>
        <v>#REF!</v>
      </c>
      <c r="K4011" s="5" t="e">
        <f>+Planning[[#This Row],[Horas Planificadas]]+Planning[[#This Row],[Horas ajustadas adicionales]]-Planning[[#This Row],[Horas utilizadas]]</f>
        <v>#REF!</v>
      </c>
      <c r="L4011" s="7"/>
      <c r="M4011" s="19" t="e">
        <f>Planning[[#This Row],[Saldo]]-Planning[[#This Row],[Saldo estimado]]</f>
        <v>#REF!</v>
      </c>
      <c r="N4011" s="60" t="e">
        <f>+SUMIFS(#REF!,#REF!,Planning[[#This Row],[Proyectos]],#REF!,Planning[[#This Row],[Tipo de Tarea y especialidad]])</f>
        <v>#REF!</v>
      </c>
      <c r="O4011" s="19">
        <f t="shared" si="124"/>
        <v>10</v>
      </c>
      <c r="P4011" s="19">
        <f t="shared" si="125"/>
        <v>2024</v>
      </c>
      <c r="Q40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11" s="49" t="str">
        <f>TEXT(Planning[[#This Row],[Mes]]*29,"mmmm")</f>
        <v>October</v>
      </c>
      <c r="S401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11" s="152"/>
      <c r="U4011" s="43">
        <f>IF(Planning[[#This Row],[Horas Planificadas]]&lt;&gt;0,+K4011/Planning[[#This Row],[Horas Planificadas]],0)</f>
        <v>0</v>
      </c>
      <c r="V4011" s="43">
        <f>IF(Planning[[#This Row],[Horas Planificadas]]&lt;&gt;0,Planning[[#This Row],[Horas utilizadas]]/Planning[[#This Row],[Horas Planificadas]],0)</f>
        <v>0</v>
      </c>
      <c r="W4011" s="44">
        <f>Planning[[#This Row],[Horas Planificadas]]+Planning[[#This Row],[Horas ajustadas adicionales]]</f>
        <v>0</v>
      </c>
      <c r="X4011" s="142"/>
    </row>
    <row r="4012" spans="1:24" x14ac:dyDescent="0.2">
      <c r="A4012" s="7" t="s">
        <v>483</v>
      </c>
      <c r="B4012" s="7" t="s">
        <v>288</v>
      </c>
      <c r="C4012" s="3">
        <v>116880</v>
      </c>
      <c r="D4012" s="3" t="s">
        <v>704</v>
      </c>
      <c r="E4012" s="4"/>
      <c r="F4012" s="3" t="s">
        <v>127</v>
      </c>
      <c r="G4012" s="9"/>
      <c r="H4012" s="9"/>
      <c r="I4012" s="12"/>
      <c r="J4012" s="5" t="e">
        <f>SUM(SUMIFS(#REF!,#REF!,Planning[[#This Row],[Tipo de Tarea y especialidad]],#REF!,Planning[[#This Row],[Proyectos Reiwa]]),SUMIFS(#REF!,#REF!,Planning[[#This Row],[Tipo de Tarea y especialidad]],#REF!,Planning[[#This Row],[Proyectos]]))</f>
        <v>#REF!</v>
      </c>
      <c r="K4012" s="5" t="e">
        <f>+Planning[[#This Row],[Horas Planificadas]]+Planning[[#This Row],[Horas ajustadas adicionales]]-Planning[[#This Row],[Horas utilizadas]]</f>
        <v>#REF!</v>
      </c>
      <c r="L4012" s="7"/>
      <c r="M4012" s="19" t="e">
        <f>Planning[[#This Row],[Saldo]]-Planning[[#This Row],[Saldo estimado]]</f>
        <v>#REF!</v>
      </c>
      <c r="N4012" s="60" t="e">
        <f>+SUMIFS(#REF!,#REF!,Planning[[#This Row],[Proyectos]],#REF!,Planning[[#This Row],[Tipo de Tarea y especialidad]])</f>
        <v>#REF!</v>
      </c>
      <c r="O4012" s="19">
        <f t="shared" si="124"/>
        <v>10</v>
      </c>
      <c r="P4012" s="19">
        <f t="shared" si="125"/>
        <v>2024</v>
      </c>
      <c r="Q40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12" s="49" t="str">
        <f>TEXT(Planning[[#This Row],[Mes]]*29,"mmmm")</f>
        <v>October</v>
      </c>
      <c r="S401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12" s="152"/>
      <c r="U4012" s="43">
        <f>IF(Planning[[#This Row],[Horas Planificadas]]&lt;&gt;0,+K4012/Planning[[#This Row],[Horas Planificadas]],0)</f>
        <v>0</v>
      </c>
      <c r="V4012" s="43">
        <f>IF(Planning[[#This Row],[Horas Planificadas]]&lt;&gt;0,Planning[[#This Row],[Horas utilizadas]]/Planning[[#This Row],[Horas Planificadas]],0)</f>
        <v>0</v>
      </c>
      <c r="W4012" s="44">
        <f>Planning[[#This Row],[Horas Planificadas]]+Planning[[#This Row],[Horas ajustadas adicionales]]</f>
        <v>0</v>
      </c>
      <c r="X4012" s="142"/>
    </row>
    <row r="4013" spans="1:24" x14ac:dyDescent="0.2">
      <c r="A4013" s="7" t="s">
        <v>483</v>
      </c>
      <c r="B4013" s="7" t="s">
        <v>288</v>
      </c>
      <c r="C4013" s="3">
        <v>116880</v>
      </c>
      <c r="D4013" s="3" t="s">
        <v>704</v>
      </c>
      <c r="E4013" s="4"/>
      <c r="F4013" s="3" t="s">
        <v>128</v>
      </c>
      <c r="G4013" s="9">
        <v>60</v>
      </c>
      <c r="H4013" s="9">
        <v>60</v>
      </c>
      <c r="I4013" s="12"/>
      <c r="J4013" s="5" t="e">
        <f>SUM(SUMIFS(#REF!,#REF!,Planning[[#This Row],[Tipo de Tarea y especialidad]],#REF!,Planning[[#This Row],[Proyectos Reiwa]]),SUMIFS(#REF!,#REF!,Planning[[#This Row],[Tipo de Tarea y especialidad]],#REF!,Planning[[#This Row],[Proyectos]]))</f>
        <v>#REF!</v>
      </c>
      <c r="K4013" s="5" t="e">
        <f>+Planning[[#This Row],[Horas Planificadas]]+Planning[[#This Row],[Horas ajustadas adicionales]]-Planning[[#This Row],[Horas utilizadas]]</f>
        <v>#REF!</v>
      </c>
      <c r="L4013" s="7">
        <v>0</v>
      </c>
      <c r="M4013" s="19" t="e">
        <f>Planning[[#This Row],[Saldo]]-Planning[[#This Row],[Saldo estimado]]</f>
        <v>#REF!</v>
      </c>
      <c r="N4013" s="60" t="e">
        <f>+SUMIFS(#REF!,#REF!,Planning[[#This Row],[Proyectos]],#REF!,Planning[[#This Row],[Tipo de Tarea y especialidad]])</f>
        <v>#REF!</v>
      </c>
      <c r="O4013" s="19">
        <f t="shared" si="124"/>
        <v>10</v>
      </c>
      <c r="P4013" s="19">
        <f t="shared" si="125"/>
        <v>2024</v>
      </c>
      <c r="Q40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13" s="49" t="str">
        <f>TEXT(Planning[[#This Row],[Mes]]*29,"mmmm")</f>
        <v>October</v>
      </c>
      <c r="S401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13" s="152"/>
      <c r="U4013" s="43" t="e">
        <f>IF(Planning[[#This Row],[Horas Planificadas]]&lt;&gt;0,+K4013/Planning[[#This Row],[Horas Planificadas]],0)</f>
        <v>#REF!</v>
      </c>
      <c r="V4013" s="43" t="e">
        <f>IF(Planning[[#This Row],[Horas Planificadas]]&lt;&gt;0,Planning[[#This Row],[Horas utilizadas]]/Planning[[#This Row],[Horas Planificadas]],0)</f>
        <v>#REF!</v>
      </c>
      <c r="W4013" s="44">
        <f>Planning[[#This Row],[Horas Planificadas]]+Planning[[#This Row],[Horas ajustadas adicionales]]</f>
        <v>60</v>
      </c>
      <c r="X4013" s="142"/>
    </row>
    <row r="4014" spans="1:24" x14ac:dyDescent="0.2">
      <c r="A4014" s="7" t="s">
        <v>483</v>
      </c>
      <c r="B4014" s="7" t="s">
        <v>288</v>
      </c>
      <c r="C4014" s="3">
        <v>116880</v>
      </c>
      <c r="D4014" s="3" t="s">
        <v>704</v>
      </c>
      <c r="E4014" s="4" t="s">
        <v>31</v>
      </c>
      <c r="F4014" s="3" t="s">
        <v>31</v>
      </c>
      <c r="G4014" s="9">
        <v>95</v>
      </c>
      <c r="H4014" s="17">
        <f>Planning[[#This Row],[Horas Precálculo]]</f>
        <v>95</v>
      </c>
      <c r="I4014" s="18"/>
      <c r="J4014" s="14" t="e">
        <f>+SUMIFS(#REF!,#REF!,Planning[[#This Row],[Tarifa]],#REF!,Planning[[#This Row],[Proyectos]])</f>
        <v>#REF!</v>
      </c>
      <c r="K4014" s="14" t="e">
        <f>+Planning[[#This Row],[Horas Planificadas]]+Planning[[#This Row],[Horas ajustadas adicionales]]-Planning[[#This Row],[Horas utilizadas]]</f>
        <v>#REF!</v>
      </c>
      <c r="L4014" s="15"/>
      <c r="M4014" s="16" t="e">
        <f>Planning[[#This Row],[Saldo]]-Planning[[#This Row],[Saldo estimado]]</f>
        <v>#REF!</v>
      </c>
      <c r="N4014" s="60" t="e">
        <f>+SUMIFS(#REF!,#REF!,Planning[[#This Row],[Proyectos]],#REF!,Planning[[#This Row],[Tipo de Tarea y especialidad]])</f>
        <v>#REF!</v>
      </c>
      <c r="O4014" s="16">
        <f t="shared" si="124"/>
        <v>10</v>
      </c>
      <c r="P4014" s="16">
        <f t="shared" si="125"/>
        <v>2024</v>
      </c>
      <c r="Q4014" s="16" t="e">
        <f>+SUMIFS(#REF!,#REF!,Planning[[#This Row],[Tarifa]],#REF!,Planning[[#This Row],[Proyectos]],#REF!,Planning[[#This Row],[Mes]],#REF!,Planning[[#This Row],[Año]])</f>
        <v>#REF!</v>
      </c>
      <c r="R4014" s="50" t="str">
        <f>TEXT(Planning[[#This Row],[Mes]]*29,"mmmm")</f>
        <v>October</v>
      </c>
      <c r="S401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14" s="152"/>
      <c r="U4014" s="43" t="e">
        <f>IF(Planning[[#This Row],[Horas Planificadas]]&lt;&gt;0,+K4014/Planning[[#This Row],[Horas Planificadas]],0)</f>
        <v>#REF!</v>
      </c>
      <c r="V4014" s="43" t="e">
        <f>IF(Planning[[#This Row],[Horas Planificadas]]&lt;&gt;0,Planning[[#This Row],[Horas utilizadas]]/Planning[[#This Row],[Horas Planificadas]],0)</f>
        <v>#REF!</v>
      </c>
      <c r="W4014" s="44">
        <f>Planning[[#This Row],[Horas Planificadas]]+Planning[[#This Row],[Horas ajustadas adicionales]]</f>
        <v>95</v>
      </c>
      <c r="X4014" s="142"/>
    </row>
    <row r="4015" spans="1:24" ht="22.5" x14ac:dyDescent="0.2">
      <c r="A4015" s="7" t="s">
        <v>483</v>
      </c>
      <c r="B4015" s="7" t="s">
        <v>288</v>
      </c>
      <c r="C4015" s="3">
        <v>116880</v>
      </c>
      <c r="D4015" s="3" t="s">
        <v>704</v>
      </c>
      <c r="E4015" s="4" t="s">
        <v>32</v>
      </c>
      <c r="F4015" s="3"/>
      <c r="G4015" s="9">
        <v>60</v>
      </c>
      <c r="H4015" s="14">
        <f>SUM(H4016:H4018)</f>
        <v>140</v>
      </c>
      <c r="I4015" s="14"/>
      <c r="J4015" s="14" t="e">
        <f>SUM(J4016:J4018)</f>
        <v>#REF!</v>
      </c>
      <c r="K4015" s="14" t="e">
        <f>+Planning[[#This Row],[Horas Planificadas]]+Planning[[#This Row],[Horas ajustadas adicionales]]-Planning[[#This Row],[Horas utilizadas]]</f>
        <v>#REF!</v>
      </c>
      <c r="L4015" s="15"/>
      <c r="M4015" s="16" t="e">
        <f>SUM(M4016:M4018)</f>
        <v>#REF!</v>
      </c>
      <c r="N4015" s="60" t="e">
        <f>+SUMIFS(#REF!,#REF!,Planning[[#This Row],[Proyectos]],#REF!,Planning[[#This Row],[Tipo de Tarea y especialidad]])</f>
        <v>#REF!</v>
      </c>
      <c r="O4015" s="16">
        <f t="shared" si="124"/>
        <v>10</v>
      </c>
      <c r="P4015" s="16">
        <f t="shared" si="125"/>
        <v>2024</v>
      </c>
      <c r="Q4015" s="16" t="e">
        <f>SUM(Q4016:Q4018)</f>
        <v>#REF!</v>
      </c>
      <c r="R4015" s="50" t="str">
        <f>TEXT(Planning[[#This Row],[Mes]]*29,"mmmm")</f>
        <v>October</v>
      </c>
      <c r="S401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15" s="152"/>
      <c r="U4015" s="43" t="e">
        <f>IF(Planning[[#This Row],[Horas Planificadas]]&lt;&gt;0,+K4015/Planning[[#This Row],[Horas Planificadas]],0)</f>
        <v>#REF!</v>
      </c>
      <c r="V4015" s="43" t="e">
        <f>IF(Planning[[#This Row],[Horas Planificadas]]&lt;&gt;0,Planning[[#This Row],[Horas utilizadas]]/Planning[[#This Row],[Horas Planificadas]],0)</f>
        <v>#REF!</v>
      </c>
      <c r="W4015" s="44">
        <f>Planning[[#This Row],[Horas Planificadas]]+Planning[[#This Row],[Horas ajustadas adicionales]]</f>
        <v>140</v>
      </c>
      <c r="X4015" s="142"/>
    </row>
    <row r="4016" spans="1:24" x14ac:dyDescent="0.2">
      <c r="A4016" s="7" t="s">
        <v>483</v>
      </c>
      <c r="B4016" s="7" t="s">
        <v>288</v>
      </c>
      <c r="C4016" s="3">
        <v>116880</v>
      </c>
      <c r="D4016" s="3" t="s">
        <v>704</v>
      </c>
      <c r="E4016" s="4"/>
      <c r="F4016" s="3" t="s">
        <v>129</v>
      </c>
      <c r="G4016" s="9"/>
      <c r="H4016" s="9"/>
      <c r="I4016" s="12"/>
      <c r="J4016" s="5" t="e">
        <f>SUM(SUMIFS(#REF!,#REF!,Planning[[#This Row],[Tipo de Tarea y especialidad]],#REF!,Planning[[#This Row],[Proyectos Reiwa]]),SUMIFS(#REF!,#REF!,Planning[[#This Row],[Tipo de Tarea y especialidad]],#REF!,Planning[[#This Row],[Proyectos]]))</f>
        <v>#REF!</v>
      </c>
      <c r="K4016" s="5" t="e">
        <f>+Planning[[#This Row],[Horas Planificadas]]+Planning[[#This Row],[Horas ajustadas adicionales]]-Planning[[#This Row],[Horas utilizadas]]</f>
        <v>#REF!</v>
      </c>
      <c r="L4016" s="7"/>
      <c r="M4016" s="19" t="e">
        <f>Planning[[#This Row],[Saldo]]-Planning[[#This Row],[Saldo estimado]]</f>
        <v>#REF!</v>
      </c>
      <c r="N4016" s="60" t="e">
        <f>+SUMIFS(#REF!,#REF!,Planning[[#This Row],[Proyectos]],#REF!,Planning[[#This Row],[Tipo de Tarea y especialidad]])</f>
        <v>#REF!</v>
      </c>
      <c r="O4016" s="19">
        <f t="shared" si="124"/>
        <v>10</v>
      </c>
      <c r="P4016" s="19">
        <f t="shared" si="125"/>
        <v>2024</v>
      </c>
      <c r="Q40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16" s="49" t="str">
        <f>TEXT(Planning[[#This Row],[Mes]]*29,"mmmm")</f>
        <v>October</v>
      </c>
      <c r="S401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16" s="152"/>
      <c r="U4016" s="43">
        <f>IF(Planning[[#This Row],[Horas Planificadas]]&lt;&gt;0,+K4016/Planning[[#This Row],[Horas Planificadas]],0)</f>
        <v>0</v>
      </c>
      <c r="V4016" s="43">
        <f>IF(Planning[[#This Row],[Horas Planificadas]]&lt;&gt;0,Planning[[#This Row],[Horas utilizadas]]/Planning[[#This Row],[Horas Planificadas]],0)</f>
        <v>0</v>
      </c>
      <c r="W4016" s="44">
        <f>Planning[[#This Row],[Horas Planificadas]]+Planning[[#This Row],[Horas ajustadas adicionales]]</f>
        <v>0</v>
      </c>
      <c r="X4016" s="142"/>
    </row>
    <row r="4017" spans="1:24" x14ac:dyDescent="0.2">
      <c r="A4017" s="7" t="s">
        <v>483</v>
      </c>
      <c r="B4017" s="7" t="s">
        <v>288</v>
      </c>
      <c r="C4017" s="3">
        <v>116880</v>
      </c>
      <c r="D4017" s="3" t="s">
        <v>704</v>
      </c>
      <c r="E4017" s="4"/>
      <c r="F4017" s="3" t="s">
        <v>130</v>
      </c>
      <c r="G4017" s="9"/>
      <c r="H4017" s="9"/>
      <c r="I4017" s="12"/>
      <c r="J4017" s="5" t="e">
        <f>SUM(SUMIFS(#REF!,#REF!,Planning[[#This Row],[Tipo de Tarea y especialidad]],#REF!,Planning[[#This Row],[Proyectos Reiwa]]),SUMIFS(#REF!,#REF!,Planning[[#This Row],[Tipo de Tarea y especialidad]],#REF!,Planning[[#This Row],[Proyectos]]))</f>
        <v>#REF!</v>
      </c>
      <c r="K4017" s="5" t="e">
        <f>+Planning[[#This Row],[Horas Planificadas]]+Planning[[#This Row],[Horas ajustadas adicionales]]-Planning[[#This Row],[Horas utilizadas]]</f>
        <v>#REF!</v>
      </c>
      <c r="L4017" s="7"/>
      <c r="M4017" s="19" t="e">
        <f>Planning[[#This Row],[Saldo]]-Planning[[#This Row],[Saldo estimado]]</f>
        <v>#REF!</v>
      </c>
      <c r="N4017" s="60" t="e">
        <f>+SUMIFS(#REF!,#REF!,Planning[[#This Row],[Proyectos]],#REF!,Planning[[#This Row],[Tipo de Tarea y especialidad]])</f>
        <v>#REF!</v>
      </c>
      <c r="O4017" s="19">
        <f t="shared" si="124"/>
        <v>10</v>
      </c>
      <c r="P4017" s="19">
        <f t="shared" si="125"/>
        <v>2024</v>
      </c>
      <c r="Q40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17" s="49" t="str">
        <f>TEXT(Planning[[#This Row],[Mes]]*29,"mmmm")</f>
        <v>October</v>
      </c>
      <c r="S401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17" s="152"/>
      <c r="U4017" s="43">
        <f>IF(Planning[[#This Row],[Horas Planificadas]]&lt;&gt;0,+K4017/Planning[[#This Row],[Horas Planificadas]],0)</f>
        <v>0</v>
      </c>
      <c r="V4017" s="43">
        <f>IF(Planning[[#This Row],[Horas Planificadas]]&lt;&gt;0,Planning[[#This Row],[Horas utilizadas]]/Planning[[#This Row],[Horas Planificadas]],0)</f>
        <v>0</v>
      </c>
      <c r="W4017" s="44">
        <f>Planning[[#This Row],[Horas Planificadas]]+Planning[[#This Row],[Horas ajustadas adicionales]]</f>
        <v>0</v>
      </c>
      <c r="X4017" s="142"/>
    </row>
    <row r="4018" spans="1:24" x14ac:dyDescent="0.2">
      <c r="A4018" s="7" t="s">
        <v>483</v>
      </c>
      <c r="B4018" s="7" t="s">
        <v>288</v>
      </c>
      <c r="C4018" s="3">
        <v>116880</v>
      </c>
      <c r="D4018" s="3" t="s">
        <v>704</v>
      </c>
      <c r="E4018" s="4"/>
      <c r="F4018" s="3" t="s">
        <v>131</v>
      </c>
      <c r="G4018" s="9">
        <v>140</v>
      </c>
      <c r="H4018" s="9">
        <v>140</v>
      </c>
      <c r="I4018" s="12"/>
      <c r="J4018" s="5" t="e">
        <f>SUM(SUMIFS(#REF!,#REF!,Planning[[#This Row],[Tipo de Tarea y especialidad]],#REF!,Planning[[#This Row],[Proyectos Reiwa]]),SUMIFS(#REF!,#REF!,Planning[[#This Row],[Tipo de Tarea y especialidad]],#REF!,Planning[[#This Row],[Proyectos]]))</f>
        <v>#REF!</v>
      </c>
      <c r="K4018" s="5" t="e">
        <f>+Planning[[#This Row],[Horas Planificadas]]+Planning[[#This Row],[Horas ajustadas adicionales]]-Planning[[#This Row],[Horas utilizadas]]</f>
        <v>#REF!</v>
      </c>
      <c r="L4018" s="7">
        <v>58</v>
      </c>
      <c r="M4018" s="19" t="e">
        <f>Planning[[#This Row],[Saldo]]-Planning[[#This Row],[Saldo estimado]]</f>
        <v>#REF!</v>
      </c>
      <c r="N4018" s="60" t="e">
        <f>+SUMIFS(#REF!,#REF!,Planning[[#This Row],[Proyectos]],#REF!,Planning[[#This Row],[Tipo de Tarea y especialidad]])</f>
        <v>#REF!</v>
      </c>
      <c r="O4018" s="19">
        <f t="shared" si="124"/>
        <v>10</v>
      </c>
      <c r="P4018" s="19">
        <f t="shared" si="125"/>
        <v>2024</v>
      </c>
      <c r="Q40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18" s="51" t="str">
        <f>TEXT(Planning[[#This Row],[Mes]]*29,"mmmm")</f>
        <v>October</v>
      </c>
      <c r="S4018"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18" s="153"/>
      <c r="U4018" s="43" t="e">
        <f>IF(Planning[[#This Row],[Horas Planificadas]]&lt;&gt;0,+K4018/Planning[[#This Row],[Horas Planificadas]],0)</f>
        <v>#REF!</v>
      </c>
      <c r="V4018" s="43" t="e">
        <f>IF(Planning[[#This Row],[Horas Planificadas]]&lt;&gt;0,Planning[[#This Row],[Horas utilizadas]]/Planning[[#This Row],[Horas Planificadas]],0)</f>
        <v>#REF!</v>
      </c>
      <c r="W4018" s="44">
        <f>Planning[[#This Row],[Horas Planificadas]]+Planning[[#This Row],[Horas ajustadas adicionales]]</f>
        <v>140</v>
      </c>
      <c r="X4018" s="142"/>
    </row>
    <row r="4019" spans="1:24" ht="22.5" x14ac:dyDescent="0.2">
      <c r="A4019" s="7" t="s">
        <v>483</v>
      </c>
      <c r="B4019" s="7" t="s">
        <v>178</v>
      </c>
      <c r="C4019" s="3"/>
      <c r="D4019" s="3" t="s">
        <v>706</v>
      </c>
      <c r="E4019" s="4" t="s">
        <v>28</v>
      </c>
      <c r="F4019" s="3"/>
      <c r="G4019" s="9">
        <v>0</v>
      </c>
      <c r="H4019" s="14">
        <f>SUM(H4020:H4021)</f>
        <v>0</v>
      </c>
      <c r="I4019" s="14"/>
      <c r="J4019" s="14" t="e">
        <f>SUM(J4020:J4021)</f>
        <v>#REF!</v>
      </c>
      <c r="K4019" s="14" t="e">
        <f>+Planning[[#This Row],[Horas Planificadas]]+Planning[[#This Row],[Horas ajustadas adicionales]]-Planning[[#This Row],[Horas utilizadas]]</f>
        <v>#REF!</v>
      </c>
      <c r="L4019" s="15" t="e">
        <f>SUM(L4020:L4021)</f>
        <v>#REF!</v>
      </c>
      <c r="M4019" s="14" t="e">
        <f>SUM(M4020:M4021)</f>
        <v>#REF!</v>
      </c>
      <c r="N4019" s="66" t="e">
        <f>+SUMIFS(#REF!,#REF!,Planning[[#This Row],[Proyectos]],#REF!,Planning[[#This Row],[Tipo de Tarea y especialidad]])</f>
        <v>#REF!</v>
      </c>
      <c r="O4019" s="14">
        <f t="shared" si="124"/>
        <v>10</v>
      </c>
      <c r="P4019" s="14">
        <f t="shared" si="125"/>
        <v>2024</v>
      </c>
      <c r="Q4019" s="28" t="e">
        <f>SUM(Q4020:Q4021)</f>
        <v>#REF!</v>
      </c>
      <c r="R4019" s="28" t="str">
        <f>TEXT(Planning[[#This Row],[Mes]]*29,"mmmm")</f>
        <v>October</v>
      </c>
      <c r="S40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19" s="220" t="s">
        <v>707</v>
      </c>
      <c r="U4019" s="43">
        <f>IF(Planning[[#This Row],[Horas Planificadas]]&lt;&gt;0,+K4019/Planning[[#This Row],[Horas Planificadas]],0)</f>
        <v>0</v>
      </c>
      <c r="V4019" s="43">
        <f>IF(Planning[[#This Row],[Horas Planificadas]]&lt;&gt;0,Planning[[#This Row],[Horas utilizadas]]/Planning[[#This Row],[Horas Planificadas]],0)</f>
        <v>0</v>
      </c>
      <c r="W4019" s="44">
        <f>Planning[[#This Row],[Horas Planificadas]]+Planning[[#This Row],[Horas ajustadas adicionales]]</f>
        <v>0</v>
      </c>
      <c r="X4019" s="142"/>
    </row>
    <row r="4020" spans="1:24" x14ac:dyDescent="0.2">
      <c r="A4020" s="7" t="s">
        <v>483</v>
      </c>
      <c r="B4020" s="7" t="s">
        <v>178</v>
      </c>
      <c r="C4020" s="3"/>
      <c r="D4020" s="3" t="s">
        <v>706</v>
      </c>
      <c r="E4020" s="4"/>
      <c r="F4020" s="3" t="s">
        <v>120</v>
      </c>
      <c r="G4020" s="9"/>
      <c r="H4020" s="9">
        <v>0</v>
      </c>
      <c r="I4020" s="12"/>
      <c r="J4020" s="5" t="e">
        <f>SUM(SUMIFS(#REF!,#REF!,Planning[[#This Row],[Tipo de Tarea y especialidad]],#REF!,Planning[[#This Row],[Proyectos Reiwa]]),SUMIFS(#REF!,#REF!,Planning[[#This Row],[Tipo de Tarea y especialidad]],#REF!,Planning[[#This Row],[Proyectos]]))</f>
        <v>#REF!</v>
      </c>
      <c r="K4020" s="5" t="e">
        <f>+Planning[[#This Row],[Horas Planificadas]]+Planning[[#This Row],[Horas ajustadas adicionales]]-Planning[[#This Row],[Horas utilizadas]]</f>
        <v>#REF!</v>
      </c>
      <c r="L4020" s="7" t="e">
        <f>Planning[[#This Row],[Saldo]]</f>
        <v>#REF!</v>
      </c>
      <c r="M4020" s="19" t="e">
        <f>Planning[[#This Row],[Saldo]]-Planning[[#This Row],[Saldo estimado]]</f>
        <v>#REF!</v>
      </c>
      <c r="N4020" s="60" t="e">
        <f>+SUMIFS(#REF!,#REF!,Planning[[#This Row],[Proyectos]],#REF!,Planning[[#This Row],[Tipo de Tarea y especialidad]])</f>
        <v>#REF!</v>
      </c>
      <c r="O4020" s="19">
        <f t="shared" si="124"/>
        <v>10</v>
      </c>
      <c r="P4020" s="19">
        <f t="shared" si="125"/>
        <v>2024</v>
      </c>
      <c r="Q40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20" s="19" t="str">
        <f>TEXT(Planning[[#This Row],[Mes]]*29,"mmmm")</f>
        <v>October</v>
      </c>
      <c r="S40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20" s="210"/>
      <c r="U4020" s="43">
        <f>IF(Planning[[#This Row],[Horas Planificadas]]&lt;&gt;0,+K4020/Planning[[#This Row],[Horas Planificadas]],0)</f>
        <v>0</v>
      </c>
      <c r="V4020" s="43">
        <f>IF(Planning[[#This Row],[Horas Planificadas]]&lt;&gt;0,Planning[[#This Row],[Horas utilizadas]]/Planning[[#This Row],[Horas Planificadas]],0)</f>
        <v>0</v>
      </c>
      <c r="W4020" s="44">
        <f>Planning[[#This Row],[Horas Planificadas]]+Planning[[#This Row],[Horas ajustadas adicionales]]</f>
        <v>0</v>
      </c>
      <c r="X4020" s="142"/>
    </row>
    <row r="4021" spans="1:24" x14ac:dyDescent="0.2">
      <c r="A4021" s="7" t="s">
        <v>483</v>
      </c>
      <c r="B4021" s="7" t="s">
        <v>178</v>
      </c>
      <c r="C4021" s="3"/>
      <c r="D4021" s="3" t="s">
        <v>706</v>
      </c>
      <c r="E4021" s="4"/>
      <c r="F4021" s="3" t="s">
        <v>121</v>
      </c>
      <c r="G4021" s="9"/>
      <c r="H4021" s="9">
        <v>0</v>
      </c>
      <c r="I4021" s="12"/>
      <c r="J4021" s="5" t="e">
        <f>SUM(SUMIFS(#REF!,#REF!,Planning[[#This Row],[Tipo de Tarea y especialidad]],#REF!,Planning[[#This Row],[Proyectos Reiwa]]),SUMIFS(#REF!,#REF!,Planning[[#This Row],[Tipo de Tarea y especialidad]],#REF!,Planning[[#This Row],[Proyectos]]))</f>
        <v>#REF!</v>
      </c>
      <c r="K4021" s="5" t="e">
        <f>+Planning[[#This Row],[Horas Planificadas]]+Planning[[#This Row],[Horas ajustadas adicionales]]-Planning[[#This Row],[Horas utilizadas]]</f>
        <v>#REF!</v>
      </c>
      <c r="L4021" s="7" t="e">
        <f>Planning[[#This Row],[Saldo]]</f>
        <v>#REF!</v>
      </c>
      <c r="M4021" s="19" t="e">
        <f>Planning[[#This Row],[Saldo]]-Planning[[#This Row],[Saldo estimado]]</f>
        <v>#REF!</v>
      </c>
      <c r="N4021" s="60" t="e">
        <f>+SUMIFS(#REF!,#REF!,Planning[[#This Row],[Proyectos]],#REF!,Planning[[#This Row],[Tipo de Tarea y especialidad]])</f>
        <v>#REF!</v>
      </c>
      <c r="O4021" s="19">
        <f t="shared" si="124"/>
        <v>10</v>
      </c>
      <c r="P4021" s="19">
        <f t="shared" si="125"/>
        <v>2024</v>
      </c>
      <c r="Q40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21" s="19" t="str">
        <f>TEXT(Planning[[#This Row],[Mes]]*29,"mmmm")</f>
        <v>October</v>
      </c>
      <c r="S40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21" s="210"/>
      <c r="U4021" s="43">
        <f>IF(Planning[[#This Row],[Horas Planificadas]]&lt;&gt;0,+K4021/Planning[[#This Row],[Horas Planificadas]],0)</f>
        <v>0</v>
      </c>
      <c r="V4021" s="43">
        <f>IF(Planning[[#This Row],[Horas Planificadas]]&lt;&gt;0,Planning[[#This Row],[Horas utilizadas]]/Planning[[#This Row],[Horas Planificadas]],0)</f>
        <v>0</v>
      </c>
      <c r="W4021" s="44">
        <f>Planning[[#This Row],[Horas Planificadas]]+Planning[[#This Row],[Horas ajustadas adicionales]]</f>
        <v>0</v>
      </c>
      <c r="X4021" s="142"/>
    </row>
    <row r="4022" spans="1:24" x14ac:dyDescent="0.2">
      <c r="A4022" s="7" t="s">
        <v>483</v>
      </c>
      <c r="B4022" s="7" t="s">
        <v>178</v>
      </c>
      <c r="C4022" s="3"/>
      <c r="D4022" s="3" t="s">
        <v>706</v>
      </c>
      <c r="E4022" s="4" t="s">
        <v>30</v>
      </c>
      <c r="F4022" s="3"/>
      <c r="G4022" s="9">
        <v>225</v>
      </c>
      <c r="H4022" s="14">
        <f>SUM(H4023:H4029)</f>
        <v>225</v>
      </c>
      <c r="I4022" s="14"/>
      <c r="J4022" s="14" t="e">
        <f>SUM(J4023:J4029)</f>
        <v>#REF!</v>
      </c>
      <c r="K4022" s="14" t="e">
        <f>+Planning[[#This Row],[Horas Planificadas]]+Planning[[#This Row],[Horas ajustadas adicionales]]-Planning[[#This Row],[Horas utilizadas]]</f>
        <v>#REF!</v>
      </c>
      <c r="L4022" s="15" t="e">
        <f>SUM(L4023:L4029)</f>
        <v>#REF!</v>
      </c>
      <c r="M4022" s="16" t="e">
        <f>SUM(M4023:M4029)</f>
        <v>#REF!</v>
      </c>
      <c r="N4022" s="60" t="e">
        <f>+SUMIFS(#REF!,#REF!,Planning[[#This Row],[Proyectos]],#REF!,Planning[[#This Row],[Tipo de Tarea y especialidad]])</f>
        <v>#REF!</v>
      </c>
      <c r="O4022" s="16">
        <f t="shared" si="124"/>
        <v>10</v>
      </c>
      <c r="P4022" s="16">
        <f t="shared" si="125"/>
        <v>2024</v>
      </c>
      <c r="Q4022" s="16" t="e">
        <f>SUM(Q4023:Q4029)</f>
        <v>#REF!</v>
      </c>
      <c r="R4022" s="16" t="str">
        <f>TEXT(Planning[[#This Row],[Mes]]*29,"mmmm")</f>
        <v>October</v>
      </c>
      <c r="S40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22" s="210"/>
      <c r="U4022" s="43" t="e">
        <f>IF(Planning[[#This Row],[Horas Planificadas]]&lt;&gt;0,+K4022/Planning[[#This Row],[Horas Planificadas]],0)</f>
        <v>#REF!</v>
      </c>
      <c r="V4022" s="43" t="e">
        <f>IF(Planning[[#This Row],[Horas Planificadas]]&lt;&gt;0,Planning[[#This Row],[Horas utilizadas]]/Planning[[#This Row],[Horas Planificadas]],0)</f>
        <v>#REF!</v>
      </c>
      <c r="W4022" s="44">
        <f>Planning[[#This Row],[Horas Planificadas]]+Planning[[#This Row],[Horas ajustadas adicionales]]</f>
        <v>225</v>
      </c>
      <c r="X4022" s="142"/>
    </row>
    <row r="4023" spans="1:24" x14ac:dyDescent="0.2">
      <c r="A4023" s="7" t="s">
        <v>483</v>
      </c>
      <c r="B4023" s="7" t="s">
        <v>178</v>
      </c>
      <c r="C4023" s="3"/>
      <c r="D4023" s="3" t="s">
        <v>706</v>
      </c>
      <c r="E4023" s="4"/>
      <c r="F4023" s="3" t="s">
        <v>122</v>
      </c>
      <c r="G4023" s="9"/>
      <c r="H4023" s="9">
        <v>0</v>
      </c>
      <c r="I4023" s="12"/>
      <c r="J4023" s="5" t="e">
        <f>SUM(SUMIFS(#REF!,#REF!,Planning[[#This Row],[Tipo de Tarea y especialidad]],#REF!,Planning[[#This Row],[Proyectos Reiwa]]),SUMIFS(#REF!,#REF!,Planning[[#This Row],[Tipo de Tarea y especialidad]],#REF!,Planning[[#This Row],[Proyectos]]))</f>
        <v>#REF!</v>
      </c>
      <c r="K4023" s="5" t="e">
        <f>+Planning[[#This Row],[Horas Planificadas]]+Planning[[#This Row],[Horas ajustadas adicionales]]-Planning[[#This Row],[Horas utilizadas]]</f>
        <v>#REF!</v>
      </c>
      <c r="L4023" s="7">
        <v>0</v>
      </c>
      <c r="M4023" s="19" t="e">
        <f>Planning[[#This Row],[Saldo]]-Planning[[#This Row],[Saldo estimado]]</f>
        <v>#REF!</v>
      </c>
      <c r="N4023" s="60" t="e">
        <f>+SUMIFS(#REF!,#REF!,Planning[[#This Row],[Proyectos]],#REF!,Planning[[#This Row],[Tipo de Tarea y especialidad]])</f>
        <v>#REF!</v>
      </c>
      <c r="O4023" s="19">
        <f t="shared" si="124"/>
        <v>10</v>
      </c>
      <c r="P4023" s="19">
        <f t="shared" si="125"/>
        <v>2024</v>
      </c>
      <c r="Q40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23" s="19" t="str">
        <f>TEXT(Planning[[#This Row],[Mes]]*29,"mmmm")</f>
        <v>October</v>
      </c>
      <c r="S40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23" s="210"/>
      <c r="U4023" s="43">
        <f>IF(Planning[[#This Row],[Horas Planificadas]]&lt;&gt;0,+K4023/Planning[[#This Row],[Horas Planificadas]],0)</f>
        <v>0</v>
      </c>
      <c r="V4023" s="43">
        <f>IF(Planning[[#This Row],[Horas Planificadas]]&lt;&gt;0,Planning[[#This Row],[Horas utilizadas]]/Planning[[#This Row],[Horas Planificadas]],0)</f>
        <v>0</v>
      </c>
      <c r="W4023" s="44">
        <f>Planning[[#This Row],[Horas Planificadas]]+Planning[[#This Row],[Horas ajustadas adicionales]]</f>
        <v>0</v>
      </c>
      <c r="X4023" s="142"/>
    </row>
    <row r="4024" spans="1:24" x14ac:dyDescent="0.2">
      <c r="A4024" s="7" t="s">
        <v>483</v>
      </c>
      <c r="B4024" s="7" t="s">
        <v>178</v>
      </c>
      <c r="C4024" s="3"/>
      <c r="D4024" s="3" t="s">
        <v>706</v>
      </c>
      <c r="E4024" s="4"/>
      <c r="F4024" s="3" t="s">
        <v>123</v>
      </c>
      <c r="G4024" s="9"/>
      <c r="H4024" s="9">
        <v>90</v>
      </c>
      <c r="I4024" s="12"/>
      <c r="J4024" s="5" t="e">
        <f>SUM(SUMIFS(#REF!,#REF!,Planning[[#This Row],[Tipo de Tarea y especialidad]],#REF!,Planning[[#This Row],[Proyectos Reiwa]]),SUMIFS(#REF!,#REF!,Planning[[#This Row],[Tipo de Tarea y especialidad]],#REF!,Planning[[#This Row],[Proyectos]]))</f>
        <v>#REF!</v>
      </c>
      <c r="K4024" s="5" t="e">
        <f>+Planning[[#This Row],[Horas Planificadas]]+Planning[[#This Row],[Horas ajustadas adicionales]]-Planning[[#This Row],[Horas utilizadas]]</f>
        <v>#REF!</v>
      </c>
      <c r="L4024" s="7">
        <v>0</v>
      </c>
      <c r="M4024" s="19" t="e">
        <f>Planning[[#This Row],[Saldo]]-Planning[[#This Row],[Saldo estimado]]</f>
        <v>#REF!</v>
      </c>
      <c r="N4024" s="60" t="e">
        <f>+SUMIFS(#REF!,#REF!,Planning[[#This Row],[Proyectos]],#REF!,Planning[[#This Row],[Tipo de Tarea y especialidad]])</f>
        <v>#REF!</v>
      </c>
      <c r="O4024" s="19">
        <f t="shared" si="124"/>
        <v>10</v>
      </c>
      <c r="P4024" s="19">
        <f t="shared" si="125"/>
        <v>2024</v>
      </c>
      <c r="Q40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24" s="19" t="str">
        <f>TEXT(Planning[[#This Row],[Mes]]*29,"mmmm")</f>
        <v>October</v>
      </c>
      <c r="S40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24" s="210"/>
      <c r="U4024" s="43" t="e">
        <f>IF(Planning[[#This Row],[Horas Planificadas]]&lt;&gt;0,+K4024/Planning[[#This Row],[Horas Planificadas]],0)</f>
        <v>#REF!</v>
      </c>
      <c r="V4024" s="43" t="e">
        <f>IF(Planning[[#This Row],[Horas Planificadas]]&lt;&gt;0,Planning[[#This Row],[Horas utilizadas]]/Planning[[#This Row],[Horas Planificadas]],0)</f>
        <v>#REF!</v>
      </c>
      <c r="W4024" s="44">
        <f>Planning[[#This Row],[Horas Planificadas]]+Planning[[#This Row],[Horas ajustadas adicionales]]</f>
        <v>90</v>
      </c>
      <c r="X4024" s="142"/>
    </row>
    <row r="4025" spans="1:24" x14ac:dyDescent="0.2">
      <c r="A4025" s="7" t="s">
        <v>483</v>
      </c>
      <c r="B4025" s="7" t="s">
        <v>178</v>
      </c>
      <c r="C4025" s="3"/>
      <c r="D4025" s="3" t="s">
        <v>706</v>
      </c>
      <c r="E4025" s="4"/>
      <c r="F4025" s="3" t="s">
        <v>124</v>
      </c>
      <c r="G4025" s="9"/>
      <c r="H4025" s="9">
        <v>0</v>
      </c>
      <c r="I4025" s="12"/>
      <c r="J4025" s="5" t="e">
        <f>SUM(SUMIFS(#REF!,#REF!,Planning[[#This Row],[Tipo de Tarea y especialidad]],#REF!,Planning[[#This Row],[Proyectos Reiwa]]),SUMIFS(#REF!,#REF!,Planning[[#This Row],[Tipo de Tarea y especialidad]],#REF!,Planning[[#This Row],[Proyectos]]))</f>
        <v>#REF!</v>
      </c>
      <c r="K4025" s="5" t="e">
        <f>+Planning[[#This Row],[Horas Planificadas]]+Planning[[#This Row],[Horas ajustadas adicionales]]-Planning[[#This Row],[Horas utilizadas]]</f>
        <v>#REF!</v>
      </c>
      <c r="L4025" s="7">
        <v>0</v>
      </c>
      <c r="M4025" s="19" t="e">
        <f>Planning[[#This Row],[Saldo]]-Planning[[#This Row],[Saldo estimado]]</f>
        <v>#REF!</v>
      </c>
      <c r="N4025" s="60" t="e">
        <f>+SUMIFS(#REF!,#REF!,Planning[[#This Row],[Proyectos]],#REF!,Planning[[#This Row],[Tipo de Tarea y especialidad]])</f>
        <v>#REF!</v>
      </c>
      <c r="O4025" s="19">
        <f t="shared" si="124"/>
        <v>10</v>
      </c>
      <c r="P4025" s="19">
        <f t="shared" si="125"/>
        <v>2024</v>
      </c>
      <c r="Q40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25" s="19" t="str">
        <f>TEXT(Planning[[#This Row],[Mes]]*29,"mmmm")</f>
        <v>October</v>
      </c>
      <c r="S40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25" s="210"/>
      <c r="U4025" s="43">
        <f>IF(Planning[[#This Row],[Horas Planificadas]]&lt;&gt;0,+K4025/Planning[[#This Row],[Horas Planificadas]],0)</f>
        <v>0</v>
      </c>
      <c r="V4025" s="43">
        <f>IF(Planning[[#This Row],[Horas Planificadas]]&lt;&gt;0,Planning[[#This Row],[Horas utilizadas]]/Planning[[#This Row],[Horas Planificadas]],0)</f>
        <v>0</v>
      </c>
      <c r="W4025" s="44">
        <f>Planning[[#This Row],[Horas Planificadas]]+Planning[[#This Row],[Horas ajustadas adicionales]]</f>
        <v>0</v>
      </c>
      <c r="X4025" s="142"/>
    </row>
    <row r="4026" spans="1:24" x14ac:dyDescent="0.2">
      <c r="A4026" s="7" t="s">
        <v>483</v>
      </c>
      <c r="B4026" s="7" t="s">
        <v>178</v>
      </c>
      <c r="C4026" s="3"/>
      <c r="D4026" s="3" t="s">
        <v>706</v>
      </c>
      <c r="E4026" s="4"/>
      <c r="F4026" s="3" t="s">
        <v>125</v>
      </c>
      <c r="G4026" s="9"/>
      <c r="H4026" s="9">
        <v>63</v>
      </c>
      <c r="I4026" s="12"/>
      <c r="J4026" s="5" t="e">
        <f>SUM(SUMIFS(#REF!,#REF!,Planning[[#This Row],[Tipo de Tarea y especialidad]],#REF!,Planning[[#This Row],[Proyectos Reiwa]]),SUMIFS(#REF!,#REF!,Planning[[#This Row],[Tipo de Tarea y especialidad]],#REF!,Planning[[#This Row],[Proyectos]]))</f>
        <v>#REF!</v>
      </c>
      <c r="K4026" s="5" t="e">
        <f>+Planning[[#This Row],[Horas Planificadas]]+Planning[[#This Row],[Horas ajustadas adicionales]]-Planning[[#This Row],[Horas utilizadas]]</f>
        <v>#REF!</v>
      </c>
      <c r="L4026" s="7">
        <v>0</v>
      </c>
      <c r="M4026" s="19" t="e">
        <f>Planning[[#This Row],[Saldo]]-Planning[[#This Row],[Saldo estimado]]</f>
        <v>#REF!</v>
      </c>
      <c r="N4026" s="60" t="e">
        <f>+SUMIFS(#REF!,#REF!,Planning[[#This Row],[Proyectos]],#REF!,Planning[[#This Row],[Tipo de Tarea y especialidad]])</f>
        <v>#REF!</v>
      </c>
      <c r="O4026" s="19">
        <f t="shared" si="124"/>
        <v>10</v>
      </c>
      <c r="P4026" s="19">
        <f t="shared" si="125"/>
        <v>2024</v>
      </c>
      <c r="Q40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26" s="19" t="str">
        <f>TEXT(Planning[[#This Row],[Mes]]*29,"mmmm")</f>
        <v>October</v>
      </c>
      <c r="S40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26" s="210"/>
      <c r="U4026" s="43" t="e">
        <f>IF(Planning[[#This Row],[Horas Planificadas]]&lt;&gt;0,+K4026/Planning[[#This Row],[Horas Planificadas]],0)</f>
        <v>#REF!</v>
      </c>
      <c r="V4026" s="43" t="e">
        <f>IF(Planning[[#This Row],[Horas Planificadas]]&lt;&gt;0,Planning[[#This Row],[Horas utilizadas]]/Planning[[#This Row],[Horas Planificadas]],0)</f>
        <v>#REF!</v>
      </c>
      <c r="W4026" s="44">
        <f>Planning[[#This Row],[Horas Planificadas]]+Planning[[#This Row],[Horas ajustadas adicionales]]</f>
        <v>63</v>
      </c>
      <c r="X4026" s="142"/>
    </row>
    <row r="4027" spans="1:24" x14ac:dyDescent="0.2">
      <c r="A4027" s="7" t="s">
        <v>483</v>
      </c>
      <c r="B4027" s="7" t="s">
        <v>178</v>
      </c>
      <c r="C4027" s="3"/>
      <c r="D4027" s="3" t="s">
        <v>706</v>
      </c>
      <c r="E4027" s="4"/>
      <c r="F4027" s="3" t="s">
        <v>126</v>
      </c>
      <c r="G4027" s="9"/>
      <c r="H4027" s="9">
        <v>0</v>
      </c>
      <c r="I4027" s="12"/>
      <c r="J4027" s="5" t="e">
        <f>SUM(SUMIFS(#REF!,#REF!,Planning[[#This Row],[Tipo de Tarea y especialidad]],#REF!,Planning[[#This Row],[Proyectos Reiwa]]),SUMIFS(#REF!,#REF!,Planning[[#This Row],[Tipo de Tarea y especialidad]],#REF!,Planning[[#This Row],[Proyectos]]))</f>
        <v>#REF!</v>
      </c>
      <c r="K4027" s="5" t="e">
        <f>+Planning[[#This Row],[Horas Planificadas]]+Planning[[#This Row],[Horas ajustadas adicionales]]-Planning[[#This Row],[Horas utilizadas]]</f>
        <v>#REF!</v>
      </c>
      <c r="L4027" s="7">
        <v>0</v>
      </c>
      <c r="M4027" s="19" t="e">
        <f>Planning[[#This Row],[Saldo]]-Planning[[#This Row],[Saldo estimado]]</f>
        <v>#REF!</v>
      </c>
      <c r="N4027" s="60" t="e">
        <f>+SUMIFS(#REF!,#REF!,Planning[[#This Row],[Proyectos]],#REF!,Planning[[#This Row],[Tipo de Tarea y especialidad]])</f>
        <v>#REF!</v>
      </c>
      <c r="O4027" s="19">
        <f t="shared" si="124"/>
        <v>10</v>
      </c>
      <c r="P4027" s="19">
        <f t="shared" si="125"/>
        <v>2024</v>
      </c>
      <c r="Q40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27" s="19" t="str">
        <f>TEXT(Planning[[#This Row],[Mes]]*29,"mmmm")</f>
        <v>October</v>
      </c>
      <c r="S40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27" s="210"/>
      <c r="U4027" s="43">
        <f>IF(Planning[[#This Row],[Horas Planificadas]]&lt;&gt;0,+K4027/Planning[[#This Row],[Horas Planificadas]],0)</f>
        <v>0</v>
      </c>
      <c r="V4027" s="43">
        <f>IF(Planning[[#This Row],[Horas Planificadas]]&lt;&gt;0,Planning[[#This Row],[Horas utilizadas]]/Planning[[#This Row],[Horas Planificadas]],0)</f>
        <v>0</v>
      </c>
      <c r="W4027" s="44">
        <f>Planning[[#This Row],[Horas Planificadas]]+Planning[[#This Row],[Horas ajustadas adicionales]]</f>
        <v>0</v>
      </c>
      <c r="X4027" s="142"/>
    </row>
    <row r="4028" spans="1:24" x14ac:dyDescent="0.2">
      <c r="A4028" s="7" t="s">
        <v>483</v>
      </c>
      <c r="B4028" s="7" t="s">
        <v>178</v>
      </c>
      <c r="C4028" s="3"/>
      <c r="D4028" s="3" t="s">
        <v>706</v>
      </c>
      <c r="E4028" s="4"/>
      <c r="F4028" s="3" t="s">
        <v>127</v>
      </c>
      <c r="G4028" s="9"/>
      <c r="H4028" s="9">
        <v>72</v>
      </c>
      <c r="I4028" s="12"/>
      <c r="J4028" s="5" t="e">
        <f>SUM(SUMIFS(#REF!,#REF!,Planning[[#This Row],[Tipo de Tarea y especialidad]],#REF!,Planning[[#This Row],[Proyectos Reiwa]]),SUMIFS(#REF!,#REF!,Planning[[#This Row],[Tipo de Tarea y especialidad]],#REF!,Planning[[#This Row],[Proyectos]]))</f>
        <v>#REF!</v>
      </c>
      <c r="K4028" s="5" t="e">
        <f>+Planning[[#This Row],[Horas Planificadas]]+Planning[[#This Row],[Horas ajustadas adicionales]]-Planning[[#This Row],[Horas utilizadas]]</f>
        <v>#REF!</v>
      </c>
      <c r="L4028" s="7">
        <v>0</v>
      </c>
      <c r="M4028" s="19" t="e">
        <f>Planning[[#This Row],[Saldo]]-Planning[[#This Row],[Saldo estimado]]</f>
        <v>#REF!</v>
      </c>
      <c r="N4028" s="60" t="e">
        <f>+SUMIFS(#REF!,#REF!,Planning[[#This Row],[Proyectos]],#REF!,Planning[[#This Row],[Tipo de Tarea y especialidad]])</f>
        <v>#REF!</v>
      </c>
      <c r="O4028" s="19">
        <f t="shared" si="124"/>
        <v>10</v>
      </c>
      <c r="P4028" s="19">
        <f t="shared" si="125"/>
        <v>2024</v>
      </c>
      <c r="Q40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28" s="19" t="str">
        <f>TEXT(Planning[[#This Row],[Mes]]*29,"mmmm")</f>
        <v>October</v>
      </c>
      <c r="S40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28" s="210"/>
      <c r="U4028" s="43" t="e">
        <f>IF(Planning[[#This Row],[Horas Planificadas]]&lt;&gt;0,+K4028/Planning[[#This Row],[Horas Planificadas]],0)</f>
        <v>#REF!</v>
      </c>
      <c r="V4028" s="43" t="e">
        <f>IF(Planning[[#This Row],[Horas Planificadas]]&lt;&gt;0,Planning[[#This Row],[Horas utilizadas]]/Planning[[#This Row],[Horas Planificadas]],0)</f>
        <v>#REF!</v>
      </c>
      <c r="W4028" s="44">
        <f>Planning[[#This Row],[Horas Planificadas]]+Planning[[#This Row],[Horas ajustadas adicionales]]</f>
        <v>72</v>
      </c>
      <c r="X4028" s="142"/>
    </row>
    <row r="4029" spans="1:24" x14ac:dyDescent="0.2">
      <c r="A4029" s="7" t="s">
        <v>483</v>
      </c>
      <c r="B4029" s="7" t="s">
        <v>178</v>
      </c>
      <c r="C4029" s="3"/>
      <c r="D4029" s="3" t="s">
        <v>706</v>
      </c>
      <c r="E4029" s="4"/>
      <c r="F4029" s="3" t="s">
        <v>128</v>
      </c>
      <c r="G4029" s="9"/>
      <c r="H4029" s="9">
        <v>0</v>
      </c>
      <c r="I4029" s="12"/>
      <c r="J4029" s="5" t="e">
        <f>SUM(SUMIFS(#REF!,#REF!,Planning[[#This Row],[Tipo de Tarea y especialidad]],#REF!,Planning[[#This Row],[Proyectos Reiwa]]),SUMIFS(#REF!,#REF!,Planning[[#This Row],[Tipo de Tarea y especialidad]],#REF!,Planning[[#This Row],[Proyectos]]))</f>
        <v>#REF!</v>
      </c>
      <c r="K4029" s="5" t="e">
        <f>+Planning[[#This Row],[Horas Planificadas]]+Planning[[#This Row],[Horas ajustadas adicionales]]-Planning[[#This Row],[Horas utilizadas]]</f>
        <v>#REF!</v>
      </c>
      <c r="L4029" s="7" t="e">
        <f>Planning[[#This Row],[Saldo]]</f>
        <v>#REF!</v>
      </c>
      <c r="M4029" s="19" t="e">
        <f>Planning[[#This Row],[Saldo]]-Planning[[#This Row],[Saldo estimado]]</f>
        <v>#REF!</v>
      </c>
      <c r="N4029" s="60" t="e">
        <f>+SUMIFS(#REF!,#REF!,Planning[[#This Row],[Proyectos]],#REF!,Planning[[#This Row],[Tipo de Tarea y especialidad]])</f>
        <v>#REF!</v>
      </c>
      <c r="O4029" s="19">
        <f t="shared" si="124"/>
        <v>10</v>
      </c>
      <c r="P4029" s="19">
        <f t="shared" si="125"/>
        <v>2024</v>
      </c>
      <c r="Q40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29" s="19" t="str">
        <f>TEXT(Planning[[#This Row],[Mes]]*29,"mmmm")</f>
        <v>October</v>
      </c>
      <c r="S40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29" s="210"/>
      <c r="U4029" s="43">
        <f>IF(Planning[[#This Row],[Horas Planificadas]]&lt;&gt;0,+K4029/Planning[[#This Row],[Horas Planificadas]],0)</f>
        <v>0</v>
      </c>
      <c r="V4029" s="43">
        <f>IF(Planning[[#This Row],[Horas Planificadas]]&lt;&gt;0,Planning[[#This Row],[Horas utilizadas]]/Planning[[#This Row],[Horas Planificadas]],0)</f>
        <v>0</v>
      </c>
      <c r="W4029" s="44">
        <f>Planning[[#This Row],[Horas Planificadas]]+Planning[[#This Row],[Horas ajustadas adicionales]]</f>
        <v>0</v>
      </c>
      <c r="X4029" s="142"/>
    </row>
    <row r="4030" spans="1:24" x14ac:dyDescent="0.2">
      <c r="A4030" s="7" t="s">
        <v>483</v>
      </c>
      <c r="B4030" s="7" t="s">
        <v>178</v>
      </c>
      <c r="C4030" s="3"/>
      <c r="D4030" s="3" t="s">
        <v>706</v>
      </c>
      <c r="E4030" s="4" t="s">
        <v>31</v>
      </c>
      <c r="F4030" s="3" t="s">
        <v>31</v>
      </c>
      <c r="G4030" s="9">
        <v>72</v>
      </c>
      <c r="H4030" s="17">
        <v>72</v>
      </c>
      <c r="I4030" s="18"/>
      <c r="J4030" s="14" t="e">
        <f>+SUMIFS(#REF!,#REF!,Planning[[#This Row],[Tarifa]],#REF!,Planning[[#This Row],[Proyectos]])</f>
        <v>#REF!</v>
      </c>
      <c r="K4030" s="14" t="e">
        <f>+Planning[[#This Row],[Horas Planificadas]]+Planning[[#This Row],[Horas ajustadas adicionales]]-Planning[[#This Row],[Horas utilizadas]]</f>
        <v>#REF!</v>
      </c>
      <c r="L4030" s="15">
        <v>0</v>
      </c>
      <c r="M4030" s="16" t="e">
        <f>Planning[[#This Row],[Saldo]]-Planning[[#This Row],[Saldo estimado]]</f>
        <v>#REF!</v>
      </c>
      <c r="N4030" s="60" t="e">
        <f>+SUMIFS(#REF!,#REF!,Planning[[#This Row],[Proyectos]],#REF!,Planning[[#This Row],[Tipo de Tarea y especialidad]])</f>
        <v>#REF!</v>
      </c>
      <c r="O4030" s="16">
        <f t="shared" si="124"/>
        <v>10</v>
      </c>
      <c r="P4030" s="16">
        <f t="shared" si="125"/>
        <v>2024</v>
      </c>
      <c r="Q4030" s="16" t="e">
        <f>+SUMIFS(#REF!,#REF!,Planning[[#This Row],[Tarifa]],#REF!,Planning[[#This Row],[Proyectos]],#REF!,Planning[[#This Row],[Mes]],#REF!,Planning[[#This Row],[Año]])</f>
        <v>#REF!</v>
      </c>
      <c r="R4030" s="16" t="str">
        <f>TEXT(Planning[[#This Row],[Mes]]*29,"mmmm")</f>
        <v>October</v>
      </c>
      <c r="S40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30" s="210"/>
      <c r="U4030" s="43" t="e">
        <f>IF(Planning[[#This Row],[Horas Planificadas]]&lt;&gt;0,+K4030/Planning[[#This Row],[Horas Planificadas]],0)</f>
        <v>#REF!</v>
      </c>
      <c r="V4030" s="43" t="e">
        <f>IF(Planning[[#This Row],[Horas Planificadas]]&lt;&gt;0,Planning[[#This Row],[Horas utilizadas]]/Planning[[#This Row],[Horas Planificadas]],0)</f>
        <v>#REF!</v>
      </c>
      <c r="W4030" s="44">
        <f>Planning[[#This Row],[Horas Planificadas]]+Planning[[#This Row],[Horas ajustadas adicionales]]</f>
        <v>72</v>
      </c>
      <c r="X4030" s="142"/>
    </row>
    <row r="4031" spans="1:24" ht="22.5" x14ac:dyDescent="0.2">
      <c r="A4031" s="7" t="s">
        <v>483</v>
      </c>
      <c r="B4031" s="7" t="s">
        <v>178</v>
      </c>
      <c r="C4031" s="3"/>
      <c r="D4031" s="3" t="s">
        <v>706</v>
      </c>
      <c r="E4031" s="4" t="s">
        <v>32</v>
      </c>
      <c r="F4031" s="3"/>
      <c r="G4031" s="9">
        <v>70</v>
      </c>
      <c r="H4031" s="14">
        <f>SUM(H4032:H4034)</f>
        <v>70</v>
      </c>
      <c r="I4031" s="14"/>
      <c r="J4031" s="14" t="e">
        <f>SUM(J4032:J4034)</f>
        <v>#REF!</v>
      </c>
      <c r="K4031" s="14" t="e">
        <f>+Planning[[#This Row],[Horas Planificadas]]+Planning[[#This Row],[Horas ajustadas adicionales]]-Planning[[#This Row],[Horas utilizadas]]</f>
        <v>#REF!</v>
      </c>
      <c r="L4031" s="15" t="e">
        <f>SUM(L4032:L4034)</f>
        <v>#REF!</v>
      </c>
      <c r="M4031" s="16" t="e">
        <f>SUM(M4032:M4034)</f>
        <v>#REF!</v>
      </c>
      <c r="N4031" s="60" t="e">
        <f>+SUMIFS(#REF!,#REF!,Planning[[#This Row],[Proyectos]],#REF!,Planning[[#This Row],[Tipo de Tarea y especialidad]])</f>
        <v>#REF!</v>
      </c>
      <c r="O4031" s="16">
        <f t="shared" si="124"/>
        <v>10</v>
      </c>
      <c r="P4031" s="16">
        <f t="shared" si="125"/>
        <v>2024</v>
      </c>
      <c r="Q4031" s="16" t="e">
        <f>SUM(Q4032:Q4034)</f>
        <v>#REF!</v>
      </c>
      <c r="R4031" s="16" t="str">
        <f>TEXT(Planning[[#This Row],[Mes]]*29,"mmmm")</f>
        <v>October</v>
      </c>
      <c r="S40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31" s="210"/>
      <c r="U4031" s="43" t="e">
        <f>IF(Planning[[#This Row],[Horas Planificadas]]&lt;&gt;0,+K4031/Planning[[#This Row],[Horas Planificadas]],0)</f>
        <v>#REF!</v>
      </c>
      <c r="V4031" s="43" t="e">
        <f>IF(Planning[[#This Row],[Horas Planificadas]]&lt;&gt;0,Planning[[#This Row],[Horas utilizadas]]/Planning[[#This Row],[Horas Planificadas]],0)</f>
        <v>#REF!</v>
      </c>
      <c r="W4031" s="44">
        <f>Planning[[#This Row],[Horas Planificadas]]+Planning[[#This Row],[Horas ajustadas adicionales]]</f>
        <v>70</v>
      </c>
      <c r="X4031" s="142"/>
    </row>
    <row r="4032" spans="1:24" x14ac:dyDescent="0.2">
      <c r="A4032" s="7" t="s">
        <v>483</v>
      </c>
      <c r="B4032" s="7" t="s">
        <v>178</v>
      </c>
      <c r="C4032" s="3"/>
      <c r="D4032" s="3" t="s">
        <v>706</v>
      </c>
      <c r="E4032" s="4"/>
      <c r="F4032" s="3" t="s">
        <v>129</v>
      </c>
      <c r="G4032" s="9"/>
      <c r="H4032" s="9">
        <v>0</v>
      </c>
      <c r="I4032" s="12"/>
      <c r="J4032" s="5" t="e">
        <f>SUM(SUMIFS(#REF!,#REF!,Planning[[#This Row],[Tipo de Tarea y especialidad]],#REF!,Planning[[#This Row],[Proyectos Reiwa]]),SUMIFS(#REF!,#REF!,Planning[[#This Row],[Tipo de Tarea y especialidad]],#REF!,Planning[[#This Row],[Proyectos]]))</f>
        <v>#REF!</v>
      </c>
      <c r="K4032" s="5" t="e">
        <f>+Planning[[#This Row],[Horas Planificadas]]+Planning[[#This Row],[Horas ajustadas adicionales]]-Planning[[#This Row],[Horas utilizadas]]</f>
        <v>#REF!</v>
      </c>
      <c r="L4032" s="7">
        <v>0</v>
      </c>
      <c r="M4032" s="19" t="e">
        <f>Planning[[#This Row],[Saldo]]-Planning[[#This Row],[Saldo estimado]]</f>
        <v>#REF!</v>
      </c>
      <c r="N4032" s="60" t="e">
        <f>+SUMIFS(#REF!,#REF!,Planning[[#This Row],[Proyectos]],#REF!,Planning[[#This Row],[Tipo de Tarea y especialidad]])</f>
        <v>#REF!</v>
      </c>
      <c r="O4032" s="19">
        <f t="shared" si="124"/>
        <v>10</v>
      </c>
      <c r="P4032" s="19">
        <f t="shared" si="125"/>
        <v>2024</v>
      </c>
      <c r="Q40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32" s="19" t="str">
        <f>TEXT(Planning[[#This Row],[Mes]]*29,"mmmm")</f>
        <v>October</v>
      </c>
      <c r="S40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32" s="210"/>
      <c r="U4032" s="43">
        <f>IF(Planning[[#This Row],[Horas Planificadas]]&lt;&gt;0,+K4032/Planning[[#This Row],[Horas Planificadas]],0)</f>
        <v>0</v>
      </c>
      <c r="V4032" s="43">
        <f>IF(Planning[[#This Row],[Horas Planificadas]]&lt;&gt;0,Planning[[#This Row],[Horas utilizadas]]/Planning[[#This Row],[Horas Planificadas]],0)</f>
        <v>0</v>
      </c>
      <c r="W4032" s="44">
        <f>Planning[[#This Row],[Horas Planificadas]]+Planning[[#This Row],[Horas ajustadas adicionales]]</f>
        <v>0</v>
      </c>
      <c r="X4032" s="142"/>
    </row>
    <row r="4033" spans="1:24" x14ac:dyDescent="0.2">
      <c r="A4033" s="7" t="s">
        <v>483</v>
      </c>
      <c r="B4033" s="7" t="s">
        <v>178</v>
      </c>
      <c r="C4033" s="3"/>
      <c r="D4033" s="3" t="s">
        <v>706</v>
      </c>
      <c r="E4033" s="4"/>
      <c r="F4033" s="3" t="s">
        <v>130</v>
      </c>
      <c r="G4033" s="9"/>
      <c r="H4033" s="9">
        <v>70</v>
      </c>
      <c r="I4033" s="12"/>
      <c r="J4033" s="5" t="e">
        <f>SUM(SUMIFS(#REF!,#REF!,Planning[[#This Row],[Tipo de Tarea y especialidad]],#REF!,Planning[[#This Row],[Proyectos Reiwa]]),SUMIFS(#REF!,#REF!,Planning[[#This Row],[Tipo de Tarea y especialidad]],#REF!,Planning[[#This Row],[Proyectos]]))</f>
        <v>#REF!</v>
      </c>
      <c r="K4033" s="5" t="e">
        <f>+Planning[[#This Row],[Horas Planificadas]]+Planning[[#This Row],[Horas ajustadas adicionales]]-Planning[[#This Row],[Horas utilizadas]]</f>
        <v>#REF!</v>
      </c>
      <c r="L4033" s="7">
        <v>0</v>
      </c>
      <c r="M4033" s="19" t="e">
        <f>Planning[[#This Row],[Saldo]]-Planning[[#This Row],[Saldo estimado]]</f>
        <v>#REF!</v>
      </c>
      <c r="N4033" s="60" t="e">
        <f>+SUMIFS(#REF!,#REF!,Planning[[#This Row],[Proyectos]],#REF!,Planning[[#This Row],[Tipo de Tarea y especialidad]])</f>
        <v>#REF!</v>
      </c>
      <c r="O4033" s="19">
        <f t="shared" si="124"/>
        <v>10</v>
      </c>
      <c r="P4033" s="19">
        <f t="shared" si="125"/>
        <v>2024</v>
      </c>
      <c r="Q40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33" s="19" t="str">
        <f>TEXT(Planning[[#This Row],[Mes]]*29,"mmmm")</f>
        <v>October</v>
      </c>
      <c r="S40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33" s="210"/>
      <c r="U4033" s="43" t="e">
        <f>IF(Planning[[#This Row],[Horas Planificadas]]&lt;&gt;0,+K4033/Planning[[#This Row],[Horas Planificadas]],0)</f>
        <v>#REF!</v>
      </c>
      <c r="V4033" s="43" t="e">
        <f>IF(Planning[[#This Row],[Horas Planificadas]]&lt;&gt;0,Planning[[#This Row],[Horas utilizadas]]/Planning[[#This Row],[Horas Planificadas]],0)</f>
        <v>#REF!</v>
      </c>
      <c r="W4033" s="44">
        <f>Planning[[#This Row],[Horas Planificadas]]+Planning[[#This Row],[Horas ajustadas adicionales]]</f>
        <v>70</v>
      </c>
      <c r="X4033" s="142"/>
    </row>
    <row r="4034" spans="1:24" x14ac:dyDescent="0.2">
      <c r="A4034" s="7" t="s">
        <v>483</v>
      </c>
      <c r="B4034" s="7" t="s">
        <v>178</v>
      </c>
      <c r="C4034" s="3"/>
      <c r="D4034" s="3" t="s">
        <v>706</v>
      </c>
      <c r="E4034" s="4"/>
      <c r="F4034" s="3" t="s">
        <v>131</v>
      </c>
      <c r="G4034" s="9"/>
      <c r="H4034" s="9">
        <v>0</v>
      </c>
      <c r="I4034" s="12"/>
      <c r="J4034" s="5" t="e">
        <f>SUM(SUMIFS(#REF!,#REF!,Planning[[#This Row],[Tipo de Tarea y especialidad]],#REF!,Planning[[#This Row],[Proyectos Reiwa]]),SUMIFS(#REF!,#REF!,Planning[[#This Row],[Tipo de Tarea y especialidad]],#REF!,Planning[[#This Row],[Proyectos]]))</f>
        <v>#REF!</v>
      </c>
      <c r="K4034" s="5" t="e">
        <f>+Planning[[#This Row],[Horas Planificadas]]+Planning[[#This Row],[Horas ajustadas adicionales]]-Planning[[#This Row],[Horas utilizadas]]</f>
        <v>#REF!</v>
      </c>
      <c r="L4034" s="7" t="e">
        <f>Planning[[#This Row],[Saldo]]</f>
        <v>#REF!</v>
      </c>
      <c r="M4034" s="19" t="e">
        <f>Planning[[#This Row],[Saldo]]-Planning[[#This Row],[Saldo estimado]]</f>
        <v>#REF!</v>
      </c>
      <c r="N4034" s="60" t="e">
        <f>+SUMIFS(#REF!,#REF!,Planning[[#This Row],[Proyectos]],#REF!,Planning[[#This Row],[Tipo de Tarea y especialidad]])</f>
        <v>#REF!</v>
      </c>
      <c r="O4034" s="19">
        <f t="shared" si="124"/>
        <v>10</v>
      </c>
      <c r="P4034" s="19">
        <f t="shared" si="125"/>
        <v>2024</v>
      </c>
      <c r="Q40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34" s="19" t="str">
        <f>TEXT(Planning[[#This Row],[Mes]]*29,"mmmm")</f>
        <v>October</v>
      </c>
      <c r="S40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34" s="210"/>
      <c r="U4034" s="43">
        <f>IF(Planning[[#This Row],[Horas Planificadas]]&lt;&gt;0,+K4034/Planning[[#This Row],[Horas Planificadas]],0)</f>
        <v>0</v>
      </c>
      <c r="V4034" s="43">
        <f>IF(Planning[[#This Row],[Horas Planificadas]]&lt;&gt;0,Planning[[#This Row],[Horas utilizadas]]/Planning[[#This Row],[Horas Planificadas]],0)</f>
        <v>0</v>
      </c>
      <c r="W4034" s="44">
        <f>Planning[[#This Row],[Horas Planificadas]]+Planning[[#This Row],[Horas ajustadas adicionales]]</f>
        <v>0</v>
      </c>
      <c r="X4034" s="142"/>
    </row>
    <row r="4035" spans="1:24" ht="12.75" customHeight="1" x14ac:dyDescent="0.2">
      <c r="A4035" s="7" t="s">
        <v>435</v>
      </c>
      <c r="B4035" s="7" t="s">
        <v>169</v>
      </c>
      <c r="C4035" s="3"/>
      <c r="D4035" s="3" t="s">
        <v>708</v>
      </c>
      <c r="E4035" s="4" t="s">
        <v>28</v>
      </c>
      <c r="F4035" s="3"/>
      <c r="G4035" s="9">
        <v>108</v>
      </c>
      <c r="H4035" s="14">
        <f>SUM(H4036:H4037)</f>
        <v>108</v>
      </c>
      <c r="I4035" s="14"/>
      <c r="J4035" s="14" t="e">
        <f>SUM(J4036:J4037)</f>
        <v>#REF!</v>
      </c>
      <c r="K4035" s="14" t="e">
        <f>+Planning[[#This Row],[Horas Planificadas]]+Planning[[#This Row],[Horas ajustadas adicionales]]-Planning[[#This Row],[Horas utilizadas]]</f>
        <v>#REF!</v>
      </c>
      <c r="L4035" s="15">
        <f>SUM(L4036:L4037)</f>
        <v>0</v>
      </c>
      <c r="M4035" s="14" t="e">
        <f>SUM(M4036:M4037)</f>
        <v>#REF!</v>
      </c>
      <c r="N4035" s="66" t="e">
        <f>+SUMIFS(#REF!,#REF!,Planning[[#This Row],[Proyectos]],#REF!,Planning[[#This Row],[Tipo de Tarea y especialidad]])</f>
        <v>#REF!</v>
      </c>
      <c r="O4035" s="14">
        <f t="shared" si="124"/>
        <v>10</v>
      </c>
      <c r="P4035" s="14">
        <f t="shared" si="125"/>
        <v>2024</v>
      </c>
      <c r="Q4035" s="28" t="e">
        <f>SUM(Q4036:Q4037)</f>
        <v>#REF!</v>
      </c>
      <c r="R4035" s="28" t="str">
        <f>TEXT(Planning[[#This Row],[Mes]]*29,"mmmm")</f>
        <v>October</v>
      </c>
      <c r="S40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35" s="192" t="s">
        <v>709</v>
      </c>
      <c r="U4035" s="43" t="e">
        <f>IF(Planning[[#This Row],[Horas Planificadas]]&lt;&gt;0,+K4035/Planning[[#This Row],[Horas Planificadas]],0)</f>
        <v>#REF!</v>
      </c>
      <c r="V4035" s="43" t="e">
        <f>IF(Planning[[#This Row],[Horas Planificadas]]&lt;&gt;0,Planning[[#This Row],[Horas utilizadas]]/Planning[[#This Row],[Horas Planificadas]],0)</f>
        <v>#REF!</v>
      </c>
      <c r="W4035" s="44">
        <f>Planning[[#This Row],[Horas Planificadas]]+Planning[[#This Row],[Horas ajustadas adicionales]]</f>
        <v>108</v>
      </c>
      <c r="X4035" s="142"/>
    </row>
    <row r="4036" spans="1:24" x14ac:dyDescent="0.2">
      <c r="A4036" s="7" t="s">
        <v>435</v>
      </c>
      <c r="B4036" s="7" t="s">
        <v>169</v>
      </c>
      <c r="C4036" s="3"/>
      <c r="D4036" s="3" t="s">
        <v>708</v>
      </c>
      <c r="E4036" s="4"/>
      <c r="F4036" s="3" t="s">
        <v>120</v>
      </c>
      <c r="G4036" s="9"/>
      <c r="H4036" s="9"/>
      <c r="I4036" s="12"/>
      <c r="J4036" s="5" t="e">
        <f>SUM(SUMIFS(#REF!,#REF!,Planning[[#This Row],[Tipo de Tarea y especialidad]],#REF!,Planning[[#This Row],[Proyectos Reiwa]]),SUMIFS(#REF!,#REF!,Planning[[#This Row],[Tipo de Tarea y especialidad]],#REF!,Planning[[#This Row],[Proyectos]]))</f>
        <v>#REF!</v>
      </c>
      <c r="K4036" s="5" t="e">
        <f>+Planning[[#This Row],[Horas Planificadas]]+Planning[[#This Row],[Horas ajustadas adicionales]]-Planning[[#This Row],[Horas utilizadas]]</f>
        <v>#REF!</v>
      </c>
      <c r="L4036" s="7">
        <v>0</v>
      </c>
      <c r="M4036" s="19" t="e">
        <f>Planning[[#This Row],[Saldo]]-Planning[[#This Row],[Saldo estimado]]</f>
        <v>#REF!</v>
      </c>
      <c r="N4036" s="60" t="e">
        <f>+SUMIFS(#REF!,#REF!,Planning[[#This Row],[Proyectos]],#REF!,Planning[[#This Row],[Tipo de Tarea y especialidad]])</f>
        <v>#REF!</v>
      </c>
      <c r="O4036" s="19">
        <f t="shared" si="124"/>
        <v>10</v>
      </c>
      <c r="P4036" s="19">
        <f t="shared" si="125"/>
        <v>2024</v>
      </c>
      <c r="Q40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36" s="19" t="str">
        <f>TEXT(Planning[[#This Row],[Mes]]*29,"mmmm")</f>
        <v>October</v>
      </c>
      <c r="S40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36" s="193"/>
      <c r="U4036" s="43">
        <f>IF(Planning[[#This Row],[Horas Planificadas]]&lt;&gt;0,+K4036/Planning[[#This Row],[Horas Planificadas]],0)</f>
        <v>0</v>
      </c>
      <c r="V4036" s="43">
        <f>IF(Planning[[#This Row],[Horas Planificadas]]&lt;&gt;0,Planning[[#This Row],[Horas utilizadas]]/Planning[[#This Row],[Horas Planificadas]],0)</f>
        <v>0</v>
      </c>
      <c r="W4036" s="44">
        <f>Planning[[#This Row],[Horas Planificadas]]+Planning[[#This Row],[Horas ajustadas adicionales]]</f>
        <v>0</v>
      </c>
      <c r="X4036" s="142"/>
    </row>
    <row r="4037" spans="1:24" x14ac:dyDescent="0.2">
      <c r="A4037" s="7" t="s">
        <v>435</v>
      </c>
      <c r="B4037" s="7" t="s">
        <v>169</v>
      </c>
      <c r="C4037" s="3"/>
      <c r="D4037" s="3" t="s">
        <v>708</v>
      </c>
      <c r="E4037" s="4"/>
      <c r="F4037" s="3" t="s">
        <v>121</v>
      </c>
      <c r="G4037" s="9"/>
      <c r="H4037" s="9">
        <v>108</v>
      </c>
      <c r="I4037" s="12"/>
      <c r="J4037" s="5" t="e">
        <f>SUM(SUMIFS(#REF!,#REF!,Planning[[#This Row],[Tipo de Tarea y especialidad]],#REF!,Planning[[#This Row],[Proyectos Reiwa]]),SUMIFS(#REF!,#REF!,Planning[[#This Row],[Tipo de Tarea y especialidad]],#REF!,Planning[[#This Row],[Proyectos]]))</f>
        <v>#REF!</v>
      </c>
      <c r="K4037" s="5" t="e">
        <f>+Planning[[#This Row],[Horas Planificadas]]+Planning[[#This Row],[Horas ajustadas adicionales]]-Planning[[#This Row],[Horas utilizadas]]</f>
        <v>#REF!</v>
      </c>
      <c r="L4037" s="7">
        <v>0</v>
      </c>
      <c r="M4037" s="19" t="e">
        <f>Planning[[#This Row],[Saldo]]-Planning[[#This Row],[Saldo estimado]]</f>
        <v>#REF!</v>
      </c>
      <c r="N4037" s="60" t="e">
        <f>+SUMIFS(#REF!,#REF!,Planning[[#This Row],[Proyectos]],#REF!,Planning[[#This Row],[Tipo de Tarea y especialidad]])</f>
        <v>#REF!</v>
      </c>
      <c r="O4037" s="19">
        <f t="shared" si="124"/>
        <v>10</v>
      </c>
      <c r="P4037" s="19">
        <f t="shared" si="125"/>
        <v>2024</v>
      </c>
      <c r="Q40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37" s="19" t="str">
        <f>TEXT(Planning[[#This Row],[Mes]]*29,"mmmm")</f>
        <v>October</v>
      </c>
      <c r="S40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37" s="193"/>
      <c r="U4037" s="43" t="e">
        <f>IF(Planning[[#This Row],[Horas Planificadas]]&lt;&gt;0,+K4037/Planning[[#This Row],[Horas Planificadas]],0)</f>
        <v>#REF!</v>
      </c>
      <c r="V4037" s="43" t="e">
        <f>IF(Planning[[#This Row],[Horas Planificadas]]&lt;&gt;0,Planning[[#This Row],[Horas utilizadas]]/Planning[[#This Row],[Horas Planificadas]],0)</f>
        <v>#REF!</v>
      </c>
      <c r="W4037" s="44">
        <f>Planning[[#This Row],[Horas Planificadas]]+Planning[[#This Row],[Horas ajustadas adicionales]]</f>
        <v>108</v>
      </c>
      <c r="X4037" s="142"/>
    </row>
    <row r="4038" spans="1:24" x14ac:dyDescent="0.2">
      <c r="A4038" s="7" t="s">
        <v>435</v>
      </c>
      <c r="B4038" s="7" t="s">
        <v>169</v>
      </c>
      <c r="C4038" s="3"/>
      <c r="D4038" s="3" t="s">
        <v>708</v>
      </c>
      <c r="E4038" s="4" t="s">
        <v>30</v>
      </c>
      <c r="F4038" s="3"/>
      <c r="G4038" s="9">
        <v>792</v>
      </c>
      <c r="H4038" s="14">
        <f>SUM(H4039:H4045)</f>
        <v>792</v>
      </c>
      <c r="I4038" s="14"/>
      <c r="J4038" s="14" t="e">
        <f>SUM(J4039:J4045)</f>
        <v>#REF!</v>
      </c>
      <c r="K4038" s="14" t="e">
        <f>+Planning[[#This Row],[Horas Planificadas]]+Planning[[#This Row],[Horas ajustadas adicionales]]-Planning[[#This Row],[Horas utilizadas]]</f>
        <v>#REF!</v>
      </c>
      <c r="L4038" s="15" t="e">
        <f>SUM(L4039:L4045)</f>
        <v>#REF!</v>
      </c>
      <c r="M4038" s="16" t="e">
        <f>SUM(M4039:M4045)</f>
        <v>#REF!</v>
      </c>
      <c r="N4038" s="60" t="e">
        <f>+SUMIFS(#REF!,#REF!,Planning[[#This Row],[Proyectos]],#REF!,Planning[[#This Row],[Tipo de Tarea y especialidad]])</f>
        <v>#REF!</v>
      </c>
      <c r="O4038" s="16">
        <f t="shared" si="124"/>
        <v>10</v>
      </c>
      <c r="P4038" s="16">
        <f t="shared" si="125"/>
        <v>2024</v>
      </c>
      <c r="Q4038" s="16" t="e">
        <f>SUM(Q4039:Q4045)</f>
        <v>#REF!</v>
      </c>
      <c r="R4038" s="16" t="str">
        <f>TEXT(Planning[[#This Row],[Mes]]*29,"mmmm")</f>
        <v>October</v>
      </c>
      <c r="S40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38" s="193"/>
      <c r="U4038" s="43" t="e">
        <f>IF(Planning[[#This Row],[Horas Planificadas]]&lt;&gt;0,+K4038/Planning[[#This Row],[Horas Planificadas]],0)</f>
        <v>#REF!</v>
      </c>
      <c r="V4038" s="43" t="e">
        <f>IF(Planning[[#This Row],[Horas Planificadas]]&lt;&gt;0,Planning[[#This Row],[Horas utilizadas]]/Planning[[#This Row],[Horas Planificadas]],0)</f>
        <v>#REF!</v>
      </c>
      <c r="W4038" s="44">
        <f>Planning[[#This Row],[Horas Planificadas]]+Planning[[#This Row],[Horas ajustadas adicionales]]</f>
        <v>792</v>
      </c>
      <c r="X4038" s="142"/>
    </row>
    <row r="4039" spans="1:24" x14ac:dyDescent="0.2">
      <c r="A4039" s="7" t="s">
        <v>435</v>
      </c>
      <c r="B4039" s="7" t="s">
        <v>169</v>
      </c>
      <c r="C4039" s="3"/>
      <c r="D4039" s="3" t="s">
        <v>708</v>
      </c>
      <c r="E4039" s="4"/>
      <c r="F4039" s="3" t="s">
        <v>122</v>
      </c>
      <c r="G4039" s="9"/>
      <c r="H4039" s="9">
        <v>180</v>
      </c>
      <c r="I4039" s="12"/>
      <c r="J4039" s="5" t="e">
        <f>SUM(SUMIFS(#REF!,#REF!,Planning[[#This Row],[Tipo de Tarea y especialidad]],#REF!,Planning[[#This Row],[Proyectos Reiwa]]),SUMIFS(#REF!,#REF!,Planning[[#This Row],[Tipo de Tarea y especialidad]],#REF!,Planning[[#This Row],[Proyectos]]))</f>
        <v>#REF!</v>
      </c>
      <c r="K4039" s="5" t="e">
        <f>+Planning[[#This Row],[Horas Planificadas]]+Planning[[#This Row],[Horas ajustadas adicionales]]-Planning[[#This Row],[Horas utilizadas]]</f>
        <v>#REF!</v>
      </c>
      <c r="L4039" s="7">
        <v>0</v>
      </c>
      <c r="M4039" s="19" t="e">
        <f>Planning[[#This Row],[Saldo]]-Planning[[#This Row],[Saldo estimado]]</f>
        <v>#REF!</v>
      </c>
      <c r="N4039" s="60" t="e">
        <f>+SUMIFS(#REF!,#REF!,Planning[[#This Row],[Proyectos]],#REF!,Planning[[#This Row],[Tipo de Tarea y especialidad]])</f>
        <v>#REF!</v>
      </c>
      <c r="O4039" s="19">
        <f t="shared" ref="O4039:O4102" si="126">$L$4</f>
        <v>10</v>
      </c>
      <c r="P4039" s="19">
        <f t="shared" ref="P4039:P4102" si="127">$M$4</f>
        <v>2024</v>
      </c>
      <c r="Q40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39" s="19" t="str">
        <f>TEXT(Planning[[#This Row],[Mes]]*29,"mmmm")</f>
        <v>October</v>
      </c>
      <c r="S40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39" s="193"/>
      <c r="U4039" s="43" t="e">
        <f>IF(Planning[[#This Row],[Horas Planificadas]]&lt;&gt;0,+K4039/Planning[[#This Row],[Horas Planificadas]],0)</f>
        <v>#REF!</v>
      </c>
      <c r="V4039" s="43" t="e">
        <f>IF(Planning[[#This Row],[Horas Planificadas]]&lt;&gt;0,Planning[[#This Row],[Horas utilizadas]]/Planning[[#This Row],[Horas Planificadas]],0)</f>
        <v>#REF!</v>
      </c>
      <c r="W4039" s="44">
        <f>Planning[[#This Row],[Horas Planificadas]]+Planning[[#This Row],[Horas ajustadas adicionales]]</f>
        <v>180</v>
      </c>
      <c r="X4039" s="142"/>
    </row>
    <row r="4040" spans="1:24" x14ac:dyDescent="0.2">
      <c r="A4040" s="7" t="s">
        <v>435</v>
      </c>
      <c r="B4040" s="7" t="s">
        <v>169</v>
      </c>
      <c r="C4040" s="3"/>
      <c r="D4040" s="3" t="s">
        <v>708</v>
      </c>
      <c r="E4040" s="4"/>
      <c r="F4040" s="3" t="s">
        <v>123</v>
      </c>
      <c r="G4040" s="9"/>
      <c r="H4040" s="9">
        <v>90</v>
      </c>
      <c r="I4040" s="12"/>
      <c r="J4040" s="5" t="e">
        <f>SUM(SUMIFS(#REF!,#REF!,Planning[[#This Row],[Tipo de Tarea y especialidad]],#REF!,Planning[[#This Row],[Proyectos Reiwa]]),SUMIFS(#REF!,#REF!,Planning[[#This Row],[Tipo de Tarea y especialidad]],#REF!,Planning[[#This Row],[Proyectos]]))</f>
        <v>#REF!</v>
      </c>
      <c r="K4040" s="5" t="e">
        <f>+Planning[[#This Row],[Horas Planificadas]]+Planning[[#This Row],[Horas ajustadas adicionales]]-Planning[[#This Row],[Horas utilizadas]]</f>
        <v>#REF!</v>
      </c>
      <c r="L4040" s="7">
        <v>0</v>
      </c>
      <c r="M4040" s="19" t="e">
        <f>Planning[[#This Row],[Saldo]]-Planning[[#This Row],[Saldo estimado]]</f>
        <v>#REF!</v>
      </c>
      <c r="N4040" s="60" t="e">
        <f>+SUMIFS(#REF!,#REF!,Planning[[#This Row],[Proyectos]],#REF!,Planning[[#This Row],[Tipo de Tarea y especialidad]])</f>
        <v>#REF!</v>
      </c>
      <c r="O4040" s="19">
        <f t="shared" si="126"/>
        <v>10</v>
      </c>
      <c r="P4040" s="19">
        <f t="shared" si="127"/>
        <v>2024</v>
      </c>
      <c r="Q40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40" s="19" t="str">
        <f>TEXT(Planning[[#This Row],[Mes]]*29,"mmmm")</f>
        <v>October</v>
      </c>
      <c r="S40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40" s="193"/>
      <c r="U4040" s="43" t="e">
        <f>IF(Planning[[#This Row],[Horas Planificadas]]&lt;&gt;0,+K4040/Planning[[#This Row],[Horas Planificadas]],0)</f>
        <v>#REF!</v>
      </c>
      <c r="V4040" s="43" t="e">
        <f>IF(Planning[[#This Row],[Horas Planificadas]]&lt;&gt;0,Planning[[#This Row],[Horas utilizadas]]/Planning[[#This Row],[Horas Planificadas]],0)</f>
        <v>#REF!</v>
      </c>
      <c r="W4040" s="44">
        <f>Planning[[#This Row],[Horas Planificadas]]+Planning[[#This Row],[Horas ajustadas adicionales]]</f>
        <v>90</v>
      </c>
      <c r="X4040" s="142"/>
    </row>
    <row r="4041" spans="1:24" x14ac:dyDescent="0.2">
      <c r="A4041" s="7" t="s">
        <v>435</v>
      </c>
      <c r="B4041" s="7" t="s">
        <v>169</v>
      </c>
      <c r="C4041" s="3"/>
      <c r="D4041" s="3" t="s">
        <v>708</v>
      </c>
      <c r="E4041" s="4"/>
      <c r="F4041" s="3" t="s">
        <v>124</v>
      </c>
      <c r="G4041" s="9"/>
      <c r="H4041" s="9"/>
      <c r="I4041" s="12"/>
      <c r="J4041" s="5" t="e">
        <f>SUM(SUMIFS(#REF!,#REF!,Planning[[#This Row],[Tipo de Tarea y especialidad]],#REF!,Planning[[#This Row],[Proyectos Reiwa]]),SUMIFS(#REF!,#REF!,Planning[[#This Row],[Tipo de Tarea y especialidad]],#REF!,Planning[[#This Row],[Proyectos]]))</f>
        <v>#REF!</v>
      </c>
      <c r="K4041" s="5" t="e">
        <f>+Planning[[#This Row],[Horas Planificadas]]+Planning[[#This Row],[Horas ajustadas adicionales]]-Planning[[#This Row],[Horas utilizadas]]</f>
        <v>#REF!</v>
      </c>
      <c r="L4041" s="7" t="e">
        <f>Planning[[#This Row],[Saldo]]</f>
        <v>#REF!</v>
      </c>
      <c r="M4041" s="19" t="e">
        <f>Planning[[#This Row],[Saldo]]-Planning[[#This Row],[Saldo estimado]]</f>
        <v>#REF!</v>
      </c>
      <c r="N4041" s="60" t="e">
        <f>+SUMIFS(#REF!,#REF!,Planning[[#This Row],[Proyectos]],#REF!,Planning[[#This Row],[Tipo de Tarea y especialidad]])</f>
        <v>#REF!</v>
      </c>
      <c r="O4041" s="19">
        <f t="shared" si="126"/>
        <v>10</v>
      </c>
      <c r="P4041" s="19">
        <f t="shared" si="127"/>
        <v>2024</v>
      </c>
      <c r="Q40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41" s="19" t="str">
        <f>TEXT(Planning[[#This Row],[Mes]]*29,"mmmm")</f>
        <v>October</v>
      </c>
      <c r="S40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41" s="193"/>
      <c r="U4041" s="43">
        <f>IF(Planning[[#This Row],[Horas Planificadas]]&lt;&gt;0,+K4041/Planning[[#This Row],[Horas Planificadas]],0)</f>
        <v>0</v>
      </c>
      <c r="V4041" s="43">
        <f>IF(Planning[[#This Row],[Horas Planificadas]]&lt;&gt;0,Planning[[#This Row],[Horas utilizadas]]/Planning[[#This Row],[Horas Planificadas]],0)</f>
        <v>0</v>
      </c>
      <c r="W4041" s="44">
        <f>Planning[[#This Row],[Horas Planificadas]]+Planning[[#This Row],[Horas ajustadas adicionales]]</f>
        <v>0</v>
      </c>
      <c r="X4041" s="142"/>
    </row>
    <row r="4042" spans="1:24" x14ac:dyDescent="0.2">
      <c r="A4042" s="7" t="s">
        <v>435</v>
      </c>
      <c r="B4042" s="7" t="s">
        <v>169</v>
      </c>
      <c r="C4042" s="3"/>
      <c r="D4042" s="3" t="s">
        <v>708</v>
      </c>
      <c r="E4042" s="4"/>
      <c r="F4042" s="3" t="s">
        <v>125</v>
      </c>
      <c r="G4042" s="9"/>
      <c r="H4042" s="9">
        <v>126</v>
      </c>
      <c r="I4042" s="12"/>
      <c r="J4042" s="5" t="e">
        <f>SUM(SUMIFS(#REF!,#REF!,Planning[[#This Row],[Tipo de Tarea y especialidad]],#REF!,Planning[[#This Row],[Proyectos Reiwa]]),SUMIFS(#REF!,#REF!,Planning[[#This Row],[Tipo de Tarea y especialidad]],#REF!,Planning[[#This Row],[Proyectos]]))</f>
        <v>#REF!</v>
      </c>
      <c r="K4042" s="5" t="e">
        <f>+Planning[[#This Row],[Horas Planificadas]]+Planning[[#This Row],[Horas ajustadas adicionales]]-Planning[[#This Row],[Horas utilizadas]]</f>
        <v>#REF!</v>
      </c>
      <c r="L4042" s="7">
        <v>0</v>
      </c>
      <c r="M4042" s="19" t="e">
        <f>Planning[[#This Row],[Saldo]]-Planning[[#This Row],[Saldo estimado]]</f>
        <v>#REF!</v>
      </c>
      <c r="N4042" s="60" t="e">
        <f>+SUMIFS(#REF!,#REF!,Planning[[#This Row],[Proyectos]],#REF!,Planning[[#This Row],[Tipo de Tarea y especialidad]])</f>
        <v>#REF!</v>
      </c>
      <c r="O4042" s="19">
        <f t="shared" si="126"/>
        <v>10</v>
      </c>
      <c r="P4042" s="19">
        <f t="shared" si="127"/>
        <v>2024</v>
      </c>
      <c r="Q40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42" s="19" t="str">
        <f>TEXT(Planning[[#This Row],[Mes]]*29,"mmmm")</f>
        <v>October</v>
      </c>
      <c r="S40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42" s="193"/>
      <c r="U4042" s="43" t="e">
        <f>IF(Planning[[#This Row],[Horas Planificadas]]&lt;&gt;0,+K4042/Planning[[#This Row],[Horas Planificadas]],0)</f>
        <v>#REF!</v>
      </c>
      <c r="V4042" s="43" t="e">
        <f>IF(Planning[[#This Row],[Horas Planificadas]]&lt;&gt;0,Planning[[#This Row],[Horas utilizadas]]/Planning[[#This Row],[Horas Planificadas]],0)</f>
        <v>#REF!</v>
      </c>
      <c r="W4042" s="44">
        <f>Planning[[#This Row],[Horas Planificadas]]+Planning[[#This Row],[Horas ajustadas adicionales]]</f>
        <v>126</v>
      </c>
      <c r="X4042" s="142"/>
    </row>
    <row r="4043" spans="1:24" x14ac:dyDescent="0.2">
      <c r="A4043" s="7" t="s">
        <v>435</v>
      </c>
      <c r="B4043" s="7" t="s">
        <v>169</v>
      </c>
      <c r="C4043" s="3"/>
      <c r="D4043" s="3" t="s">
        <v>708</v>
      </c>
      <c r="E4043" s="4"/>
      <c r="F4043" s="3" t="s">
        <v>126</v>
      </c>
      <c r="G4043" s="9"/>
      <c r="H4043" s="9">
        <v>324</v>
      </c>
      <c r="I4043" s="12"/>
      <c r="J4043" s="5" t="e">
        <f>SUM(SUMIFS(#REF!,#REF!,Planning[[#This Row],[Tipo de Tarea y especialidad]],#REF!,Planning[[#This Row],[Proyectos Reiwa]]),SUMIFS(#REF!,#REF!,Planning[[#This Row],[Tipo de Tarea y especialidad]],#REF!,Planning[[#This Row],[Proyectos]]))</f>
        <v>#REF!</v>
      </c>
      <c r="K4043" s="5" t="e">
        <f>+Planning[[#This Row],[Horas Planificadas]]+Planning[[#This Row],[Horas ajustadas adicionales]]-Planning[[#This Row],[Horas utilizadas]]</f>
        <v>#REF!</v>
      </c>
      <c r="L4043" s="7">
        <v>0</v>
      </c>
      <c r="M4043" s="19" t="e">
        <f>Planning[[#This Row],[Saldo]]-Planning[[#This Row],[Saldo estimado]]</f>
        <v>#REF!</v>
      </c>
      <c r="N4043" s="60" t="e">
        <f>+SUMIFS(#REF!,#REF!,Planning[[#This Row],[Proyectos]],#REF!,Planning[[#This Row],[Tipo de Tarea y especialidad]])</f>
        <v>#REF!</v>
      </c>
      <c r="O4043" s="19">
        <f t="shared" si="126"/>
        <v>10</v>
      </c>
      <c r="P4043" s="19">
        <f t="shared" si="127"/>
        <v>2024</v>
      </c>
      <c r="Q40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43" s="19" t="str">
        <f>TEXT(Planning[[#This Row],[Mes]]*29,"mmmm")</f>
        <v>October</v>
      </c>
      <c r="S40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43" s="193"/>
      <c r="U4043" s="43" t="e">
        <f>IF(Planning[[#This Row],[Horas Planificadas]]&lt;&gt;0,+K4043/Planning[[#This Row],[Horas Planificadas]],0)</f>
        <v>#REF!</v>
      </c>
      <c r="V4043" s="43" t="e">
        <f>IF(Planning[[#This Row],[Horas Planificadas]]&lt;&gt;0,Planning[[#This Row],[Horas utilizadas]]/Planning[[#This Row],[Horas Planificadas]],0)</f>
        <v>#REF!</v>
      </c>
      <c r="W4043" s="44">
        <f>Planning[[#This Row],[Horas Planificadas]]+Planning[[#This Row],[Horas ajustadas adicionales]]</f>
        <v>324</v>
      </c>
      <c r="X4043" s="142"/>
    </row>
    <row r="4044" spans="1:24" x14ac:dyDescent="0.2">
      <c r="A4044" s="7" t="s">
        <v>435</v>
      </c>
      <c r="B4044" s="7" t="s">
        <v>169</v>
      </c>
      <c r="C4044" s="3"/>
      <c r="D4044" s="3" t="s">
        <v>708</v>
      </c>
      <c r="E4044" s="4"/>
      <c r="F4044" s="3" t="s">
        <v>127</v>
      </c>
      <c r="G4044" s="9"/>
      <c r="H4044" s="9">
        <v>72</v>
      </c>
      <c r="I4044" s="12"/>
      <c r="J4044" s="5" t="e">
        <f>SUM(SUMIFS(#REF!,#REF!,Planning[[#This Row],[Tipo de Tarea y especialidad]],#REF!,Planning[[#This Row],[Proyectos Reiwa]]),SUMIFS(#REF!,#REF!,Planning[[#This Row],[Tipo de Tarea y especialidad]],#REF!,Planning[[#This Row],[Proyectos]]))</f>
        <v>#REF!</v>
      </c>
      <c r="K4044" s="5" t="e">
        <f>+Planning[[#This Row],[Horas Planificadas]]+Planning[[#This Row],[Horas ajustadas adicionales]]-Planning[[#This Row],[Horas utilizadas]]</f>
        <v>#REF!</v>
      </c>
      <c r="L4044" s="7">
        <v>0</v>
      </c>
      <c r="M4044" s="19" t="e">
        <f>Planning[[#This Row],[Saldo]]-Planning[[#This Row],[Saldo estimado]]</f>
        <v>#REF!</v>
      </c>
      <c r="N4044" s="60" t="e">
        <f>+SUMIFS(#REF!,#REF!,Planning[[#This Row],[Proyectos]],#REF!,Planning[[#This Row],[Tipo de Tarea y especialidad]])</f>
        <v>#REF!</v>
      </c>
      <c r="O4044" s="19">
        <f t="shared" si="126"/>
        <v>10</v>
      </c>
      <c r="P4044" s="19">
        <f t="shared" si="127"/>
        <v>2024</v>
      </c>
      <c r="Q40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44" s="19" t="str">
        <f>TEXT(Planning[[#This Row],[Mes]]*29,"mmmm")</f>
        <v>October</v>
      </c>
      <c r="S40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44" s="193"/>
      <c r="U4044" s="43" t="e">
        <f>IF(Planning[[#This Row],[Horas Planificadas]]&lt;&gt;0,+K4044/Planning[[#This Row],[Horas Planificadas]],0)</f>
        <v>#REF!</v>
      </c>
      <c r="V4044" s="43" t="e">
        <f>IF(Planning[[#This Row],[Horas Planificadas]]&lt;&gt;0,Planning[[#This Row],[Horas utilizadas]]/Planning[[#This Row],[Horas Planificadas]],0)</f>
        <v>#REF!</v>
      </c>
      <c r="W4044" s="44">
        <f>Planning[[#This Row],[Horas Planificadas]]+Planning[[#This Row],[Horas ajustadas adicionales]]</f>
        <v>72</v>
      </c>
      <c r="X4044" s="142"/>
    </row>
    <row r="4045" spans="1:24" x14ac:dyDescent="0.2">
      <c r="A4045" s="7" t="s">
        <v>435</v>
      </c>
      <c r="B4045" s="7" t="s">
        <v>169</v>
      </c>
      <c r="C4045" s="3"/>
      <c r="D4045" s="3" t="s">
        <v>708</v>
      </c>
      <c r="E4045" s="4"/>
      <c r="F4045" s="3" t="s">
        <v>128</v>
      </c>
      <c r="G4045" s="9"/>
      <c r="H4045" s="9"/>
      <c r="I4045" s="12"/>
      <c r="J4045" s="5" t="e">
        <f>SUM(SUMIFS(#REF!,#REF!,Planning[[#This Row],[Tipo de Tarea y especialidad]],#REF!,Planning[[#This Row],[Proyectos Reiwa]]),SUMIFS(#REF!,#REF!,Planning[[#This Row],[Tipo de Tarea y especialidad]],#REF!,Planning[[#This Row],[Proyectos]]))</f>
        <v>#REF!</v>
      </c>
      <c r="K4045" s="5" t="e">
        <f>+Planning[[#This Row],[Horas Planificadas]]+Planning[[#This Row],[Horas ajustadas adicionales]]-Planning[[#This Row],[Horas utilizadas]]</f>
        <v>#REF!</v>
      </c>
      <c r="L4045" s="7" t="e">
        <f>Planning[[#This Row],[Saldo]]</f>
        <v>#REF!</v>
      </c>
      <c r="M4045" s="19" t="e">
        <f>Planning[[#This Row],[Saldo]]-Planning[[#This Row],[Saldo estimado]]</f>
        <v>#REF!</v>
      </c>
      <c r="N4045" s="60" t="e">
        <f>+SUMIFS(#REF!,#REF!,Planning[[#This Row],[Proyectos]],#REF!,Planning[[#This Row],[Tipo de Tarea y especialidad]])</f>
        <v>#REF!</v>
      </c>
      <c r="O4045" s="19">
        <f t="shared" si="126"/>
        <v>10</v>
      </c>
      <c r="P4045" s="19">
        <f t="shared" si="127"/>
        <v>2024</v>
      </c>
      <c r="Q40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45" s="19" t="str">
        <f>TEXT(Planning[[#This Row],[Mes]]*29,"mmmm")</f>
        <v>October</v>
      </c>
      <c r="S40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45" s="193"/>
      <c r="U4045" s="43">
        <f>IF(Planning[[#This Row],[Horas Planificadas]]&lt;&gt;0,+K4045/Planning[[#This Row],[Horas Planificadas]],0)</f>
        <v>0</v>
      </c>
      <c r="V4045" s="43">
        <f>IF(Planning[[#This Row],[Horas Planificadas]]&lt;&gt;0,Planning[[#This Row],[Horas utilizadas]]/Planning[[#This Row],[Horas Planificadas]],0)</f>
        <v>0</v>
      </c>
      <c r="W4045" s="44">
        <f>Planning[[#This Row],[Horas Planificadas]]+Planning[[#This Row],[Horas ajustadas adicionales]]</f>
        <v>0</v>
      </c>
      <c r="X4045" s="142"/>
    </row>
    <row r="4046" spans="1:24" x14ac:dyDescent="0.2">
      <c r="A4046" s="7" t="s">
        <v>435</v>
      </c>
      <c r="B4046" s="7" t="s">
        <v>169</v>
      </c>
      <c r="C4046" s="3"/>
      <c r="D4046" s="3" t="s">
        <v>708</v>
      </c>
      <c r="E4046" s="4" t="s">
        <v>31</v>
      </c>
      <c r="F4046" s="3" t="s">
        <v>31</v>
      </c>
      <c r="G4046" s="9"/>
      <c r="H4046" s="17"/>
      <c r="I4046" s="18"/>
      <c r="J4046" s="14" t="e">
        <f>+SUMIFS(#REF!,#REF!,Planning[[#This Row],[Tarifa]],#REF!,Planning[[#This Row],[Proyectos]])</f>
        <v>#REF!</v>
      </c>
      <c r="K4046" s="14" t="e">
        <f>+Planning[[#This Row],[Horas Planificadas]]+Planning[[#This Row],[Horas ajustadas adicionales]]-Planning[[#This Row],[Horas utilizadas]]</f>
        <v>#REF!</v>
      </c>
      <c r="L4046" s="15" t="e">
        <f>Planning[[#This Row],[Saldo]]</f>
        <v>#REF!</v>
      </c>
      <c r="M4046" s="16" t="e">
        <f>Planning[[#This Row],[Saldo]]-Planning[[#This Row],[Saldo estimado]]</f>
        <v>#REF!</v>
      </c>
      <c r="N4046" s="60" t="e">
        <f>+SUMIFS(#REF!,#REF!,Planning[[#This Row],[Proyectos]],#REF!,Planning[[#This Row],[Tipo de Tarea y especialidad]])</f>
        <v>#REF!</v>
      </c>
      <c r="O4046" s="16">
        <f t="shared" si="126"/>
        <v>10</v>
      </c>
      <c r="P4046" s="16">
        <f t="shared" si="127"/>
        <v>2024</v>
      </c>
      <c r="Q4046" s="16" t="e">
        <f>+SUMIFS(#REF!,#REF!,Planning[[#This Row],[Tarifa]],#REF!,Planning[[#This Row],[Proyectos]],#REF!,Planning[[#This Row],[Mes]],#REF!,Planning[[#This Row],[Año]])</f>
        <v>#REF!</v>
      </c>
      <c r="R4046" s="16" t="str">
        <f>TEXT(Planning[[#This Row],[Mes]]*29,"mmmm")</f>
        <v>October</v>
      </c>
      <c r="S40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46" s="193"/>
      <c r="U4046" s="43">
        <f>IF(Planning[[#This Row],[Horas Planificadas]]&lt;&gt;0,+K4046/Planning[[#This Row],[Horas Planificadas]],0)</f>
        <v>0</v>
      </c>
      <c r="V4046" s="43">
        <f>IF(Planning[[#This Row],[Horas Planificadas]]&lt;&gt;0,Planning[[#This Row],[Horas utilizadas]]/Planning[[#This Row],[Horas Planificadas]],0)</f>
        <v>0</v>
      </c>
      <c r="W4046" s="44">
        <f>Planning[[#This Row],[Horas Planificadas]]+Planning[[#This Row],[Horas ajustadas adicionales]]</f>
        <v>0</v>
      </c>
      <c r="X4046" s="142"/>
    </row>
    <row r="4047" spans="1:24" ht="22.5" x14ac:dyDescent="0.2">
      <c r="A4047" s="7" t="s">
        <v>435</v>
      </c>
      <c r="B4047" s="7" t="s">
        <v>169</v>
      </c>
      <c r="C4047" s="3"/>
      <c r="D4047" s="3" t="s">
        <v>708</v>
      </c>
      <c r="E4047" s="4" t="s">
        <v>32</v>
      </c>
      <c r="F4047" s="3"/>
      <c r="G4047" s="9"/>
      <c r="H4047" s="14">
        <f>SUM(H4048:H4050)</f>
        <v>0</v>
      </c>
      <c r="I4047" s="14"/>
      <c r="J4047" s="14" t="e">
        <f>SUM(J4048:J4050)</f>
        <v>#REF!</v>
      </c>
      <c r="K4047" s="14" t="e">
        <f>+Planning[[#This Row],[Horas Planificadas]]+Planning[[#This Row],[Horas ajustadas adicionales]]-Planning[[#This Row],[Horas utilizadas]]</f>
        <v>#REF!</v>
      </c>
      <c r="L4047" s="15" t="e">
        <f>SUM(L4048:L4050)</f>
        <v>#REF!</v>
      </c>
      <c r="M4047" s="16" t="e">
        <f>SUM(M4048:M4050)</f>
        <v>#REF!</v>
      </c>
      <c r="N4047" s="60" t="e">
        <f>+SUMIFS(#REF!,#REF!,Planning[[#This Row],[Proyectos]],#REF!,Planning[[#This Row],[Tipo de Tarea y especialidad]])</f>
        <v>#REF!</v>
      </c>
      <c r="O4047" s="16">
        <f t="shared" si="126"/>
        <v>10</v>
      </c>
      <c r="P4047" s="16">
        <f t="shared" si="127"/>
        <v>2024</v>
      </c>
      <c r="Q4047" s="16" t="e">
        <f>SUM(Q4048:Q4050)</f>
        <v>#REF!</v>
      </c>
      <c r="R4047" s="16" t="str">
        <f>TEXT(Planning[[#This Row],[Mes]]*29,"mmmm")</f>
        <v>October</v>
      </c>
      <c r="S40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47" s="193"/>
      <c r="U4047" s="43">
        <f>IF(Planning[[#This Row],[Horas Planificadas]]&lt;&gt;0,+K4047/Planning[[#This Row],[Horas Planificadas]],0)</f>
        <v>0</v>
      </c>
      <c r="V4047" s="43">
        <f>IF(Planning[[#This Row],[Horas Planificadas]]&lt;&gt;0,Planning[[#This Row],[Horas utilizadas]]/Planning[[#This Row],[Horas Planificadas]],0)</f>
        <v>0</v>
      </c>
      <c r="W4047" s="44">
        <f>Planning[[#This Row],[Horas Planificadas]]+Planning[[#This Row],[Horas ajustadas adicionales]]</f>
        <v>0</v>
      </c>
      <c r="X4047" s="142"/>
    </row>
    <row r="4048" spans="1:24" x14ac:dyDescent="0.2">
      <c r="A4048" s="7" t="s">
        <v>435</v>
      </c>
      <c r="B4048" s="7" t="s">
        <v>169</v>
      </c>
      <c r="C4048" s="3"/>
      <c r="D4048" s="3" t="s">
        <v>708</v>
      </c>
      <c r="E4048" s="4"/>
      <c r="F4048" s="3" t="s">
        <v>129</v>
      </c>
      <c r="G4048" s="9"/>
      <c r="H4048" s="9"/>
      <c r="I4048" s="12"/>
      <c r="J4048" s="5" t="e">
        <f>SUM(SUMIFS(#REF!,#REF!,Planning[[#This Row],[Tipo de Tarea y especialidad]],#REF!,Planning[[#This Row],[Proyectos Reiwa]]),SUMIFS(#REF!,#REF!,Planning[[#This Row],[Tipo de Tarea y especialidad]],#REF!,Planning[[#This Row],[Proyectos]]))</f>
        <v>#REF!</v>
      </c>
      <c r="K4048" s="5" t="e">
        <f>+Planning[[#This Row],[Horas Planificadas]]+Planning[[#This Row],[Horas ajustadas adicionales]]-Planning[[#This Row],[Horas utilizadas]]</f>
        <v>#REF!</v>
      </c>
      <c r="L4048" s="7">
        <v>0</v>
      </c>
      <c r="M4048" s="19" t="e">
        <f>Planning[[#This Row],[Saldo]]-Planning[[#This Row],[Saldo estimado]]</f>
        <v>#REF!</v>
      </c>
      <c r="N4048" s="60" t="e">
        <f>+SUMIFS(#REF!,#REF!,Planning[[#This Row],[Proyectos]],#REF!,Planning[[#This Row],[Tipo de Tarea y especialidad]])</f>
        <v>#REF!</v>
      </c>
      <c r="O4048" s="19">
        <f t="shared" si="126"/>
        <v>10</v>
      </c>
      <c r="P4048" s="19">
        <f t="shared" si="127"/>
        <v>2024</v>
      </c>
      <c r="Q40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48" s="19" t="str">
        <f>TEXT(Planning[[#This Row],[Mes]]*29,"mmmm")</f>
        <v>October</v>
      </c>
      <c r="S40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48" s="193"/>
      <c r="U4048" s="43">
        <f>IF(Planning[[#This Row],[Horas Planificadas]]&lt;&gt;0,+K4048/Planning[[#This Row],[Horas Planificadas]],0)</f>
        <v>0</v>
      </c>
      <c r="V4048" s="43">
        <f>IF(Planning[[#This Row],[Horas Planificadas]]&lt;&gt;0,Planning[[#This Row],[Horas utilizadas]]/Planning[[#This Row],[Horas Planificadas]],0)</f>
        <v>0</v>
      </c>
      <c r="W4048" s="44">
        <f>Planning[[#This Row],[Horas Planificadas]]+Planning[[#This Row],[Horas ajustadas adicionales]]</f>
        <v>0</v>
      </c>
      <c r="X4048" s="142"/>
    </row>
    <row r="4049" spans="1:24" x14ac:dyDescent="0.2">
      <c r="A4049" s="7" t="s">
        <v>435</v>
      </c>
      <c r="B4049" s="7" t="s">
        <v>169</v>
      </c>
      <c r="C4049" s="3"/>
      <c r="D4049" s="3" t="s">
        <v>708</v>
      </c>
      <c r="E4049" s="4"/>
      <c r="F4049" s="3" t="s">
        <v>130</v>
      </c>
      <c r="G4049" s="9"/>
      <c r="H4049" s="9"/>
      <c r="I4049" s="12"/>
      <c r="J4049" s="5" t="e">
        <f>SUM(SUMIFS(#REF!,#REF!,Planning[[#This Row],[Tipo de Tarea y especialidad]],#REF!,Planning[[#This Row],[Proyectos Reiwa]]),SUMIFS(#REF!,#REF!,Planning[[#This Row],[Tipo de Tarea y especialidad]],#REF!,Planning[[#This Row],[Proyectos]]))</f>
        <v>#REF!</v>
      </c>
      <c r="K4049" s="5" t="e">
        <f>+Planning[[#This Row],[Horas Planificadas]]+Planning[[#This Row],[Horas ajustadas adicionales]]-Planning[[#This Row],[Horas utilizadas]]</f>
        <v>#REF!</v>
      </c>
      <c r="L4049" s="7" t="e">
        <f>Planning[[#This Row],[Saldo]]</f>
        <v>#REF!</v>
      </c>
      <c r="M4049" s="19" t="e">
        <f>Planning[[#This Row],[Saldo]]-Planning[[#This Row],[Saldo estimado]]</f>
        <v>#REF!</v>
      </c>
      <c r="N4049" s="60" t="e">
        <f>+SUMIFS(#REF!,#REF!,Planning[[#This Row],[Proyectos]],#REF!,Planning[[#This Row],[Tipo de Tarea y especialidad]])</f>
        <v>#REF!</v>
      </c>
      <c r="O4049" s="19">
        <f t="shared" si="126"/>
        <v>10</v>
      </c>
      <c r="P4049" s="19">
        <f t="shared" si="127"/>
        <v>2024</v>
      </c>
      <c r="Q40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49" s="19" t="str">
        <f>TEXT(Planning[[#This Row],[Mes]]*29,"mmmm")</f>
        <v>October</v>
      </c>
      <c r="S40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49" s="193"/>
      <c r="U4049" s="43">
        <f>IF(Planning[[#This Row],[Horas Planificadas]]&lt;&gt;0,+K4049/Planning[[#This Row],[Horas Planificadas]],0)</f>
        <v>0</v>
      </c>
      <c r="V4049" s="43">
        <f>IF(Planning[[#This Row],[Horas Planificadas]]&lt;&gt;0,Planning[[#This Row],[Horas utilizadas]]/Planning[[#This Row],[Horas Planificadas]],0)</f>
        <v>0</v>
      </c>
      <c r="W4049" s="44">
        <f>Planning[[#This Row],[Horas Planificadas]]+Planning[[#This Row],[Horas ajustadas adicionales]]</f>
        <v>0</v>
      </c>
      <c r="X4049" s="142"/>
    </row>
    <row r="4050" spans="1:24" x14ac:dyDescent="0.2">
      <c r="A4050" s="7" t="s">
        <v>435</v>
      </c>
      <c r="B4050" s="7" t="s">
        <v>169</v>
      </c>
      <c r="C4050" s="3"/>
      <c r="D4050" s="3" t="s">
        <v>708</v>
      </c>
      <c r="E4050" s="4"/>
      <c r="F4050" s="3" t="s">
        <v>131</v>
      </c>
      <c r="G4050" s="9"/>
      <c r="H4050" s="9"/>
      <c r="I4050" s="12"/>
      <c r="J4050" s="5" t="e">
        <f>SUM(SUMIFS(#REF!,#REF!,Planning[[#This Row],[Tipo de Tarea y especialidad]],#REF!,Planning[[#This Row],[Proyectos Reiwa]]),SUMIFS(#REF!,#REF!,Planning[[#This Row],[Tipo de Tarea y especialidad]],#REF!,Planning[[#This Row],[Proyectos]]))</f>
        <v>#REF!</v>
      </c>
      <c r="K4050" s="5" t="e">
        <f>+Planning[[#This Row],[Horas Planificadas]]+Planning[[#This Row],[Horas ajustadas adicionales]]-Planning[[#This Row],[Horas utilizadas]]</f>
        <v>#REF!</v>
      </c>
      <c r="L4050" s="7" t="e">
        <f>Planning[[#This Row],[Saldo]]</f>
        <v>#REF!</v>
      </c>
      <c r="M4050" s="19" t="e">
        <f>Planning[[#This Row],[Saldo]]-Planning[[#This Row],[Saldo estimado]]</f>
        <v>#REF!</v>
      </c>
      <c r="N4050" s="60" t="e">
        <f>+SUMIFS(#REF!,#REF!,Planning[[#This Row],[Proyectos]],#REF!,Planning[[#This Row],[Tipo de Tarea y especialidad]])</f>
        <v>#REF!</v>
      </c>
      <c r="O4050" s="19">
        <f t="shared" si="126"/>
        <v>10</v>
      </c>
      <c r="P4050" s="19">
        <f t="shared" si="127"/>
        <v>2024</v>
      </c>
      <c r="Q40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50" s="19" t="str">
        <f>TEXT(Planning[[#This Row],[Mes]]*29,"mmmm")</f>
        <v>October</v>
      </c>
      <c r="S40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50" s="193"/>
      <c r="U4050" s="43">
        <f>IF(Planning[[#This Row],[Horas Planificadas]]&lt;&gt;0,+K4050/Planning[[#This Row],[Horas Planificadas]],0)</f>
        <v>0</v>
      </c>
      <c r="V4050" s="43">
        <f>IF(Planning[[#This Row],[Horas Planificadas]]&lt;&gt;0,Planning[[#This Row],[Horas utilizadas]]/Planning[[#This Row],[Horas Planificadas]],0)</f>
        <v>0</v>
      </c>
      <c r="W4050" s="44">
        <f>Planning[[#This Row],[Horas Planificadas]]+Planning[[#This Row],[Horas ajustadas adicionales]]</f>
        <v>0</v>
      </c>
      <c r="X4050" s="142"/>
    </row>
    <row r="4051" spans="1:24" ht="22.5" x14ac:dyDescent="0.2">
      <c r="A4051" s="7" t="s">
        <v>435</v>
      </c>
      <c r="B4051" s="7" t="s">
        <v>178</v>
      </c>
      <c r="C4051" s="3"/>
      <c r="D4051" s="3" t="s">
        <v>710</v>
      </c>
      <c r="E4051" s="4" t="s">
        <v>28</v>
      </c>
      <c r="F4051" s="3"/>
      <c r="G4051" s="9">
        <v>0</v>
      </c>
      <c r="H4051" s="14">
        <f>SUM(H4052:H4053)</f>
        <v>0</v>
      </c>
      <c r="I4051" s="14"/>
      <c r="J4051" s="14" t="e">
        <f>SUM(J4052:J4053)</f>
        <v>#REF!</v>
      </c>
      <c r="K4051" s="14" t="e">
        <f>+Planning[[#This Row],[Horas Planificadas]]+Planning[[#This Row],[Horas ajustadas adicionales]]-Planning[[#This Row],[Horas utilizadas]]</f>
        <v>#REF!</v>
      </c>
      <c r="L4051" s="15">
        <f>SUM(L4052:L4053)</f>
        <v>0</v>
      </c>
      <c r="M4051" s="14" t="e">
        <f>SUM(M4052:M4053)</f>
        <v>#REF!</v>
      </c>
      <c r="N4051" s="66" t="e">
        <f>+SUMIFS(#REF!,#REF!,Planning[[#This Row],[Proyectos]],#REF!,Planning[[#This Row],[Tipo de Tarea y especialidad]])</f>
        <v>#REF!</v>
      </c>
      <c r="O4051" s="14">
        <f t="shared" si="126"/>
        <v>10</v>
      </c>
      <c r="P4051" s="14">
        <f t="shared" si="127"/>
        <v>2024</v>
      </c>
      <c r="Q4051" s="28" t="e">
        <f>SUM(Q4052:Q4053)</f>
        <v>#REF!</v>
      </c>
      <c r="R4051" s="28" t="str">
        <f>TEXT(Planning[[#This Row],[Mes]]*29,"mmmm")</f>
        <v>October</v>
      </c>
      <c r="S40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51" s="220" t="s">
        <v>711</v>
      </c>
      <c r="U4051" s="43">
        <f>IF(Planning[[#This Row],[Horas Planificadas]]&lt;&gt;0,+K4051/Planning[[#This Row],[Horas Planificadas]],0)</f>
        <v>0</v>
      </c>
      <c r="V4051" s="43">
        <f>IF(Planning[[#This Row],[Horas Planificadas]]&lt;&gt;0,Planning[[#This Row],[Horas utilizadas]]/Planning[[#This Row],[Horas Planificadas]],0)</f>
        <v>0</v>
      </c>
      <c r="W4051" s="44">
        <f>Planning[[#This Row],[Horas Planificadas]]+Planning[[#This Row],[Horas ajustadas adicionales]]</f>
        <v>0</v>
      </c>
      <c r="X4051" s="142"/>
    </row>
    <row r="4052" spans="1:24" x14ac:dyDescent="0.2">
      <c r="A4052" s="7" t="s">
        <v>435</v>
      </c>
      <c r="B4052" s="7" t="s">
        <v>178</v>
      </c>
      <c r="C4052" s="3"/>
      <c r="D4052" s="3" t="s">
        <v>710</v>
      </c>
      <c r="E4052" s="4"/>
      <c r="F4052" s="3" t="s">
        <v>120</v>
      </c>
      <c r="G4052" s="9">
        <v>0</v>
      </c>
      <c r="H4052" s="9">
        <v>0</v>
      </c>
      <c r="I4052" s="12"/>
      <c r="J4052" s="5" t="e">
        <f>SUM(SUMIFS(#REF!,#REF!,Planning[[#This Row],[Tipo de Tarea y especialidad]],#REF!,Planning[[#This Row],[Proyectos Reiwa]]),SUMIFS(#REF!,#REF!,Planning[[#This Row],[Tipo de Tarea y especialidad]],#REF!,Planning[[#This Row],[Proyectos]]))</f>
        <v>#REF!</v>
      </c>
      <c r="K4052" s="5" t="e">
        <f>+Planning[[#This Row],[Horas Planificadas]]+Planning[[#This Row],[Horas ajustadas adicionales]]-Planning[[#This Row],[Horas utilizadas]]</f>
        <v>#REF!</v>
      </c>
      <c r="L4052" s="7">
        <v>0</v>
      </c>
      <c r="M4052" s="19" t="e">
        <f>Planning[[#This Row],[Saldo]]-Planning[[#This Row],[Saldo estimado]]</f>
        <v>#REF!</v>
      </c>
      <c r="N4052" s="60" t="e">
        <f>+SUMIFS(#REF!,#REF!,Planning[[#This Row],[Proyectos]],#REF!,Planning[[#This Row],[Tipo de Tarea y especialidad]])</f>
        <v>#REF!</v>
      </c>
      <c r="O4052" s="19">
        <f t="shared" si="126"/>
        <v>10</v>
      </c>
      <c r="P4052" s="19">
        <f t="shared" si="127"/>
        <v>2024</v>
      </c>
      <c r="Q40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52" s="19" t="str">
        <f>TEXT(Planning[[#This Row],[Mes]]*29,"mmmm")</f>
        <v>October</v>
      </c>
      <c r="S40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52" s="210"/>
      <c r="U4052" s="43">
        <f>IF(Planning[[#This Row],[Horas Planificadas]]&lt;&gt;0,+K4052/Planning[[#This Row],[Horas Planificadas]],0)</f>
        <v>0</v>
      </c>
      <c r="V4052" s="43">
        <f>IF(Planning[[#This Row],[Horas Planificadas]]&lt;&gt;0,Planning[[#This Row],[Horas utilizadas]]/Planning[[#This Row],[Horas Planificadas]],0)</f>
        <v>0</v>
      </c>
      <c r="W4052" s="44">
        <f>Planning[[#This Row],[Horas Planificadas]]+Planning[[#This Row],[Horas ajustadas adicionales]]</f>
        <v>0</v>
      </c>
      <c r="X4052" s="142"/>
    </row>
    <row r="4053" spans="1:24" x14ac:dyDescent="0.2">
      <c r="A4053" s="7" t="s">
        <v>435</v>
      </c>
      <c r="B4053" s="7" t="s">
        <v>178</v>
      </c>
      <c r="C4053" s="3"/>
      <c r="D4053" s="3" t="s">
        <v>710</v>
      </c>
      <c r="E4053" s="4"/>
      <c r="F4053" s="3" t="s">
        <v>121</v>
      </c>
      <c r="G4053" s="9">
        <v>0</v>
      </c>
      <c r="H4053" s="9">
        <v>0</v>
      </c>
      <c r="I4053" s="12"/>
      <c r="J4053" s="5" t="e">
        <f>SUM(SUMIFS(#REF!,#REF!,Planning[[#This Row],[Tipo de Tarea y especialidad]],#REF!,Planning[[#This Row],[Proyectos Reiwa]]),SUMIFS(#REF!,#REF!,Planning[[#This Row],[Tipo de Tarea y especialidad]],#REF!,Planning[[#This Row],[Proyectos]]))</f>
        <v>#REF!</v>
      </c>
      <c r="K4053" s="5" t="e">
        <f>+Planning[[#This Row],[Horas Planificadas]]+Planning[[#This Row],[Horas ajustadas adicionales]]-Planning[[#This Row],[Horas utilizadas]]</f>
        <v>#REF!</v>
      </c>
      <c r="L4053" s="7">
        <v>0</v>
      </c>
      <c r="M4053" s="19" t="e">
        <f>Planning[[#This Row],[Saldo]]-Planning[[#This Row],[Saldo estimado]]</f>
        <v>#REF!</v>
      </c>
      <c r="N4053" s="60" t="e">
        <f>+SUMIFS(#REF!,#REF!,Planning[[#This Row],[Proyectos]],#REF!,Planning[[#This Row],[Tipo de Tarea y especialidad]])</f>
        <v>#REF!</v>
      </c>
      <c r="O4053" s="19">
        <f t="shared" si="126"/>
        <v>10</v>
      </c>
      <c r="P4053" s="19">
        <f t="shared" si="127"/>
        <v>2024</v>
      </c>
      <c r="Q40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53" s="19" t="str">
        <f>TEXT(Planning[[#This Row],[Mes]]*29,"mmmm")</f>
        <v>October</v>
      </c>
      <c r="S40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53" s="210"/>
      <c r="U4053" s="43">
        <f>IF(Planning[[#This Row],[Horas Planificadas]]&lt;&gt;0,+K4053/Planning[[#This Row],[Horas Planificadas]],0)</f>
        <v>0</v>
      </c>
      <c r="V4053" s="43">
        <f>IF(Planning[[#This Row],[Horas Planificadas]]&lt;&gt;0,Planning[[#This Row],[Horas utilizadas]]/Planning[[#This Row],[Horas Planificadas]],0)</f>
        <v>0</v>
      </c>
      <c r="W4053" s="44">
        <f>Planning[[#This Row],[Horas Planificadas]]+Planning[[#This Row],[Horas ajustadas adicionales]]</f>
        <v>0</v>
      </c>
      <c r="X4053" s="142"/>
    </row>
    <row r="4054" spans="1:24" x14ac:dyDescent="0.2">
      <c r="A4054" s="7" t="s">
        <v>435</v>
      </c>
      <c r="B4054" s="7" t="s">
        <v>178</v>
      </c>
      <c r="C4054" s="3"/>
      <c r="D4054" s="3" t="s">
        <v>710</v>
      </c>
      <c r="E4054" s="4" t="s">
        <v>30</v>
      </c>
      <c r="F4054" s="3"/>
      <c r="G4054" s="9">
        <v>46</v>
      </c>
      <c r="H4054" s="14">
        <f>SUM(H4055:H4061)</f>
        <v>46</v>
      </c>
      <c r="I4054" s="14"/>
      <c r="J4054" s="14" t="e">
        <f>SUM(J4055:J4061)</f>
        <v>#REF!</v>
      </c>
      <c r="K4054" s="14" t="e">
        <f>+Planning[[#This Row],[Horas Planificadas]]+Planning[[#This Row],[Horas ajustadas adicionales]]-Planning[[#This Row],[Horas utilizadas]]</f>
        <v>#REF!</v>
      </c>
      <c r="L4054" s="15">
        <f>SUM(L4055:L4061)</f>
        <v>9</v>
      </c>
      <c r="M4054" s="16" t="e">
        <f>SUM(M4055:M4061)</f>
        <v>#REF!</v>
      </c>
      <c r="N4054" s="60" t="e">
        <f>+SUMIFS(#REF!,#REF!,Planning[[#This Row],[Proyectos]],#REF!,Planning[[#This Row],[Tipo de Tarea y especialidad]])</f>
        <v>#REF!</v>
      </c>
      <c r="O4054" s="16">
        <f t="shared" si="126"/>
        <v>10</v>
      </c>
      <c r="P4054" s="16">
        <f t="shared" si="127"/>
        <v>2024</v>
      </c>
      <c r="Q4054" s="16" t="e">
        <f>SUM(Q4055:Q4061)</f>
        <v>#REF!</v>
      </c>
      <c r="R4054" s="16" t="str">
        <f>TEXT(Planning[[#This Row],[Mes]]*29,"mmmm")</f>
        <v>October</v>
      </c>
      <c r="S40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54" s="210"/>
      <c r="U4054" s="43" t="e">
        <f>IF(Planning[[#This Row],[Horas Planificadas]]&lt;&gt;0,+K4054/Planning[[#This Row],[Horas Planificadas]],0)</f>
        <v>#REF!</v>
      </c>
      <c r="V4054" s="43" t="e">
        <f>IF(Planning[[#This Row],[Horas Planificadas]]&lt;&gt;0,Planning[[#This Row],[Horas utilizadas]]/Planning[[#This Row],[Horas Planificadas]],0)</f>
        <v>#REF!</v>
      </c>
      <c r="W4054" s="44">
        <f>Planning[[#This Row],[Horas Planificadas]]+Planning[[#This Row],[Horas ajustadas adicionales]]</f>
        <v>46</v>
      </c>
      <c r="X4054" s="142"/>
    </row>
    <row r="4055" spans="1:24" x14ac:dyDescent="0.2">
      <c r="A4055" s="7" t="s">
        <v>435</v>
      </c>
      <c r="B4055" s="7" t="s">
        <v>178</v>
      </c>
      <c r="C4055" s="3"/>
      <c r="D4055" s="3" t="s">
        <v>710</v>
      </c>
      <c r="E4055" s="4"/>
      <c r="F4055" s="3" t="s">
        <v>122</v>
      </c>
      <c r="G4055" s="9">
        <v>0</v>
      </c>
      <c r="H4055" s="9">
        <v>0</v>
      </c>
      <c r="I4055" s="12"/>
      <c r="J4055" s="5" t="e">
        <f>SUM(SUMIFS(#REF!,#REF!,Planning[[#This Row],[Tipo de Tarea y especialidad]],#REF!,Planning[[#This Row],[Proyectos Reiwa]]),SUMIFS(#REF!,#REF!,Planning[[#This Row],[Tipo de Tarea y especialidad]],#REF!,Planning[[#This Row],[Proyectos]]))</f>
        <v>#REF!</v>
      </c>
      <c r="K4055" s="5" t="e">
        <f>+Planning[[#This Row],[Horas Planificadas]]+Planning[[#This Row],[Horas ajustadas adicionales]]-Planning[[#This Row],[Horas utilizadas]]</f>
        <v>#REF!</v>
      </c>
      <c r="L4055" s="7">
        <v>0</v>
      </c>
      <c r="M4055" s="19" t="e">
        <f>Planning[[#This Row],[Saldo]]-Planning[[#This Row],[Saldo estimado]]</f>
        <v>#REF!</v>
      </c>
      <c r="N4055" s="60" t="e">
        <f>+SUMIFS(#REF!,#REF!,Planning[[#This Row],[Proyectos]],#REF!,Planning[[#This Row],[Tipo de Tarea y especialidad]])</f>
        <v>#REF!</v>
      </c>
      <c r="O4055" s="19">
        <f t="shared" si="126"/>
        <v>10</v>
      </c>
      <c r="P4055" s="19">
        <f t="shared" si="127"/>
        <v>2024</v>
      </c>
      <c r="Q40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55" s="19" t="str">
        <f>TEXT(Planning[[#This Row],[Mes]]*29,"mmmm")</f>
        <v>October</v>
      </c>
      <c r="S40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55" s="210"/>
      <c r="U4055" s="43">
        <f>IF(Planning[[#This Row],[Horas Planificadas]]&lt;&gt;0,+K4055/Planning[[#This Row],[Horas Planificadas]],0)</f>
        <v>0</v>
      </c>
      <c r="V4055" s="43">
        <f>IF(Planning[[#This Row],[Horas Planificadas]]&lt;&gt;0,Planning[[#This Row],[Horas utilizadas]]/Planning[[#This Row],[Horas Planificadas]],0)</f>
        <v>0</v>
      </c>
      <c r="W4055" s="44">
        <f>Planning[[#This Row],[Horas Planificadas]]+Planning[[#This Row],[Horas ajustadas adicionales]]</f>
        <v>0</v>
      </c>
      <c r="X4055" s="142"/>
    </row>
    <row r="4056" spans="1:24" x14ac:dyDescent="0.2">
      <c r="A4056" s="7" t="s">
        <v>435</v>
      </c>
      <c r="B4056" s="7" t="s">
        <v>178</v>
      </c>
      <c r="C4056" s="3"/>
      <c r="D4056" s="3" t="s">
        <v>710</v>
      </c>
      <c r="E4056" s="4"/>
      <c r="F4056" s="3" t="s">
        <v>123</v>
      </c>
      <c r="G4056" s="9">
        <v>0</v>
      </c>
      <c r="H4056" s="9">
        <v>0</v>
      </c>
      <c r="I4056" s="12"/>
      <c r="J4056" s="5" t="e">
        <f>SUM(SUMIFS(#REF!,#REF!,Planning[[#This Row],[Tipo de Tarea y especialidad]],#REF!,Planning[[#This Row],[Proyectos Reiwa]]),SUMIFS(#REF!,#REF!,Planning[[#This Row],[Tipo de Tarea y especialidad]],#REF!,Planning[[#This Row],[Proyectos]]))</f>
        <v>#REF!</v>
      </c>
      <c r="K4056" s="5" t="e">
        <f>+Planning[[#This Row],[Horas Planificadas]]+Planning[[#This Row],[Horas ajustadas adicionales]]-Planning[[#This Row],[Horas utilizadas]]</f>
        <v>#REF!</v>
      </c>
      <c r="L4056" s="7">
        <v>0</v>
      </c>
      <c r="M4056" s="19" t="e">
        <f>Planning[[#This Row],[Saldo]]-Planning[[#This Row],[Saldo estimado]]</f>
        <v>#REF!</v>
      </c>
      <c r="N4056" s="60" t="e">
        <f>+SUMIFS(#REF!,#REF!,Planning[[#This Row],[Proyectos]],#REF!,Planning[[#This Row],[Tipo de Tarea y especialidad]])</f>
        <v>#REF!</v>
      </c>
      <c r="O4056" s="19">
        <f t="shared" si="126"/>
        <v>10</v>
      </c>
      <c r="P4056" s="19">
        <f t="shared" si="127"/>
        <v>2024</v>
      </c>
      <c r="Q40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56" s="19" t="str">
        <f>TEXT(Planning[[#This Row],[Mes]]*29,"mmmm")</f>
        <v>October</v>
      </c>
      <c r="S40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56" s="210"/>
      <c r="U4056" s="43">
        <f>IF(Planning[[#This Row],[Horas Planificadas]]&lt;&gt;0,+K4056/Planning[[#This Row],[Horas Planificadas]],0)</f>
        <v>0</v>
      </c>
      <c r="V4056" s="43">
        <f>IF(Planning[[#This Row],[Horas Planificadas]]&lt;&gt;0,Planning[[#This Row],[Horas utilizadas]]/Planning[[#This Row],[Horas Planificadas]],0)</f>
        <v>0</v>
      </c>
      <c r="W4056" s="44">
        <f>Planning[[#This Row],[Horas Planificadas]]+Planning[[#This Row],[Horas ajustadas adicionales]]</f>
        <v>0</v>
      </c>
      <c r="X4056" s="142"/>
    </row>
    <row r="4057" spans="1:24" x14ac:dyDescent="0.2">
      <c r="A4057" s="7" t="s">
        <v>435</v>
      </c>
      <c r="B4057" s="7" t="s">
        <v>178</v>
      </c>
      <c r="C4057" s="3"/>
      <c r="D4057" s="3" t="s">
        <v>710</v>
      </c>
      <c r="E4057" s="4"/>
      <c r="F4057" s="3" t="s">
        <v>124</v>
      </c>
      <c r="G4057" s="9">
        <v>0</v>
      </c>
      <c r="H4057" s="9">
        <v>0</v>
      </c>
      <c r="I4057" s="12"/>
      <c r="J4057" s="5" t="e">
        <f>SUM(SUMIFS(#REF!,#REF!,Planning[[#This Row],[Tipo de Tarea y especialidad]],#REF!,Planning[[#This Row],[Proyectos Reiwa]]),SUMIFS(#REF!,#REF!,Planning[[#This Row],[Tipo de Tarea y especialidad]],#REF!,Planning[[#This Row],[Proyectos]]))</f>
        <v>#REF!</v>
      </c>
      <c r="K4057" s="5" t="e">
        <f>+Planning[[#This Row],[Horas Planificadas]]+Planning[[#This Row],[Horas ajustadas adicionales]]-Planning[[#This Row],[Horas utilizadas]]</f>
        <v>#REF!</v>
      </c>
      <c r="L4057" s="7">
        <v>0</v>
      </c>
      <c r="M4057" s="19" t="e">
        <f>Planning[[#This Row],[Saldo]]-Planning[[#This Row],[Saldo estimado]]</f>
        <v>#REF!</v>
      </c>
      <c r="N4057" s="60" t="e">
        <f>+SUMIFS(#REF!,#REF!,Planning[[#This Row],[Proyectos]],#REF!,Planning[[#This Row],[Tipo de Tarea y especialidad]])</f>
        <v>#REF!</v>
      </c>
      <c r="O4057" s="19">
        <f t="shared" si="126"/>
        <v>10</v>
      </c>
      <c r="P4057" s="19">
        <f t="shared" si="127"/>
        <v>2024</v>
      </c>
      <c r="Q40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57" s="19" t="str">
        <f>TEXT(Planning[[#This Row],[Mes]]*29,"mmmm")</f>
        <v>October</v>
      </c>
      <c r="S40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57" s="210"/>
      <c r="U4057" s="43">
        <f>IF(Planning[[#This Row],[Horas Planificadas]]&lt;&gt;0,+K4057/Planning[[#This Row],[Horas Planificadas]],0)</f>
        <v>0</v>
      </c>
      <c r="V4057" s="43">
        <f>IF(Planning[[#This Row],[Horas Planificadas]]&lt;&gt;0,Planning[[#This Row],[Horas utilizadas]]/Planning[[#This Row],[Horas Planificadas]],0)</f>
        <v>0</v>
      </c>
      <c r="W4057" s="44">
        <f>Planning[[#This Row],[Horas Planificadas]]+Planning[[#This Row],[Horas ajustadas adicionales]]</f>
        <v>0</v>
      </c>
      <c r="X4057" s="142"/>
    </row>
    <row r="4058" spans="1:24" x14ac:dyDescent="0.2">
      <c r="A4058" s="7" t="s">
        <v>435</v>
      </c>
      <c r="B4058" s="7" t="s">
        <v>178</v>
      </c>
      <c r="C4058" s="3"/>
      <c r="D4058" s="3" t="s">
        <v>710</v>
      </c>
      <c r="E4058" s="4"/>
      <c r="F4058" s="3" t="s">
        <v>125</v>
      </c>
      <c r="G4058" s="9">
        <v>0</v>
      </c>
      <c r="H4058" s="9">
        <v>0</v>
      </c>
      <c r="I4058" s="12"/>
      <c r="J4058" s="5" t="e">
        <f>SUM(SUMIFS(#REF!,#REF!,Planning[[#This Row],[Tipo de Tarea y especialidad]],#REF!,Planning[[#This Row],[Proyectos Reiwa]]),SUMIFS(#REF!,#REF!,Planning[[#This Row],[Tipo de Tarea y especialidad]],#REF!,Planning[[#This Row],[Proyectos]]))</f>
        <v>#REF!</v>
      </c>
      <c r="K4058" s="5" t="e">
        <f>+Planning[[#This Row],[Horas Planificadas]]+Planning[[#This Row],[Horas ajustadas adicionales]]-Planning[[#This Row],[Horas utilizadas]]</f>
        <v>#REF!</v>
      </c>
      <c r="L4058" s="7">
        <v>9</v>
      </c>
      <c r="M4058" s="19" t="e">
        <f>Planning[[#This Row],[Saldo]]-Planning[[#This Row],[Saldo estimado]]</f>
        <v>#REF!</v>
      </c>
      <c r="N4058" s="60" t="e">
        <f>+SUMIFS(#REF!,#REF!,Planning[[#This Row],[Proyectos]],#REF!,Planning[[#This Row],[Tipo de Tarea y especialidad]])</f>
        <v>#REF!</v>
      </c>
      <c r="O4058" s="19">
        <f t="shared" si="126"/>
        <v>10</v>
      </c>
      <c r="P4058" s="19">
        <f t="shared" si="127"/>
        <v>2024</v>
      </c>
      <c r="Q40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58" s="19" t="str">
        <f>TEXT(Planning[[#This Row],[Mes]]*29,"mmmm")</f>
        <v>October</v>
      </c>
      <c r="S40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58" s="210"/>
      <c r="U4058" s="43">
        <f>IF(Planning[[#This Row],[Horas Planificadas]]&lt;&gt;0,+K4058/Planning[[#This Row],[Horas Planificadas]],0)</f>
        <v>0</v>
      </c>
      <c r="V4058" s="43">
        <f>IF(Planning[[#This Row],[Horas Planificadas]]&lt;&gt;0,Planning[[#This Row],[Horas utilizadas]]/Planning[[#This Row],[Horas Planificadas]],0)</f>
        <v>0</v>
      </c>
      <c r="W4058" s="44">
        <f>Planning[[#This Row],[Horas Planificadas]]+Planning[[#This Row],[Horas ajustadas adicionales]]</f>
        <v>0</v>
      </c>
      <c r="X4058" s="142"/>
    </row>
    <row r="4059" spans="1:24" x14ac:dyDescent="0.2">
      <c r="A4059" s="7" t="s">
        <v>435</v>
      </c>
      <c r="B4059" s="7" t="s">
        <v>178</v>
      </c>
      <c r="C4059" s="3"/>
      <c r="D4059" s="3" t="s">
        <v>710</v>
      </c>
      <c r="E4059" s="4"/>
      <c r="F4059" s="3" t="s">
        <v>126</v>
      </c>
      <c r="G4059" s="9">
        <v>0</v>
      </c>
      <c r="H4059" s="9">
        <v>0</v>
      </c>
      <c r="I4059" s="12">
        <v>9</v>
      </c>
      <c r="J4059" s="5" t="e">
        <f>SUM(SUMIFS(#REF!,#REF!,Planning[[#This Row],[Tipo de Tarea y especialidad]],#REF!,Planning[[#This Row],[Proyectos Reiwa]]),SUMIFS(#REF!,#REF!,Planning[[#This Row],[Tipo de Tarea y especialidad]],#REF!,Planning[[#This Row],[Proyectos]]))</f>
        <v>#REF!</v>
      </c>
      <c r="K4059" s="5" t="e">
        <f>+Planning[[#This Row],[Horas Planificadas]]+Planning[[#This Row],[Horas ajustadas adicionales]]-Planning[[#This Row],[Horas utilizadas]]</f>
        <v>#REF!</v>
      </c>
      <c r="L4059" s="7">
        <v>0</v>
      </c>
      <c r="M4059" s="19" t="e">
        <f>Planning[[#This Row],[Saldo]]-Planning[[#This Row],[Saldo estimado]]</f>
        <v>#REF!</v>
      </c>
      <c r="N4059" s="60" t="e">
        <f>+SUMIFS(#REF!,#REF!,Planning[[#This Row],[Proyectos]],#REF!,Planning[[#This Row],[Tipo de Tarea y especialidad]])</f>
        <v>#REF!</v>
      </c>
      <c r="O4059" s="19">
        <f t="shared" si="126"/>
        <v>10</v>
      </c>
      <c r="P4059" s="19">
        <f t="shared" si="127"/>
        <v>2024</v>
      </c>
      <c r="Q40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59" s="19" t="str">
        <f>TEXT(Planning[[#This Row],[Mes]]*29,"mmmm")</f>
        <v>October</v>
      </c>
      <c r="S40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59" s="210"/>
      <c r="U4059" s="43">
        <f>IF(Planning[[#This Row],[Horas Planificadas]]&lt;&gt;0,+K4059/Planning[[#This Row],[Horas Planificadas]],0)</f>
        <v>0</v>
      </c>
      <c r="V4059" s="43">
        <f>IF(Planning[[#This Row],[Horas Planificadas]]&lt;&gt;0,Planning[[#This Row],[Horas utilizadas]]/Planning[[#This Row],[Horas Planificadas]],0)</f>
        <v>0</v>
      </c>
      <c r="W4059" s="44">
        <f>Planning[[#This Row],[Horas Planificadas]]+Planning[[#This Row],[Horas ajustadas adicionales]]</f>
        <v>9</v>
      </c>
      <c r="X4059" s="142"/>
    </row>
    <row r="4060" spans="1:24" x14ac:dyDescent="0.2">
      <c r="A4060" s="7" t="s">
        <v>435</v>
      </c>
      <c r="B4060" s="7" t="s">
        <v>178</v>
      </c>
      <c r="C4060" s="3"/>
      <c r="D4060" s="3" t="s">
        <v>710</v>
      </c>
      <c r="E4060" s="4"/>
      <c r="F4060" s="3" t="s">
        <v>127</v>
      </c>
      <c r="G4060" s="9">
        <v>46</v>
      </c>
      <c r="H4060" s="9">
        <v>46</v>
      </c>
      <c r="I4060" s="12"/>
      <c r="J4060" s="5" t="e">
        <f>SUM(SUMIFS(#REF!,#REF!,Planning[[#This Row],[Tipo de Tarea y especialidad]],#REF!,Planning[[#This Row],[Proyectos Reiwa]]),SUMIFS(#REF!,#REF!,Planning[[#This Row],[Tipo de Tarea y especialidad]],#REF!,Planning[[#This Row],[Proyectos]]))</f>
        <v>#REF!</v>
      </c>
      <c r="K4060" s="5" t="e">
        <f>+Planning[[#This Row],[Horas Planificadas]]+Planning[[#This Row],[Horas ajustadas adicionales]]-Planning[[#This Row],[Horas utilizadas]]</f>
        <v>#REF!</v>
      </c>
      <c r="L4060" s="7">
        <v>0</v>
      </c>
      <c r="M4060" s="19" t="e">
        <f>Planning[[#This Row],[Saldo]]-Planning[[#This Row],[Saldo estimado]]</f>
        <v>#REF!</v>
      </c>
      <c r="N4060" s="60" t="e">
        <f>+SUMIFS(#REF!,#REF!,Planning[[#This Row],[Proyectos]],#REF!,Planning[[#This Row],[Tipo de Tarea y especialidad]])</f>
        <v>#REF!</v>
      </c>
      <c r="O4060" s="19">
        <f t="shared" si="126"/>
        <v>10</v>
      </c>
      <c r="P4060" s="19">
        <f t="shared" si="127"/>
        <v>2024</v>
      </c>
      <c r="Q40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60" s="19" t="str">
        <f>TEXT(Planning[[#This Row],[Mes]]*29,"mmmm")</f>
        <v>October</v>
      </c>
      <c r="S40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60" s="210"/>
      <c r="U4060" s="43" t="e">
        <f>IF(Planning[[#This Row],[Horas Planificadas]]&lt;&gt;0,+K4060/Planning[[#This Row],[Horas Planificadas]],0)</f>
        <v>#REF!</v>
      </c>
      <c r="V4060" s="43" t="e">
        <f>IF(Planning[[#This Row],[Horas Planificadas]]&lt;&gt;0,Planning[[#This Row],[Horas utilizadas]]/Planning[[#This Row],[Horas Planificadas]],0)</f>
        <v>#REF!</v>
      </c>
      <c r="W4060" s="44">
        <f>Planning[[#This Row],[Horas Planificadas]]+Planning[[#This Row],[Horas ajustadas adicionales]]</f>
        <v>46</v>
      </c>
      <c r="X4060" s="142"/>
    </row>
    <row r="4061" spans="1:24" x14ac:dyDescent="0.2">
      <c r="A4061" s="7" t="s">
        <v>435</v>
      </c>
      <c r="B4061" s="7" t="s">
        <v>178</v>
      </c>
      <c r="C4061" s="3"/>
      <c r="D4061" s="3" t="s">
        <v>710</v>
      </c>
      <c r="E4061" s="4"/>
      <c r="F4061" s="3" t="s">
        <v>128</v>
      </c>
      <c r="G4061" s="9">
        <v>0</v>
      </c>
      <c r="H4061" s="9">
        <v>0</v>
      </c>
      <c r="I4061" s="12"/>
      <c r="J4061" s="5" t="e">
        <f>SUM(SUMIFS(#REF!,#REF!,Planning[[#This Row],[Tipo de Tarea y especialidad]],#REF!,Planning[[#This Row],[Proyectos Reiwa]]),SUMIFS(#REF!,#REF!,Planning[[#This Row],[Tipo de Tarea y especialidad]],#REF!,Planning[[#This Row],[Proyectos]]))</f>
        <v>#REF!</v>
      </c>
      <c r="K4061" s="5" t="e">
        <f>+Planning[[#This Row],[Horas Planificadas]]+Planning[[#This Row],[Horas ajustadas adicionales]]-Planning[[#This Row],[Horas utilizadas]]</f>
        <v>#REF!</v>
      </c>
      <c r="L4061" s="7">
        <v>0</v>
      </c>
      <c r="M4061" s="19" t="e">
        <f>Planning[[#This Row],[Saldo]]-Planning[[#This Row],[Saldo estimado]]</f>
        <v>#REF!</v>
      </c>
      <c r="N4061" s="60" t="e">
        <f>+SUMIFS(#REF!,#REF!,Planning[[#This Row],[Proyectos]],#REF!,Planning[[#This Row],[Tipo de Tarea y especialidad]])</f>
        <v>#REF!</v>
      </c>
      <c r="O4061" s="19">
        <f t="shared" si="126"/>
        <v>10</v>
      </c>
      <c r="P4061" s="19">
        <f t="shared" si="127"/>
        <v>2024</v>
      </c>
      <c r="Q40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61" s="19" t="str">
        <f>TEXT(Planning[[#This Row],[Mes]]*29,"mmmm")</f>
        <v>October</v>
      </c>
      <c r="S40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61" s="210"/>
      <c r="U4061" s="43">
        <f>IF(Planning[[#This Row],[Horas Planificadas]]&lt;&gt;0,+K4061/Planning[[#This Row],[Horas Planificadas]],0)</f>
        <v>0</v>
      </c>
      <c r="V4061" s="43">
        <f>IF(Planning[[#This Row],[Horas Planificadas]]&lt;&gt;0,Planning[[#This Row],[Horas utilizadas]]/Planning[[#This Row],[Horas Planificadas]],0)</f>
        <v>0</v>
      </c>
      <c r="W4061" s="44">
        <f>Planning[[#This Row],[Horas Planificadas]]+Planning[[#This Row],[Horas ajustadas adicionales]]</f>
        <v>0</v>
      </c>
      <c r="X4061" s="142"/>
    </row>
    <row r="4062" spans="1:24" x14ac:dyDescent="0.2">
      <c r="A4062" s="7" t="s">
        <v>435</v>
      </c>
      <c r="B4062" s="7" t="s">
        <v>178</v>
      </c>
      <c r="C4062" s="3"/>
      <c r="D4062" s="3" t="s">
        <v>710</v>
      </c>
      <c r="E4062" s="4" t="s">
        <v>31</v>
      </c>
      <c r="F4062" s="3" t="s">
        <v>31</v>
      </c>
      <c r="G4062" s="9">
        <v>7</v>
      </c>
      <c r="H4062" s="17">
        <f>Planning[[#This Row],[Horas Precálculo]]</f>
        <v>7</v>
      </c>
      <c r="I4062" s="18">
        <v>4</v>
      </c>
      <c r="J4062" s="14" t="e">
        <f>+SUMIFS(#REF!,#REF!,Planning[[#This Row],[Tarifa]],#REF!,Planning[[#This Row],[Proyectos]])</f>
        <v>#REF!</v>
      </c>
      <c r="K4062" s="14" t="e">
        <f>+Planning[[#This Row],[Horas Planificadas]]+Planning[[#This Row],[Horas ajustadas adicionales]]-Planning[[#This Row],[Horas utilizadas]]</f>
        <v>#REF!</v>
      </c>
      <c r="L4062" s="15">
        <v>0</v>
      </c>
      <c r="M4062" s="16" t="e">
        <f>Planning[[#This Row],[Saldo]]-Planning[[#This Row],[Saldo estimado]]</f>
        <v>#REF!</v>
      </c>
      <c r="N4062" s="60" t="e">
        <f>+SUMIFS(#REF!,#REF!,Planning[[#This Row],[Proyectos]],#REF!,Planning[[#This Row],[Tipo de Tarea y especialidad]])</f>
        <v>#REF!</v>
      </c>
      <c r="O4062" s="16">
        <f t="shared" si="126"/>
        <v>10</v>
      </c>
      <c r="P4062" s="16">
        <f t="shared" si="127"/>
        <v>2024</v>
      </c>
      <c r="Q4062" s="16" t="e">
        <f>+SUMIFS(#REF!,#REF!,Planning[[#This Row],[Tarifa]],#REF!,Planning[[#This Row],[Proyectos]],#REF!,Planning[[#This Row],[Mes]],#REF!,Planning[[#This Row],[Año]])</f>
        <v>#REF!</v>
      </c>
      <c r="R4062" s="16" t="str">
        <f>TEXT(Planning[[#This Row],[Mes]]*29,"mmmm")</f>
        <v>October</v>
      </c>
      <c r="S40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62" s="210"/>
      <c r="U4062" s="43" t="e">
        <f>IF(Planning[[#This Row],[Horas Planificadas]]&lt;&gt;0,+K4062/Planning[[#This Row],[Horas Planificadas]],0)</f>
        <v>#REF!</v>
      </c>
      <c r="V4062" s="43" t="e">
        <f>IF(Planning[[#This Row],[Horas Planificadas]]&lt;&gt;0,Planning[[#This Row],[Horas utilizadas]]/Planning[[#This Row],[Horas Planificadas]],0)</f>
        <v>#REF!</v>
      </c>
      <c r="W4062" s="44">
        <f>Planning[[#This Row],[Horas Planificadas]]+Planning[[#This Row],[Horas ajustadas adicionales]]</f>
        <v>11</v>
      </c>
      <c r="X4062" s="142"/>
    </row>
    <row r="4063" spans="1:24" ht="22.5" x14ac:dyDescent="0.2">
      <c r="A4063" s="7" t="s">
        <v>435</v>
      </c>
      <c r="B4063" s="7" t="s">
        <v>178</v>
      </c>
      <c r="C4063" s="3"/>
      <c r="D4063" s="3" t="s">
        <v>710</v>
      </c>
      <c r="E4063" s="4" t="s">
        <v>32</v>
      </c>
      <c r="F4063" s="3"/>
      <c r="G4063" s="9">
        <v>20</v>
      </c>
      <c r="H4063" s="14">
        <f>SUM(H4064:H4066)</f>
        <v>20</v>
      </c>
      <c r="I4063" s="14"/>
      <c r="J4063" s="14" t="e">
        <f>SUM(J4064:J4066)</f>
        <v>#REF!</v>
      </c>
      <c r="K4063" s="14" t="e">
        <f>+Planning[[#This Row],[Horas Planificadas]]+Planning[[#This Row],[Horas ajustadas adicionales]]-Planning[[#This Row],[Horas utilizadas]]</f>
        <v>#REF!</v>
      </c>
      <c r="L4063" s="15">
        <f>SUM(L4064:L4066)</f>
        <v>0</v>
      </c>
      <c r="M4063" s="16" t="e">
        <f>SUM(M4064:M4066)</f>
        <v>#REF!</v>
      </c>
      <c r="N4063" s="60" t="e">
        <f>+SUMIFS(#REF!,#REF!,Planning[[#This Row],[Proyectos]],#REF!,Planning[[#This Row],[Tipo de Tarea y especialidad]])</f>
        <v>#REF!</v>
      </c>
      <c r="O4063" s="16">
        <f t="shared" si="126"/>
        <v>10</v>
      </c>
      <c r="P4063" s="16">
        <f t="shared" si="127"/>
        <v>2024</v>
      </c>
      <c r="Q4063" s="16" t="e">
        <f>SUM(Q4064:Q4066)</f>
        <v>#REF!</v>
      </c>
      <c r="R4063" s="16" t="str">
        <f>TEXT(Planning[[#This Row],[Mes]]*29,"mmmm")</f>
        <v>October</v>
      </c>
      <c r="S40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63" s="210"/>
      <c r="U4063" s="43" t="e">
        <f>IF(Planning[[#This Row],[Horas Planificadas]]&lt;&gt;0,+K4063/Planning[[#This Row],[Horas Planificadas]],0)</f>
        <v>#REF!</v>
      </c>
      <c r="V4063" s="43" t="e">
        <f>IF(Planning[[#This Row],[Horas Planificadas]]&lt;&gt;0,Planning[[#This Row],[Horas utilizadas]]/Planning[[#This Row],[Horas Planificadas]],0)</f>
        <v>#REF!</v>
      </c>
      <c r="W4063" s="44">
        <f>Planning[[#This Row],[Horas Planificadas]]+Planning[[#This Row],[Horas ajustadas adicionales]]</f>
        <v>20</v>
      </c>
      <c r="X4063" s="142"/>
    </row>
    <row r="4064" spans="1:24" x14ac:dyDescent="0.2">
      <c r="A4064" s="7" t="s">
        <v>435</v>
      </c>
      <c r="B4064" s="7" t="s">
        <v>178</v>
      </c>
      <c r="C4064" s="3"/>
      <c r="D4064" s="3" t="s">
        <v>710</v>
      </c>
      <c r="E4064" s="4"/>
      <c r="F4064" s="3" t="s">
        <v>129</v>
      </c>
      <c r="G4064" s="9">
        <v>0</v>
      </c>
      <c r="H4064" s="9">
        <v>0</v>
      </c>
      <c r="I4064" s="12">
        <v>10</v>
      </c>
      <c r="J4064" s="5" t="e">
        <f>SUM(SUMIFS(#REF!,#REF!,Planning[[#This Row],[Tipo de Tarea y especialidad]],#REF!,Planning[[#This Row],[Proyectos Reiwa]]),SUMIFS(#REF!,#REF!,Planning[[#This Row],[Tipo de Tarea y especialidad]],#REF!,Planning[[#This Row],[Proyectos]]))</f>
        <v>#REF!</v>
      </c>
      <c r="K4064" s="5" t="e">
        <f>+Planning[[#This Row],[Horas Planificadas]]+Planning[[#This Row],[Horas ajustadas adicionales]]-Planning[[#This Row],[Horas utilizadas]]</f>
        <v>#REF!</v>
      </c>
      <c r="L4064" s="7">
        <v>0</v>
      </c>
      <c r="M4064" s="19" t="e">
        <f>Planning[[#This Row],[Saldo]]-Planning[[#This Row],[Saldo estimado]]</f>
        <v>#REF!</v>
      </c>
      <c r="N4064" s="60" t="e">
        <f>+SUMIFS(#REF!,#REF!,Planning[[#This Row],[Proyectos]],#REF!,Planning[[#This Row],[Tipo de Tarea y especialidad]])</f>
        <v>#REF!</v>
      </c>
      <c r="O4064" s="19">
        <f t="shared" si="126"/>
        <v>10</v>
      </c>
      <c r="P4064" s="19">
        <f t="shared" si="127"/>
        <v>2024</v>
      </c>
      <c r="Q40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64" s="19" t="str">
        <f>TEXT(Planning[[#This Row],[Mes]]*29,"mmmm")</f>
        <v>October</v>
      </c>
      <c r="S40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64" s="210"/>
      <c r="U4064" s="43">
        <f>IF(Planning[[#This Row],[Horas Planificadas]]&lt;&gt;0,+K4064/Planning[[#This Row],[Horas Planificadas]],0)</f>
        <v>0</v>
      </c>
      <c r="V4064" s="43">
        <f>IF(Planning[[#This Row],[Horas Planificadas]]&lt;&gt;0,Planning[[#This Row],[Horas utilizadas]]/Planning[[#This Row],[Horas Planificadas]],0)</f>
        <v>0</v>
      </c>
      <c r="W4064" s="44">
        <f>Planning[[#This Row],[Horas Planificadas]]+Planning[[#This Row],[Horas ajustadas adicionales]]</f>
        <v>10</v>
      </c>
      <c r="X4064" s="142"/>
    </row>
    <row r="4065" spans="1:24" x14ac:dyDescent="0.2">
      <c r="A4065" s="7" t="s">
        <v>435</v>
      </c>
      <c r="B4065" s="7" t="s">
        <v>178</v>
      </c>
      <c r="C4065" s="3"/>
      <c r="D4065" s="3" t="s">
        <v>710</v>
      </c>
      <c r="E4065" s="4"/>
      <c r="F4065" s="3" t="s">
        <v>130</v>
      </c>
      <c r="G4065" s="9">
        <v>20</v>
      </c>
      <c r="H4065" s="9">
        <v>20</v>
      </c>
      <c r="I4065" s="12"/>
      <c r="J4065" s="5" t="e">
        <f>SUM(SUMIFS(#REF!,#REF!,Planning[[#This Row],[Tipo de Tarea y especialidad]],#REF!,Planning[[#This Row],[Proyectos Reiwa]]),SUMIFS(#REF!,#REF!,Planning[[#This Row],[Tipo de Tarea y especialidad]],#REF!,Planning[[#This Row],[Proyectos]]))</f>
        <v>#REF!</v>
      </c>
      <c r="K4065" s="5" t="e">
        <f>+Planning[[#This Row],[Horas Planificadas]]+Planning[[#This Row],[Horas ajustadas adicionales]]-Planning[[#This Row],[Horas utilizadas]]</f>
        <v>#REF!</v>
      </c>
      <c r="L4065" s="7">
        <v>0</v>
      </c>
      <c r="M4065" s="19" t="e">
        <f>Planning[[#This Row],[Saldo]]-Planning[[#This Row],[Saldo estimado]]</f>
        <v>#REF!</v>
      </c>
      <c r="N4065" s="60" t="e">
        <f>+SUMIFS(#REF!,#REF!,Planning[[#This Row],[Proyectos]],#REF!,Planning[[#This Row],[Tipo de Tarea y especialidad]])</f>
        <v>#REF!</v>
      </c>
      <c r="O4065" s="19">
        <f t="shared" si="126"/>
        <v>10</v>
      </c>
      <c r="P4065" s="19">
        <f t="shared" si="127"/>
        <v>2024</v>
      </c>
      <c r="Q40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65" s="19" t="str">
        <f>TEXT(Planning[[#This Row],[Mes]]*29,"mmmm")</f>
        <v>October</v>
      </c>
      <c r="S40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65" s="210"/>
      <c r="U4065" s="43" t="e">
        <f>IF(Planning[[#This Row],[Horas Planificadas]]&lt;&gt;0,+K4065/Planning[[#This Row],[Horas Planificadas]],0)</f>
        <v>#REF!</v>
      </c>
      <c r="V4065" s="43" t="e">
        <f>IF(Planning[[#This Row],[Horas Planificadas]]&lt;&gt;0,Planning[[#This Row],[Horas utilizadas]]/Planning[[#This Row],[Horas Planificadas]],0)</f>
        <v>#REF!</v>
      </c>
      <c r="W4065" s="44">
        <f>Planning[[#This Row],[Horas Planificadas]]+Planning[[#This Row],[Horas ajustadas adicionales]]</f>
        <v>20</v>
      </c>
      <c r="X4065" s="142"/>
    </row>
    <row r="4066" spans="1:24" x14ac:dyDescent="0.2">
      <c r="A4066" s="7" t="s">
        <v>435</v>
      </c>
      <c r="B4066" s="7" t="s">
        <v>178</v>
      </c>
      <c r="C4066" s="3"/>
      <c r="D4066" s="3" t="s">
        <v>710</v>
      </c>
      <c r="E4066" s="4"/>
      <c r="F4066" s="3" t="s">
        <v>131</v>
      </c>
      <c r="G4066" s="9">
        <v>0</v>
      </c>
      <c r="H4066" s="9">
        <v>0</v>
      </c>
      <c r="I4066" s="12"/>
      <c r="J4066" s="5" t="e">
        <f>SUM(SUMIFS(#REF!,#REF!,Planning[[#This Row],[Tipo de Tarea y especialidad]],#REF!,Planning[[#This Row],[Proyectos Reiwa]]),SUMIFS(#REF!,#REF!,Planning[[#This Row],[Tipo de Tarea y especialidad]],#REF!,Planning[[#This Row],[Proyectos]]))</f>
        <v>#REF!</v>
      </c>
      <c r="K4066" s="5" t="e">
        <f>+Planning[[#This Row],[Horas Planificadas]]+Planning[[#This Row],[Horas ajustadas adicionales]]-Planning[[#This Row],[Horas utilizadas]]</f>
        <v>#REF!</v>
      </c>
      <c r="L4066" s="7">
        <v>0</v>
      </c>
      <c r="M4066" s="19" t="e">
        <f>Planning[[#This Row],[Saldo]]-Planning[[#This Row],[Saldo estimado]]</f>
        <v>#REF!</v>
      </c>
      <c r="N4066" s="60" t="e">
        <f>+SUMIFS(#REF!,#REF!,Planning[[#This Row],[Proyectos]],#REF!,Planning[[#This Row],[Tipo de Tarea y especialidad]])</f>
        <v>#REF!</v>
      </c>
      <c r="O4066" s="19">
        <f t="shared" si="126"/>
        <v>10</v>
      </c>
      <c r="P4066" s="19">
        <f t="shared" si="127"/>
        <v>2024</v>
      </c>
      <c r="Q40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66" s="19" t="str">
        <f>TEXT(Planning[[#This Row],[Mes]]*29,"mmmm")</f>
        <v>October</v>
      </c>
      <c r="S40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66" s="210"/>
      <c r="U4066" s="43">
        <f>IF(Planning[[#This Row],[Horas Planificadas]]&lt;&gt;0,+K4066/Planning[[#This Row],[Horas Planificadas]],0)</f>
        <v>0</v>
      </c>
      <c r="V4066" s="43">
        <f>IF(Planning[[#This Row],[Horas Planificadas]]&lt;&gt;0,Planning[[#This Row],[Horas utilizadas]]/Planning[[#This Row],[Horas Planificadas]],0)</f>
        <v>0</v>
      </c>
      <c r="W4066" s="44">
        <f>Planning[[#This Row],[Horas Planificadas]]+Planning[[#This Row],[Horas ajustadas adicionales]]</f>
        <v>0</v>
      </c>
      <c r="X4066" s="142"/>
    </row>
    <row r="4067" spans="1:24" ht="22.5" x14ac:dyDescent="0.2">
      <c r="A4067" s="7" t="s">
        <v>294</v>
      </c>
      <c r="B4067" s="7" t="s">
        <v>205</v>
      </c>
      <c r="C4067" s="3"/>
      <c r="D4067" s="3" t="s">
        <v>712</v>
      </c>
      <c r="E4067" s="4" t="s">
        <v>28</v>
      </c>
      <c r="F4067" s="3"/>
      <c r="G4067" s="9">
        <v>0</v>
      </c>
      <c r="H4067" s="14">
        <f>SUM(H4068:H4069)</f>
        <v>0</v>
      </c>
      <c r="I4067" s="14"/>
      <c r="J4067" s="14" t="e">
        <f>SUM(J4068:J4069)</f>
        <v>#REF!</v>
      </c>
      <c r="K4067" s="14" t="e">
        <f>+Planning[[#This Row],[Horas Planificadas]]+Planning[[#This Row],[Horas ajustadas adicionales]]-Planning[[#This Row],[Horas utilizadas]]</f>
        <v>#REF!</v>
      </c>
      <c r="L4067" s="15">
        <f>SUM(L4068:L4069)</f>
        <v>0</v>
      </c>
      <c r="M4067" s="14" t="e">
        <f>SUM(M4068:M4069)</f>
        <v>#REF!</v>
      </c>
      <c r="N4067" s="66" t="e">
        <f>+SUMIFS(#REF!,#REF!,Planning[[#This Row],[Proyectos]],#REF!,Planning[[#This Row],[Tipo de Tarea y especialidad]])</f>
        <v>#REF!</v>
      </c>
      <c r="O4067" s="14">
        <f t="shared" si="126"/>
        <v>10</v>
      </c>
      <c r="P4067" s="14">
        <f t="shared" si="127"/>
        <v>2024</v>
      </c>
      <c r="Q4067" s="28" t="e">
        <f>SUM(Q4068:Q4069)</f>
        <v>#REF!</v>
      </c>
      <c r="R4067" s="28" t="str">
        <f>TEXT(Planning[[#This Row],[Mes]]*29,"mmmm")</f>
        <v>October</v>
      </c>
      <c r="S40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67" s="220" t="s">
        <v>713</v>
      </c>
      <c r="U4067" s="43">
        <f>IF(Planning[[#This Row],[Horas Planificadas]]&lt;&gt;0,+K4067/Planning[[#This Row],[Horas Planificadas]],0)</f>
        <v>0</v>
      </c>
      <c r="V4067" s="43">
        <f>IF(Planning[[#This Row],[Horas Planificadas]]&lt;&gt;0,Planning[[#This Row],[Horas utilizadas]]/Planning[[#This Row],[Horas Planificadas]],0)</f>
        <v>0</v>
      </c>
      <c r="W4067" s="44">
        <f>Planning[[#This Row],[Horas Planificadas]]+Planning[[#This Row],[Horas ajustadas adicionales]]</f>
        <v>0</v>
      </c>
      <c r="X4067" s="142"/>
    </row>
    <row r="4068" spans="1:24" x14ac:dyDescent="0.2">
      <c r="A4068" s="7" t="s">
        <v>294</v>
      </c>
      <c r="B4068" s="7" t="s">
        <v>205</v>
      </c>
      <c r="C4068" s="3"/>
      <c r="D4068" s="3" t="s">
        <v>712</v>
      </c>
      <c r="E4068" s="4"/>
      <c r="F4068" s="3" t="s">
        <v>120</v>
      </c>
      <c r="G4068" s="9">
        <v>0</v>
      </c>
      <c r="H4068" s="9">
        <v>0</v>
      </c>
      <c r="I4068" s="12"/>
      <c r="J4068" s="5" t="e">
        <f>SUM(SUMIFS(#REF!,#REF!,Planning[[#This Row],[Tipo de Tarea y especialidad]],#REF!,Planning[[#This Row],[Proyectos Reiwa]]),SUMIFS(#REF!,#REF!,Planning[[#This Row],[Tipo de Tarea y especialidad]],#REF!,Planning[[#This Row],[Proyectos]]))</f>
        <v>#REF!</v>
      </c>
      <c r="K4068" s="5" t="e">
        <f>+Planning[[#This Row],[Horas Planificadas]]+Planning[[#This Row],[Horas ajustadas adicionales]]-Planning[[#This Row],[Horas utilizadas]]</f>
        <v>#REF!</v>
      </c>
      <c r="L4068" s="7">
        <v>0</v>
      </c>
      <c r="M4068" s="19" t="e">
        <f>Planning[[#This Row],[Saldo]]-Planning[[#This Row],[Saldo estimado]]</f>
        <v>#REF!</v>
      </c>
      <c r="N4068" s="60" t="e">
        <f>+SUMIFS(#REF!,#REF!,Planning[[#This Row],[Proyectos]],#REF!,Planning[[#This Row],[Tipo de Tarea y especialidad]])</f>
        <v>#REF!</v>
      </c>
      <c r="O4068" s="19">
        <f t="shared" si="126"/>
        <v>10</v>
      </c>
      <c r="P4068" s="19">
        <f t="shared" si="127"/>
        <v>2024</v>
      </c>
      <c r="Q40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68" s="19" t="str">
        <f>TEXT(Planning[[#This Row],[Mes]]*29,"mmmm")</f>
        <v>October</v>
      </c>
      <c r="S40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68" s="210"/>
      <c r="U4068" s="43">
        <f>IF(Planning[[#This Row],[Horas Planificadas]]&lt;&gt;0,+K4068/Planning[[#This Row],[Horas Planificadas]],0)</f>
        <v>0</v>
      </c>
      <c r="V4068" s="43">
        <f>IF(Planning[[#This Row],[Horas Planificadas]]&lt;&gt;0,Planning[[#This Row],[Horas utilizadas]]/Planning[[#This Row],[Horas Planificadas]],0)</f>
        <v>0</v>
      </c>
      <c r="W4068" s="44">
        <f>Planning[[#This Row],[Horas Planificadas]]+Planning[[#This Row],[Horas ajustadas adicionales]]</f>
        <v>0</v>
      </c>
      <c r="X4068" s="142"/>
    </row>
    <row r="4069" spans="1:24" x14ac:dyDescent="0.2">
      <c r="A4069" s="7" t="s">
        <v>294</v>
      </c>
      <c r="B4069" s="7" t="s">
        <v>205</v>
      </c>
      <c r="C4069" s="3"/>
      <c r="D4069" s="3" t="s">
        <v>712</v>
      </c>
      <c r="E4069" s="4"/>
      <c r="F4069" s="3" t="s">
        <v>121</v>
      </c>
      <c r="G4069" s="9">
        <v>0</v>
      </c>
      <c r="H4069" s="9">
        <v>0</v>
      </c>
      <c r="I4069" s="12"/>
      <c r="J4069" s="5" t="e">
        <f>SUM(SUMIFS(#REF!,#REF!,Planning[[#This Row],[Tipo de Tarea y especialidad]],#REF!,Planning[[#This Row],[Proyectos Reiwa]]),SUMIFS(#REF!,#REF!,Planning[[#This Row],[Tipo de Tarea y especialidad]],#REF!,Planning[[#This Row],[Proyectos]]))</f>
        <v>#REF!</v>
      </c>
      <c r="K4069" s="5" t="e">
        <f>+Planning[[#This Row],[Horas Planificadas]]+Planning[[#This Row],[Horas ajustadas adicionales]]-Planning[[#This Row],[Horas utilizadas]]</f>
        <v>#REF!</v>
      </c>
      <c r="L4069" s="7">
        <v>0</v>
      </c>
      <c r="M4069" s="19" t="e">
        <f>Planning[[#This Row],[Saldo]]-Planning[[#This Row],[Saldo estimado]]</f>
        <v>#REF!</v>
      </c>
      <c r="N4069" s="60" t="e">
        <f>+SUMIFS(#REF!,#REF!,Planning[[#This Row],[Proyectos]],#REF!,Planning[[#This Row],[Tipo de Tarea y especialidad]])</f>
        <v>#REF!</v>
      </c>
      <c r="O4069" s="19">
        <f t="shared" si="126"/>
        <v>10</v>
      </c>
      <c r="P4069" s="19">
        <f t="shared" si="127"/>
        <v>2024</v>
      </c>
      <c r="Q40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69" s="19" t="str">
        <f>TEXT(Planning[[#This Row],[Mes]]*29,"mmmm")</f>
        <v>October</v>
      </c>
      <c r="S40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69" s="210"/>
      <c r="U4069" s="43">
        <f>IF(Planning[[#This Row],[Horas Planificadas]]&lt;&gt;0,+K4069/Planning[[#This Row],[Horas Planificadas]],0)</f>
        <v>0</v>
      </c>
      <c r="V4069" s="43">
        <f>IF(Planning[[#This Row],[Horas Planificadas]]&lt;&gt;0,Planning[[#This Row],[Horas utilizadas]]/Planning[[#This Row],[Horas Planificadas]],0)</f>
        <v>0</v>
      </c>
      <c r="W4069" s="44">
        <f>Planning[[#This Row],[Horas Planificadas]]+Planning[[#This Row],[Horas ajustadas adicionales]]</f>
        <v>0</v>
      </c>
      <c r="X4069" s="142"/>
    </row>
    <row r="4070" spans="1:24" x14ac:dyDescent="0.2">
      <c r="A4070" s="7" t="s">
        <v>294</v>
      </c>
      <c r="B4070" s="7" t="s">
        <v>205</v>
      </c>
      <c r="C4070" s="3"/>
      <c r="D4070" s="3" t="s">
        <v>712</v>
      </c>
      <c r="E4070" s="4" t="s">
        <v>30</v>
      </c>
      <c r="F4070" s="3"/>
      <c r="G4070" s="9">
        <v>9</v>
      </c>
      <c r="H4070" s="14">
        <f>SUM(H4071:H4077)</f>
        <v>9</v>
      </c>
      <c r="I4070" s="14"/>
      <c r="J4070" s="14" t="e">
        <f>SUM(J4071:J4077)</f>
        <v>#REF!</v>
      </c>
      <c r="K4070" s="14" t="e">
        <f>+Planning[[#This Row],[Horas Planificadas]]+Planning[[#This Row],[Horas ajustadas adicionales]]-Planning[[#This Row],[Horas utilizadas]]</f>
        <v>#REF!</v>
      </c>
      <c r="L4070" s="15" t="e">
        <f>SUM(L4071:L4077)</f>
        <v>#REF!</v>
      </c>
      <c r="M4070" s="16" t="e">
        <f>SUM(M4071:M4077)</f>
        <v>#REF!</v>
      </c>
      <c r="N4070" s="60" t="e">
        <f>+SUMIFS(#REF!,#REF!,Planning[[#This Row],[Proyectos]],#REF!,Planning[[#This Row],[Tipo de Tarea y especialidad]])</f>
        <v>#REF!</v>
      </c>
      <c r="O4070" s="16">
        <f t="shared" si="126"/>
        <v>10</v>
      </c>
      <c r="P4070" s="16">
        <f t="shared" si="127"/>
        <v>2024</v>
      </c>
      <c r="Q4070" s="16" t="e">
        <f>SUM(Q4071:Q4077)</f>
        <v>#REF!</v>
      </c>
      <c r="R4070" s="16" t="str">
        <f>TEXT(Planning[[#This Row],[Mes]]*29,"mmmm")</f>
        <v>October</v>
      </c>
      <c r="S40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70" s="210"/>
      <c r="U4070" s="43" t="e">
        <f>IF(Planning[[#This Row],[Horas Planificadas]]&lt;&gt;0,+K4070/Planning[[#This Row],[Horas Planificadas]],0)</f>
        <v>#REF!</v>
      </c>
      <c r="V4070" s="43" t="e">
        <f>IF(Planning[[#This Row],[Horas Planificadas]]&lt;&gt;0,Planning[[#This Row],[Horas utilizadas]]/Planning[[#This Row],[Horas Planificadas]],0)</f>
        <v>#REF!</v>
      </c>
      <c r="W4070" s="44">
        <f>Planning[[#This Row],[Horas Planificadas]]+Planning[[#This Row],[Horas ajustadas adicionales]]</f>
        <v>9</v>
      </c>
      <c r="X4070" s="142"/>
    </row>
    <row r="4071" spans="1:24" x14ac:dyDescent="0.2">
      <c r="A4071" s="7" t="s">
        <v>294</v>
      </c>
      <c r="B4071" s="7" t="s">
        <v>205</v>
      </c>
      <c r="C4071" s="3"/>
      <c r="D4071" s="3" t="s">
        <v>712</v>
      </c>
      <c r="E4071" s="4"/>
      <c r="F4071" s="3" t="s">
        <v>122</v>
      </c>
      <c r="G4071" s="9">
        <v>0</v>
      </c>
      <c r="H4071" s="9">
        <v>0</v>
      </c>
      <c r="I4071" s="12"/>
      <c r="J4071" s="5" t="e">
        <f>SUM(SUMIFS(#REF!,#REF!,Planning[[#This Row],[Tipo de Tarea y especialidad]],#REF!,Planning[[#This Row],[Proyectos Reiwa]]),SUMIFS(#REF!,#REF!,Planning[[#This Row],[Tipo de Tarea y especialidad]],#REF!,Planning[[#This Row],[Proyectos]]))</f>
        <v>#REF!</v>
      </c>
      <c r="K4071" s="5" t="e">
        <f>+Planning[[#This Row],[Horas Planificadas]]+Planning[[#This Row],[Horas ajustadas adicionales]]-Planning[[#This Row],[Horas utilizadas]]</f>
        <v>#REF!</v>
      </c>
      <c r="L4071" s="7">
        <v>0</v>
      </c>
      <c r="M4071" s="19" t="e">
        <f>Planning[[#This Row],[Saldo]]-Planning[[#This Row],[Saldo estimado]]</f>
        <v>#REF!</v>
      </c>
      <c r="N4071" s="60" t="e">
        <f>+SUMIFS(#REF!,#REF!,Planning[[#This Row],[Proyectos]],#REF!,Planning[[#This Row],[Tipo de Tarea y especialidad]])</f>
        <v>#REF!</v>
      </c>
      <c r="O4071" s="19">
        <f t="shared" si="126"/>
        <v>10</v>
      </c>
      <c r="P4071" s="19">
        <f t="shared" si="127"/>
        <v>2024</v>
      </c>
      <c r="Q40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71" s="19" t="str">
        <f>TEXT(Planning[[#This Row],[Mes]]*29,"mmmm")</f>
        <v>October</v>
      </c>
      <c r="S40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71" s="210"/>
      <c r="U4071" s="43">
        <f>IF(Planning[[#This Row],[Horas Planificadas]]&lt;&gt;0,+K4071/Planning[[#This Row],[Horas Planificadas]],0)</f>
        <v>0</v>
      </c>
      <c r="V4071" s="43">
        <f>IF(Planning[[#This Row],[Horas Planificadas]]&lt;&gt;0,Planning[[#This Row],[Horas utilizadas]]/Planning[[#This Row],[Horas Planificadas]],0)</f>
        <v>0</v>
      </c>
      <c r="W4071" s="44">
        <f>Planning[[#This Row],[Horas Planificadas]]+Planning[[#This Row],[Horas ajustadas adicionales]]</f>
        <v>0</v>
      </c>
      <c r="X4071" s="142"/>
    </row>
    <row r="4072" spans="1:24" x14ac:dyDescent="0.2">
      <c r="A4072" s="7" t="s">
        <v>294</v>
      </c>
      <c r="B4072" s="7" t="s">
        <v>205</v>
      </c>
      <c r="C4072" s="3"/>
      <c r="D4072" s="3" t="s">
        <v>712</v>
      </c>
      <c r="E4072" s="4"/>
      <c r="F4072" s="3" t="s">
        <v>123</v>
      </c>
      <c r="G4072" s="9">
        <v>0</v>
      </c>
      <c r="H4072" s="9">
        <v>0</v>
      </c>
      <c r="I4072" s="12"/>
      <c r="J4072" s="5" t="e">
        <f>SUM(SUMIFS(#REF!,#REF!,Planning[[#This Row],[Tipo de Tarea y especialidad]],#REF!,Planning[[#This Row],[Proyectos Reiwa]]),SUMIFS(#REF!,#REF!,Planning[[#This Row],[Tipo de Tarea y especialidad]],#REF!,Planning[[#This Row],[Proyectos]]))</f>
        <v>#REF!</v>
      </c>
      <c r="K4072" s="5" t="e">
        <f>+Planning[[#This Row],[Horas Planificadas]]+Planning[[#This Row],[Horas ajustadas adicionales]]-Planning[[#This Row],[Horas utilizadas]]</f>
        <v>#REF!</v>
      </c>
      <c r="L4072" s="7">
        <v>0</v>
      </c>
      <c r="M4072" s="19" t="e">
        <f>Planning[[#This Row],[Saldo]]-Planning[[#This Row],[Saldo estimado]]</f>
        <v>#REF!</v>
      </c>
      <c r="N4072" s="60" t="e">
        <f>+SUMIFS(#REF!,#REF!,Planning[[#This Row],[Proyectos]],#REF!,Planning[[#This Row],[Tipo de Tarea y especialidad]])</f>
        <v>#REF!</v>
      </c>
      <c r="O4072" s="19">
        <f t="shared" si="126"/>
        <v>10</v>
      </c>
      <c r="P4072" s="19">
        <f t="shared" si="127"/>
        <v>2024</v>
      </c>
      <c r="Q40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72" s="19" t="str">
        <f>TEXT(Planning[[#This Row],[Mes]]*29,"mmmm")</f>
        <v>October</v>
      </c>
      <c r="S40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72" s="210"/>
      <c r="U4072" s="43">
        <f>IF(Planning[[#This Row],[Horas Planificadas]]&lt;&gt;0,+K4072/Planning[[#This Row],[Horas Planificadas]],0)</f>
        <v>0</v>
      </c>
      <c r="V4072" s="43">
        <f>IF(Planning[[#This Row],[Horas Planificadas]]&lt;&gt;0,Planning[[#This Row],[Horas utilizadas]]/Planning[[#This Row],[Horas Planificadas]],0)</f>
        <v>0</v>
      </c>
      <c r="W4072" s="44">
        <f>Planning[[#This Row],[Horas Planificadas]]+Planning[[#This Row],[Horas ajustadas adicionales]]</f>
        <v>0</v>
      </c>
      <c r="X4072" s="142"/>
    </row>
    <row r="4073" spans="1:24" x14ac:dyDescent="0.2">
      <c r="A4073" s="7" t="s">
        <v>294</v>
      </c>
      <c r="B4073" s="7" t="s">
        <v>205</v>
      </c>
      <c r="C4073" s="3"/>
      <c r="D4073" s="3" t="s">
        <v>712</v>
      </c>
      <c r="E4073" s="4"/>
      <c r="F4073" s="3" t="s">
        <v>124</v>
      </c>
      <c r="G4073" s="9">
        <v>0</v>
      </c>
      <c r="H4073" s="9">
        <v>0</v>
      </c>
      <c r="I4073" s="12"/>
      <c r="J4073" s="5" t="e">
        <f>SUM(SUMIFS(#REF!,#REF!,Planning[[#This Row],[Tipo de Tarea y especialidad]],#REF!,Planning[[#This Row],[Proyectos Reiwa]]),SUMIFS(#REF!,#REF!,Planning[[#This Row],[Tipo de Tarea y especialidad]],#REF!,Planning[[#This Row],[Proyectos]]))</f>
        <v>#REF!</v>
      </c>
      <c r="K4073" s="5" t="e">
        <f>+Planning[[#This Row],[Horas Planificadas]]+Planning[[#This Row],[Horas ajustadas adicionales]]-Planning[[#This Row],[Horas utilizadas]]</f>
        <v>#REF!</v>
      </c>
      <c r="L4073" s="7">
        <v>0</v>
      </c>
      <c r="M4073" s="19" t="e">
        <f>Planning[[#This Row],[Saldo]]-Planning[[#This Row],[Saldo estimado]]</f>
        <v>#REF!</v>
      </c>
      <c r="N4073" s="60" t="e">
        <f>+SUMIFS(#REF!,#REF!,Planning[[#This Row],[Proyectos]],#REF!,Planning[[#This Row],[Tipo de Tarea y especialidad]])</f>
        <v>#REF!</v>
      </c>
      <c r="O4073" s="19">
        <f t="shared" si="126"/>
        <v>10</v>
      </c>
      <c r="P4073" s="19">
        <f t="shared" si="127"/>
        <v>2024</v>
      </c>
      <c r="Q40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73" s="19" t="str">
        <f>TEXT(Planning[[#This Row],[Mes]]*29,"mmmm")</f>
        <v>October</v>
      </c>
      <c r="S40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73" s="210"/>
      <c r="U4073" s="43">
        <f>IF(Planning[[#This Row],[Horas Planificadas]]&lt;&gt;0,+K4073/Planning[[#This Row],[Horas Planificadas]],0)</f>
        <v>0</v>
      </c>
      <c r="V4073" s="43">
        <f>IF(Planning[[#This Row],[Horas Planificadas]]&lt;&gt;0,Planning[[#This Row],[Horas utilizadas]]/Planning[[#This Row],[Horas Planificadas]],0)</f>
        <v>0</v>
      </c>
      <c r="W4073" s="44">
        <f>Planning[[#This Row],[Horas Planificadas]]+Planning[[#This Row],[Horas ajustadas adicionales]]</f>
        <v>0</v>
      </c>
      <c r="X4073" s="142"/>
    </row>
    <row r="4074" spans="1:24" x14ac:dyDescent="0.2">
      <c r="A4074" s="7" t="s">
        <v>294</v>
      </c>
      <c r="B4074" s="7" t="s">
        <v>205</v>
      </c>
      <c r="C4074" s="3"/>
      <c r="D4074" s="3" t="s">
        <v>712</v>
      </c>
      <c r="E4074" s="4"/>
      <c r="F4074" s="3" t="s">
        <v>125</v>
      </c>
      <c r="G4074" s="9">
        <v>9</v>
      </c>
      <c r="H4074" s="9">
        <v>9</v>
      </c>
      <c r="I4074" s="12"/>
      <c r="J4074" s="5" t="e">
        <f>SUM(SUMIFS(#REF!,#REF!,Planning[[#This Row],[Tipo de Tarea y especialidad]],#REF!,Planning[[#This Row],[Proyectos Reiwa]]),SUMIFS(#REF!,#REF!,Planning[[#This Row],[Tipo de Tarea y especialidad]],#REF!,Planning[[#This Row],[Proyectos]]))</f>
        <v>#REF!</v>
      </c>
      <c r="K4074" s="5" t="e">
        <f>+Planning[[#This Row],[Horas Planificadas]]+Planning[[#This Row],[Horas ajustadas adicionales]]-Planning[[#This Row],[Horas utilizadas]]</f>
        <v>#REF!</v>
      </c>
      <c r="L4074" s="7" t="e">
        <f>Planning[[#This Row],[Saldo]]</f>
        <v>#REF!</v>
      </c>
      <c r="M4074" s="19" t="e">
        <f>Planning[[#This Row],[Saldo]]-Planning[[#This Row],[Saldo estimado]]</f>
        <v>#REF!</v>
      </c>
      <c r="N4074" s="60" t="e">
        <f>+SUMIFS(#REF!,#REF!,Planning[[#This Row],[Proyectos]],#REF!,Planning[[#This Row],[Tipo de Tarea y especialidad]])</f>
        <v>#REF!</v>
      </c>
      <c r="O4074" s="19">
        <f t="shared" si="126"/>
        <v>10</v>
      </c>
      <c r="P4074" s="19">
        <f t="shared" si="127"/>
        <v>2024</v>
      </c>
      <c r="Q40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74" s="19" t="str">
        <f>TEXT(Planning[[#This Row],[Mes]]*29,"mmmm")</f>
        <v>October</v>
      </c>
      <c r="S40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74" s="210"/>
      <c r="U4074" s="43" t="e">
        <f>IF(Planning[[#This Row],[Horas Planificadas]]&lt;&gt;0,+K4074/Planning[[#This Row],[Horas Planificadas]],0)</f>
        <v>#REF!</v>
      </c>
      <c r="V4074" s="43" t="e">
        <f>IF(Planning[[#This Row],[Horas Planificadas]]&lt;&gt;0,Planning[[#This Row],[Horas utilizadas]]/Planning[[#This Row],[Horas Planificadas]],0)</f>
        <v>#REF!</v>
      </c>
      <c r="W4074" s="44">
        <f>Planning[[#This Row],[Horas Planificadas]]+Planning[[#This Row],[Horas ajustadas adicionales]]</f>
        <v>9</v>
      </c>
      <c r="X4074" s="142"/>
    </row>
    <row r="4075" spans="1:24" x14ac:dyDescent="0.2">
      <c r="A4075" s="7" t="s">
        <v>294</v>
      </c>
      <c r="B4075" s="7" t="s">
        <v>205</v>
      </c>
      <c r="C4075" s="3"/>
      <c r="D4075" s="3" t="s">
        <v>712</v>
      </c>
      <c r="E4075" s="4"/>
      <c r="F4075" s="3" t="s">
        <v>126</v>
      </c>
      <c r="G4075" s="9">
        <v>0</v>
      </c>
      <c r="H4075" s="9">
        <v>0</v>
      </c>
      <c r="I4075" s="12"/>
      <c r="J4075" s="5" t="e">
        <f>SUM(SUMIFS(#REF!,#REF!,Planning[[#This Row],[Tipo de Tarea y especialidad]],#REF!,Planning[[#This Row],[Proyectos Reiwa]]),SUMIFS(#REF!,#REF!,Planning[[#This Row],[Tipo de Tarea y especialidad]],#REF!,Planning[[#This Row],[Proyectos]]))</f>
        <v>#REF!</v>
      </c>
      <c r="K4075" s="5" t="e">
        <f>+Planning[[#This Row],[Horas Planificadas]]+Planning[[#This Row],[Horas ajustadas adicionales]]-Planning[[#This Row],[Horas utilizadas]]</f>
        <v>#REF!</v>
      </c>
      <c r="L4075" s="7">
        <v>0</v>
      </c>
      <c r="M4075" s="19" t="e">
        <f>Planning[[#This Row],[Saldo]]-Planning[[#This Row],[Saldo estimado]]</f>
        <v>#REF!</v>
      </c>
      <c r="N4075" s="60" t="e">
        <f>+SUMIFS(#REF!,#REF!,Planning[[#This Row],[Proyectos]],#REF!,Planning[[#This Row],[Tipo de Tarea y especialidad]])</f>
        <v>#REF!</v>
      </c>
      <c r="O4075" s="19">
        <f t="shared" si="126"/>
        <v>10</v>
      </c>
      <c r="P4075" s="19">
        <f t="shared" si="127"/>
        <v>2024</v>
      </c>
      <c r="Q40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75" s="19" t="str">
        <f>TEXT(Planning[[#This Row],[Mes]]*29,"mmmm")</f>
        <v>October</v>
      </c>
      <c r="S40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75" s="210"/>
      <c r="U4075" s="43">
        <f>IF(Planning[[#This Row],[Horas Planificadas]]&lt;&gt;0,+K4075/Planning[[#This Row],[Horas Planificadas]],0)</f>
        <v>0</v>
      </c>
      <c r="V4075" s="43">
        <f>IF(Planning[[#This Row],[Horas Planificadas]]&lt;&gt;0,Planning[[#This Row],[Horas utilizadas]]/Planning[[#This Row],[Horas Planificadas]],0)</f>
        <v>0</v>
      </c>
      <c r="W4075" s="44">
        <f>Planning[[#This Row],[Horas Planificadas]]+Planning[[#This Row],[Horas ajustadas adicionales]]</f>
        <v>0</v>
      </c>
      <c r="X4075" s="142"/>
    </row>
    <row r="4076" spans="1:24" x14ac:dyDescent="0.2">
      <c r="A4076" s="7" t="s">
        <v>294</v>
      </c>
      <c r="B4076" s="7" t="s">
        <v>205</v>
      </c>
      <c r="C4076" s="3"/>
      <c r="D4076" s="3" t="s">
        <v>712</v>
      </c>
      <c r="E4076" s="4"/>
      <c r="F4076" s="3" t="s">
        <v>127</v>
      </c>
      <c r="G4076" s="9">
        <v>0</v>
      </c>
      <c r="H4076" s="9">
        <v>0</v>
      </c>
      <c r="I4076" s="12"/>
      <c r="J4076" s="5" t="e">
        <f>SUM(SUMIFS(#REF!,#REF!,Planning[[#This Row],[Tipo de Tarea y especialidad]],#REF!,Planning[[#This Row],[Proyectos Reiwa]]),SUMIFS(#REF!,#REF!,Planning[[#This Row],[Tipo de Tarea y especialidad]],#REF!,Planning[[#This Row],[Proyectos]]))</f>
        <v>#REF!</v>
      </c>
      <c r="K4076" s="5" t="e">
        <f>+Planning[[#This Row],[Horas Planificadas]]+Planning[[#This Row],[Horas ajustadas adicionales]]-Planning[[#This Row],[Horas utilizadas]]</f>
        <v>#REF!</v>
      </c>
      <c r="L4076" s="7">
        <v>0</v>
      </c>
      <c r="M4076" s="19" t="e">
        <f>Planning[[#This Row],[Saldo]]-Planning[[#This Row],[Saldo estimado]]</f>
        <v>#REF!</v>
      </c>
      <c r="N4076" s="60" t="e">
        <f>+SUMIFS(#REF!,#REF!,Planning[[#This Row],[Proyectos]],#REF!,Planning[[#This Row],[Tipo de Tarea y especialidad]])</f>
        <v>#REF!</v>
      </c>
      <c r="O4076" s="19">
        <f t="shared" si="126"/>
        <v>10</v>
      </c>
      <c r="P4076" s="19">
        <f t="shared" si="127"/>
        <v>2024</v>
      </c>
      <c r="Q40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76" s="19" t="str">
        <f>TEXT(Planning[[#This Row],[Mes]]*29,"mmmm")</f>
        <v>October</v>
      </c>
      <c r="S40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76" s="210"/>
      <c r="U4076" s="43">
        <f>IF(Planning[[#This Row],[Horas Planificadas]]&lt;&gt;0,+K4076/Planning[[#This Row],[Horas Planificadas]],0)</f>
        <v>0</v>
      </c>
      <c r="V4076" s="43">
        <f>IF(Planning[[#This Row],[Horas Planificadas]]&lt;&gt;0,Planning[[#This Row],[Horas utilizadas]]/Planning[[#This Row],[Horas Planificadas]],0)</f>
        <v>0</v>
      </c>
      <c r="W4076" s="44">
        <f>Planning[[#This Row],[Horas Planificadas]]+Planning[[#This Row],[Horas ajustadas adicionales]]</f>
        <v>0</v>
      </c>
      <c r="X4076" s="142"/>
    </row>
    <row r="4077" spans="1:24" x14ac:dyDescent="0.2">
      <c r="A4077" s="7" t="s">
        <v>294</v>
      </c>
      <c r="B4077" s="7" t="s">
        <v>205</v>
      </c>
      <c r="C4077" s="3"/>
      <c r="D4077" s="3" t="s">
        <v>712</v>
      </c>
      <c r="E4077" s="4"/>
      <c r="F4077" s="3" t="s">
        <v>128</v>
      </c>
      <c r="G4077" s="9">
        <v>0</v>
      </c>
      <c r="H4077" s="9">
        <v>0</v>
      </c>
      <c r="I4077" s="12"/>
      <c r="J4077" s="5" t="e">
        <f>SUM(SUMIFS(#REF!,#REF!,Planning[[#This Row],[Tipo de Tarea y especialidad]],#REF!,Planning[[#This Row],[Proyectos Reiwa]]),SUMIFS(#REF!,#REF!,Planning[[#This Row],[Tipo de Tarea y especialidad]],#REF!,Planning[[#This Row],[Proyectos]]))</f>
        <v>#REF!</v>
      </c>
      <c r="K4077" s="5" t="e">
        <f>+Planning[[#This Row],[Horas Planificadas]]+Planning[[#This Row],[Horas ajustadas adicionales]]-Planning[[#This Row],[Horas utilizadas]]</f>
        <v>#REF!</v>
      </c>
      <c r="L4077" s="7">
        <v>0</v>
      </c>
      <c r="M4077" s="19" t="e">
        <f>Planning[[#This Row],[Saldo]]-Planning[[#This Row],[Saldo estimado]]</f>
        <v>#REF!</v>
      </c>
      <c r="N4077" s="60" t="e">
        <f>+SUMIFS(#REF!,#REF!,Planning[[#This Row],[Proyectos]],#REF!,Planning[[#This Row],[Tipo de Tarea y especialidad]])</f>
        <v>#REF!</v>
      </c>
      <c r="O4077" s="19">
        <f t="shared" si="126"/>
        <v>10</v>
      </c>
      <c r="P4077" s="19">
        <f t="shared" si="127"/>
        <v>2024</v>
      </c>
      <c r="Q40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77" s="19" t="str">
        <f>TEXT(Planning[[#This Row],[Mes]]*29,"mmmm")</f>
        <v>October</v>
      </c>
      <c r="S40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77" s="210"/>
      <c r="U4077" s="43">
        <f>IF(Planning[[#This Row],[Horas Planificadas]]&lt;&gt;0,+K4077/Planning[[#This Row],[Horas Planificadas]],0)</f>
        <v>0</v>
      </c>
      <c r="V4077" s="43">
        <f>IF(Planning[[#This Row],[Horas Planificadas]]&lt;&gt;0,Planning[[#This Row],[Horas utilizadas]]/Planning[[#This Row],[Horas Planificadas]],0)</f>
        <v>0</v>
      </c>
      <c r="W4077" s="44">
        <f>Planning[[#This Row],[Horas Planificadas]]+Planning[[#This Row],[Horas ajustadas adicionales]]</f>
        <v>0</v>
      </c>
      <c r="X4077" s="142"/>
    </row>
    <row r="4078" spans="1:24" x14ac:dyDescent="0.2">
      <c r="A4078" s="7" t="s">
        <v>294</v>
      </c>
      <c r="B4078" s="7" t="s">
        <v>205</v>
      </c>
      <c r="C4078" s="3"/>
      <c r="D4078" s="3" t="s">
        <v>712</v>
      </c>
      <c r="E4078" s="4" t="s">
        <v>31</v>
      </c>
      <c r="F4078" s="3" t="s">
        <v>31</v>
      </c>
      <c r="G4078" s="9">
        <v>2</v>
      </c>
      <c r="H4078" s="17">
        <f>Planning[[#This Row],[Horas Precálculo]]</f>
        <v>2</v>
      </c>
      <c r="I4078" s="18"/>
      <c r="J4078" s="14" t="e">
        <f>+SUMIFS(#REF!,#REF!,Planning[[#This Row],[Tarifa]],#REF!,Planning[[#This Row],[Proyectos]])</f>
        <v>#REF!</v>
      </c>
      <c r="K4078" s="14" t="e">
        <f>+Planning[[#This Row],[Horas Planificadas]]+Planning[[#This Row],[Horas ajustadas adicionales]]-Planning[[#This Row],[Horas utilizadas]]</f>
        <v>#REF!</v>
      </c>
      <c r="L4078" s="15" t="e">
        <f>Planning[[#This Row],[Saldo]]</f>
        <v>#REF!</v>
      </c>
      <c r="M4078" s="16" t="e">
        <f>Planning[[#This Row],[Saldo]]-Planning[[#This Row],[Saldo estimado]]</f>
        <v>#REF!</v>
      </c>
      <c r="N4078" s="60" t="e">
        <f>+SUMIFS(#REF!,#REF!,Planning[[#This Row],[Proyectos]],#REF!,Planning[[#This Row],[Tipo de Tarea y especialidad]])</f>
        <v>#REF!</v>
      </c>
      <c r="O4078" s="16">
        <f t="shared" si="126"/>
        <v>10</v>
      </c>
      <c r="P4078" s="16">
        <f t="shared" si="127"/>
        <v>2024</v>
      </c>
      <c r="Q4078" s="16" t="e">
        <f>+SUMIFS(#REF!,#REF!,Planning[[#This Row],[Tarifa]],#REF!,Planning[[#This Row],[Proyectos]],#REF!,Planning[[#This Row],[Mes]],#REF!,Planning[[#This Row],[Año]])</f>
        <v>#REF!</v>
      </c>
      <c r="R4078" s="16" t="str">
        <f>TEXT(Planning[[#This Row],[Mes]]*29,"mmmm")</f>
        <v>October</v>
      </c>
      <c r="S40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78" s="210"/>
      <c r="U4078" s="43" t="e">
        <f>IF(Planning[[#This Row],[Horas Planificadas]]&lt;&gt;0,+K4078/Planning[[#This Row],[Horas Planificadas]],0)</f>
        <v>#REF!</v>
      </c>
      <c r="V4078" s="43" t="e">
        <f>IF(Planning[[#This Row],[Horas Planificadas]]&lt;&gt;0,Planning[[#This Row],[Horas utilizadas]]/Planning[[#This Row],[Horas Planificadas]],0)</f>
        <v>#REF!</v>
      </c>
      <c r="W4078" s="44">
        <f>Planning[[#This Row],[Horas Planificadas]]+Planning[[#This Row],[Horas ajustadas adicionales]]</f>
        <v>2</v>
      </c>
      <c r="X4078" s="142"/>
    </row>
    <row r="4079" spans="1:24" ht="22.5" x14ac:dyDescent="0.2">
      <c r="A4079" s="7" t="s">
        <v>294</v>
      </c>
      <c r="B4079" s="7" t="s">
        <v>205</v>
      </c>
      <c r="C4079" s="3"/>
      <c r="D4079" s="3" t="s">
        <v>712</v>
      </c>
      <c r="E4079" s="4" t="s">
        <v>32</v>
      </c>
      <c r="F4079" s="3"/>
      <c r="G4079" s="9">
        <v>30</v>
      </c>
      <c r="H4079" s="14">
        <f>SUM(H4080:H4082)</f>
        <v>30</v>
      </c>
      <c r="I4079" s="14"/>
      <c r="J4079" s="14" t="e">
        <f>SUM(J4080:J4082)</f>
        <v>#REF!</v>
      </c>
      <c r="K4079" s="14" t="e">
        <f>+Planning[[#This Row],[Horas Planificadas]]+Planning[[#This Row],[Horas ajustadas adicionales]]-Planning[[#This Row],[Horas utilizadas]]</f>
        <v>#REF!</v>
      </c>
      <c r="L4079" s="15" t="e">
        <f>SUM(L4080:L4082)</f>
        <v>#REF!</v>
      </c>
      <c r="M4079" s="16" t="e">
        <f>SUM(M4080:M4082)</f>
        <v>#REF!</v>
      </c>
      <c r="N4079" s="60" t="e">
        <f>+SUMIFS(#REF!,#REF!,Planning[[#This Row],[Proyectos]],#REF!,Planning[[#This Row],[Tipo de Tarea y especialidad]])</f>
        <v>#REF!</v>
      </c>
      <c r="O4079" s="16">
        <f t="shared" si="126"/>
        <v>10</v>
      </c>
      <c r="P4079" s="16">
        <f t="shared" si="127"/>
        <v>2024</v>
      </c>
      <c r="Q4079" s="16" t="e">
        <f>SUM(Q4080:Q4082)</f>
        <v>#REF!</v>
      </c>
      <c r="R4079" s="16" t="str">
        <f>TEXT(Planning[[#This Row],[Mes]]*29,"mmmm")</f>
        <v>October</v>
      </c>
      <c r="S40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79" s="210"/>
      <c r="U4079" s="43" t="e">
        <f>IF(Planning[[#This Row],[Horas Planificadas]]&lt;&gt;0,+K4079/Planning[[#This Row],[Horas Planificadas]],0)</f>
        <v>#REF!</v>
      </c>
      <c r="V4079" s="43" t="e">
        <f>IF(Planning[[#This Row],[Horas Planificadas]]&lt;&gt;0,Planning[[#This Row],[Horas utilizadas]]/Planning[[#This Row],[Horas Planificadas]],0)</f>
        <v>#REF!</v>
      </c>
      <c r="W4079" s="44">
        <f>Planning[[#This Row],[Horas Planificadas]]+Planning[[#This Row],[Horas ajustadas adicionales]]</f>
        <v>30</v>
      </c>
      <c r="X4079" s="142"/>
    </row>
    <row r="4080" spans="1:24" x14ac:dyDescent="0.2">
      <c r="A4080" s="7" t="s">
        <v>294</v>
      </c>
      <c r="B4080" s="7" t="s">
        <v>205</v>
      </c>
      <c r="C4080" s="3"/>
      <c r="D4080" s="3" t="s">
        <v>712</v>
      </c>
      <c r="E4080" s="4"/>
      <c r="F4080" s="3" t="s">
        <v>129</v>
      </c>
      <c r="G4080" s="9">
        <v>0</v>
      </c>
      <c r="H4080" s="9">
        <v>0</v>
      </c>
      <c r="I4080" s="12"/>
      <c r="J4080" s="5" t="e">
        <f>SUM(SUMIFS(#REF!,#REF!,Planning[[#This Row],[Tipo de Tarea y especialidad]],#REF!,Planning[[#This Row],[Proyectos Reiwa]]),SUMIFS(#REF!,#REF!,Planning[[#This Row],[Tipo de Tarea y especialidad]],#REF!,Planning[[#This Row],[Proyectos]]))</f>
        <v>#REF!</v>
      </c>
      <c r="K4080" s="5" t="e">
        <f>+Planning[[#This Row],[Horas Planificadas]]+Planning[[#This Row],[Horas ajustadas adicionales]]-Planning[[#This Row],[Horas utilizadas]]</f>
        <v>#REF!</v>
      </c>
      <c r="L4080" s="7">
        <v>0</v>
      </c>
      <c r="M4080" s="19" t="e">
        <f>Planning[[#This Row],[Saldo]]-Planning[[#This Row],[Saldo estimado]]</f>
        <v>#REF!</v>
      </c>
      <c r="N4080" s="60" t="e">
        <f>+SUMIFS(#REF!,#REF!,Planning[[#This Row],[Proyectos]],#REF!,Planning[[#This Row],[Tipo de Tarea y especialidad]])</f>
        <v>#REF!</v>
      </c>
      <c r="O4080" s="19">
        <f t="shared" si="126"/>
        <v>10</v>
      </c>
      <c r="P4080" s="19">
        <f t="shared" si="127"/>
        <v>2024</v>
      </c>
      <c r="Q40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80" s="19" t="str">
        <f>TEXT(Planning[[#This Row],[Mes]]*29,"mmmm")</f>
        <v>October</v>
      </c>
      <c r="S40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80" s="210"/>
      <c r="U4080" s="43">
        <f>IF(Planning[[#This Row],[Horas Planificadas]]&lt;&gt;0,+K4080/Planning[[#This Row],[Horas Planificadas]],0)</f>
        <v>0</v>
      </c>
      <c r="V4080" s="43">
        <f>IF(Planning[[#This Row],[Horas Planificadas]]&lt;&gt;0,Planning[[#This Row],[Horas utilizadas]]/Planning[[#This Row],[Horas Planificadas]],0)</f>
        <v>0</v>
      </c>
      <c r="W4080" s="44">
        <f>Planning[[#This Row],[Horas Planificadas]]+Planning[[#This Row],[Horas ajustadas adicionales]]</f>
        <v>0</v>
      </c>
      <c r="X4080" s="142"/>
    </row>
    <row r="4081" spans="1:24" x14ac:dyDescent="0.2">
      <c r="A4081" s="7" t="s">
        <v>294</v>
      </c>
      <c r="B4081" s="7" t="s">
        <v>205</v>
      </c>
      <c r="C4081" s="3"/>
      <c r="D4081" s="3" t="s">
        <v>712</v>
      </c>
      <c r="E4081" s="4"/>
      <c r="F4081" s="3" t="s">
        <v>130</v>
      </c>
      <c r="G4081" s="9">
        <v>30</v>
      </c>
      <c r="H4081" s="9">
        <v>30</v>
      </c>
      <c r="I4081" s="12"/>
      <c r="J4081" s="5" t="e">
        <f>SUM(SUMIFS(#REF!,#REF!,Planning[[#This Row],[Tipo de Tarea y especialidad]],#REF!,Planning[[#This Row],[Proyectos Reiwa]]),SUMIFS(#REF!,#REF!,Planning[[#This Row],[Tipo de Tarea y especialidad]],#REF!,Planning[[#This Row],[Proyectos]]))</f>
        <v>#REF!</v>
      </c>
      <c r="K4081" s="5" t="e">
        <f>+Planning[[#This Row],[Horas Planificadas]]+Planning[[#This Row],[Horas ajustadas adicionales]]-Planning[[#This Row],[Horas utilizadas]]</f>
        <v>#REF!</v>
      </c>
      <c r="L4081" s="7" t="e">
        <f>Planning[[#This Row],[Saldo]]</f>
        <v>#REF!</v>
      </c>
      <c r="M4081" s="19" t="e">
        <f>Planning[[#This Row],[Saldo]]-Planning[[#This Row],[Saldo estimado]]</f>
        <v>#REF!</v>
      </c>
      <c r="N4081" s="60" t="e">
        <f>+SUMIFS(#REF!,#REF!,Planning[[#This Row],[Proyectos]],#REF!,Planning[[#This Row],[Tipo de Tarea y especialidad]])</f>
        <v>#REF!</v>
      </c>
      <c r="O4081" s="19">
        <f t="shared" si="126"/>
        <v>10</v>
      </c>
      <c r="P4081" s="19">
        <f t="shared" si="127"/>
        <v>2024</v>
      </c>
      <c r="Q40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81" s="19" t="str">
        <f>TEXT(Planning[[#This Row],[Mes]]*29,"mmmm")</f>
        <v>October</v>
      </c>
      <c r="S40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81" s="210"/>
      <c r="U4081" s="43" t="e">
        <f>IF(Planning[[#This Row],[Horas Planificadas]]&lt;&gt;0,+K4081/Planning[[#This Row],[Horas Planificadas]],0)</f>
        <v>#REF!</v>
      </c>
      <c r="V4081" s="43" t="e">
        <f>IF(Planning[[#This Row],[Horas Planificadas]]&lt;&gt;0,Planning[[#This Row],[Horas utilizadas]]/Planning[[#This Row],[Horas Planificadas]],0)</f>
        <v>#REF!</v>
      </c>
      <c r="W4081" s="44">
        <f>Planning[[#This Row],[Horas Planificadas]]+Planning[[#This Row],[Horas ajustadas adicionales]]</f>
        <v>30</v>
      </c>
      <c r="X4081" s="142"/>
    </row>
    <row r="4082" spans="1:24" x14ac:dyDescent="0.2">
      <c r="A4082" s="7" t="s">
        <v>294</v>
      </c>
      <c r="B4082" s="7" t="s">
        <v>205</v>
      </c>
      <c r="C4082" s="3"/>
      <c r="D4082" s="3" t="s">
        <v>712</v>
      </c>
      <c r="E4082" s="4"/>
      <c r="F4082" s="3" t="s">
        <v>131</v>
      </c>
      <c r="G4082" s="9">
        <v>0</v>
      </c>
      <c r="H4082" s="9">
        <v>0</v>
      </c>
      <c r="I4082" s="12"/>
      <c r="J4082" s="5" t="e">
        <f>SUM(SUMIFS(#REF!,#REF!,Planning[[#This Row],[Tipo de Tarea y especialidad]],#REF!,Planning[[#This Row],[Proyectos Reiwa]]),SUMIFS(#REF!,#REF!,Planning[[#This Row],[Tipo de Tarea y especialidad]],#REF!,Planning[[#This Row],[Proyectos]]))</f>
        <v>#REF!</v>
      </c>
      <c r="K4082" s="5" t="e">
        <f>+Planning[[#This Row],[Horas Planificadas]]+Planning[[#This Row],[Horas ajustadas adicionales]]-Planning[[#This Row],[Horas utilizadas]]</f>
        <v>#REF!</v>
      </c>
      <c r="L4082" s="7">
        <v>0</v>
      </c>
      <c r="M4082" s="19" t="e">
        <f>Planning[[#This Row],[Saldo]]-Planning[[#This Row],[Saldo estimado]]</f>
        <v>#REF!</v>
      </c>
      <c r="N4082" s="60" t="e">
        <f>+SUMIFS(#REF!,#REF!,Planning[[#This Row],[Proyectos]],#REF!,Planning[[#This Row],[Tipo de Tarea y especialidad]])</f>
        <v>#REF!</v>
      </c>
      <c r="O4082" s="19">
        <f t="shared" si="126"/>
        <v>10</v>
      </c>
      <c r="P4082" s="19">
        <f t="shared" si="127"/>
        <v>2024</v>
      </c>
      <c r="Q40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82" s="19" t="str">
        <f>TEXT(Planning[[#This Row],[Mes]]*29,"mmmm")</f>
        <v>October</v>
      </c>
      <c r="S40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82" s="210"/>
      <c r="U4082" s="43">
        <f>IF(Planning[[#This Row],[Horas Planificadas]]&lt;&gt;0,+K4082/Planning[[#This Row],[Horas Planificadas]],0)</f>
        <v>0</v>
      </c>
      <c r="V4082" s="43">
        <f>IF(Planning[[#This Row],[Horas Planificadas]]&lt;&gt;0,Planning[[#This Row],[Horas utilizadas]]/Planning[[#This Row],[Horas Planificadas]],0)</f>
        <v>0</v>
      </c>
      <c r="W4082" s="44">
        <f>Planning[[#This Row],[Horas Planificadas]]+Planning[[#This Row],[Horas ajustadas adicionales]]</f>
        <v>0</v>
      </c>
      <c r="X4082" s="142"/>
    </row>
    <row r="4083" spans="1:24" ht="12" customHeight="1" x14ac:dyDescent="0.2">
      <c r="A4083" s="7" t="s">
        <v>117</v>
      </c>
      <c r="B4083" s="7" t="s">
        <v>205</v>
      </c>
      <c r="C4083" s="3"/>
      <c r="D4083" s="3" t="s">
        <v>714</v>
      </c>
      <c r="E4083" s="4" t="s">
        <v>28</v>
      </c>
      <c r="F4083" s="3"/>
      <c r="G4083" s="9">
        <v>27</v>
      </c>
      <c r="H4083" s="14">
        <f>SUM(H4084:H4085)</f>
        <v>27</v>
      </c>
      <c r="I4083" s="14"/>
      <c r="J4083" s="14" t="e">
        <f>SUM(J4084:J4085)</f>
        <v>#REF!</v>
      </c>
      <c r="K4083" s="14" t="e">
        <f>+Planning[[#This Row],[Horas Planificadas]]+Planning[[#This Row],[Horas ajustadas adicionales]]-Planning[[#This Row],[Horas utilizadas]]</f>
        <v>#REF!</v>
      </c>
      <c r="L4083" s="15" t="e">
        <f>SUM(L4084:L4085)</f>
        <v>#REF!</v>
      </c>
      <c r="M4083" s="14" t="e">
        <f>SUM(M4084:M4085)</f>
        <v>#REF!</v>
      </c>
      <c r="N4083" s="66" t="e">
        <f>+SUMIFS(#REF!,#REF!,Planning[[#This Row],[Proyectos]],#REF!,Planning[[#This Row],[Tipo de Tarea y especialidad]])</f>
        <v>#REF!</v>
      </c>
      <c r="O4083" s="14">
        <f t="shared" si="126"/>
        <v>10</v>
      </c>
      <c r="P4083" s="14">
        <f t="shared" si="127"/>
        <v>2024</v>
      </c>
      <c r="Q4083" s="28" t="e">
        <f>SUM(Q4084:Q4085)</f>
        <v>#REF!</v>
      </c>
      <c r="R4083" s="28" t="str">
        <f>TEXT(Planning[[#This Row],[Mes]]*29,"mmmm")</f>
        <v>October</v>
      </c>
      <c r="S40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83" s="220" t="s">
        <v>715</v>
      </c>
      <c r="U4083" s="43" t="e">
        <f>IF(Planning[[#This Row],[Horas Planificadas]]&lt;&gt;0,+K4083/Planning[[#This Row],[Horas Planificadas]],0)</f>
        <v>#REF!</v>
      </c>
      <c r="V4083" s="43" t="e">
        <f>IF(Planning[[#This Row],[Horas Planificadas]]&lt;&gt;0,Planning[[#This Row],[Horas utilizadas]]/Planning[[#This Row],[Horas Planificadas]],0)</f>
        <v>#REF!</v>
      </c>
      <c r="W4083" s="44">
        <f>Planning[[#This Row],[Horas Planificadas]]+Planning[[#This Row],[Horas ajustadas adicionales]]</f>
        <v>27</v>
      </c>
      <c r="X4083" s="142"/>
    </row>
    <row r="4084" spans="1:24" x14ac:dyDescent="0.2">
      <c r="A4084" s="7" t="s">
        <v>117</v>
      </c>
      <c r="B4084" s="7" t="s">
        <v>205</v>
      </c>
      <c r="C4084" s="3"/>
      <c r="D4084" s="3" t="s">
        <v>714</v>
      </c>
      <c r="E4084" s="4"/>
      <c r="F4084" s="3" t="s">
        <v>120</v>
      </c>
      <c r="G4084" s="9">
        <v>0</v>
      </c>
      <c r="H4084" s="9">
        <v>0</v>
      </c>
      <c r="I4084" s="12"/>
      <c r="J4084" s="5" t="e">
        <f>SUM(SUMIFS(#REF!,#REF!,Planning[[#This Row],[Tipo de Tarea y especialidad]],#REF!,Planning[[#This Row],[Proyectos Reiwa]]),SUMIFS(#REF!,#REF!,Planning[[#This Row],[Tipo de Tarea y especialidad]],#REF!,Planning[[#This Row],[Proyectos]]))</f>
        <v>#REF!</v>
      </c>
      <c r="K4084" s="5" t="e">
        <f>+Planning[[#This Row],[Horas Planificadas]]+Planning[[#This Row],[Horas ajustadas adicionales]]-Planning[[#This Row],[Horas utilizadas]]</f>
        <v>#REF!</v>
      </c>
      <c r="L4084" s="7">
        <v>0</v>
      </c>
      <c r="M4084" s="19" t="e">
        <f>Planning[[#This Row],[Saldo]]-Planning[[#This Row],[Saldo estimado]]</f>
        <v>#REF!</v>
      </c>
      <c r="N4084" s="60" t="e">
        <f>+SUMIFS(#REF!,#REF!,Planning[[#This Row],[Proyectos]],#REF!,Planning[[#This Row],[Tipo de Tarea y especialidad]])</f>
        <v>#REF!</v>
      </c>
      <c r="O4084" s="19">
        <f t="shared" si="126"/>
        <v>10</v>
      </c>
      <c r="P4084" s="19">
        <f t="shared" si="127"/>
        <v>2024</v>
      </c>
      <c r="Q40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84" s="19" t="str">
        <f>TEXT(Planning[[#This Row],[Mes]]*29,"mmmm")</f>
        <v>October</v>
      </c>
      <c r="S40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84" s="210"/>
      <c r="U4084" s="43">
        <f>IF(Planning[[#This Row],[Horas Planificadas]]&lt;&gt;0,+K4084/Planning[[#This Row],[Horas Planificadas]],0)</f>
        <v>0</v>
      </c>
      <c r="V4084" s="43">
        <f>IF(Planning[[#This Row],[Horas Planificadas]]&lt;&gt;0,Planning[[#This Row],[Horas utilizadas]]/Planning[[#This Row],[Horas Planificadas]],0)</f>
        <v>0</v>
      </c>
      <c r="W4084" s="44">
        <f>Planning[[#This Row],[Horas Planificadas]]+Planning[[#This Row],[Horas ajustadas adicionales]]</f>
        <v>0</v>
      </c>
      <c r="X4084" s="142"/>
    </row>
    <row r="4085" spans="1:24" x14ac:dyDescent="0.2">
      <c r="A4085" s="7" t="s">
        <v>117</v>
      </c>
      <c r="B4085" s="7" t="s">
        <v>205</v>
      </c>
      <c r="C4085" s="3"/>
      <c r="D4085" s="3" t="s">
        <v>714</v>
      </c>
      <c r="E4085" s="4"/>
      <c r="F4085" s="3" t="s">
        <v>121</v>
      </c>
      <c r="G4085" s="9">
        <v>27</v>
      </c>
      <c r="H4085" s="9">
        <v>27</v>
      </c>
      <c r="I4085" s="12"/>
      <c r="J4085" s="5" t="e">
        <f>SUM(SUMIFS(#REF!,#REF!,Planning[[#This Row],[Tipo de Tarea y especialidad]],#REF!,Planning[[#This Row],[Proyectos Reiwa]]),SUMIFS(#REF!,#REF!,Planning[[#This Row],[Tipo de Tarea y especialidad]],#REF!,Planning[[#This Row],[Proyectos]]))</f>
        <v>#REF!</v>
      </c>
      <c r="K4085" s="5" t="e">
        <f>+Planning[[#This Row],[Horas Planificadas]]+Planning[[#This Row],[Horas ajustadas adicionales]]-Planning[[#This Row],[Horas utilizadas]]</f>
        <v>#REF!</v>
      </c>
      <c r="L4085" s="7" t="e">
        <f>Planning[[#This Row],[Saldo]]</f>
        <v>#REF!</v>
      </c>
      <c r="M4085" s="19" t="e">
        <f>Planning[[#This Row],[Saldo]]-Planning[[#This Row],[Saldo estimado]]</f>
        <v>#REF!</v>
      </c>
      <c r="N4085" s="60" t="e">
        <f>+SUMIFS(#REF!,#REF!,Planning[[#This Row],[Proyectos]],#REF!,Planning[[#This Row],[Tipo de Tarea y especialidad]])</f>
        <v>#REF!</v>
      </c>
      <c r="O4085" s="19">
        <f t="shared" si="126"/>
        <v>10</v>
      </c>
      <c r="P4085" s="19">
        <f t="shared" si="127"/>
        <v>2024</v>
      </c>
      <c r="Q40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85" s="19" t="str">
        <f>TEXT(Planning[[#This Row],[Mes]]*29,"mmmm")</f>
        <v>October</v>
      </c>
      <c r="S40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85" s="210"/>
      <c r="U4085" s="43" t="e">
        <f>IF(Planning[[#This Row],[Horas Planificadas]]&lt;&gt;0,+K4085/Planning[[#This Row],[Horas Planificadas]],0)</f>
        <v>#REF!</v>
      </c>
      <c r="V4085" s="43" t="e">
        <f>IF(Planning[[#This Row],[Horas Planificadas]]&lt;&gt;0,Planning[[#This Row],[Horas utilizadas]]/Planning[[#This Row],[Horas Planificadas]],0)</f>
        <v>#REF!</v>
      </c>
      <c r="W4085" s="44">
        <f>Planning[[#This Row],[Horas Planificadas]]+Planning[[#This Row],[Horas ajustadas adicionales]]</f>
        <v>27</v>
      </c>
      <c r="X4085" s="142"/>
    </row>
    <row r="4086" spans="1:24" x14ac:dyDescent="0.2">
      <c r="A4086" s="7" t="s">
        <v>117</v>
      </c>
      <c r="B4086" s="7" t="s">
        <v>205</v>
      </c>
      <c r="C4086" s="3"/>
      <c r="D4086" s="3" t="s">
        <v>714</v>
      </c>
      <c r="E4086" s="4" t="s">
        <v>30</v>
      </c>
      <c r="F4086" s="3"/>
      <c r="G4086" s="9">
        <v>46</v>
      </c>
      <c r="H4086" s="14">
        <f>SUM(H4087:H4093)</f>
        <v>252</v>
      </c>
      <c r="I4086" s="14"/>
      <c r="J4086" s="14" t="e">
        <f>SUM(J4087:J4093)</f>
        <v>#REF!</v>
      </c>
      <c r="K4086" s="14" t="e">
        <f>+Planning[[#This Row],[Horas Planificadas]]+Planning[[#This Row],[Horas ajustadas adicionales]]-Planning[[#This Row],[Horas utilizadas]]</f>
        <v>#REF!</v>
      </c>
      <c r="L4086" s="15">
        <f>SUM(L4087:L4093)</f>
        <v>0</v>
      </c>
      <c r="M4086" s="16" t="e">
        <f>SUM(M4087:M4093)</f>
        <v>#REF!</v>
      </c>
      <c r="N4086" s="60" t="e">
        <f>+SUMIFS(#REF!,#REF!,Planning[[#This Row],[Proyectos]],#REF!,Planning[[#This Row],[Tipo de Tarea y especialidad]])</f>
        <v>#REF!</v>
      </c>
      <c r="O4086" s="16">
        <f t="shared" si="126"/>
        <v>10</v>
      </c>
      <c r="P4086" s="16">
        <f t="shared" si="127"/>
        <v>2024</v>
      </c>
      <c r="Q4086" s="16" t="e">
        <f>SUM(Q4087:Q4093)</f>
        <v>#REF!</v>
      </c>
      <c r="R4086" s="16" t="str">
        <f>TEXT(Planning[[#This Row],[Mes]]*29,"mmmm")</f>
        <v>October</v>
      </c>
      <c r="S40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86" s="210"/>
      <c r="U4086" s="43" t="e">
        <f>IF(Planning[[#This Row],[Horas Planificadas]]&lt;&gt;0,+K4086/Planning[[#This Row],[Horas Planificadas]],0)</f>
        <v>#REF!</v>
      </c>
      <c r="V4086" s="43" t="e">
        <f>IF(Planning[[#This Row],[Horas Planificadas]]&lt;&gt;0,Planning[[#This Row],[Horas utilizadas]]/Planning[[#This Row],[Horas Planificadas]],0)</f>
        <v>#REF!</v>
      </c>
      <c r="W4086" s="44">
        <f>Planning[[#This Row],[Horas Planificadas]]+Planning[[#This Row],[Horas ajustadas adicionales]]</f>
        <v>252</v>
      </c>
      <c r="X4086" s="142"/>
    </row>
    <row r="4087" spans="1:24" x14ac:dyDescent="0.2">
      <c r="A4087" s="7" t="s">
        <v>117</v>
      </c>
      <c r="B4087" s="7" t="s">
        <v>205</v>
      </c>
      <c r="C4087" s="3"/>
      <c r="D4087" s="3" t="s">
        <v>714</v>
      </c>
      <c r="E4087" s="4"/>
      <c r="F4087" s="3" t="s">
        <v>122</v>
      </c>
      <c r="G4087" s="9">
        <v>0</v>
      </c>
      <c r="H4087" s="9">
        <v>0</v>
      </c>
      <c r="I4087" s="12"/>
      <c r="J4087" s="5" t="e">
        <f>SUM(SUMIFS(#REF!,#REF!,Planning[[#This Row],[Tipo de Tarea y especialidad]],#REF!,Planning[[#This Row],[Proyectos Reiwa]]),SUMIFS(#REF!,#REF!,Planning[[#This Row],[Tipo de Tarea y especialidad]],#REF!,Planning[[#This Row],[Proyectos]]))</f>
        <v>#REF!</v>
      </c>
      <c r="K4087" s="5" t="e">
        <f>+Planning[[#This Row],[Horas Planificadas]]+Planning[[#This Row],[Horas ajustadas adicionales]]-Planning[[#This Row],[Horas utilizadas]]</f>
        <v>#REF!</v>
      </c>
      <c r="L4087" s="7">
        <v>0</v>
      </c>
      <c r="M4087" s="19" t="e">
        <f>Planning[[#This Row],[Saldo]]-Planning[[#This Row],[Saldo estimado]]</f>
        <v>#REF!</v>
      </c>
      <c r="N4087" s="60" t="e">
        <f>+SUMIFS(#REF!,#REF!,Planning[[#This Row],[Proyectos]],#REF!,Planning[[#This Row],[Tipo de Tarea y especialidad]])</f>
        <v>#REF!</v>
      </c>
      <c r="O4087" s="19">
        <f t="shared" si="126"/>
        <v>10</v>
      </c>
      <c r="P4087" s="19">
        <f t="shared" si="127"/>
        <v>2024</v>
      </c>
      <c r="Q40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87" s="19" t="str">
        <f>TEXT(Planning[[#This Row],[Mes]]*29,"mmmm")</f>
        <v>October</v>
      </c>
      <c r="S40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87" s="210"/>
      <c r="U4087" s="43">
        <f>IF(Planning[[#This Row],[Horas Planificadas]]&lt;&gt;0,+K4087/Planning[[#This Row],[Horas Planificadas]],0)</f>
        <v>0</v>
      </c>
      <c r="V4087" s="43">
        <f>IF(Planning[[#This Row],[Horas Planificadas]]&lt;&gt;0,Planning[[#This Row],[Horas utilizadas]]/Planning[[#This Row],[Horas Planificadas]],0)</f>
        <v>0</v>
      </c>
      <c r="W4087" s="44">
        <f>Planning[[#This Row],[Horas Planificadas]]+Planning[[#This Row],[Horas ajustadas adicionales]]</f>
        <v>0</v>
      </c>
      <c r="X4087" s="142"/>
    </row>
    <row r="4088" spans="1:24" x14ac:dyDescent="0.2">
      <c r="A4088" s="7" t="s">
        <v>117</v>
      </c>
      <c r="B4088" s="7" t="s">
        <v>205</v>
      </c>
      <c r="C4088" s="3"/>
      <c r="D4088" s="3" t="s">
        <v>714</v>
      </c>
      <c r="E4088" s="4"/>
      <c r="F4088" s="3" t="s">
        <v>123</v>
      </c>
      <c r="G4088" s="9">
        <v>108</v>
      </c>
      <c r="H4088" s="9">
        <v>108</v>
      </c>
      <c r="I4088" s="12"/>
      <c r="J4088" s="5" t="e">
        <f>SUM(SUMIFS(#REF!,#REF!,Planning[[#This Row],[Tipo de Tarea y especialidad]],#REF!,Planning[[#This Row],[Proyectos Reiwa]]),SUMIFS(#REF!,#REF!,Planning[[#This Row],[Tipo de Tarea y especialidad]],#REF!,Planning[[#This Row],[Proyectos]]))</f>
        <v>#REF!</v>
      </c>
      <c r="K4088" s="5" t="e">
        <f>+Planning[[#This Row],[Horas Planificadas]]+Planning[[#This Row],[Horas ajustadas adicionales]]-Planning[[#This Row],[Horas utilizadas]]</f>
        <v>#REF!</v>
      </c>
      <c r="L4088" s="7">
        <v>0</v>
      </c>
      <c r="M4088" s="19" t="e">
        <f>Planning[[#This Row],[Saldo]]-Planning[[#This Row],[Saldo estimado]]</f>
        <v>#REF!</v>
      </c>
      <c r="N4088" s="60" t="e">
        <f>+SUMIFS(#REF!,#REF!,Planning[[#This Row],[Proyectos]],#REF!,Planning[[#This Row],[Tipo de Tarea y especialidad]])</f>
        <v>#REF!</v>
      </c>
      <c r="O4088" s="19">
        <f t="shared" si="126"/>
        <v>10</v>
      </c>
      <c r="P4088" s="19">
        <f t="shared" si="127"/>
        <v>2024</v>
      </c>
      <c r="Q40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88" s="19" t="str">
        <f>TEXT(Planning[[#This Row],[Mes]]*29,"mmmm")</f>
        <v>October</v>
      </c>
      <c r="S40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88" s="210"/>
      <c r="U4088" s="43" t="e">
        <f>IF(Planning[[#This Row],[Horas Planificadas]]&lt;&gt;0,+K4088/Planning[[#This Row],[Horas Planificadas]],0)</f>
        <v>#REF!</v>
      </c>
      <c r="V4088" s="43" t="e">
        <f>IF(Planning[[#This Row],[Horas Planificadas]]&lt;&gt;0,Planning[[#This Row],[Horas utilizadas]]/Planning[[#This Row],[Horas Planificadas]],0)</f>
        <v>#REF!</v>
      </c>
      <c r="W4088" s="44">
        <f>Planning[[#This Row],[Horas Planificadas]]+Planning[[#This Row],[Horas ajustadas adicionales]]</f>
        <v>108</v>
      </c>
      <c r="X4088" s="142"/>
    </row>
    <row r="4089" spans="1:24" x14ac:dyDescent="0.2">
      <c r="A4089" s="7" t="s">
        <v>117</v>
      </c>
      <c r="B4089" s="7" t="s">
        <v>205</v>
      </c>
      <c r="C4089" s="3"/>
      <c r="D4089" s="3" t="s">
        <v>714</v>
      </c>
      <c r="E4089" s="4"/>
      <c r="F4089" s="3" t="s">
        <v>124</v>
      </c>
      <c r="G4089" s="9">
        <v>0</v>
      </c>
      <c r="H4089" s="9">
        <v>0</v>
      </c>
      <c r="I4089" s="12"/>
      <c r="J4089" s="5" t="e">
        <f>SUM(SUMIFS(#REF!,#REF!,Planning[[#This Row],[Tipo de Tarea y especialidad]],#REF!,Planning[[#This Row],[Proyectos Reiwa]]),SUMIFS(#REF!,#REF!,Planning[[#This Row],[Tipo de Tarea y especialidad]],#REF!,Planning[[#This Row],[Proyectos]]))</f>
        <v>#REF!</v>
      </c>
      <c r="K4089" s="5" t="e">
        <f>+Planning[[#This Row],[Horas Planificadas]]+Planning[[#This Row],[Horas ajustadas adicionales]]-Planning[[#This Row],[Horas utilizadas]]</f>
        <v>#REF!</v>
      </c>
      <c r="L4089" s="7">
        <v>0</v>
      </c>
      <c r="M4089" s="19" t="e">
        <f>Planning[[#This Row],[Saldo]]-Planning[[#This Row],[Saldo estimado]]</f>
        <v>#REF!</v>
      </c>
      <c r="N4089" s="60" t="e">
        <f>+SUMIFS(#REF!,#REF!,Planning[[#This Row],[Proyectos]],#REF!,Planning[[#This Row],[Tipo de Tarea y especialidad]])</f>
        <v>#REF!</v>
      </c>
      <c r="O4089" s="19">
        <f t="shared" si="126"/>
        <v>10</v>
      </c>
      <c r="P4089" s="19">
        <f t="shared" si="127"/>
        <v>2024</v>
      </c>
      <c r="Q40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89" s="19" t="str">
        <f>TEXT(Planning[[#This Row],[Mes]]*29,"mmmm")</f>
        <v>October</v>
      </c>
      <c r="S40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89" s="210"/>
      <c r="U4089" s="43">
        <f>IF(Planning[[#This Row],[Horas Planificadas]]&lt;&gt;0,+K4089/Planning[[#This Row],[Horas Planificadas]],0)</f>
        <v>0</v>
      </c>
      <c r="V4089" s="43">
        <f>IF(Planning[[#This Row],[Horas Planificadas]]&lt;&gt;0,Planning[[#This Row],[Horas utilizadas]]/Planning[[#This Row],[Horas Planificadas]],0)</f>
        <v>0</v>
      </c>
      <c r="W4089" s="44">
        <f>Planning[[#This Row],[Horas Planificadas]]+Planning[[#This Row],[Horas ajustadas adicionales]]</f>
        <v>0</v>
      </c>
      <c r="X4089" s="142"/>
    </row>
    <row r="4090" spans="1:24" x14ac:dyDescent="0.2">
      <c r="A4090" s="7" t="s">
        <v>117</v>
      </c>
      <c r="B4090" s="7" t="s">
        <v>205</v>
      </c>
      <c r="C4090" s="3"/>
      <c r="D4090" s="3" t="s">
        <v>714</v>
      </c>
      <c r="E4090" s="4"/>
      <c r="F4090" s="3" t="s">
        <v>125</v>
      </c>
      <c r="G4090" s="9">
        <v>27</v>
      </c>
      <c r="H4090" s="9">
        <v>27</v>
      </c>
      <c r="I4090" s="12"/>
      <c r="J4090" s="5" t="e">
        <f>SUM(SUMIFS(#REF!,#REF!,Planning[[#This Row],[Tipo de Tarea y especialidad]],#REF!,Planning[[#This Row],[Proyectos Reiwa]]),SUMIFS(#REF!,#REF!,Planning[[#This Row],[Tipo de Tarea y especialidad]],#REF!,Planning[[#This Row],[Proyectos]]))</f>
        <v>#REF!</v>
      </c>
      <c r="K4090" s="5" t="e">
        <f>+Planning[[#This Row],[Horas Planificadas]]+Planning[[#This Row],[Horas ajustadas adicionales]]-Planning[[#This Row],[Horas utilizadas]]</f>
        <v>#REF!</v>
      </c>
      <c r="L4090" s="7">
        <v>0</v>
      </c>
      <c r="M4090" s="19" t="e">
        <f>Planning[[#This Row],[Saldo]]-Planning[[#This Row],[Saldo estimado]]</f>
        <v>#REF!</v>
      </c>
      <c r="N4090" s="60" t="e">
        <f>+SUMIFS(#REF!,#REF!,Planning[[#This Row],[Proyectos]],#REF!,Planning[[#This Row],[Tipo de Tarea y especialidad]])</f>
        <v>#REF!</v>
      </c>
      <c r="O4090" s="19">
        <f t="shared" si="126"/>
        <v>10</v>
      </c>
      <c r="P4090" s="19">
        <f t="shared" si="127"/>
        <v>2024</v>
      </c>
      <c r="Q40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90" s="19" t="str">
        <f>TEXT(Planning[[#This Row],[Mes]]*29,"mmmm")</f>
        <v>October</v>
      </c>
      <c r="S40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90" s="210"/>
      <c r="U4090" s="43" t="e">
        <f>IF(Planning[[#This Row],[Horas Planificadas]]&lt;&gt;0,+K4090/Planning[[#This Row],[Horas Planificadas]],0)</f>
        <v>#REF!</v>
      </c>
      <c r="V4090" s="43" t="e">
        <f>IF(Planning[[#This Row],[Horas Planificadas]]&lt;&gt;0,Planning[[#This Row],[Horas utilizadas]]/Planning[[#This Row],[Horas Planificadas]],0)</f>
        <v>#REF!</v>
      </c>
      <c r="W4090" s="44">
        <f>Planning[[#This Row],[Horas Planificadas]]+Planning[[#This Row],[Horas ajustadas adicionales]]</f>
        <v>27</v>
      </c>
      <c r="X4090" s="142"/>
    </row>
    <row r="4091" spans="1:24" x14ac:dyDescent="0.2">
      <c r="A4091" s="7" t="s">
        <v>117</v>
      </c>
      <c r="B4091" s="7" t="s">
        <v>205</v>
      </c>
      <c r="C4091" s="3"/>
      <c r="D4091" s="3" t="s">
        <v>714</v>
      </c>
      <c r="E4091" s="4"/>
      <c r="F4091" s="3" t="s">
        <v>126</v>
      </c>
      <c r="G4091" s="9">
        <v>0</v>
      </c>
      <c r="H4091" s="9">
        <v>0</v>
      </c>
      <c r="I4091" s="12"/>
      <c r="J4091" s="5" t="e">
        <f>SUM(SUMIFS(#REF!,#REF!,Planning[[#This Row],[Tipo de Tarea y especialidad]],#REF!,Planning[[#This Row],[Proyectos Reiwa]]),SUMIFS(#REF!,#REF!,Planning[[#This Row],[Tipo de Tarea y especialidad]],#REF!,Planning[[#This Row],[Proyectos]]))</f>
        <v>#REF!</v>
      </c>
      <c r="K4091" s="5" t="e">
        <f>+Planning[[#This Row],[Horas Planificadas]]+Planning[[#This Row],[Horas ajustadas adicionales]]-Planning[[#This Row],[Horas utilizadas]]</f>
        <v>#REF!</v>
      </c>
      <c r="L4091" s="7">
        <v>0</v>
      </c>
      <c r="M4091" s="19" t="e">
        <f>Planning[[#This Row],[Saldo]]-Planning[[#This Row],[Saldo estimado]]</f>
        <v>#REF!</v>
      </c>
      <c r="N4091" s="60" t="e">
        <f>+SUMIFS(#REF!,#REF!,Planning[[#This Row],[Proyectos]],#REF!,Planning[[#This Row],[Tipo de Tarea y especialidad]])</f>
        <v>#REF!</v>
      </c>
      <c r="O4091" s="19">
        <f t="shared" si="126"/>
        <v>10</v>
      </c>
      <c r="P4091" s="19">
        <f t="shared" si="127"/>
        <v>2024</v>
      </c>
      <c r="Q40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91" s="19" t="str">
        <f>TEXT(Planning[[#This Row],[Mes]]*29,"mmmm")</f>
        <v>October</v>
      </c>
      <c r="S40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91" s="210"/>
      <c r="U4091" s="43">
        <f>IF(Planning[[#This Row],[Horas Planificadas]]&lt;&gt;0,+K4091/Planning[[#This Row],[Horas Planificadas]],0)</f>
        <v>0</v>
      </c>
      <c r="V4091" s="43">
        <f>IF(Planning[[#This Row],[Horas Planificadas]]&lt;&gt;0,Planning[[#This Row],[Horas utilizadas]]/Planning[[#This Row],[Horas Planificadas]],0)</f>
        <v>0</v>
      </c>
      <c r="W4091" s="44">
        <f>Planning[[#This Row],[Horas Planificadas]]+Planning[[#This Row],[Horas ajustadas adicionales]]</f>
        <v>0</v>
      </c>
      <c r="X4091" s="142"/>
    </row>
    <row r="4092" spans="1:24" x14ac:dyDescent="0.2">
      <c r="A4092" s="7" t="s">
        <v>117</v>
      </c>
      <c r="B4092" s="7" t="s">
        <v>205</v>
      </c>
      <c r="C4092" s="3"/>
      <c r="D4092" s="3" t="s">
        <v>714</v>
      </c>
      <c r="E4092" s="4"/>
      <c r="F4092" s="3" t="s">
        <v>127</v>
      </c>
      <c r="G4092" s="9">
        <v>117</v>
      </c>
      <c r="H4092" s="9">
        <v>117</v>
      </c>
      <c r="I4092" s="12"/>
      <c r="J4092" s="5" t="e">
        <f>SUM(SUMIFS(#REF!,#REF!,Planning[[#This Row],[Tipo de Tarea y especialidad]],#REF!,Planning[[#This Row],[Proyectos Reiwa]]),SUMIFS(#REF!,#REF!,Planning[[#This Row],[Tipo de Tarea y especialidad]],#REF!,Planning[[#This Row],[Proyectos]]))</f>
        <v>#REF!</v>
      </c>
      <c r="K4092" s="5" t="e">
        <f>+Planning[[#This Row],[Horas Planificadas]]+Planning[[#This Row],[Horas ajustadas adicionales]]-Planning[[#This Row],[Horas utilizadas]]</f>
        <v>#REF!</v>
      </c>
      <c r="L4092" s="7">
        <v>0</v>
      </c>
      <c r="M4092" s="19" t="e">
        <f>Planning[[#This Row],[Saldo]]-Planning[[#This Row],[Saldo estimado]]</f>
        <v>#REF!</v>
      </c>
      <c r="N4092" s="60" t="e">
        <f>+SUMIFS(#REF!,#REF!,Planning[[#This Row],[Proyectos]],#REF!,Planning[[#This Row],[Tipo de Tarea y especialidad]])</f>
        <v>#REF!</v>
      </c>
      <c r="O4092" s="19">
        <f t="shared" si="126"/>
        <v>10</v>
      </c>
      <c r="P4092" s="19">
        <f t="shared" si="127"/>
        <v>2024</v>
      </c>
      <c r="Q40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92" s="19" t="str">
        <f>TEXT(Planning[[#This Row],[Mes]]*29,"mmmm")</f>
        <v>October</v>
      </c>
      <c r="S40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92" s="210"/>
      <c r="U4092" s="43" t="e">
        <f>IF(Planning[[#This Row],[Horas Planificadas]]&lt;&gt;0,+K4092/Planning[[#This Row],[Horas Planificadas]],0)</f>
        <v>#REF!</v>
      </c>
      <c r="V4092" s="43" t="e">
        <f>IF(Planning[[#This Row],[Horas Planificadas]]&lt;&gt;0,Planning[[#This Row],[Horas utilizadas]]/Planning[[#This Row],[Horas Planificadas]],0)</f>
        <v>#REF!</v>
      </c>
      <c r="W4092" s="44">
        <f>Planning[[#This Row],[Horas Planificadas]]+Planning[[#This Row],[Horas ajustadas adicionales]]</f>
        <v>117</v>
      </c>
      <c r="X4092" s="142"/>
    </row>
    <row r="4093" spans="1:24" x14ac:dyDescent="0.2">
      <c r="A4093" s="7" t="s">
        <v>117</v>
      </c>
      <c r="B4093" s="7" t="s">
        <v>205</v>
      </c>
      <c r="C4093" s="3"/>
      <c r="D4093" s="3" t="s">
        <v>714</v>
      </c>
      <c r="E4093" s="4"/>
      <c r="F4093" s="3" t="s">
        <v>128</v>
      </c>
      <c r="G4093" s="9">
        <v>0</v>
      </c>
      <c r="H4093" s="9">
        <v>0</v>
      </c>
      <c r="I4093" s="12"/>
      <c r="J4093" s="5" t="e">
        <f>SUM(SUMIFS(#REF!,#REF!,Planning[[#This Row],[Tipo de Tarea y especialidad]],#REF!,Planning[[#This Row],[Proyectos Reiwa]]),SUMIFS(#REF!,#REF!,Planning[[#This Row],[Tipo de Tarea y especialidad]],#REF!,Planning[[#This Row],[Proyectos]]))</f>
        <v>#REF!</v>
      </c>
      <c r="K4093" s="5" t="e">
        <f>+Planning[[#This Row],[Horas Planificadas]]+Planning[[#This Row],[Horas ajustadas adicionales]]-Planning[[#This Row],[Horas utilizadas]]</f>
        <v>#REF!</v>
      </c>
      <c r="L4093" s="7">
        <v>0</v>
      </c>
      <c r="M4093" s="19" t="e">
        <f>Planning[[#This Row],[Saldo]]-Planning[[#This Row],[Saldo estimado]]</f>
        <v>#REF!</v>
      </c>
      <c r="N4093" s="60" t="e">
        <f>+SUMIFS(#REF!,#REF!,Planning[[#This Row],[Proyectos]],#REF!,Planning[[#This Row],[Tipo de Tarea y especialidad]])</f>
        <v>#REF!</v>
      </c>
      <c r="O4093" s="19">
        <f t="shared" si="126"/>
        <v>10</v>
      </c>
      <c r="P4093" s="19">
        <f t="shared" si="127"/>
        <v>2024</v>
      </c>
      <c r="Q40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93" s="19" t="str">
        <f>TEXT(Planning[[#This Row],[Mes]]*29,"mmmm")</f>
        <v>October</v>
      </c>
      <c r="S40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93" s="210"/>
      <c r="U4093" s="43">
        <f>IF(Planning[[#This Row],[Horas Planificadas]]&lt;&gt;0,+K4093/Planning[[#This Row],[Horas Planificadas]],0)</f>
        <v>0</v>
      </c>
      <c r="V4093" s="43">
        <f>IF(Planning[[#This Row],[Horas Planificadas]]&lt;&gt;0,Planning[[#This Row],[Horas utilizadas]]/Planning[[#This Row],[Horas Planificadas]],0)</f>
        <v>0</v>
      </c>
      <c r="W4093" s="44">
        <f>Planning[[#This Row],[Horas Planificadas]]+Planning[[#This Row],[Horas ajustadas adicionales]]</f>
        <v>0</v>
      </c>
      <c r="X4093" s="142"/>
    </row>
    <row r="4094" spans="1:24" x14ac:dyDescent="0.2">
      <c r="A4094" s="7" t="s">
        <v>117</v>
      </c>
      <c r="B4094" s="7" t="s">
        <v>205</v>
      </c>
      <c r="C4094" s="3"/>
      <c r="D4094" s="3" t="s">
        <v>714</v>
      </c>
      <c r="E4094" s="4" t="s">
        <v>31</v>
      </c>
      <c r="F4094" s="3" t="s">
        <v>31</v>
      </c>
      <c r="G4094" s="9">
        <v>5</v>
      </c>
      <c r="H4094" s="17">
        <f>Planning[[#This Row],[Horas Precálculo]]</f>
        <v>5</v>
      </c>
      <c r="I4094" s="18"/>
      <c r="J4094" s="14" t="e">
        <f>+SUMIFS(#REF!,#REF!,Planning[[#This Row],[Tarifa]],#REF!,Planning[[#This Row],[Proyectos]])</f>
        <v>#REF!</v>
      </c>
      <c r="K4094" s="14" t="e">
        <f>+Planning[[#This Row],[Horas Planificadas]]+Planning[[#This Row],[Horas ajustadas adicionales]]-Planning[[#This Row],[Horas utilizadas]]</f>
        <v>#REF!</v>
      </c>
      <c r="L4094" s="15">
        <v>0</v>
      </c>
      <c r="M4094" s="16" t="e">
        <f>Planning[[#This Row],[Saldo]]-Planning[[#This Row],[Saldo estimado]]</f>
        <v>#REF!</v>
      </c>
      <c r="N4094" s="60" t="e">
        <f>+SUMIFS(#REF!,#REF!,Planning[[#This Row],[Proyectos]],#REF!,Planning[[#This Row],[Tipo de Tarea y especialidad]])</f>
        <v>#REF!</v>
      </c>
      <c r="O4094" s="16">
        <f t="shared" si="126"/>
        <v>10</v>
      </c>
      <c r="P4094" s="16">
        <f t="shared" si="127"/>
        <v>2024</v>
      </c>
      <c r="Q4094" s="16" t="e">
        <f>+SUMIFS(#REF!,#REF!,Planning[[#This Row],[Tarifa]],#REF!,Planning[[#This Row],[Proyectos]],#REF!,Planning[[#This Row],[Mes]],#REF!,Planning[[#This Row],[Año]])</f>
        <v>#REF!</v>
      </c>
      <c r="R4094" s="16" t="str">
        <f>TEXT(Planning[[#This Row],[Mes]]*29,"mmmm")</f>
        <v>October</v>
      </c>
      <c r="S40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94" s="210"/>
      <c r="U4094" s="43" t="e">
        <f>IF(Planning[[#This Row],[Horas Planificadas]]&lt;&gt;0,+K4094/Planning[[#This Row],[Horas Planificadas]],0)</f>
        <v>#REF!</v>
      </c>
      <c r="V4094" s="43" t="e">
        <f>IF(Planning[[#This Row],[Horas Planificadas]]&lt;&gt;0,Planning[[#This Row],[Horas utilizadas]]/Planning[[#This Row],[Horas Planificadas]],0)</f>
        <v>#REF!</v>
      </c>
      <c r="W4094" s="44">
        <f>Planning[[#This Row],[Horas Planificadas]]+Planning[[#This Row],[Horas ajustadas adicionales]]</f>
        <v>5</v>
      </c>
      <c r="X4094" s="142"/>
    </row>
    <row r="4095" spans="1:24" ht="22.5" x14ac:dyDescent="0.2">
      <c r="A4095" s="7" t="s">
        <v>117</v>
      </c>
      <c r="B4095" s="7" t="s">
        <v>205</v>
      </c>
      <c r="C4095" s="3"/>
      <c r="D4095" s="3" t="s">
        <v>714</v>
      </c>
      <c r="E4095" s="4" t="s">
        <v>32</v>
      </c>
      <c r="F4095" s="3"/>
      <c r="G4095" s="9">
        <v>0</v>
      </c>
      <c r="H4095" s="14">
        <f>SUM(H4096:H4098)</f>
        <v>0</v>
      </c>
      <c r="I4095" s="14"/>
      <c r="J4095" s="14" t="e">
        <f>SUM(J4096:J4098)</f>
        <v>#REF!</v>
      </c>
      <c r="K4095" s="14" t="e">
        <f>+Planning[[#This Row],[Horas Planificadas]]+Planning[[#This Row],[Horas ajustadas adicionales]]-Planning[[#This Row],[Horas utilizadas]]</f>
        <v>#REF!</v>
      </c>
      <c r="L4095" s="15">
        <f>SUM(L4096:L4098)</f>
        <v>0</v>
      </c>
      <c r="M4095" s="16" t="e">
        <f>SUM(M4096:M4098)</f>
        <v>#REF!</v>
      </c>
      <c r="N4095" s="60" t="e">
        <f>+SUMIFS(#REF!,#REF!,Planning[[#This Row],[Proyectos]],#REF!,Planning[[#This Row],[Tipo de Tarea y especialidad]])</f>
        <v>#REF!</v>
      </c>
      <c r="O4095" s="16">
        <f t="shared" si="126"/>
        <v>10</v>
      </c>
      <c r="P4095" s="16">
        <f t="shared" si="127"/>
        <v>2024</v>
      </c>
      <c r="Q4095" s="16" t="e">
        <f>SUM(Q4096:Q4098)</f>
        <v>#REF!</v>
      </c>
      <c r="R4095" s="16" t="str">
        <f>TEXT(Planning[[#This Row],[Mes]]*29,"mmmm")</f>
        <v>October</v>
      </c>
      <c r="S40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95" s="210"/>
      <c r="U4095" s="43">
        <f>IF(Planning[[#This Row],[Horas Planificadas]]&lt;&gt;0,+K4095/Planning[[#This Row],[Horas Planificadas]],0)</f>
        <v>0</v>
      </c>
      <c r="V4095" s="43">
        <f>IF(Planning[[#This Row],[Horas Planificadas]]&lt;&gt;0,Planning[[#This Row],[Horas utilizadas]]/Planning[[#This Row],[Horas Planificadas]],0)</f>
        <v>0</v>
      </c>
      <c r="W4095" s="44">
        <f>Planning[[#This Row],[Horas Planificadas]]+Planning[[#This Row],[Horas ajustadas adicionales]]</f>
        <v>0</v>
      </c>
      <c r="X4095" s="142"/>
    </row>
    <row r="4096" spans="1:24" x14ac:dyDescent="0.2">
      <c r="A4096" s="7" t="s">
        <v>117</v>
      </c>
      <c r="B4096" s="7" t="s">
        <v>205</v>
      </c>
      <c r="C4096" s="3"/>
      <c r="D4096" s="3" t="s">
        <v>714</v>
      </c>
      <c r="E4096" s="4"/>
      <c r="F4096" s="3" t="s">
        <v>129</v>
      </c>
      <c r="G4096" s="9">
        <v>0</v>
      </c>
      <c r="H4096" s="9">
        <v>0</v>
      </c>
      <c r="I4096" s="12"/>
      <c r="J4096" s="5" t="e">
        <f>SUM(SUMIFS(#REF!,#REF!,Planning[[#This Row],[Tipo de Tarea y especialidad]],#REF!,Planning[[#This Row],[Proyectos Reiwa]]),SUMIFS(#REF!,#REF!,Planning[[#This Row],[Tipo de Tarea y especialidad]],#REF!,Planning[[#This Row],[Proyectos]]))</f>
        <v>#REF!</v>
      </c>
      <c r="K4096" s="5" t="e">
        <f>+Planning[[#This Row],[Horas Planificadas]]+Planning[[#This Row],[Horas ajustadas adicionales]]-Planning[[#This Row],[Horas utilizadas]]</f>
        <v>#REF!</v>
      </c>
      <c r="L4096" s="7">
        <v>0</v>
      </c>
      <c r="M4096" s="19" t="e">
        <f>Planning[[#This Row],[Saldo]]-Planning[[#This Row],[Saldo estimado]]</f>
        <v>#REF!</v>
      </c>
      <c r="N4096" s="60" t="e">
        <f>+SUMIFS(#REF!,#REF!,Planning[[#This Row],[Proyectos]],#REF!,Planning[[#This Row],[Tipo de Tarea y especialidad]])</f>
        <v>#REF!</v>
      </c>
      <c r="O4096" s="19">
        <f t="shared" si="126"/>
        <v>10</v>
      </c>
      <c r="P4096" s="19">
        <f t="shared" si="127"/>
        <v>2024</v>
      </c>
      <c r="Q40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96" s="19" t="str">
        <f>TEXT(Planning[[#This Row],[Mes]]*29,"mmmm")</f>
        <v>October</v>
      </c>
      <c r="S40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96" s="210"/>
      <c r="U4096" s="43">
        <f>IF(Planning[[#This Row],[Horas Planificadas]]&lt;&gt;0,+K4096/Planning[[#This Row],[Horas Planificadas]],0)</f>
        <v>0</v>
      </c>
      <c r="V4096" s="43">
        <f>IF(Planning[[#This Row],[Horas Planificadas]]&lt;&gt;0,Planning[[#This Row],[Horas utilizadas]]/Planning[[#This Row],[Horas Planificadas]],0)</f>
        <v>0</v>
      </c>
      <c r="W4096" s="44">
        <f>Planning[[#This Row],[Horas Planificadas]]+Planning[[#This Row],[Horas ajustadas adicionales]]</f>
        <v>0</v>
      </c>
      <c r="X4096" s="142"/>
    </row>
    <row r="4097" spans="1:24" x14ac:dyDescent="0.2">
      <c r="A4097" s="7" t="s">
        <v>117</v>
      </c>
      <c r="B4097" s="7" t="s">
        <v>205</v>
      </c>
      <c r="C4097" s="3"/>
      <c r="D4097" s="3" t="s">
        <v>714</v>
      </c>
      <c r="E4097" s="4"/>
      <c r="F4097" s="3" t="s">
        <v>130</v>
      </c>
      <c r="G4097" s="9">
        <v>0</v>
      </c>
      <c r="H4097" s="9">
        <v>0</v>
      </c>
      <c r="I4097" s="12"/>
      <c r="J4097" s="5" t="e">
        <f>SUM(SUMIFS(#REF!,#REF!,Planning[[#This Row],[Tipo de Tarea y especialidad]],#REF!,Planning[[#This Row],[Proyectos Reiwa]]),SUMIFS(#REF!,#REF!,Planning[[#This Row],[Tipo de Tarea y especialidad]],#REF!,Planning[[#This Row],[Proyectos]]))</f>
        <v>#REF!</v>
      </c>
      <c r="K4097" s="5" t="e">
        <f>+Planning[[#This Row],[Horas Planificadas]]+Planning[[#This Row],[Horas ajustadas adicionales]]-Planning[[#This Row],[Horas utilizadas]]</f>
        <v>#REF!</v>
      </c>
      <c r="L4097" s="7">
        <v>0</v>
      </c>
      <c r="M4097" s="19" t="e">
        <f>Planning[[#This Row],[Saldo]]-Planning[[#This Row],[Saldo estimado]]</f>
        <v>#REF!</v>
      </c>
      <c r="N4097" s="60" t="e">
        <f>+SUMIFS(#REF!,#REF!,Planning[[#This Row],[Proyectos]],#REF!,Planning[[#This Row],[Tipo de Tarea y especialidad]])</f>
        <v>#REF!</v>
      </c>
      <c r="O4097" s="19">
        <f t="shared" si="126"/>
        <v>10</v>
      </c>
      <c r="P4097" s="19">
        <f t="shared" si="127"/>
        <v>2024</v>
      </c>
      <c r="Q40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97" s="19" t="str">
        <f>TEXT(Planning[[#This Row],[Mes]]*29,"mmmm")</f>
        <v>October</v>
      </c>
      <c r="S40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97" s="210"/>
      <c r="U4097" s="43">
        <f>IF(Planning[[#This Row],[Horas Planificadas]]&lt;&gt;0,+K4097/Planning[[#This Row],[Horas Planificadas]],0)</f>
        <v>0</v>
      </c>
      <c r="V4097" s="43">
        <f>IF(Planning[[#This Row],[Horas Planificadas]]&lt;&gt;0,Planning[[#This Row],[Horas utilizadas]]/Planning[[#This Row],[Horas Planificadas]],0)</f>
        <v>0</v>
      </c>
      <c r="W4097" s="44">
        <f>Planning[[#This Row],[Horas Planificadas]]+Planning[[#This Row],[Horas ajustadas adicionales]]</f>
        <v>0</v>
      </c>
      <c r="X4097" s="142"/>
    </row>
    <row r="4098" spans="1:24" x14ac:dyDescent="0.2">
      <c r="A4098" s="7" t="s">
        <v>117</v>
      </c>
      <c r="B4098" s="7" t="s">
        <v>205</v>
      </c>
      <c r="C4098" s="3"/>
      <c r="D4098" s="3" t="s">
        <v>714</v>
      </c>
      <c r="E4098" s="4"/>
      <c r="F4098" s="3" t="s">
        <v>131</v>
      </c>
      <c r="G4098" s="9">
        <v>0</v>
      </c>
      <c r="H4098" s="9">
        <v>0</v>
      </c>
      <c r="I4098" s="12"/>
      <c r="J4098" s="5" t="e">
        <f>SUM(SUMIFS(#REF!,#REF!,Planning[[#This Row],[Tipo de Tarea y especialidad]],#REF!,Planning[[#This Row],[Proyectos Reiwa]]),SUMIFS(#REF!,#REF!,Planning[[#This Row],[Tipo de Tarea y especialidad]],#REF!,Planning[[#This Row],[Proyectos]]))</f>
        <v>#REF!</v>
      </c>
      <c r="K4098" s="5" t="e">
        <f>+Planning[[#This Row],[Horas Planificadas]]+Planning[[#This Row],[Horas ajustadas adicionales]]-Planning[[#This Row],[Horas utilizadas]]</f>
        <v>#REF!</v>
      </c>
      <c r="L4098" s="7">
        <v>0</v>
      </c>
      <c r="M4098" s="19" t="e">
        <f>Planning[[#This Row],[Saldo]]-Planning[[#This Row],[Saldo estimado]]</f>
        <v>#REF!</v>
      </c>
      <c r="N4098" s="60" t="e">
        <f>+SUMIFS(#REF!,#REF!,Planning[[#This Row],[Proyectos]],#REF!,Planning[[#This Row],[Tipo de Tarea y especialidad]])</f>
        <v>#REF!</v>
      </c>
      <c r="O4098" s="19">
        <f t="shared" si="126"/>
        <v>10</v>
      </c>
      <c r="P4098" s="19">
        <f t="shared" si="127"/>
        <v>2024</v>
      </c>
      <c r="Q40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098" s="19" t="str">
        <f>TEXT(Planning[[#This Row],[Mes]]*29,"mmmm")</f>
        <v>October</v>
      </c>
      <c r="S40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98" s="210"/>
      <c r="U4098" s="43">
        <f>IF(Planning[[#This Row],[Horas Planificadas]]&lt;&gt;0,+K4098/Planning[[#This Row],[Horas Planificadas]],0)</f>
        <v>0</v>
      </c>
      <c r="V4098" s="43">
        <f>IF(Planning[[#This Row],[Horas Planificadas]]&lt;&gt;0,Planning[[#This Row],[Horas utilizadas]]/Planning[[#This Row],[Horas Planificadas]],0)</f>
        <v>0</v>
      </c>
      <c r="W4098" s="44">
        <f>Planning[[#This Row],[Horas Planificadas]]+Planning[[#This Row],[Horas ajustadas adicionales]]</f>
        <v>0</v>
      </c>
      <c r="X4098" s="142"/>
    </row>
    <row r="4099" spans="1:24" ht="22.5" x14ac:dyDescent="0.2">
      <c r="A4099" s="7" t="s">
        <v>435</v>
      </c>
      <c r="B4099" s="7" t="s">
        <v>178</v>
      </c>
      <c r="C4099" s="3"/>
      <c r="D4099" s="3" t="s">
        <v>716</v>
      </c>
      <c r="E4099" s="4" t="s">
        <v>28</v>
      </c>
      <c r="F4099" s="3"/>
      <c r="G4099" s="9">
        <v>0</v>
      </c>
      <c r="H4099" s="14">
        <f>SUM(H4100:H4101)</f>
        <v>193</v>
      </c>
      <c r="I4099" s="14"/>
      <c r="J4099" s="14" t="e">
        <f>SUM(J4100:J4101)</f>
        <v>#REF!</v>
      </c>
      <c r="K4099" s="14" t="e">
        <f>+Planning[[#This Row],[Horas Planificadas]]+Planning[[#This Row],[Horas ajustadas adicionales]]-Planning[[#This Row],[Horas utilizadas]]</f>
        <v>#REF!</v>
      </c>
      <c r="L4099" s="15">
        <f>SUM(L4100:L4101)</f>
        <v>0</v>
      </c>
      <c r="M4099" s="14" t="e">
        <f>SUM(M4100:M4101)</f>
        <v>#REF!</v>
      </c>
      <c r="N4099" s="66" t="e">
        <f>+SUMIFS(#REF!,#REF!,Planning[[#This Row],[Proyectos]],#REF!,Planning[[#This Row],[Tipo de Tarea y especialidad]])</f>
        <v>#REF!</v>
      </c>
      <c r="O4099" s="14">
        <f t="shared" si="126"/>
        <v>10</v>
      </c>
      <c r="P4099" s="14">
        <f t="shared" si="127"/>
        <v>2024</v>
      </c>
      <c r="Q4099" s="28" t="e">
        <f>SUM(Q4100:Q4101)</f>
        <v>#REF!</v>
      </c>
      <c r="R4099" s="28" t="str">
        <f>TEXT(Planning[[#This Row],[Mes]]*29,"mmmm")</f>
        <v>October</v>
      </c>
      <c r="S40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099" s="220" t="s">
        <v>717</v>
      </c>
      <c r="U4099" s="43" t="e">
        <f>IF(Planning[[#This Row],[Horas Planificadas]]&lt;&gt;0,+K4099/Planning[[#This Row],[Horas Planificadas]],0)</f>
        <v>#REF!</v>
      </c>
      <c r="V4099" s="43" t="e">
        <f>IF(Planning[[#This Row],[Horas Planificadas]]&lt;&gt;0,Planning[[#This Row],[Horas utilizadas]]/Planning[[#This Row],[Horas Planificadas]],0)</f>
        <v>#REF!</v>
      </c>
      <c r="W4099" s="44">
        <f>Planning[[#This Row],[Horas Planificadas]]+Planning[[#This Row],[Horas ajustadas adicionales]]</f>
        <v>193</v>
      </c>
      <c r="X4099" s="142"/>
    </row>
    <row r="4100" spans="1:24" x14ac:dyDescent="0.2">
      <c r="A4100" s="7" t="s">
        <v>435</v>
      </c>
      <c r="B4100" s="7" t="s">
        <v>178</v>
      </c>
      <c r="C4100" s="3"/>
      <c r="D4100" s="3" t="s">
        <v>716</v>
      </c>
      <c r="E4100" s="4"/>
      <c r="F4100" s="3" t="s">
        <v>120</v>
      </c>
      <c r="G4100" s="9">
        <v>0</v>
      </c>
      <c r="H4100" s="9">
        <v>130</v>
      </c>
      <c r="I4100" s="12"/>
      <c r="J4100" s="5" t="e">
        <f>SUM(SUMIFS(#REF!,#REF!,Planning[[#This Row],[Tipo de Tarea y especialidad]],#REF!,Planning[[#This Row],[Proyectos Reiwa]]),SUMIFS(#REF!,#REF!,Planning[[#This Row],[Tipo de Tarea y especialidad]],#REF!,Planning[[#This Row],[Proyectos]]))</f>
        <v>#REF!</v>
      </c>
      <c r="K4100" s="5" t="e">
        <f>+Planning[[#This Row],[Horas Planificadas]]+Planning[[#This Row],[Horas ajustadas adicionales]]-Planning[[#This Row],[Horas utilizadas]]</f>
        <v>#REF!</v>
      </c>
      <c r="L4100" s="7">
        <v>0</v>
      </c>
      <c r="M4100" s="19" t="e">
        <f>Planning[[#This Row],[Saldo]]-Planning[[#This Row],[Saldo estimado]]</f>
        <v>#REF!</v>
      </c>
      <c r="N4100" s="60" t="e">
        <f>+SUMIFS(#REF!,#REF!,Planning[[#This Row],[Proyectos]],#REF!,Planning[[#This Row],[Tipo de Tarea y especialidad]])</f>
        <v>#REF!</v>
      </c>
      <c r="O4100" s="19">
        <f t="shared" si="126"/>
        <v>10</v>
      </c>
      <c r="P4100" s="19">
        <f t="shared" si="127"/>
        <v>2024</v>
      </c>
      <c r="Q41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00" s="19" t="str">
        <f>TEXT(Planning[[#This Row],[Mes]]*29,"mmmm")</f>
        <v>October</v>
      </c>
      <c r="S41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00" s="210"/>
      <c r="U4100" s="43" t="e">
        <f>IF(Planning[[#This Row],[Horas Planificadas]]&lt;&gt;0,+K4100/Planning[[#This Row],[Horas Planificadas]],0)</f>
        <v>#REF!</v>
      </c>
      <c r="V4100" s="43" t="e">
        <f>IF(Planning[[#This Row],[Horas Planificadas]]&lt;&gt;0,Planning[[#This Row],[Horas utilizadas]]/Planning[[#This Row],[Horas Planificadas]],0)</f>
        <v>#REF!</v>
      </c>
      <c r="W4100" s="44">
        <f>Planning[[#This Row],[Horas Planificadas]]+Planning[[#This Row],[Horas ajustadas adicionales]]</f>
        <v>130</v>
      </c>
      <c r="X4100" s="142"/>
    </row>
    <row r="4101" spans="1:24" x14ac:dyDescent="0.2">
      <c r="A4101" s="7" t="s">
        <v>435</v>
      </c>
      <c r="B4101" s="7" t="s">
        <v>178</v>
      </c>
      <c r="C4101" s="3"/>
      <c r="D4101" s="3" t="s">
        <v>716</v>
      </c>
      <c r="E4101" s="4"/>
      <c r="F4101" s="3" t="s">
        <v>121</v>
      </c>
      <c r="G4101" s="9">
        <v>0</v>
      </c>
      <c r="H4101" s="9">
        <v>63</v>
      </c>
      <c r="I4101" s="12"/>
      <c r="J4101" s="5" t="e">
        <f>SUM(SUMIFS(#REF!,#REF!,Planning[[#This Row],[Tipo de Tarea y especialidad]],#REF!,Planning[[#This Row],[Proyectos Reiwa]]),SUMIFS(#REF!,#REF!,Planning[[#This Row],[Tipo de Tarea y especialidad]],#REF!,Planning[[#This Row],[Proyectos]]))</f>
        <v>#REF!</v>
      </c>
      <c r="K4101" s="5" t="e">
        <f>+Planning[[#This Row],[Horas Planificadas]]+Planning[[#This Row],[Horas ajustadas adicionales]]-Planning[[#This Row],[Horas utilizadas]]</f>
        <v>#REF!</v>
      </c>
      <c r="L4101" s="7">
        <v>0</v>
      </c>
      <c r="M4101" s="19" t="e">
        <f>Planning[[#This Row],[Saldo]]-Planning[[#This Row],[Saldo estimado]]</f>
        <v>#REF!</v>
      </c>
      <c r="N4101" s="60" t="e">
        <f>+SUMIFS(#REF!,#REF!,Planning[[#This Row],[Proyectos]],#REF!,Planning[[#This Row],[Tipo de Tarea y especialidad]])</f>
        <v>#REF!</v>
      </c>
      <c r="O4101" s="19">
        <f t="shared" si="126"/>
        <v>10</v>
      </c>
      <c r="P4101" s="19">
        <f t="shared" si="127"/>
        <v>2024</v>
      </c>
      <c r="Q41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01" s="19" t="str">
        <f>TEXT(Planning[[#This Row],[Mes]]*29,"mmmm")</f>
        <v>October</v>
      </c>
      <c r="S41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01" s="210"/>
      <c r="U4101" s="43" t="e">
        <f>IF(Planning[[#This Row],[Horas Planificadas]]&lt;&gt;0,+K4101/Planning[[#This Row],[Horas Planificadas]],0)</f>
        <v>#REF!</v>
      </c>
      <c r="V4101" s="43" t="e">
        <f>IF(Planning[[#This Row],[Horas Planificadas]]&lt;&gt;0,Planning[[#This Row],[Horas utilizadas]]/Planning[[#This Row],[Horas Planificadas]],0)</f>
        <v>#REF!</v>
      </c>
      <c r="W4101" s="44">
        <f>Planning[[#This Row],[Horas Planificadas]]+Planning[[#This Row],[Horas ajustadas adicionales]]</f>
        <v>63</v>
      </c>
      <c r="X4101" s="142"/>
    </row>
    <row r="4102" spans="1:24" x14ac:dyDescent="0.2">
      <c r="A4102" s="7" t="s">
        <v>435</v>
      </c>
      <c r="B4102" s="7" t="s">
        <v>178</v>
      </c>
      <c r="C4102" s="3"/>
      <c r="D4102" s="3" t="s">
        <v>716</v>
      </c>
      <c r="E4102" s="4" t="s">
        <v>30</v>
      </c>
      <c r="F4102" s="3"/>
      <c r="G4102" s="9">
        <v>0</v>
      </c>
      <c r="H4102" s="14">
        <f>SUM(H4103:H4109)</f>
        <v>216</v>
      </c>
      <c r="I4102" s="14"/>
      <c r="J4102" s="14" t="e">
        <f>SUM(J4103:J4109)</f>
        <v>#REF!</v>
      </c>
      <c r="K4102" s="14" t="e">
        <f>+Planning[[#This Row],[Horas Planificadas]]+Planning[[#This Row],[Horas ajustadas adicionales]]-Planning[[#This Row],[Horas utilizadas]]</f>
        <v>#REF!</v>
      </c>
      <c r="L4102" s="15">
        <f>SUM(L4103:L4109)</f>
        <v>0</v>
      </c>
      <c r="M4102" s="16" t="e">
        <f>SUM(M4103:M4109)</f>
        <v>#REF!</v>
      </c>
      <c r="N4102" s="60" t="e">
        <f>+SUMIFS(#REF!,#REF!,Planning[[#This Row],[Proyectos]],#REF!,Planning[[#This Row],[Tipo de Tarea y especialidad]])</f>
        <v>#REF!</v>
      </c>
      <c r="O4102" s="16">
        <f t="shared" si="126"/>
        <v>10</v>
      </c>
      <c r="P4102" s="16">
        <f t="shared" si="127"/>
        <v>2024</v>
      </c>
      <c r="Q4102" s="16" t="e">
        <f>SUM(Q4103:Q4109)</f>
        <v>#REF!</v>
      </c>
      <c r="R4102" s="16" t="str">
        <f>TEXT(Planning[[#This Row],[Mes]]*29,"mmmm")</f>
        <v>October</v>
      </c>
      <c r="S41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02" s="210"/>
      <c r="U4102" s="43" t="e">
        <f>IF(Planning[[#This Row],[Horas Planificadas]]&lt;&gt;0,+K4102/Planning[[#This Row],[Horas Planificadas]],0)</f>
        <v>#REF!</v>
      </c>
      <c r="V4102" s="43" t="e">
        <f>IF(Planning[[#This Row],[Horas Planificadas]]&lt;&gt;0,Planning[[#This Row],[Horas utilizadas]]/Planning[[#This Row],[Horas Planificadas]],0)</f>
        <v>#REF!</v>
      </c>
      <c r="W4102" s="44">
        <f>Planning[[#This Row],[Horas Planificadas]]+Planning[[#This Row],[Horas ajustadas adicionales]]</f>
        <v>216</v>
      </c>
      <c r="X4102" s="142"/>
    </row>
    <row r="4103" spans="1:24" x14ac:dyDescent="0.2">
      <c r="A4103" s="7" t="s">
        <v>435</v>
      </c>
      <c r="B4103" s="7" t="s">
        <v>178</v>
      </c>
      <c r="C4103" s="3"/>
      <c r="D4103" s="3" t="s">
        <v>716</v>
      </c>
      <c r="E4103" s="4"/>
      <c r="F4103" s="3" t="s">
        <v>122</v>
      </c>
      <c r="G4103" s="9">
        <v>0</v>
      </c>
      <c r="H4103" s="9">
        <v>0</v>
      </c>
      <c r="I4103" s="12"/>
      <c r="J4103" s="5" t="e">
        <f>SUM(SUMIFS(#REF!,#REF!,Planning[[#This Row],[Tipo de Tarea y especialidad]],#REF!,Planning[[#This Row],[Proyectos Reiwa]]),SUMIFS(#REF!,#REF!,Planning[[#This Row],[Tipo de Tarea y especialidad]],#REF!,Planning[[#This Row],[Proyectos]]))</f>
        <v>#REF!</v>
      </c>
      <c r="K4103" s="5" t="e">
        <f>+Planning[[#This Row],[Horas Planificadas]]+Planning[[#This Row],[Horas ajustadas adicionales]]-Planning[[#This Row],[Horas utilizadas]]</f>
        <v>#REF!</v>
      </c>
      <c r="L4103" s="7">
        <v>0</v>
      </c>
      <c r="M4103" s="19" t="e">
        <f>Planning[[#This Row],[Saldo]]-Planning[[#This Row],[Saldo estimado]]</f>
        <v>#REF!</v>
      </c>
      <c r="N4103" s="60" t="e">
        <f>+SUMIFS(#REF!,#REF!,Planning[[#This Row],[Proyectos]],#REF!,Planning[[#This Row],[Tipo de Tarea y especialidad]])</f>
        <v>#REF!</v>
      </c>
      <c r="O4103" s="19">
        <f t="shared" ref="O4103:O4166" si="128">$L$4</f>
        <v>10</v>
      </c>
      <c r="P4103" s="19">
        <f t="shared" ref="P4103:P4166" si="129">$M$4</f>
        <v>2024</v>
      </c>
      <c r="Q41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03" s="19" t="str">
        <f>TEXT(Planning[[#This Row],[Mes]]*29,"mmmm")</f>
        <v>October</v>
      </c>
      <c r="S41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03" s="210"/>
      <c r="U4103" s="43">
        <f>IF(Planning[[#This Row],[Horas Planificadas]]&lt;&gt;0,+K4103/Planning[[#This Row],[Horas Planificadas]],0)</f>
        <v>0</v>
      </c>
      <c r="V4103" s="43">
        <f>IF(Planning[[#This Row],[Horas Planificadas]]&lt;&gt;0,Planning[[#This Row],[Horas utilizadas]]/Planning[[#This Row],[Horas Planificadas]],0)</f>
        <v>0</v>
      </c>
      <c r="W4103" s="44">
        <f>Planning[[#This Row],[Horas Planificadas]]+Planning[[#This Row],[Horas ajustadas adicionales]]</f>
        <v>0</v>
      </c>
      <c r="X4103" s="142"/>
    </row>
    <row r="4104" spans="1:24" x14ac:dyDescent="0.2">
      <c r="A4104" s="7" t="s">
        <v>435</v>
      </c>
      <c r="B4104" s="7" t="s">
        <v>178</v>
      </c>
      <c r="C4104" s="3"/>
      <c r="D4104" s="3" t="s">
        <v>716</v>
      </c>
      <c r="E4104" s="4"/>
      <c r="F4104" s="3" t="s">
        <v>123</v>
      </c>
      <c r="G4104" s="9">
        <v>0</v>
      </c>
      <c r="H4104" s="9">
        <v>108</v>
      </c>
      <c r="I4104" s="12"/>
      <c r="J4104" s="5" t="e">
        <f>SUM(SUMIFS(#REF!,#REF!,Planning[[#This Row],[Tipo de Tarea y especialidad]],#REF!,Planning[[#This Row],[Proyectos Reiwa]]),SUMIFS(#REF!,#REF!,Planning[[#This Row],[Tipo de Tarea y especialidad]],#REF!,Planning[[#This Row],[Proyectos]]))</f>
        <v>#REF!</v>
      </c>
      <c r="K4104" s="5" t="e">
        <f>+Planning[[#This Row],[Horas Planificadas]]+Planning[[#This Row],[Horas ajustadas adicionales]]-Planning[[#This Row],[Horas utilizadas]]</f>
        <v>#REF!</v>
      </c>
      <c r="L4104" s="7">
        <v>0</v>
      </c>
      <c r="M4104" s="19" t="e">
        <f>Planning[[#This Row],[Saldo]]-Planning[[#This Row],[Saldo estimado]]</f>
        <v>#REF!</v>
      </c>
      <c r="N4104" s="60" t="e">
        <f>+SUMIFS(#REF!,#REF!,Planning[[#This Row],[Proyectos]],#REF!,Planning[[#This Row],[Tipo de Tarea y especialidad]])</f>
        <v>#REF!</v>
      </c>
      <c r="O4104" s="19">
        <f t="shared" si="128"/>
        <v>10</v>
      </c>
      <c r="P4104" s="19">
        <f t="shared" si="129"/>
        <v>2024</v>
      </c>
      <c r="Q41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04" s="19" t="str">
        <f>TEXT(Planning[[#This Row],[Mes]]*29,"mmmm")</f>
        <v>October</v>
      </c>
      <c r="S41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04" s="210"/>
      <c r="U4104" s="43" t="e">
        <f>IF(Planning[[#This Row],[Horas Planificadas]]&lt;&gt;0,+K4104/Planning[[#This Row],[Horas Planificadas]],0)</f>
        <v>#REF!</v>
      </c>
      <c r="V4104" s="43" t="e">
        <f>IF(Planning[[#This Row],[Horas Planificadas]]&lt;&gt;0,Planning[[#This Row],[Horas utilizadas]]/Planning[[#This Row],[Horas Planificadas]],0)</f>
        <v>#REF!</v>
      </c>
      <c r="W4104" s="44">
        <f>Planning[[#This Row],[Horas Planificadas]]+Planning[[#This Row],[Horas ajustadas adicionales]]</f>
        <v>108</v>
      </c>
      <c r="X4104" s="142"/>
    </row>
    <row r="4105" spans="1:24" x14ac:dyDescent="0.2">
      <c r="A4105" s="7" t="s">
        <v>435</v>
      </c>
      <c r="B4105" s="7" t="s">
        <v>178</v>
      </c>
      <c r="C4105" s="3"/>
      <c r="D4105" s="3" t="s">
        <v>716</v>
      </c>
      <c r="E4105" s="4"/>
      <c r="F4105" s="3" t="s">
        <v>124</v>
      </c>
      <c r="G4105" s="9">
        <v>0</v>
      </c>
      <c r="H4105" s="9">
        <v>0</v>
      </c>
      <c r="I4105" s="12"/>
      <c r="J4105" s="5" t="e">
        <f>SUM(SUMIFS(#REF!,#REF!,Planning[[#This Row],[Tipo de Tarea y especialidad]],#REF!,Planning[[#This Row],[Proyectos Reiwa]]),SUMIFS(#REF!,#REF!,Planning[[#This Row],[Tipo de Tarea y especialidad]],#REF!,Planning[[#This Row],[Proyectos]]))</f>
        <v>#REF!</v>
      </c>
      <c r="K4105" s="5" t="e">
        <f>+Planning[[#This Row],[Horas Planificadas]]+Planning[[#This Row],[Horas ajustadas adicionales]]-Planning[[#This Row],[Horas utilizadas]]</f>
        <v>#REF!</v>
      </c>
      <c r="L4105" s="7">
        <v>0</v>
      </c>
      <c r="M4105" s="19" t="e">
        <f>Planning[[#This Row],[Saldo]]-Planning[[#This Row],[Saldo estimado]]</f>
        <v>#REF!</v>
      </c>
      <c r="N4105" s="60" t="e">
        <f>+SUMIFS(#REF!,#REF!,Planning[[#This Row],[Proyectos]],#REF!,Planning[[#This Row],[Tipo de Tarea y especialidad]])</f>
        <v>#REF!</v>
      </c>
      <c r="O4105" s="19">
        <f t="shared" si="128"/>
        <v>10</v>
      </c>
      <c r="P4105" s="19">
        <f t="shared" si="129"/>
        <v>2024</v>
      </c>
      <c r="Q41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05" s="19" t="str">
        <f>TEXT(Planning[[#This Row],[Mes]]*29,"mmmm")</f>
        <v>October</v>
      </c>
      <c r="S41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05" s="210"/>
      <c r="U4105" s="43">
        <f>IF(Planning[[#This Row],[Horas Planificadas]]&lt;&gt;0,+K4105/Planning[[#This Row],[Horas Planificadas]],0)</f>
        <v>0</v>
      </c>
      <c r="V4105" s="43">
        <f>IF(Planning[[#This Row],[Horas Planificadas]]&lt;&gt;0,Planning[[#This Row],[Horas utilizadas]]/Planning[[#This Row],[Horas Planificadas]],0)</f>
        <v>0</v>
      </c>
      <c r="W4105" s="44">
        <f>Planning[[#This Row],[Horas Planificadas]]+Planning[[#This Row],[Horas ajustadas adicionales]]</f>
        <v>0</v>
      </c>
      <c r="X4105" s="142"/>
    </row>
    <row r="4106" spans="1:24" x14ac:dyDescent="0.2">
      <c r="A4106" s="7" t="s">
        <v>435</v>
      </c>
      <c r="B4106" s="7" t="s">
        <v>178</v>
      </c>
      <c r="C4106" s="3"/>
      <c r="D4106" s="3" t="s">
        <v>716</v>
      </c>
      <c r="E4106" s="4"/>
      <c r="F4106" s="3" t="s">
        <v>125</v>
      </c>
      <c r="G4106" s="9">
        <v>0</v>
      </c>
      <c r="H4106" s="9">
        <v>45</v>
      </c>
      <c r="I4106" s="12"/>
      <c r="J4106" s="5" t="e">
        <f>SUM(SUMIFS(#REF!,#REF!,Planning[[#This Row],[Tipo de Tarea y especialidad]],#REF!,Planning[[#This Row],[Proyectos Reiwa]]),SUMIFS(#REF!,#REF!,Planning[[#This Row],[Tipo de Tarea y especialidad]],#REF!,Planning[[#This Row],[Proyectos]]))</f>
        <v>#REF!</v>
      </c>
      <c r="K4106" s="5" t="e">
        <f>+Planning[[#This Row],[Horas Planificadas]]+Planning[[#This Row],[Horas ajustadas adicionales]]-Planning[[#This Row],[Horas utilizadas]]</f>
        <v>#REF!</v>
      </c>
      <c r="L4106" s="7">
        <v>0</v>
      </c>
      <c r="M4106" s="19" t="e">
        <f>Planning[[#This Row],[Saldo]]-Planning[[#This Row],[Saldo estimado]]</f>
        <v>#REF!</v>
      </c>
      <c r="N4106" s="60" t="e">
        <f>+SUMIFS(#REF!,#REF!,Planning[[#This Row],[Proyectos]],#REF!,Planning[[#This Row],[Tipo de Tarea y especialidad]])</f>
        <v>#REF!</v>
      </c>
      <c r="O4106" s="19">
        <f t="shared" si="128"/>
        <v>10</v>
      </c>
      <c r="P4106" s="19">
        <f t="shared" si="129"/>
        <v>2024</v>
      </c>
      <c r="Q41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06" s="19" t="str">
        <f>TEXT(Planning[[#This Row],[Mes]]*29,"mmmm")</f>
        <v>October</v>
      </c>
      <c r="S41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06" s="210"/>
      <c r="U4106" s="43" t="e">
        <f>IF(Planning[[#This Row],[Horas Planificadas]]&lt;&gt;0,+K4106/Planning[[#This Row],[Horas Planificadas]],0)</f>
        <v>#REF!</v>
      </c>
      <c r="V4106" s="43" t="e">
        <f>IF(Planning[[#This Row],[Horas Planificadas]]&lt;&gt;0,Planning[[#This Row],[Horas utilizadas]]/Planning[[#This Row],[Horas Planificadas]],0)</f>
        <v>#REF!</v>
      </c>
      <c r="W4106" s="44">
        <f>Planning[[#This Row],[Horas Planificadas]]+Planning[[#This Row],[Horas ajustadas adicionales]]</f>
        <v>45</v>
      </c>
      <c r="X4106" s="142"/>
    </row>
    <row r="4107" spans="1:24" x14ac:dyDescent="0.2">
      <c r="A4107" s="7" t="s">
        <v>435</v>
      </c>
      <c r="B4107" s="7" t="s">
        <v>178</v>
      </c>
      <c r="C4107" s="3"/>
      <c r="D4107" s="3" t="s">
        <v>716</v>
      </c>
      <c r="E4107" s="4"/>
      <c r="F4107" s="3" t="s">
        <v>126</v>
      </c>
      <c r="G4107" s="9">
        <v>0</v>
      </c>
      <c r="H4107" s="9">
        <v>0</v>
      </c>
      <c r="I4107" s="12"/>
      <c r="J4107" s="5" t="e">
        <f>SUM(SUMIFS(#REF!,#REF!,Planning[[#This Row],[Tipo de Tarea y especialidad]],#REF!,Planning[[#This Row],[Proyectos Reiwa]]),SUMIFS(#REF!,#REF!,Planning[[#This Row],[Tipo de Tarea y especialidad]],#REF!,Planning[[#This Row],[Proyectos]]))</f>
        <v>#REF!</v>
      </c>
      <c r="K4107" s="5" t="e">
        <f>+Planning[[#This Row],[Horas Planificadas]]+Planning[[#This Row],[Horas ajustadas adicionales]]-Planning[[#This Row],[Horas utilizadas]]</f>
        <v>#REF!</v>
      </c>
      <c r="L4107" s="7">
        <v>0</v>
      </c>
      <c r="M4107" s="19" t="e">
        <f>Planning[[#This Row],[Saldo]]-Planning[[#This Row],[Saldo estimado]]</f>
        <v>#REF!</v>
      </c>
      <c r="N4107" s="60" t="e">
        <f>+SUMIFS(#REF!,#REF!,Planning[[#This Row],[Proyectos]],#REF!,Planning[[#This Row],[Tipo de Tarea y especialidad]])</f>
        <v>#REF!</v>
      </c>
      <c r="O4107" s="19">
        <f t="shared" si="128"/>
        <v>10</v>
      </c>
      <c r="P4107" s="19">
        <f t="shared" si="129"/>
        <v>2024</v>
      </c>
      <c r="Q41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07" s="19" t="str">
        <f>TEXT(Planning[[#This Row],[Mes]]*29,"mmmm")</f>
        <v>October</v>
      </c>
      <c r="S41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07" s="210"/>
      <c r="U4107" s="43">
        <f>IF(Planning[[#This Row],[Horas Planificadas]]&lt;&gt;0,+K4107/Planning[[#This Row],[Horas Planificadas]],0)</f>
        <v>0</v>
      </c>
      <c r="V4107" s="43">
        <f>IF(Planning[[#This Row],[Horas Planificadas]]&lt;&gt;0,Planning[[#This Row],[Horas utilizadas]]/Planning[[#This Row],[Horas Planificadas]],0)</f>
        <v>0</v>
      </c>
      <c r="W4107" s="44">
        <f>Planning[[#This Row],[Horas Planificadas]]+Planning[[#This Row],[Horas ajustadas adicionales]]</f>
        <v>0</v>
      </c>
      <c r="X4107" s="142"/>
    </row>
    <row r="4108" spans="1:24" x14ac:dyDescent="0.2">
      <c r="A4108" s="7" t="s">
        <v>435</v>
      </c>
      <c r="B4108" s="7" t="s">
        <v>178</v>
      </c>
      <c r="C4108" s="3"/>
      <c r="D4108" s="3" t="s">
        <v>716</v>
      </c>
      <c r="E4108" s="4"/>
      <c r="F4108" s="3" t="s">
        <v>127</v>
      </c>
      <c r="G4108" s="9">
        <v>0</v>
      </c>
      <c r="H4108" s="9">
        <v>63</v>
      </c>
      <c r="I4108" s="12"/>
      <c r="J4108" s="5" t="e">
        <f>SUM(SUMIFS(#REF!,#REF!,Planning[[#This Row],[Tipo de Tarea y especialidad]],#REF!,Planning[[#This Row],[Proyectos Reiwa]]),SUMIFS(#REF!,#REF!,Planning[[#This Row],[Tipo de Tarea y especialidad]],#REF!,Planning[[#This Row],[Proyectos]]))</f>
        <v>#REF!</v>
      </c>
      <c r="K4108" s="5" t="e">
        <f>+Planning[[#This Row],[Horas Planificadas]]+Planning[[#This Row],[Horas ajustadas adicionales]]-Planning[[#This Row],[Horas utilizadas]]</f>
        <v>#REF!</v>
      </c>
      <c r="L4108" s="7">
        <v>0</v>
      </c>
      <c r="M4108" s="19" t="e">
        <f>Planning[[#This Row],[Saldo]]-Planning[[#This Row],[Saldo estimado]]</f>
        <v>#REF!</v>
      </c>
      <c r="N4108" s="60" t="e">
        <f>+SUMIFS(#REF!,#REF!,Planning[[#This Row],[Proyectos]],#REF!,Planning[[#This Row],[Tipo de Tarea y especialidad]])</f>
        <v>#REF!</v>
      </c>
      <c r="O4108" s="19">
        <f t="shared" si="128"/>
        <v>10</v>
      </c>
      <c r="P4108" s="19">
        <f t="shared" si="129"/>
        <v>2024</v>
      </c>
      <c r="Q41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08" s="19" t="str">
        <f>TEXT(Planning[[#This Row],[Mes]]*29,"mmmm")</f>
        <v>October</v>
      </c>
      <c r="S41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08" s="210"/>
      <c r="U4108" s="43" t="e">
        <f>IF(Planning[[#This Row],[Horas Planificadas]]&lt;&gt;0,+K4108/Planning[[#This Row],[Horas Planificadas]],0)</f>
        <v>#REF!</v>
      </c>
      <c r="V4108" s="43" t="e">
        <f>IF(Planning[[#This Row],[Horas Planificadas]]&lt;&gt;0,Planning[[#This Row],[Horas utilizadas]]/Planning[[#This Row],[Horas Planificadas]],0)</f>
        <v>#REF!</v>
      </c>
      <c r="W4108" s="44">
        <f>Planning[[#This Row],[Horas Planificadas]]+Planning[[#This Row],[Horas ajustadas adicionales]]</f>
        <v>63</v>
      </c>
      <c r="X4108" s="142"/>
    </row>
    <row r="4109" spans="1:24" x14ac:dyDescent="0.2">
      <c r="A4109" s="7" t="s">
        <v>435</v>
      </c>
      <c r="B4109" s="7" t="s">
        <v>178</v>
      </c>
      <c r="C4109" s="3"/>
      <c r="D4109" s="3" t="s">
        <v>716</v>
      </c>
      <c r="E4109" s="4"/>
      <c r="F4109" s="3" t="s">
        <v>128</v>
      </c>
      <c r="G4109" s="9">
        <v>0</v>
      </c>
      <c r="H4109" s="9">
        <v>0</v>
      </c>
      <c r="I4109" s="12"/>
      <c r="J4109" s="5" t="e">
        <f>SUM(SUMIFS(#REF!,#REF!,Planning[[#This Row],[Tipo de Tarea y especialidad]],#REF!,Planning[[#This Row],[Proyectos Reiwa]]),SUMIFS(#REF!,#REF!,Planning[[#This Row],[Tipo de Tarea y especialidad]],#REF!,Planning[[#This Row],[Proyectos]]))</f>
        <v>#REF!</v>
      </c>
      <c r="K4109" s="5" t="e">
        <f>+Planning[[#This Row],[Horas Planificadas]]+Planning[[#This Row],[Horas ajustadas adicionales]]-Planning[[#This Row],[Horas utilizadas]]</f>
        <v>#REF!</v>
      </c>
      <c r="L4109" s="7">
        <v>0</v>
      </c>
      <c r="M4109" s="19" t="e">
        <f>Planning[[#This Row],[Saldo]]-Planning[[#This Row],[Saldo estimado]]</f>
        <v>#REF!</v>
      </c>
      <c r="N4109" s="60" t="e">
        <f>+SUMIFS(#REF!,#REF!,Planning[[#This Row],[Proyectos]],#REF!,Planning[[#This Row],[Tipo de Tarea y especialidad]])</f>
        <v>#REF!</v>
      </c>
      <c r="O4109" s="19">
        <f t="shared" si="128"/>
        <v>10</v>
      </c>
      <c r="P4109" s="19">
        <f t="shared" si="129"/>
        <v>2024</v>
      </c>
      <c r="Q41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09" s="19" t="str">
        <f>TEXT(Planning[[#This Row],[Mes]]*29,"mmmm")</f>
        <v>October</v>
      </c>
      <c r="S41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09" s="210"/>
      <c r="U4109" s="43">
        <f>IF(Planning[[#This Row],[Horas Planificadas]]&lt;&gt;0,+K4109/Planning[[#This Row],[Horas Planificadas]],0)</f>
        <v>0</v>
      </c>
      <c r="V4109" s="43">
        <f>IF(Planning[[#This Row],[Horas Planificadas]]&lt;&gt;0,Planning[[#This Row],[Horas utilizadas]]/Planning[[#This Row],[Horas Planificadas]],0)</f>
        <v>0</v>
      </c>
      <c r="W4109" s="44">
        <f>Planning[[#This Row],[Horas Planificadas]]+Planning[[#This Row],[Horas ajustadas adicionales]]</f>
        <v>0</v>
      </c>
      <c r="X4109" s="142"/>
    </row>
    <row r="4110" spans="1:24" x14ac:dyDescent="0.2">
      <c r="A4110" s="7" t="s">
        <v>435</v>
      </c>
      <c r="B4110" s="7" t="s">
        <v>178</v>
      </c>
      <c r="C4110" s="3"/>
      <c r="D4110" s="3" t="s">
        <v>716</v>
      </c>
      <c r="E4110" s="4" t="s">
        <v>31</v>
      </c>
      <c r="F4110" s="3" t="s">
        <v>31</v>
      </c>
      <c r="G4110" s="9">
        <v>14</v>
      </c>
      <c r="H4110" s="17">
        <f>Planning[[#This Row],[Horas Precálculo]]</f>
        <v>14</v>
      </c>
      <c r="I4110" s="18"/>
      <c r="J4110" s="14" t="e">
        <f>+SUMIFS(#REF!,#REF!,Planning[[#This Row],[Tarifa]],#REF!,Planning[[#This Row],[Proyectos]])</f>
        <v>#REF!</v>
      </c>
      <c r="K4110" s="14" t="e">
        <f>+Planning[[#This Row],[Horas Planificadas]]+Planning[[#This Row],[Horas ajustadas adicionales]]-Planning[[#This Row],[Horas utilizadas]]</f>
        <v>#REF!</v>
      </c>
      <c r="L4110" s="15">
        <v>0</v>
      </c>
      <c r="M4110" s="16" t="e">
        <f>Planning[[#This Row],[Saldo]]-Planning[[#This Row],[Saldo estimado]]</f>
        <v>#REF!</v>
      </c>
      <c r="N4110" s="60" t="e">
        <f>+SUMIFS(#REF!,#REF!,Planning[[#This Row],[Proyectos]],#REF!,Planning[[#This Row],[Tipo de Tarea y especialidad]])</f>
        <v>#REF!</v>
      </c>
      <c r="O4110" s="16">
        <f t="shared" si="128"/>
        <v>10</v>
      </c>
      <c r="P4110" s="16">
        <f t="shared" si="129"/>
        <v>2024</v>
      </c>
      <c r="Q4110" s="16" t="e">
        <f>+SUMIFS(#REF!,#REF!,Planning[[#This Row],[Tarifa]],#REF!,Planning[[#This Row],[Proyectos]],#REF!,Planning[[#This Row],[Mes]],#REF!,Planning[[#This Row],[Año]])</f>
        <v>#REF!</v>
      </c>
      <c r="R4110" s="16" t="str">
        <f>TEXT(Planning[[#This Row],[Mes]]*29,"mmmm")</f>
        <v>October</v>
      </c>
      <c r="S41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10" s="210"/>
      <c r="U4110" s="43" t="e">
        <f>IF(Planning[[#This Row],[Horas Planificadas]]&lt;&gt;0,+K4110/Planning[[#This Row],[Horas Planificadas]],0)</f>
        <v>#REF!</v>
      </c>
      <c r="V4110" s="43" t="e">
        <f>IF(Planning[[#This Row],[Horas Planificadas]]&lt;&gt;0,Planning[[#This Row],[Horas utilizadas]]/Planning[[#This Row],[Horas Planificadas]],0)</f>
        <v>#REF!</v>
      </c>
      <c r="W4110" s="44">
        <f>Planning[[#This Row],[Horas Planificadas]]+Planning[[#This Row],[Horas ajustadas adicionales]]</f>
        <v>14</v>
      </c>
      <c r="X4110" s="142"/>
    </row>
    <row r="4111" spans="1:24" ht="22.5" x14ac:dyDescent="0.2">
      <c r="A4111" s="7" t="s">
        <v>435</v>
      </c>
      <c r="B4111" s="7" t="s">
        <v>178</v>
      </c>
      <c r="C4111" s="3"/>
      <c r="D4111" s="3" t="s">
        <v>716</v>
      </c>
      <c r="E4111" s="4" t="s">
        <v>32</v>
      </c>
      <c r="F4111" s="3"/>
      <c r="G4111" s="9">
        <v>0</v>
      </c>
      <c r="H4111" s="14">
        <f>SUM(H4112:H4114)</f>
        <v>60</v>
      </c>
      <c r="I4111" s="14"/>
      <c r="J4111" s="14" t="e">
        <f>SUM(J4112:J4114)</f>
        <v>#REF!</v>
      </c>
      <c r="K4111" s="14" t="e">
        <f>+Planning[[#This Row],[Horas Planificadas]]+Planning[[#This Row],[Horas ajustadas adicionales]]-Planning[[#This Row],[Horas utilizadas]]</f>
        <v>#REF!</v>
      </c>
      <c r="L4111" s="15">
        <f>SUM(L4112:L4114)</f>
        <v>0</v>
      </c>
      <c r="M4111" s="16" t="e">
        <f>SUM(M4112:M4114)</f>
        <v>#REF!</v>
      </c>
      <c r="N4111" s="60" t="e">
        <f>+SUMIFS(#REF!,#REF!,Planning[[#This Row],[Proyectos]],#REF!,Planning[[#This Row],[Tipo de Tarea y especialidad]])</f>
        <v>#REF!</v>
      </c>
      <c r="O4111" s="16">
        <f t="shared" si="128"/>
        <v>10</v>
      </c>
      <c r="P4111" s="16">
        <f t="shared" si="129"/>
        <v>2024</v>
      </c>
      <c r="Q4111" s="16" t="e">
        <f>SUM(Q4112:Q4114)</f>
        <v>#REF!</v>
      </c>
      <c r="R4111" s="16" t="str">
        <f>TEXT(Planning[[#This Row],[Mes]]*29,"mmmm")</f>
        <v>October</v>
      </c>
      <c r="S41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11" s="210"/>
      <c r="U4111" s="43" t="e">
        <f>IF(Planning[[#This Row],[Horas Planificadas]]&lt;&gt;0,+K4111/Planning[[#This Row],[Horas Planificadas]],0)</f>
        <v>#REF!</v>
      </c>
      <c r="V4111" s="43" t="e">
        <f>IF(Planning[[#This Row],[Horas Planificadas]]&lt;&gt;0,Planning[[#This Row],[Horas utilizadas]]/Planning[[#This Row],[Horas Planificadas]],0)</f>
        <v>#REF!</v>
      </c>
      <c r="W4111" s="44">
        <f>Planning[[#This Row],[Horas Planificadas]]+Planning[[#This Row],[Horas ajustadas adicionales]]</f>
        <v>60</v>
      </c>
      <c r="X4111" s="142"/>
    </row>
    <row r="4112" spans="1:24" x14ac:dyDescent="0.2">
      <c r="A4112" s="7" t="s">
        <v>435</v>
      </c>
      <c r="B4112" s="7" t="s">
        <v>178</v>
      </c>
      <c r="C4112" s="3"/>
      <c r="D4112" s="3" t="s">
        <v>716</v>
      </c>
      <c r="E4112" s="4"/>
      <c r="F4112" s="3" t="s">
        <v>129</v>
      </c>
      <c r="G4112" s="9">
        <v>0</v>
      </c>
      <c r="H4112" s="9">
        <v>0</v>
      </c>
      <c r="I4112" s="12"/>
      <c r="J4112" s="5" t="e">
        <f>SUM(SUMIFS(#REF!,#REF!,Planning[[#This Row],[Tipo de Tarea y especialidad]],#REF!,Planning[[#This Row],[Proyectos Reiwa]]),SUMIFS(#REF!,#REF!,Planning[[#This Row],[Tipo de Tarea y especialidad]],#REF!,Planning[[#This Row],[Proyectos]]))</f>
        <v>#REF!</v>
      </c>
      <c r="K4112" s="5" t="e">
        <f>+Planning[[#This Row],[Horas Planificadas]]+Planning[[#This Row],[Horas ajustadas adicionales]]-Planning[[#This Row],[Horas utilizadas]]</f>
        <v>#REF!</v>
      </c>
      <c r="L4112" s="7">
        <v>0</v>
      </c>
      <c r="M4112" s="19" t="e">
        <f>Planning[[#This Row],[Saldo]]-Planning[[#This Row],[Saldo estimado]]</f>
        <v>#REF!</v>
      </c>
      <c r="N4112" s="60" t="e">
        <f>+SUMIFS(#REF!,#REF!,Planning[[#This Row],[Proyectos]],#REF!,Planning[[#This Row],[Tipo de Tarea y especialidad]])</f>
        <v>#REF!</v>
      </c>
      <c r="O4112" s="19">
        <f t="shared" si="128"/>
        <v>10</v>
      </c>
      <c r="P4112" s="19">
        <f t="shared" si="129"/>
        <v>2024</v>
      </c>
      <c r="Q41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12" s="19" t="str">
        <f>TEXT(Planning[[#This Row],[Mes]]*29,"mmmm")</f>
        <v>October</v>
      </c>
      <c r="S41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12" s="210"/>
      <c r="U4112" s="43">
        <f>IF(Planning[[#This Row],[Horas Planificadas]]&lt;&gt;0,+K4112/Planning[[#This Row],[Horas Planificadas]],0)</f>
        <v>0</v>
      </c>
      <c r="V4112" s="43">
        <f>IF(Planning[[#This Row],[Horas Planificadas]]&lt;&gt;0,Planning[[#This Row],[Horas utilizadas]]/Planning[[#This Row],[Horas Planificadas]],0)</f>
        <v>0</v>
      </c>
      <c r="W4112" s="44">
        <f>Planning[[#This Row],[Horas Planificadas]]+Planning[[#This Row],[Horas ajustadas adicionales]]</f>
        <v>0</v>
      </c>
      <c r="X4112" s="142"/>
    </row>
    <row r="4113" spans="1:24" x14ac:dyDescent="0.2">
      <c r="A4113" s="7" t="s">
        <v>435</v>
      </c>
      <c r="B4113" s="7" t="s">
        <v>178</v>
      </c>
      <c r="C4113" s="3"/>
      <c r="D4113" s="3" t="s">
        <v>716</v>
      </c>
      <c r="E4113" s="4"/>
      <c r="F4113" s="3" t="s">
        <v>130</v>
      </c>
      <c r="G4113" s="9">
        <v>0</v>
      </c>
      <c r="H4113" s="9">
        <v>60</v>
      </c>
      <c r="I4113" s="12"/>
      <c r="J4113" s="5" t="e">
        <f>SUM(SUMIFS(#REF!,#REF!,Planning[[#This Row],[Tipo de Tarea y especialidad]],#REF!,Planning[[#This Row],[Proyectos Reiwa]]),SUMIFS(#REF!,#REF!,Planning[[#This Row],[Tipo de Tarea y especialidad]],#REF!,Planning[[#This Row],[Proyectos]]))</f>
        <v>#REF!</v>
      </c>
      <c r="K4113" s="5" t="e">
        <f>+Planning[[#This Row],[Horas Planificadas]]+Planning[[#This Row],[Horas ajustadas adicionales]]-Planning[[#This Row],[Horas utilizadas]]</f>
        <v>#REF!</v>
      </c>
      <c r="L4113" s="7">
        <v>0</v>
      </c>
      <c r="M4113" s="19" t="e">
        <f>Planning[[#This Row],[Saldo]]-Planning[[#This Row],[Saldo estimado]]</f>
        <v>#REF!</v>
      </c>
      <c r="N4113" s="60" t="e">
        <f>+SUMIFS(#REF!,#REF!,Planning[[#This Row],[Proyectos]],#REF!,Planning[[#This Row],[Tipo de Tarea y especialidad]])</f>
        <v>#REF!</v>
      </c>
      <c r="O4113" s="19">
        <f t="shared" si="128"/>
        <v>10</v>
      </c>
      <c r="P4113" s="19">
        <f t="shared" si="129"/>
        <v>2024</v>
      </c>
      <c r="Q41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13" s="19" t="str">
        <f>TEXT(Planning[[#This Row],[Mes]]*29,"mmmm")</f>
        <v>October</v>
      </c>
      <c r="S41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13" s="210"/>
      <c r="U4113" s="43" t="e">
        <f>IF(Planning[[#This Row],[Horas Planificadas]]&lt;&gt;0,+K4113/Planning[[#This Row],[Horas Planificadas]],0)</f>
        <v>#REF!</v>
      </c>
      <c r="V4113" s="43" t="e">
        <f>IF(Planning[[#This Row],[Horas Planificadas]]&lt;&gt;0,Planning[[#This Row],[Horas utilizadas]]/Planning[[#This Row],[Horas Planificadas]],0)</f>
        <v>#REF!</v>
      </c>
      <c r="W4113" s="44">
        <f>Planning[[#This Row],[Horas Planificadas]]+Planning[[#This Row],[Horas ajustadas adicionales]]</f>
        <v>60</v>
      </c>
      <c r="X4113" s="142"/>
    </row>
    <row r="4114" spans="1:24" x14ac:dyDescent="0.2">
      <c r="A4114" s="7" t="s">
        <v>435</v>
      </c>
      <c r="B4114" s="7" t="s">
        <v>178</v>
      </c>
      <c r="C4114" s="3"/>
      <c r="D4114" s="3" t="s">
        <v>716</v>
      </c>
      <c r="E4114" s="4"/>
      <c r="F4114" s="3" t="s">
        <v>131</v>
      </c>
      <c r="G4114" s="9">
        <v>0</v>
      </c>
      <c r="H4114" s="9">
        <v>0</v>
      </c>
      <c r="I4114" s="12"/>
      <c r="J4114" s="5" t="e">
        <f>SUM(SUMIFS(#REF!,#REF!,Planning[[#This Row],[Tipo de Tarea y especialidad]],#REF!,Planning[[#This Row],[Proyectos Reiwa]]),SUMIFS(#REF!,#REF!,Planning[[#This Row],[Tipo de Tarea y especialidad]],#REF!,Planning[[#This Row],[Proyectos]]))</f>
        <v>#REF!</v>
      </c>
      <c r="K4114" s="5" t="e">
        <f>+Planning[[#This Row],[Horas Planificadas]]+Planning[[#This Row],[Horas ajustadas adicionales]]-Planning[[#This Row],[Horas utilizadas]]</f>
        <v>#REF!</v>
      </c>
      <c r="L4114" s="7">
        <v>0</v>
      </c>
      <c r="M4114" s="19" t="e">
        <f>Planning[[#This Row],[Saldo]]-Planning[[#This Row],[Saldo estimado]]</f>
        <v>#REF!</v>
      </c>
      <c r="N4114" s="60" t="e">
        <f>+SUMIFS(#REF!,#REF!,Planning[[#This Row],[Proyectos]],#REF!,Planning[[#This Row],[Tipo de Tarea y especialidad]])</f>
        <v>#REF!</v>
      </c>
      <c r="O4114" s="19">
        <f t="shared" si="128"/>
        <v>10</v>
      </c>
      <c r="P4114" s="19">
        <f t="shared" si="129"/>
        <v>2024</v>
      </c>
      <c r="Q41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14" s="19" t="str">
        <f>TEXT(Planning[[#This Row],[Mes]]*29,"mmmm")</f>
        <v>October</v>
      </c>
      <c r="S41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14" s="210"/>
      <c r="U4114" s="43">
        <f>IF(Planning[[#This Row],[Horas Planificadas]]&lt;&gt;0,+K4114/Planning[[#This Row],[Horas Planificadas]],0)</f>
        <v>0</v>
      </c>
      <c r="V4114" s="43">
        <f>IF(Planning[[#This Row],[Horas Planificadas]]&lt;&gt;0,Planning[[#This Row],[Horas utilizadas]]/Planning[[#This Row],[Horas Planificadas]],0)</f>
        <v>0</v>
      </c>
      <c r="W4114" s="44">
        <f>Planning[[#This Row],[Horas Planificadas]]+Planning[[#This Row],[Horas ajustadas adicionales]]</f>
        <v>0</v>
      </c>
      <c r="X4114" s="142"/>
    </row>
    <row r="4115" spans="1:24" ht="22.5" x14ac:dyDescent="0.2">
      <c r="A4115" s="7" t="s">
        <v>435</v>
      </c>
      <c r="B4115" s="7" t="s">
        <v>205</v>
      </c>
      <c r="C4115" s="3"/>
      <c r="D4115" s="3" t="s">
        <v>718</v>
      </c>
      <c r="E4115" s="4" t="s">
        <v>28</v>
      </c>
      <c r="F4115" s="3"/>
      <c r="G4115" s="9">
        <v>180</v>
      </c>
      <c r="H4115" s="14">
        <f>SUM(H4116:H4117)</f>
        <v>180</v>
      </c>
      <c r="I4115" s="14"/>
      <c r="J4115" s="14" t="e">
        <f>SUM(J4116:J4117)</f>
        <v>#REF!</v>
      </c>
      <c r="K4115" s="14" t="e">
        <f>+Planning[[#This Row],[Horas Planificadas]]+Planning[[#This Row],[Horas ajustadas adicionales]]-Planning[[#This Row],[Horas utilizadas]]</f>
        <v>#REF!</v>
      </c>
      <c r="L4115" s="15">
        <f>SUM(L4116:L4117)</f>
        <v>27</v>
      </c>
      <c r="M4115" s="14" t="e">
        <f>SUM(M4116:M4117)</f>
        <v>#REF!</v>
      </c>
      <c r="N4115" s="66" t="e">
        <f>+SUMIFS(#REF!,#REF!,Planning[[#This Row],[Proyectos]],#REF!,Planning[[#This Row],[Tipo de Tarea y especialidad]])</f>
        <v>#REF!</v>
      </c>
      <c r="O4115" s="14">
        <f t="shared" si="128"/>
        <v>10</v>
      </c>
      <c r="P4115" s="14">
        <f t="shared" si="129"/>
        <v>2024</v>
      </c>
      <c r="Q4115" s="28" t="e">
        <f>SUM(Q4116:Q4117)</f>
        <v>#REF!</v>
      </c>
      <c r="R4115" s="28" t="str">
        <f>TEXT(Planning[[#This Row],[Mes]]*29,"mmmm")</f>
        <v>October</v>
      </c>
      <c r="S41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15" s="224" t="s">
        <v>719</v>
      </c>
      <c r="U4115" s="43" t="e">
        <f>IF(Planning[[#This Row],[Horas Planificadas]]&lt;&gt;0,+K4115/Planning[[#This Row],[Horas Planificadas]],0)</f>
        <v>#REF!</v>
      </c>
      <c r="V4115" s="43" t="e">
        <f>IF(Planning[[#This Row],[Horas Planificadas]]&lt;&gt;0,Planning[[#This Row],[Horas utilizadas]]/Planning[[#This Row],[Horas Planificadas]],0)</f>
        <v>#REF!</v>
      </c>
      <c r="W4115" s="44">
        <f>Planning[[#This Row],[Horas Planificadas]]+Planning[[#This Row],[Horas ajustadas adicionales]]</f>
        <v>180</v>
      </c>
      <c r="X4115" s="142"/>
    </row>
    <row r="4116" spans="1:24" x14ac:dyDescent="0.2">
      <c r="A4116" s="7" t="s">
        <v>435</v>
      </c>
      <c r="B4116" s="7" t="s">
        <v>205</v>
      </c>
      <c r="C4116" s="3"/>
      <c r="D4116" s="3" t="s">
        <v>718</v>
      </c>
      <c r="E4116" s="4"/>
      <c r="F4116" s="3" t="s">
        <v>120</v>
      </c>
      <c r="G4116" s="9">
        <v>0</v>
      </c>
      <c r="H4116" s="9">
        <v>90</v>
      </c>
      <c r="I4116" s="12"/>
      <c r="J4116" s="5" t="e">
        <f>SUM(SUMIFS(#REF!,#REF!,Planning[[#This Row],[Tipo de Tarea y especialidad]],#REF!,Planning[[#This Row],[Proyectos Reiwa]]),SUMIFS(#REF!,#REF!,Planning[[#This Row],[Tipo de Tarea y especialidad]],#REF!,Planning[[#This Row],[Proyectos]]))</f>
        <v>#REF!</v>
      </c>
      <c r="K4116" s="5" t="e">
        <f>+Planning[[#This Row],[Horas Planificadas]]+Planning[[#This Row],[Horas ajustadas adicionales]]-Planning[[#This Row],[Horas utilizadas]]</f>
        <v>#REF!</v>
      </c>
      <c r="L4116" s="7">
        <v>0</v>
      </c>
      <c r="M4116" s="19" t="e">
        <f>Planning[[#This Row],[Saldo]]-Planning[[#This Row],[Saldo estimado]]</f>
        <v>#REF!</v>
      </c>
      <c r="N4116" s="60" t="e">
        <f>+SUMIFS(#REF!,#REF!,Planning[[#This Row],[Proyectos]],#REF!,Planning[[#This Row],[Tipo de Tarea y especialidad]])</f>
        <v>#REF!</v>
      </c>
      <c r="O4116" s="19">
        <f t="shared" si="128"/>
        <v>10</v>
      </c>
      <c r="P4116" s="19">
        <f t="shared" si="129"/>
        <v>2024</v>
      </c>
      <c r="Q41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16" s="19" t="str">
        <f>TEXT(Planning[[#This Row],[Mes]]*29,"mmmm")</f>
        <v>October</v>
      </c>
      <c r="S41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16" s="210"/>
      <c r="U4116" s="43" t="e">
        <f>IF(Planning[[#This Row],[Horas Planificadas]]&lt;&gt;0,+K4116/Planning[[#This Row],[Horas Planificadas]],0)</f>
        <v>#REF!</v>
      </c>
      <c r="V4116" s="43" t="e">
        <f>IF(Planning[[#This Row],[Horas Planificadas]]&lt;&gt;0,Planning[[#This Row],[Horas utilizadas]]/Planning[[#This Row],[Horas Planificadas]],0)</f>
        <v>#REF!</v>
      </c>
      <c r="W4116" s="44">
        <f>Planning[[#This Row],[Horas Planificadas]]+Planning[[#This Row],[Horas ajustadas adicionales]]</f>
        <v>90</v>
      </c>
      <c r="X4116" s="142"/>
    </row>
    <row r="4117" spans="1:24" x14ac:dyDescent="0.2">
      <c r="A4117" s="7" t="s">
        <v>435</v>
      </c>
      <c r="B4117" s="7" t="s">
        <v>205</v>
      </c>
      <c r="C4117" s="3"/>
      <c r="D4117" s="3" t="s">
        <v>718</v>
      </c>
      <c r="E4117" s="4"/>
      <c r="F4117" s="3" t="s">
        <v>121</v>
      </c>
      <c r="G4117" s="9">
        <v>0</v>
      </c>
      <c r="H4117" s="9">
        <v>90</v>
      </c>
      <c r="I4117" s="12">
        <v>27</v>
      </c>
      <c r="J4117" s="5" t="e">
        <f>SUM(SUMIFS(#REF!,#REF!,Planning[[#This Row],[Tipo de Tarea y especialidad]],#REF!,Planning[[#This Row],[Proyectos Reiwa]]),SUMIFS(#REF!,#REF!,Planning[[#This Row],[Tipo de Tarea y especialidad]],#REF!,Planning[[#This Row],[Proyectos]]))</f>
        <v>#REF!</v>
      </c>
      <c r="K4117" s="5" t="e">
        <f>+Planning[[#This Row],[Horas Planificadas]]+Planning[[#This Row],[Horas ajustadas adicionales]]-Planning[[#This Row],[Horas utilizadas]]</f>
        <v>#REF!</v>
      </c>
      <c r="L4117" s="7">
        <v>27</v>
      </c>
      <c r="M4117" s="19" t="e">
        <f>Planning[[#This Row],[Saldo]]-Planning[[#This Row],[Saldo estimado]]</f>
        <v>#REF!</v>
      </c>
      <c r="N4117" s="60" t="e">
        <f>+SUMIFS(#REF!,#REF!,Planning[[#This Row],[Proyectos]],#REF!,Planning[[#This Row],[Tipo de Tarea y especialidad]])</f>
        <v>#REF!</v>
      </c>
      <c r="O4117" s="19">
        <f t="shared" si="128"/>
        <v>10</v>
      </c>
      <c r="P4117" s="19">
        <f t="shared" si="129"/>
        <v>2024</v>
      </c>
      <c r="Q41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17" s="19" t="str">
        <f>TEXT(Planning[[#This Row],[Mes]]*29,"mmmm")</f>
        <v>October</v>
      </c>
      <c r="S41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17" s="210"/>
      <c r="U4117" s="43" t="e">
        <f>IF(Planning[[#This Row],[Horas Planificadas]]&lt;&gt;0,+K4117/Planning[[#This Row],[Horas Planificadas]],0)</f>
        <v>#REF!</v>
      </c>
      <c r="V4117" s="43" t="e">
        <f>IF(Planning[[#This Row],[Horas Planificadas]]&lt;&gt;0,Planning[[#This Row],[Horas utilizadas]]/Planning[[#This Row],[Horas Planificadas]],0)</f>
        <v>#REF!</v>
      </c>
      <c r="W4117" s="44">
        <f>Planning[[#This Row],[Horas Planificadas]]+Planning[[#This Row],[Horas ajustadas adicionales]]</f>
        <v>117</v>
      </c>
      <c r="X4117" s="142"/>
    </row>
    <row r="4118" spans="1:24" x14ac:dyDescent="0.2">
      <c r="A4118" s="7" t="s">
        <v>435</v>
      </c>
      <c r="B4118" s="7" t="s">
        <v>205</v>
      </c>
      <c r="C4118" s="3"/>
      <c r="D4118" s="3" t="s">
        <v>718</v>
      </c>
      <c r="E4118" s="4" t="s">
        <v>30</v>
      </c>
      <c r="F4118" s="3"/>
      <c r="G4118" s="9">
        <v>46</v>
      </c>
      <c r="H4118" s="14">
        <f>SUM(H4119:H4125)</f>
        <v>198</v>
      </c>
      <c r="I4118" s="14"/>
      <c r="J4118" s="14" t="e">
        <f>SUM(J4119:J4125)</f>
        <v>#REF!</v>
      </c>
      <c r="K4118" s="14" t="e">
        <f>+Planning[[#This Row],[Horas Planificadas]]+Planning[[#This Row],[Horas ajustadas adicionales]]-Planning[[#This Row],[Horas utilizadas]]</f>
        <v>#REF!</v>
      </c>
      <c r="L4118" s="15">
        <f>SUM(L4119:L4125)</f>
        <v>81</v>
      </c>
      <c r="M4118" s="16" t="e">
        <f>SUM(M4119:M4125)</f>
        <v>#REF!</v>
      </c>
      <c r="N4118" s="60" t="e">
        <f>+SUMIFS(#REF!,#REF!,Planning[[#This Row],[Proyectos]],#REF!,Planning[[#This Row],[Tipo de Tarea y especialidad]])</f>
        <v>#REF!</v>
      </c>
      <c r="O4118" s="16">
        <f t="shared" si="128"/>
        <v>10</v>
      </c>
      <c r="P4118" s="16">
        <f t="shared" si="129"/>
        <v>2024</v>
      </c>
      <c r="Q4118" s="16" t="e">
        <f>SUM(Q4119:Q4125)</f>
        <v>#REF!</v>
      </c>
      <c r="R4118" s="16" t="str">
        <f>TEXT(Planning[[#This Row],[Mes]]*29,"mmmm")</f>
        <v>October</v>
      </c>
      <c r="S41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18" s="210"/>
      <c r="U4118" s="43" t="e">
        <f>IF(Planning[[#This Row],[Horas Planificadas]]&lt;&gt;0,+K4118/Planning[[#This Row],[Horas Planificadas]],0)</f>
        <v>#REF!</v>
      </c>
      <c r="V4118" s="43" t="e">
        <f>IF(Planning[[#This Row],[Horas Planificadas]]&lt;&gt;0,Planning[[#This Row],[Horas utilizadas]]/Planning[[#This Row],[Horas Planificadas]],0)</f>
        <v>#REF!</v>
      </c>
      <c r="W4118" s="44">
        <f>Planning[[#This Row],[Horas Planificadas]]+Planning[[#This Row],[Horas ajustadas adicionales]]</f>
        <v>198</v>
      </c>
      <c r="X4118" s="142"/>
    </row>
    <row r="4119" spans="1:24" x14ac:dyDescent="0.2">
      <c r="A4119" s="7" t="s">
        <v>435</v>
      </c>
      <c r="B4119" s="7" t="s">
        <v>205</v>
      </c>
      <c r="C4119" s="3"/>
      <c r="D4119" s="3" t="s">
        <v>718</v>
      </c>
      <c r="E4119" s="4"/>
      <c r="F4119" s="3" t="s">
        <v>122</v>
      </c>
      <c r="G4119" s="9">
        <v>0</v>
      </c>
      <c r="H4119" s="9">
        <v>0</v>
      </c>
      <c r="I4119" s="12"/>
      <c r="J4119" s="5" t="e">
        <f>SUM(SUMIFS(#REF!,#REF!,Planning[[#This Row],[Tipo de Tarea y especialidad]],#REF!,Planning[[#This Row],[Proyectos Reiwa]]),SUMIFS(#REF!,#REF!,Planning[[#This Row],[Tipo de Tarea y especialidad]],#REF!,Planning[[#This Row],[Proyectos]]))</f>
        <v>#REF!</v>
      </c>
      <c r="K4119" s="5" t="e">
        <f>+Planning[[#This Row],[Horas Planificadas]]+Planning[[#This Row],[Horas ajustadas adicionales]]-Planning[[#This Row],[Horas utilizadas]]</f>
        <v>#REF!</v>
      </c>
      <c r="L4119" s="7">
        <v>0</v>
      </c>
      <c r="M4119" s="19" t="e">
        <f>Planning[[#This Row],[Saldo]]-Planning[[#This Row],[Saldo estimado]]</f>
        <v>#REF!</v>
      </c>
      <c r="N4119" s="60" t="e">
        <f>+SUMIFS(#REF!,#REF!,Planning[[#This Row],[Proyectos]],#REF!,Planning[[#This Row],[Tipo de Tarea y especialidad]])</f>
        <v>#REF!</v>
      </c>
      <c r="O4119" s="19">
        <f t="shared" si="128"/>
        <v>10</v>
      </c>
      <c r="P4119" s="19">
        <f t="shared" si="129"/>
        <v>2024</v>
      </c>
      <c r="Q41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19" s="19" t="str">
        <f>TEXT(Planning[[#This Row],[Mes]]*29,"mmmm")</f>
        <v>October</v>
      </c>
      <c r="S41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19" s="210"/>
      <c r="U4119" s="43">
        <f>IF(Planning[[#This Row],[Horas Planificadas]]&lt;&gt;0,+K4119/Planning[[#This Row],[Horas Planificadas]],0)</f>
        <v>0</v>
      </c>
      <c r="V4119" s="43">
        <f>IF(Planning[[#This Row],[Horas Planificadas]]&lt;&gt;0,Planning[[#This Row],[Horas utilizadas]]/Planning[[#This Row],[Horas Planificadas]],0)</f>
        <v>0</v>
      </c>
      <c r="W4119" s="44">
        <f>Planning[[#This Row],[Horas Planificadas]]+Planning[[#This Row],[Horas ajustadas adicionales]]</f>
        <v>0</v>
      </c>
      <c r="X4119" s="142"/>
    </row>
    <row r="4120" spans="1:24" x14ac:dyDescent="0.2">
      <c r="A4120" s="7" t="s">
        <v>435</v>
      </c>
      <c r="B4120" s="7" t="s">
        <v>205</v>
      </c>
      <c r="C4120" s="3"/>
      <c r="D4120" s="3" t="s">
        <v>718</v>
      </c>
      <c r="E4120" s="4"/>
      <c r="F4120" s="3" t="s">
        <v>123</v>
      </c>
      <c r="G4120" s="9">
        <v>0</v>
      </c>
      <c r="H4120" s="9">
        <v>90</v>
      </c>
      <c r="I4120" s="12">
        <v>342</v>
      </c>
      <c r="J4120" s="5" t="e">
        <f>SUM(SUMIFS(#REF!,#REF!,Planning[[#This Row],[Tipo de Tarea y especialidad]],#REF!,Planning[[#This Row],[Proyectos Reiwa]]),SUMIFS(#REF!,#REF!,Planning[[#This Row],[Tipo de Tarea y especialidad]],#REF!,Planning[[#This Row],[Proyectos]]))</f>
        <v>#REF!</v>
      </c>
      <c r="K4120" s="5" t="e">
        <f>+Planning[[#This Row],[Horas Planificadas]]+Planning[[#This Row],[Horas ajustadas adicionales]]-Planning[[#This Row],[Horas utilizadas]]</f>
        <v>#REF!</v>
      </c>
      <c r="L4120" s="7">
        <v>27</v>
      </c>
      <c r="M4120" s="19" t="e">
        <f>Planning[[#This Row],[Saldo]]-Planning[[#This Row],[Saldo estimado]]</f>
        <v>#REF!</v>
      </c>
      <c r="N4120" s="60" t="e">
        <f>+SUMIFS(#REF!,#REF!,Planning[[#This Row],[Proyectos]],#REF!,Planning[[#This Row],[Tipo de Tarea y especialidad]])</f>
        <v>#REF!</v>
      </c>
      <c r="O4120" s="19">
        <f t="shared" si="128"/>
        <v>10</v>
      </c>
      <c r="P4120" s="19">
        <f t="shared" si="129"/>
        <v>2024</v>
      </c>
      <c r="Q41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20" s="19" t="str">
        <f>TEXT(Planning[[#This Row],[Mes]]*29,"mmmm")</f>
        <v>October</v>
      </c>
      <c r="S41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20" s="210"/>
      <c r="U4120" s="43" t="e">
        <f>IF(Planning[[#This Row],[Horas Planificadas]]&lt;&gt;0,+K4120/Planning[[#This Row],[Horas Planificadas]],0)</f>
        <v>#REF!</v>
      </c>
      <c r="V4120" s="43" t="e">
        <f>IF(Planning[[#This Row],[Horas Planificadas]]&lt;&gt;0,Planning[[#This Row],[Horas utilizadas]]/Planning[[#This Row],[Horas Planificadas]],0)</f>
        <v>#REF!</v>
      </c>
      <c r="W4120" s="44">
        <f>Planning[[#This Row],[Horas Planificadas]]+Planning[[#This Row],[Horas ajustadas adicionales]]</f>
        <v>432</v>
      </c>
      <c r="X4120" s="142"/>
    </row>
    <row r="4121" spans="1:24" x14ac:dyDescent="0.2">
      <c r="A4121" s="7" t="s">
        <v>435</v>
      </c>
      <c r="B4121" s="7" t="s">
        <v>205</v>
      </c>
      <c r="C4121" s="3"/>
      <c r="D4121" s="3" t="s">
        <v>718</v>
      </c>
      <c r="E4121" s="4"/>
      <c r="F4121" s="3" t="s">
        <v>124</v>
      </c>
      <c r="G4121" s="9">
        <v>0</v>
      </c>
      <c r="H4121" s="9">
        <v>0</v>
      </c>
      <c r="I4121" s="12"/>
      <c r="J4121" s="5" t="e">
        <f>SUM(SUMIFS(#REF!,#REF!,Planning[[#This Row],[Tipo de Tarea y especialidad]],#REF!,Planning[[#This Row],[Proyectos Reiwa]]),SUMIFS(#REF!,#REF!,Planning[[#This Row],[Tipo de Tarea y especialidad]],#REF!,Planning[[#This Row],[Proyectos]]))</f>
        <v>#REF!</v>
      </c>
      <c r="K4121" s="5" t="e">
        <f>+Planning[[#This Row],[Horas Planificadas]]+Planning[[#This Row],[Horas ajustadas adicionales]]-Planning[[#This Row],[Horas utilizadas]]</f>
        <v>#REF!</v>
      </c>
      <c r="L4121" s="7">
        <v>0</v>
      </c>
      <c r="M4121" s="19" t="e">
        <f>Planning[[#This Row],[Saldo]]-Planning[[#This Row],[Saldo estimado]]</f>
        <v>#REF!</v>
      </c>
      <c r="N4121" s="60" t="e">
        <f>+SUMIFS(#REF!,#REF!,Planning[[#This Row],[Proyectos]],#REF!,Planning[[#This Row],[Tipo de Tarea y especialidad]])</f>
        <v>#REF!</v>
      </c>
      <c r="O4121" s="19">
        <f t="shared" si="128"/>
        <v>10</v>
      </c>
      <c r="P4121" s="19">
        <f t="shared" si="129"/>
        <v>2024</v>
      </c>
      <c r="Q41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21" s="19" t="str">
        <f>TEXT(Planning[[#This Row],[Mes]]*29,"mmmm")</f>
        <v>October</v>
      </c>
      <c r="S41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21" s="210"/>
      <c r="U4121" s="43">
        <f>IF(Planning[[#This Row],[Horas Planificadas]]&lt;&gt;0,+K4121/Planning[[#This Row],[Horas Planificadas]],0)</f>
        <v>0</v>
      </c>
      <c r="V4121" s="43">
        <f>IF(Planning[[#This Row],[Horas Planificadas]]&lt;&gt;0,Planning[[#This Row],[Horas utilizadas]]/Planning[[#This Row],[Horas Planificadas]],0)</f>
        <v>0</v>
      </c>
      <c r="W4121" s="44">
        <f>Planning[[#This Row],[Horas Planificadas]]+Planning[[#This Row],[Horas ajustadas adicionales]]</f>
        <v>0</v>
      </c>
      <c r="X4121" s="142"/>
    </row>
    <row r="4122" spans="1:24" x14ac:dyDescent="0.2">
      <c r="A4122" s="7" t="s">
        <v>435</v>
      </c>
      <c r="B4122" s="7" t="s">
        <v>205</v>
      </c>
      <c r="C4122" s="3"/>
      <c r="D4122" s="3" t="s">
        <v>718</v>
      </c>
      <c r="E4122" s="4"/>
      <c r="F4122" s="3" t="s">
        <v>125</v>
      </c>
      <c r="G4122" s="9">
        <v>0</v>
      </c>
      <c r="H4122" s="9">
        <v>54</v>
      </c>
      <c r="I4122" s="12">
        <v>65</v>
      </c>
      <c r="J4122" s="5" t="e">
        <f>SUM(SUMIFS(#REF!,#REF!,Planning[[#This Row],[Tipo de Tarea y especialidad]],#REF!,Planning[[#This Row],[Proyectos Reiwa]]),SUMIFS(#REF!,#REF!,Planning[[#This Row],[Tipo de Tarea y especialidad]],#REF!,Planning[[#This Row],[Proyectos]]))</f>
        <v>#REF!</v>
      </c>
      <c r="K4122" s="5" t="e">
        <f>+Planning[[#This Row],[Horas Planificadas]]+Planning[[#This Row],[Horas ajustadas adicionales]]-Planning[[#This Row],[Horas utilizadas]]</f>
        <v>#REF!</v>
      </c>
      <c r="L4122" s="7">
        <v>27</v>
      </c>
      <c r="M4122" s="19" t="e">
        <f>Planning[[#This Row],[Saldo]]-Planning[[#This Row],[Saldo estimado]]</f>
        <v>#REF!</v>
      </c>
      <c r="N4122" s="60" t="e">
        <f>+SUMIFS(#REF!,#REF!,Planning[[#This Row],[Proyectos]],#REF!,Planning[[#This Row],[Tipo de Tarea y especialidad]])</f>
        <v>#REF!</v>
      </c>
      <c r="O4122" s="19">
        <f t="shared" si="128"/>
        <v>10</v>
      </c>
      <c r="P4122" s="19">
        <f t="shared" si="129"/>
        <v>2024</v>
      </c>
      <c r="Q41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22" s="19" t="str">
        <f>TEXT(Planning[[#This Row],[Mes]]*29,"mmmm")</f>
        <v>October</v>
      </c>
      <c r="S41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22" s="210"/>
      <c r="U4122" s="43" t="e">
        <f>IF(Planning[[#This Row],[Horas Planificadas]]&lt;&gt;0,+K4122/Planning[[#This Row],[Horas Planificadas]],0)</f>
        <v>#REF!</v>
      </c>
      <c r="V4122" s="43" t="e">
        <f>IF(Planning[[#This Row],[Horas Planificadas]]&lt;&gt;0,Planning[[#This Row],[Horas utilizadas]]/Planning[[#This Row],[Horas Planificadas]],0)</f>
        <v>#REF!</v>
      </c>
      <c r="W4122" s="44">
        <f>Planning[[#This Row],[Horas Planificadas]]+Planning[[#This Row],[Horas ajustadas adicionales]]</f>
        <v>119</v>
      </c>
      <c r="X4122" s="142"/>
    </row>
    <row r="4123" spans="1:24" x14ac:dyDescent="0.2">
      <c r="A4123" s="7" t="s">
        <v>435</v>
      </c>
      <c r="B4123" s="7" t="s">
        <v>205</v>
      </c>
      <c r="C4123" s="3"/>
      <c r="D4123" s="3" t="s">
        <v>718</v>
      </c>
      <c r="E4123" s="4"/>
      <c r="F4123" s="3" t="s">
        <v>126</v>
      </c>
      <c r="G4123" s="9">
        <v>0</v>
      </c>
      <c r="H4123" s="9">
        <v>0</v>
      </c>
      <c r="I4123" s="12"/>
      <c r="J4123" s="5" t="e">
        <f>SUM(SUMIFS(#REF!,#REF!,Planning[[#This Row],[Tipo de Tarea y especialidad]],#REF!,Planning[[#This Row],[Proyectos Reiwa]]),SUMIFS(#REF!,#REF!,Planning[[#This Row],[Tipo de Tarea y especialidad]],#REF!,Planning[[#This Row],[Proyectos]]))</f>
        <v>#REF!</v>
      </c>
      <c r="K4123" s="5" t="e">
        <f>+Planning[[#This Row],[Horas Planificadas]]+Planning[[#This Row],[Horas ajustadas adicionales]]-Planning[[#This Row],[Horas utilizadas]]</f>
        <v>#REF!</v>
      </c>
      <c r="L4123" s="7">
        <v>0</v>
      </c>
      <c r="M4123" s="19" t="e">
        <f>Planning[[#This Row],[Saldo]]-Planning[[#This Row],[Saldo estimado]]</f>
        <v>#REF!</v>
      </c>
      <c r="N4123" s="60" t="e">
        <f>+SUMIFS(#REF!,#REF!,Planning[[#This Row],[Proyectos]],#REF!,Planning[[#This Row],[Tipo de Tarea y especialidad]])</f>
        <v>#REF!</v>
      </c>
      <c r="O4123" s="19">
        <f t="shared" si="128"/>
        <v>10</v>
      </c>
      <c r="P4123" s="19">
        <f t="shared" si="129"/>
        <v>2024</v>
      </c>
      <c r="Q41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23" s="19" t="str">
        <f>TEXT(Planning[[#This Row],[Mes]]*29,"mmmm")</f>
        <v>October</v>
      </c>
      <c r="S41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23" s="210"/>
      <c r="U4123" s="43">
        <f>IF(Planning[[#This Row],[Horas Planificadas]]&lt;&gt;0,+K4123/Planning[[#This Row],[Horas Planificadas]],0)</f>
        <v>0</v>
      </c>
      <c r="V4123" s="43">
        <f>IF(Planning[[#This Row],[Horas Planificadas]]&lt;&gt;0,Planning[[#This Row],[Horas utilizadas]]/Planning[[#This Row],[Horas Planificadas]],0)</f>
        <v>0</v>
      </c>
      <c r="W4123" s="44">
        <f>Planning[[#This Row],[Horas Planificadas]]+Planning[[#This Row],[Horas ajustadas adicionales]]</f>
        <v>0</v>
      </c>
      <c r="X4123" s="142"/>
    </row>
    <row r="4124" spans="1:24" x14ac:dyDescent="0.2">
      <c r="A4124" s="7" t="s">
        <v>435</v>
      </c>
      <c r="B4124" s="7" t="s">
        <v>205</v>
      </c>
      <c r="C4124" s="3"/>
      <c r="D4124" s="3" t="s">
        <v>718</v>
      </c>
      <c r="E4124" s="4"/>
      <c r="F4124" s="3" t="s">
        <v>127</v>
      </c>
      <c r="G4124" s="9">
        <v>0</v>
      </c>
      <c r="H4124" s="9">
        <v>54</v>
      </c>
      <c r="I4124" s="12">
        <v>99</v>
      </c>
      <c r="J4124" s="5" t="e">
        <f>SUM(SUMIFS(#REF!,#REF!,Planning[[#This Row],[Tipo de Tarea y especialidad]],#REF!,Planning[[#This Row],[Proyectos Reiwa]]),SUMIFS(#REF!,#REF!,Planning[[#This Row],[Tipo de Tarea y especialidad]],#REF!,Planning[[#This Row],[Proyectos]]))</f>
        <v>#REF!</v>
      </c>
      <c r="K4124" s="5" t="e">
        <f>+Planning[[#This Row],[Horas Planificadas]]+Planning[[#This Row],[Horas ajustadas adicionales]]-Planning[[#This Row],[Horas utilizadas]]</f>
        <v>#REF!</v>
      </c>
      <c r="L4124" s="7">
        <v>27</v>
      </c>
      <c r="M4124" s="19" t="e">
        <f>Planning[[#This Row],[Saldo]]-Planning[[#This Row],[Saldo estimado]]</f>
        <v>#REF!</v>
      </c>
      <c r="N4124" s="60" t="e">
        <f>+SUMIFS(#REF!,#REF!,Planning[[#This Row],[Proyectos]],#REF!,Planning[[#This Row],[Tipo de Tarea y especialidad]])</f>
        <v>#REF!</v>
      </c>
      <c r="O4124" s="19">
        <f t="shared" si="128"/>
        <v>10</v>
      </c>
      <c r="P4124" s="19">
        <f t="shared" si="129"/>
        <v>2024</v>
      </c>
      <c r="Q41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24" s="19" t="str">
        <f>TEXT(Planning[[#This Row],[Mes]]*29,"mmmm")</f>
        <v>October</v>
      </c>
      <c r="S41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24" s="210"/>
      <c r="U4124" s="43" t="e">
        <f>IF(Planning[[#This Row],[Horas Planificadas]]&lt;&gt;0,+K4124/Planning[[#This Row],[Horas Planificadas]],0)</f>
        <v>#REF!</v>
      </c>
      <c r="V4124" s="43" t="e">
        <f>IF(Planning[[#This Row],[Horas Planificadas]]&lt;&gt;0,Planning[[#This Row],[Horas utilizadas]]/Planning[[#This Row],[Horas Planificadas]],0)</f>
        <v>#REF!</v>
      </c>
      <c r="W4124" s="44">
        <f>Planning[[#This Row],[Horas Planificadas]]+Planning[[#This Row],[Horas ajustadas adicionales]]</f>
        <v>153</v>
      </c>
      <c r="X4124" s="142"/>
    </row>
    <row r="4125" spans="1:24" x14ac:dyDescent="0.2">
      <c r="A4125" s="7" t="s">
        <v>435</v>
      </c>
      <c r="B4125" s="7" t="s">
        <v>205</v>
      </c>
      <c r="C4125" s="3"/>
      <c r="D4125" s="3" t="s">
        <v>718</v>
      </c>
      <c r="E4125" s="4"/>
      <c r="F4125" s="3" t="s">
        <v>128</v>
      </c>
      <c r="G4125" s="9">
        <v>0</v>
      </c>
      <c r="H4125" s="9">
        <v>0</v>
      </c>
      <c r="I4125" s="12"/>
      <c r="J4125" s="5" t="e">
        <f>SUM(SUMIFS(#REF!,#REF!,Planning[[#This Row],[Tipo de Tarea y especialidad]],#REF!,Planning[[#This Row],[Proyectos Reiwa]]),SUMIFS(#REF!,#REF!,Planning[[#This Row],[Tipo de Tarea y especialidad]],#REF!,Planning[[#This Row],[Proyectos]]))</f>
        <v>#REF!</v>
      </c>
      <c r="K4125" s="5" t="e">
        <f>+Planning[[#This Row],[Horas Planificadas]]+Planning[[#This Row],[Horas ajustadas adicionales]]-Planning[[#This Row],[Horas utilizadas]]</f>
        <v>#REF!</v>
      </c>
      <c r="L4125" s="7">
        <v>0</v>
      </c>
      <c r="M4125" s="19" t="e">
        <f>Planning[[#This Row],[Saldo]]-Planning[[#This Row],[Saldo estimado]]</f>
        <v>#REF!</v>
      </c>
      <c r="N4125" s="60" t="e">
        <f>+SUMIFS(#REF!,#REF!,Planning[[#This Row],[Proyectos]],#REF!,Planning[[#This Row],[Tipo de Tarea y especialidad]])</f>
        <v>#REF!</v>
      </c>
      <c r="O4125" s="19">
        <f t="shared" si="128"/>
        <v>10</v>
      </c>
      <c r="P4125" s="19">
        <f t="shared" si="129"/>
        <v>2024</v>
      </c>
      <c r="Q41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25" s="19" t="str">
        <f>TEXT(Planning[[#This Row],[Mes]]*29,"mmmm")</f>
        <v>October</v>
      </c>
      <c r="S41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25" s="210"/>
      <c r="U4125" s="43">
        <f>IF(Planning[[#This Row],[Horas Planificadas]]&lt;&gt;0,+K4125/Planning[[#This Row],[Horas Planificadas]],0)</f>
        <v>0</v>
      </c>
      <c r="V4125" s="43">
        <f>IF(Planning[[#This Row],[Horas Planificadas]]&lt;&gt;0,Planning[[#This Row],[Horas utilizadas]]/Planning[[#This Row],[Horas Planificadas]],0)</f>
        <v>0</v>
      </c>
      <c r="W4125" s="44">
        <f>Planning[[#This Row],[Horas Planificadas]]+Planning[[#This Row],[Horas ajustadas adicionales]]</f>
        <v>0</v>
      </c>
      <c r="X4125" s="142"/>
    </row>
    <row r="4126" spans="1:24" x14ac:dyDescent="0.2">
      <c r="A4126" s="7" t="s">
        <v>435</v>
      </c>
      <c r="B4126" s="7" t="s">
        <v>205</v>
      </c>
      <c r="C4126" s="3"/>
      <c r="D4126" s="3" t="s">
        <v>718</v>
      </c>
      <c r="E4126" s="4" t="s">
        <v>31</v>
      </c>
      <c r="F4126" s="3" t="s">
        <v>31</v>
      </c>
      <c r="G4126" s="9">
        <v>63</v>
      </c>
      <c r="H4126" s="17">
        <f>Planning[[#This Row],[Horas Precálculo]]</f>
        <v>63</v>
      </c>
      <c r="I4126" s="18">
        <v>9</v>
      </c>
      <c r="J4126" s="14" t="e">
        <f>+SUMIFS(#REF!,#REF!,Planning[[#This Row],[Tarifa]],#REF!,Planning[[#This Row],[Proyectos]])</f>
        <v>#REF!</v>
      </c>
      <c r="K4126" s="14" t="e">
        <f>+Planning[[#This Row],[Horas Planificadas]]+Planning[[#This Row],[Horas ajustadas adicionales]]-Planning[[#This Row],[Horas utilizadas]]</f>
        <v>#REF!</v>
      </c>
      <c r="L4126" s="15" t="e">
        <f>Planning[[#This Row],[Saldo]]</f>
        <v>#REF!</v>
      </c>
      <c r="M4126" s="16" t="e">
        <f>Planning[[#This Row],[Saldo]]-Planning[[#This Row],[Saldo estimado]]</f>
        <v>#REF!</v>
      </c>
      <c r="N4126" s="60" t="e">
        <f>+SUMIFS(#REF!,#REF!,Planning[[#This Row],[Proyectos]],#REF!,Planning[[#This Row],[Tipo de Tarea y especialidad]])</f>
        <v>#REF!</v>
      </c>
      <c r="O4126" s="16">
        <f t="shared" si="128"/>
        <v>10</v>
      </c>
      <c r="P4126" s="16">
        <f t="shared" si="129"/>
        <v>2024</v>
      </c>
      <c r="Q4126" s="16" t="e">
        <f>+SUMIFS(#REF!,#REF!,Planning[[#This Row],[Tarifa]],#REF!,Planning[[#This Row],[Proyectos]],#REF!,Planning[[#This Row],[Mes]],#REF!,Planning[[#This Row],[Año]])</f>
        <v>#REF!</v>
      </c>
      <c r="R4126" s="16" t="str">
        <f>TEXT(Planning[[#This Row],[Mes]]*29,"mmmm")</f>
        <v>October</v>
      </c>
      <c r="S41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26" s="210"/>
      <c r="U4126" s="43" t="e">
        <f>IF(Planning[[#This Row],[Horas Planificadas]]&lt;&gt;0,+K4126/Planning[[#This Row],[Horas Planificadas]],0)</f>
        <v>#REF!</v>
      </c>
      <c r="V4126" s="43" t="e">
        <f>IF(Planning[[#This Row],[Horas Planificadas]]&lt;&gt;0,Planning[[#This Row],[Horas utilizadas]]/Planning[[#This Row],[Horas Planificadas]],0)</f>
        <v>#REF!</v>
      </c>
      <c r="W4126" s="44">
        <f>Planning[[#This Row],[Horas Planificadas]]+Planning[[#This Row],[Horas ajustadas adicionales]]</f>
        <v>72</v>
      </c>
      <c r="X4126" s="142"/>
    </row>
    <row r="4127" spans="1:24" ht="22.5" x14ac:dyDescent="0.2">
      <c r="A4127" s="7" t="s">
        <v>435</v>
      </c>
      <c r="B4127" s="7" t="s">
        <v>205</v>
      </c>
      <c r="C4127" s="3"/>
      <c r="D4127" s="3" t="s">
        <v>718</v>
      </c>
      <c r="E4127" s="4" t="s">
        <v>32</v>
      </c>
      <c r="F4127" s="3"/>
      <c r="G4127" s="9">
        <v>50</v>
      </c>
      <c r="H4127" s="14">
        <f>SUM(H4128:H4130)</f>
        <v>50</v>
      </c>
      <c r="I4127" s="14"/>
      <c r="J4127" s="14" t="e">
        <f>SUM(J4128:J4130)</f>
        <v>#REF!</v>
      </c>
      <c r="K4127" s="14" t="e">
        <f>+Planning[[#This Row],[Horas Planificadas]]+Planning[[#This Row],[Horas ajustadas adicionales]]-Planning[[#This Row],[Horas utilizadas]]</f>
        <v>#REF!</v>
      </c>
      <c r="L4127" s="15" t="e">
        <f>SUM(L4128:L4130)</f>
        <v>#REF!</v>
      </c>
      <c r="M4127" s="16" t="e">
        <f>SUM(M4128:M4130)</f>
        <v>#REF!</v>
      </c>
      <c r="N4127" s="60" t="e">
        <f>+SUMIFS(#REF!,#REF!,Planning[[#This Row],[Proyectos]],#REF!,Planning[[#This Row],[Tipo de Tarea y especialidad]])</f>
        <v>#REF!</v>
      </c>
      <c r="O4127" s="16">
        <f t="shared" si="128"/>
        <v>10</v>
      </c>
      <c r="P4127" s="16">
        <f t="shared" si="129"/>
        <v>2024</v>
      </c>
      <c r="Q4127" s="16" t="e">
        <f>SUM(Q4128:Q4130)</f>
        <v>#REF!</v>
      </c>
      <c r="R4127" s="16" t="str">
        <f>TEXT(Planning[[#This Row],[Mes]]*29,"mmmm")</f>
        <v>October</v>
      </c>
      <c r="S41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27" s="210"/>
      <c r="U4127" s="43" t="e">
        <f>IF(Planning[[#This Row],[Horas Planificadas]]&lt;&gt;0,+K4127/Planning[[#This Row],[Horas Planificadas]],0)</f>
        <v>#REF!</v>
      </c>
      <c r="V4127" s="43" t="e">
        <f>IF(Planning[[#This Row],[Horas Planificadas]]&lt;&gt;0,Planning[[#This Row],[Horas utilizadas]]/Planning[[#This Row],[Horas Planificadas]],0)</f>
        <v>#REF!</v>
      </c>
      <c r="W4127" s="44">
        <f>Planning[[#This Row],[Horas Planificadas]]+Planning[[#This Row],[Horas ajustadas adicionales]]</f>
        <v>50</v>
      </c>
      <c r="X4127" s="142"/>
    </row>
    <row r="4128" spans="1:24" x14ac:dyDescent="0.2">
      <c r="A4128" s="7" t="s">
        <v>435</v>
      </c>
      <c r="B4128" s="7" t="s">
        <v>205</v>
      </c>
      <c r="C4128" s="3"/>
      <c r="D4128" s="3" t="s">
        <v>718</v>
      </c>
      <c r="E4128" s="4"/>
      <c r="F4128" s="3" t="s">
        <v>129</v>
      </c>
      <c r="G4128" s="9">
        <v>0</v>
      </c>
      <c r="H4128" s="9">
        <v>0</v>
      </c>
      <c r="I4128" s="12"/>
      <c r="J4128" s="5" t="e">
        <f>SUM(SUMIFS(#REF!,#REF!,Planning[[#This Row],[Tipo de Tarea y especialidad]],#REF!,Planning[[#This Row],[Proyectos Reiwa]]),SUMIFS(#REF!,#REF!,Planning[[#This Row],[Tipo de Tarea y especialidad]],#REF!,Planning[[#This Row],[Proyectos]]))</f>
        <v>#REF!</v>
      </c>
      <c r="K4128" s="5" t="e">
        <f>+Planning[[#This Row],[Horas Planificadas]]+Planning[[#This Row],[Horas ajustadas adicionales]]-Planning[[#This Row],[Horas utilizadas]]</f>
        <v>#REF!</v>
      </c>
      <c r="L4128" s="7">
        <v>0</v>
      </c>
      <c r="M4128" s="19" t="e">
        <f>Planning[[#This Row],[Saldo]]-Planning[[#This Row],[Saldo estimado]]</f>
        <v>#REF!</v>
      </c>
      <c r="N4128" s="60" t="e">
        <f>+SUMIFS(#REF!,#REF!,Planning[[#This Row],[Proyectos]],#REF!,Planning[[#This Row],[Tipo de Tarea y especialidad]])</f>
        <v>#REF!</v>
      </c>
      <c r="O4128" s="19">
        <f t="shared" si="128"/>
        <v>10</v>
      </c>
      <c r="P4128" s="19">
        <f t="shared" si="129"/>
        <v>2024</v>
      </c>
      <c r="Q41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28" s="19" t="str">
        <f>TEXT(Planning[[#This Row],[Mes]]*29,"mmmm")</f>
        <v>October</v>
      </c>
      <c r="S41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28" s="210"/>
      <c r="U4128" s="43">
        <f>IF(Planning[[#This Row],[Horas Planificadas]]&lt;&gt;0,+K4128/Planning[[#This Row],[Horas Planificadas]],0)</f>
        <v>0</v>
      </c>
      <c r="V4128" s="43">
        <f>IF(Planning[[#This Row],[Horas Planificadas]]&lt;&gt;0,Planning[[#This Row],[Horas utilizadas]]/Planning[[#This Row],[Horas Planificadas]],0)</f>
        <v>0</v>
      </c>
      <c r="W4128" s="44">
        <f>Planning[[#This Row],[Horas Planificadas]]+Planning[[#This Row],[Horas ajustadas adicionales]]</f>
        <v>0</v>
      </c>
      <c r="X4128" s="142"/>
    </row>
    <row r="4129" spans="1:24" x14ac:dyDescent="0.2">
      <c r="A4129" s="7" t="s">
        <v>435</v>
      </c>
      <c r="B4129" s="7" t="s">
        <v>205</v>
      </c>
      <c r="C4129" s="3"/>
      <c r="D4129" s="3" t="s">
        <v>718</v>
      </c>
      <c r="E4129" s="4"/>
      <c r="F4129" s="3" t="s">
        <v>130</v>
      </c>
      <c r="G4129" s="9">
        <v>0</v>
      </c>
      <c r="H4129" s="9">
        <v>50</v>
      </c>
      <c r="I4129" s="12">
        <v>70</v>
      </c>
      <c r="J4129" s="5" t="e">
        <f>SUM(SUMIFS(#REF!,#REF!,Planning[[#This Row],[Tipo de Tarea y especialidad]],#REF!,Planning[[#This Row],[Proyectos Reiwa]]),SUMIFS(#REF!,#REF!,Planning[[#This Row],[Tipo de Tarea y especialidad]],#REF!,Planning[[#This Row],[Proyectos]]))</f>
        <v>#REF!</v>
      </c>
      <c r="K4129" s="5" t="e">
        <f>+Planning[[#This Row],[Horas Planificadas]]+Planning[[#This Row],[Horas ajustadas adicionales]]-Planning[[#This Row],[Horas utilizadas]]</f>
        <v>#REF!</v>
      </c>
      <c r="L4129" s="7" t="e">
        <f>Planning[[#This Row],[Saldo]]</f>
        <v>#REF!</v>
      </c>
      <c r="M4129" s="19" t="e">
        <f>Planning[[#This Row],[Saldo]]-Planning[[#This Row],[Saldo estimado]]</f>
        <v>#REF!</v>
      </c>
      <c r="N4129" s="60" t="e">
        <f>+SUMIFS(#REF!,#REF!,Planning[[#This Row],[Proyectos]],#REF!,Planning[[#This Row],[Tipo de Tarea y especialidad]])</f>
        <v>#REF!</v>
      </c>
      <c r="O4129" s="19">
        <f t="shared" si="128"/>
        <v>10</v>
      </c>
      <c r="P4129" s="19">
        <f t="shared" si="129"/>
        <v>2024</v>
      </c>
      <c r="Q41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29" s="19" t="str">
        <f>TEXT(Planning[[#This Row],[Mes]]*29,"mmmm")</f>
        <v>October</v>
      </c>
      <c r="S41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29" s="210"/>
      <c r="U4129" s="43" t="e">
        <f>IF(Planning[[#This Row],[Horas Planificadas]]&lt;&gt;0,+K4129/Planning[[#This Row],[Horas Planificadas]],0)</f>
        <v>#REF!</v>
      </c>
      <c r="V4129" s="43" t="e">
        <f>IF(Planning[[#This Row],[Horas Planificadas]]&lt;&gt;0,Planning[[#This Row],[Horas utilizadas]]/Planning[[#This Row],[Horas Planificadas]],0)</f>
        <v>#REF!</v>
      </c>
      <c r="W4129" s="44">
        <f>Planning[[#This Row],[Horas Planificadas]]+Planning[[#This Row],[Horas ajustadas adicionales]]</f>
        <v>120</v>
      </c>
      <c r="X4129" s="142"/>
    </row>
    <row r="4130" spans="1:24" x14ac:dyDescent="0.2">
      <c r="A4130" s="7" t="s">
        <v>435</v>
      </c>
      <c r="B4130" s="7" t="s">
        <v>205</v>
      </c>
      <c r="C4130" s="3"/>
      <c r="D4130" s="3" t="s">
        <v>718</v>
      </c>
      <c r="E4130" s="4"/>
      <c r="F4130" s="3" t="s">
        <v>131</v>
      </c>
      <c r="G4130" s="9">
        <v>0</v>
      </c>
      <c r="H4130" s="9">
        <v>0</v>
      </c>
      <c r="I4130" s="12"/>
      <c r="J4130" s="5" t="e">
        <f>SUM(SUMIFS(#REF!,#REF!,Planning[[#This Row],[Tipo de Tarea y especialidad]],#REF!,Planning[[#This Row],[Proyectos Reiwa]]),SUMIFS(#REF!,#REF!,Planning[[#This Row],[Tipo de Tarea y especialidad]],#REF!,Planning[[#This Row],[Proyectos]]))</f>
        <v>#REF!</v>
      </c>
      <c r="K4130" s="5" t="e">
        <f>+Planning[[#This Row],[Horas Planificadas]]+Planning[[#This Row],[Horas ajustadas adicionales]]-Planning[[#This Row],[Horas utilizadas]]</f>
        <v>#REF!</v>
      </c>
      <c r="L4130" s="7">
        <v>0</v>
      </c>
      <c r="M4130" s="19" t="e">
        <f>Planning[[#This Row],[Saldo]]-Planning[[#This Row],[Saldo estimado]]</f>
        <v>#REF!</v>
      </c>
      <c r="N4130" s="60" t="e">
        <f>+SUMIFS(#REF!,#REF!,Planning[[#This Row],[Proyectos]],#REF!,Planning[[#This Row],[Tipo de Tarea y especialidad]])</f>
        <v>#REF!</v>
      </c>
      <c r="O4130" s="19">
        <f t="shared" si="128"/>
        <v>10</v>
      </c>
      <c r="P4130" s="19">
        <f t="shared" si="129"/>
        <v>2024</v>
      </c>
      <c r="Q41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30" s="19" t="str">
        <f>TEXT(Planning[[#This Row],[Mes]]*29,"mmmm")</f>
        <v>October</v>
      </c>
      <c r="S41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30" s="210"/>
      <c r="U4130" s="43">
        <f>IF(Planning[[#This Row],[Horas Planificadas]]&lt;&gt;0,+K4130/Planning[[#This Row],[Horas Planificadas]],0)</f>
        <v>0</v>
      </c>
      <c r="V4130" s="43">
        <f>IF(Planning[[#This Row],[Horas Planificadas]]&lt;&gt;0,Planning[[#This Row],[Horas utilizadas]]/Planning[[#This Row],[Horas Planificadas]],0)</f>
        <v>0</v>
      </c>
      <c r="W4130" s="44">
        <f>Planning[[#This Row],[Horas Planificadas]]+Planning[[#This Row],[Horas ajustadas adicionales]]</f>
        <v>0</v>
      </c>
      <c r="X4130" s="142"/>
    </row>
    <row r="4131" spans="1:24" ht="22.5" x14ac:dyDescent="0.2">
      <c r="A4131" s="7" t="s">
        <v>435</v>
      </c>
      <c r="B4131" s="7" t="s">
        <v>428</v>
      </c>
      <c r="C4131" s="3"/>
      <c r="D4131" s="3" t="s">
        <v>720</v>
      </c>
      <c r="E4131" s="4" t="s">
        <v>28</v>
      </c>
      <c r="F4131" s="3"/>
      <c r="G4131" s="9">
        <v>0</v>
      </c>
      <c r="H4131" s="14">
        <f>SUM(H4132:H4133)</f>
        <v>0</v>
      </c>
      <c r="I4131" s="14"/>
      <c r="J4131" s="14" t="e">
        <f>SUM(J4132:J4133)</f>
        <v>#REF!</v>
      </c>
      <c r="K4131" s="14" t="e">
        <f>+Planning[[#This Row],[Horas Planificadas]]+Planning[[#This Row],[Horas ajustadas adicionales]]-Planning[[#This Row],[Horas utilizadas]]</f>
        <v>#REF!</v>
      </c>
      <c r="L4131" s="15" t="e">
        <f>SUM(L4132:L4133)</f>
        <v>#REF!</v>
      </c>
      <c r="M4131" s="14" t="e">
        <f>SUM(M4132:M4133)</f>
        <v>#REF!</v>
      </c>
      <c r="N4131" s="66" t="e">
        <f>+SUMIFS(#REF!,#REF!,Planning[[#This Row],[Proyectos]],#REF!,Planning[[#This Row],[Tipo de Tarea y especialidad]])</f>
        <v>#REF!</v>
      </c>
      <c r="O4131" s="14">
        <f t="shared" si="128"/>
        <v>10</v>
      </c>
      <c r="P4131" s="14">
        <f t="shared" si="129"/>
        <v>2024</v>
      </c>
      <c r="Q4131" s="28" t="e">
        <f>SUM(Q4132:Q4133)</f>
        <v>#REF!</v>
      </c>
      <c r="R4131" s="28" t="str">
        <f>TEXT(Planning[[#This Row],[Mes]]*29,"mmmm")</f>
        <v>October</v>
      </c>
      <c r="S41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31" s="220" t="s">
        <v>721</v>
      </c>
      <c r="U4131" s="43">
        <f>IF(Planning[[#This Row],[Horas Planificadas]]&lt;&gt;0,+K4131/Planning[[#This Row],[Horas Planificadas]],0)</f>
        <v>0</v>
      </c>
      <c r="V4131" s="43">
        <f>IF(Planning[[#This Row],[Horas Planificadas]]&lt;&gt;0,Planning[[#This Row],[Horas utilizadas]]/Planning[[#This Row],[Horas Planificadas]],0)</f>
        <v>0</v>
      </c>
      <c r="W4131" s="44">
        <f>Planning[[#This Row],[Horas Planificadas]]+Planning[[#This Row],[Horas ajustadas adicionales]]</f>
        <v>0</v>
      </c>
      <c r="X4131" s="142"/>
    </row>
    <row r="4132" spans="1:24" x14ac:dyDescent="0.2">
      <c r="A4132" s="7" t="s">
        <v>435</v>
      </c>
      <c r="B4132" s="7" t="s">
        <v>428</v>
      </c>
      <c r="C4132" s="3"/>
      <c r="D4132" s="3" t="s">
        <v>720</v>
      </c>
      <c r="E4132" s="4"/>
      <c r="F4132" s="3" t="s">
        <v>120</v>
      </c>
      <c r="G4132" s="9">
        <v>0</v>
      </c>
      <c r="H4132" s="9">
        <v>0</v>
      </c>
      <c r="I4132" s="12"/>
      <c r="J4132" s="5" t="e">
        <f>SUM(SUMIFS(#REF!,#REF!,Planning[[#This Row],[Tipo de Tarea y especialidad]],#REF!,Planning[[#This Row],[Proyectos Reiwa]]),SUMIFS(#REF!,#REF!,Planning[[#This Row],[Tipo de Tarea y especialidad]],#REF!,Planning[[#This Row],[Proyectos]]))</f>
        <v>#REF!</v>
      </c>
      <c r="K4132" s="5" t="e">
        <f>+Planning[[#This Row],[Horas Planificadas]]+Planning[[#This Row],[Horas ajustadas adicionales]]-Planning[[#This Row],[Horas utilizadas]]</f>
        <v>#REF!</v>
      </c>
      <c r="L4132" s="7" t="e">
        <f>Planning[[#This Row],[Saldo]]</f>
        <v>#REF!</v>
      </c>
      <c r="M4132" s="19" t="e">
        <f>Planning[[#This Row],[Saldo]]-Planning[[#This Row],[Saldo estimado]]</f>
        <v>#REF!</v>
      </c>
      <c r="N4132" s="60" t="e">
        <f>+SUMIFS(#REF!,#REF!,Planning[[#This Row],[Proyectos]],#REF!,Planning[[#This Row],[Tipo de Tarea y especialidad]])</f>
        <v>#REF!</v>
      </c>
      <c r="O4132" s="19">
        <f t="shared" si="128"/>
        <v>10</v>
      </c>
      <c r="P4132" s="19">
        <f t="shared" si="129"/>
        <v>2024</v>
      </c>
      <c r="Q41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32" s="19" t="str">
        <f>TEXT(Planning[[#This Row],[Mes]]*29,"mmmm")</f>
        <v>October</v>
      </c>
      <c r="S41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32" s="210"/>
      <c r="U4132" s="43">
        <f>IF(Planning[[#This Row],[Horas Planificadas]]&lt;&gt;0,+K4132/Planning[[#This Row],[Horas Planificadas]],0)</f>
        <v>0</v>
      </c>
      <c r="V4132" s="43">
        <f>IF(Planning[[#This Row],[Horas Planificadas]]&lt;&gt;0,Planning[[#This Row],[Horas utilizadas]]/Planning[[#This Row],[Horas Planificadas]],0)</f>
        <v>0</v>
      </c>
      <c r="W4132" s="44">
        <f>Planning[[#This Row],[Horas Planificadas]]+Planning[[#This Row],[Horas ajustadas adicionales]]</f>
        <v>0</v>
      </c>
      <c r="X4132" s="142"/>
    </row>
    <row r="4133" spans="1:24" x14ac:dyDescent="0.2">
      <c r="A4133" s="7" t="s">
        <v>435</v>
      </c>
      <c r="B4133" s="7" t="s">
        <v>428</v>
      </c>
      <c r="C4133" s="3"/>
      <c r="D4133" s="3" t="s">
        <v>720</v>
      </c>
      <c r="E4133" s="4"/>
      <c r="F4133" s="3" t="s">
        <v>121</v>
      </c>
      <c r="G4133" s="9">
        <v>0</v>
      </c>
      <c r="H4133" s="9">
        <v>0</v>
      </c>
      <c r="I4133" s="12"/>
      <c r="J4133" s="5" t="e">
        <f>SUM(SUMIFS(#REF!,#REF!,Planning[[#This Row],[Tipo de Tarea y especialidad]],#REF!,Planning[[#This Row],[Proyectos Reiwa]]),SUMIFS(#REF!,#REF!,Planning[[#This Row],[Tipo de Tarea y especialidad]],#REF!,Planning[[#This Row],[Proyectos]]))</f>
        <v>#REF!</v>
      </c>
      <c r="K4133" s="5" t="e">
        <f>+Planning[[#This Row],[Horas Planificadas]]+Planning[[#This Row],[Horas ajustadas adicionales]]-Planning[[#This Row],[Horas utilizadas]]</f>
        <v>#REF!</v>
      </c>
      <c r="L4133" s="7" t="e">
        <f>Planning[[#This Row],[Saldo]]</f>
        <v>#REF!</v>
      </c>
      <c r="M4133" s="19" t="e">
        <f>Planning[[#This Row],[Saldo]]-Planning[[#This Row],[Saldo estimado]]</f>
        <v>#REF!</v>
      </c>
      <c r="N4133" s="60" t="e">
        <f>+SUMIFS(#REF!,#REF!,Planning[[#This Row],[Proyectos]],#REF!,Planning[[#This Row],[Tipo de Tarea y especialidad]])</f>
        <v>#REF!</v>
      </c>
      <c r="O4133" s="19">
        <f t="shared" si="128"/>
        <v>10</v>
      </c>
      <c r="P4133" s="19">
        <f t="shared" si="129"/>
        <v>2024</v>
      </c>
      <c r="Q41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33" s="19" t="str">
        <f>TEXT(Planning[[#This Row],[Mes]]*29,"mmmm")</f>
        <v>October</v>
      </c>
      <c r="S41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33" s="210"/>
      <c r="U4133" s="43">
        <f>IF(Planning[[#This Row],[Horas Planificadas]]&lt;&gt;0,+K4133/Planning[[#This Row],[Horas Planificadas]],0)</f>
        <v>0</v>
      </c>
      <c r="V4133" s="43">
        <f>IF(Planning[[#This Row],[Horas Planificadas]]&lt;&gt;0,Planning[[#This Row],[Horas utilizadas]]/Planning[[#This Row],[Horas Planificadas]],0)</f>
        <v>0</v>
      </c>
      <c r="W4133" s="44">
        <f>Planning[[#This Row],[Horas Planificadas]]+Planning[[#This Row],[Horas ajustadas adicionales]]</f>
        <v>0</v>
      </c>
      <c r="X4133" s="142"/>
    </row>
    <row r="4134" spans="1:24" x14ac:dyDescent="0.2">
      <c r="A4134" s="7" t="s">
        <v>435</v>
      </c>
      <c r="B4134" s="7" t="s">
        <v>428</v>
      </c>
      <c r="C4134" s="3"/>
      <c r="D4134" s="3" t="s">
        <v>720</v>
      </c>
      <c r="E4134" s="4" t="s">
        <v>30</v>
      </c>
      <c r="F4134" s="3"/>
      <c r="G4134" s="9">
        <v>147</v>
      </c>
      <c r="H4134" s="14">
        <f>SUM(H4135:H4141)</f>
        <v>147</v>
      </c>
      <c r="I4134" s="14"/>
      <c r="J4134" s="14" t="e">
        <f>SUM(J4135:J4141)</f>
        <v>#REF!</v>
      </c>
      <c r="K4134" s="14" t="e">
        <f>+Planning[[#This Row],[Horas Planificadas]]+Planning[[#This Row],[Horas ajustadas adicionales]]-Planning[[#This Row],[Horas utilizadas]]</f>
        <v>#REF!</v>
      </c>
      <c r="L4134" s="15">
        <f>SUM(L4135:L4141)</f>
        <v>0</v>
      </c>
      <c r="M4134" s="16" t="e">
        <f>SUM(M4135:M4141)</f>
        <v>#REF!</v>
      </c>
      <c r="N4134" s="60" t="e">
        <f>+SUMIFS(#REF!,#REF!,Planning[[#This Row],[Proyectos]],#REF!,Planning[[#This Row],[Tipo de Tarea y especialidad]])</f>
        <v>#REF!</v>
      </c>
      <c r="O4134" s="16">
        <f t="shared" si="128"/>
        <v>10</v>
      </c>
      <c r="P4134" s="16">
        <f t="shared" si="129"/>
        <v>2024</v>
      </c>
      <c r="Q4134" s="16" t="e">
        <f>SUM(Q4135:Q4141)</f>
        <v>#REF!</v>
      </c>
      <c r="R4134" s="16" t="str">
        <f>TEXT(Planning[[#This Row],[Mes]]*29,"mmmm")</f>
        <v>October</v>
      </c>
      <c r="S41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34" s="210"/>
      <c r="U4134" s="43" t="e">
        <f>IF(Planning[[#This Row],[Horas Planificadas]]&lt;&gt;0,+K4134/Planning[[#This Row],[Horas Planificadas]],0)</f>
        <v>#REF!</v>
      </c>
      <c r="V4134" s="43" t="e">
        <f>IF(Planning[[#This Row],[Horas Planificadas]]&lt;&gt;0,Planning[[#This Row],[Horas utilizadas]]/Planning[[#This Row],[Horas Planificadas]],0)</f>
        <v>#REF!</v>
      </c>
      <c r="W4134" s="44">
        <f>Planning[[#This Row],[Horas Planificadas]]+Planning[[#This Row],[Horas ajustadas adicionales]]</f>
        <v>147</v>
      </c>
      <c r="X4134" s="142"/>
    </row>
    <row r="4135" spans="1:24" x14ac:dyDescent="0.2">
      <c r="A4135" s="7" t="s">
        <v>435</v>
      </c>
      <c r="B4135" s="7" t="s">
        <v>428</v>
      </c>
      <c r="C4135" s="3"/>
      <c r="D4135" s="3" t="s">
        <v>720</v>
      </c>
      <c r="E4135" s="4"/>
      <c r="F4135" s="3" t="s">
        <v>122</v>
      </c>
      <c r="G4135" s="9">
        <v>0</v>
      </c>
      <c r="H4135" s="9">
        <v>0</v>
      </c>
      <c r="I4135" s="12"/>
      <c r="J4135" s="5" t="e">
        <f>SUM(SUMIFS(#REF!,#REF!,Planning[[#This Row],[Tipo de Tarea y especialidad]],#REF!,Planning[[#This Row],[Proyectos Reiwa]]),SUMIFS(#REF!,#REF!,Planning[[#This Row],[Tipo de Tarea y especialidad]],#REF!,Planning[[#This Row],[Proyectos]]))</f>
        <v>#REF!</v>
      </c>
      <c r="K4135" s="5" t="e">
        <f>+Planning[[#This Row],[Horas Planificadas]]+Planning[[#This Row],[Horas ajustadas adicionales]]-Planning[[#This Row],[Horas utilizadas]]</f>
        <v>#REF!</v>
      </c>
      <c r="L4135" s="7">
        <v>0</v>
      </c>
      <c r="M4135" s="19" t="e">
        <f>Planning[[#This Row],[Saldo]]-Planning[[#This Row],[Saldo estimado]]</f>
        <v>#REF!</v>
      </c>
      <c r="N4135" s="60" t="e">
        <f>+SUMIFS(#REF!,#REF!,Planning[[#This Row],[Proyectos]],#REF!,Planning[[#This Row],[Tipo de Tarea y especialidad]])</f>
        <v>#REF!</v>
      </c>
      <c r="O4135" s="19">
        <f t="shared" si="128"/>
        <v>10</v>
      </c>
      <c r="P4135" s="19">
        <f t="shared" si="129"/>
        <v>2024</v>
      </c>
      <c r="Q41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35" s="19" t="str">
        <f>TEXT(Planning[[#This Row],[Mes]]*29,"mmmm")</f>
        <v>October</v>
      </c>
      <c r="S41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35" s="210"/>
      <c r="U4135" s="43">
        <f>IF(Planning[[#This Row],[Horas Planificadas]]&lt;&gt;0,+K4135/Planning[[#This Row],[Horas Planificadas]],0)</f>
        <v>0</v>
      </c>
      <c r="V4135" s="43">
        <f>IF(Planning[[#This Row],[Horas Planificadas]]&lt;&gt;0,Planning[[#This Row],[Horas utilizadas]]/Planning[[#This Row],[Horas Planificadas]],0)</f>
        <v>0</v>
      </c>
      <c r="W4135" s="44">
        <f>Planning[[#This Row],[Horas Planificadas]]+Planning[[#This Row],[Horas ajustadas adicionales]]</f>
        <v>0</v>
      </c>
      <c r="X4135" s="142"/>
    </row>
    <row r="4136" spans="1:24" x14ac:dyDescent="0.2">
      <c r="A4136" s="7" t="s">
        <v>435</v>
      </c>
      <c r="B4136" s="7" t="s">
        <v>428</v>
      </c>
      <c r="C4136" s="3"/>
      <c r="D4136" s="3" t="s">
        <v>720</v>
      </c>
      <c r="E4136" s="4"/>
      <c r="F4136" s="3" t="s">
        <v>123</v>
      </c>
      <c r="G4136" s="9">
        <v>0</v>
      </c>
      <c r="H4136" s="9">
        <v>90</v>
      </c>
      <c r="I4136" s="12"/>
      <c r="J4136" s="5" t="e">
        <f>SUM(SUMIFS(#REF!,#REF!,Planning[[#This Row],[Tipo de Tarea y especialidad]],#REF!,Planning[[#This Row],[Proyectos Reiwa]]),SUMIFS(#REF!,#REF!,Planning[[#This Row],[Tipo de Tarea y especialidad]],#REF!,Planning[[#This Row],[Proyectos]]))</f>
        <v>#REF!</v>
      </c>
      <c r="K4136" s="5" t="e">
        <f>+Planning[[#This Row],[Horas Planificadas]]+Planning[[#This Row],[Horas ajustadas adicionales]]-Planning[[#This Row],[Horas utilizadas]]</f>
        <v>#REF!</v>
      </c>
      <c r="L4136" s="7">
        <v>0</v>
      </c>
      <c r="M4136" s="19" t="e">
        <f>Planning[[#This Row],[Saldo]]-Planning[[#This Row],[Saldo estimado]]</f>
        <v>#REF!</v>
      </c>
      <c r="N4136" s="60" t="e">
        <f>+SUMIFS(#REF!,#REF!,Planning[[#This Row],[Proyectos]],#REF!,Planning[[#This Row],[Tipo de Tarea y especialidad]])</f>
        <v>#REF!</v>
      </c>
      <c r="O4136" s="19">
        <f t="shared" si="128"/>
        <v>10</v>
      </c>
      <c r="P4136" s="19">
        <f t="shared" si="129"/>
        <v>2024</v>
      </c>
      <c r="Q41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36" s="19" t="str">
        <f>TEXT(Planning[[#This Row],[Mes]]*29,"mmmm")</f>
        <v>October</v>
      </c>
      <c r="S41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36" s="210"/>
      <c r="U4136" s="43" t="e">
        <f>IF(Planning[[#This Row],[Horas Planificadas]]&lt;&gt;0,+K4136/Planning[[#This Row],[Horas Planificadas]],0)</f>
        <v>#REF!</v>
      </c>
      <c r="V4136" s="43" t="e">
        <f>IF(Planning[[#This Row],[Horas Planificadas]]&lt;&gt;0,Planning[[#This Row],[Horas utilizadas]]/Planning[[#This Row],[Horas Planificadas]],0)</f>
        <v>#REF!</v>
      </c>
      <c r="W4136" s="44">
        <f>Planning[[#This Row],[Horas Planificadas]]+Planning[[#This Row],[Horas ajustadas adicionales]]</f>
        <v>90</v>
      </c>
      <c r="X4136" s="142"/>
    </row>
    <row r="4137" spans="1:24" x14ac:dyDescent="0.2">
      <c r="A4137" s="7" t="s">
        <v>435</v>
      </c>
      <c r="B4137" s="7" t="s">
        <v>428</v>
      </c>
      <c r="C4137" s="3"/>
      <c r="D4137" s="3" t="s">
        <v>720</v>
      </c>
      <c r="E4137" s="4"/>
      <c r="F4137" s="3" t="s">
        <v>124</v>
      </c>
      <c r="G4137" s="9">
        <v>0</v>
      </c>
      <c r="H4137" s="9">
        <v>30</v>
      </c>
      <c r="I4137" s="12"/>
      <c r="J4137" s="5" t="e">
        <f>SUM(SUMIFS(#REF!,#REF!,Planning[[#This Row],[Tipo de Tarea y especialidad]],#REF!,Planning[[#This Row],[Proyectos Reiwa]]),SUMIFS(#REF!,#REF!,Planning[[#This Row],[Tipo de Tarea y especialidad]],#REF!,Planning[[#This Row],[Proyectos]]))</f>
        <v>#REF!</v>
      </c>
      <c r="K4137" s="5" t="e">
        <f>+Planning[[#This Row],[Horas Planificadas]]+Planning[[#This Row],[Horas ajustadas adicionales]]-Planning[[#This Row],[Horas utilizadas]]</f>
        <v>#REF!</v>
      </c>
      <c r="L4137" s="7">
        <v>0</v>
      </c>
      <c r="M4137" s="19" t="e">
        <f>Planning[[#This Row],[Saldo]]-Planning[[#This Row],[Saldo estimado]]</f>
        <v>#REF!</v>
      </c>
      <c r="N4137" s="60" t="e">
        <f>+SUMIFS(#REF!,#REF!,Planning[[#This Row],[Proyectos]],#REF!,Planning[[#This Row],[Tipo de Tarea y especialidad]])</f>
        <v>#REF!</v>
      </c>
      <c r="O4137" s="19">
        <f t="shared" si="128"/>
        <v>10</v>
      </c>
      <c r="P4137" s="19">
        <f t="shared" si="129"/>
        <v>2024</v>
      </c>
      <c r="Q41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37" s="19" t="str">
        <f>TEXT(Planning[[#This Row],[Mes]]*29,"mmmm")</f>
        <v>October</v>
      </c>
      <c r="S41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37" s="210"/>
      <c r="U4137" s="43" t="e">
        <f>IF(Planning[[#This Row],[Horas Planificadas]]&lt;&gt;0,+K4137/Planning[[#This Row],[Horas Planificadas]],0)</f>
        <v>#REF!</v>
      </c>
      <c r="V4137" s="43" t="e">
        <f>IF(Planning[[#This Row],[Horas Planificadas]]&lt;&gt;0,Planning[[#This Row],[Horas utilizadas]]/Planning[[#This Row],[Horas Planificadas]],0)</f>
        <v>#REF!</v>
      </c>
      <c r="W4137" s="44">
        <f>Planning[[#This Row],[Horas Planificadas]]+Planning[[#This Row],[Horas ajustadas adicionales]]</f>
        <v>30</v>
      </c>
      <c r="X4137" s="142"/>
    </row>
    <row r="4138" spans="1:24" x14ac:dyDescent="0.2">
      <c r="A4138" s="7" t="s">
        <v>435</v>
      </c>
      <c r="B4138" s="7" t="s">
        <v>428</v>
      </c>
      <c r="C4138" s="3"/>
      <c r="D4138" s="3" t="s">
        <v>720</v>
      </c>
      <c r="E4138" s="4"/>
      <c r="F4138" s="3" t="s">
        <v>125</v>
      </c>
      <c r="G4138" s="9">
        <v>0</v>
      </c>
      <c r="H4138" s="9">
        <v>27</v>
      </c>
      <c r="I4138" s="12"/>
      <c r="J4138" s="5" t="e">
        <f>SUM(SUMIFS(#REF!,#REF!,Planning[[#This Row],[Tipo de Tarea y especialidad]],#REF!,Planning[[#This Row],[Proyectos Reiwa]]),SUMIFS(#REF!,#REF!,Planning[[#This Row],[Tipo de Tarea y especialidad]],#REF!,Planning[[#This Row],[Proyectos]]))</f>
        <v>#REF!</v>
      </c>
      <c r="K4138" s="5" t="e">
        <f>+Planning[[#This Row],[Horas Planificadas]]+Planning[[#This Row],[Horas ajustadas adicionales]]-Planning[[#This Row],[Horas utilizadas]]</f>
        <v>#REF!</v>
      </c>
      <c r="L4138" s="7">
        <v>0</v>
      </c>
      <c r="M4138" s="19" t="e">
        <f>Planning[[#This Row],[Saldo]]-Planning[[#This Row],[Saldo estimado]]</f>
        <v>#REF!</v>
      </c>
      <c r="N4138" s="60" t="e">
        <f>+SUMIFS(#REF!,#REF!,Planning[[#This Row],[Proyectos]],#REF!,Planning[[#This Row],[Tipo de Tarea y especialidad]])</f>
        <v>#REF!</v>
      </c>
      <c r="O4138" s="19">
        <f t="shared" si="128"/>
        <v>10</v>
      </c>
      <c r="P4138" s="19">
        <f t="shared" si="129"/>
        <v>2024</v>
      </c>
      <c r="Q41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38" s="19" t="str">
        <f>TEXT(Planning[[#This Row],[Mes]]*29,"mmmm")</f>
        <v>October</v>
      </c>
      <c r="S41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38" s="210"/>
      <c r="U4138" s="43" t="e">
        <f>IF(Planning[[#This Row],[Horas Planificadas]]&lt;&gt;0,+K4138/Planning[[#This Row],[Horas Planificadas]],0)</f>
        <v>#REF!</v>
      </c>
      <c r="V4138" s="43" t="e">
        <f>IF(Planning[[#This Row],[Horas Planificadas]]&lt;&gt;0,Planning[[#This Row],[Horas utilizadas]]/Planning[[#This Row],[Horas Planificadas]],0)</f>
        <v>#REF!</v>
      </c>
      <c r="W4138" s="44">
        <f>Planning[[#This Row],[Horas Planificadas]]+Planning[[#This Row],[Horas ajustadas adicionales]]</f>
        <v>27</v>
      </c>
      <c r="X4138" s="142"/>
    </row>
    <row r="4139" spans="1:24" x14ac:dyDescent="0.2">
      <c r="A4139" s="7" t="s">
        <v>435</v>
      </c>
      <c r="B4139" s="7" t="s">
        <v>428</v>
      </c>
      <c r="C4139" s="3"/>
      <c r="D4139" s="3" t="s">
        <v>720</v>
      </c>
      <c r="E4139" s="4"/>
      <c r="F4139" s="3" t="s">
        <v>126</v>
      </c>
      <c r="G4139" s="9">
        <v>0</v>
      </c>
      <c r="H4139" s="9">
        <v>0</v>
      </c>
      <c r="I4139" s="12"/>
      <c r="J4139" s="5" t="e">
        <f>SUM(SUMIFS(#REF!,#REF!,Planning[[#This Row],[Tipo de Tarea y especialidad]],#REF!,Planning[[#This Row],[Proyectos Reiwa]]),SUMIFS(#REF!,#REF!,Planning[[#This Row],[Tipo de Tarea y especialidad]],#REF!,Planning[[#This Row],[Proyectos]]))</f>
        <v>#REF!</v>
      </c>
      <c r="K4139" s="5" t="e">
        <f>+Planning[[#This Row],[Horas Planificadas]]+Planning[[#This Row],[Horas ajustadas adicionales]]-Planning[[#This Row],[Horas utilizadas]]</f>
        <v>#REF!</v>
      </c>
      <c r="L4139" s="7">
        <v>0</v>
      </c>
      <c r="M4139" s="19" t="e">
        <f>Planning[[#This Row],[Saldo]]-Planning[[#This Row],[Saldo estimado]]</f>
        <v>#REF!</v>
      </c>
      <c r="N4139" s="60" t="e">
        <f>+SUMIFS(#REF!,#REF!,Planning[[#This Row],[Proyectos]],#REF!,Planning[[#This Row],[Tipo de Tarea y especialidad]])</f>
        <v>#REF!</v>
      </c>
      <c r="O4139" s="19">
        <f t="shared" si="128"/>
        <v>10</v>
      </c>
      <c r="P4139" s="19">
        <f t="shared" si="129"/>
        <v>2024</v>
      </c>
      <c r="Q41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39" s="19" t="str">
        <f>TEXT(Planning[[#This Row],[Mes]]*29,"mmmm")</f>
        <v>October</v>
      </c>
      <c r="S41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39" s="210"/>
      <c r="U4139" s="43">
        <f>IF(Planning[[#This Row],[Horas Planificadas]]&lt;&gt;0,+K4139/Planning[[#This Row],[Horas Planificadas]],0)</f>
        <v>0</v>
      </c>
      <c r="V4139" s="43">
        <f>IF(Planning[[#This Row],[Horas Planificadas]]&lt;&gt;0,Planning[[#This Row],[Horas utilizadas]]/Planning[[#This Row],[Horas Planificadas]],0)</f>
        <v>0</v>
      </c>
      <c r="W4139" s="44">
        <f>Planning[[#This Row],[Horas Planificadas]]+Planning[[#This Row],[Horas ajustadas adicionales]]</f>
        <v>0</v>
      </c>
      <c r="X4139" s="142"/>
    </row>
    <row r="4140" spans="1:24" x14ac:dyDescent="0.2">
      <c r="A4140" s="7" t="s">
        <v>435</v>
      </c>
      <c r="B4140" s="7" t="s">
        <v>428</v>
      </c>
      <c r="C4140" s="3"/>
      <c r="D4140" s="3" t="s">
        <v>720</v>
      </c>
      <c r="E4140" s="4"/>
      <c r="F4140" s="3" t="s">
        <v>127</v>
      </c>
      <c r="G4140" s="9">
        <v>0</v>
      </c>
      <c r="H4140" s="9">
        <v>0</v>
      </c>
      <c r="I4140" s="12"/>
      <c r="J4140" s="5" t="e">
        <f>SUM(SUMIFS(#REF!,#REF!,Planning[[#This Row],[Tipo de Tarea y especialidad]],#REF!,Planning[[#This Row],[Proyectos Reiwa]]),SUMIFS(#REF!,#REF!,Planning[[#This Row],[Tipo de Tarea y especialidad]],#REF!,Planning[[#This Row],[Proyectos]]))</f>
        <v>#REF!</v>
      </c>
      <c r="K4140" s="5" t="e">
        <f>+Planning[[#This Row],[Horas Planificadas]]+Planning[[#This Row],[Horas ajustadas adicionales]]-Planning[[#This Row],[Horas utilizadas]]</f>
        <v>#REF!</v>
      </c>
      <c r="L4140" s="7">
        <v>0</v>
      </c>
      <c r="M4140" s="19" t="e">
        <f>Planning[[#This Row],[Saldo]]-Planning[[#This Row],[Saldo estimado]]</f>
        <v>#REF!</v>
      </c>
      <c r="N4140" s="60" t="e">
        <f>+SUMIFS(#REF!,#REF!,Planning[[#This Row],[Proyectos]],#REF!,Planning[[#This Row],[Tipo de Tarea y especialidad]])</f>
        <v>#REF!</v>
      </c>
      <c r="O4140" s="19">
        <f t="shared" si="128"/>
        <v>10</v>
      </c>
      <c r="P4140" s="19">
        <f t="shared" si="129"/>
        <v>2024</v>
      </c>
      <c r="Q41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40" s="19" t="str">
        <f>TEXT(Planning[[#This Row],[Mes]]*29,"mmmm")</f>
        <v>October</v>
      </c>
      <c r="S41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40" s="210"/>
      <c r="U4140" s="43">
        <f>IF(Planning[[#This Row],[Horas Planificadas]]&lt;&gt;0,+K4140/Planning[[#This Row],[Horas Planificadas]],0)</f>
        <v>0</v>
      </c>
      <c r="V4140" s="43">
        <f>IF(Planning[[#This Row],[Horas Planificadas]]&lt;&gt;0,Planning[[#This Row],[Horas utilizadas]]/Planning[[#This Row],[Horas Planificadas]],0)</f>
        <v>0</v>
      </c>
      <c r="W4140" s="44">
        <f>Planning[[#This Row],[Horas Planificadas]]+Planning[[#This Row],[Horas ajustadas adicionales]]</f>
        <v>0</v>
      </c>
      <c r="X4140" s="142"/>
    </row>
    <row r="4141" spans="1:24" x14ac:dyDescent="0.2">
      <c r="A4141" s="7" t="s">
        <v>435</v>
      </c>
      <c r="B4141" s="7" t="s">
        <v>428</v>
      </c>
      <c r="C4141" s="3"/>
      <c r="D4141" s="3" t="s">
        <v>720</v>
      </c>
      <c r="E4141" s="4"/>
      <c r="F4141" s="3" t="s">
        <v>128</v>
      </c>
      <c r="G4141" s="9">
        <v>0</v>
      </c>
      <c r="H4141" s="9">
        <v>0</v>
      </c>
      <c r="I4141" s="12"/>
      <c r="J4141" s="5" t="e">
        <f>SUM(SUMIFS(#REF!,#REF!,Planning[[#This Row],[Tipo de Tarea y especialidad]],#REF!,Planning[[#This Row],[Proyectos Reiwa]]),SUMIFS(#REF!,#REF!,Planning[[#This Row],[Tipo de Tarea y especialidad]],#REF!,Planning[[#This Row],[Proyectos]]))</f>
        <v>#REF!</v>
      </c>
      <c r="K4141" s="5" t="e">
        <f>+Planning[[#This Row],[Horas Planificadas]]+Planning[[#This Row],[Horas ajustadas adicionales]]-Planning[[#This Row],[Horas utilizadas]]</f>
        <v>#REF!</v>
      </c>
      <c r="L4141" s="7">
        <v>0</v>
      </c>
      <c r="M4141" s="19" t="e">
        <f>Planning[[#This Row],[Saldo]]-Planning[[#This Row],[Saldo estimado]]</f>
        <v>#REF!</v>
      </c>
      <c r="N4141" s="60" t="e">
        <f>+SUMIFS(#REF!,#REF!,Planning[[#This Row],[Proyectos]],#REF!,Planning[[#This Row],[Tipo de Tarea y especialidad]])</f>
        <v>#REF!</v>
      </c>
      <c r="O4141" s="19">
        <f t="shared" si="128"/>
        <v>10</v>
      </c>
      <c r="P4141" s="19">
        <f t="shared" si="129"/>
        <v>2024</v>
      </c>
      <c r="Q41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41" s="19" t="str">
        <f>TEXT(Planning[[#This Row],[Mes]]*29,"mmmm")</f>
        <v>October</v>
      </c>
      <c r="S41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41" s="210"/>
      <c r="U4141" s="43">
        <f>IF(Planning[[#This Row],[Horas Planificadas]]&lt;&gt;0,+K4141/Planning[[#This Row],[Horas Planificadas]],0)</f>
        <v>0</v>
      </c>
      <c r="V4141" s="43">
        <f>IF(Planning[[#This Row],[Horas Planificadas]]&lt;&gt;0,Planning[[#This Row],[Horas utilizadas]]/Planning[[#This Row],[Horas Planificadas]],0)</f>
        <v>0</v>
      </c>
      <c r="W4141" s="44">
        <f>Planning[[#This Row],[Horas Planificadas]]+Planning[[#This Row],[Horas ajustadas adicionales]]</f>
        <v>0</v>
      </c>
      <c r="X4141" s="142"/>
    </row>
    <row r="4142" spans="1:24" x14ac:dyDescent="0.2">
      <c r="A4142" s="7" t="s">
        <v>435</v>
      </c>
      <c r="B4142" s="7" t="s">
        <v>428</v>
      </c>
      <c r="C4142" s="3"/>
      <c r="D4142" s="3" t="s">
        <v>720</v>
      </c>
      <c r="E4142" s="4" t="s">
        <v>31</v>
      </c>
      <c r="F4142" s="3" t="s">
        <v>31</v>
      </c>
      <c r="G4142" s="9">
        <v>22</v>
      </c>
      <c r="H4142" s="17">
        <f>Planning[[#This Row],[Horas Precálculo]]</f>
        <v>22</v>
      </c>
      <c r="I4142" s="18"/>
      <c r="J4142" s="14" t="e">
        <f>+SUMIFS(#REF!,#REF!,Planning[[#This Row],[Tarifa]],#REF!,Planning[[#This Row],[Proyectos]])</f>
        <v>#REF!</v>
      </c>
      <c r="K4142" s="14" t="e">
        <f>+Planning[[#This Row],[Horas Planificadas]]+Planning[[#This Row],[Horas ajustadas adicionales]]-Planning[[#This Row],[Horas utilizadas]]</f>
        <v>#REF!</v>
      </c>
      <c r="L4142" s="15">
        <v>0</v>
      </c>
      <c r="M4142" s="16" t="e">
        <f>Planning[[#This Row],[Saldo]]-Planning[[#This Row],[Saldo estimado]]</f>
        <v>#REF!</v>
      </c>
      <c r="N4142" s="60" t="e">
        <f>+SUMIFS(#REF!,#REF!,Planning[[#This Row],[Proyectos]],#REF!,Planning[[#This Row],[Tipo de Tarea y especialidad]])</f>
        <v>#REF!</v>
      </c>
      <c r="O4142" s="16">
        <f t="shared" si="128"/>
        <v>10</v>
      </c>
      <c r="P4142" s="16">
        <f t="shared" si="129"/>
        <v>2024</v>
      </c>
      <c r="Q4142" s="16" t="e">
        <f>+SUMIFS(#REF!,#REF!,Planning[[#This Row],[Tarifa]],#REF!,Planning[[#This Row],[Proyectos]],#REF!,Planning[[#This Row],[Mes]],#REF!,Planning[[#This Row],[Año]])</f>
        <v>#REF!</v>
      </c>
      <c r="R4142" s="16" t="str">
        <f>TEXT(Planning[[#This Row],[Mes]]*29,"mmmm")</f>
        <v>October</v>
      </c>
      <c r="S41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42" s="210"/>
      <c r="U4142" s="43" t="e">
        <f>IF(Planning[[#This Row],[Horas Planificadas]]&lt;&gt;0,+K4142/Planning[[#This Row],[Horas Planificadas]],0)</f>
        <v>#REF!</v>
      </c>
      <c r="V4142" s="43" t="e">
        <f>IF(Planning[[#This Row],[Horas Planificadas]]&lt;&gt;0,Planning[[#This Row],[Horas utilizadas]]/Planning[[#This Row],[Horas Planificadas]],0)</f>
        <v>#REF!</v>
      </c>
      <c r="W4142" s="44">
        <f>Planning[[#This Row],[Horas Planificadas]]+Planning[[#This Row],[Horas ajustadas adicionales]]</f>
        <v>22</v>
      </c>
      <c r="X4142" s="142"/>
    </row>
    <row r="4143" spans="1:24" ht="22.5" x14ac:dyDescent="0.2">
      <c r="A4143" s="7" t="s">
        <v>435</v>
      </c>
      <c r="B4143" s="7" t="s">
        <v>428</v>
      </c>
      <c r="C4143" s="3"/>
      <c r="D4143" s="3" t="s">
        <v>720</v>
      </c>
      <c r="E4143" s="4" t="s">
        <v>32</v>
      </c>
      <c r="F4143" s="3"/>
      <c r="G4143" s="9">
        <v>80</v>
      </c>
      <c r="H4143" s="14">
        <f>SUM(H4144:H4146)</f>
        <v>80</v>
      </c>
      <c r="I4143" s="14"/>
      <c r="J4143" s="14" t="e">
        <f>SUM(J4144:J4146)</f>
        <v>#REF!</v>
      </c>
      <c r="K4143" s="14" t="e">
        <f>+Planning[[#This Row],[Horas Planificadas]]+Planning[[#This Row],[Horas ajustadas adicionales]]-Planning[[#This Row],[Horas utilizadas]]</f>
        <v>#REF!</v>
      </c>
      <c r="L4143" s="15">
        <f>SUM(L4144:L4146)</f>
        <v>0</v>
      </c>
      <c r="M4143" s="16" t="e">
        <f>SUM(M4144:M4146)</f>
        <v>#REF!</v>
      </c>
      <c r="N4143" s="60" t="e">
        <f>+SUMIFS(#REF!,#REF!,Planning[[#This Row],[Proyectos]],#REF!,Planning[[#This Row],[Tipo de Tarea y especialidad]])</f>
        <v>#REF!</v>
      </c>
      <c r="O4143" s="16">
        <f t="shared" si="128"/>
        <v>10</v>
      </c>
      <c r="P4143" s="16">
        <f t="shared" si="129"/>
        <v>2024</v>
      </c>
      <c r="Q4143" s="16" t="e">
        <f>SUM(Q4144:Q4146)</f>
        <v>#REF!</v>
      </c>
      <c r="R4143" s="16" t="str">
        <f>TEXT(Planning[[#This Row],[Mes]]*29,"mmmm")</f>
        <v>October</v>
      </c>
      <c r="S41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43" s="210"/>
      <c r="U4143" s="43" t="e">
        <f>IF(Planning[[#This Row],[Horas Planificadas]]&lt;&gt;0,+K4143/Planning[[#This Row],[Horas Planificadas]],0)</f>
        <v>#REF!</v>
      </c>
      <c r="V4143" s="43" t="e">
        <f>IF(Planning[[#This Row],[Horas Planificadas]]&lt;&gt;0,Planning[[#This Row],[Horas utilizadas]]/Planning[[#This Row],[Horas Planificadas]],0)</f>
        <v>#REF!</v>
      </c>
      <c r="W4143" s="44">
        <f>Planning[[#This Row],[Horas Planificadas]]+Planning[[#This Row],[Horas ajustadas adicionales]]</f>
        <v>80</v>
      </c>
      <c r="X4143" s="142"/>
    </row>
    <row r="4144" spans="1:24" x14ac:dyDescent="0.2">
      <c r="A4144" s="7" t="s">
        <v>435</v>
      </c>
      <c r="B4144" s="7" t="s">
        <v>428</v>
      </c>
      <c r="C4144" s="3"/>
      <c r="D4144" s="3" t="s">
        <v>720</v>
      </c>
      <c r="E4144" s="4"/>
      <c r="F4144" s="3" t="s">
        <v>129</v>
      </c>
      <c r="G4144" s="9">
        <v>0</v>
      </c>
      <c r="H4144" s="9">
        <v>0</v>
      </c>
      <c r="I4144" s="12"/>
      <c r="J4144" s="5" t="e">
        <f>SUM(SUMIFS(#REF!,#REF!,Planning[[#This Row],[Tipo de Tarea y especialidad]],#REF!,Planning[[#This Row],[Proyectos Reiwa]]),SUMIFS(#REF!,#REF!,Planning[[#This Row],[Tipo de Tarea y especialidad]],#REF!,Planning[[#This Row],[Proyectos]]))</f>
        <v>#REF!</v>
      </c>
      <c r="K4144" s="5" t="e">
        <f>+Planning[[#This Row],[Horas Planificadas]]+Planning[[#This Row],[Horas ajustadas adicionales]]-Planning[[#This Row],[Horas utilizadas]]</f>
        <v>#REF!</v>
      </c>
      <c r="L4144" s="7">
        <v>0</v>
      </c>
      <c r="M4144" s="19" t="e">
        <f>Planning[[#This Row],[Saldo]]-Planning[[#This Row],[Saldo estimado]]</f>
        <v>#REF!</v>
      </c>
      <c r="N4144" s="60" t="e">
        <f>+SUMIFS(#REF!,#REF!,Planning[[#This Row],[Proyectos]],#REF!,Planning[[#This Row],[Tipo de Tarea y especialidad]])</f>
        <v>#REF!</v>
      </c>
      <c r="O4144" s="19">
        <f t="shared" si="128"/>
        <v>10</v>
      </c>
      <c r="P4144" s="19">
        <f t="shared" si="129"/>
        <v>2024</v>
      </c>
      <c r="Q41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44" s="19" t="str">
        <f>TEXT(Planning[[#This Row],[Mes]]*29,"mmmm")</f>
        <v>October</v>
      </c>
      <c r="S41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44" s="210"/>
      <c r="U4144" s="43">
        <f>IF(Planning[[#This Row],[Horas Planificadas]]&lt;&gt;0,+K4144/Planning[[#This Row],[Horas Planificadas]],0)</f>
        <v>0</v>
      </c>
      <c r="V4144" s="43">
        <f>IF(Planning[[#This Row],[Horas Planificadas]]&lt;&gt;0,Planning[[#This Row],[Horas utilizadas]]/Planning[[#This Row],[Horas Planificadas]],0)</f>
        <v>0</v>
      </c>
      <c r="W4144" s="44">
        <f>Planning[[#This Row],[Horas Planificadas]]+Planning[[#This Row],[Horas ajustadas adicionales]]</f>
        <v>0</v>
      </c>
      <c r="X4144" s="142"/>
    </row>
    <row r="4145" spans="1:24" x14ac:dyDescent="0.2">
      <c r="A4145" s="7" t="s">
        <v>435</v>
      </c>
      <c r="B4145" s="7" t="s">
        <v>428</v>
      </c>
      <c r="C4145" s="3"/>
      <c r="D4145" s="3" t="s">
        <v>720</v>
      </c>
      <c r="E4145" s="4"/>
      <c r="F4145" s="3" t="s">
        <v>130</v>
      </c>
      <c r="G4145" s="9">
        <v>0</v>
      </c>
      <c r="H4145" s="9">
        <v>60</v>
      </c>
      <c r="I4145" s="12"/>
      <c r="J4145" s="5" t="e">
        <f>SUM(SUMIFS(#REF!,#REF!,Planning[[#This Row],[Tipo de Tarea y especialidad]],#REF!,Planning[[#This Row],[Proyectos Reiwa]]),SUMIFS(#REF!,#REF!,Planning[[#This Row],[Tipo de Tarea y especialidad]],#REF!,Planning[[#This Row],[Proyectos]]))</f>
        <v>#REF!</v>
      </c>
      <c r="K4145" s="5" t="e">
        <f>+Planning[[#This Row],[Horas Planificadas]]+Planning[[#This Row],[Horas ajustadas adicionales]]-Planning[[#This Row],[Horas utilizadas]]</f>
        <v>#REF!</v>
      </c>
      <c r="L4145" s="7">
        <v>0</v>
      </c>
      <c r="M4145" s="19" t="e">
        <f>Planning[[#This Row],[Saldo]]-Planning[[#This Row],[Saldo estimado]]</f>
        <v>#REF!</v>
      </c>
      <c r="N4145" s="60" t="e">
        <f>+SUMIFS(#REF!,#REF!,Planning[[#This Row],[Proyectos]],#REF!,Planning[[#This Row],[Tipo de Tarea y especialidad]])</f>
        <v>#REF!</v>
      </c>
      <c r="O4145" s="19">
        <f t="shared" si="128"/>
        <v>10</v>
      </c>
      <c r="P4145" s="19">
        <f t="shared" si="129"/>
        <v>2024</v>
      </c>
      <c r="Q41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45" s="19" t="str">
        <f>TEXT(Planning[[#This Row],[Mes]]*29,"mmmm")</f>
        <v>October</v>
      </c>
      <c r="S41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45" s="210"/>
      <c r="U4145" s="43" t="e">
        <f>IF(Planning[[#This Row],[Horas Planificadas]]&lt;&gt;0,+K4145/Planning[[#This Row],[Horas Planificadas]],0)</f>
        <v>#REF!</v>
      </c>
      <c r="V4145" s="43" t="e">
        <f>IF(Planning[[#This Row],[Horas Planificadas]]&lt;&gt;0,Planning[[#This Row],[Horas utilizadas]]/Planning[[#This Row],[Horas Planificadas]],0)</f>
        <v>#REF!</v>
      </c>
      <c r="W4145" s="44">
        <f>Planning[[#This Row],[Horas Planificadas]]+Planning[[#This Row],[Horas ajustadas adicionales]]</f>
        <v>60</v>
      </c>
      <c r="X4145" s="142"/>
    </row>
    <row r="4146" spans="1:24" x14ac:dyDescent="0.2">
      <c r="A4146" s="7" t="s">
        <v>435</v>
      </c>
      <c r="B4146" s="7" t="s">
        <v>428</v>
      </c>
      <c r="C4146" s="3"/>
      <c r="D4146" s="3" t="s">
        <v>720</v>
      </c>
      <c r="E4146" s="4"/>
      <c r="F4146" s="3" t="s">
        <v>131</v>
      </c>
      <c r="G4146" s="9">
        <v>0</v>
      </c>
      <c r="H4146" s="9">
        <v>20</v>
      </c>
      <c r="I4146" s="12"/>
      <c r="J4146" s="5" t="e">
        <f>SUM(SUMIFS(#REF!,#REF!,Planning[[#This Row],[Tipo de Tarea y especialidad]],#REF!,Planning[[#This Row],[Proyectos Reiwa]]),SUMIFS(#REF!,#REF!,Planning[[#This Row],[Tipo de Tarea y especialidad]],#REF!,Planning[[#This Row],[Proyectos]]))</f>
        <v>#REF!</v>
      </c>
      <c r="K4146" s="5" t="e">
        <f>+Planning[[#This Row],[Horas Planificadas]]+Planning[[#This Row],[Horas ajustadas adicionales]]-Planning[[#This Row],[Horas utilizadas]]</f>
        <v>#REF!</v>
      </c>
      <c r="L4146" s="7">
        <v>0</v>
      </c>
      <c r="M4146" s="19" t="e">
        <f>Planning[[#This Row],[Saldo]]-Planning[[#This Row],[Saldo estimado]]</f>
        <v>#REF!</v>
      </c>
      <c r="N4146" s="60" t="e">
        <f>+SUMIFS(#REF!,#REF!,Planning[[#This Row],[Proyectos]],#REF!,Planning[[#This Row],[Tipo de Tarea y especialidad]])</f>
        <v>#REF!</v>
      </c>
      <c r="O4146" s="19">
        <f t="shared" si="128"/>
        <v>10</v>
      </c>
      <c r="P4146" s="19">
        <f t="shared" si="129"/>
        <v>2024</v>
      </c>
      <c r="Q41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46" s="19" t="str">
        <f>TEXT(Planning[[#This Row],[Mes]]*29,"mmmm")</f>
        <v>October</v>
      </c>
      <c r="S41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46" s="210"/>
      <c r="U4146" s="43" t="e">
        <f>IF(Planning[[#This Row],[Horas Planificadas]]&lt;&gt;0,+K4146/Planning[[#This Row],[Horas Planificadas]],0)</f>
        <v>#REF!</v>
      </c>
      <c r="V4146" s="43" t="e">
        <f>IF(Planning[[#This Row],[Horas Planificadas]]&lt;&gt;0,Planning[[#This Row],[Horas utilizadas]]/Planning[[#This Row],[Horas Planificadas]],0)</f>
        <v>#REF!</v>
      </c>
      <c r="W4146" s="44">
        <f>Planning[[#This Row],[Horas Planificadas]]+Planning[[#This Row],[Horas ajustadas adicionales]]</f>
        <v>20</v>
      </c>
      <c r="X4146" s="142"/>
    </row>
    <row r="4147" spans="1:24" ht="22.5" x14ac:dyDescent="0.2">
      <c r="A4147" s="7" t="s">
        <v>722</v>
      </c>
      <c r="B4147" s="7" t="s">
        <v>118</v>
      </c>
      <c r="C4147" s="3">
        <v>116992</v>
      </c>
      <c r="D4147" s="3" t="s">
        <v>723</v>
      </c>
      <c r="E4147" s="4" t="s">
        <v>28</v>
      </c>
      <c r="F4147" s="3"/>
      <c r="G4147" s="9">
        <v>2270</v>
      </c>
      <c r="H4147" s="14">
        <f>SUM(H4148:H4149)</f>
        <v>2306</v>
      </c>
      <c r="I4147" s="14"/>
      <c r="J4147" s="14" t="e">
        <f>SUM(J4148:J4149)</f>
        <v>#REF!</v>
      </c>
      <c r="K4147" s="14" t="e">
        <f>+Planning[[#This Row],[Horas Planificadas]]+Planning[[#This Row],[Horas ajustadas adicionales]]-Planning[[#This Row],[Horas utilizadas]]</f>
        <v>#REF!</v>
      </c>
      <c r="L4147" s="15">
        <f>SUM(L4148:L4149)</f>
        <v>36</v>
      </c>
      <c r="M4147" s="14" t="e">
        <f>SUM(M4148:M4149)</f>
        <v>#REF!</v>
      </c>
      <c r="N4147" s="66" t="e">
        <f>+SUMIFS(#REF!,#REF!,Planning[[#This Row],[Proyectos]],#REF!,Planning[[#This Row],[Tipo de Tarea y especialidad]])</f>
        <v>#REF!</v>
      </c>
      <c r="O4147" s="14">
        <f t="shared" si="128"/>
        <v>10</v>
      </c>
      <c r="P4147" s="14">
        <f t="shared" si="129"/>
        <v>2024</v>
      </c>
      <c r="Q4147" s="28" t="e">
        <f>SUM(Q4148:Q4149)</f>
        <v>#REF!</v>
      </c>
      <c r="R4147" s="28" t="str">
        <f>TEXT(Planning[[#This Row],[Mes]]*29,"mmmm")</f>
        <v>October</v>
      </c>
      <c r="S41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47" s="216" t="s">
        <v>724</v>
      </c>
      <c r="U4147" s="43" t="e">
        <f>IF(Planning[[#This Row],[Horas Planificadas]]&lt;&gt;0,+K4147/Planning[[#This Row],[Horas Planificadas]],0)</f>
        <v>#REF!</v>
      </c>
      <c r="V4147" s="43" t="e">
        <f>IF(Planning[[#This Row],[Horas Planificadas]]&lt;&gt;0,Planning[[#This Row],[Horas utilizadas]]/Planning[[#This Row],[Horas Planificadas]],0)</f>
        <v>#REF!</v>
      </c>
      <c r="W4147" s="44">
        <f>Planning[[#This Row],[Horas Planificadas]]+Planning[[#This Row],[Horas ajustadas adicionales]]</f>
        <v>2306</v>
      </c>
      <c r="X4147" s="142"/>
    </row>
    <row r="4148" spans="1:24" x14ac:dyDescent="0.2">
      <c r="A4148" s="7" t="s">
        <v>722</v>
      </c>
      <c r="B4148" s="7" t="s">
        <v>118</v>
      </c>
      <c r="C4148" s="3">
        <v>116992</v>
      </c>
      <c r="D4148" s="3" t="s">
        <v>723</v>
      </c>
      <c r="E4148" s="4"/>
      <c r="F4148" s="3" t="s">
        <v>120</v>
      </c>
      <c r="G4148" s="9">
        <v>1460</v>
      </c>
      <c r="H4148" s="9">
        <v>1460</v>
      </c>
      <c r="I4148" s="12"/>
      <c r="J4148" s="5" t="e">
        <f>SUM(SUMIFS(#REF!,#REF!,Planning[[#This Row],[Tipo de Tarea y especialidad]],#REF!,Planning[[#This Row],[Proyectos Reiwa]]),SUMIFS(#REF!,#REF!,Planning[[#This Row],[Tipo de Tarea y especialidad]],#REF!,Planning[[#This Row],[Proyectos]]))</f>
        <v>#REF!</v>
      </c>
      <c r="K4148" s="5" t="e">
        <f>+Planning[[#This Row],[Horas Planificadas]]+Planning[[#This Row],[Horas ajustadas adicionales]]-Planning[[#This Row],[Horas utilizadas]]</f>
        <v>#REF!</v>
      </c>
      <c r="L4148" s="7"/>
      <c r="M4148" s="19" t="e">
        <f>Planning[[#This Row],[Saldo]]-Planning[[#This Row],[Saldo estimado]]</f>
        <v>#REF!</v>
      </c>
      <c r="N4148" s="60" t="e">
        <f>+SUMIFS(#REF!,#REF!,Planning[[#This Row],[Proyectos]],#REF!,Planning[[#This Row],[Tipo de Tarea y especialidad]])</f>
        <v>#REF!</v>
      </c>
      <c r="O4148" s="19">
        <f t="shared" si="128"/>
        <v>10</v>
      </c>
      <c r="P4148" s="19">
        <f t="shared" si="129"/>
        <v>2024</v>
      </c>
      <c r="Q41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48" s="19" t="str">
        <f>TEXT(Planning[[#This Row],[Mes]]*29,"mmmm")</f>
        <v>October</v>
      </c>
      <c r="S41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48" s="193"/>
      <c r="U4148" s="43" t="e">
        <f>IF(Planning[[#This Row],[Horas Planificadas]]&lt;&gt;0,+K4148/Planning[[#This Row],[Horas Planificadas]],0)</f>
        <v>#REF!</v>
      </c>
      <c r="V4148" s="43" t="e">
        <f>IF(Planning[[#This Row],[Horas Planificadas]]&lt;&gt;0,Planning[[#This Row],[Horas utilizadas]]/Planning[[#This Row],[Horas Planificadas]],0)</f>
        <v>#REF!</v>
      </c>
      <c r="W4148" s="44">
        <f>Planning[[#This Row],[Horas Planificadas]]+Planning[[#This Row],[Horas ajustadas adicionales]]</f>
        <v>1460</v>
      </c>
      <c r="X4148" s="142"/>
    </row>
    <row r="4149" spans="1:24" x14ac:dyDescent="0.2">
      <c r="A4149" s="7" t="s">
        <v>722</v>
      </c>
      <c r="B4149" s="7" t="s">
        <v>118</v>
      </c>
      <c r="C4149" s="3">
        <v>116992</v>
      </c>
      <c r="D4149" s="3" t="s">
        <v>723</v>
      </c>
      <c r="E4149" s="4"/>
      <c r="F4149" s="3" t="s">
        <v>121</v>
      </c>
      <c r="G4149" s="9">
        <v>810</v>
      </c>
      <c r="H4149" s="9">
        <v>846</v>
      </c>
      <c r="I4149" s="12">
        <v>36</v>
      </c>
      <c r="J4149" s="5" t="e">
        <f>SUM(SUMIFS(#REF!,#REF!,Planning[[#This Row],[Tipo de Tarea y especialidad]],#REF!,Planning[[#This Row],[Proyectos Reiwa]]),SUMIFS(#REF!,#REF!,Planning[[#This Row],[Tipo de Tarea y especialidad]],#REF!,Planning[[#This Row],[Proyectos]]))</f>
        <v>#REF!</v>
      </c>
      <c r="K4149" s="5" t="e">
        <f>+Planning[[#This Row],[Horas Planificadas]]+Planning[[#This Row],[Horas ajustadas adicionales]]-Planning[[#This Row],[Horas utilizadas]]</f>
        <v>#REF!</v>
      </c>
      <c r="L4149" s="7">
        <v>36</v>
      </c>
      <c r="M4149" s="19" t="e">
        <f>Planning[[#This Row],[Saldo]]-Planning[[#This Row],[Saldo estimado]]</f>
        <v>#REF!</v>
      </c>
      <c r="N4149" s="60" t="e">
        <f>+SUMIFS(#REF!,#REF!,Planning[[#This Row],[Proyectos]],#REF!,Planning[[#This Row],[Tipo de Tarea y especialidad]])</f>
        <v>#REF!</v>
      </c>
      <c r="O4149" s="19">
        <f t="shared" si="128"/>
        <v>10</v>
      </c>
      <c r="P4149" s="19">
        <f t="shared" si="129"/>
        <v>2024</v>
      </c>
      <c r="Q41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49" s="19" t="str">
        <f>TEXT(Planning[[#This Row],[Mes]]*29,"mmmm")</f>
        <v>October</v>
      </c>
      <c r="S41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49" s="193"/>
      <c r="U4149" s="43" t="e">
        <f>IF(Planning[[#This Row],[Horas Planificadas]]&lt;&gt;0,+K4149/Planning[[#This Row],[Horas Planificadas]],0)</f>
        <v>#REF!</v>
      </c>
      <c r="V4149" s="43" t="e">
        <f>IF(Planning[[#This Row],[Horas Planificadas]]&lt;&gt;0,Planning[[#This Row],[Horas utilizadas]]/Planning[[#This Row],[Horas Planificadas]],0)</f>
        <v>#REF!</v>
      </c>
      <c r="W4149" s="44">
        <f>Planning[[#This Row],[Horas Planificadas]]+Planning[[#This Row],[Horas ajustadas adicionales]]</f>
        <v>882</v>
      </c>
      <c r="X4149" s="142"/>
    </row>
    <row r="4150" spans="1:24" x14ac:dyDescent="0.2">
      <c r="A4150" s="7" t="s">
        <v>722</v>
      </c>
      <c r="B4150" s="7" t="s">
        <v>118</v>
      </c>
      <c r="C4150" s="3">
        <v>116992</v>
      </c>
      <c r="D4150" s="3" t="s">
        <v>723</v>
      </c>
      <c r="E4150" s="4" t="s">
        <v>30</v>
      </c>
      <c r="F4150" s="3"/>
      <c r="G4150" s="9">
        <v>2175</v>
      </c>
      <c r="H4150" s="14">
        <f>SUM(H4151:H4157)</f>
        <v>2292</v>
      </c>
      <c r="I4150" s="14"/>
      <c r="J4150" s="14" t="e">
        <f>SUM(J4151:J4157)</f>
        <v>#REF!</v>
      </c>
      <c r="K4150" s="14" t="e">
        <f>+Planning[[#This Row],[Horas Planificadas]]+Planning[[#This Row],[Horas ajustadas adicionales]]-Planning[[#This Row],[Horas utilizadas]]</f>
        <v>#REF!</v>
      </c>
      <c r="L4150" s="15">
        <f>SUM(L4151:L4157)</f>
        <v>90</v>
      </c>
      <c r="M4150" s="16" t="e">
        <f>SUM(M4151:M4157)</f>
        <v>#REF!</v>
      </c>
      <c r="N4150" s="60" t="e">
        <f>+SUMIFS(#REF!,#REF!,Planning[[#This Row],[Proyectos]],#REF!,Planning[[#This Row],[Tipo de Tarea y especialidad]])</f>
        <v>#REF!</v>
      </c>
      <c r="O4150" s="16">
        <f t="shared" si="128"/>
        <v>10</v>
      </c>
      <c r="P4150" s="16">
        <f t="shared" si="129"/>
        <v>2024</v>
      </c>
      <c r="Q4150" s="16" t="e">
        <f>SUM(Q4151:Q4157)</f>
        <v>#REF!</v>
      </c>
      <c r="R4150" s="16" t="str">
        <f>TEXT(Planning[[#This Row],[Mes]]*29,"mmmm")</f>
        <v>October</v>
      </c>
      <c r="S41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50" s="193"/>
      <c r="U4150" s="43" t="e">
        <f>IF(Planning[[#This Row],[Horas Planificadas]]&lt;&gt;0,+K4150/Planning[[#This Row],[Horas Planificadas]],0)</f>
        <v>#REF!</v>
      </c>
      <c r="V4150" s="43" t="e">
        <f>IF(Planning[[#This Row],[Horas Planificadas]]&lt;&gt;0,Planning[[#This Row],[Horas utilizadas]]/Planning[[#This Row],[Horas Planificadas]],0)</f>
        <v>#REF!</v>
      </c>
      <c r="W4150" s="44">
        <f>Planning[[#This Row],[Horas Planificadas]]+Planning[[#This Row],[Horas ajustadas adicionales]]</f>
        <v>2292</v>
      </c>
      <c r="X4150" s="142"/>
    </row>
    <row r="4151" spans="1:24" x14ac:dyDescent="0.2">
      <c r="A4151" s="7" t="s">
        <v>722</v>
      </c>
      <c r="B4151" s="7" t="s">
        <v>118</v>
      </c>
      <c r="C4151" s="3">
        <v>116992</v>
      </c>
      <c r="D4151" s="3" t="s">
        <v>723</v>
      </c>
      <c r="E4151" s="4"/>
      <c r="F4151" s="3" t="s">
        <v>122</v>
      </c>
      <c r="G4151" s="9">
        <v>560</v>
      </c>
      <c r="H4151" s="9">
        <v>460</v>
      </c>
      <c r="I4151" s="12"/>
      <c r="J4151" s="5" t="e">
        <f>SUM(SUMIFS(#REF!,#REF!,Planning[[#This Row],[Tipo de Tarea y especialidad]],#REF!,Planning[[#This Row],[Proyectos Reiwa]]),SUMIFS(#REF!,#REF!,Planning[[#This Row],[Tipo de Tarea y especialidad]],#REF!,Planning[[#This Row],[Proyectos]]))</f>
        <v>#REF!</v>
      </c>
      <c r="K4151" s="5" t="e">
        <f>+Planning[[#This Row],[Horas Planificadas]]+Planning[[#This Row],[Horas ajustadas adicionales]]-Planning[[#This Row],[Horas utilizadas]]</f>
        <v>#REF!</v>
      </c>
      <c r="L4151" s="7">
        <v>18</v>
      </c>
      <c r="M4151" s="19" t="e">
        <f>Planning[[#This Row],[Saldo]]-Planning[[#This Row],[Saldo estimado]]</f>
        <v>#REF!</v>
      </c>
      <c r="N4151" s="60" t="e">
        <f>+SUMIFS(#REF!,#REF!,Planning[[#This Row],[Proyectos]],#REF!,Planning[[#This Row],[Tipo de Tarea y especialidad]])</f>
        <v>#REF!</v>
      </c>
      <c r="O4151" s="19">
        <f t="shared" si="128"/>
        <v>10</v>
      </c>
      <c r="P4151" s="19">
        <f t="shared" si="129"/>
        <v>2024</v>
      </c>
      <c r="Q41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51" s="19" t="str">
        <f>TEXT(Planning[[#This Row],[Mes]]*29,"mmmm")</f>
        <v>October</v>
      </c>
      <c r="S41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51" s="193"/>
      <c r="U4151" s="43" t="e">
        <f>IF(Planning[[#This Row],[Horas Planificadas]]&lt;&gt;0,+K4151/Planning[[#This Row],[Horas Planificadas]],0)</f>
        <v>#REF!</v>
      </c>
      <c r="V4151" s="43" t="e">
        <f>IF(Planning[[#This Row],[Horas Planificadas]]&lt;&gt;0,Planning[[#This Row],[Horas utilizadas]]/Planning[[#This Row],[Horas Planificadas]],0)</f>
        <v>#REF!</v>
      </c>
      <c r="W4151" s="44">
        <f>Planning[[#This Row],[Horas Planificadas]]+Planning[[#This Row],[Horas ajustadas adicionales]]</f>
        <v>460</v>
      </c>
      <c r="X4151" s="142"/>
    </row>
    <row r="4152" spans="1:24" x14ac:dyDescent="0.2">
      <c r="A4152" s="7" t="s">
        <v>722</v>
      </c>
      <c r="B4152" s="7" t="s">
        <v>118</v>
      </c>
      <c r="C4152" s="3">
        <v>116992</v>
      </c>
      <c r="D4152" s="3" t="s">
        <v>723</v>
      </c>
      <c r="E4152" s="4"/>
      <c r="F4152" s="3" t="s">
        <v>123</v>
      </c>
      <c r="G4152" s="9">
        <v>432</v>
      </c>
      <c r="H4152" s="9">
        <v>460</v>
      </c>
      <c r="I4152" s="12"/>
      <c r="J4152" s="5" t="e">
        <f>SUM(SUMIFS(#REF!,#REF!,Planning[[#This Row],[Tipo de Tarea y especialidad]],#REF!,Planning[[#This Row],[Proyectos Reiwa]]),SUMIFS(#REF!,#REF!,Planning[[#This Row],[Tipo de Tarea y especialidad]],#REF!,Planning[[#This Row],[Proyectos]]))</f>
        <v>#REF!</v>
      </c>
      <c r="K4152" s="5" t="e">
        <f>+Planning[[#This Row],[Horas Planificadas]]+Planning[[#This Row],[Horas ajustadas adicionales]]-Planning[[#This Row],[Horas utilizadas]]</f>
        <v>#REF!</v>
      </c>
      <c r="L4152" s="7">
        <v>18</v>
      </c>
      <c r="M4152" s="19" t="e">
        <f>Planning[[#This Row],[Saldo]]-Planning[[#This Row],[Saldo estimado]]</f>
        <v>#REF!</v>
      </c>
      <c r="N4152" s="60" t="e">
        <f>+SUMIFS(#REF!,#REF!,Planning[[#This Row],[Proyectos]],#REF!,Planning[[#This Row],[Tipo de Tarea y especialidad]])</f>
        <v>#REF!</v>
      </c>
      <c r="O4152" s="19">
        <f t="shared" si="128"/>
        <v>10</v>
      </c>
      <c r="P4152" s="19">
        <f t="shared" si="129"/>
        <v>2024</v>
      </c>
      <c r="Q41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52" s="19" t="str">
        <f>TEXT(Planning[[#This Row],[Mes]]*29,"mmmm")</f>
        <v>October</v>
      </c>
      <c r="S41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52" s="193"/>
      <c r="U4152" s="43" t="e">
        <f>IF(Planning[[#This Row],[Horas Planificadas]]&lt;&gt;0,+K4152/Planning[[#This Row],[Horas Planificadas]],0)</f>
        <v>#REF!</v>
      </c>
      <c r="V4152" s="43" t="e">
        <f>IF(Planning[[#This Row],[Horas Planificadas]]&lt;&gt;0,Planning[[#This Row],[Horas utilizadas]]/Planning[[#This Row],[Horas Planificadas]],0)</f>
        <v>#REF!</v>
      </c>
      <c r="W4152" s="44">
        <f>Planning[[#This Row],[Horas Planificadas]]+Planning[[#This Row],[Horas ajustadas adicionales]]</f>
        <v>460</v>
      </c>
      <c r="X4152" s="142"/>
    </row>
    <row r="4153" spans="1:24" x14ac:dyDescent="0.2">
      <c r="A4153" s="7" t="s">
        <v>722</v>
      </c>
      <c r="B4153" s="7" t="s">
        <v>118</v>
      </c>
      <c r="C4153" s="3">
        <v>116992</v>
      </c>
      <c r="D4153" s="3" t="s">
        <v>723</v>
      </c>
      <c r="E4153" s="4"/>
      <c r="F4153" s="3" t="s">
        <v>124</v>
      </c>
      <c r="G4153" s="9">
        <v>98</v>
      </c>
      <c r="H4153" s="9">
        <v>98</v>
      </c>
      <c r="I4153" s="12"/>
      <c r="J4153" s="5" t="e">
        <f>SUM(SUMIFS(#REF!,#REF!,Planning[[#This Row],[Tipo de Tarea y especialidad]],#REF!,Planning[[#This Row],[Proyectos Reiwa]]),SUMIFS(#REF!,#REF!,Planning[[#This Row],[Tipo de Tarea y especialidad]],#REF!,Planning[[#This Row],[Proyectos]]))</f>
        <v>#REF!</v>
      </c>
      <c r="K4153" s="5" t="e">
        <f>+Planning[[#This Row],[Horas Planificadas]]+Planning[[#This Row],[Horas ajustadas adicionales]]-Planning[[#This Row],[Horas utilizadas]]</f>
        <v>#REF!</v>
      </c>
      <c r="L4153" s="7">
        <v>0</v>
      </c>
      <c r="M4153" s="19" t="e">
        <f>Planning[[#This Row],[Saldo]]-Planning[[#This Row],[Saldo estimado]]</f>
        <v>#REF!</v>
      </c>
      <c r="N4153" s="60" t="e">
        <f>+SUMIFS(#REF!,#REF!,Planning[[#This Row],[Proyectos]],#REF!,Planning[[#This Row],[Tipo de Tarea y especialidad]])</f>
        <v>#REF!</v>
      </c>
      <c r="O4153" s="19">
        <f t="shared" si="128"/>
        <v>10</v>
      </c>
      <c r="P4153" s="19">
        <f t="shared" si="129"/>
        <v>2024</v>
      </c>
      <c r="Q41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53" s="19" t="str">
        <f>TEXT(Planning[[#This Row],[Mes]]*29,"mmmm")</f>
        <v>October</v>
      </c>
      <c r="S41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53" s="193"/>
      <c r="U4153" s="43" t="e">
        <f>IF(Planning[[#This Row],[Horas Planificadas]]&lt;&gt;0,+K4153/Planning[[#This Row],[Horas Planificadas]],0)</f>
        <v>#REF!</v>
      </c>
      <c r="V4153" s="43" t="e">
        <f>IF(Planning[[#This Row],[Horas Planificadas]]&lt;&gt;0,Planning[[#This Row],[Horas utilizadas]]/Planning[[#This Row],[Horas Planificadas]],0)</f>
        <v>#REF!</v>
      </c>
      <c r="W4153" s="44">
        <f>Planning[[#This Row],[Horas Planificadas]]+Planning[[#This Row],[Horas ajustadas adicionales]]</f>
        <v>98</v>
      </c>
      <c r="X4153" s="142"/>
    </row>
    <row r="4154" spans="1:24" x14ac:dyDescent="0.2">
      <c r="A4154" s="7" t="s">
        <v>722</v>
      </c>
      <c r="B4154" s="7" t="s">
        <v>118</v>
      </c>
      <c r="C4154" s="3">
        <v>116992</v>
      </c>
      <c r="D4154" s="3" t="s">
        <v>723</v>
      </c>
      <c r="E4154" s="4"/>
      <c r="F4154" s="3" t="s">
        <v>125</v>
      </c>
      <c r="G4154" s="9">
        <v>243</v>
      </c>
      <c r="H4154" s="9">
        <v>432</v>
      </c>
      <c r="I4154" s="12">
        <v>9</v>
      </c>
      <c r="J4154" s="5" t="e">
        <f>SUM(SUMIFS(#REF!,#REF!,Planning[[#This Row],[Tipo de Tarea y especialidad]],#REF!,Planning[[#This Row],[Proyectos Reiwa]]),SUMIFS(#REF!,#REF!,Planning[[#This Row],[Tipo de Tarea y especialidad]],#REF!,Planning[[#This Row],[Proyectos]]))</f>
        <v>#REF!</v>
      </c>
      <c r="K4154" s="5" t="e">
        <f>+Planning[[#This Row],[Horas Planificadas]]+Planning[[#This Row],[Horas ajustadas adicionales]]-Planning[[#This Row],[Horas utilizadas]]</f>
        <v>#REF!</v>
      </c>
      <c r="L4154" s="7">
        <v>54</v>
      </c>
      <c r="M4154" s="19" t="e">
        <f>Planning[[#This Row],[Saldo]]-Planning[[#This Row],[Saldo estimado]]</f>
        <v>#REF!</v>
      </c>
      <c r="N4154" s="60" t="e">
        <f>+SUMIFS(#REF!,#REF!,Planning[[#This Row],[Proyectos]],#REF!,Planning[[#This Row],[Tipo de Tarea y especialidad]])</f>
        <v>#REF!</v>
      </c>
      <c r="O4154" s="19">
        <f t="shared" si="128"/>
        <v>10</v>
      </c>
      <c r="P4154" s="19">
        <f t="shared" si="129"/>
        <v>2024</v>
      </c>
      <c r="Q41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54" s="19" t="str">
        <f>TEXT(Planning[[#This Row],[Mes]]*29,"mmmm")</f>
        <v>October</v>
      </c>
      <c r="S41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54" s="193"/>
      <c r="U4154" s="43" t="e">
        <f>IF(Planning[[#This Row],[Horas Planificadas]]&lt;&gt;0,+K4154/Planning[[#This Row],[Horas Planificadas]],0)</f>
        <v>#REF!</v>
      </c>
      <c r="V4154" s="43" t="e">
        <f>IF(Planning[[#This Row],[Horas Planificadas]]&lt;&gt;0,Planning[[#This Row],[Horas utilizadas]]/Planning[[#This Row],[Horas Planificadas]],0)</f>
        <v>#REF!</v>
      </c>
      <c r="W4154" s="44">
        <f>Planning[[#This Row],[Horas Planificadas]]+Planning[[#This Row],[Horas ajustadas adicionales]]</f>
        <v>441</v>
      </c>
      <c r="X4154" s="142"/>
    </row>
    <row r="4155" spans="1:24" x14ac:dyDescent="0.2">
      <c r="A4155" s="7" t="s">
        <v>722</v>
      </c>
      <c r="B4155" s="7" t="s">
        <v>118</v>
      </c>
      <c r="C4155" s="3">
        <v>116992</v>
      </c>
      <c r="D4155" s="3" t="s">
        <v>723</v>
      </c>
      <c r="E4155" s="4"/>
      <c r="F4155" s="3" t="s">
        <v>126</v>
      </c>
      <c r="G4155" s="9">
        <v>442</v>
      </c>
      <c r="H4155" s="9">
        <v>442</v>
      </c>
      <c r="I4155" s="12"/>
      <c r="J4155" s="5" t="e">
        <f>SUM(SUMIFS(#REF!,#REF!,Planning[[#This Row],[Tipo de Tarea y especialidad]],#REF!,Planning[[#This Row],[Proyectos Reiwa]]),SUMIFS(#REF!,#REF!,Planning[[#This Row],[Tipo de Tarea y especialidad]],#REF!,Planning[[#This Row],[Proyectos]]))</f>
        <v>#REF!</v>
      </c>
      <c r="K4155" s="5" t="e">
        <f>+Planning[[#This Row],[Horas Planificadas]]+Planning[[#This Row],[Horas ajustadas adicionales]]-Planning[[#This Row],[Horas utilizadas]]</f>
        <v>#REF!</v>
      </c>
      <c r="L4155" s="7"/>
      <c r="M4155" s="19" t="e">
        <f>Planning[[#This Row],[Saldo]]-Planning[[#This Row],[Saldo estimado]]</f>
        <v>#REF!</v>
      </c>
      <c r="N4155" s="60" t="e">
        <f>+SUMIFS(#REF!,#REF!,Planning[[#This Row],[Proyectos]],#REF!,Planning[[#This Row],[Tipo de Tarea y especialidad]])</f>
        <v>#REF!</v>
      </c>
      <c r="O4155" s="19">
        <f t="shared" si="128"/>
        <v>10</v>
      </c>
      <c r="P4155" s="19">
        <f t="shared" si="129"/>
        <v>2024</v>
      </c>
      <c r="Q41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55" s="19" t="str">
        <f>TEXT(Planning[[#This Row],[Mes]]*29,"mmmm")</f>
        <v>October</v>
      </c>
      <c r="S41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55" s="193"/>
      <c r="U4155" s="43" t="e">
        <f>IF(Planning[[#This Row],[Horas Planificadas]]&lt;&gt;0,+K4155/Planning[[#This Row],[Horas Planificadas]],0)</f>
        <v>#REF!</v>
      </c>
      <c r="V4155" s="43" t="e">
        <f>IF(Planning[[#This Row],[Horas Planificadas]]&lt;&gt;0,Planning[[#This Row],[Horas utilizadas]]/Planning[[#This Row],[Horas Planificadas]],0)</f>
        <v>#REF!</v>
      </c>
      <c r="W4155" s="44">
        <f>Planning[[#This Row],[Horas Planificadas]]+Planning[[#This Row],[Horas ajustadas adicionales]]</f>
        <v>442</v>
      </c>
      <c r="X4155" s="142"/>
    </row>
    <row r="4156" spans="1:24" x14ac:dyDescent="0.2">
      <c r="A4156" s="7" t="s">
        <v>722</v>
      </c>
      <c r="B4156" s="7" t="s">
        <v>118</v>
      </c>
      <c r="C4156" s="3">
        <v>116992</v>
      </c>
      <c r="D4156" s="3" t="s">
        <v>723</v>
      </c>
      <c r="E4156" s="4"/>
      <c r="F4156" s="3" t="s">
        <v>127</v>
      </c>
      <c r="G4156" s="9">
        <v>326</v>
      </c>
      <c r="H4156" s="9">
        <v>326</v>
      </c>
      <c r="I4156" s="12"/>
      <c r="J4156" s="5" t="e">
        <f>SUM(SUMIFS(#REF!,#REF!,Planning[[#This Row],[Tipo de Tarea y especialidad]],#REF!,Planning[[#This Row],[Proyectos Reiwa]]),SUMIFS(#REF!,#REF!,Planning[[#This Row],[Tipo de Tarea y especialidad]],#REF!,Planning[[#This Row],[Proyectos]]))</f>
        <v>#REF!</v>
      </c>
      <c r="K4156" s="5" t="e">
        <f>+Planning[[#This Row],[Horas Planificadas]]+Planning[[#This Row],[Horas ajustadas adicionales]]-Planning[[#This Row],[Horas utilizadas]]</f>
        <v>#REF!</v>
      </c>
      <c r="L4156" s="7"/>
      <c r="M4156" s="19" t="e">
        <f>Planning[[#This Row],[Saldo]]-Planning[[#This Row],[Saldo estimado]]</f>
        <v>#REF!</v>
      </c>
      <c r="N4156" s="60" t="e">
        <f>+SUMIFS(#REF!,#REF!,Planning[[#This Row],[Proyectos]],#REF!,Planning[[#This Row],[Tipo de Tarea y especialidad]])</f>
        <v>#REF!</v>
      </c>
      <c r="O4156" s="19">
        <f t="shared" si="128"/>
        <v>10</v>
      </c>
      <c r="P4156" s="19">
        <f t="shared" si="129"/>
        <v>2024</v>
      </c>
      <c r="Q41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56" s="19" t="str">
        <f>TEXT(Planning[[#This Row],[Mes]]*29,"mmmm")</f>
        <v>October</v>
      </c>
      <c r="S41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56" s="193"/>
      <c r="U4156" s="43" t="e">
        <f>IF(Planning[[#This Row],[Horas Planificadas]]&lt;&gt;0,+K4156/Planning[[#This Row],[Horas Planificadas]],0)</f>
        <v>#REF!</v>
      </c>
      <c r="V4156" s="43" t="e">
        <f>IF(Planning[[#This Row],[Horas Planificadas]]&lt;&gt;0,Planning[[#This Row],[Horas utilizadas]]/Planning[[#This Row],[Horas Planificadas]],0)</f>
        <v>#REF!</v>
      </c>
      <c r="W4156" s="44">
        <f>Planning[[#This Row],[Horas Planificadas]]+Planning[[#This Row],[Horas ajustadas adicionales]]</f>
        <v>326</v>
      </c>
      <c r="X4156" s="142"/>
    </row>
    <row r="4157" spans="1:24" x14ac:dyDescent="0.2">
      <c r="A4157" s="7" t="s">
        <v>722</v>
      </c>
      <c r="B4157" s="7" t="s">
        <v>118</v>
      </c>
      <c r="C4157" s="3">
        <v>116992</v>
      </c>
      <c r="D4157" s="3" t="s">
        <v>723</v>
      </c>
      <c r="E4157" s="4"/>
      <c r="F4157" s="3" t="s">
        <v>128</v>
      </c>
      <c r="G4157" s="9">
        <v>74</v>
      </c>
      <c r="H4157" s="9">
        <v>74</v>
      </c>
      <c r="I4157" s="12"/>
      <c r="J4157" s="5" t="e">
        <f>SUM(SUMIFS(#REF!,#REF!,Planning[[#This Row],[Tipo de Tarea y especialidad]],#REF!,Planning[[#This Row],[Proyectos Reiwa]]),SUMIFS(#REF!,#REF!,Planning[[#This Row],[Tipo de Tarea y especialidad]],#REF!,Planning[[#This Row],[Proyectos]]))</f>
        <v>#REF!</v>
      </c>
      <c r="K4157" s="5" t="e">
        <f>+Planning[[#This Row],[Horas Planificadas]]+Planning[[#This Row],[Horas ajustadas adicionales]]-Planning[[#This Row],[Horas utilizadas]]</f>
        <v>#REF!</v>
      </c>
      <c r="L4157" s="7">
        <v>0</v>
      </c>
      <c r="M4157" s="19" t="e">
        <f>Planning[[#This Row],[Saldo]]-Planning[[#This Row],[Saldo estimado]]</f>
        <v>#REF!</v>
      </c>
      <c r="N4157" s="60" t="e">
        <f>+SUMIFS(#REF!,#REF!,Planning[[#This Row],[Proyectos]],#REF!,Planning[[#This Row],[Tipo de Tarea y especialidad]])</f>
        <v>#REF!</v>
      </c>
      <c r="O4157" s="19">
        <f t="shared" si="128"/>
        <v>10</v>
      </c>
      <c r="P4157" s="19">
        <f t="shared" si="129"/>
        <v>2024</v>
      </c>
      <c r="Q41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57" s="19" t="str">
        <f>TEXT(Planning[[#This Row],[Mes]]*29,"mmmm")</f>
        <v>October</v>
      </c>
      <c r="S41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57" s="193"/>
      <c r="U4157" s="43" t="e">
        <f>IF(Planning[[#This Row],[Horas Planificadas]]&lt;&gt;0,+K4157/Planning[[#This Row],[Horas Planificadas]],0)</f>
        <v>#REF!</v>
      </c>
      <c r="V4157" s="43" t="e">
        <f>IF(Planning[[#This Row],[Horas Planificadas]]&lt;&gt;0,Planning[[#This Row],[Horas utilizadas]]/Planning[[#This Row],[Horas Planificadas]],0)</f>
        <v>#REF!</v>
      </c>
      <c r="W4157" s="44">
        <f>Planning[[#This Row],[Horas Planificadas]]+Planning[[#This Row],[Horas ajustadas adicionales]]</f>
        <v>74</v>
      </c>
      <c r="X4157" s="142"/>
    </row>
    <row r="4158" spans="1:24" x14ac:dyDescent="0.2">
      <c r="A4158" s="7" t="s">
        <v>722</v>
      </c>
      <c r="B4158" s="7" t="s">
        <v>118</v>
      </c>
      <c r="C4158" s="3">
        <v>116992</v>
      </c>
      <c r="D4158" s="3" t="s">
        <v>723</v>
      </c>
      <c r="E4158" s="4" t="s">
        <v>31</v>
      </c>
      <c r="F4158" s="3" t="s">
        <v>31</v>
      </c>
      <c r="G4158" s="9"/>
      <c r="H4158" s="17"/>
      <c r="I4158" s="18"/>
      <c r="J4158" s="14" t="e">
        <f>+SUMIFS(#REF!,#REF!,Planning[[#This Row],[Tarifa]],#REF!,Planning[[#This Row],[Proyectos]])</f>
        <v>#REF!</v>
      </c>
      <c r="K4158" s="14" t="e">
        <f>+Planning[[#This Row],[Horas Planificadas]]+Planning[[#This Row],[Horas ajustadas adicionales]]-Planning[[#This Row],[Horas utilizadas]]</f>
        <v>#REF!</v>
      </c>
      <c r="L4158" s="15" t="e">
        <f>Planning[[#This Row],[Saldo]]</f>
        <v>#REF!</v>
      </c>
      <c r="M4158" s="16" t="e">
        <f>Planning[[#This Row],[Saldo]]-Planning[[#This Row],[Saldo estimado]]</f>
        <v>#REF!</v>
      </c>
      <c r="N4158" s="60" t="e">
        <f>+SUMIFS(#REF!,#REF!,Planning[[#This Row],[Proyectos]],#REF!,Planning[[#This Row],[Tipo de Tarea y especialidad]])</f>
        <v>#REF!</v>
      </c>
      <c r="O4158" s="16">
        <f t="shared" si="128"/>
        <v>10</v>
      </c>
      <c r="P4158" s="16">
        <f t="shared" si="129"/>
        <v>2024</v>
      </c>
      <c r="Q4158" s="16" t="e">
        <f>+SUMIFS(#REF!,#REF!,Planning[[#This Row],[Tarifa]],#REF!,Planning[[#This Row],[Proyectos]],#REF!,Planning[[#This Row],[Mes]],#REF!,Planning[[#This Row],[Año]])</f>
        <v>#REF!</v>
      </c>
      <c r="R4158" s="16" t="str">
        <f>TEXT(Planning[[#This Row],[Mes]]*29,"mmmm")</f>
        <v>October</v>
      </c>
      <c r="S41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58" s="193"/>
      <c r="U4158" s="43">
        <f>IF(Planning[[#This Row],[Horas Planificadas]]&lt;&gt;0,+K4158/Planning[[#This Row],[Horas Planificadas]],0)</f>
        <v>0</v>
      </c>
      <c r="V4158" s="43">
        <f>IF(Planning[[#This Row],[Horas Planificadas]]&lt;&gt;0,Planning[[#This Row],[Horas utilizadas]]/Planning[[#This Row],[Horas Planificadas]],0)</f>
        <v>0</v>
      </c>
      <c r="W4158" s="44">
        <f>Planning[[#This Row],[Horas Planificadas]]+Planning[[#This Row],[Horas ajustadas adicionales]]</f>
        <v>0</v>
      </c>
      <c r="X4158" s="142"/>
    </row>
    <row r="4159" spans="1:24" ht="22.5" x14ac:dyDescent="0.2">
      <c r="A4159" s="7" t="s">
        <v>722</v>
      </c>
      <c r="B4159" s="7" t="s">
        <v>118</v>
      </c>
      <c r="C4159" s="3">
        <v>116992</v>
      </c>
      <c r="D4159" s="3" t="s">
        <v>723</v>
      </c>
      <c r="E4159" s="4" t="s">
        <v>32</v>
      </c>
      <c r="F4159" s="3"/>
      <c r="G4159" s="9">
        <v>1027</v>
      </c>
      <c r="H4159" s="14">
        <f>SUM(H4160:H4162)</f>
        <v>1027</v>
      </c>
      <c r="I4159" s="14"/>
      <c r="J4159" s="14" t="e">
        <f>SUM(J4160:J4162)</f>
        <v>#REF!</v>
      </c>
      <c r="K4159" s="14" t="e">
        <f>+Planning[[#This Row],[Horas Planificadas]]+Planning[[#This Row],[Horas ajustadas adicionales]]-Planning[[#This Row],[Horas utilizadas]]</f>
        <v>#REF!</v>
      </c>
      <c r="L4159" s="15">
        <f>SUM(L4160:L4162)</f>
        <v>857</v>
      </c>
      <c r="M4159" s="16" t="e">
        <f>SUM(M4160:M4162)</f>
        <v>#REF!</v>
      </c>
      <c r="N4159" s="60" t="e">
        <f>+SUMIFS(#REF!,#REF!,Planning[[#This Row],[Proyectos]],#REF!,Planning[[#This Row],[Tipo de Tarea y especialidad]])</f>
        <v>#REF!</v>
      </c>
      <c r="O4159" s="16">
        <f t="shared" si="128"/>
        <v>10</v>
      </c>
      <c r="P4159" s="16">
        <f t="shared" si="129"/>
        <v>2024</v>
      </c>
      <c r="Q4159" s="16" t="e">
        <f>SUM(Q4160:Q4162)</f>
        <v>#REF!</v>
      </c>
      <c r="R4159" s="16" t="str">
        <f>TEXT(Planning[[#This Row],[Mes]]*29,"mmmm")</f>
        <v>October</v>
      </c>
      <c r="S41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59" s="193"/>
      <c r="U4159" s="43" t="e">
        <f>IF(Planning[[#This Row],[Horas Planificadas]]&lt;&gt;0,+K4159/Planning[[#This Row],[Horas Planificadas]],0)</f>
        <v>#REF!</v>
      </c>
      <c r="V4159" s="43" t="e">
        <f>IF(Planning[[#This Row],[Horas Planificadas]]&lt;&gt;0,Planning[[#This Row],[Horas utilizadas]]/Planning[[#This Row],[Horas Planificadas]],0)</f>
        <v>#REF!</v>
      </c>
      <c r="W4159" s="44">
        <f>Planning[[#This Row],[Horas Planificadas]]+Planning[[#This Row],[Horas ajustadas adicionales]]</f>
        <v>1027</v>
      </c>
      <c r="X4159" s="142"/>
    </row>
    <row r="4160" spans="1:24" x14ac:dyDescent="0.2">
      <c r="A4160" s="7" t="s">
        <v>722</v>
      </c>
      <c r="B4160" s="7" t="s">
        <v>118</v>
      </c>
      <c r="C4160" s="3">
        <v>116992</v>
      </c>
      <c r="D4160" s="3" t="s">
        <v>723</v>
      </c>
      <c r="E4160" s="4"/>
      <c r="F4160" s="3" t="s">
        <v>129</v>
      </c>
      <c r="G4160" s="9">
        <v>527</v>
      </c>
      <c r="H4160" s="9">
        <v>517</v>
      </c>
      <c r="I4160" s="12"/>
      <c r="J4160" s="5" t="e">
        <f>SUM(SUMIFS(#REF!,#REF!,Planning[[#This Row],[Tipo de Tarea y especialidad]],#REF!,Planning[[#This Row],[Proyectos Reiwa]]),SUMIFS(#REF!,#REF!,Planning[[#This Row],[Tipo de Tarea y especialidad]],#REF!,Planning[[#This Row],[Proyectos]]))</f>
        <v>#REF!</v>
      </c>
      <c r="K4160" s="5" t="e">
        <f>+Planning[[#This Row],[Horas Planificadas]]+Planning[[#This Row],[Horas ajustadas adicionales]]-Planning[[#This Row],[Horas utilizadas]]</f>
        <v>#REF!</v>
      </c>
      <c r="L4160" s="7">
        <v>347</v>
      </c>
      <c r="M4160" s="19" t="e">
        <f>Planning[[#This Row],[Saldo]]-Planning[[#This Row],[Saldo estimado]]</f>
        <v>#REF!</v>
      </c>
      <c r="N4160" s="60" t="e">
        <f>+SUMIFS(#REF!,#REF!,Planning[[#This Row],[Proyectos]],#REF!,Planning[[#This Row],[Tipo de Tarea y especialidad]])</f>
        <v>#REF!</v>
      </c>
      <c r="O4160" s="19">
        <f t="shared" si="128"/>
        <v>10</v>
      </c>
      <c r="P4160" s="19">
        <f t="shared" si="129"/>
        <v>2024</v>
      </c>
      <c r="Q41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60" s="19" t="str">
        <f>TEXT(Planning[[#This Row],[Mes]]*29,"mmmm")</f>
        <v>October</v>
      </c>
      <c r="S41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60" s="193"/>
      <c r="U4160" s="43" t="e">
        <f>IF(Planning[[#This Row],[Horas Planificadas]]&lt;&gt;0,+K4160/Planning[[#This Row],[Horas Planificadas]],0)</f>
        <v>#REF!</v>
      </c>
      <c r="V4160" s="43" t="e">
        <f>IF(Planning[[#This Row],[Horas Planificadas]]&lt;&gt;0,Planning[[#This Row],[Horas utilizadas]]/Planning[[#This Row],[Horas Planificadas]],0)</f>
        <v>#REF!</v>
      </c>
      <c r="W4160" s="44">
        <f>Planning[[#This Row],[Horas Planificadas]]+Planning[[#This Row],[Horas ajustadas adicionales]]</f>
        <v>517</v>
      </c>
      <c r="X4160" s="142"/>
    </row>
    <row r="4161" spans="1:24" x14ac:dyDescent="0.2">
      <c r="A4161" s="7" t="s">
        <v>722</v>
      </c>
      <c r="B4161" s="7" t="s">
        <v>118</v>
      </c>
      <c r="C4161" s="3">
        <v>116992</v>
      </c>
      <c r="D4161" s="3" t="s">
        <v>723</v>
      </c>
      <c r="E4161" s="4"/>
      <c r="F4161" s="3" t="s">
        <v>130</v>
      </c>
      <c r="G4161" s="9">
        <v>390</v>
      </c>
      <c r="H4161" s="9">
        <v>400</v>
      </c>
      <c r="I4161" s="12"/>
      <c r="J4161" s="5" t="e">
        <f>SUM(SUMIFS(#REF!,#REF!,Planning[[#This Row],[Tipo de Tarea y especialidad]],#REF!,Planning[[#This Row],[Proyectos Reiwa]]),SUMIFS(#REF!,#REF!,Planning[[#This Row],[Tipo de Tarea y especialidad]],#REF!,Planning[[#This Row],[Proyectos]]))</f>
        <v>#REF!</v>
      </c>
      <c r="K4161" s="5" t="e">
        <f>+Planning[[#This Row],[Horas Planificadas]]+Planning[[#This Row],[Horas ajustadas adicionales]]-Planning[[#This Row],[Horas utilizadas]]</f>
        <v>#REF!</v>
      </c>
      <c r="L4161" s="7">
        <v>400</v>
      </c>
      <c r="M4161" s="19" t="e">
        <f>Planning[[#This Row],[Saldo]]-Planning[[#This Row],[Saldo estimado]]</f>
        <v>#REF!</v>
      </c>
      <c r="N4161" s="60" t="e">
        <f>+SUMIFS(#REF!,#REF!,Planning[[#This Row],[Proyectos]],#REF!,Planning[[#This Row],[Tipo de Tarea y especialidad]])</f>
        <v>#REF!</v>
      </c>
      <c r="O4161" s="19">
        <f t="shared" si="128"/>
        <v>10</v>
      </c>
      <c r="P4161" s="19">
        <f t="shared" si="129"/>
        <v>2024</v>
      </c>
      <c r="Q41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61" s="19" t="str">
        <f>TEXT(Planning[[#This Row],[Mes]]*29,"mmmm")</f>
        <v>October</v>
      </c>
      <c r="S41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61" s="193"/>
      <c r="U4161" s="43" t="e">
        <f>IF(Planning[[#This Row],[Horas Planificadas]]&lt;&gt;0,+K4161/Planning[[#This Row],[Horas Planificadas]],0)</f>
        <v>#REF!</v>
      </c>
      <c r="V4161" s="43" t="e">
        <f>IF(Planning[[#This Row],[Horas Planificadas]]&lt;&gt;0,Planning[[#This Row],[Horas utilizadas]]/Planning[[#This Row],[Horas Planificadas]],0)</f>
        <v>#REF!</v>
      </c>
      <c r="W4161" s="44">
        <f>Planning[[#This Row],[Horas Planificadas]]+Planning[[#This Row],[Horas ajustadas adicionales]]</f>
        <v>400</v>
      </c>
      <c r="X4161" s="142"/>
    </row>
    <row r="4162" spans="1:24" x14ac:dyDescent="0.2">
      <c r="A4162" s="7" t="s">
        <v>722</v>
      </c>
      <c r="B4162" s="7" t="s">
        <v>118</v>
      </c>
      <c r="C4162" s="3">
        <v>116992</v>
      </c>
      <c r="D4162" s="3" t="s">
        <v>723</v>
      </c>
      <c r="E4162" s="4"/>
      <c r="F4162" s="3" t="s">
        <v>131</v>
      </c>
      <c r="G4162" s="9">
        <v>110</v>
      </c>
      <c r="H4162" s="9">
        <v>110</v>
      </c>
      <c r="I4162" s="12"/>
      <c r="J4162" s="5" t="e">
        <f>SUM(SUMIFS(#REF!,#REF!,Planning[[#This Row],[Tipo de Tarea y especialidad]],#REF!,Planning[[#This Row],[Proyectos Reiwa]]),SUMIFS(#REF!,#REF!,Planning[[#This Row],[Tipo de Tarea y especialidad]],#REF!,Planning[[#This Row],[Proyectos]]))</f>
        <v>#REF!</v>
      </c>
      <c r="K4162" s="5" t="e">
        <f>+Planning[[#This Row],[Horas Planificadas]]+Planning[[#This Row],[Horas ajustadas adicionales]]-Planning[[#This Row],[Horas utilizadas]]</f>
        <v>#REF!</v>
      </c>
      <c r="L4162" s="7">
        <v>110</v>
      </c>
      <c r="M4162" s="19" t="e">
        <f>Planning[[#This Row],[Saldo]]-Planning[[#This Row],[Saldo estimado]]</f>
        <v>#REF!</v>
      </c>
      <c r="N4162" s="60" t="e">
        <f>+SUMIFS(#REF!,#REF!,Planning[[#This Row],[Proyectos]],#REF!,Planning[[#This Row],[Tipo de Tarea y especialidad]])</f>
        <v>#REF!</v>
      </c>
      <c r="O4162" s="19">
        <f t="shared" si="128"/>
        <v>10</v>
      </c>
      <c r="P4162" s="19">
        <f t="shared" si="129"/>
        <v>2024</v>
      </c>
      <c r="Q41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62" s="19" t="str">
        <f>TEXT(Planning[[#This Row],[Mes]]*29,"mmmm")</f>
        <v>October</v>
      </c>
      <c r="S41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62" s="193"/>
      <c r="U4162" s="43" t="e">
        <f>IF(Planning[[#This Row],[Horas Planificadas]]&lt;&gt;0,+K4162/Planning[[#This Row],[Horas Planificadas]],0)</f>
        <v>#REF!</v>
      </c>
      <c r="V4162" s="43" t="e">
        <f>IF(Planning[[#This Row],[Horas Planificadas]]&lt;&gt;0,Planning[[#This Row],[Horas utilizadas]]/Planning[[#This Row],[Horas Planificadas]],0)</f>
        <v>#REF!</v>
      </c>
      <c r="W4162" s="44">
        <f>Planning[[#This Row],[Horas Planificadas]]+Planning[[#This Row],[Horas ajustadas adicionales]]</f>
        <v>110</v>
      </c>
      <c r="X4162" s="142"/>
    </row>
    <row r="4163" spans="1:24" ht="22.5" x14ac:dyDescent="0.2">
      <c r="A4163" s="7" t="s">
        <v>294</v>
      </c>
      <c r="B4163" s="7" t="s">
        <v>725</v>
      </c>
      <c r="C4163" s="3">
        <v>116993</v>
      </c>
      <c r="D4163" s="3" t="s">
        <v>726</v>
      </c>
      <c r="E4163" s="4" t="s">
        <v>28</v>
      </c>
      <c r="F4163" s="3"/>
      <c r="G4163" s="9"/>
      <c r="H4163" s="14">
        <f>SUM(H4164:H4165)</f>
        <v>2108</v>
      </c>
      <c r="I4163" s="14"/>
      <c r="J4163" s="14" t="e">
        <f>SUM(J4164:J4165)</f>
        <v>#REF!</v>
      </c>
      <c r="K4163" s="14" t="e">
        <f>+Planning[[#This Row],[Horas Planificadas]]+Planning[[#This Row],[Horas ajustadas adicionales]]-Planning[[#This Row],[Horas utilizadas]]</f>
        <v>#REF!</v>
      </c>
      <c r="L4163" s="15">
        <f>SUM(L4164:L4165)</f>
        <v>90</v>
      </c>
      <c r="M4163" s="14" t="e">
        <f>SUM(M4164:M4165)</f>
        <v>#REF!</v>
      </c>
      <c r="N4163" s="66" t="e">
        <f>+SUMIFS(#REF!,#REF!,Planning[[#This Row],[Proyectos]],#REF!,Planning[[#This Row],[Tipo de Tarea y especialidad]])</f>
        <v>#REF!</v>
      </c>
      <c r="O4163" s="14">
        <f t="shared" si="128"/>
        <v>10</v>
      </c>
      <c r="P4163" s="14">
        <f t="shared" si="129"/>
        <v>2024</v>
      </c>
      <c r="Q4163" s="28" t="e">
        <f>SUM(Q4164:Q4165)</f>
        <v>#REF!</v>
      </c>
      <c r="R4163" s="28" t="str">
        <f>TEXT(Planning[[#This Row],[Mes]]*29,"mmmm")</f>
        <v>October</v>
      </c>
      <c r="S41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63" s="216" t="s">
        <v>727</v>
      </c>
      <c r="U4163" s="43" t="e">
        <f>IF(Planning[[#This Row],[Horas Planificadas]]&lt;&gt;0,+K4163/Planning[[#This Row],[Horas Planificadas]],0)</f>
        <v>#REF!</v>
      </c>
      <c r="V4163" s="43" t="e">
        <f>IF(Planning[[#This Row],[Horas Planificadas]]&lt;&gt;0,Planning[[#This Row],[Horas utilizadas]]/Planning[[#This Row],[Horas Planificadas]],0)</f>
        <v>#REF!</v>
      </c>
      <c r="W4163" s="44">
        <f>Planning[[#This Row],[Horas Planificadas]]+Planning[[#This Row],[Horas ajustadas adicionales]]</f>
        <v>2108</v>
      </c>
      <c r="X4163" s="142"/>
    </row>
    <row r="4164" spans="1:24" x14ac:dyDescent="0.2">
      <c r="A4164" s="7" t="s">
        <v>294</v>
      </c>
      <c r="B4164" s="7" t="s">
        <v>725</v>
      </c>
      <c r="C4164" s="3">
        <v>116993</v>
      </c>
      <c r="D4164" s="3" t="s">
        <v>726</v>
      </c>
      <c r="E4164" s="4"/>
      <c r="F4164" s="3" t="s">
        <v>120</v>
      </c>
      <c r="G4164" s="9"/>
      <c r="H4164" s="9">
        <v>1555</v>
      </c>
      <c r="I4164" s="12"/>
      <c r="J4164" s="5" t="e">
        <f>SUM(SUMIFS(#REF!,#REF!,Planning[[#This Row],[Tipo de Tarea y especialidad]],#REF!,Planning[[#This Row],[Proyectos Reiwa]]),SUMIFS(#REF!,#REF!,Planning[[#This Row],[Tipo de Tarea y especialidad]],#REF!,Planning[[#This Row],[Proyectos]]))</f>
        <v>#REF!</v>
      </c>
      <c r="K4164" s="5" t="e">
        <f>+Planning[[#This Row],[Horas Planificadas]]+Planning[[#This Row],[Horas ajustadas adicionales]]-Planning[[#This Row],[Horas utilizadas]]</f>
        <v>#REF!</v>
      </c>
      <c r="L4164" s="7">
        <v>0</v>
      </c>
      <c r="M4164" s="19" t="e">
        <f>Planning[[#This Row],[Saldo]]-Planning[[#This Row],[Saldo estimado]]</f>
        <v>#REF!</v>
      </c>
      <c r="N4164" s="60" t="e">
        <f>+SUMIFS(#REF!,#REF!,Planning[[#This Row],[Proyectos]],#REF!,Planning[[#This Row],[Tipo de Tarea y especialidad]])</f>
        <v>#REF!</v>
      </c>
      <c r="O4164" s="19">
        <f t="shared" si="128"/>
        <v>10</v>
      </c>
      <c r="P4164" s="19">
        <f t="shared" si="129"/>
        <v>2024</v>
      </c>
      <c r="Q41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64" s="19" t="str">
        <f>TEXT(Planning[[#This Row],[Mes]]*29,"mmmm")</f>
        <v>October</v>
      </c>
      <c r="S41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64" s="217"/>
      <c r="U4164" s="43" t="e">
        <f>IF(Planning[[#This Row],[Horas Planificadas]]&lt;&gt;0,+K4164/Planning[[#This Row],[Horas Planificadas]],0)</f>
        <v>#REF!</v>
      </c>
      <c r="V4164" s="43" t="e">
        <f>IF(Planning[[#This Row],[Horas Planificadas]]&lt;&gt;0,Planning[[#This Row],[Horas utilizadas]]/Planning[[#This Row],[Horas Planificadas]],0)</f>
        <v>#REF!</v>
      </c>
      <c r="W4164" s="44">
        <f>Planning[[#This Row],[Horas Planificadas]]+Planning[[#This Row],[Horas ajustadas adicionales]]</f>
        <v>1555</v>
      </c>
      <c r="X4164" s="142"/>
    </row>
    <row r="4165" spans="1:24" x14ac:dyDescent="0.2">
      <c r="A4165" s="7" t="s">
        <v>294</v>
      </c>
      <c r="B4165" s="7" t="s">
        <v>725</v>
      </c>
      <c r="C4165" s="3">
        <v>116993</v>
      </c>
      <c r="D4165" s="3" t="s">
        <v>726</v>
      </c>
      <c r="E4165" s="4"/>
      <c r="F4165" s="3" t="s">
        <v>121</v>
      </c>
      <c r="G4165" s="9"/>
      <c r="H4165" s="9">
        <v>553</v>
      </c>
      <c r="I4165" s="12"/>
      <c r="J4165" s="5" t="e">
        <f>SUM(SUMIFS(#REF!,#REF!,Planning[[#This Row],[Tipo de Tarea y especialidad]],#REF!,Planning[[#This Row],[Proyectos Reiwa]]),SUMIFS(#REF!,#REF!,Planning[[#This Row],[Tipo de Tarea y especialidad]],#REF!,Planning[[#This Row],[Proyectos]]))</f>
        <v>#REF!</v>
      </c>
      <c r="K4165" s="5" t="e">
        <f>+Planning[[#This Row],[Horas Planificadas]]+Planning[[#This Row],[Horas ajustadas adicionales]]-Planning[[#This Row],[Horas utilizadas]]</f>
        <v>#REF!</v>
      </c>
      <c r="L4165" s="7">
        <v>90</v>
      </c>
      <c r="M4165" s="19" t="e">
        <f>Planning[[#This Row],[Saldo]]-Planning[[#This Row],[Saldo estimado]]</f>
        <v>#REF!</v>
      </c>
      <c r="N4165" s="60" t="e">
        <f>+SUMIFS(#REF!,#REF!,Planning[[#This Row],[Proyectos]],#REF!,Planning[[#This Row],[Tipo de Tarea y especialidad]])</f>
        <v>#REF!</v>
      </c>
      <c r="O4165" s="19">
        <f t="shared" si="128"/>
        <v>10</v>
      </c>
      <c r="P4165" s="19">
        <f t="shared" si="129"/>
        <v>2024</v>
      </c>
      <c r="Q41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65" s="19" t="str">
        <f>TEXT(Planning[[#This Row],[Mes]]*29,"mmmm")</f>
        <v>October</v>
      </c>
      <c r="S41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65" s="217"/>
      <c r="U4165" s="43" t="e">
        <f>IF(Planning[[#This Row],[Horas Planificadas]]&lt;&gt;0,+K4165/Planning[[#This Row],[Horas Planificadas]],0)</f>
        <v>#REF!</v>
      </c>
      <c r="V4165" s="43" t="e">
        <f>IF(Planning[[#This Row],[Horas Planificadas]]&lt;&gt;0,Planning[[#This Row],[Horas utilizadas]]/Planning[[#This Row],[Horas Planificadas]],0)</f>
        <v>#REF!</v>
      </c>
      <c r="W4165" s="44">
        <f>Planning[[#This Row],[Horas Planificadas]]+Planning[[#This Row],[Horas ajustadas adicionales]]</f>
        <v>553</v>
      </c>
      <c r="X4165" s="142"/>
    </row>
    <row r="4166" spans="1:24" x14ac:dyDescent="0.2">
      <c r="A4166" s="7" t="s">
        <v>294</v>
      </c>
      <c r="B4166" s="7" t="s">
        <v>725</v>
      </c>
      <c r="C4166" s="3">
        <v>116993</v>
      </c>
      <c r="D4166" s="3" t="s">
        <v>726</v>
      </c>
      <c r="E4166" s="4" t="s">
        <v>30</v>
      </c>
      <c r="F4166" s="3"/>
      <c r="G4166" s="9"/>
      <c r="H4166" s="14">
        <f>SUM(H4167:H4173)</f>
        <v>1803</v>
      </c>
      <c r="I4166" s="14"/>
      <c r="J4166" s="14" t="e">
        <f>SUM(J4167:J4173)</f>
        <v>#REF!</v>
      </c>
      <c r="K4166" s="14" t="e">
        <f>+Planning[[#This Row],[Horas Planificadas]]+Planning[[#This Row],[Horas ajustadas adicionales]]-Planning[[#This Row],[Horas utilizadas]]</f>
        <v>#REF!</v>
      </c>
      <c r="L4166" s="15">
        <f>SUM(L4167:L4173)</f>
        <v>721</v>
      </c>
      <c r="M4166" s="16" t="e">
        <f>SUM(M4167:M4173)</f>
        <v>#REF!</v>
      </c>
      <c r="N4166" s="60" t="e">
        <f>+SUMIFS(#REF!,#REF!,Planning[[#This Row],[Proyectos]],#REF!,Planning[[#This Row],[Tipo de Tarea y especialidad]])</f>
        <v>#REF!</v>
      </c>
      <c r="O4166" s="16">
        <f t="shared" si="128"/>
        <v>10</v>
      </c>
      <c r="P4166" s="16">
        <f t="shared" si="129"/>
        <v>2024</v>
      </c>
      <c r="Q4166" s="16" t="e">
        <f>SUM(Q4167:Q4173)</f>
        <v>#REF!</v>
      </c>
      <c r="R4166" s="16" t="str">
        <f>TEXT(Planning[[#This Row],[Mes]]*29,"mmmm")</f>
        <v>October</v>
      </c>
      <c r="S41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66" s="217"/>
      <c r="U4166" s="43" t="e">
        <f>IF(Planning[[#This Row],[Horas Planificadas]]&lt;&gt;0,+K4166/Planning[[#This Row],[Horas Planificadas]],0)</f>
        <v>#REF!</v>
      </c>
      <c r="V4166" s="43" t="e">
        <f>IF(Planning[[#This Row],[Horas Planificadas]]&lt;&gt;0,Planning[[#This Row],[Horas utilizadas]]/Planning[[#This Row],[Horas Planificadas]],0)</f>
        <v>#REF!</v>
      </c>
      <c r="W4166" s="44">
        <f>Planning[[#This Row],[Horas Planificadas]]+Planning[[#This Row],[Horas ajustadas adicionales]]</f>
        <v>1803</v>
      </c>
      <c r="X4166" s="142"/>
    </row>
    <row r="4167" spans="1:24" x14ac:dyDescent="0.2">
      <c r="A4167" s="7" t="s">
        <v>294</v>
      </c>
      <c r="B4167" s="7" t="s">
        <v>725</v>
      </c>
      <c r="C4167" s="3">
        <v>116993</v>
      </c>
      <c r="D4167" s="3" t="s">
        <v>726</v>
      </c>
      <c r="E4167" s="4"/>
      <c r="F4167" s="3" t="s">
        <v>122</v>
      </c>
      <c r="G4167" s="9"/>
      <c r="H4167" s="9">
        <v>450</v>
      </c>
      <c r="I4167" s="12"/>
      <c r="J4167" s="5" t="e">
        <f>SUM(SUMIFS(#REF!,#REF!,Planning[[#This Row],[Tipo de Tarea y especialidad]],#REF!,Planning[[#This Row],[Proyectos Reiwa]]),SUMIFS(#REF!,#REF!,Planning[[#This Row],[Tipo de Tarea y especialidad]],#REF!,Planning[[#This Row],[Proyectos]]))</f>
        <v>#REF!</v>
      </c>
      <c r="K4167" s="5" t="e">
        <f>+Planning[[#This Row],[Horas Planificadas]]+Planning[[#This Row],[Horas ajustadas adicionales]]-Planning[[#This Row],[Horas utilizadas]]</f>
        <v>#REF!</v>
      </c>
      <c r="L4167" s="7">
        <v>45</v>
      </c>
      <c r="M4167" s="19" t="e">
        <f>Planning[[#This Row],[Saldo]]-Planning[[#This Row],[Saldo estimado]]</f>
        <v>#REF!</v>
      </c>
      <c r="N4167" s="60" t="e">
        <f>+SUMIFS(#REF!,#REF!,Planning[[#This Row],[Proyectos]],#REF!,Planning[[#This Row],[Tipo de Tarea y especialidad]])</f>
        <v>#REF!</v>
      </c>
      <c r="O4167" s="19">
        <f t="shared" ref="O4167:O4230" si="130">$L$4</f>
        <v>10</v>
      </c>
      <c r="P4167" s="19">
        <f t="shared" ref="P4167:P4230" si="131">$M$4</f>
        <v>2024</v>
      </c>
      <c r="Q41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67" s="19" t="str">
        <f>TEXT(Planning[[#This Row],[Mes]]*29,"mmmm")</f>
        <v>October</v>
      </c>
      <c r="S41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67" s="217"/>
      <c r="U4167" s="43" t="e">
        <f>IF(Planning[[#This Row],[Horas Planificadas]]&lt;&gt;0,+K4167/Planning[[#This Row],[Horas Planificadas]],0)</f>
        <v>#REF!</v>
      </c>
      <c r="V4167" s="43" t="e">
        <f>IF(Planning[[#This Row],[Horas Planificadas]]&lt;&gt;0,Planning[[#This Row],[Horas utilizadas]]/Planning[[#This Row],[Horas Planificadas]],0)</f>
        <v>#REF!</v>
      </c>
      <c r="W4167" s="44">
        <f>Planning[[#This Row],[Horas Planificadas]]+Planning[[#This Row],[Horas ajustadas adicionales]]</f>
        <v>450</v>
      </c>
      <c r="X4167" s="142"/>
    </row>
    <row r="4168" spans="1:24" x14ac:dyDescent="0.2">
      <c r="A4168" s="7" t="s">
        <v>294</v>
      </c>
      <c r="B4168" s="7" t="s">
        <v>725</v>
      </c>
      <c r="C4168" s="3">
        <v>116993</v>
      </c>
      <c r="D4168" s="3" t="s">
        <v>726</v>
      </c>
      <c r="E4168" s="4"/>
      <c r="F4168" s="3" t="s">
        <v>123</v>
      </c>
      <c r="G4168" s="9"/>
      <c r="H4168" s="9">
        <v>354</v>
      </c>
      <c r="I4168" s="12"/>
      <c r="J4168" s="5" t="e">
        <f>SUM(SUMIFS(#REF!,#REF!,Planning[[#This Row],[Tipo de Tarea y especialidad]],#REF!,Planning[[#This Row],[Proyectos Reiwa]]),SUMIFS(#REF!,#REF!,Planning[[#This Row],[Tipo de Tarea y especialidad]],#REF!,Planning[[#This Row],[Proyectos]]))</f>
        <v>#REF!</v>
      </c>
      <c r="K4168" s="5" t="e">
        <f>+Planning[[#This Row],[Horas Planificadas]]+Planning[[#This Row],[Horas ajustadas adicionales]]-Planning[[#This Row],[Horas utilizadas]]</f>
        <v>#REF!</v>
      </c>
      <c r="L4168" s="7">
        <v>45</v>
      </c>
      <c r="M4168" s="19" t="e">
        <f>Planning[[#This Row],[Saldo]]-Planning[[#This Row],[Saldo estimado]]</f>
        <v>#REF!</v>
      </c>
      <c r="N4168" s="60" t="e">
        <f>+SUMIFS(#REF!,#REF!,Planning[[#This Row],[Proyectos]],#REF!,Planning[[#This Row],[Tipo de Tarea y especialidad]])</f>
        <v>#REF!</v>
      </c>
      <c r="O4168" s="19">
        <f t="shared" si="130"/>
        <v>10</v>
      </c>
      <c r="P4168" s="19">
        <f t="shared" si="131"/>
        <v>2024</v>
      </c>
      <c r="Q41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68" s="19" t="str">
        <f>TEXT(Planning[[#This Row],[Mes]]*29,"mmmm")</f>
        <v>October</v>
      </c>
      <c r="S41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68" s="217"/>
      <c r="U4168" s="43" t="e">
        <f>IF(Planning[[#This Row],[Horas Planificadas]]&lt;&gt;0,+K4168/Planning[[#This Row],[Horas Planificadas]],0)</f>
        <v>#REF!</v>
      </c>
      <c r="V4168" s="43" t="e">
        <f>IF(Planning[[#This Row],[Horas Planificadas]]&lt;&gt;0,Planning[[#This Row],[Horas utilizadas]]/Planning[[#This Row],[Horas Planificadas]],0)</f>
        <v>#REF!</v>
      </c>
      <c r="W4168" s="44">
        <f>Planning[[#This Row],[Horas Planificadas]]+Planning[[#This Row],[Horas ajustadas adicionales]]</f>
        <v>354</v>
      </c>
      <c r="X4168" s="142"/>
    </row>
    <row r="4169" spans="1:24" x14ac:dyDescent="0.2">
      <c r="A4169" s="7" t="s">
        <v>294</v>
      </c>
      <c r="B4169" s="7" t="s">
        <v>725</v>
      </c>
      <c r="C4169" s="3">
        <v>116993</v>
      </c>
      <c r="D4169" s="3" t="s">
        <v>726</v>
      </c>
      <c r="E4169" s="4"/>
      <c r="F4169" s="3" t="s">
        <v>124</v>
      </c>
      <c r="G4169" s="9"/>
      <c r="H4169" s="9"/>
      <c r="I4169" s="12"/>
      <c r="J4169" s="5" t="e">
        <f>SUM(SUMIFS(#REF!,#REF!,Planning[[#This Row],[Tipo de Tarea y especialidad]],#REF!,Planning[[#This Row],[Proyectos Reiwa]]),SUMIFS(#REF!,#REF!,Planning[[#This Row],[Tipo de Tarea y especialidad]],#REF!,Planning[[#This Row],[Proyectos]]))</f>
        <v>#REF!</v>
      </c>
      <c r="K4169" s="5" t="e">
        <f>+Planning[[#This Row],[Horas Planificadas]]+Planning[[#This Row],[Horas ajustadas adicionales]]-Planning[[#This Row],[Horas utilizadas]]</f>
        <v>#REF!</v>
      </c>
      <c r="L4169" s="7"/>
      <c r="M4169" s="19" t="e">
        <f>Planning[[#This Row],[Saldo]]-Planning[[#This Row],[Saldo estimado]]</f>
        <v>#REF!</v>
      </c>
      <c r="N4169" s="60" t="e">
        <f>+SUMIFS(#REF!,#REF!,Planning[[#This Row],[Proyectos]],#REF!,Planning[[#This Row],[Tipo de Tarea y especialidad]])</f>
        <v>#REF!</v>
      </c>
      <c r="O4169" s="19">
        <f t="shared" si="130"/>
        <v>10</v>
      </c>
      <c r="P4169" s="19">
        <f t="shared" si="131"/>
        <v>2024</v>
      </c>
      <c r="Q41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69" s="19" t="str">
        <f>TEXT(Planning[[#This Row],[Mes]]*29,"mmmm")</f>
        <v>October</v>
      </c>
      <c r="S41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69" s="217"/>
      <c r="U4169" s="43">
        <f>IF(Planning[[#This Row],[Horas Planificadas]]&lt;&gt;0,+K4169/Planning[[#This Row],[Horas Planificadas]],0)</f>
        <v>0</v>
      </c>
      <c r="V4169" s="43">
        <f>IF(Planning[[#This Row],[Horas Planificadas]]&lt;&gt;0,Planning[[#This Row],[Horas utilizadas]]/Planning[[#This Row],[Horas Planificadas]],0)</f>
        <v>0</v>
      </c>
      <c r="W4169" s="44">
        <f>Planning[[#This Row],[Horas Planificadas]]+Planning[[#This Row],[Horas ajustadas adicionales]]</f>
        <v>0</v>
      </c>
      <c r="X4169" s="142"/>
    </row>
    <row r="4170" spans="1:24" x14ac:dyDescent="0.2">
      <c r="A4170" s="7" t="s">
        <v>294</v>
      </c>
      <c r="B4170" s="7" t="s">
        <v>725</v>
      </c>
      <c r="C4170" s="3">
        <v>116993</v>
      </c>
      <c r="D4170" s="3" t="s">
        <v>726</v>
      </c>
      <c r="E4170" s="4"/>
      <c r="F4170" s="3" t="s">
        <v>125</v>
      </c>
      <c r="G4170" s="9"/>
      <c r="H4170" s="9">
        <v>216</v>
      </c>
      <c r="I4170" s="12"/>
      <c r="J4170" s="5" t="e">
        <f>SUM(SUMIFS(#REF!,#REF!,Planning[[#This Row],[Tipo de Tarea y especialidad]],#REF!,Planning[[#This Row],[Proyectos Reiwa]]),SUMIFS(#REF!,#REF!,Planning[[#This Row],[Tipo de Tarea y especialidad]],#REF!,Planning[[#This Row],[Proyectos]]))</f>
        <v>#REF!</v>
      </c>
      <c r="K4170" s="5" t="e">
        <f>+Planning[[#This Row],[Horas Planificadas]]+Planning[[#This Row],[Horas ajustadas adicionales]]-Planning[[#This Row],[Horas utilizadas]]</f>
        <v>#REF!</v>
      </c>
      <c r="L4170" s="7">
        <v>0</v>
      </c>
      <c r="M4170" s="19" t="e">
        <f>Planning[[#This Row],[Saldo]]-Planning[[#This Row],[Saldo estimado]]</f>
        <v>#REF!</v>
      </c>
      <c r="N4170" s="60" t="e">
        <f>+SUMIFS(#REF!,#REF!,Planning[[#This Row],[Proyectos]],#REF!,Planning[[#This Row],[Tipo de Tarea y especialidad]])</f>
        <v>#REF!</v>
      </c>
      <c r="O4170" s="19">
        <f t="shared" si="130"/>
        <v>10</v>
      </c>
      <c r="P4170" s="19">
        <f t="shared" si="131"/>
        <v>2024</v>
      </c>
      <c r="Q41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70" s="19" t="str">
        <f>TEXT(Planning[[#This Row],[Mes]]*29,"mmmm")</f>
        <v>October</v>
      </c>
      <c r="S41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70" s="217"/>
      <c r="U4170" s="43" t="e">
        <f>IF(Planning[[#This Row],[Horas Planificadas]]&lt;&gt;0,+K4170/Planning[[#This Row],[Horas Planificadas]],0)</f>
        <v>#REF!</v>
      </c>
      <c r="V4170" s="43" t="e">
        <f>IF(Planning[[#This Row],[Horas Planificadas]]&lt;&gt;0,Planning[[#This Row],[Horas utilizadas]]/Planning[[#This Row],[Horas Planificadas]],0)</f>
        <v>#REF!</v>
      </c>
      <c r="W4170" s="44">
        <f>Planning[[#This Row],[Horas Planificadas]]+Planning[[#This Row],[Horas ajustadas adicionales]]</f>
        <v>216</v>
      </c>
      <c r="X4170" s="142"/>
    </row>
    <row r="4171" spans="1:24" x14ac:dyDescent="0.2">
      <c r="A4171" s="7" t="s">
        <v>294</v>
      </c>
      <c r="B4171" s="7" t="s">
        <v>725</v>
      </c>
      <c r="C4171" s="3">
        <v>116993</v>
      </c>
      <c r="D4171" s="3" t="s">
        <v>726</v>
      </c>
      <c r="E4171" s="4"/>
      <c r="F4171" s="3" t="s">
        <v>126</v>
      </c>
      <c r="G4171" s="9"/>
      <c r="H4171" s="9">
        <v>413</v>
      </c>
      <c r="I4171" s="12"/>
      <c r="J4171" s="5" t="e">
        <f>SUM(SUMIFS(#REF!,#REF!,Planning[[#This Row],[Tipo de Tarea y especialidad]],#REF!,Planning[[#This Row],[Proyectos Reiwa]]),SUMIFS(#REF!,#REF!,Planning[[#This Row],[Tipo de Tarea y especialidad]],#REF!,Planning[[#This Row],[Proyectos]]))</f>
        <v>#REF!</v>
      </c>
      <c r="K4171" s="5" t="e">
        <f>+Planning[[#This Row],[Horas Planificadas]]+Planning[[#This Row],[Horas ajustadas adicionales]]-Planning[[#This Row],[Horas utilizadas]]</f>
        <v>#REF!</v>
      </c>
      <c r="L4171" s="7">
        <v>270</v>
      </c>
      <c r="M4171" s="19" t="e">
        <f>Planning[[#This Row],[Saldo]]-Planning[[#This Row],[Saldo estimado]]</f>
        <v>#REF!</v>
      </c>
      <c r="N4171" s="60" t="e">
        <f>+SUMIFS(#REF!,#REF!,Planning[[#This Row],[Proyectos]],#REF!,Planning[[#This Row],[Tipo de Tarea y especialidad]])</f>
        <v>#REF!</v>
      </c>
      <c r="O4171" s="19">
        <f t="shared" si="130"/>
        <v>10</v>
      </c>
      <c r="P4171" s="19">
        <f t="shared" si="131"/>
        <v>2024</v>
      </c>
      <c r="Q41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71" s="19" t="str">
        <f>TEXT(Planning[[#This Row],[Mes]]*29,"mmmm")</f>
        <v>October</v>
      </c>
      <c r="S41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71" s="217"/>
      <c r="U4171" s="43" t="e">
        <f>IF(Planning[[#This Row],[Horas Planificadas]]&lt;&gt;0,+K4171/Planning[[#This Row],[Horas Planificadas]],0)</f>
        <v>#REF!</v>
      </c>
      <c r="V4171" s="43" t="e">
        <f>IF(Planning[[#This Row],[Horas Planificadas]]&lt;&gt;0,Planning[[#This Row],[Horas utilizadas]]/Planning[[#This Row],[Horas Planificadas]],0)</f>
        <v>#REF!</v>
      </c>
      <c r="W4171" s="44">
        <f>Planning[[#This Row],[Horas Planificadas]]+Planning[[#This Row],[Horas ajustadas adicionales]]</f>
        <v>413</v>
      </c>
      <c r="X4171" s="142"/>
    </row>
    <row r="4172" spans="1:24" x14ac:dyDescent="0.2">
      <c r="A4172" s="7" t="s">
        <v>294</v>
      </c>
      <c r="B4172" s="7" t="s">
        <v>725</v>
      </c>
      <c r="C4172" s="3">
        <v>116993</v>
      </c>
      <c r="D4172" s="3" t="s">
        <v>726</v>
      </c>
      <c r="E4172" s="4"/>
      <c r="F4172" s="3" t="s">
        <v>127</v>
      </c>
      <c r="G4172" s="9"/>
      <c r="H4172" s="9">
        <v>370</v>
      </c>
      <c r="I4172" s="12"/>
      <c r="J4172" s="5" t="e">
        <f>SUM(SUMIFS(#REF!,#REF!,Planning[[#This Row],[Tipo de Tarea y especialidad]],#REF!,Planning[[#This Row],[Proyectos Reiwa]]),SUMIFS(#REF!,#REF!,Planning[[#This Row],[Tipo de Tarea y especialidad]],#REF!,Planning[[#This Row],[Proyectos]]))</f>
        <v>#REF!</v>
      </c>
      <c r="K4172" s="5" t="e">
        <f>+Planning[[#This Row],[Horas Planificadas]]+Planning[[#This Row],[Horas ajustadas adicionales]]-Planning[[#This Row],[Horas utilizadas]]</f>
        <v>#REF!</v>
      </c>
      <c r="L4172" s="7">
        <v>361</v>
      </c>
      <c r="M4172" s="19" t="e">
        <f>Planning[[#This Row],[Saldo]]-Planning[[#This Row],[Saldo estimado]]</f>
        <v>#REF!</v>
      </c>
      <c r="N4172" s="60" t="e">
        <f>+SUMIFS(#REF!,#REF!,Planning[[#This Row],[Proyectos]],#REF!,Planning[[#This Row],[Tipo de Tarea y especialidad]])</f>
        <v>#REF!</v>
      </c>
      <c r="O4172" s="19">
        <f t="shared" si="130"/>
        <v>10</v>
      </c>
      <c r="P4172" s="19">
        <f t="shared" si="131"/>
        <v>2024</v>
      </c>
      <c r="Q41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72" s="19" t="str">
        <f>TEXT(Planning[[#This Row],[Mes]]*29,"mmmm")</f>
        <v>October</v>
      </c>
      <c r="S41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72" s="217"/>
      <c r="U4172" s="43" t="e">
        <f>IF(Planning[[#This Row],[Horas Planificadas]]&lt;&gt;0,+K4172/Planning[[#This Row],[Horas Planificadas]],0)</f>
        <v>#REF!</v>
      </c>
      <c r="V4172" s="43" t="e">
        <f>IF(Planning[[#This Row],[Horas Planificadas]]&lt;&gt;0,Planning[[#This Row],[Horas utilizadas]]/Planning[[#This Row],[Horas Planificadas]],0)</f>
        <v>#REF!</v>
      </c>
      <c r="W4172" s="44">
        <f>Planning[[#This Row],[Horas Planificadas]]+Planning[[#This Row],[Horas ajustadas adicionales]]</f>
        <v>370</v>
      </c>
      <c r="X4172" s="142"/>
    </row>
    <row r="4173" spans="1:24" x14ac:dyDescent="0.2">
      <c r="A4173" s="7" t="s">
        <v>294</v>
      </c>
      <c r="B4173" s="7" t="s">
        <v>725</v>
      </c>
      <c r="C4173" s="3">
        <v>116993</v>
      </c>
      <c r="D4173" s="3" t="s">
        <v>726</v>
      </c>
      <c r="E4173" s="4"/>
      <c r="F4173" s="3" t="s">
        <v>128</v>
      </c>
      <c r="G4173" s="9"/>
      <c r="H4173" s="9"/>
      <c r="I4173" s="12"/>
      <c r="J4173" s="5" t="e">
        <f>SUM(SUMIFS(#REF!,#REF!,Planning[[#This Row],[Tipo de Tarea y especialidad]],#REF!,Planning[[#This Row],[Proyectos Reiwa]]),SUMIFS(#REF!,#REF!,Planning[[#This Row],[Tipo de Tarea y especialidad]],#REF!,Planning[[#This Row],[Proyectos]]))</f>
        <v>#REF!</v>
      </c>
      <c r="K4173" s="5" t="e">
        <f>+Planning[[#This Row],[Horas Planificadas]]+Planning[[#This Row],[Horas ajustadas adicionales]]-Planning[[#This Row],[Horas utilizadas]]</f>
        <v>#REF!</v>
      </c>
      <c r="L4173" s="7"/>
      <c r="M4173" s="19" t="e">
        <f>Planning[[#This Row],[Saldo]]-Planning[[#This Row],[Saldo estimado]]</f>
        <v>#REF!</v>
      </c>
      <c r="N4173" s="60" t="e">
        <f>+SUMIFS(#REF!,#REF!,Planning[[#This Row],[Proyectos]],#REF!,Planning[[#This Row],[Tipo de Tarea y especialidad]])</f>
        <v>#REF!</v>
      </c>
      <c r="O4173" s="19">
        <f t="shared" si="130"/>
        <v>10</v>
      </c>
      <c r="P4173" s="19">
        <f t="shared" si="131"/>
        <v>2024</v>
      </c>
      <c r="Q41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73" s="19" t="str">
        <f>TEXT(Planning[[#This Row],[Mes]]*29,"mmmm")</f>
        <v>October</v>
      </c>
      <c r="S41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73" s="217"/>
      <c r="U4173" s="43">
        <f>IF(Planning[[#This Row],[Horas Planificadas]]&lt;&gt;0,+K4173/Planning[[#This Row],[Horas Planificadas]],0)</f>
        <v>0</v>
      </c>
      <c r="V4173" s="43">
        <f>IF(Planning[[#This Row],[Horas Planificadas]]&lt;&gt;0,Planning[[#This Row],[Horas utilizadas]]/Planning[[#This Row],[Horas Planificadas]],0)</f>
        <v>0</v>
      </c>
      <c r="W4173" s="44">
        <f>Planning[[#This Row],[Horas Planificadas]]+Planning[[#This Row],[Horas ajustadas adicionales]]</f>
        <v>0</v>
      </c>
      <c r="X4173" s="142"/>
    </row>
    <row r="4174" spans="1:24" x14ac:dyDescent="0.2">
      <c r="A4174" s="7" t="s">
        <v>294</v>
      </c>
      <c r="B4174" s="7" t="s">
        <v>725</v>
      </c>
      <c r="C4174" s="3">
        <v>116993</v>
      </c>
      <c r="D4174" s="3" t="s">
        <v>726</v>
      </c>
      <c r="E4174" s="4" t="s">
        <v>31</v>
      </c>
      <c r="F4174" s="3" t="s">
        <v>31</v>
      </c>
      <c r="G4174" s="9"/>
      <c r="H4174" s="17"/>
      <c r="I4174" s="18"/>
      <c r="J4174" s="14" t="e">
        <f>+SUMIFS(#REF!,#REF!,Planning[[#This Row],[Tarifa]],#REF!,Planning[[#This Row],[Proyectos]])</f>
        <v>#REF!</v>
      </c>
      <c r="K4174" s="14" t="e">
        <f>+Planning[[#This Row],[Horas Planificadas]]+Planning[[#This Row],[Horas ajustadas adicionales]]-Planning[[#This Row],[Horas utilizadas]]</f>
        <v>#REF!</v>
      </c>
      <c r="L4174" s="15" t="e">
        <f>Planning[[#This Row],[Saldo]]</f>
        <v>#REF!</v>
      </c>
      <c r="M4174" s="16" t="e">
        <f>Planning[[#This Row],[Saldo]]-Planning[[#This Row],[Saldo estimado]]</f>
        <v>#REF!</v>
      </c>
      <c r="N4174" s="60" t="e">
        <f>+SUMIFS(#REF!,#REF!,Planning[[#This Row],[Proyectos]],#REF!,Planning[[#This Row],[Tipo de Tarea y especialidad]])</f>
        <v>#REF!</v>
      </c>
      <c r="O4174" s="16">
        <f t="shared" si="130"/>
        <v>10</v>
      </c>
      <c r="P4174" s="16">
        <f t="shared" si="131"/>
        <v>2024</v>
      </c>
      <c r="Q4174" s="16" t="e">
        <f>+SUMIFS(#REF!,#REF!,Planning[[#This Row],[Tarifa]],#REF!,Planning[[#This Row],[Proyectos]],#REF!,Planning[[#This Row],[Mes]],#REF!,Planning[[#This Row],[Año]])</f>
        <v>#REF!</v>
      </c>
      <c r="R4174" s="16" t="str">
        <f>TEXT(Planning[[#This Row],[Mes]]*29,"mmmm")</f>
        <v>October</v>
      </c>
      <c r="S41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74" s="217"/>
      <c r="U4174" s="43">
        <f>IF(Planning[[#This Row],[Horas Planificadas]]&lt;&gt;0,+K4174/Planning[[#This Row],[Horas Planificadas]],0)</f>
        <v>0</v>
      </c>
      <c r="V4174" s="43">
        <f>IF(Planning[[#This Row],[Horas Planificadas]]&lt;&gt;0,Planning[[#This Row],[Horas utilizadas]]/Planning[[#This Row],[Horas Planificadas]],0)</f>
        <v>0</v>
      </c>
      <c r="W4174" s="44">
        <f>Planning[[#This Row],[Horas Planificadas]]+Planning[[#This Row],[Horas ajustadas adicionales]]</f>
        <v>0</v>
      </c>
      <c r="X4174" s="142"/>
    </row>
    <row r="4175" spans="1:24" ht="22.5" x14ac:dyDescent="0.2">
      <c r="A4175" s="7" t="s">
        <v>294</v>
      </c>
      <c r="B4175" s="7" t="s">
        <v>725</v>
      </c>
      <c r="C4175" s="3">
        <v>116993</v>
      </c>
      <c r="D4175" s="3" t="s">
        <v>726</v>
      </c>
      <c r="E4175" s="4" t="s">
        <v>32</v>
      </c>
      <c r="F4175" s="3"/>
      <c r="G4175" s="9"/>
      <c r="H4175" s="14">
        <f>SUM(H4176:H4178)</f>
        <v>600</v>
      </c>
      <c r="I4175" s="14"/>
      <c r="J4175" s="14" t="e">
        <f>SUM(J4176:J4178)</f>
        <v>#REF!</v>
      </c>
      <c r="K4175" s="14" t="e">
        <f>+Planning[[#This Row],[Horas Planificadas]]+Planning[[#This Row],[Horas ajustadas adicionales]]-Planning[[#This Row],[Horas utilizadas]]</f>
        <v>#REF!</v>
      </c>
      <c r="L4175" s="15">
        <f>SUM(L4176:L4178)</f>
        <v>600</v>
      </c>
      <c r="M4175" s="16" t="e">
        <f>SUM(M4176:M4178)</f>
        <v>#REF!</v>
      </c>
      <c r="N4175" s="60" t="e">
        <f>+SUMIFS(#REF!,#REF!,Planning[[#This Row],[Proyectos]],#REF!,Planning[[#This Row],[Tipo de Tarea y especialidad]])</f>
        <v>#REF!</v>
      </c>
      <c r="O4175" s="16">
        <f t="shared" si="130"/>
        <v>10</v>
      </c>
      <c r="P4175" s="16">
        <f t="shared" si="131"/>
        <v>2024</v>
      </c>
      <c r="Q4175" s="16" t="e">
        <f>SUM(Q4176:Q4178)</f>
        <v>#REF!</v>
      </c>
      <c r="R4175" s="16" t="str">
        <f>TEXT(Planning[[#This Row],[Mes]]*29,"mmmm")</f>
        <v>October</v>
      </c>
      <c r="S41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75" s="217"/>
      <c r="U4175" s="43" t="e">
        <f>IF(Planning[[#This Row],[Horas Planificadas]]&lt;&gt;0,+K4175/Planning[[#This Row],[Horas Planificadas]],0)</f>
        <v>#REF!</v>
      </c>
      <c r="V4175" s="43" t="e">
        <f>IF(Planning[[#This Row],[Horas Planificadas]]&lt;&gt;0,Planning[[#This Row],[Horas utilizadas]]/Planning[[#This Row],[Horas Planificadas]],0)</f>
        <v>#REF!</v>
      </c>
      <c r="W4175" s="44">
        <f>Planning[[#This Row],[Horas Planificadas]]+Planning[[#This Row],[Horas ajustadas adicionales]]</f>
        <v>600</v>
      </c>
      <c r="X4175" s="142"/>
    </row>
    <row r="4176" spans="1:24" x14ac:dyDescent="0.2">
      <c r="A4176" s="7" t="s">
        <v>294</v>
      </c>
      <c r="B4176" s="7" t="s">
        <v>725</v>
      </c>
      <c r="C4176" s="3">
        <v>116993</v>
      </c>
      <c r="D4176" s="3" t="s">
        <v>726</v>
      </c>
      <c r="E4176" s="4"/>
      <c r="F4176" s="3" t="s">
        <v>129</v>
      </c>
      <c r="G4176" s="9"/>
      <c r="H4176" s="9">
        <v>350</v>
      </c>
      <c r="I4176" s="12"/>
      <c r="J4176" s="5" t="e">
        <f>SUM(SUMIFS(#REF!,#REF!,Planning[[#This Row],[Tipo de Tarea y especialidad]],#REF!,Planning[[#This Row],[Proyectos Reiwa]]),SUMIFS(#REF!,#REF!,Planning[[#This Row],[Tipo de Tarea y especialidad]],#REF!,Planning[[#This Row],[Proyectos]]))</f>
        <v>#REF!</v>
      </c>
      <c r="K4176" s="5" t="e">
        <f>+Planning[[#This Row],[Horas Planificadas]]+Planning[[#This Row],[Horas ajustadas adicionales]]-Planning[[#This Row],[Horas utilizadas]]</f>
        <v>#REF!</v>
      </c>
      <c r="L4176" s="7">
        <v>350</v>
      </c>
      <c r="M4176" s="19" t="e">
        <f>Planning[[#This Row],[Saldo]]-Planning[[#This Row],[Saldo estimado]]</f>
        <v>#REF!</v>
      </c>
      <c r="N4176" s="60" t="e">
        <f>+SUMIFS(#REF!,#REF!,Planning[[#This Row],[Proyectos]],#REF!,Planning[[#This Row],[Tipo de Tarea y especialidad]])</f>
        <v>#REF!</v>
      </c>
      <c r="O4176" s="19">
        <f t="shared" si="130"/>
        <v>10</v>
      </c>
      <c r="P4176" s="19">
        <f t="shared" si="131"/>
        <v>2024</v>
      </c>
      <c r="Q41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76" s="19" t="str">
        <f>TEXT(Planning[[#This Row],[Mes]]*29,"mmmm")</f>
        <v>October</v>
      </c>
      <c r="S41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76" s="217"/>
      <c r="U4176" s="43" t="e">
        <f>IF(Planning[[#This Row],[Horas Planificadas]]&lt;&gt;0,+K4176/Planning[[#This Row],[Horas Planificadas]],0)</f>
        <v>#REF!</v>
      </c>
      <c r="V4176" s="43" t="e">
        <f>IF(Planning[[#This Row],[Horas Planificadas]]&lt;&gt;0,Planning[[#This Row],[Horas utilizadas]]/Planning[[#This Row],[Horas Planificadas]],0)</f>
        <v>#REF!</v>
      </c>
      <c r="W4176" s="44">
        <f>Planning[[#This Row],[Horas Planificadas]]+Planning[[#This Row],[Horas ajustadas adicionales]]</f>
        <v>350</v>
      </c>
      <c r="X4176" s="142"/>
    </row>
    <row r="4177" spans="1:24" x14ac:dyDescent="0.2">
      <c r="A4177" s="7" t="s">
        <v>294</v>
      </c>
      <c r="B4177" s="7" t="s">
        <v>725</v>
      </c>
      <c r="C4177" s="3">
        <v>116993</v>
      </c>
      <c r="D4177" s="3" t="s">
        <v>726</v>
      </c>
      <c r="E4177" s="4"/>
      <c r="F4177" s="3" t="s">
        <v>130</v>
      </c>
      <c r="G4177" s="9"/>
      <c r="H4177" s="9">
        <v>250</v>
      </c>
      <c r="I4177" s="12"/>
      <c r="J4177" s="5" t="e">
        <f>SUM(SUMIFS(#REF!,#REF!,Planning[[#This Row],[Tipo de Tarea y especialidad]],#REF!,Planning[[#This Row],[Proyectos Reiwa]]),SUMIFS(#REF!,#REF!,Planning[[#This Row],[Tipo de Tarea y especialidad]],#REF!,Planning[[#This Row],[Proyectos]]))</f>
        <v>#REF!</v>
      </c>
      <c r="K4177" s="5" t="e">
        <f>+Planning[[#This Row],[Horas Planificadas]]+Planning[[#This Row],[Horas ajustadas adicionales]]-Planning[[#This Row],[Horas utilizadas]]</f>
        <v>#REF!</v>
      </c>
      <c r="L4177" s="7">
        <v>250</v>
      </c>
      <c r="M4177" s="19" t="e">
        <f>Planning[[#This Row],[Saldo]]-Planning[[#This Row],[Saldo estimado]]</f>
        <v>#REF!</v>
      </c>
      <c r="N4177" s="60" t="e">
        <f>+SUMIFS(#REF!,#REF!,Planning[[#This Row],[Proyectos]],#REF!,Planning[[#This Row],[Tipo de Tarea y especialidad]])</f>
        <v>#REF!</v>
      </c>
      <c r="O4177" s="19">
        <f t="shared" si="130"/>
        <v>10</v>
      </c>
      <c r="P4177" s="19">
        <f t="shared" si="131"/>
        <v>2024</v>
      </c>
      <c r="Q41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77" s="19" t="str">
        <f>TEXT(Planning[[#This Row],[Mes]]*29,"mmmm")</f>
        <v>October</v>
      </c>
      <c r="S41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77" s="217"/>
      <c r="U4177" s="43" t="e">
        <f>IF(Planning[[#This Row],[Horas Planificadas]]&lt;&gt;0,+K4177/Planning[[#This Row],[Horas Planificadas]],0)</f>
        <v>#REF!</v>
      </c>
      <c r="V4177" s="43" t="e">
        <f>IF(Planning[[#This Row],[Horas Planificadas]]&lt;&gt;0,Planning[[#This Row],[Horas utilizadas]]/Planning[[#This Row],[Horas Planificadas]],0)</f>
        <v>#REF!</v>
      </c>
      <c r="W4177" s="44">
        <f>Planning[[#This Row],[Horas Planificadas]]+Planning[[#This Row],[Horas ajustadas adicionales]]</f>
        <v>250</v>
      </c>
      <c r="X4177" s="142"/>
    </row>
    <row r="4178" spans="1:24" x14ac:dyDescent="0.2">
      <c r="A4178" s="7" t="s">
        <v>294</v>
      </c>
      <c r="B4178" s="7" t="s">
        <v>725</v>
      </c>
      <c r="C4178" s="3">
        <v>116993</v>
      </c>
      <c r="D4178" s="3" t="s">
        <v>726</v>
      </c>
      <c r="E4178" s="4"/>
      <c r="F4178" s="3" t="s">
        <v>131</v>
      </c>
      <c r="G4178" s="9"/>
      <c r="H4178" s="9"/>
      <c r="I4178" s="12"/>
      <c r="J4178" s="5" t="e">
        <f>SUM(SUMIFS(#REF!,#REF!,Planning[[#This Row],[Tipo de Tarea y especialidad]],#REF!,Planning[[#This Row],[Proyectos Reiwa]]),SUMIFS(#REF!,#REF!,Planning[[#This Row],[Tipo de Tarea y especialidad]],#REF!,Planning[[#This Row],[Proyectos]]))</f>
        <v>#REF!</v>
      </c>
      <c r="K4178" s="5" t="e">
        <f>+Planning[[#This Row],[Horas Planificadas]]+Planning[[#This Row],[Horas ajustadas adicionales]]-Planning[[#This Row],[Horas utilizadas]]</f>
        <v>#REF!</v>
      </c>
      <c r="L4178" s="7"/>
      <c r="M4178" s="19" t="e">
        <f>Planning[[#This Row],[Saldo]]-Planning[[#This Row],[Saldo estimado]]</f>
        <v>#REF!</v>
      </c>
      <c r="N4178" s="60" t="e">
        <f>+SUMIFS(#REF!,#REF!,Planning[[#This Row],[Proyectos]],#REF!,Planning[[#This Row],[Tipo de Tarea y especialidad]])</f>
        <v>#REF!</v>
      </c>
      <c r="O4178" s="19">
        <f t="shared" si="130"/>
        <v>10</v>
      </c>
      <c r="P4178" s="19">
        <f t="shared" si="131"/>
        <v>2024</v>
      </c>
      <c r="Q41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78" s="19" t="str">
        <f>TEXT(Planning[[#This Row],[Mes]]*29,"mmmm")</f>
        <v>October</v>
      </c>
      <c r="S41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78" s="217"/>
      <c r="U4178" s="43">
        <f>IF(Planning[[#This Row],[Horas Planificadas]]&lt;&gt;0,+K4178/Planning[[#This Row],[Horas Planificadas]],0)</f>
        <v>0</v>
      </c>
      <c r="V4178" s="43">
        <f>IF(Planning[[#This Row],[Horas Planificadas]]&lt;&gt;0,Planning[[#This Row],[Horas utilizadas]]/Planning[[#This Row],[Horas Planificadas]],0)</f>
        <v>0</v>
      </c>
      <c r="W4178" s="44">
        <f>Planning[[#This Row],[Horas Planificadas]]+Planning[[#This Row],[Horas ajustadas adicionales]]</f>
        <v>0</v>
      </c>
      <c r="X4178" s="142"/>
    </row>
    <row r="4179" spans="1:24" ht="22.5" x14ac:dyDescent="0.2">
      <c r="A4179" s="7" t="s">
        <v>204</v>
      </c>
      <c r="B4179" s="7" t="s">
        <v>463</v>
      </c>
      <c r="C4179" s="3">
        <v>116883</v>
      </c>
      <c r="D4179" s="3" t="s">
        <v>728</v>
      </c>
      <c r="E4179" s="4" t="s">
        <v>28</v>
      </c>
      <c r="F4179" s="3"/>
      <c r="G4179" s="9">
        <v>1159</v>
      </c>
      <c r="H4179" s="14">
        <f>SUM(H4180:H4181)</f>
        <v>1159</v>
      </c>
      <c r="I4179" s="14">
        <v>30</v>
      </c>
      <c r="J4179" s="14" t="e">
        <f>SUM(J4180:J4181)</f>
        <v>#REF!</v>
      </c>
      <c r="K4179" s="14" t="e">
        <f>+Planning[[#This Row],[Horas Planificadas]]+Planning[[#This Row],[Horas ajustadas adicionales]]-Planning[[#This Row],[Horas utilizadas]]</f>
        <v>#REF!</v>
      </c>
      <c r="L4179" s="15">
        <f>SUM(L4180:L4181)</f>
        <v>45</v>
      </c>
      <c r="M4179" s="14" t="e">
        <f>SUM(M4180:M4181)</f>
        <v>#REF!</v>
      </c>
      <c r="N4179" s="66" t="e">
        <f>+SUMIFS(#REF!,#REF!,Planning[[#This Row],[Proyectos]],#REF!,Planning[[#This Row],[Tipo de Tarea y especialidad]])</f>
        <v>#REF!</v>
      </c>
      <c r="O4179" s="14">
        <f t="shared" si="130"/>
        <v>10</v>
      </c>
      <c r="P4179" s="14">
        <f t="shared" si="131"/>
        <v>2024</v>
      </c>
      <c r="Q4179" s="28" t="e">
        <f>SUM(Q4180:Q4181)</f>
        <v>#REF!</v>
      </c>
      <c r="R4179" s="28" t="str">
        <f>TEXT(Planning[[#This Row],[Mes]]*29,"mmmm")</f>
        <v>October</v>
      </c>
      <c r="S41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79" s="240" t="s">
        <v>729</v>
      </c>
      <c r="U4179" s="43" t="e">
        <f>IF(Planning[[#This Row],[Horas Planificadas]]&lt;&gt;0,+K4179/Planning[[#This Row],[Horas Planificadas]],0)</f>
        <v>#REF!</v>
      </c>
      <c r="V4179" s="43" t="e">
        <f>IF(Planning[[#This Row],[Horas Planificadas]]&lt;&gt;0,Planning[[#This Row],[Horas utilizadas]]/Planning[[#This Row],[Horas Planificadas]],0)</f>
        <v>#REF!</v>
      </c>
      <c r="W4179" s="44">
        <f>Planning[[#This Row],[Horas Planificadas]]+Planning[[#This Row],[Horas ajustadas adicionales]]</f>
        <v>1189</v>
      </c>
      <c r="X4179" s="142"/>
    </row>
    <row r="4180" spans="1:24" x14ac:dyDescent="0.2">
      <c r="A4180" s="7" t="s">
        <v>204</v>
      </c>
      <c r="B4180" s="7" t="s">
        <v>463</v>
      </c>
      <c r="C4180" s="3">
        <v>116883</v>
      </c>
      <c r="D4180" s="3" t="s">
        <v>728</v>
      </c>
      <c r="E4180" s="4"/>
      <c r="F4180" s="3" t="s">
        <v>120</v>
      </c>
      <c r="G4180" s="9">
        <v>0</v>
      </c>
      <c r="H4180" s="9">
        <v>700</v>
      </c>
      <c r="I4180" s="12"/>
      <c r="J4180" s="5" t="e">
        <f>SUM(SUMIFS(#REF!,#REF!,Planning[[#This Row],[Tipo de Tarea y especialidad]],#REF!,Planning[[#This Row],[Proyectos Reiwa]]),SUMIFS(#REF!,#REF!,Planning[[#This Row],[Tipo de Tarea y especialidad]],#REF!,Planning[[#This Row],[Proyectos]]))</f>
        <v>#REF!</v>
      </c>
      <c r="K4180" s="5" t="e">
        <f>+Planning[[#This Row],[Horas Planificadas]]+Planning[[#This Row],[Horas ajustadas adicionales]]-Planning[[#This Row],[Horas utilizadas]]</f>
        <v>#REF!</v>
      </c>
      <c r="L4180" s="7">
        <v>0</v>
      </c>
      <c r="M4180" s="19" t="e">
        <f>Planning[[#This Row],[Saldo]]-Planning[[#This Row],[Saldo estimado]]</f>
        <v>#REF!</v>
      </c>
      <c r="N4180" s="60" t="e">
        <f>+SUMIFS(#REF!,#REF!,Planning[[#This Row],[Proyectos]],#REF!,Planning[[#This Row],[Tipo de Tarea y especialidad]])</f>
        <v>#REF!</v>
      </c>
      <c r="O4180" s="19">
        <f t="shared" si="130"/>
        <v>10</v>
      </c>
      <c r="P4180" s="19">
        <f t="shared" si="131"/>
        <v>2024</v>
      </c>
      <c r="Q41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80" s="19" t="str">
        <f>TEXT(Planning[[#This Row],[Mes]]*29,"mmmm")</f>
        <v>October</v>
      </c>
      <c r="S41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80" s="210"/>
      <c r="U4180" s="43" t="e">
        <f>IF(Planning[[#This Row],[Horas Planificadas]]&lt;&gt;0,+K4180/Planning[[#This Row],[Horas Planificadas]],0)</f>
        <v>#REF!</v>
      </c>
      <c r="V4180" s="43" t="e">
        <f>IF(Planning[[#This Row],[Horas Planificadas]]&lt;&gt;0,Planning[[#This Row],[Horas utilizadas]]/Planning[[#This Row],[Horas Planificadas]],0)</f>
        <v>#REF!</v>
      </c>
      <c r="W4180" s="44">
        <f>Planning[[#This Row],[Horas Planificadas]]+Planning[[#This Row],[Horas ajustadas adicionales]]</f>
        <v>700</v>
      </c>
      <c r="X4180" s="142"/>
    </row>
    <row r="4181" spans="1:24" x14ac:dyDescent="0.2">
      <c r="A4181" s="7" t="s">
        <v>204</v>
      </c>
      <c r="B4181" s="7" t="s">
        <v>463</v>
      </c>
      <c r="C4181" s="3">
        <v>116883</v>
      </c>
      <c r="D4181" s="3" t="s">
        <v>728</v>
      </c>
      <c r="E4181" s="4"/>
      <c r="F4181" s="3" t="s">
        <v>121</v>
      </c>
      <c r="G4181" s="9">
        <v>0</v>
      </c>
      <c r="H4181" s="9">
        <v>459</v>
      </c>
      <c r="I4181" s="12">
        <v>30</v>
      </c>
      <c r="J4181" s="5" t="e">
        <f>SUM(SUMIFS(#REF!,#REF!,Planning[[#This Row],[Tipo de Tarea y especialidad]],#REF!,Planning[[#This Row],[Proyectos Reiwa]]),SUMIFS(#REF!,#REF!,Planning[[#This Row],[Tipo de Tarea y especialidad]],#REF!,Planning[[#This Row],[Proyectos]]))</f>
        <v>#REF!</v>
      </c>
      <c r="K4181" s="5" t="e">
        <f>+Planning[[#This Row],[Horas Planificadas]]+Planning[[#This Row],[Horas ajustadas adicionales]]-Planning[[#This Row],[Horas utilizadas]]</f>
        <v>#REF!</v>
      </c>
      <c r="L4181" s="7">
        <v>45</v>
      </c>
      <c r="M4181" s="19" t="e">
        <f>Planning[[#This Row],[Saldo]]-Planning[[#This Row],[Saldo estimado]]</f>
        <v>#REF!</v>
      </c>
      <c r="N4181" s="60" t="e">
        <f>+SUMIFS(#REF!,#REF!,Planning[[#This Row],[Proyectos]],#REF!,Planning[[#This Row],[Tipo de Tarea y especialidad]])</f>
        <v>#REF!</v>
      </c>
      <c r="O4181" s="19">
        <f t="shared" si="130"/>
        <v>10</v>
      </c>
      <c r="P4181" s="19">
        <f t="shared" si="131"/>
        <v>2024</v>
      </c>
      <c r="Q41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81" s="19" t="str">
        <f>TEXT(Planning[[#This Row],[Mes]]*29,"mmmm")</f>
        <v>October</v>
      </c>
      <c r="S41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81" s="210"/>
      <c r="U4181" s="43" t="e">
        <f>IF(Planning[[#This Row],[Horas Planificadas]]&lt;&gt;0,+K4181/Planning[[#This Row],[Horas Planificadas]],0)</f>
        <v>#REF!</v>
      </c>
      <c r="V4181" s="43" t="e">
        <f>IF(Planning[[#This Row],[Horas Planificadas]]&lt;&gt;0,Planning[[#This Row],[Horas utilizadas]]/Planning[[#This Row],[Horas Planificadas]],0)</f>
        <v>#REF!</v>
      </c>
      <c r="W4181" s="44">
        <f>Planning[[#This Row],[Horas Planificadas]]+Planning[[#This Row],[Horas ajustadas adicionales]]</f>
        <v>489</v>
      </c>
      <c r="X4181" s="142"/>
    </row>
    <row r="4182" spans="1:24" x14ac:dyDescent="0.2">
      <c r="A4182" s="7" t="s">
        <v>204</v>
      </c>
      <c r="B4182" s="7" t="s">
        <v>463</v>
      </c>
      <c r="C4182" s="3">
        <v>116883</v>
      </c>
      <c r="D4182" s="3" t="s">
        <v>728</v>
      </c>
      <c r="E4182" s="4" t="s">
        <v>30</v>
      </c>
      <c r="F4182" s="3"/>
      <c r="G4182" s="9">
        <v>1561</v>
      </c>
      <c r="H4182" s="14">
        <f>SUM(H4183:H4189)</f>
        <v>1561</v>
      </c>
      <c r="I4182" s="14">
        <v>469</v>
      </c>
      <c r="J4182" s="14" t="e">
        <f>SUM(J4183:J4189)</f>
        <v>#REF!</v>
      </c>
      <c r="K4182" s="14" t="e">
        <f>+Planning[[#This Row],[Horas Planificadas]]+Planning[[#This Row],[Horas ajustadas adicionales]]-Planning[[#This Row],[Horas utilizadas]]</f>
        <v>#REF!</v>
      </c>
      <c r="L4182" s="15">
        <f>SUM(L4183:L4189)</f>
        <v>45</v>
      </c>
      <c r="M4182" s="16" t="e">
        <f>SUM(M4183:M4189)</f>
        <v>#REF!</v>
      </c>
      <c r="N4182" s="60" t="e">
        <f>+SUMIFS(#REF!,#REF!,Planning[[#This Row],[Proyectos]],#REF!,Planning[[#This Row],[Tipo de Tarea y especialidad]])</f>
        <v>#REF!</v>
      </c>
      <c r="O4182" s="16">
        <f t="shared" si="130"/>
        <v>10</v>
      </c>
      <c r="P4182" s="16">
        <f t="shared" si="131"/>
        <v>2024</v>
      </c>
      <c r="Q4182" s="16" t="e">
        <f>SUM(Q4183:Q4189)</f>
        <v>#REF!</v>
      </c>
      <c r="R4182" s="16" t="str">
        <f>TEXT(Planning[[#This Row],[Mes]]*29,"mmmm")</f>
        <v>October</v>
      </c>
      <c r="S41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82" s="210"/>
      <c r="U4182" s="43" t="e">
        <f>IF(Planning[[#This Row],[Horas Planificadas]]&lt;&gt;0,+K4182/Planning[[#This Row],[Horas Planificadas]],0)</f>
        <v>#REF!</v>
      </c>
      <c r="V4182" s="43" t="e">
        <f>IF(Planning[[#This Row],[Horas Planificadas]]&lt;&gt;0,Planning[[#This Row],[Horas utilizadas]]/Planning[[#This Row],[Horas Planificadas]],0)</f>
        <v>#REF!</v>
      </c>
      <c r="W4182" s="44">
        <f>Planning[[#This Row],[Horas Planificadas]]+Planning[[#This Row],[Horas ajustadas adicionales]]</f>
        <v>2030</v>
      </c>
      <c r="X4182" s="142"/>
    </row>
    <row r="4183" spans="1:24" x14ac:dyDescent="0.2">
      <c r="A4183" s="7" t="s">
        <v>204</v>
      </c>
      <c r="B4183" s="7" t="s">
        <v>463</v>
      </c>
      <c r="C4183" s="3">
        <v>116883</v>
      </c>
      <c r="D4183" s="3" t="s">
        <v>728</v>
      </c>
      <c r="E4183" s="4"/>
      <c r="F4183" s="3" t="s">
        <v>122</v>
      </c>
      <c r="G4183" s="9">
        <v>0</v>
      </c>
      <c r="H4183" s="9">
        <v>0</v>
      </c>
      <c r="I4183" s="12"/>
      <c r="J4183" s="5" t="e">
        <f>SUM(SUMIFS(#REF!,#REF!,Planning[[#This Row],[Tipo de Tarea y especialidad]],#REF!,Planning[[#This Row],[Proyectos Reiwa]]),SUMIFS(#REF!,#REF!,Planning[[#This Row],[Tipo de Tarea y especialidad]],#REF!,Planning[[#This Row],[Proyectos]]))</f>
        <v>#REF!</v>
      </c>
      <c r="K4183" s="5" t="e">
        <f>+Planning[[#This Row],[Horas Planificadas]]+Planning[[#This Row],[Horas ajustadas adicionales]]-Planning[[#This Row],[Horas utilizadas]]</f>
        <v>#REF!</v>
      </c>
      <c r="L4183" s="7">
        <v>0</v>
      </c>
      <c r="M4183" s="19" t="e">
        <f>Planning[[#This Row],[Saldo]]-Planning[[#This Row],[Saldo estimado]]</f>
        <v>#REF!</v>
      </c>
      <c r="N4183" s="60" t="e">
        <f>+SUMIFS(#REF!,#REF!,Planning[[#This Row],[Proyectos]],#REF!,Planning[[#This Row],[Tipo de Tarea y especialidad]])</f>
        <v>#REF!</v>
      </c>
      <c r="O4183" s="19">
        <f t="shared" si="130"/>
        <v>10</v>
      </c>
      <c r="P4183" s="19">
        <f t="shared" si="131"/>
        <v>2024</v>
      </c>
      <c r="Q41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83" s="19" t="str">
        <f>TEXT(Planning[[#This Row],[Mes]]*29,"mmmm")</f>
        <v>October</v>
      </c>
      <c r="S41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83" s="210"/>
      <c r="U4183" s="43">
        <f>IF(Planning[[#This Row],[Horas Planificadas]]&lt;&gt;0,+K4183/Planning[[#This Row],[Horas Planificadas]],0)</f>
        <v>0</v>
      </c>
      <c r="V4183" s="43">
        <f>IF(Planning[[#This Row],[Horas Planificadas]]&lt;&gt;0,Planning[[#This Row],[Horas utilizadas]]/Planning[[#This Row],[Horas Planificadas]],0)</f>
        <v>0</v>
      </c>
      <c r="W4183" s="44">
        <f>Planning[[#This Row],[Horas Planificadas]]+Planning[[#This Row],[Horas ajustadas adicionales]]</f>
        <v>0</v>
      </c>
      <c r="X4183" s="142"/>
    </row>
    <row r="4184" spans="1:24" x14ac:dyDescent="0.2">
      <c r="A4184" s="7" t="s">
        <v>204</v>
      </c>
      <c r="B4184" s="7" t="s">
        <v>463</v>
      </c>
      <c r="C4184" s="3">
        <v>116883</v>
      </c>
      <c r="D4184" s="3" t="s">
        <v>728</v>
      </c>
      <c r="E4184" s="4"/>
      <c r="F4184" s="3" t="s">
        <v>123</v>
      </c>
      <c r="G4184" s="9">
        <v>0</v>
      </c>
      <c r="H4184" s="9">
        <v>1048</v>
      </c>
      <c r="I4184" s="12">
        <v>280</v>
      </c>
      <c r="J4184" s="5" t="e">
        <f>SUM(SUMIFS(#REF!,#REF!,Planning[[#This Row],[Tipo de Tarea y especialidad]],#REF!,Planning[[#This Row],[Proyectos Reiwa]]),SUMIFS(#REF!,#REF!,Planning[[#This Row],[Tipo de Tarea y especialidad]],#REF!,Planning[[#This Row],[Proyectos]]))</f>
        <v>#REF!</v>
      </c>
      <c r="K4184" s="5" t="e">
        <f>+Planning[[#This Row],[Horas Planificadas]]+Planning[[#This Row],[Horas ajustadas adicionales]]-Planning[[#This Row],[Horas utilizadas]]</f>
        <v>#REF!</v>
      </c>
      <c r="L4184" s="7">
        <v>0</v>
      </c>
      <c r="M4184" s="19" t="e">
        <f>Planning[[#This Row],[Saldo]]-Planning[[#This Row],[Saldo estimado]]</f>
        <v>#REF!</v>
      </c>
      <c r="N4184" s="60" t="e">
        <f>+SUMIFS(#REF!,#REF!,Planning[[#This Row],[Proyectos]],#REF!,Planning[[#This Row],[Tipo de Tarea y especialidad]])</f>
        <v>#REF!</v>
      </c>
      <c r="O4184" s="19">
        <f t="shared" si="130"/>
        <v>10</v>
      </c>
      <c r="P4184" s="19">
        <f t="shared" si="131"/>
        <v>2024</v>
      </c>
      <c r="Q41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84" s="19" t="str">
        <f>TEXT(Planning[[#This Row],[Mes]]*29,"mmmm")</f>
        <v>October</v>
      </c>
      <c r="S41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84" s="210"/>
      <c r="U4184" s="43" t="e">
        <f>IF(Planning[[#This Row],[Horas Planificadas]]&lt;&gt;0,+K4184/Planning[[#This Row],[Horas Planificadas]],0)</f>
        <v>#REF!</v>
      </c>
      <c r="V4184" s="43" t="e">
        <f>IF(Planning[[#This Row],[Horas Planificadas]]&lt;&gt;0,Planning[[#This Row],[Horas utilizadas]]/Planning[[#This Row],[Horas Planificadas]],0)</f>
        <v>#REF!</v>
      </c>
      <c r="W4184" s="44">
        <f>Planning[[#This Row],[Horas Planificadas]]+Planning[[#This Row],[Horas ajustadas adicionales]]</f>
        <v>1328</v>
      </c>
      <c r="X4184" s="142"/>
    </row>
    <row r="4185" spans="1:24" x14ac:dyDescent="0.2">
      <c r="A4185" s="7" t="s">
        <v>204</v>
      </c>
      <c r="B4185" s="7" t="s">
        <v>463</v>
      </c>
      <c r="C4185" s="3">
        <v>116883</v>
      </c>
      <c r="D4185" s="3" t="s">
        <v>728</v>
      </c>
      <c r="E4185" s="4"/>
      <c r="F4185" s="3" t="s">
        <v>124</v>
      </c>
      <c r="G4185" s="9">
        <v>0</v>
      </c>
      <c r="H4185" s="9">
        <v>0</v>
      </c>
      <c r="I4185" s="12">
        <v>81</v>
      </c>
      <c r="J4185" s="5" t="e">
        <f>SUM(SUMIFS(#REF!,#REF!,Planning[[#This Row],[Tipo de Tarea y especialidad]],#REF!,Planning[[#This Row],[Proyectos Reiwa]]),SUMIFS(#REF!,#REF!,Planning[[#This Row],[Tipo de Tarea y especialidad]],#REF!,Planning[[#This Row],[Proyectos]]))</f>
        <v>#REF!</v>
      </c>
      <c r="K4185" s="5" t="e">
        <f>+Planning[[#This Row],[Horas Planificadas]]+Planning[[#This Row],[Horas ajustadas adicionales]]-Planning[[#This Row],[Horas utilizadas]]</f>
        <v>#REF!</v>
      </c>
      <c r="L4185" s="7">
        <v>0</v>
      </c>
      <c r="M4185" s="19" t="e">
        <f>Planning[[#This Row],[Saldo]]-Planning[[#This Row],[Saldo estimado]]</f>
        <v>#REF!</v>
      </c>
      <c r="N4185" s="60" t="e">
        <f>+SUMIFS(#REF!,#REF!,Planning[[#This Row],[Proyectos]],#REF!,Planning[[#This Row],[Tipo de Tarea y especialidad]])</f>
        <v>#REF!</v>
      </c>
      <c r="O4185" s="19">
        <f t="shared" si="130"/>
        <v>10</v>
      </c>
      <c r="P4185" s="19">
        <f t="shared" si="131"/>
        <v>2024</v>
      </c>
      <c r="Q41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85" s="19" t="str">
        <f>TEXT(Planning[[#This Row],[Mes]]*29,"mmmm")</f>
        <v>October</v>
      </c>
      <c r="S41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85" s="210"/>
      <c r="U4185" s="43">
        <f>IF(Planning[[#This Row],[Horas Planificadas]]&lt;&gt;0,+K4185/Planning[[#This Row],[Horas Planificadas]],0)</f>
        <v>0</v>
      </c>
      <c r="V4185" s="43">
        <f>IF(Planning[[#This Row],[Horas Planificadas]]&lt;&gt;0,Planning[[#This Row],[Horas utilizadas]]/Planning[[#This Row],[Horas Planificadas]],0)</f>
        <v>0</v>
      </c>
      <c r="W4185" s="44">
        <f>Planning[[#This Row],[Horas Planificadas]]+Planning[[#This Row],[Horas ajustadas adicionales]]</f>
        <v>81</v>
      </c>
      <c r="X4185" s="142"/>
    </row>
    <row r="4186" spans="1:24" x14ac:dyDescent="0.2">
      <c r="A4186" s="7" t="s">
        <v>204</v>
      </c>
      <c r="B4186" s="7" t="s">
        <v>463</v>
      </c>
      <c r="C4186" s="3">
        <v>116883</v>
      </c>
      <c r="D4186" s="3" t="s">
        <v>728</v>
      </c>
      <c r="E4186" s="4"/>
      <c r="F4186" s="3" t="s">
        <v>125</v>
      </c>
      <c r="G4186" s="9">
        <v>0</v>
      </c>
      <c r="H4186" s="9">
        <v>360</v>
      </c>
      <c r="I4186" s="12">
        <v>18</v>
      </c>
      <c r="J4186" s="5" t="e">
        <f>SUM(SUMIFS(#REF!,#REF!,Planning[[#This Row],[Tipo de Tarea y especialidad]],#REF!,Planning[[#This Row],[Proyectos Reiwa]]),SUMIFS(#REF!,#REF!,Planning[[#This Row],[Tipo de Tarea y especialidad]],#REF!,Planning[[#This Row],[Proyectos]]))</f>
        <v>#REF!</v>
      </c>
      <c r="K4186" s="5" t="e">
        <f>+Planning[[#This Row],[Horas Planificadas]]+Planning[[#This Row],[Horas ajustadas adicionales]]-Planning[[#This Row],[Horas utilizadas]]</f>
        <v>#REF!</v>
      </c>
      <c r="L4186" s="7">
        <v>45</v>
      </c>
      <c r="M4186" s="19" t="e">
        <f>Planning[[#This Row],[Saldo]]-Planning[[#This Row],[Saldo estimado]]</f>
        <v>#REF!</v>
      </c>
      <c r="N4186" s="60" t="e">
        <f>+SUMIFS(#REF!,#REF!,Planning[[#This Row],[Proyectos]],#REF!,Planning[[#This Row],[Tipo de Tarea y especialidad]])</f>
        <v>#REF!</v>
      </c>
      <c r="O4186" s="19">
        <f t="shared" si="130"/>
        <v>10</v>
      </c>
      <c r="P4186" s="19">
        <f t="shared" si="131"/>
        <v>2024</v>
      </c>
      <c r="Q41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86" s="19" t="str">
        <f>TEXT(Planning[[#This Row],[Mes]]*29,"mmmm")</f>
        <v>October</v>
      </c>
      <c r="S41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86" s="210"/>
      <c r="U4186" s="43" t="e">
        <f>IF(Planning[[#This Row],[Horas Planificadas]]&lt;&gt;0,+K4186/Planning[[#This Row],[Horas Planificadas]],0)</f>
        <v>#REF!</v>
      </c>
      <c r="V4186" s="43" t="e">
        <f>IF(Planning[[#This Row],[Horas Planificadas]]&lt;&gt;0,Planning[[#This Row],[Horas utilizadas]]/Planning[[#This Row],[Horas Planificadas]],0)</f>
        <v>#REF!</v>
      </c>
      <c r="W4186" s="44">
        <f>Planning[[#This Row],[Horas Planificadas]]+Planning[[#This Row],[Horas ajustadas adicionales]]</f>
        <v>378</v>
      </c>
      <c r="X4186" s="142"/>
    </row>
    <row r="4187" spans="1:24" x14ac:dyDescent="0.2">
      <c r="A4187" s="7" t="s">
        <v>204</v>
      </c>
      <c r="B4187" s="7" t="s">
        <v>463</v>
      </c>
      <c r="C4187" s="3">
        <v>116883</v>
      </c>
      <c r="D4187" s="3" t="s">
        <v>728</v>
      </c>
      <c r="E4187" s="4"/>
      <c r="F4187" s="3" t="s">
        <v>126</v>
      </c>
      <c r="G4187" s="9">
        <v>0</v>
      </c>
      <c r="H4187" s="9">
        <v>0</v>
      </c>
      <c r="I4187" s="12"/>
      <c r="J4187" s="5" t="e">
        <f>SUM(SUMIFS(#REF!,#REF!,Planning[[#This Row],[Tipo de Tarea y especialidad]],#REF!,Planning[[#This Row],[Proyectos Reiwa]]),SUMIFS(#REF!,#REF!,Planning[[#This Row],[Tipo de Tarea y especialidad]],#REF!,Planning[[#This Row],[Proyectos]]))</f>
        <v>#REF!</v>
      </c>
      <c r="K4187" s="5" t="e">
        <f>+Planning[[#This Row],[Horas Planificadas]]+Planning[[#This Row],[Horas ajustadas adicionales]]-Planning[[#This Row],[Horas utilizadas]]</f>
        <v>#REF!</v>
      </c>
      <c r="L4187" s="7">
        <v>0</v>
      </c>
      <c r="M4187" s="19" t="e">
        <f>Planning[[#This Row],[Saldo]]-Planning[[#This Row],[Saldo estimado]]</f>
        <v>#REF!</v>
      </c>
      <c r="N4187" s="60" t="e">
        <f>+SUMIFS(#REF!,#REF!,Planning[[#This Row],[Proyectos]],#REF!,Planning[[#This Row],[Tipo de Tarea y especialidad]])</f>
        <v>#REF!</v>
      </c>
      <c r="O4187" s="19">
        <f t="shared" si="130"/>
        <v>10</v>
      </c>
      <c r="P4187" s="19">
        <f t="shared" si="131"/>
        <v>2024</v>
      </c>
      <c r="Q41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87" s="19" t="str">
        <f>TEXT(Planning[[#This Row],[Mes]]*29,"mmmm")</f>
        <v>October</v>
      </c>
      <c r="S41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87" s="210"/>
      <c r="U4187" s="43">
        <f>IF(Planning[[#This Row],[Horas Planificadas]]&lt;&gt;0,+K4187/Planning[[#This Row],[Horas Planificadas]],0)</f>
        <v>0</v>
      </c>
      <c r="V4187" s="43">
        <f>IF(Planning[[#This Row],[Horas Planificadas]]&lt;&gt;0,Planning[[#This Row],[Horas utilizadas]]/Planning[[#This Row],[Horas Planificadas]],0)</f>
        <v>0</v>
      </c>
      <c r="W4187" s="44">
        <f>Planning[[#This Row],[Horas Planificadas]]+Planning[[#This Row],[Horas ajustadas adicionales]]</f>
        <v>0</v>
      </c>
      <c r="X4187" s="142"/>
    </row>
    <row r="4188" spans="1:24" x14ac:dyDescent="0.2">
      <c r="A4188" s="7" t="s">
        <v>204</v>
      </c>
      <c r="B4188" s="7" t="s">
        <v>463</v>
      </c>
      <c r="C4188" s="3">
        <v>116883</v>
      </c>
      <c r="D4188" s="3" t="s">
        <v>728</v>
      </c>
      <c r="E4188" s="4"/>
      <c r="F4188" s="3" t="s">
        <v>127</v>
      </c>
      <c r="G4188" s="9">
        <v>0</v>
      </c>
      <c r="H4188" s="9">
        <v>153</v>
      </c>
      <c r="I4188" s="12">
        <v>36</v>
      </c>
      <c r="J4188" s="5" t="e">
        <f>SUM(SUMIFS(#REF!,#REF!,Planning[[#This Row],[Tipo de Tarea y especialidad]],#REF!,Planning[[#This Row],[Proyectos Reiwa]]),SUMIFS(#REF!,#REF!,Planning[[#This Row],[Tipo de Tarea y especialidad]],#REF!,Planning[[#This Row],[Proyectos]]))</f>
        <v>#REF!</v>
      </c>
      <c r="K4188" s="5" t="e">
        <f>+Planning[[#This Row],[Horas Planificadas]]+Planning[[#This Row],[Horas ajustadas adicionales]]-Planning[[#This Row],[Horas utilizadas]]</f>
        <v>#REF!</v>
      </c>
      <c r="L4188" s="7">
        <v>0</v>
      </c>
      <c r="M4188" s="19" t="e">
        <f>Planning[[#This Row],[Saldo]]-Planning[[#This Row],[Saldo estimado]]</f>
        <v>#REF!</v>
      </c>
      <c r="N4188" s="60" t="e">
        <f>+SUMIFS(#REF!,#REF!,Planning[[#This Row],[Proyectos]],#REF!,Planning[[#This Row],[Tipo de Tarea y especialidad]])</f>
        <v>#REF!</v>
      </c>
      <c r="O4188" s="19">
        <f t="shared" si="130"/>
        <v>10</v>
      </c>
      <c r="P4188" s="19">
        <f t="shared" si="131"/>
        <v>2024</v>
      </c>
      <c r="Q41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88" s="19" t="str">
        <f>TEXT(Planning[[#This Row],[Mes]]*29,"mmmm")</f>
        <v>October</v>
      </c>
      <c r="S41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88" s="210"/>
      <c r="U4188" s="43" t="e">
        <f>IF(Planning[[#This Row],[Horas Planificadas]]&lt;&gt;0,+K4188/Planning[[#This Row],[Horas Planificadas]],0)</f>
        <v>#REF!</v>
      </c>
      <c r="V4188" s="43" t="e">
        <f>IF(Planning[[#This Row],[Horas Planificadas]]&lt;&gt;0,Planning[[#This Row],[Horas utilizadas]]/Planning[[#This Row],[Horas Planificadas]],0)</f>
        <v>#REF!</v>
      </c>
      <c r="W4188" s="44">
        <f>Planning[[#This Row],[Horas Planificadas]]+Planning[[#This Row],[Horas ajustadas adicionales]]</f>
        <v>189</v>
      </c>
      <c r="X4188" s="142"/>
    </row>
    <row r="4189" spans="1:24" x14ac:dyDescent="0.2">
      <c r="A4189" s="7" t="s">
        <v>204</v>
      </c>
      <c r="B4189" s="7" t="s">
        <v>463</v>
      </c>
      <c r="C4189" s="3">
        <v>116883</v>
      </c>
      <c r="D4189" s="3" t="s">
        <v>728</v>
      </c>
      <c r="E4189" s="4"/>
      <c r="F4189" s="3" t="s">
        <v>128</v>
      </c>
      <c r="G4189" s="9">
        <v>0</v>
      </c>
      <c r="H4189" s="9">
        <v>0</v>
      </c>
      <c r="I4189" s="12">
        <v>54</v>
      </c>
      <c r="J4189" s="5" t="e">
        <f>SUM(SUMIFS(#REF!,#REF!,Planning[[#This Row],[Tipo de Tarea y especialidad]],#REF!,Planning[[#This Row],[Proyectos Reiwa]]),SUMIFS(#REF!,#REF!,Planning[[#This Row],[Tipo de Tarea y especialidad]],#REF!,Planning[[#This Row],[Proyectos]]))</f>
        <v>#REF!</v>
      </c>
      <c r="K4189" s="5" t="e">
        <f>+Planning[[#This Row],[Horas Planificadas]]+Planning[[#This Row],[Horas ajustadas adicionales]]-Planning[[#This Row],[Horas utilizadas]]</f>
        <v>#REF!</v>
      </c>
      <c r="L4189" s="7">
        <v>0</v>
      </c>
      <c r="M4189" s="19" t="e">
        <f>Planning[[#This Row],[Saldo]]-Planning[[#This Row],[Saldo estimado]]</f>
        <v>#REF!</v>
      </c>
      <c r="N4189" s="60" t="e">
        <f>+SUMIFS(#REF!,#REF!,Planning[[#This Row],[Proyectos]],#REF!,Planning[[#This Row],[Tipo de Tarea y especialidad]])</f>
        <v>#REF!</v>
      </c>
      <c r="O4189" s="19">
        <f t="shared" si="130"/>
        <v>10</v>
      </c>
      <c r="P4189" s="19">
        <f t="shared" si="131"/>
        <v>2024</v>
      </c>
      <c r="Q41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89" s="19" t="str">
        <f>TEXT(Planning[[#This Row],[Mes]]*29,"mmmm")</f>
        <v>October</v>
      </c>
      <c r="S41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89" s="210"/>
      <c r="U4189" s="43">
        <f>IF(Planning[[#This Row],[Horas Planificadas]]&lt;&gt;0,+K4189/Planning[[#This Row],[Horas Planificadas]],0)</f>
        <v>0</v>
      </c>
      <c r="V4189" s="43">
        <f>IF(Planning[[#This Row],[Horas Planificadas]]&lt;&gt;0,Planning[[#This Row],[Horas utilizadas]]/Planning[[#This Row],[Horas Planificadas]],0)</f>
        <v>0</v>
      </c>
      <c r="W4189" s="44">
        <f>Planning[[#This Row],[Horas Planificadas]]+Planning[[#This Row],[Horas ajustadas adicionales]]</f>
        <v>54</v>
      </c>
      <c r="X4189" s="142"/>
    </row>
    <row r="4190" spans="1:24" x14ac:dyDescent="0.2">
      <c r="A4190" s="7" t="s">
        <v>204</v>
      </c>
      <c r="B4190" s="7" t="s">
        <v>463</v>
      </c>
      <c r="C4190" s="3">
        <v>116883</v>
      </c>
      <c r="D4190" s="3" t="s">
        <v>728</v>
      </c>
      <c r="E4190" s="4" t="s">
        <v>31</v>
      </c>
      <c r="F4190" s="3" t="s">
        <v>31</v>
      </c>
      <c r="G4190" s="9">
        <v>303</v>
      </c>
      <c r="H4190" s="17">
        <f>Planning[[#This Row],[Horas Precálculo]]</f>
        <v>303</v>
      </c>
      <c r="I4190" s="18">
        <v>100</v>
      </c>
      <c r="J4190" s="14" t="e">
        <f>+SUMIFS(#REF!,#REF!,Planning[[#This Row],[Tarifa]],#REF!,Planning[[#This Row],[Proyectos]])</f>
        <v>#REF!</v>
      </c>
      <c r="K4190" s="14" t="e">
        <f>+Planning[[#This Row],[Horas Planificadas]]+Planning[[#This Row],[Horas ajustadas adicionales]]-Planning[[#This Row],[Horas utilizadas]]</f>
        <v>#REF!</v>
      </c>
      <c r="L4190" s="15" t="e">
        <f>Planning[[#This Row],[Saldo]]</f>
        <v>#REF!</v>
      </c>
      <c r="M4190" s="16" t="e">
        <f>Planning[[#This Row],[Saldo]]-Planning[[#This Row],[Saldo estimado]]</f>
        <v>#REF!</v>
      </c>
      <c r="N4190" s="60" t="e">
        <f>+SUMIFS(#REF!,#REF!,Planning[[#This Row],[Proyectos]],#REF!,Planning[[#This Row],[Tipo de Tarea y especialidad]])</f>
        <v>#REF!</v>
      </c>
      <c r="O4190" s="16">
        <f t="shared" si="130"/>
        <v>10</v>
      </c>
      <c r="P4190" s="16">
        <f t="shared" si="131"/>
        <v>2024</v>
      </c>
      <c r="Q4190" s="16" t="e">
        <f>+SUMIFS(#REF!,#REF!,Planning[[#This Row],[Tarifa]],#REF!,Planning[[#This Row],[Proyectos]],#REF!,Planning[[#This Row],[Mes]],#REF!,Planning[[#This Row],[Año]])</f>
        <v>#REF!</v>
      </c>
      <c r="R4190" s="16" t="str">
        <f>TEXT(Planning[[#This Row],[Mes]]*29,"mmmm")</f>
        <v>October</v>
      </c>
      <c r="S41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90" s="210"/>
      <c r="U4190" s="43" t="e">
        <f>IF(Planning[[#This Row],[Horas Planificadas]]&lt;&gt;0,+K4190/Planning[[#This Row],[Horas Planificadas]],0)</f>
        <v>#REF!</v>
      </c>
      <c r="V4190" s="43" t="e">
        <f>IF(Planning[[#This Row],[Horas Planificadas]]&lt;&gt;0,Planning[[#This Row],[Horas utilizadas]]/Planning[[#This Row],[Horas Planificadas]],0)</f>
        <v>#REF!</v>
      </c>
      <c r="W4190" s="44">
        <f>Planning[[#This Row],[Horas Planificadas]]+Planning[[#This Row],[Horas ajustadas adicionales]]</f>
        <v>403</v>
      </c>
      <c r="X4190" s="142"/>
    </row>
    <row r="4191" spans="1:24" ht="22.5" x14ac:dyDescent="0.2">
      <c r="A4191" s="7" t="s">
        <v>204</v>
      </c>
      <c r="B4191" s="7" t="s">
        <v>463</v>
      </c>
      <c r="C4191" s="3">
        <v>116883</v>
      </c>
      <c r="D4191" s="3" t="s">
        <v>728</v>
      </c>
      <c r="E4191" s="4" t="s">
        <v>32</v>
      </c>
      <c r="F4191" s="3"/>
      <c r="G4191" s="9">
        <v>210</v>
      </c>
      <c r="H4191" s="14">
        <f>SUM(H4192:H4194)</f>
        <v>210</v>
      </c>
      <c r="I4191" s="14">
        <v>210</v>
      </c>
      <c r="J4191" s="14" t="e">
        <f>SUM(J4192:J4194)</f>
        <v>#REF!</v>
      </c>
      <c r="K4191" s="14" t="e">
        <f>+Planning[[#This Row],[Horas Planificadas]]+Planning[[#This Row],[Horas ajustadas adicionales]]-Planning[[#This Row],[Horas utilizadas]]</f>
        <v>#REF!</v>
      </c>
      <c r="L4191" s="15" t="e">
        <f>SUM(L4192:L4194)</f>
        <v>#REF!</v>
      </c>
      <c r="M4191" s="16" t="e">
        <f>SUM(M4192:M4194)</f>
        <v>#REF!</v>
      </c>
      <c r="N4191" s="60" t="e">
        <f>+SUMIFS(#REF!,#REF!,Planning[[#This Row],[Proyectos]],#REF!,Planning[[#This Row],[Tipo de Tarea y especialidad]])</f>
        <v>#REF!</v>
      </c>
      <c r="O4191" s="16">
        <f t="shared" si="130"/>
        <v>10</v>
      </c>
      <c r="P4191" s="16">
        <f t="shared" si="131"/>
        <v>2024</v>
      </c>
      <c r="Q4191" s="16" t="e">
        <f>SUM(Q4192:Q4194)</f>
        <v>#REF!</v>
      </c>
      <c r="R4191" s="16" t="str">
        <f>TEXT(Planning[[#This Row],[Mes]]*29,"mmmm")</f>
        <v>October</v>
      </c>
      <c r="S41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91" s="210"/>
      <c r="U4191" s="43" t="e">
        <f>IF(Planning[[#This Row],[Horas Planificadas]]&lt;&gt;0,+K4191/Planning[[#This Row],[Horas Planificadas]],0)</f>
        <v>#REF!</v>
      </c>
      <c r="V4191" s="43" t="e">
        <f>IF(Planning[[#This Row],[Horas Planificadas]]&lt;&gt;0,Planning[[#This Row],[Horas utilizadas]]/Planning[[#This Row],[Horas Planificadas]],0)</f>
        <v>#REF!</v>
      </c>
      <c r="W4191" s="44">
        <f>Planning[[#This Row],[Horas Planificadas]]+Planning[[#This Row],[Horas ajustadas adicionales]]</f>
        <v>420</v>
      </c>
      <c r="X4191" s="142"/>
    </row>
    <row r="4192" spans="1:24" x14ac:dyDescent="0.2">
      <c r="A4192" s="7" t="s">
        <v>204</v>
      </c>
      <c r="B4192" s="7" t="s">
        <v>463</v>
      </c>
      <c r="C4192" s="3">
        <v>116883</v>
      </c>
      <c r="D4192" s="3" t="s">
        <v>728</v>
      </c>
      <c r="E4192" s="4"/>
      <c r="F4192" s="3" t="s">
        <v>129</v>
      </c>
      <c r="G4192" s="9">
        <v>0</v>
      </c>
      <c r="H4192" s="9">
        <v>0</v>
      </c>
      <c r="I4192" s="12"/>
      <c r="J4192" s="5" t="e">
        <f>SUM(SUMIFS(#REF!,#REF!,Planning[[#This Row],[Tipo de Tarea y especialidad]],#REF!,Planning[[#This Row],[Proyectos Reiwa]]),SUMIFS(#REF!,#REF!,Planning[[#This Row],[Tipo de Tarea y especialidad]],#REF!,Planning[[#This Row],[Proyectos]]))</f>
        <v>#REF!</v>
      </c>
      <c r="K4192" s="5" t="e">
        <f>+Planning[[#This Row],[Horas Planificadas]]+Planning[[#This Row],[Horas ajustadas adicionales]]-Planning[[#This Row],[Horas utilizadas]]</f>
        <v>#REF!</v>
      </c>
      <c r="L4192" s="7">
        <v>0</v>
      </c>
      <c r="M4192" s="19" t="e">
        <f>Planning[[#This Row],[Saldo]]-Planning[[#This Row],[Saldo estimado]]</f>
        <v>#REF!</v>
      </c>
      <c r="N4192" s="60" t="e">
        <f>+SUMIFS(#REF!,#REF!,Planning[[#This Row],[Proyectos]],#REF!,Planning[[#This Row],[Tipo de Tarea y especialidad]])</f>
        <v>#REF!</v>
      </c>
      <c r="O4192" s="19">
        <f t="shared" si="130"/>
        <v>10</v>
      </c>
      <c r="P4192" s="19">
        <f t="shared" si="131"/>
        <v>2024</v>
      </c>
      <c r="Q41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92" s="19" t="str">
        <f>TEXT(Planning[[#This Row],[Mes]]*29,"mmmm")</f>
        <v>October</v>
      </c>
      <c r="S41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92" s="210"/>
      <c r="U4192" s="43">
        <f>IF(Planning[[#This Row],[Horas Planificadas]]&lt;&gt;0,+K4192/Planning[[#This Row],[Horas Planificadas]],0)</f>
        <v>0</v>
      </c>
      <c r="V4192" s="43">
        <f>IF(Planning[[#This Row],[Horas Planificadas]]&lt;&gt;0,Planning[[#This Row],[Horas utilizadas]]/Planning[[#This Row],[Horas Planificadas]],0)</f>
        <v>0</v>
      </c>
      <c r="W4192" s="44">
        <f>Planning[[#This Row],[Horas Planificadas]]+Planning[[#This Row],[Horas ajustadas adicionales]]</f>
        <v>0</v>
      </c>
      <c r="X4192" s="142"/>
    </row>
    <row r="4193" spans="1:24" x14ac:dyDescent="0.2">
      <c r="A4193" s="7" t="s">
        <v>204</v>
      </c>
      <c r="B4193" s="7" t="s">
        <v>463</v>
      </c>
      <c r="C4193" s="3">
        <v>116883</v>
      </c>
      <c r="D4193" s="3" t="s">
        <v>728</v>
      </c>
      <c r="E4193" s="4"/>
      <c r="F4193" s="3" t="s">
        <v>130</v>
      </c>
      <c r="G4193" s="9">
        <v>0</v>
      </c>
      <c r="H4193" s="9">
        <v>210</v>
      </c>
      <c r="I4193" s="12">
        <v>320</v>
      </c>
      <c r="J4193" s="5" t="e">
        <f>SUM(SUMIFS(#REF!,#REF!,Planning[[#This Row],[Tipo de Tarea y especialidad]],#REF!,Planning[[#This Row],[Proyectos Reiwa]]),SUMIFS(#REF!,#REF!,Planning[[#This Row],[Tipo de Tarea y especialidad]],#REF!,Planning[[#This Row],[Proyectos]]))</f>
        <v>#REF!</v>
      </c>
      <c r="K4193" s="5" t="e">
        <f>+Planning[[#This Row],[Horas Planificadas]]+Planning[[#This Row],[Horas ajustadas adicionales]]-Planning[[#This Row],[Horas utilizadas]]</f>
        <v>#REF!</v>
      </c>
      <c r="L4193" s="7" t="e">
        <f>Planning[[#This Row],[Saldo]]</f>
        <v>#REF!</v>
      </c>
      <c r="M4193" s="19" t="e">
        <f>Planning[[#This Row],[Saldo]]-Planning[[#This Row],[Saldo estimado]]</f>
        <v>#REF!</v>
      </c>
      <c r="N4193" s="60" t="e">
        <f>+SUMIFS(#REF!,#REF!,Planning[[#This Row],[Proyectos]],#REF!,Planning[[#This Row],[Tipo de Tarea y especialidad]])</f>
        <v>#REF!</v>
      </c>
      <c r="O4193" s="19">
        <f t="shared" si="130"/>
        <v>10</v>
      </c>
      <c r="P4193" s="19">
        <f t="shared" si="131"/>
        <v>2024</v>
      </c>
      <c r="Q41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93" s="19" t="str">
        <f>TEXT(Planning[[#This Row],[Mes]]*29,"mmmm")</f>
        <v>October</v>
      </c>
      <c r="S41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93" s="210"/>
      <c r="U4193" s="43" t="e">
        <f>IF(Planning[[#This Row],[Horas Planificadas]]&lt;&gt;0,+K4193/Planning[[#This Row],[Horas Planificadas]],0)</f>
        <v>#REF!</v>
      </c>
      <c r="V4193" s="43" t="e">
        <f>IF(Planning[[#This Row],[Horas Planificadas]]&lt;&gt;0,Planning[[#This Row],[Horas utilizadas]]/Planning[[#This Row],[Horas Planificadas]],0)</f>
        <v>#REF!</v>
      </c>
      <c r="W4193" s="44">
        <f>Planning[[#This Row],[Horas Planificadas]]+Planning[[#This Row],[Horas ajustadas adicionales]]</f>
        <v>530</v>
      </c>
      <c r="X4193" s="142"/>
    </row>
    <row r="4194" spans="1:24" x14ac:dyDescent="0.2">
      <c r="A4194" s="7" t="s">
        <v>204</v>
      </c>
      <c r="B4194" s="7" t="s">
        <v>463</v>
      </c>
      <c r="C4194" s="3">
        <v>116883</v>
      </c>
      <c r="D4194" s="3" t="s">
        <v>728</v>
      </c>
      <c r="E4194" s="4"/>
      <c r="F4194" s="3" t="s">
        <v>131</v>
      </c>
      <c r="G4194" s="9">
        <v>0</v>
      </c>
      <c r="H4194" s="9">
        <v>0</v>
      </c>
      <c r="I4194" s="12"/>
      <c r="J4194" s="5" t="e">
        <f>SUM(SUMIFS(#REF!,#REF!,Planning[[#This Row],[Tipo de Tarea y especialidad]],#REF!,Planning[[#This Row],[Proyectos Reiwa]]),SUMIFS(#REF!,#REF!,Planning[[#This Row],[Tipo de Tarea y especialidad]],#REF!,Planning[[#This Row],[Proyectos]]))</f>
        <v>#REF!</v>
      </c>
      <c r="K4194" s="5" t="e">
        <f>+Planning[[#This Row],[Horas Planificadas]]+Planning[[#This Row],[Horas ajustadas adicionales]]-Planning[[#This Row],[Horas utilizadas]]</f>
        <v>#REF!</v>
      </c>
      <c r="L4194" s="7" t="e">
        <f>Planning[[#This Row],[Saldo]]</f>
        <v>#REF!</v>
      </c>
      <c r="M4194" s="19" t="e">
        <f>Planning[[#This Row],[Saldo]]-Planning[[#This Row],[Saldo estimado]]</f>
        <v>#REF!</v>
      </c>
      <c r="N4194" s="60" t="e">
        <f>+SUMIFS(#REF!,#REF!,Planning[[#This Row],[Proyectos]],#REF!,Planning[[#This Row],[Tipo de Tarea y especialidad]])</f>
        <v>#REF!</v>
      </c>
      <c r="O4194" s="19">
        <f t="shared" si="130"/>
        <v>10</v>
      </c>
      <c r="P4194" s="19">
        <f t="shared" si="131"/>
        <v>2024</v>
      </c>
      <c r="Q41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94" s="19" t="str">
        <f>TEXT(Planning[[#This Row],[Mes]]*29,"mmmm")</f>
        <v>October</v>
      </c>
      <c r="S41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94" s="210"/>
      <c r="U4194" s="43">
        <f>IF(Planning[[#This Row],[Horas Planificadas]]&lt;&gt;0,+K4194/Planning[[#This Row],[Horas Planificadas]],0)</f>
        <v>0</v>
      </c>
      <c r="V4194" s="43">
        <f>IF(Planning[[#This Row],[Horas Planificadas]]&lt;&gt;0,Planning[[#This Row],[Horas utilizadas]]/Planning[[#This Row],[Horas Planificadas]],0)</f>
        <v>0</v>
      </c>
      <c r="W4194" s="44">
        <f>Planning[[#This Row],[Horas Planificadas]]+Planning[[#This Row],[Horas ajustadas adicionales]]</f>
        <v>0</v>
      </c>
      <c r="X4194" s="142"/>
    </row>
    <row r="4195" spans="1:24" ht="22.5" x14ac:dyDescent="0.2">
      <c r="A4195" s="7" t="s">
        <v>168</v>
      </c>
      <c r="B4195" s="7" t="s">
        <v>118</v>
      </c>
      <c r="C4195" s="3"/>
      <c r="D4195" s="3" t="s">
        <v>730</v>
      </c>
      <c r="E4195" s="4" t="s">
        <v>28</v>
      </c>
      <c r="F4195" s="3"/>
      <c r="G4195" s="9"/>
      <c r="H4195" s="14">
        <f>SUM(H4196:H4197)</f>
        <v>326</v>
      </c>
      <c r="I4195" s="14"/>
      <c r="J4195" s="14" t="e">
        <f>SUM(J4196:J4197)</f>
        <v>#REF!</v>
      </c>
      <c r="K4195" s="14" t="e">
        <f>+Planning[[#This Row],[Horas Planificadas]]+Planning[[#This Row],[Horas ajustadas adicionales]]-Planning[[#This Row],[Horas utilizadas]]</f>
        <v>#REF!</v>
      </c>
      <c r="L4195" s="15">
        <f>SUM(L4196:L4197)</f>
        <v>27</v>
      </c>
      <c r="M4195" s="14" t="e">
        <f>SUM(M4196:M4197)</f>
        <v>#REF!</v>
      </c>
      <c r="N4195" s="66" t="e">
        <f>+SUMIFS(#REF!,#REF!,Planning[[#This Row],[Proyectos]],#REF!,Planning[[#This Row],[Tipo de Tarea y especialidad]])</f>
        <v>#REF!</v>
      </c>
      <c r="O4195" s="14">
        <f t="shared" si="130"/>
        <v>10</v>
      </c>
      <c r="P4195" s="14">
        <f t="shared" si="131"/>
        <v>2024</v>
      </c>
      <c r="Q4195" s="28" t="e">
        <f>SUM(Q4196:Q4197)</f>
        <v>#REF!</v>
      </c>
      <c r="R4195" s="28" t="str">
        <f>TEXT(Planning[[#This Row],[Mes]]*29,"mmmm")</f>
        <v>October</v>
      </c>
      <c r="S41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95" s="192" t="s">
        <v>731</v>
      </c>
      <c r="U4195" s="43" t="e">
        <f>IF(Planning[[#This Row],[Horas Planificadas]]&lt;&gt;0,+K4195/Planning[[#This Row],[Horas Planificadas]],0)</f>
        <v>#REF!</v>
      </c>
      <c r="V4195" s="43" t="e">
        <f>IF(Planning[[#This Row],[Horas Planificadas]]&lt;&gt;0,Planning[[#This Row],[Horas utilizadas]]/Planning[[#This Row],[Horas Planificadas]],0)</f>
        <v>#REF!</v>
      </c>
      <c r="W4195" s="44">
        <f>Planning[[#This Row],[Horas Planificadas]]+Planning[[#This Row],[Horas ajustadas adicionales]]</f>
        <v>326</v>
      </c>
      <c r="X4195" s="142"/>
    </row>
    <row r="4196" spans="1:24" x14ac:dyDescent="0.2">
      <c r="A4196" s="7" t="s">
        <v>168</v>
      </c>
      <c r="B4196" s="7" t="s">
        <v>118</v>
      </c>
      <c r="C4196" s="3"/>
      <c r="D4196" s="3" t="s">
        <v>730</v>
      </c>
      <c r="E4196" s="4"/>
      <c r="F4196" s="3" t="s">
        <v>120</v>
      </c>
      <c r="G4196" s="9">
        <v>200</v>
      </c>
      <c r="H4196" s="9">
        <v>200</v>
      </c>
      <c r="I4196" s="12"/>
      <c r="J4196" s="5" t="e">
        <f>SUM(SUMIFS(#REF!,#REF!,Planning[[#This Row],[Tipo de Tarea y especialidad]],#REF!,Planning[[#This Row],[Proyectos Reiwa]]),SUMIFS(#REF!,#REF!,Planning[[#This Row],[Tipo de Tarea y especialidad]],#REF!,Planning[[#This Row],[Proyectos]]))</f>
        <v>#REF!</v>
      </c>
      <c r="K4196" s="5" t="e">
        <f>+Planning[[#This Row],[Horas Planificadas]]+Planning[[#This Row],[Horas ajustadas adicionales]]-Planning[[#This Row],[Horas utilizadas]]</f>
        <v>#REF!</v>
      </c>
      <c r="L4196" s="7"/>
      <c r="M4196" s="19" t="e">
        <f>Planning[[#This Row],[Saldo]]-Planning[[#This Row],[Saldo estimado]]</f>
        <v>#REF!</v>
      </c>
      <c r="N4196" s="60" t="e">
        <f>+SUMIFS(#REF!,#REF!,Planning[[#This Row],[Proyectos]],#REF!,Planning[[#This Row],[Tipo de Tarea y especialidad]])</f>
        <v>#REF!</v>
      </c>
      <c r="O4196" s="19">
        <f t="shared" si="130"/>
        <v>10</v>
      </c>
      <c r="P4196" s="19">
        <f t="shared" si="131"/>
        <v>2024</v>
      </c>
      <c r="Q41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96" s="19" t="str">
        <f>TEXT(Planning[[#This Row],[Mes]]*29,"mmmm")</f>
        <v>October</v>
      </c>
      <c r="S41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96" s="193"/>
      <c r="U4196" s="43" t="e">
        <f>IF(Planning[[#This Row],[Horas Planificadas]]&lt;&gt;0,+K4196/Planning[[#This Row],[Horas Planificadas]],0)</f>
        <v>#REF!</v>
      </c>
      <c r="V4196" s="43" t="e">
        <f>IF(Planning[[#This Row],[Horas Planificadas]]&lt;&gt;0,Planning[[#This Row],[Horas utilizadas]]/Planning[[#This Row],[Horas Planificadas]],0)</f>
        <v>#REF!</v>
      </c>
      <c r="W4196" s="44">
        <f>Planning[[#This Row],[Horas Planificadas]]+Planning[[#This Row],[Horas ajustadas adicionales]]</f>
        <v>200</v>
      </c>
      <c r="X4196" s="142"/>
    </row>
    <row r="4197" spans="1:24" x14ac:dyDescent="0.2">
      <c r="A4197" s="7" t="s">
        <v>168</v>
      </c>
      <c r="B4197" s="7" t="s">
        <v>118</v>
      </c>
      <c r="C4197" s="3"/>
      <c r="D4197" s="3" t="s">
        <v>730</v>
      </c>
      <c r="E4197" s="4"/>
      <c r="F4197" s="3" t="s">
        <v>121</v>
      </c>
      <c r="G4197" s="9">
        <v>126</v>
      </c>
      <c r="H4197" s="9">
        <v>126</v>
      </c>
      <c r="I4197" s="12">
        <v>135</v>
      </c>
      <c r="J4197" s="5" t="e">
        <f>SUM(SUMIFS(#REF!,#REF!,Planning[[#This Row],[Tipo de Tarea y especialidad]],#REF!,Planning[[#This Row],[Proyectos Reiwa]]),SUMIFS(#REF!,#REF!,Planning[[#This Row],[Tipo de Tarea y especialidad]],#REF!,Planning[[#This Row],[Proyectos]]))</f>
        <v>#REF!</v>
      </c>
      <c r="K4197" s="5" t="e">
        <f>+Planning[[#This Row],[Horas Planificadas]]+Planning[[#This Row],[Horas ajustadas adicionales]]-Planning[[#This Row],[Horas utilizadas]]</f>
        <v>#REF!</v>
      </c>
      <c r="L4197" s="7">
        <v>27</v>
      </c>
      <c r="M4197" s="19" t="e">
        <f>Planning[[#This Row],[Saldo]]-Planning[[#This Row],[Saldo estimado]]</f>
        <v>#REF!</v>
      </c>
      <c r="N4197" s="60" t="e">
        <f>+SUMIFS(#REF!,#REF!,Planning[[#This Row],[Proyectos]],#REF!,Planning[[#This Row],[Tipo de Tarea y especialidad]])</f>
        <v>#REF!</v>
      </c>
      <c r="O4197" s="19">
        <f t="shared" si="130"/>
        <v>10</v>
      </c>
      <c r="P4197" s="19">
        <f t="shared" si="131"/>
        <v>2024</v>
      </c>
      <c r="Q41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97" s="19" t="str">
        <f>TEXT(Planning[[#This Row],[Mes]]*29,"mmmm")</f>
        <v>October</v>
      </c>
      <c r="S41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97" s="193"/>
      <c r="U4197" s="43" t="e">
        <f>IF(Planning[[#This Row],[Horas Planificadas]]&lt;&gt;0,+K4197/Planning[[#This Row],[Horas Planificadas]],0)</f>
        <v>#REF!</v>
      </c>
      <c r="V4197" s="43" t="e">
        <f>IF(Planning[[#This Row],[Horas Planificadas]]&lt;&gt;0,Planning[[#This Row],[Horas utilizadas]]/Planning[[#This Row],[Horas Planificadas]],0)</f>
        <v>#REF!</v>
      </c>
      <c r="W4197" s="44">
        <f>Planning[[#This Row],[Horas Planificadas]]+Planning[[#This Row],[Horas ajustadas adicionales]]</f>
        <v>261</v>
      </c>
      <c r="X4197" s="142"/>
    </row>
    <row r="4198" spans="1:24" x14ac:dyDescent="0.2">
      <c r="A4198" s="7" t="s">
        <v>168</v>
      </c>
      <c r="B4198" s="7" t="s">
        <v>118</v>
      </c>
      <c r="C4198" s="3"/>
      <c r="D4198" s="3" t="s">
        <v>730</v>
      </c>
      <c r="E4198" s="4" t="s">
        <v>30</v>
      </c>
      <c r="F4198" s="3"/>
      <c r="G4198" s="9"/>
      <c r="H4198" s="14">
        <f>SUM(H4199:H4205)</f>
        <v>1834</v>
      </c>
      <c r="I4198" s="14"/>
      <c r="J4198" s="14" t="e">
        <f>SUM(J4199:J4205)</f>
        <v>#REF!</v>
      </c>
      <c r="K4198" s="14" t="e">
        <f>+Planning[[#This Row],[Horas Planificadas]]+Planning[[#This Row],[Horas ajustadas adicionales]]-Planning[[#This Row],[Horas utilizadas]]</f>
        <v>#REF!</v>
      </c>
      <c r="L4198" s="15">
        <f>SUM(L4199:L4205)</f>
        <v>27</v>
      </c>
      <c r="M4198" s="16" t="e">
        <f>SUM(M4199:M4205)</f>
        <v>#REF!</v>
      </c>
      <c r="N4198" s="60" t="e">
        <f>+SUMIFS(#REF!,#REF!,Planning[[#This Row],[Proyectos]],#REF!,Planning[[#This Row],[Tipo de Tarea y especialidad]])</f>
        <v>#REF!</v>
      </c>
      <c r="O4198" s="16">
        <f t="shared" si="130"/>
        <v>10</v>
      </c>
      <c r="P4198" s="16">
        <f t="shared" si="131"/>
        <v>2024</v>
      </c>
      <c r="Q4198" s="16" t="e">
        <f>SUM(Q4199:Q4205)</f>
        <v>#REF!</v>
      </c>
      <c r="R4198" s="16" t="str">
        <f>TEXT(Planning[[#This Row],[Mes]]*29,"mmmm")</f>
        <v>October</v>
      </c>
      <c r="S41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98" s="193"/>
      <c r="U4198" s="43" t="e">
        <f>IF(Planning[[#This Row],[Horas Planificadas]]&lt;&gt;0,+K4198/Planning[[#This Row],[Horas Planificadas]],0)</f>
        <v>#REF!</v>
      </c>
      <c r="V4198" s="43" t="e">
        <f>IF(Planning[[#This Row],[Horas Planificadas]]&lt;&gt;0,Planning[[#This Row],[Horas utilizadas]]/Planning[[#This Row],[Horas Planificadas]],0)</f>
        <v>#REF!</v>
      </c>
      <c r="W4198" s="44">
        <f>Planning[[#This Row],[Horas Planificadas]]+Planning[[#This Row],[Horas ajustadas adicionales]]</f>
        <v>1834</v>
      </c>
      <c r="X4198" s="142"/>
    </row>
    <row r="4199" spans="1:24" x14ac:dyDescent="0.2">
      <c r="A4199" s="7" t="s">
        <v>168</v>
      </c>
      <c r="B4199" s="7" t="s">
        <v>118</v>
      </c>
      <c r="C4199" s="3"/>
      <c r="D4199" s="3" t="s">
        <v>730</v>
      </c>
      <c r="E4199" s="4"/>
      <c r="F4199" s="3" t="s">
        <v>122</v>
      </c>
      <c r="G4199" s="9">
        <v>518</v>
      </c>
      <c r="H4199" s="9">
        <v>518</v>
      </c>
      <c r="I4199" s="12">
        <v>18</v>
      </c>
      <c r="J4199" s="5" t="e">
        <f>SUM(SUMIFS(#REF!,#REF!,Planning[[#This Row],[Tipo de Tarea y especialidad]],#REF!,Planning[[#This Row],[Proyectos Reiwa]]),SUMIFS(#REF!,#REF!,Planning[[#This Row],[Tipo de Tarea y especialidad]],#REF!,Planning[[#This Row],[Proyectos]]))</f>
        <v>#REF!</v>
      </c>
      <c r="K4199" s="5" t="e">
        <f>+Planning[[#This Row],[Horas Planificadas]]+Planning[[#This Row],[Horas ajustadas adicionales]]-Planning[[#This Row],[Horas utilizadas]]</f>
        <v>#REF!</v>
      </c>
      <c r="L4199" s="7">
        <v>9</v>
      </c>
      <c r="M4199" s="19" t="e">
        <f>Planning[[#This Row],[Saldo]]-Planning[[#This Row],[Saldo estimado]]</f>
        <v>#REF!</v>
      </c>
      <c r="N4199" s="60" t="e">
        <f>+SUMIFS(#REF!,#REF!,Planning[[#This Row],[Proyectos]],#REF!,Planning[[#This Row],[Tipo de Tarea y especialidad]])</f>
        <v>#REF!</v>
      </c>
      <c r="O4199" s="19">
        <f t="shared" si="130"/>
        <v>10</v>
      </c>
      <c r="P4199" s="19">
        <f t="shared" si="131"/>
        <v>2024</v>
      </c>
      <c r="Q41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199" s="19" t="str">
        <f>TEXT(Planning[[#This Row],[Mes]]*29,"mmmm")</f>
        <v>October</v>
      </c>
      <c r="S41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199" s="193"/>
      <c r="U4199" s="43" t="e">
        <f>IF(Planning[[#This Row],[Horas Planificadas]]&lt;&gt;0,+K4199/Planning[[#This Row],[Horas Planificadas]],0)</f>
        <v>#REF!</v>
      </c>
      <c r="V4199" s="43" t="e">
        <f>IF(Planning[[#This Row],[Horas Planificadas]]&lt;&gt;0,Planning[[#This Row],[Horas utilizadas]]/Planning[[#This Row],[Horas Planificadas]],0)</f>
        <v>#REF!</v>
      </c>
      <c r="W4199" s="44">
        <f>Planning[[#This Row],[Horas Planificadas]]+Planning[[#This Row],[Horas ajustadas adicionales]]</f>
        <v>536</v>
      </c>
      <c r="X4199" s="142"/>
    </row>
    <row r="4200" spans="1:24" x14ac:dyDescent="0.2">
      <c r="A4200" s="7" t="s">
        <v>168</v>
      </c>
      <c r="B4200" s="7" t="s">
        <v>118</v>
      </c>
      <c r="C4200" s="3"/>
      <c r="D4200" s="3" t="s">
        <v>730</v>
      </c>
      <c r="E4200" s="4"/>
      <c r="F4200" s="3" t="s">
        <v>123</v>
      </c>
      <c r="G4200" s="9">
        <v>420</v>
      </c>
      <c r="H4200" s="9">
        <v>420</v>
      </c>
      <c r="I4200" s="12"/>
      <c r="J4200" s="5" t="e">
        <f>SUM(SUMIFS(#REF!,#REF!,Planning[[#This Row],[Tipo de Tarea y especialidad]],#REF!,Planning[[#This Row],[Proyectos Reiwa]]),SUMIFS(#REF!,#REF!,Planning[[#This Row],[Tipo de Tarea y especialidad]],#REF!,Planning[[#This Row],[Proyectos]]))</f>
        <v>#REF!</v>
      </c>
      <c r="K4200" s="5" t="e">
        <f>+Planning[[#This Row],[Horas Planificadas]]+Planning[[#This Row],[Horas ajustadas adicionales]]-Planning[[#This Row],[Horas utilizadas]]</f>
        <v>#REF!</v>
      </c>
      <c r="L4200" s="7"/>
      <c r="M4200" s="19" t="e">
        <f>Planning[[#This Row],[Saldo]]-Planning[[#This Row],[Saldo estimado]]</f>
        <v>#REF!</v>
      </c>
      <c r="N4200" s="60" t="e">
        <f>+SUMIFS(#REF!,#REF!,Planning[[#This Row],[Proyectos]],#REF!,Planning[[#This Row],[Tipo de Tarea y especialidad]])</f>
        <v>#REF!</v>
      </c>
      <c r="O4200" s="19">
        <f t="shared" si="130"/>
        <v>10</v>
      </c>
      <c r="P4200" s="19">
        <f t="shared" si="131"/>
        <v>2024</v>
      </c>
      <c r="Q42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00" s="19" t="str">
        <f>TEXT(Planning[[#This Row],[Mes]]*29,"mmmm")</f>
        <v>October</v>
      </c>
      <c r="S42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00" s="193"/>
      <c r="U4200" s="43" t="e">
        <f>IF(Planning[[#This Row],[Horas Planificadas]]&lt;&gt;0,+K4200/Planning[[#This Row],[Horas Planificadas]],0)</f>
        <v>#REF!</v>
      </c>
      <c r="V4200" s="43" t="e">
        <f>IF(Planning[[#This Row],[Horas Planificadas]]&lt;&gt;0,Planning[[#This Row],[Horas utilizadas]]/Planning[[#This Row],[Horas Planificadas]],0)</f>
        <v>#REF!</v>
      </c>
      <c r="W4200" s="44">
        <f>Planning[[#This Row],[Horas Planificadas]]+Planning[[#This Row],[Horas ajustadas adicionales]]</f>
        <v>420</v>
      </c>
      <c r="X4200" s="142"/>
    </row>
    <row r="4201" spans="1:24" x14ac:dyDescent="0.2">
      <c r="A4201" s="7" t="s">
        <v>168</v>
      </c>
      <c r="B4201" s="7" t="s">
        <v>118</v>
      </c>
      <c r="C4201" s="3"/>
      <c r="D4201" s="3" t="s">
        <v>730</v>
      </c>
      <c r="E4201" s="4"/>
      <c r="F4201" s="3" t="s">
        <v>124</v>
      </c>
      <c r="G4201" s="9">
        <v>81</v>
      </c>
      <c r="H4201" s="9">
        <v>81</v>
      </c>
      <c r="I4201" s="12"/>
      <c r="J4201" s="5" t="e">
        <f>SUM(SUMIFS(#REF!,#REF!,Planning[[#This Row],[Tipo de Tarea y especialidad]],#REF!,Planning[[#This Row],[Proyectos Reiwa]]),SUMIFS(#REF!,#REF!,Planning[[#This Row],[Tipo de Tarea y especialidad]],#REF!,Planning[[#This Row],[Proyectos]]))</f>
        <v>#REF!</v>
      </c>
      <c r="K4201" s="5" t="e">
        <f>+Planning[[#This Row],[Horas Planificadas]]+Planning[[#This Row],[Horas ajustadas adicionales]]-Planning[[#This Row],[Horas utilizadas]]</f>
        <v>#REF!</v>
      </c>
      <c r="L4201" s="7"/>
      <c r="M4201" s="19" t="e">
        <f>Planning[[#This Row],[Saldo]]-Planning[[#This Row],[Saldo estimado]]</f>
        <v>#REF!</v>
      </c>
      <c r="N4201" s="60" t="e">
        <f>+SUMIFS(#REF!,#REF!,Planning[[#This Row],[Proyectos]],#REF!,Planning[[#This Row],[Tipo de Tarea y especialidad]])</f>
        <v>#REF!</v>
      </c>
      <c r="O4201" s="19">
        <f t="shared" si="130"/>
        <v>10</v>
      </c>
      <c r="P4201" s="19">
        <f t="shared" si="131"/>
        <v>2024</v>
      </c>
      <c r="Q42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01" s="19" t="str">
        <f>TEXT(Planning[[#This Row],[Mes]]*29,"mmmm")</f>
        <v>October</v>
      </c>
      <c r="S42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01" s="193"/>
      <c r="U4201" s="43" t="e">
        <f>IF(Planning[[#This Row],[Horas Planificadas]]&lt;&gt;0,+K4201/Planning[[#This Row],[Horas Planificadas]],0)</f>
        <v>#REF!</v>
      </c>
      <c r="V4201" s="43" t="e">
        <f>IF(Planning[[#This Row],[Horas Planificadas]]&lt;&gt;0,Planning[[#This Row],[Horas utilizadas]]/Planning[[#This Row],[Horas Planificadas]],0)</f>
        <v>#REF!</v>
      </c>
      <c r="W4201" s="44">
        <f>Planning[[#This Row],[Horas Planificadas]]+Planning[[#This Row],[Horas ajustadas adicionales]]</f>
        <v>81</v>
      </c>
      <c r="X4201" s="142"/>
    </row>
    <row r="4202" spans="1:24" x14ac:dyDescent="0.2">
      <c r="A4202" s="7" t="s">
        <v>168</v>
      </c>
      <c r="B4202" s="7" t="s">
        <v>118</v>
      </c>
      <c r="C4202" s="3"/>
      <c r="D4202" s="3" t="s">
        <v>730</v>
      </c>
      <c r="E4202" s="4"/>
      <c r="F4202" s="3" t="s">
        <v>125</v>
      </c>
      <c r="G4202" s="9">
        <v>180</v>
      </c>
      <c r="H4202" s="9">
        <v>256</v>
      </c>
      <c r="I4202" s="12">
        <v>27</v>
      </c>
      <c r="J4202" s="5" t="e">
        <f>SUM(SUMIFS(#REF!,#REF!,Planning[[#This Row],[Tipo de Tarea y especialidad]],#REF!,Planning[[#This Row],[Proyectos Reiwa]]),SUMIFS(#REF!,#REF!,Planning[[#This Row],[Tipo de Tarea y especialidad]],#REF!,Planning[[#This Row],[Proyectos]]))</f>
        <v>#REF!</v>
      </c>
      <c r="K4202" s="5" t="e">
        <f>+Planning[[#This Row],[Horas Planificadas]]+Planning[[#This Row],[Horas ajustadas adicionales]]-Planning[[#This Row],[Horas utilizadas]]</f>
        <v>#REF!</v>
      </c>
      <c r="L4202" s="7">
        <v>18</v>
      </c>
      <c r="M4202" s="19" t="e">
        <f>Planning[[#This Row],[Saldo]]-Planning[[#This Row],[Saldo estimado]]</f>
        <v>#REF!</v>
      </c>
      <c r="N4202" s="60" t="e">
        <f>+SUMIFS(#REF!,#REF!,Planning[[#This Row],[Proyectos]],#REF!,Planning[[#This Row],[Tipo de Tarea y especialidad]])</f>
        <v>#REF!</v>
      </c>
      <c r="O4202" s="19">
        <f t="shared" si="130"/>
        <v>10</v>
      </c>
      <c r="P4202" s="19">
        <f t="shared" si="131"/>
        <v>2024</v>
      </c>
      <c r="Q42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02" s="19" t="str">
        <f>TEXT(Planning[[#This Row],[Mes]]*29,"mmmm")</f>
        <v>October</v>
      </c>
      <c r="S42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02" s="193"/>
      <c r="U4202" s="43" t="e">
        <f>IF(Planning[[#This Row],[Horas Planificadas]]&lt;&gt;0,+K4202/Planning[[#This Row],[Horas Planificadas]],0)</f>
        <v>#REF!</v>
      </c>
      <c r="V4202" s="43" t="e">
        <f>IF(Planning[[#This Row],[Horas Planificadas]]&lt;&gt;0,Planning[[#This Row],[Horas utilizadas]]/Planning[[#This Row],[Horas Planificadas]],0)</f>
        <v>#REF!</v>
      </c>
      <c r="W4202" s="44">
        <f>Planning[[#This Row],[Horas Planificadas]]+Planning[[#This Row],[Horas ajustadas adicionales]]</f>
        <v>283</v>
      </c>
      <c r="X4202" s="142"/>
    </row>
    <row r="4203" spans="1:24" x14ac:dyDescent="0.2">
      <c r="A4203" s="7" t="s">
        <v>168</v>
      </c>
      <c r="B4203" s="7" t="s">
        <v>118</v>
      </c>
      <c r="C4203" s="3"/>
      <c r="D4203" s="3" t="s">
        <v>730</v>
      </c>
      <c r="E4203" s="4"/>
      <c r="F4203" s="3" t="s">
        <v>126</v>
      </c>
      <c r="G4203" s="9">
        <v>250</v>
      </c>
      <c r="H4203" s="9">
        <v>250</v>
      </c>
      <c r="I4203" s="12">
        <v>100</v>
      </c>
      <c r="J4203" s="5" t="e">
        <f>SUM(SUMIFS(#REF!,#REF!,Planning[[#This Row],[Tipo de Tarea y especialidad]],#REF!,Planning[[#This Row],[Proyectos Reiwa]]),SUMIFS(#REF!,#REF!,Planning[[#This Row],[Tipo de Tarea y especialidad]],#REF!,Planning[[#This Row],[Proyectos]]))</f>
        <v>#REF!</v>
      </c>
      <c r="K4203" s="5" t="e">
        <f>+Planning[[#This Row],[Horas Planificadas]]+Planning[[#This Row],[Horas ajustadas adicionales]]-Planning[[#This Row],[Horas utilizadas]]</f>
        <v>#REF!</v>
      </c>
      <c r="L4203" s="7"/>
      <c r="M4203" s="19" t="e">
        <f>Planning[[#This Row],[Saldo]]-Planning[[#This Row],[Saldo estimado]]</f>
        <v>#REF!</v>
      </c>
      <c r="N4203" s="60" t="e">
        <f>+SUMIFS(#REF!,#REF!,Planning[[#This Row],[Proyectos]],#REF!,Planning[[#This Row],[Tipo de Tarea y especialidad]])</f>
        <v>#REF!</v>
      </c>
      <c r="O4203" s="19">
        <f t="shared" si="130"/>
        <v>10</v>
      </c>
      <c r="P4203" s="19">
        <f t="shared" si="131"/>
        <v>2024</v>
      </c>
      <c r="Q42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03" s="19" t="str">
        <f>TEXT(Planning[[#This Row],[Mes]]*29,"mmmm")</f>
        <v>October</v>
      </c>
      <c r="S42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03" s="193"/>
      <c r="U4203" s="43" t="e">
        <f>IF(Planning[[#This Row],[Horas Planificadas]]&lt;&gt;0,+K4203/Planning[[#This Row],[Horas Planificadas]],0)</f>
        <v>#REF!</v>
      </c>
      <c r="V4203" s="43" t="e">
        <f>IF(Planning[[#This Row],[Horas Planificadas]]&lt;&gt;0,Planning[[#This Row],[Horas utilizadas]]/Planning[[#This Row],[Horas Planificadas]],0)</f>
        <v>#REF!</v>
      </c>
      <c r="W4203" s="44">
        <f>Planning[[#This Row],[Horas Planificadas]]+Planning[[#This Row],[Horas ajustadas adicionales]]</f>
        <v>350</v>
      </c>
      <c r="X4203" s="142"/>
    </row>
    <row r="4204" spans="1:24" x14ac:dyDescent="0.2">
      <c r="A4204" s="7" t="s">
        <v>168</v>
      </c>
      <c r="B4204" s="7" t="s">
        <v>118</v>
      </c>
      <c r="C4204" s="3"/>
      <c r="D4204" s="3" t="s">
        <v>730</v>
      </c>
      <c r="E4204" s="4"/>
      <c r="F4204" s="3" t="s">
        <v>127</v>
      </c>
      <c r="G4204" s="9">
        <v>309</v>
      </c>
      <c r="H4204" s="9">
        <v>309</v>
      </c>
      <c r="I4204" s="12">
        <v>50</v>
      </c>
      <c r="J4204" s="5" t="e">
        <f>SUM(SUMIFS(#REF!,#REF!,Planning[[#This Row],[Tipo de Tarea y especialidad]],#REF!,Planning[[#This Row],[Proyectos Reiwa]]),SUMIFS(#REF!,#REF!,Planning[[#This Row],[Tipo de Tarea y especialidad]],#REF!,Planning[[#This Row],[Proyectos]]))</f>
        <v>#REF!</v>
      </c>
      <c r="K4204" s="5" t="e">
        <f>+Planning[[#This Row],[Horas Planificadas]]+Planning[[#This Row],[Horas ajustadas adicionales]]-Planning[[#This Row],[Horas utilizadas]]</f>
        <v>#REF!</v>
      </c>
      <c r="L4204" s="7"/>
      <c r="M4204" s="19" t="e">
        <f>Planning[[#This Row],[Saldo]]-Planning[[#This Row],[Saldo estimado]]</f>
        <v>#REF!</v>
      </c>
      <c r="N4204" s="60" t="e">
        <f>+SUMIFS(#REF!,#REF!,Planning[[#This Row],[Proyectos]],#REF!,Planning[[#This Row],[Tipo de Tarea y especialidad]])</f>
        <v>#REF!</v>
      </c>
      <c r="O4204" s="19">
        <f t="shared" si="130"/>
        <v>10</v>
      </c>
      <c r="P4204" s="19">
        <f t="shared" si="131"/>
        <v>2024</v>
      </c>
      <c r="Q42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04" s="19" t="str">
        <f>TEXT(Planning[[#This Row],[Mes]]*29,"mmmm")</f>
        <v>October</v>
      </c>
      <c r="S42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04" s="193"/>
      <c r="U4204" s="43" t="e">
        <f>IF(Planning[[#This Row],[Horas Planificadas]]&lt;&gt;0,+K4204/Planning[[#This Row],[Horas Planificadas]],0)</f>
        <v>#REF!</v>
      </c>
      <c r="V4204" s="43" t="e">
        <f>IF(Planning[[#This Row],[Horas Planificadas]]&lt;&gt;0,Planning[[#This Row],[Horas utilizadas]]/Planning[[#This Row],[Horas Planificadas]],0)</f>
        <v>#REF!</v>
      </c>
      <c r="W4204" s="44">
        <f>Planning[[#This Row],[Horas Planificadas]]+Planning[[#This Row],[Horas ajustadas adicionales]]</f>
        <v>359</v>
      </c>
      <c r="X4204" s="142"/>
    </row>
    <row r="4205" spans="1:24" x14ac:dyDescent="0.2">
      <c r="A4205" s="7" t="s">
        <v>168</v>
      </c>
      <c r="B4205" s="7" t="s">
        <v>118</v>
      </c>
      <c r="C4205" s="3"/>
      <c r="D4205" s="3" t="s">
        <v>730</v>
      </c>
      <c r="E4205" s="4"/>
      <c r="F4205" s="3" t="s">
        <v>128</v>
      </c>
      <c r="G4205" s="9"/>
      <c r="H4205" s="9"/>
      <c r="I4205" s="12"/>
      <c r="J4205" s="5" t="e">
        <f>SUM(SUMIFS(#REF!,#REF!,Planning[[#This Row],[Tipo de Tarea y especialidad]],#REF!,Planning[[#This Row],[Proyectos Reiwa]]),SUMIFS(#REF!,#REF!,Planning[[#This Row],[Tipo de Tarea y especialidad]],#REF!,Planning[[#This Row],[Proyectos]]))</f>
        <v>#REF!</v>
      </c>
      <c r="K4205" s="5" t="e">
        <f>+Planning[[#This Row],[Horas Planificadas]]+Planning[[#This Row],[Horas ajustadas adicionales]]-Planning[[#This Row],[Horas utilizadas]]</f>
        <v>#REF!</v>
      </c>
      <c r="L4205" s="7"/>
      <c r="M4205" s="19" t="e">
        <f>Planning[[#This Row],[Saldo]]-Planning[[#This Row],[Saldo estimado]]</f>
        <v>#REF!</v>
      </c>
      <c r="N4205" s="60" t="e">
        <f>+SUMIFS(#REF!,#REF!,Planning[[#This Row],[Proyectos]],#REF!,Planning[[#This Row],[Tipo de Tarea y especialidad]])</f>
        <v>#REF!</v>
      </c>
      <c r="O4205" s="19">
        <f t="shared" si="130"/>
        <v>10</v>
      </c>
      <c r="P4205" s="19">
        <f t="shared" si="131"/>
        <v>2024</v>
      </c>
      <c r="Q42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05" s="19" t="str">
        <f>TEXT(Planning[[#This Row],[Mes]]*29,"mmmm")</f>
        <v>October</v>
      </c>
      <c r="S42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05" s="193"/>
      <c r="U4205" s="43">
        <f>IF(Planning[[#This Row],[Horas Planificadas]]&lt;&gt;0,+K4205/Planning[[#This Row],[Horas Planificadas]],0)</f>
        <v>0</v>
      </c>
      <c r="V4205" s="43">
        <f>IF(Planning[[#This Row],[Horas Planificadas]]&lt;&gt;0,Planning[[#This Row],[Horas utilizadas]]/Planning[[#This Row],[Horas Planificadas]],0)</f>
        <v>0</v>
      </c>
      <c r="W4205" s="44">
        <f>Planning[[#This Row],[Horas Planificadas]]+Planning[[#This Row],[Horas ajustadas adicionales]]</f>
        <v>0</v>
      </c>
      <c r="X4205" s="142"/>
    </row>
    <row r="4206" spans="1:24" x14ac:dyDescent="0.2">
      <c r="A4206" s="7" t="s">
        <v>168</v>
      </c>
      <c r="B4206" s="7" t="s">
        <v>118</v>
      </c>
      <c r="C4206" s="3"/>
      <c r="D4206" s="3" t="s">
        <v>730</v>
      </c>
      <c r="E4206" s="4" t="s">
        <v>31</v>
      </c>
      <c r="F4206" s="3" t="s">
        <v>31</v>
      </c>
      <c r="G4206" s="9"/>
      <c r="H4206" s="17"/>
      <c r="I4206" s="18"/>
      <c r="J4206" s="14" t="e">
        <f>+SUMIFS(#REF!,#REF!,Planning[[#This Row],[Tarifa]],#REF!,Planning[[#This Row],[Proyectos]])</f>
        <v>#REF!</v>
      </c>
      <c r="K4206" s="14" t="e">
        <f>+Planning[[#This Row],[Horas Planificadas]]+Planning[[#This Row],[Horas ajustadas adicionales]]-Planning[[#This Row],[Horas utilizadas]]</f>
        <v>#REF!</v>
      </c>
      <c r="L4206" s="15" t="e">
        <f>Planning[[#This Row],[Saldo]]</f>
        <v>#REF!</v>
      </c>
      <c r="M4206" s="16" t="e">
        <f>Planning[[#This Row],[Saldo]]-Planning[[#This Row],[Saldo estimado]]</f>
        <v>#REF!</v>
      </c>
      <c r="N4206" s="60" t="e">
        <f>+SUMIFS(#REF!,#REF!,Planning[[#This Row],[Proyectos]],#REF!,Planning[[#This Row],[Tipo de Tarea y especialidad]])</f>
        <v>#REF!</v>
      </c>
      <c r="O4206" s="16">
        <f t="shared" si="130"/>
        <v>10</v>
      </c>
      <c r="P4206" s="16">
        <f t="shared" si="131"/>
        <v>2024</v>
      </c>
      <c r="Q4206" s="16" t="e">
        <f>+SUMIFS(#REF!,#REF!,Planning[[#This Row],[Tarifa]],#REF!,Planning[[#This Row],[Proyectos]],#REF!,Planning[[#This Row],[Mes]],#REF!,Planning[[#This Row],[Año]])</f>
        <v>#REF!</v>
      </c>
      <c r="R4206" s="16" t="str">
        <f>TEXT(Planning[[#This Row],[Mes]]*29,"mmmm")</f>
        <v>October</v>
      </c>
      <c r="S42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06" s="193"/>
      <c r="U4206" s="43">
        <f>IF(Planning[[#This Row],[Horas Planificadas]]&lt;&gt;0,+K4206/Planning[[#This Row],[Horas Planificadas]],0)</f>
        <v>0</v>
      </c>
      <c r="V4206" s="43">
        <f>IF(Planning[[#This Row],[Horas Planificadas]]&lt;&gt;0,Planning[[#This Row],[Horas utilizadas]]/Planning[[#This Row],[Horas Planificadas]],0)</f>
        <v>0</v>
      </c>
      <c r="W4206" s="44">
        <f>Planning[[#This Row],[Horas Planificadas]]+Planning[[#This Row],[Horas ajustadas adicionales]]</f>
        <v>0</v>
      </c>
      <c r="X4206" s="142"/>
    </row>
    <row r="4207" spans="1:24" ht="22.5" x14ac:dyDescent="0.2">
      <c r="A4207" s="7" t="s">
        <v>168</v>
      </c>
      <c r="B4207" s="7" t="s">
        <v>118</v>
      </c>
      <c r="C4207" s="3"/>
      <c r="D4207" s="3" t="s">
        <v>730</v>
      </c>
      <c r="E4207" s="4" t="s">
        <v>32</v>
      </c>
      <c r="F4207" s="3"/>
      <c r="G4207" s="9"/>
      <c r="H4207" s="14">
        <f>SUM(H4208:H4210)</f>
        <v>1000</v>
      </c>
      <c r="I4207" s="14"/>
      <c r="J4207" s="14" t="e">
        <f>SUM(J4208:J4210)</f>
        <v>#REF!</v>
      </c>
      <c r="K4207" s="14" t="e">
        <f>+Planning[[#This Row],[Horas Planificadas]]+Planning[[#This Row],[Horas ajustadas adicionales]]-Planning[[#This Row],[Horas utilizadas]]</f>
        <v>#REF!</v>
      </c>
      <c r="L4207" s="15">
        <f>SUM(L4208:L4210)</f>
        <v>100</v>
      </c>
      <c r="M4207" s="16" t="e">
        <f>SUM(M4208:M4210)</f>
        <v>#REF!</v>
      </c>
      <c r="N4207" s="60" t="e">
        <f>+SUMIFS(#REF!,#REF!,Planning[[#This Row],[Proyectos]],#REF!,Planning[[#This Row],[Tipo de Tarea y especialidad]])</f>
        <v>#REF!</v>
      </c>
      <c r="O4207" s="16">
        <f t="shared" si="130"/>
        <v>10</v>
      </c>
      <c r="P4207" s="16">
        <f t="shared" si="131"/>
        <v>2024</v>
      </c>
      <c r="Q4207" s="16" t="e">
        <f>SUM(Q4208:Q4210)</f>
        <v>#REF!</v>
      </c>
      <c r="R4207" s="16" t="str">
        <f>TEXT(Planning[[#This Row],[Mes]]*29,"mmmm")</f>
        <v>October</v>
      </c>
      <c r="S42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07" s="193"/>
      <c r="U4207" s="43" t="e">
        <f>IF(Planning[[#This Row],[Horas Planificadas]]&lt;&gt;0,+K4207/Planning[[#This Row],[Horas Planificadas]],0)</f>
        <v>#REF!</v>
      </c>
      <c r="V4207" s="43" t="e">
        <f>IF(Planning[[#This Row],[Horas Planificadas]]&lt;&gt;0,Planning[[#This Row],[Horas utilizadas]]/Planning[[#This Row],[Horas Planificadas]],0)</f>
        <v>#REF!</v>
      </c>
      <c r="W4207" s="44">
        <f>Planning[[#This Row],[Horas Planificadas]]+Planning[[#This Row],[Horas ajustadas adicionales]]</f>
        <v>1000</v>
      </c>
      <c r="X4207" s="142"/>
    </row>
    <row r="4208" spans="1:24" x14ac:dyDescent="0.2">
      <c r="A4208" s="7" t="s">
        <v>168</v>
      </c>
      <c r="B4208" s="7" t="s">
        <v>118</v>
      </c>
      <c r="C4208" s="3"/>
      <c r="D4208" s="3" t="s">
        <v>730</v>
      </c>
      <c r="E4208" s="4"/>
      <c r="F4208" s="3" t="s">
        <v>129</v>
      </c>
      <c r="G4208" s="9">
        <v>480</v>
      </c>
      <c r="H4208" s="9">
        <v>480</v>
      </c>
      <c r="I4208" s="12">
        <v>200</v>
      </c>
      <c r="J4208" s="5" t="e">
        <f>SUM(SUMIFS(#REF!,#REF!,Planning[[#This Row],[Tipo de Tarea y especialidad]],#REF!,Planning[[#This Row],[Proyectos Reiwa]]),SUMIFS(#REF!,#REF!,Planning[[#This Row],[Tipo de Tarea y especialidad]],#REF!,Planning[[#This Row],[Proyectos]]))</f>
        <v>#REF!</v>
      </c>
      <c r="K4208" s="5" t="e">
        <f>+Planning[[#This Row],[Horas Planificadas]]+Planning[[#This Row],[Horas ajustadas adicionales]]-Planning[[#This Row],[Horas utilizadas]]</f>
        <v>#REF!</v>
      </c>
      <c r="L4208" s="7">
        <v>50</v>
      </c>
      <c r="M4208" s="19" t="e">
        <f>Planning[[#This Row],[Saldo]]-Planning[[#This Row],[Saldo estimado]]</f>
        <v>#REF!</v>
      </c>
      <c r="N4208" s="60" t="e">
        <f>+SUMIFS(#REF!,#REF!,Planning[[#This Row],[Proyectos]],#REF!,Planning[[#This Row],[Tipo de Tarea y especialidad]])</f>
        <v>#REF!</v>
      </c>
      <c r="O4208" s="19">
        <f t="shared" si="130"/>
        <v>10</v>
      </c>
      <c r="P4208" s="19">
        <f t="shared" si="131"/>
        <v>2024</v>
      </c>
      <c r="Q42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08" s="19" t="str">
        <f>TEXT(Planning[[#This Row],[Mes]]*29,"mmmm")</f>
        <v>October</v>
      </c>
      <c r="S42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08" s="193"/>
      <c r="U4208" s="43" t="e">
        <f>IF(Planning[[#This Row],[Horas Planificadas]]&lt;&gt;0,+K4208/Planning[[#This Row],[Horas Planificadas]],0)</f>
        <v>#REF!</v>
      </c>
      <c r="V4208" s="43" t="e">
        <f>IF(Planning[[#This Row],[Horas Planificadas]]&lt;&gt;0,Planning[[#This Row],[Horas utilizadas]]/Planning[[#This Row],[Horas Planificadas]],0)</f>
        <v>#REF!</v>
      </c>
      <c r="W4208" s="44">
        <f>Planning[[#This Row],[Horas Planificadas]]+Planning[[#This Row],[Horas ajustadas adicionales]]</f>
        <v>680</v>
      </c>
      <c r="X4208" s="142"/>
    </row>
    <row r="4209" spans="1:24" x14ac:dyDescent="0.2">
      <c r="A4209" s="7" t="s">
        <v>168</v>
      </c>
      <c r="B4209" s="7" t="s">
        <v>118</v>
      </c>
      <c r="C4209" s="3"/>
      <c r="D4209" s="3" t="s">
        <v>730</v>
      </c>
      <c r="E4209" s="4"/>
      <c r="F4209" s="3" t="s">
        <v>130</v>
      </c>
      <c r="G4209" s="9">
        <v>440</v>
      </c>
      <c r="H4209" s="9">
        <v>400</v>
      </c>
      <c r="I4209" s="12">
        <v>80</v>
      </c>
      <c r="J4209" s="5" t="e">
        <f>SUM(SUMIFS(#REF!,#REF!,Planning[[#This Row],[Tipo de Tarea y especialidad]],#REF!,Planning[[#This Row],[Proyectos Reiwa]]),SUMIFS(#REF!,#REF!,Planning[[#This Row],[Tipo de Tarea y especialidad]],#REF!,Planning[[#This Row],[Proyectos]]))</f>
        <v>#REF!</v>
      </c>
      <c r="K4209" s="5" t="e">
        <f>+Planning[[#This Row],[Horas Planificadas]]+Planning[[#This Row],[Horas ajustadas adicionales]]-Planning[[#This Row],[Horas utilizadas]]</f>
        <v>#REF!</v>
      </c>
      <c r="L4209" s="7">
        <v>50</v>
      </c>
      <c r="M4209" s="19" t="e">
        <f>Planning[[#This Row],[Saldo]]-Planning[[#This Row],[Saldo estimado]]</f>
        <v>#REF!</v>
      </c>
      <c r="N4209" s="60" t="e">
        <f>+SUMIFS(#REF!,#REF!,Planning[[#This Row],[Proyectos]],#REF!,Planning[[#This Row],[Tipo de Tarea y especialidad]])</f>
        <v>#REF!</v>
      </c>
      <c r="O4209" s="19">
        <f t="shared" si="130"/>
        <v>10</v>
      </c>
      <c r="P4209" s="19">
        <f t="shared" si="131"/>
        <v>2024</v>
      </c>
      <c r="Q42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09" s="19" t="str">
        <f>TEXT(Planning[[#This Row],[Mes]]*29,"mmmm")</f>
        <v>October</v>
      </c>
      <c r="S42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09" s="193"/>
      <c r="U4209" s="43" t="e">
        <f>IF(Planning[[#This Row],[Horas Planificadas]]&lt;&gt;0,+K4209/Planning[[#This Row],[Horas Planificadas]],0)</f>
        <v>#REF!</v>
      </c>
      <c r="V4209" s="43" t="e">
        <f>IF(Planning[[#This Row],[Horas Planificadas]]&lt;&gt;0,Planning[[#This Row],[Horas utilizadas]]/Planning[[#This Row],[Horas Planificadas]],0)</f>
        <v>#REF!</v>
      </c>
      <c r="W4209" s="44">
        <f>Planning[[#This Row],[Horas Planificadas]]+Planning[[#This Row],[Horas ajustadas adicionales]]</f>
        <v>480</v>
      </c>
      <c r="X4209" s="142"/>
    </row>
    <row r="4210" spans="1:24" x14ac:dyDescent="0.2">
      <c r="A4210" s="7" t="s">
        <v>168</v>
      </c>
      <c r="B4210" s="7" t="s">
        <v>118</v>
      </c>
      <c r="C4210" s="3"/>
      <c r="D4210" s="3" t="s">
        <v>730</v>
      </c>
      <c r="E4210" s="4"/>
      <c r="F4210" s="3" t="s">
        <v>131</v>
      </c>
      <c r="G4210" s="9">
        <v>120</v>
      </c>
      <c r="H4210" s="9">
        <v>120</v>
      </c>
      <c r="I4210" s="12"/>
      <c r="J4210" s="5" t="e">
        <f>SUM(SUMIFS(#REF!,#REF!,Planning[[#This Row],[Tipo de Tarea y especialidad]],#REF!,Planning[[#This Row],[Proyectos Reiwa]]),SUMIFS(#REF!,#REF!,Planning[[#This Row],[Tipo de Tarea y especialidad]],#REF!,Planning[[#This Row],[Proyectos]]))</f>
        <v>#REF!</v>
      </c>
      <c r="K4210" s="5" t="e">
        <f>+Planning[[#This Row],[Horas Planificadas]]+Planning[[#This Row],[Horas ajustadas adicionales]]-Planning[[#This Row],[Horas utilizadas]]</f>
        <v>#REF!</v>
      </c>
      <c r="L4210" s="7"/>
      <c r="M4210" s="19" t="e">
        <f>Planning[[#This Row],[Saldo]]-Planning[[#This Row],[Saldo estimado]]</f>
        <v>#REF!</v>
      </c>
      <c r="N4210" s="60" t="e">
        <f>+SUMIFS(#REF!,#REF!,Planning[[#This Row],[Proyectos]],#REF!,Planning[[#This Row],[Tipo de Tarea y especialidad]])</f>
        <v>#REF!</v>
      </c>
      <c r="O4210" s="19">
        <f t="shared" si="130"/>
        <v>10</v>
      </c>
      <c r="P4210" s="19">
        <f t="shared" si="131"/>
        <v>2024</v>
      </c>
      <c r="Q42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10" s="19" t="str">
        <f>TEXT(Planning[[#This Row],[Mes]]*29,"mmmm")</f>
        <v>October</v>
      </c>
      <c r="S42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10" s="193"/>
      <c r="U4210" s="43" t="e">
        <f>IF(Planning[[#This Row],[Horas Planificadas]]&lt;&gt;0,+K4210/Planning[[#This Row],[Horas Planificadas]],0)</f>
        <v>#REF!</v>
      </c>
      <c r="V4210" s="43" t="e">
        <f>IF(Planning[[#This Row],[Horas Planificadas]]&lt;&gt;0,Planning[[#This Row],[Horas utilizadas]]/Planning[[#This Row],[Horas Planificadas]],0)</f>
        <v>#REF!</v>
      </c>
      <c r="W4210" s="44">
        <f>Planning[[#This Row],[Horas Planificadas]]+Planning[[#This Row],[Horas ajustadas adicionales]]</f>
        <v>120</v>
      </c>
      <c r="X4210" s="142"/>
    </row>
    <row r="4211" spans="1:24" ht="12.75" customHeight="1" x14ac:dyDescent="0.2">
      <c r="A4211" s="7" t="s">
        <v>626</v>
      </c>
      <c r="B4211" s="7" t="s">
        <v>169</v>
      </c>
      <c r="C4211" s="3"/>
      <c r="D4211" s="3" t="s">
        <v>732</v>
      </c>
      <c r="E4211" s="4" t="s">
        <v>28</v>
      </c>
      <c r="F4211" s="3"/>
      <c r="G4211" s="9">
        <v>0</v>
      </c>
      <c r="H4211" s="14">
        <f>SUM(H4212:H4213)</f>
        <v>0</v>
      </c>
      <c r="I4211" s="14"/>
      <c r="J4211" s="14" t="e">
        <f>SUM(J4212:J4213)</f>
        <v>#REF!</v>
      </c>
      <c r="K4211" s="14" t="e">
        <f>+Planning[[#This Row],[Horas Planificadas]]+Planning[[#This Row],[Horas ajustadas adicionales]]-Planning[[#This Row],[Horas utilizadas]]</f>
        <v>#REF!</v>
      </c>
      <c r="L4211" s="15" t="e">
        <f>SUM(L4212:L4213)</f>
        <v>#REF!</v>
      </c>
      <c r="M4211" s="14" t="e">
        <f>SUM(M4212:M4213)</f>
        <v>#REF!</v>
      </c>
      <c r="N4211" s="66" t="e">
        <f>+SUMIFS(#REF!,#REF!,Planning[[#This Row],[Proyectos]],#REF!,Planning[[#This Row],[Tipo de Tarea y especialidad]])</f>
        <v>#REF!</v>
      </c>
      <c r="O4211" s="14">
        <f t="shared" si="130"/>
        <v>10</v>
      </c>
      <c r="P4211" s="14">
        <f t="shared" si="131"/>
        <v>2024</v>
      </c>
      <c r="Q4211" s="28" t="e">
        <f>SUM(Q4212:Q4213)</f>
        <v>#REF!</v>
      </c>
      <c r="R4211" s="28" t="str">
        <f>TEXT(Planning[[#This Row],[Mes]]*29,"mmmm")</f>
        <v>October</v>
      </c>
      <c r="S42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11" s="192" t="s">
        <v>733</v>
      </c>
      <c r="U4211" s="43">
        <f>IF(Planning[[#This Row],[Horas Planificadas]]&lt;&gt;0,+K4211/Planning[[#This Row],[Horas Planificadas]],0)</f>
        <v>0</v>
      </c>
      <c r="V4211" s="43">
        <f>IF(Planning[[#This Row],[Horas Planificadas]]&lt;&gt;0,Planning[[#This Row],[Horas utilizadas]]/Planning[[#This Row],[Horas Planificadas]],0)</f>
        <v>0</v>
      </c>
      <c r="W4211" s="44">
        <f>Planning[[#This Row],[Horas Planificadas]]+Planning[[#This Row],[Horas ajustadas adicionales]]</f>
        <v>0</v>
      </c>
      <c r="X4211" s="142"/>
    </row>
    <row r="4212" spans="1:24" x14ac:dyDescent="0.2">
      <c r="A4212" s="7" t="s">
        <v>626</v>
      </c>
      <c r="B4212" s="7" t="s">
        <v>169</v>
      </c>
      <c r="C4212" s="3"/>
      <c r="D4212" s="3" t="s">
        <v>732</v>
      </c>
      <c r="E4212" s="4"/>
      <c r="F4212" s="3" t="s">
        <v>120</v>
      </c>
      <c r="G4212" s="9">
        <v>0</v>
      </c>
      <c r="H4212" s="9">
        <v>0</v>
      </c>
      <c r="I4212" s="12"/>
      <c r="J4212" s="5" t="e">
        <f>SUM(SUMIFS(#REF!,#REF!,Planning[[#This Row],[Tipo de Tarea y especialidad]],#REF!,Planning[[#This Row],[Proyectos Reiwa]]),SUMIFS(#REF!,#REF!,Planning[[#This Row],[Tipo de Tarea y especialidad]],#REF!,Planning[[#This Row],[Proyectos]]))</f>
        <v>#REF!</v>
      </c>
      <c r="K4212" s="5" t="e">
        <f>+Planning[[#This Row],[Horas Planificadas]]+Planning[[#This Row],[Horas ajustadas adicionales]]-Planning[[#This Row],[Horas utilizadas]]</f>
        <v>#REF!</v>
      </c>
      <c r="L4212" s="7" t="e">
        <f>Planning[[#This Row],[Saldo]]</f>
        <v>#REF!</v>
      </c>
      <c r="M4212" s="19" t="e">
        <f>Planning[[#This Row],[Saldo]]-Planning[[#This Row],[Saldo estimado]]</f>
        <v>#REF!</v>
      </c>
      <c r="N4212" s="60" t="e">
        <f>+SUMIFS(#REF!,#REF!,Planning[[#This Row],[Proyectos]],#REF!,Planning[[#This Row],[Tipo de Tarea y especialidad]])</f>
        <v>#REF!</v>
      </c>
      <c r="O4212" s="19">
        <f t="shared" si="130"/>
        <v>10</v>
      </c>
      <c r="P4212" s="19">
        <f t="shared" si="131"/>
        <v>2024</v>
      </c>
      <c r="Q42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12" s="19" t="str">
        <f>TEXT(Planning[[#This Row],[Mes]]*29,"mmmm")</f>
        <v>October</v>
      </c>
      <c r="S42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12" s="193"/>
      <c r="U4212" s="43">
        <f>IF(Planning[[#This Row],[Horas Planificadas]]&lt;&gt;0,+K4212/Planning[[#This Row],[Horas Planificadas]],0)</f>
        <v>0</v>
      </c>
      <c r="V4212" s="43">
        <f>IF(Planning[[#This Row],[Horas Planificadas]]&lt;&gt;0,Planning[[#This Row],[Horas utilizadas]]/Planning[[#This Row],[Horas Planificadas]],0)</f>
        <v>0</v>
      </c>
      <c r="W4212" s="44">
        <f>Planning[[#This Row],[Horas Planificadas]]+Planning[[#This Row],[Horas ajustadas adicionales]]</f>
        <v>0</v>
      </c>
      <c r="X4212" s="142"/>
    </row>
    <row r="4213" spans="1:24" x14ac:dyDescent="0.2">
      <c r="A4213" s="7" t="s">
        <v>626</v>
      </c>
      <c r="B4213" s="7" t="s">
        <v>169</v>
      </c>
      <c r="C4213" s="3"/>
      <c r="D4213" s="3" t="s">
        <v>732</v>
      </c>
      <c r="E4213" s="4"/>
      <c r="F4213" s="3" t="s">
        <v>121</v>
      </c>
      <c r="G4213" s="9">
        <v>0</v>
      </c>
      <c r="H4213" s="9">
        <v>0</v>
      </c>
      <c r="I4213" s="12"/>
      <c r="J4213" s="5" t="e">
        <f>SUM(SUMIFS(#REF!,#REF!,Planning[[#This Row],[Tipo de Tarea y especialidad]],#REF!,Planning[[#This Row],[Proyectos Reiwa]]),SUMIFS(#REF!,#REF!,Planning[[#This Row],[Tipo de Tarea y especialidad]],#REF!,Planning[[#This Row],[Proyectos]]))</f>
        <v>#REF!</v>
      </c>
      <c r="K4213" s="5" t="e">
        <f>+Planning[[#This Row],[Horas Planificadas]]+Planning[[#This Row],[Horas ajustadas adicionales]]-Planning[[#This Row],[Horas utilizadas]]</f>
        <v>#REF!</v>
      </c>
      <c r="L4213" s="7" t="e">
        <f>Planning[[#This Row],[Saldo]]</f>
        <v>#REF!</v>
      </c>
      <c r="M4213" s="19" t="e">
        <f>Planning[[#This Row],[Saldo]]-Planning[[#This Row],[Saldo estimado]]</f>
        <v>#REF!</v>
      </c>
      <c r="N4213" s="60" t="e">
        <f>+SUMIFS(#REF!,#REF!,Planning[[#This Row],[Proyectos]],#REF!,Planning[[#This Row],[Tipo de Tarea y especialidad]])</f>
        <v>#REF!</v>
      </c>
      <c r="O4213" s="19">
        <f t="shared" si="130"/>
        <v>10</v>
      </c>
      <c r="P4213" s="19">
        <f t="shared" si="131"/>
        <v>2024</v>
      </c>
      <c r="Q42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13" s="19" t="str">
        <f>TEXT(Planning[[#This Row],[Mes]]*29,"mmmm")</f>
        <v>October</v>
      </c>
      <c r="S42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13" s="193"/>
      <c r="U4213" s="43">
        <f>IF(Planning[[#This Row],[Horas Planificadas]]&lt;&gt;0,+K4213/Planning[[#This Row],[Horas Planificadas]],0)</f>
        <v>0</v>
      </c>
      <c r="V4213" s="43">
        <f>IF(Planning[[#This Row],[Horas Planificadas]]&lt;&gt;0,Planning[[#This Row],[Horas utilizadas]]/Planning[[#This Row],[Horas Planificadas]],0)</f>
        <v>0</v>
      </c>
      <c r="W4213" s="44">
        <f>Planning[[#This Row],[Horas Planificadas]]+Planning[[#This Row],[Horas ajustadas adicionales]]</f>
        <v>0</v>
      </c>
      <c r="X4213" s="142"/>
    </row>
    <row r="4214" spans="1:24" x14ac:dyDescent="0.2">
      <c r="A4214" s="7" t="s">
        <v>626</v>
      </c>
      <c r="B4214" s="7" t="s">
        <v>169</v>
      </c>
      <c r="C4214" s="3"/>
      <c r="D4214" s="3" t="s">
        <v>732</v>
      </c>
      <c r="E4214" s="4" t="s">
        <v>30</v>
      </c>
      <c r="F4214" s="3"/>
      <c r="G4214" s="9">
        <v>147</v>
      </c>
      <c r="H4214" s="14">
        <f>SUM(H4215:H4221)</f>
        <v>88</v>
      </c>
      <c r="I4214" s="14"/>
      <c r="J4214" s="14" t="e">
        <f>SUM(J4215:J4221)</f>
        <v>#REF!</v>
      </c>
      <c r="K4214" s="14" t="e">
        <f>+Planning[[#This Row],[Horas Planificadas]]+Planning[[#This Row],[Horas ajustadas adicionales]]-Planning[[#This Row],[Horas utilizadas]]</f>
        <v>#REF!</v>
      </c>
      <c r="L4214" s="15">
        <f>SUM(L4215:L4221)</f>
        <v>0</v>
      </c>
      <c r="M4214" s="16" t="e">
        <f>SUM(M4215:M4221)</f>
        <v>#REF!</v>
      </c>
      <c r="N4214" s="60" t="e">
        <f>+SUMIFS(#REF!,#REF!,Planning[[#This Row],[Proyectos]],#REF!,Planning[[#This Row],[Tipo de Tarea y especialidad]])</f>
        <v>#REF!</v>
      </c>
      <c r="O4214" s="16">
        <f t="shared" si="130"/>
        <v>10</v>
      </c>
      <c r="P4214" s="16">
        <f t="shared" si="131"/>
        <v>2024</v>
      </c>
      <c r="Q4214" s="16" t="e">
        <f>SUM(Q4215:Q4221)</f>
        <v>#REF!</v>
      </c>
      <c r="R4214" s="16" t="str">
        <f>TEXT(Planning[[#This Row],[Mes]]*29,"mmmm")</f>
        <v>October</v>
      </c>
      <c r="S42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14" s="193"/>
      <c r="U4214" s="43" t="e">
        <f>IF(Planning[[#This Row],[Horas Planificadas]]&lt;&gt;0,+K4214/Planning[[#This Row],[Horas Planificadas]],0)</f>
        <v>#REF!</v>
      </c>
      <c r="V4214" s="43" t="e">
        <f>IF(Planning[[#This Row],[Horas Planificadas]]&lt;&gt;0,Planning[[#This Row],[Horas utilizadas]]/Planning[[#This Row],[Horas Planificadas]],0)</f>
        <v>#REF!</v>
      </c>
      <c r="W4214" s="44">
        <f>Planning[[#This Row],[Horas Planificadas]]+Planning[[#This Row],[Horas ajustadas adicionales]]</f>
        <v>88</v>
      </c>
      <c r="X4214" s="142"/>
    </row>
    <row r="4215" spans="1:24" x14ac:dyDescent="0.2">
      <c r="A4215" s="7" t="s">
        <v>626</v>
      </c>
      <c r="B4215" s="7" t="s">
        <v>169</v>
      </c>
      <c r="C4215" s="3"/>
      <c r="D4215" s="3" t="s">
        <v>732</v>
      </c>
      <c r="E4215" s="4"/>
      <c r="F4215" s="3" t="s">
        <v>122</v>
      </c>
      <c r="G4215" s="9">
        <v>0</v>
      </c>
      <c r="H4215" s="9">
        <v>0</v>
      </c>
      <c r="I4215" s="12"/>
      <c r="J4215" s="5" t="e">
        <f>SUM(SUMIFS(#REF!,#REF!,Planning[[#This Row],[Tipo de Tarea y especialidad]],#REF!,Planning[[#This Row],[Proyectos Reiwa]]),SUMIFS(#REF!,#REF!,Planning[[#This Row],[Tipo de Tarea y especialidad]],#REF!,Planning[[#This Row],[Proyectos]]))</f>
        <v>#REF!</v>
      </c>
      <c r="K4215" s="5" t="e">
        <f>+Planning[[#This Row],[Horas Planificadas]]+Planning[[#This Row],[Horas ajustadas adicionales]]-Planning[[#This Row],[Horas utilizadas]]</f>
        <v>#REF!</v>
      </c>
      <c r="L4215" s="7">
        <v>0</v>
      </c>
      <c r="M4215" s="19" t="e">
        <f>Planning[[#This Row],[Saldo]]-Planning[[#This Row],[Saldo estimado]]</f>
        <v>#REF!</v>
      </c>
      <c r="N4215" s="60" t="e">
        <f>+SUMIFS(#REF!,#REF!,Planning[[#This Row],[Proyectos]],#REF!,Planning[[#This Row],[Tipo de Tarea y especialidad]])</f>
        <v>#REF!</v>
      </c>
      <c r="O4215" s="19">
        <f t="shared" si="130"/>
        <v>10</v>
      </c>
      <c r="P4215" s="19">
        <f t="shared" si="131"/>
        <v>2024</v>
      </c>
      <c r="Q42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15" s="19" t="str">
        <f>TEXT(Planning[[#This Row],[Mes]]*29,"mmmm")</f>
        <v>October</v>
      </c>
      <c r="S42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15" s="193"/>
      <c r="U4215" s="43">
        <f>IF(Planning[[#This Row],[Horas Planificadas]]&lt;&gt;0,+K4215/Planning[[#This Row],[Horas Planificadas]],0)</f>
        <v>0</v>
      </c>
      <c r="V4215" s="43">
        <f>IF(Planning[[#This Row],[Horas Planificadas]]&lt;&gt;0,Planning[[#This Row],[Horas utilizadas]]/Planning[[#This Row],[Horas Planificadas]],0)</f>
        <v>0</v>
      </c>
      <c r="W4215" s="44">
        <f>Planning[[#This Row],[Horas Planificadas]]+Planning[[#This Row],[Horas ajustadas adicionales]]</f>
        <v>0</v>
      </c>
      <c r="X4215" s="142"/>
    </row>
    <row r="4216" spans="1:24" x14ac:dyDescent="0.2">
      <c r="A4216" s="7" t="s">
        <v>626</v>
      </c>
      <c r="B4216" s="7" t="s">
        <v>169</v>
      </c>
      <c r="C4216" s="3"/>
      <c r="D4216" s="3" t="s">
        <v>732</v>
      </c>
      <c r="E4216" s="4"/>
      <c r="F4216" s="3" t="s">
        <v>123</v>
      </c>
      <c r="G4216" s="9">
        <v>0</v>
      </c>
      <c r="H4216" s="9">
        <v>0</v>
      </c>
      <c r="I4216" s="12"/>
      <c r="J4216" s="5" t="e">
        <f>SUM(SUMIFS(#REF!,#REF!,Planning[[#This Row],[Tipo de Tarea y especialidad]],#REF!,Planning[[#This Row],[Proyectos Reiwa]]),SUMIFS(#REF!,#REF!,Planning[[#This Row],[Tipo de Tarea y especialidad]],#REF!,Planning[[#This Row],[Proyectos]]))</f>
        <v>#REF!</v>
      </c>
      <c r="K4216" s="5" t="e">
        <f>+Planning[[#This Row],[Horas Planificadas]]+Planning[[#This Row],[Horas ajustadas adicionales]]-Planning[[#This Row],[Horas utilizadas]]</f>
        <v>#REF!</v>
      </c>
      <c r="L4216" s="7">
        <v>0</v>
      </c>
      <c r="M4216" s="19" t="e">
        <f>Planning[[#This Row],[Saldo]]-Planning[[#This Row],[Saldo estimado]]</f>
        <v>#REF!</v>
      </c>
      <c r="N4216" s="60" t="e">
        <f>+SUMIFS(#REF!,#REF!,Planning[[#This Row],[Proyectos]],#REF!,Planning[[#This Row],[Tipo de Tarea y especialidad]])</f>
        <v>#REF!</v>
      </c>
      <c r="O4216" s="19">
        <f t="shared" si="130"/>
        <v>10</v>
      </c>
      <c r="P4216" s="19">
        <f t="shared" si="131"/>
        <v>2024</v>
      </c>
      <c r="Q42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16" s="19" t="str">
        <f>TEXT(Planning[[#This Row],[Mes]]*29,"mmmm")</f>
        <v>October</v>
      </c>
      <c r="S42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16" s="193"/>
      <c r="U4216" s="43">
        <f>IF(Planning[[#This Row],[Horas Planificadas]]&lt;&gt;0,+K4216/Planning[[#This Row],[Horas Planificadas]],0)</f>
        <v>0</v>
      </c>
      <c r="V4216" s="43">
        <f>IF(Planning[[#This Row],[Horas Planificadas]]&lt;&gt;0,Planning[[#This Row],[Horas utilizadas]]/Planning[[#This Row],[Horas Planificadas]],0)</f>
        <v>0</v>
      </c>
      <c r="W4216" s="44">
        <f>Planning[[#This Row],[Horas Planificadas]]+Planning[[#This Row],[Horas ajustadas adicionales]]</f>
        <v>0</v>
      </c>
      <c r="X4216" s="142"/>
    </row>
    <row r="4217" spans="1:24" x14ac:dyDescent="0.2">
      <c r="A4217" s="7" t="s">
        <v>626</v>
      </c>
      <c r="B4217" s="7" t="s">
        <v>169</v>
      </c>
      <c r="C4217" s="3"/>
      <c r="D4217" s="3" t="s">
        <v>732</v>
      </c>
      <c r="E4217" s="4"/>
      <c r="F4217" s="3" t="s">
        <v>124</v>
      </c>
      <c r="G4217" s="9">
        <v>0</v>
      </c>
      <c r="H4217" s="9">
        <v>0</v>
      </c>
      <c r="I4217" s="12"/>
      <c r="J4217" s="5" t="e">
        <f>SUM(SUMIFS(#REF!,#REF!,Planning[[#This Row],[Tipo de Tarea y especialidad]],#REF!,Planning[[#This Row],[Proyectos Reiwa]]),SUMIFS(#REF!,#REF!,Planning[[#This Row],[Tipo de Tarea y especialidad]],#REF!,Planning[[#This Row],[Proyectos]]))</f>
        <v>#REF!</v>
      </c>
      <c r="K4217" s="5" t="e">
        <f>+Planning[[#This Row],[Horas Planificadas]]+Planning[[#This Row],[Horas ajustadas adicionales]]-Planning[[#This Row],[Horas utilizadas]]</f>
        <v>#REF!</v>
      </c>
      <c r="L4217" s="7">
        <v>0</v>
      </c>
      <c r="M4217" s="19" t="e">
        <f>Planning[[#This Row],[Saldo]]-Planning[[#This Row],[Saldo estimado]]</f>
        <v>#REF!</v>
      </c>
      <c r="N4217" s="60" t="e">
        <f>+SUMIFS(#REF!,#REF!,Planning[[#This Row],[Proyectos]],#REF!,Planning[[#This Row],[Tipo de Tarea y especialidad]])</f>
        <v>#REF!</v>
      </c>
      <c r="O4217" s="19">
        <f t="shared" si="130"/>
        <v>10</v>
      </c>
      <c r="P4217" s="19">
        <f t="shared" si="131"/>
        <v>2024</v>
      </c>
      <c r="Q42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17" s="19" t="str">
        <f>TEXT(Planning[[#This Row],[Mes]]*29,"mmmm")</f>
        <v>October</v>
      </c>
      <c r="S42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17" s="193"/>
      <c r="U4217" s="43">
        <f>IF(Planning[[#This Row],[Horas Planificadas]]&lt;&gt;0,+K4217/Planning[[#This Row],[Horas Planificadas]],0)</f>
        <v>0</v>
      </c>
      <c r="V4217" s="43">
        <f>IF(Planning[[#This Row],[Horas Planificadas]]&lt;&gt;0,Planning[[#This Row],[Horas utilizadas]]/Planning[[#This Row],[Horas Planificadas]],0)</f>
        <v>0</v>
      </c>
      <c r="W4217" s="44">
        <f>Planning[[#This Row],[Horas Planificadas]]+Planning[[#This Row],[Horas ajustadas adicionales]]</f>
        <v>0</v>
      </c>
      <c r="X4217" s="142"/>
    </row>
    <row r="4218" spans="1:24" x14ac:dyDescent="0.2">
      <c r="A4218" s="7" t="s">
        <v>626</v>
      </c>
      <c r="B4218" s="7" t="s">
        <v>169</v>
      </c>
      <c r="C4218" s="3"/>
      <c r="D4218" s="3" t="s">
        <v>732</v>
      </c>
      <c r="E4218" s="4"/>
      <c r="F4218" s="3" t="s">
        <v>125</v>
      </c>
      <c r="G4218" s="9">
        <v>0</v>
      </c>
      <c r="H4218" s="9">
        <v>12</v>
      </c>
      <c r="I4218" s="12"/>
      <c r="J4218" s="5" t="e">
        <f>SUM(SUMIFS(#REF!,#REF!,Planning[[#This Row],[Tipo de Tarea y especialidad]],#REF!,Planning[[#This Row],[Proyectos Reiwa]]),SUMIFS(#REF!,#REF!,Planning[[#This Row],[Tipo de Tarea y especialidad]],#REF!,Planning[[#This Row],[Proyectos]]))</f>
        <v>#REF!</v>
      </c>
      <c r="K4218" s="5" t="e">
        <f>+Planning[[#This Row],[Horas Planificadas]]+Planning[[#This Row],[Horas ajustadas adicionales]]-Planning[[#This Row],[Horas utilizadas]]</f>
        <v>#REF!</v>
      </c>
      <c r="L4218" s="7">
        <v>0</v>
      </c>
      <c r="M4218" s="19" t="e">
        <f>Planning[[#This Row],[Saldo]]-Planning[[#This Row],[Saldo estimado]]</f>
        <v>#REF!</v>
      </c>
      <c r="N4218" s="60" t="e">
        <f>+SUMIFS(#REF!,#REF!,Planning[[#This Row],[Proyectos]],#REF!,Planning[[#This Row],[Tipo de Tarea y especialidad]])</f>
        <v>#REF!</v>
      </c>
      <c r="O4218" s="19">
        <f t="shared" si="130"/>
        <v>10</v>
      </c>
      <c r="P4218" s="19">
        <f t="shared" si="131"/>
        <v>2024</v>
      </c>
      <c r="Q42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18" s="19" t="str">
        <f>TEXT(Planning[[#This Row],[Mes]]*29,"mmmm")</f>
        <v>October</v>
      </c>
      <c r="S42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18" s="193"/>
      <c r="U4218" s="43" t="e">
        <f>IF(Planning[[#This Row],[Horas Planificadas]]&lt;&gt;0,+K4218/Planning[[#This Row],[Horas Planificadas]],0)</f>
        <v>#REF!</v>
      </c>
      <c r="V4218" s="43" t="e">
        <f>IF(Planning[[#This Row],[Horas Planificadas]]&lt;&gt;0,Planning[[#This Row],[Horas utilizadas]]/Planning[[#This Row],[Horas Planificadas]],0)</f>
        <v>#REF!</v>
      </c>
      <c r="W4218" s="44">
        <f>Planning[[#This Row],[Horas Planificadas]]+Planning[[#This Row],[Horas ajustadas adicionales]]</f>
        <v>12</v>
      </c>
      <c r="X4218" s="142"/>
    </row>
    <row r="4219" spans="1:24" x14ac:dyDescent="0.2">
      <c r="A4219" s="7" t="s">
        <v>626</v>
      </c>
      <c r="B4219" s="7" t="s">
        <v>169</v>
      </c>
      <c r="C4219" s="3"/>
      <c r="D4219" s="3" t="s">
        <v>732</v>
      </c>
      <c r="E4219" s="4"/>
      <c r="F4219" s="3" t="s">
        <v>126</v>
      </c>
      <c r="G4219" s="9">
        <v>0</v>
      </c>
      <c r="H4219" s="9">
        <v>76</v>
      </c>
      <c r="I4219" s="12"/>
      <c r="J4219" s="5" t="e">
        <f>SUM(SUMIFS(#REF!,#REF!,Planning[[#This Row],[Tipo de Tarea y especialidad]],#REF!,Planning[[#This Row],[Proyectos Reiwa]]),SUMIFS(#REF!,#REF!,Planning[[#This Row],[Tipo de Tarea y especialidad]],#REF!,Planning[[#This Row],[Proyectos]]))</f>
        <v>#REF!</v>
      </c>
      <c r="K4219" s="5" t="e">
        <f>+Planning[[#This Row],[Horas Planificadas]]+Planning[[#This Row],[Horas ajustadas adicionales]]-Planning[[#This Row],[Horas utilizadas]]</f>
        <v>#REF!</v>
      </c>
      <c r="L4219" s="7">
        <v>0</v>
      </c>
      <c r="M4219" s="19" t="e">
        <f>Planning[[#This Row],[Saldo]]-Planning[[#This Row],[Saldo estimado]]</f>
        <v>#REF!</v>
      </c>
      <c r="N4219" s="60" t="e">
        <f>+SUMIFS(#REF!,#REF!,Planning[[#This Row],[Proyectos]],#REF!,Planning[[#This Row],[Tipo de Tarea y especialidad]])</f>
        <v>#REF!</v>
      </c>
      <c r="O4219" s="19">
        <f t="shared" si="130"/>
        <v>10</v>
      </c>
      <c r="P4219" s="19">
        <f t="shared" si="131"/>
        <v>2024</v>
      </c>
      <c r="Q42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19" s="19" t="str">
        <f>TEXT(Planning[[#This Row],[Mes]]*29,"mmmm")</f>
        <v>October</v>
      </c>
      <c r="S42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19" s="193"/>
      <c r="U4219" s="43" t="e">
        <f>IF(Planning[[#This Row],[Horas Planificadas]]&lt;&gt;0,+K4219/Planning[[#This Row],[Horas Planificadas]],0)</f>
        <v>#REF!</v>
      </c>
      <c r="V4219" s="43" t="e">
        <f>IF(Planning[[#This Row],[Horas Planificadas]]&lt;&gt;0,Planning[[#This Row],[Horas utilizadas]]/Planning[[#This Row],[Horas Planificadas]],0)</f>
        <v>#REF!</v>
      </c>
      <c r="W4219" s="44">
        <f>Planning[[#This Row],[Horas Planificadas]]+Planning[[#This Row],[Horas ajustadas adicionales]]</f>
        <v>76</v>
      </c>
      <c r="X4219" s="142"/>
    </row>
    <row r="4220" spans="1:24" x14ac:dyDescent="0.2">
      <c r="A4220" s="7" t="s">
        <v>626</v>
      </c>
      <c r="B4220" s="7" t="s">
        <v>169</v>
      </c>
      <c r="C4220" s="3"/>
      <c r="D4220" s="3" t="s">
        <v>732</v>
      </c>
      <c r="E4220" s="4"/>
      <c r="F4220" s="3" t="s">
        <v>127</v>
      </c>
      <c r="G4220" s="9">
        <v>0</v>
      </c>
      <c r="H4220" s="9">
        <v>0</v>
      </c>
      <c r="I4220" s="12"/>
      <c r="J4220" s="5" t="e">
        <f>SUM(SUMIFS(#REF!,#REF!,Planning[[#This Row],[Tipo de Tarea y especialidad]],#REF!,Planning[[#This Row],[Proyectos Reiwa]]),SUMIFS(#REF!,#REF!,Planning[[#This Row],[Tipo de Tarea y especialidad]],#REF!,Planning[[#This Row],[Proyectos]]))</f>
        <v>#REF!</v>
      </c>
      <c r="K4220" s="5" t="e">
        <f>+Planning[[#This Row],[Horas Planificadas]]+Planning[[#This Row],[Horas ajustadas adicionales]]-Planning[[#This Row],[Horas utilizadas]]</f>
        <v>#REF!</v>
      </c>
      <c r="L4220" s="7">
        <v>0</v>
      </c>
      <c r="M4220" s="19" t="e">
        <f>Planning[[#This Row],[Saldo]]-Planning[[#This Row],[Saldo estimado]]</f>
        <v>#REF!</v>
      </c>
      <c r="N4220" s="60" t="e">
        <f>+SUMIFS(#REF!,#REF!,Planning[[#This Row],[Proyectos]],#REF!,Planning[[#This Row],[Tipo de Tarea y especialidad]])</f>
        <v>#REF!</v>
      </c>
      <c r="O4220" s="19">
        <f t="shared" si="130"/>
        <v>10</v>
      </c>
      <c r="P4220" s="19">
        <f t="shared" si="131"/>
        <v>2024</v>
      </c>
      <c r="Q42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20" s="19" t="str">
        <f>TEXT(Planning[[#This Row],[Mes]]*29,"mmmm")</f>
        <v>October</v>
      </c>
      <c r="S42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20" s="193"/>
      <c r="U4220" s="43">
        <f>IF(Planning[[#This Row],[Horas Planificadas]]&lt;&gt;0,+K4220/Planning[[#This Row],[Horas Planificadas]],0)</f>
        <v>0</v>
      </c>
      <c r="V4220" s="43">
        <f>IF(Planning[[#This Row],[Horas Planificadas]]&lt;&gt;0,Planning[[#This Row],[Horas utilizadas]]/Planning[[#This Row],[Horas Planificadas]],0)</f>
        <v>0</v>
      </c>
      <c r="W4220" s="44">
        <f>Planning[[#This Row],[Horas Planificadas]]+Planning[[#This Row],[Horas ajustadas adicionales]]</f>
        <v>0</v>
      </c>
      <c r="X4220" s="142"/>
    </row>
    <row r="4221" spans="1:24" x14ac:dyDescent="0.2">
      <c r="A4221" s="7" t="s">
        <v>626</v>
      </c>
      <c r="B4221" s="7" t="s">
        <v>169</v>
      </c>
      <c r="C4221" s="3"/>
      <c r="D4221" s="3" t="s">
        <v>732</v>
      </c>
      <c r="E4221" s="4"/>
      <c r="F4221" s="3" t="s">
        <v>128</v>
      </c>
      <c r="G4221" s="9">
        <v>0</v>
      </c>
      <c r="H4221" s="9">
        <v>0</v>
      </c>
      <c r="I4221" s="12"/>
      <c r="J4221" s="5" t="e">
        <f>SUM(SUMIFS(#REF!,#REF!,Planning[[#This Row],[Tipo de Tarea y especialidad]],#REF!,Planning[[#This Row],[Proyectos Reiwa]]),SUMIFS(#REF!,#REF!,Planning[[#This Row],[Tipo de Tarea y especialidad]],#REF!,Planning[[#This Row],[Proyectos]]))</f>
        <v>#REF!</v>
      </c>
      <c r="K4221" s="5" t="e">
        <f>+Planning[[#This Row],[Horas Planificadas]]+Planning[[#This Row],[Horas ajustadas adicionales]]-Planning[[#This Row],[Horas utilizadas]]</f>
        <v>#REF!</v>
      </c>
      <c r="L4221" s="7">
        <v>0</v>
      </c>
      <c r="M4221" s="19" t="e">
        <f>Planning[[#This Row],[Saldo]]-Planning[[#This Row],[Saldo estimado]]</f>
        <v>#REF!</v>
      </c>
      <c r="N4221" s="60" t="e">
        <f>+SUMIFS(#REF!,#REF!,Planning[[#This Row],[Proyectos]],#REF!,Planning[[#This Row],[Tipo de Tarea y especialidad]])</f>
        <v>#REF!</v>
      </c>
      <c r="O4221" s="19">
        <f t="shared" si="130"/>
        <v>10</v>
      </c>
      <c r="P4221" s="19">
        <f t="shared" si="131"/>
        <v>2024</v>
      </c>
      <c r="Q42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21" s="19" t="str">
        <f>TEXT(Planning[[#This Row],[Mes]]*29,"mmmm")</f>
        <v>October</v>
      </c>
      <c r="S42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21" s="193"/>
      <c r="U4221" s="43">
        <f>IF(Planning[[#This Row],[Horas Planificadas]]&lt;&gt;0,+K4221/Planning[[#This Row],[Horas Planificadas]],0)</f>
        <v>0</v>
      </c>
      <c r="V4221" s="43">
        <f>IF(Planning[[#This Row],[Horas Planificadas]]&lt;&gt;0,Planning[[#This Row],[Horas utilizadas]]/Planning[[#This Row],[Horas Planificadas]],0)</f>
        <v>0</v>
      </c>
      <c r="W4221" s="44">
        <f>Planning[[#This Row],[Horas Planificadas]]+Planning[[#This Row],[Horas ajustadas adicionales]]</f>
        <v>0</v>
      </c>
      <c r="X4221" s="142"/>
    </row>
    <row r="4222" spans="1:24" x14ac:dyDescent="0.2">
      <c r="A4222" s="7" t="s">
        <v>626</v>
      </c>
      <c r="B4222" s="7" t="s">
        <v>169</v>
      </c>
      <c r="C4222" s="3"/>
      <c r="D4222" s="3" t="s">
        <v>732</v>
      </c>
      <c r="E4222" s="4" t="s">
        <v>31</v>
      </c>
      <c r="F4222" s="3" t="s">
        <v>31</v>
      </c>
      <c r="G4222" s="9">
        <v>22</v>
      </c>
      <c r="H4222" s="17">
        <f>Planning[[#This Row],[Horas Precálculo]]</f>
        <v>22</v>
      </c>
      <c r="I4222" s="18"/>
      <c r="J4222" s="14" t="e">
        <f>+SUMIFS(#REF!,#REF!,Planning[[#This Row],[Tarifa]],#REF!,Planning[[#This Row],[Proyectos]])</f>
        <v>#REF!</v>
      </c>
      <c r="K4222" s="14" t="e">
        <f>+Planning[[#This Row],[Horas Planificadas]]+Planning[[#This Row],[Horas ajustadas adicionales]]-Planning[[#This Row],[Horas utilizadas]]</f>
        <v>#REF!</v>
      </c>
      <c r="L4222" s="15" t="e">
        <f>Planning[[#This Row],[Saldo]]</f>
        <v>#REF!</v>
      </c>
      <c r="M4222" s="16" t="e">
        <f>Planning[[#This Row],[Saldo]]-Planning[[#This Row],[Saldo estimado]]</f>
        <v>#REF!</v>
      </c>
      <c r="N4222" s="60" t="e">
        <f>+SUMIFS(#REF!,#REF!,Planning[[#This Row],[Proyectos]],#REF!,Planning[[#This Row],[Tipo de Tarea y especialidad]])</f>
        <v>#REF!</v>
      </c>
      <c r="O4222" s="16">
        <f t="shared" si="130"/>
        <v>10</v>
      </c>
      <c r="P4222" s="16">
        <f t="shared" si="131"/>
        <v>2024</v>
      </c>
      <c r="Q4222" s="16" t="e">
        <f>+SUMIFS(#REF!,#REF!,Planning[[#This Row],[Tarifa]],#REF!,Planning[[#This Row],[Proyectos]],#REF!,Planning[[#This Row],[Mes]],#REF!,Planning[[#This Row],[Año]])</f>
        <v>#REF!</v>
      </c>
      <c r="R4222" s="16" t="str">
        <f>TEXT(Planning[[#This Row],[Mes]]*29,"mmmm")</f>
        <v>October</v>
      </c>
      <c r="S42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22" s="193"/>
      <c r="U4222" s="43" t="e">
        <f>IF(Planning[[#This Row],[Horas Planificadas]]&lt;&gt;0,+K4222/Planning[[#This Row],[Horas Planificadas]],0)</f>
        <v>#REF!</v>
      </c>
      <c r="V4222" s="43" t="e">
        <f>IF(Planning[[#This Row],[Horas Planificadas]]&lt;&gt;0,Planning[[#This Row],[Horas utilizadas]]/Planning[[#This Row],[Horas Planificadas]],0)</f>
        <v>#REF!</v>
      </c>
      <c r="W4222" s="44">
        <f>Planning[[#This Row],[Horas Planificadas]]+Planning[[#This Row],[Horas ajustadas adicionales]]</f>
        <v>22</v>
      </c>
      <c r="X4222" s="142"/>
    </row>
    <row r="4223" spans="1:24" ht="22.5" x14ac:dyDescent="0.2">
      <c r="A4223" s="7" t="s">
        <v>626</v>
      </c>
      <c r="B4223" s="7" t="s">
        <v>169</v>
      </c>
      <c r="C4223" s="3"/>
      <c r="D4223" s="3" t="s">
        <v>732</v>
      </c>
      <c r="E4223" s="4" t="s">
        <v>32</v>
      </c>
      <c r="F4223" s="3"/>
      <c r="G4223" s="9">
        <v>0</v>
      </c>
      <c r="H4223" s="14">
        <f>SUM(H4224:H4226)</f>
        <v>0</v>
      </c>
      <c r="I4223" s="14"/>
      <c r="J4223" s="14" t="e">
        <f>SUM(J4224:J4226)</f>
        <v>#REF!</v>
      </c>
      <c r="K4223" s="14" t="e">
        <f>+Planning[[#This Row],[Horas Planificadas]]+Planning[[#This Row],[Horas ajustadas adicionales]]-Planning[[#This Row],[Horas utilizadas]]</f>
        <v>#REF!</v>
      </c>
      <c r="L4223" s="15" t="e">
        <f>SUM(L4224:L4226)</f>
        <v>#REF!</v>
      </c>
      <c r="M4223" s="16" t="e">
        <f>SUM(M4224:M4226)</f>
        <v>#REF!</v>
      </c>
      <c r="N4223" s="60" t="e">
        <f>+SUMIFS(#REF!,#REF!,Planning[[#This Row],[Proyectos]],#REF!,Planning[[#This Row],[Tipo de Tarea y especialidad]])</f>
        <v>#REF!</v>
      </c>
      <c r="O4223" s="16">
        <f t="shared" si="130"/>
        <v>10</v>
      </c>
      <c r="P4223" s="16">
        <f t="shared" si="131"/>
        <v>2024</v>
      </c>
      <c r="Q4223" s="16" t="e">
        <f>SUM(Q4224:Q4226)</f>
        <v>#REF!</v>
      </c>
      <c r="R4223" s="16" t="str">
        <f>TEXT(Planning[[#This Row],[Mes]]*29,"mmmm")</f>
        <v>October</v>
      </c>
      <c r="S42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23" s="193"/>
      <c r="U4223" s="43">
        <f>IF(Planning[[#This Row],[Horas Planificadas]]&lt;&gt;0,+K4223/Planning[[#This Row],[Horas Planificadas]],0)</f>
        <v>0</v>
      </c>
      <c r="V4223" s="43">
        <f>IF(Planning[[#This Row],[Horas Planificadas]]&lt;&gt;0,Planning[[#This Row],[Horas utilizadas]]/Planning[[#This Row],[Horas Planificadas]],0)</f>
        <v>0</v>
      </c>
      <c r="W4223" s="44">
        <f>Planning[[#This Row],[Horas Planificadas]]+Planning[[#This Row],[Horas ajustadas adicionales]]</f>
        <v>0</v>
      </c>
      <c r="X4223" s="142"/>
    </row>
    <row r="4224" spans="1:24" x14ac:dyDescent="0.2">
      <c r="A4224" s="7" t="s">
        <v>626</v>
      </c>
      <c r="B4224" s="7" t="s">
        <v>169</v>
      </c>
      <c r="C4224" s="3"/>
      <c r="D4224" s="3" t="s">
        <v>732</v>
      </c>
      <c r="E4224" s="4"/>
      <c r="F4224" s="3" t="s">
        <v>129</v>
      </c>
      <c r="G4224" s="9">
        <v>0</v>
      </c>
      <c r="H4224" s="9">
        <v>0</v>
      </c>
      <c r="I4224" s="12"/>
      <c r="J4224" s="5" t="e">
        <f>SUM(SUMIFS(#REF!,#REF!,Planning[[#This Row],[Tipo de Tarea y especialidad]],#REF!,Planning[[#This Row],[Proyectos Reiwa]]),SUMIFS(#REF!,#REF!,Planning[[#This Row],[Tipo de Tarea y especialidad]],#REF!,Planning[[#This Row],[Proyectos]]))</f>
        <v>#REF!</v>
      </c>
      <c r="K4224" s="5" t="e">
        <f>+Planning[[#This Row],[Horas Planificadas]]+Planning[[#This Row],[Horas ajustadas adicionales]]-Planning[[#This Row],[Horas utilizadas]]</f>
        <v>#REF!</v>
      </c>
      <c r="L4224" s="7">
        <v>0</v>
      </c>
      <c r="M4224" s="19" t="e">
        <f>Planning[[#This Row],[Saldo]]-Planning[[#This Row],[Saldo estimado]]</f>
        <v>#REF!</v>
      </c>
      <c r="N4224" s="60" t="e">
        <f>+SUMIFS(#REF!,#REF!,Planning[[#This Row],[Proyectos]],#REF!,Planning[[#This Row],[Tipo de Tarea y especialidad]])</f>
        <v>#REF!</v>
      </c>
      <c r="O4224" s="19">
        <f t="shared" si="130"/>
        <v>10</v>
      </c>
      <c r="P4224" s="19">
        <f t="shared" si="131"/>
        <v>2024</v>
      </c>
      <c r="Q42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24" s="19" t="str">
        <f>TEXT(Planning[[#This Row],[Mes]]*29,"mmmm")</f>
        <v>October</v>
      </c>
      <c r="S42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24" s="193"/>
      <c r="U4224" s="43">
        <f>IF(Planning[[#This Row],[Horas Planificadas]]&lt;&gt;0,+K4224/Planning[[#This Row],[Horas Planificadas]],0)</f>
        <v>0</v>
      </c>
      <c r="V4224" s="43">
        <f>IF(Planning[[#This Row],[Horas Planificadas]]&lt;&gt;0,Planning[[#This Row],[Horas utilizadas]]/Planning[[#This Row],[Horas Planificadas]],0)</f>
        <v>0</v>
      </c>
      <c r="W4224" s="44">
        <f>Planning[[#This Row],[Horas Planificadas]]+Planning[[#This Row],[Horas ajustadas adicionales]]</f>
        <v>0</v>
      </c>
      <c r="X4224" s="142"/>
    </row>
    <row r="4225" spans="1:24" x14ac:dyDescent="0.2">
      <c r="A4225" s="7" t="s">
        <v>626</v>
      </c>
      <c r="B4225" s="7" t="s">
        <v>169</v>
      </c>
      <c r="C4225" s="3"/>
      <c r="D4225" s="3" t="s">
        <v>732</v>
      </c>
      <c r="E4225" s="4"/>
      <c r="F4225" s="3" t="s">
        <v>130</v>
      </c>
      <c r="G4225" s="9">
        <v>0</v>
      </c>
      <c r="H4225" s="9">
        <v>0</v>
      </c>
      <c r="I4225" s="12"/>
      <c r="J4225" s="5" t="e">
        <f>SUM(SUMIFS(#REF!,#REF!,Planning[[#This Row],[Tipo de Tarea y especialidad]],#REF!,Planning[[#This Row],[Proyectos Reiwa]]),SUMIFS(#REF!,#REF!,Planning[[#This Row],[Tipo de Tarea y especialidad]],#REF!,Planning[[#This Row],[Proyectos]]))</f>
        <v>#REF!</v>
      </c>
      <c r="K4225" s="5" t="e">
        <f>+Planning[[#This Row],[Horas Planificadas]]+Planning[[#This Row],[Horas ajustadas adicionales]]-Planning[[#This Row],[Horas utilizadas]]</f>
        <v>#REF!</v>
      </c>
      <c r="L4225" s="7" t="e">
        <f>Planning[[#This Row],[Saldo]]</f>
        <v>#REF!</v>
      </c>
      <c r="M4225" s="19" t="e">
        <f>Planning[[#This Row],[Saldo]]-Planning[[#This Row],[Saldo estimado]]</f>
        <v>#REF!</v>
      </c>
      <c r="N4225" s="60" t="e">
        <f>+SUMIFS(#REF!,#REF!,Planning[[#This Row],[Proyectos]],#REF!,Planning[[#This Row],[Tipo de Tarea y especialidad]])</f>
        <v>#REF!</v>
      </c>
      <c r="O4225" s="19">
        <f t="shared" si="130"/>
        <v>10</v>
      </c>
      <c r="P4225" s="19">
        <f t="shared" si="131"/>
        <v>2024</v>
      </c>
      <c r="Q42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25" s="19" t="str">
        <f>TEXT(Planning[[#This Row],[Mes]]*29,"mmmm")</f>
        <v>October</v>
      </c>
      <c r="S42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25" s="193"/>
      <c r="U4225" s="43">
        <f>IF(Planning[[#This Row],[Horas Planificadas]]&lt;&gt;0,+K4225/Planning[[#This Row],[Horas Planificadas]],0)</f>
        <v>0</v>
      </c>
      <c r="V4225" s="43">
        <f>IF(Planning[[#This Row],[Horas Planificadas]]&lt;&gt;0,Planning[[#This Row],[Horas utilizadas]]/Planning[[#This Row],[Horas Planificadas]],0)</f>
        <v>0</v>
      </c>
      <c r="W4225" s="44">
        <f>Planning[[#This Row],[Horas Planificadas]]+Planning[[#This Row],[Horas ajustadas adicionales]]</f>
        <v>0</v>
      </c>
      <c r="X4225" s="142"/>
    </row>
    <row r="4226" spans="1:24" x14ac:dyDescent="0.2">
      <c r="A4226" s="7" t="s">
        <v>626</v>
      </c>
      <c r="B4226" s="7" t="s">
        <v>169</v>
      </c>
      <c r="C4226" s="3"/>
      <c r="D4226" s="3" t="s">
        <v>732</v>
      </c>
      <c r="E4226" s="4"/>
      <c r="F4226" s="3" t="s">
        <v>131</v>
      </c>
      <c r="G4226" s="9">
        <v>0</v>
      </c>
      <c r="H4226" s="9">
        <v>0</v>
      </c>
      <c r="I4226" s="12"/>
      <c r="J4226" s="5" t="e">
        <f>SUM(SUMIFS(#REF!,#REF!,Planning[[#This Row],[Tipo de Tarea y especialidad]],#REF!,Planning[[#This Row],[Proyectos Reiwa]]),SUMIFS(#REF!,#REF!,Planning[[#This Row],[Tipo de Tarea y especialidad]],#REF!,Planning[[#This Row],[Proyectos]]))</f>
        <v>#REF!</v>
      </c>
      <c r="K4226" s="5" t="e">
        <f>+Planning[[#This Row],[Horas Planificadas]]+Planning[[#This Row],[Horas ajustadas adicionales]]-Planning[[#This Row],[Horas utilizadas]]</f>
        <v>#REF!</v>
      </c>
      <c r="L4226" s="7" t="e">
        <f>Planning[[#This Row],[Saldo]]</f>
        <v>#REF!</v>
      </c>
      <c r="M4226" s="19" t="e">
        <f>Planning[[#This Row],[Saldo]]-Planning[[#This Row],[Saldo estimado]]</f>
        <v>#REF!</v>
      </c>
      <c r="N4226" s="60" t="e">
        <f>+SUMIFS(#REF!,#REF!,Planning[[#This Row],[Proyectos]],#REF!,Planning[[#This Row],[Tipo de Tarea y especialidad]])</f>
        <v>#REF!</v>
      </c>
      <c r="O4226" s="19">
        <f t="shared" si="130"/>
        <v>10</v>
      </c>
      <c r="P4226" s="19">
        <f t="shared" si="131"/>
        <v>2024</v>
      </c>
      <c r="Q42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26" s="19" t="str">
        <f>TEXT(Planning[[#This Row],[Mes]]*29,"mmmm")</f>
        <v>October</v>
      </c>
      <c r="S42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26" s="193"/>
      <c r="U4226" s="43">
        <f>IF(Planning[[#This Row],[Horas Planificadas]]&lt;&gt;0,+K4226/Planning[[#This Row],[Horas Planificadas]],0)</f>
        <v>0</v>
      </c>
      <c r="V4226" s="43">
        <f>IF(Planning[[#This Row],[Horas Planificadas]]&lt;&gt;0,Planning[[#This Row],[Horas utilizadas]]/Planning[[#This Row],[Horas Planificadas]],0)</f>
        <v>0</v>
      </c>
      <c r="W4226" s="44">
        <f>Planning[[#This Row],[Horas Planificadas]]+Planning[[#This Row],[Horas ajustadas adicionales]]</f>
        <v>0</v>
      </c>
      <c r="X4226" s="142"/>
    </row>
    <row r="4227" spans="1:24" ht="12.75" customHeight="1" x14ac:dyDescent="0.2">
      <c r="A4227" s="7" t="s">
        <v>626</v>
      </c>
      <c r="B4227" s="7" t="s">
        <v>169</v>
      </c>
      <c r="C4227" s="3"/>
      <c r="D4227" s="3" t="s">
        <v>734</v>
      </c>
      <c r="E4227" s="4" t="s">
        <v>28</v>
      </c>
      <c r="F4227" s="3"/>
      <c r="G4227" s="9">
        <v>0</v>
      </c>
      <c r="H4227" s="14">
        <f>SUM(H4228:H4229)</f>
        <v>0</v>
      </c>
      <c r="I4227" s="14"/>
      <c r="J4227" s="14" t="e">
        <f>SUM(J4228:J4229)</f>
        <v>#REF!</v>
      </c>
      <c r="K4227" s="14" t="e">
        <f>+Planning[[#This Row],[Horas Planificadas]]+Planning[[#This Row],[Horas ajustadas adicionales]]-Planning[[#This Row],[Horas utilizadas]]</f>
        <v>#REF!</v>
      </c>
      <c r="L4227" s="15" t="e">
        <f>SUM(L4228:L4229)</f>
        <v>#REF!</v>
      </c>
      <c r="M4227" s="14" t="e">
        <f>SUM(M4228:M4229)</f>
        <v>#REF!</v>
      </c>
      <c r="N4227" s="66" t="e">
        <f>+SUMIFS(#REF!,#REF!,Planning[[#This Row],[Proyectos]],#REF!,Planning[[#This Row],[Tipo de Tarea y especialidad]])</f>
        <v>#REF!</v>
      </c>
      <c r="O4227" s="14">
        <f t="shared" si="130"/>
        <v>10</v>
      </c>
      <c r="P4227" s="14">
        <f t="shared" si="131"/>
        <v>2024</v>
      </c>
      <c r="Q4227" s="28" t="e">
        <f>SUM(Q4228:Q4229)</f>
        <v>#REF!</v>
      </c>
      <c r="R4227" s="24" t="str">
        <f>TEXT(Planning[[#This Row],[Mes]]*29,"mmmm")</f>
        <v>October</v>
      </c>
      <c r="S422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27" s="212" t="s">
        <v>735</v>
      </c>
      <c r="U4227" s="43">
        <f>IF(Planning[[#This Row],[Horas Planificadas]]&lt;&gt;0,+K4227/Planning[[#This Row],[Horas Planificadas]],0)</f>
        <v>0</v>
      </c>
      <c r="V4227" s="43">
        <f>IF(Planning[[#This Row],[Horas Planificadas]]&lt;&gt;0,Planning[[#This Row],[Horas utilizadas]]/Planning[[#This Row],[Horas Planificadas]],0)</f>
        <v>0</v>
      </c>
      <c r="W4227" s="44">
        <f>Planning[[#This Row],[Horas Planificadas]]+Planning[[#This Row],[Horas ajustadas adicionales]]</f>
        <v>0</v>
      </c>
      <c r="X4227" s="142"/>
    </row>
    <row r="4228" spans="1:24" x14ac:dyDescent="0.2">
      <c r="A4228" s="7" t="s">
        <v>626</v>
      </c>
      <c r="B4228" s="7" t="s">
        <v>169</v>
      </c>
      <c r="C4228" s="3"/>
      <c r="D4228" s="3" t="s">
        <v>734</v>
      </c>
      <c r="E4228" s="4"/>
      <c r="F4228" s="3" t="s">
        <v>120</v>
      </c>
      <c r="G4228" s="9">
        <v>0</v>
      </c>
      <c r="H4228" s="9">
        <v>0</v>
      </c>
      <c r="I4228" s="12"/>
      <c r="J4228" s="5" t="e">
        <f>SUM(SUMIFS(#REF!,#REF!,Planning[[#This Row],[Tipo de Tarea y especialidad]],#REF!,Planning[[#This Row],[Proyectos Reiwa]]),SUMIFS(#REF!,#REF!,Planning[[#This Row],[Tipo de Tarea y especialidad]],#REF!,Planning[[#This Row],[Proyectos]]))</f>
        <v>#REF!</v>
      </c>
      <c r="K4228" s="5" t="e">
        <f>+Planning[[#This Row],[Horas Planificadas]]+Planning[[#This Row],[Horas ajustadas adicionales]]-Planning[[#This Row],[Horas utilizadas]]</f>
        <v>#REF!</v>
      </c>
      <c r="L4228" s="7" t="e">
        <f>Planning[[#This Row],[Saldo]]</f>
        <v>#REF!</v>
      </c>
      <c r="M4228" s="19" t="e">
        <f>Planning[[#This Row],[Saldo]]-Planning[[#This Row],[Saldo estimado]]</f>
        <v>#REF!</v>
      </c>
      <c r="N4228" s="60" t="e">
        <f>+SUMIFS(#REF!,#REF!,Planning[[#This Row],[Proyectos]],#REF!,Planning[[#This Row],[Tipo de Tarea y especialidad]])</f>
        <v>#REF!</v>
      </c>
      <c r="O4228" s="19">
        <f t="shared" si="130"/>
        <v>10</v>
      </c>
      <c r="P4228" s="19">
        <f t="shared" si="131"/>
        <v>2024</v>
      </c>
      <c r="Q42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28" s="49" t="str">
        <f>TEXT(Planning[[#This Row],[Mes]]*29,"mmmm")</f>
        <v>October</v>
      </c>
      <c r="S422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28" s="213"/>
      <c r="U4228" s="43">
        <f>IF(Planning[[#This Row],[Horas Planificadas]]&lt;&gt;0,+K4228/Planning[[#This Row],[Horas Planificadas]],0)</f>
        <v>0</v>
      </c>
      <c r="V4228" s="43">
        <f>IF(Planning[[#This Row],[Horas Planificadas]]&lt;&gt;0,Planning[[#This Row],[Horas utilizadas]]/Planning[[#This Row],[Horas Planificadas]],0)</f>
        <v>0</v>
      </c>
      <c r="W4228" s="44">
        <f>Planning[[#This Row],[Horas Planificadas]]+Planning[[#This Row],[Horas ajustadas adicionales]]</f>
        <v>0</v>
      </c>
      <c r="X4228" s="142"/>
    </row>
    <row r="4229" spans="1:24" x14ac:dyDescent="0.2">
      <c r="A4229" s="7" t="s">
        <v>626</v>
      </c>
      <c r="B4229" s="7" t="s">
        <v>169</v>
      </c>
      <c r="C4229" s="3"/>
      <c r="D4229" s="3" t="s">
        <v>734</v>
      </c>
      <c r="E4229" s="4"/>
      <c r="F4229" s="3" t="s">
        <v>121</v>
      </c>
      <c r="G4229" s="9">
        <v>0</v>
      </c>
      <c r="H4229" s="9">
        <v>0</v>
      </c>
      <c r="I4229" s="12"/>
      <c r="J4229" s="5" t="e">
        <f>SUM(SUMIFS(#REF!,#REF!,Planning[[#This Row],[Tipo de Tarea y especialidad]],#REF!,Planning[[#This Row],[Proyectos Reiwa]]),SUMIFS(#REF!,#REF!,Planning[[#This Row],[Tipo de Tarea y especialidad]],#REF!,Planning[[#This Row],[Proyectos]]))</f>
        <v>#REF!</v>
      </c>
      <c r="K4229" s="5" t="e">
        <f>+Planning[[#This Row],[Horas Planificadas]]+Planning[[#This Row],[Horas ajustadas adicionales]]-Planning[[#This Row],[Horas utilizadas]]</f>
        <v>#REF!</v>
      </c>
      <c r="L4229" s="7" t="e">
        <f>Planning[[#This Row],[Saldo]]</f>
        <v>#REF!</v>
      </c>
      <c r="M4229" s="19" t="e">
        <f>Planning[[#This Row],[Saldo]]-Planning[[#This Row],[Saldo estimado]]</f>
        <v>#REF!</v>
      </c>
      <c r="N4229" s="60" t="e">
        <f>+SUMIFS(#REF!,#REF!,Planning[[#This Row],[Proyectos]],#REF!,Planning[[#This Row],[Tipo de Tarea y especialidad]])</f>
        <v>#REF!</v>
      </c>
      <c r="O4229" s="19">
        <f t="shared" si="130"/>
        <v>10</v>
      </c>
      <c r="P4229" s="19">
        <f t="shared" si="131"/>
        <v>2024</v>
      </c>
      <c r="Q42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29" s="49" t="str">
        <f>TEXT(Planning[[#This Row],[Mes]]*29,"mmmm")</f>
        <v>October</v>
      </c>
      <c r="S422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29" s="213"/>
      <c r="U4229" s="43">
        <f>IF(Planning[[#This Row],[Horas Planificadas]]&lt;&gt;0,+K4229/Planning[[#This Row],[Horas Planificadas]],0)</f>
        <v>0</v>
      </c>
      <c r="V4229" s="43">
        <f>IF(Planning[[#This Row],[Horas Planificadas]]&lt;&gt;0,Planning[[#This Row],[Horas utilizadas]]/Planning[[#This Row],[Horas Planificadas]],0)</f>
        <v>0</v>
      </c>
      <c r="W4229" s="44">
        <f>Planning[[#This Row],[Horas Planificadas]]+Planning[[#This Row],[Horas ajustadas adicionales]]</f>
        <v>0</v>
      </c>
      <c r="X4229" s="142"/>
    </row>
    <row r="4230" spans="1:24" x14ac:dyDescent="0.2">
      <c r="A4230" s="7" t="s">
        <v>626</v>
      </c>
      <c r="B4230" s="7" t="s">
        <v>169</v>
      </c>
      <c r="C4230" s="3"/>
      <c r="D4230" s="3" t="s">
        <v>734</v>
      </c>
      <c r="E4230" s="4" t="s">
        <v>30</v>
      </c>
      <c r="F4230" s="3"/>
      <c r="G4230" s="9">
        <v>147</v>
      </c>
      <c r="H4230" s="14">
        <f>SUM(H4231:H4237)</f>
        <v>741</v>
      </c>
      <c r="I4230" s="14"/>
      <c r="J4230" s="14" t="e">
        <f>SUM(J4231:J4237)</f>
        <v>#REF!</v>
      </c>
      <c r="K4230" s="14" t="e">
        <f>+Planning[[#This Row],[Horas Planificadas]]+Planning[[#This Row],[Horas ajustadas adicionales]]-Planning[[#This Row],[Horas utilizadas]]</f>
        <v>#REF!</v>
      </c>
      <c r="L4230" s="15">
        <f>SUM(L4231:L4237)</f>
        <v>0</v>
      </c>
      <c r="M4230" s="16" t="e">
        <f>SUM(M4231:M4237)</f>
        <v>#REF!</v>
      </c>
      <c r="N4230" s="60" t="e">
        <f>+SUMIFS(#REF!,#REF!,Planning[[#This Row],[Proyectos]],#REF!,Planning[[#This Row],[Tipo de Tarea y especialidad]])</f>
        <v>#REF!</v>
      </c>
      <c r="O4230" s="16">
        <f t="shared" si="130"/>
        <v>10</v>
      </c>
      <c r="P4230" s="16">
        <f t="shared" si="131"/>
        <v>2024</v>
      </c>
      <c r="Q4230" s="16" t="e">
        <f>SUM(Q4231:Q4237)</f>
        <v>#REF!</v>
      </c>
      <c r="R4230" s="50" t="str">
        <f>TEXT(Planning[[#This Row],[Mes]]*29,"mmmm")</f>
        <v>October</v>
      </c>
      <c r="S423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30" s="213"/>
      <c r="U4230" s="43" t="e">
        <f>IF(Planning[[#This Row],[Horas Planificadas]]&lt;&gt;0,+K4230/Planning[[#This Row],[Horas Planificadas]],0)</f>
        <v>#REF!</v>
      </c>
      <c r="V4230" s="43" t="e">
        <f>IF(Planning[[#This Row],[Horas Planificadas]]&lt;&gt;0,Planning[[#This Row],[Horas utilizadas]]/Planning[[#This Row],[Horas Planificadas]],0)</f>
        <v>#REF!</v>
      </c>
      <c r="W4230" s="44">
        <f>Planning[[#This Row],[Horas Planificadas]]+Planning[[#This Row],[Horas ajustadas adicionales]]</f>
        <v>741</v>
      </c>
      <c r="X4230" s="142"/>
    </row>
    <row r="4231" spans="1:24" x14ac:dyDescent="0.2">
      <c r="A4231" s="7" t="s">
        <v>626</v>
      </c>
      <c r="B4231" s="7" t="s">
        <v>169</v>
      </c>
      <c r="C4231" s="3"/>
      <c r="D4231" s="3" t="s">
        <v>734</v>
      </c>
      <c r="E4231" s="4"/>
      <c r="F4231" s="3" t="s">
        <v>122</v>
      </c>
      <c r="G4231" s="9">
        <v>0</v>
      </c>
      <c r="H4231" s="9">
        <v>0</v>
      </c>
      <c r="I4231" s="12"/>
      <c r="J4231" s="5" t="e">
        <f>SUM(SUMIFS(#REF!,#REF!,Planning[[#This Row],[Tipo de Tarea y especialidad]],#REF!,Planning[[#This Row],[Proyectos Reiwa]]),SUMIFS(#REF!,#REF!,Planning[[#This Row],[Tipo de Tarea y especialidad]],#REF!,Planning[[#This Row],[Proyectos]]))</f>
        <v>#REF!</v>
      </c>
      <c r="K4231" s="5" t="e">
        <f>+Planning[[#This Row],[Horas Planificadas]]+Planning[[#This Row],[Horas ajustadas adicionales]]-Planning[[#This Row],[Horas utilizadas]]</f>
        <v>#REF!</v>
      </c>
      <c r="L4231" s="7">
        <v>0</v>
      </c>
      <c r="M4231" s="19" t="e">
        <f>Planning[[#This Row],[Saldo]]-Planning[[#This Row],[Saldo estimado]]</f>
        <v>#REF!</v>
      </c>
      <c r="N4231" s="60" t="e">
        <f>+SUMIFS(#REF!,#REF!,Planning[[#This Row],[Proyectos]],#REF!,Planning[[#This Row],[Tipo de Tarea y especialidad]])</f>
        <v>#REF!</v>
      </c>
      <c r="O4231" s="19">
        <f t="shared" ref="O4231:O4294" si="132">$L$4</f>
        <v>10</v>
      </c>
      <c r="P4231" s="19">
        <f t="shared" ref="P4231:P4294" si="133">$M$4</f>
        <v>2024</v>
      </c>
      <c r="Q42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31" s="49" t="str">
        <f>TEXT(Planning[[#This Row],[Mes]]*29,"mmmm")</f>
        <v>October</v>
      </c>
      <c r="S423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31" s="213"/>
      <c r="U4231" s="43">
        <f>IF(Planning[[#This Row],[Horas Planificadas]]&lt;&gt;0,+K4231/Planning[[#This Row],[Horas Planificadas]],0)</f>
        <v>0</v>
      </c>
      <c r="V4231" s="43">
        <f>IF(Planning[[#This Row],[Horas Planificadas]]&lt;&gt;0,Planning[[#This Row],[Horas utilizadas]]/Planning[[#This Row],[Horas Planificadas]],0)</f>
        <v>0</v>
      </c>
      <c r="W4231" s="44">
        <f>Planning[[#This Row],[Horas Planificadas]]+Planning[[#This Row],[Horas ajustadas adicionales]]</f>
        <v>0</v>
      </c>
      <c r="X4231" s="142"/>
    </row>
    <row r="4232" spans="1:24" x14ac:dyDescent="0.2">
      <c r="A4232" s="7" t="s">
        <v>626</v>
      </c>
      <c r="B4232" s="7" t="s">
        <v>169</v>
      </c>
      <c r="C4232" s="3"/>
      <c r="D4232" s="3" t="s">
        <v>734</v>
      </c>
      <c r="E4232" s="4"/>
      <c r="F4232" s="3" t="s">
        <v>123</v>
      </c>
      <c r="G4232" s="9">
        <v>0</v>
      </c>
      <c r="H4232" s="9">
        <v>0</v>
      </c>
      <c r="I4232" s="12"/>
      <c r="J4232" s="5" t="e">
        <f>SUM(SUMIFS(#REF!,#REF!,Planning[[#This Row],[Tipo de Tarea y especialidad]],#REF!,Planning[[#This Row],[Proyectos Reiwa]]),SUMIFS(#REF!,#REF!,Planning[[#This Row],[Tipo de Tarea y especialidad]],#REF!,Planning[[#This Row],[Proyectos]]))</f>
        <v>#REF!</v>
      </c>
      <c r="K4232" s="5" t="e">
        <f>+Planning[[#This Row],[Horas Planificadas]]+Planning[[#This Row],[Horas ajustadas adicionales]]-Planning[[#This Row],[Horas utilizadas]]</f>
        <v>#REF!</v>
      </c>
      <c r="L4232" s="7">
        <v>0</v>
      </c>
      <c r="M4232" s="19" t="e">
        <f>Planning[[#This Row],[Saldo]]-Planning[[#This Row],[Saldo estimado]]</f>
        <v>#REF!</v>
      </c>
      <c r="N4232" s="60" t="e">
        <f>+SUMIFS(#REF!,#REF!,Planning[[#This Row],[Proyectos]],#REF!,Planning[[#This Row],[Tipo de Tarea y especialidad]])</f>
        <v>#REF!</v>
      </c>
      <c r="O4232" s="19">
        <f t="shared" si="132"/>
        <v>10</v>
      </c>
      <c r="P4232" s="19">
        <f t="shared" si="133"/>
        <v>2024</v>
      </c>
      <c r="Q42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32" s="49" t="str">
        <f>TEXT(Planning[[#This Row],[Mes]]*29,"mmmm")</f>
        <v>October</v>
      </c>
      <c r="S423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32" s="213"/>
      <c r="U4232" s="43">
        <f>IF(Planning[[#This Row],[Horas Planificadas]]&lt;&gt;0,+K4232/Planning[[#This Row],[Horas Planificadas]],0)</f>
        <v>0</v>
      </c>
      <c r="V4232" s="43">
        <f>IF(Planning[[#This Row],[Horas Planificadas]]&lt;&gt;0,Planning[[#This Row],[Horas utilizadas]]/Planning[[#This Row],[Horas Planificadas]],0)</f>
        <v>0</v>
      </c>
      <c r="W4232" s="44">
        <f>Planning[[#This Row],[Horas Planificadas]]+Planning[[#This Row],[Horas ajustadas adicionales]]</f>
        <v>0</v>
      </c>
      <c r="X4232" s="142"/>
    </row>
    <row r="4233" spans="1:24" x14ac:dyDescent="0.2">
      <c r="A4233" s="7" t="s">
        <v>626</v>
      </c>
      <c r="B4233" s="7" t="s">
        <v>169</v>
      </c>
      <c r="C4233" s="3"/>
      <c r="D4233" s="3" t="s">
        <v>734</v>
      </c>
      <c r="E4233" s="4"/>
      <c r="F4233" s="3" t="s">
        <v>124</v>
      </c>
      <c r="G4233" s="9">
        <v>0</v>
      </c>
      <c r="H4233" s="9">
        <v>0</v>
      </c>
      <c r="I4233" s="12"/>
      <c r="J4233" s="5" t="e">
        <f>SUM(SUMIFS(#REF!,#REF!,Planning[[#This Row],[Tipo de Tarea y especialidad]],#REF!,Planning[[#This Row],[Proyectos Reiwa]]),SUMIFS(#REF!,#REF!,Planning[[#This Row],[Tipo de Tarea y especialidad]],#REF!,Planning[[#This Row],[Proyectos]]))</f>
        <v>#REF!</v>
      </c>
      <c r="K4233" s="5" t="e">
        <f>+Planning[[#This Row],[Horas Planificadas]]+Planning[[#This Row],[Horas ajustadas adicionales]]-Planning[[#This Row],[Horas utilizadas]]</f>
        <v>#REF!</v>
      </c>
      <c r="L4233" s="7">
        <v>0</v>
      </c>
      <c r="M4233" s="19" t="e">
        <f>Planning[[#This Row],[Saldo]]-Planning[[#This Row],[Saldo estimado]]</f>
        <v>#REF!</v>
      </c>
      <c r="N4233" s="60" t="e">
        <f>+SUMIFS(#REF!,#REF!,Planning[[#This Row],[Proyectos]],#REF!,Planning[[#This Row],[Tipo de Tarea y especialidad]])</f>
        <v>#REF!</v>
      </c>
      <c r="O4233" s="19">
        <f t="shared" si="132"/>
        <v>10</v>
      </c>
      <c r="P4233" s="19">
        <f t="shared" si="133"/>
        <v>2024</v>
      </c>
      <c r="Q42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33" s="49" t="str">
        <f>TEXT(Planning[[#This Row],[Mes]]*29,"mmmm")</f>
        <v>October</v>
      </c>
      <c r="S423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33" s="213"/>
      <c r="U4233" s="43">
        <f>IF(Planning[[#This Row],[Horas Planificadas]]&lt;&gt;0,+K4233/Planning[[#This Row],[Horas Planificadas]],0)</f>
        <v>0</v>
      </c>
      <c r="V4233" s="43">
        <f>IF(Planning[[#This Row],[Horas Planificadas]]&lt;&gt;0,Planning[[#This Row],[Horas utilizadas]]/Planning[[#This Row],[Horas Planificadas]],0)</f>
        <v>0</v>
      </c>
      <c r="W4233" s="44">
        <f>Planning[[#This Row],[Horas Planificadas]]+Planning[[#This Row],[Horas ajustadas adicionales]]</f>
        <v>0</v>
      </c>
      <c r="X4233" s="142"/>
    </row>
    <row r="4234" spans="1:24" x14ac:dyDescent="0.2">
      <c r="A4234" s="7" t="s">
        <v>626</v>
      </c>
      <c r="B4234" s="7" t="s">
        <v>169</v>
      </c>
      <c r="C4234" s="3"/>
      <c r="D4234" s="3" t="s">
        <v>734</v>
      </c>
      <c r="E4234" s="4"/>
      <c r="F4234" s="3" t="s">
        <v>125</v>
      </c>
      <c r="G4234" s="9">
        <v>0</v>
      </c>
      <c r="H4234" s="9">
        <v>128</v>
      </c>
      <c r="I4234" s="12"/>
      <c r="J4234" s="5" t="e">
        <f>SUM(SUMIFS(#REF!,#REF!,Planning[[#This Row],[Tipo de Tarea y especialidad]],#REF!,Planning[[#This Row],[Proyectos Reiwa]]),SUMIFS(#REF!,#REF!,Planning[[#This Row],[Tipo de Tarea y especialidad]],#REF!,Planning[[#This Row],[Proyectos]]))</f>
        <v>#REF!</v>
      </c>
      <c r="K4234" s="5" t="e">
        <f>+Planning[[#This Row],[Horas Planificadas]]+Planning[[#This Row],[Horas ajustadas adicionales]]-Planning[[#This Row],[Horas utilizadas]]</f>
        <v>#REF!</v>
      </c>
      <c r="L4234" s="7">
        <v>0</v>
      </c>
      <c r="M4234" s="19" t="e">
        <f>Planning[[#This Row],[Saldo]]-Planning[[#This Row],[Saldo estimado]]</f>
        <v>#REF!</v>
      </c>
      <c r="N4234" s="60" t="e">
        <f>+SUMIFS(#REF!,#REF!,Planning[[#This Row],[Proyectos]],#REF!,Planning[[#This Row],[Tipo de Tarea y especialidad]])</f>
        <v>#REF!</v>
      </c>
      <c r="O4234" s="19">
        <f t="shared" si="132"/>
        <v>10</v>
      </c>
      <c r="P4234" s="19">
        <f t="shared" si="133"/>
        <v>2024</v>
      </c>
      <c r="Q42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34" s="49" t="str">
        <f>TEXT(Planning[[#This Row],[Mes]]*29,"mmmm")</f>
        <v>October</v>
      </c>
      <c r="S423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34" s="213"/>
      <c r="U4234" s="43" t="e">
        <f>IF(Planning[[#This Row],[Horas Planificadas]]&lt;&gt;0,+K4234/Planning[[#This Row],[Horas Planificadas]],0)</f>
        <v>#REF!</v>
      </c>
      <c r="V4234" s="43" t="e">
        <f>IF(Planning[[#This Row],[Horas Planificadas]]&lt;&gt;0,Planning[[#This Row],[Horas utilizadas]]/Planning[[#This Row],[Horas Planificadas]],0)</f>
        <v>#REF!</v>
      </c>
      <c r="W4234" s="44">
        <f>Planning[[#This Row],[Horas Planificadas]]+Planning[[#This Row],[Horas ajustadas adicionales]]</f>
        <v>128</v>
      </c>
      <c r="X4234" s="142"/>
    </row>
    <row r="4235" spans="1:24" x14ac:dyDescent="0.2">
      <c r="A4235" s="7" t="s">
        <v>626</v>
      </c>
      <c r="B4235" s="7" t="s">
        <v>169</v>
      </c>
      <c r="C4235" s="3"/>
      <c r="D4235" s="3" t="s">
        <v>734</v>
      </c>
      <c r="E4235" s="4"/>
      <c r="F4235" s="3" t="s">
        <v>126</v>
      </c>
      <c r="G4235" s="9">
        <v>0</v>
      </c>
      <c r="H4235" s="9">
        <v>477</v>
      </c>
      <c r="I4235" s="12"/>
      <c r="J4235" s="5" t="e">
        <f>SUM(SUMIFS(#REF!,#REF!,Planning[[#This Row],[Tipo de Tarea y especialidad]],#REF!,Planning[[#This Row],[Proyectos Reiwa]]),SUMIFS(#REF!,#REF!,Planning[[#This Row],[Tipo de Tarea y especialidad]],#REF!,Planning[[#This Row],[Proyectos]]))</f>
        <v>#REF!</v>
      </c>
      <c r="K4235" s="5" t="e">
        <f>+Planning[[#This Row],[Horas Planificadas]]+Planning[[#This Row],[Horas ajustadas adicionales]]-Planning[[#This Row],[Horas utilizadas]]</f>
        <v>#REF!</v>
      </c>
      <c r="L4235" s="7">
        <v>0</v>
      </c>
      <c r="M4235" s="19" t="e">
        <f>Planning[[#This Row],[Saldo]]-Planning[[#This Row],[Saldo estimado]]</f>
        <v>#REF!</v>
      </c>
      <c r="N4235" s="60" t="e">
        <f>+SUMIFS(#REF!,#REF!,Planning[[#This Row],[Proyectos]],#REF!,Planning[[#This Row],[Tipo de Tarea y especialidad]])</f>
        <v>#REF!</v>
      </c>
      <c r="O4235" s="19">
        <f t="shared" si="132"/>
        <v>10</v>
      </c>
      <c r="P4235" s="19">
        <f t="shared" si="133"/>
        <v>2024</v>
      </c>
      <c r="Q42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35" s="49" t="str">
        <f>TEXT(Planning[[#This Row],[Mes]]*29,"mmmm")</f>
        <v>October</v>
      </c>
      <c r="S423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35" s="213"/>
      <c r="U4235" s="43" t="e">
        <f>IF(Planning[[#This Row],[Horas Planificadas]]&lt;&gt;0,+K4235/Planning[[#This Row],[Horas Planificadas]],0)</f>
        <v>#REF!</v>
      </c>
      <c r="V4235" s="43" t="e">
        <f>IF(Planning[[#This Row],[Horas Planificadas]]&lt;&gt;0,Planning[[#This Row],[Horas utilizadas]]/Planning[[#This Row],[Horas Planificadas]],0)</f>
        <v>#REF!</v>
      </c>
      <c r="W4235" s="44">
        <f>Planning[[#This Row],[Horas Planificadas]]+Planning[[#This Row],[Horas ajustadas adicionales]]</f>
        <v>477</v>
      </c>
      <c r="X4235" s="142"/>
    </row>
    <row r="4236" spans="1:24" x14ac:dyDescent="0.2">
      <c r="A4236" s="7" t="s">
        <v>626</v>
      </c>
      <c r="B4236" s="7" t="s">
        <v>169</v>
      </c>
      <c r="C4236" s="3"/>
      <c r="D4236" s="3" t="s">
        <v>734</v>
      </c>
      <c r="E4236" s="4"/>
      <c r="F4236" s="3" t="s">
        <v>127</v>
      </c>
      <c r="G4236" s="9">
        <v>0</v>
      </c>
      <c r="H4236" s="9">
        <v>136</v>
      </c>
      <c r="I4236" s="12"/>
      <c r="J4236" s="5" t="e">
        <f>SUM(SUMIFS(#REF!,#REF!,Planning[[#This Row],[Tipo de Tarea y especialidad]],#REF!,Planning[[#This Row],[Proyectos Reiwa]]),SUMIFS(#REF!,#REF!,Planning[[#This Row],[Tipo de Tarea y especialidad]],#REF!,Planning[[#This Row],[Proyectos]]))</f>
        <v>#REF!</v>
      </c>
      <c r="K4236" s="5" t="e">
        <f>+Planning[[#This Row],[Horas Planificadas]]+Planning[[#This Row],[Horas ajustadas adicionales]]-Planning[[#This Row],[Horas utilizadas]]</f>
        <v>#REF!</v>
      </c>
      <c r="L4236" s="7">
        <v>0</v>
      </c>
      <c r="M4236" s="19" t="e">
        <f>Planning[[#This Row],[Saldo]]-Planning[[#This Row],[Saldo estimado]]</f>
        <v>#REF!</v>
      </c>
      <c r="N4236" s="60" t="e">
        <f>+SUMIFS(#REF!,#REF!,Planning[[#This Row],[Proyectos]],#REF!,Planning[[#This Row],[Tipo de Tarea y especialidad]])</f>
        <v>#REF!</v>
      </c>
      <c r="O4236" s="19">
        <f t="shared" si="132"/>
        <v>10</v>
      </c>
      <c r="P4236" s="19">
        <f t="shared" si="133"/>
        <v>2024</v>
      </c>
      <c r="Q42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36" s="49" t="str">
        <f>TEXT(Planning[[#This Row],[Mes]]*29,"mmmm")</f>
        <v>October</v>
      </c>
      <c r="S423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36" s="213"/>
      <c r="U4236" s="43" t="e">
        <f>IF(Planning[[#This Row],[Horas Planificadas]]&lt;&gt;0,+K4236/Planning[[#This Row],[Horas Planificadas]],0)</f>
        <v>#REF!</v>
      </c>
      <c r="V4236" s="43" t="e">
        <f>IF(Planning[[#This Row],[Horas Planificadas]]&lt;&gt;0,Planning[[#This Row],[Horas utilizadas]]/Planning[[#This Row],[Horas Planificadas]],0)</f>
        <v>#REF!</v>
      </c>
      <c r="W4236" s="44">
        <f>Planning[[#This Row],[Horas Planificadas]]+Planning[[#This Row],[Horas ajustadas adicionales]]</f>
        <v>136</v>
      </c>
      <c r="X4236" s="142"/>
    </row>
    <row r="4237" spans="1:24" x14ac:dyDescent="0.2">
      <c r="A4237" s="7" t="s">
        <v>626</v>
      </c>
      <c r="B4237" s="7" t="s">
        <v>169</v>
      </c>
      <c r="C4237" s="3"/>
      <c r="D4237" s="3" t="s">
        <v>734</v>
      </c>
      <c r="E4237" s="4"/>
      <c r="F4237" s="3" t="s">
        <v>128</v>
      </c>
      <c r="G4237" s="9">
        <v>0</v>
      </c>
      <c r="H4237" s="9">
        <v>0</v>
      </c>
      <c r="I4237" s="12"/>
      <c r="J4237" s="5" t="e">
        <f>SUM(SUMIFS(#REF!,#REF!,Planning[[#This Row],[Tipo de Tarea y especialidad]],#REF!,Planning[[#This Row],[Proyectos Reiwa]]),SUMIFS(#REF!,#REF!,Planning[[#This Row],[Tipo de Tarea y especialidad]],#REF!,Planning[[#This Row],[Proyectos]]))</f>
        <v>#REF!</v>
      </c>
      <c r="K4237" s="5" t="e">
        <f>+Planning[[#This Row],[Horas Planificadas]]+Planning[[#This Row],[Horas ajustadas adicionales]]-Planning[[#This Row],[Horas utilizadas]]</f>
        <v>#REF!</v>
      </c>
      <c r="L4237" s="7">
        <v>0</v>
      </c>
      <c r="M4237" s="19" t="e">
        <f>Planning[[#This Row],[Saldo]]-Planning[[#This Row],[Saldo estimado]]</f>
        <v>#REF!</v>
      </c>
      <c r="N4237" s="60" t="e">
        <f>+SUMIFS(#REF!,#REF!,Planning[[#This Row],[Proyectos]],#REF!,Planning[[#This Row],[Tipo de Tarea y especialidad]])</f>
        <v>#REF!</v>
      </c>
      <c r="O4237" s="19">
        <f t="shared" si="132"/>
        <v>10</v>
      </c>
      <c r="P4237" s="19">
        <f t="shared" si="133"/>
        <v>2024</v>
      </c>
      <c r="Q42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37" s="49" t="str">
        <f>TEXT(Planning[[#This Row],[Mes]]*29,"mmmm")</f>
        <v>October</v>
      </c>
      <c r="S423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37" s="213"/>
      <c r="U4237" s="43">
        <f>IF(Planning[[#This Row],[Horas Planificadas]]&lt;&gt;0,+K4237/Planning[[#This Row],[Horas Planificadas]],0)</f>
        <v>0</v>
      </c>
      <c r="V4237" s="43">
        <f>IF(Planning[[#This Row],[Horas Planificadas]]&lt;&gt;0,Planning[[#This Row],[Horas utilizadas]]/Planning[[#This Row],[Horas Planificadas]],0)</f>
        <v>0</v>
      </c>
      <c r="W4237" s="44">
        <f>Planning[[#This Row],[Horas Planificadas]]+Planning[[#This Row],[Horas ajustadas adicionales]]</f>
        <v>0</v>
      </c>
      <c r="X4237" s="142"/>
    </row>
    <row r="4238" spans="1:24" x14ac:dyDescent="0.2">
      <c r="A4238" s="7" t="s">
        <v>626</v>
      </c>
      <c r="B4238" s="7" t="s">
        <v>169</v>
      </c>
      <c r="C4238" s="3"/>
      <c r="D4238" s="3" t="s">
        <v>734</v>
      </c>
      <c r="E4238" s="4" t="s">
        <v>31</v>
      </c>
      <c r="F4238" s="3" t="s">
        <v>31</v>
      </c>
      <c r="G4238" s="9">
        <v>22</v>
      </c>
      <c r="H4238" s="17">
        <f>Planning[[#This Row],[Horas Precálculo]]</f>
        <v>22</v>
      </c>
      <c r="I4238" s="18"/>
      <c r="J4238" s="14" t="e">
        <f>+SUMIFS(#REF!,#REF!,Planning[[#This Row],[Tarifa]],#REF!,Planning[[#This Row],[Proyectos]])</f>
        <v>#REF!</v>
      </c>
      <c r="K4238" s="14" t="e">
        <f>+Planning[[#This Row],[Horas Planificadas]]+Planning[[#This Row],[Horas ajustadas adicionales]]-Planning[[#This Row],[Horas utilizadas]]</f>
        <v>#REF!</v>
      </c>
      <c r="L4238" s="15" t="e">
        <f>Planning[[#This Row],[Saldo]]</f>
        <v>#REF!</v>
      </c>
      <c r="M4238" s="16" t="e">
        <f>Planning[[#This Row],[Saldo]]-Planning[[#This Row],[Saldo estimado]]</f>
        <v>#REF!</v>
      </c>
      <c r="N4238" s="60" t="e">
        <f>+SUMIFS(#REF!,#REF!,Planning[[#This Row],[Proyectos]],#REF!,Planning[[#This Row],[Tipo de Tarea y especialidad]])</f>
        <v>#REF!</v>
      </c>
      <c r="O4238" s="16">
        <f t="shared" si="132"/>
        <v>10</v>
      </c>
      <c r="P4238" s="16">
        <f t="shared" si="133"/>
        <v>2024</v>
      </c>
      <c r="Q4238" s="16" t="e">
        <f>+SUMIFS(#REF!,#REF!,Planning[[#This Row],[Tarifa]],#REF!,Planning[[#This Row],[Proyectos]],#REF!,Planning[[#This Row],[Mes]],#REF!,Planning[[#This Row],[Año]])</f>
        <v>#REF!</v>
      </c>
      <c r="R4238" s="50" t="str">
        <f>TEXT(Planning[[#This Row],[Mes]]*29,"mmmm")</f>
        <v>October</v>
      </c>
      <c r="S423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38" s="213"/>
      <c r="U4238" s="43" t="e">
        <f>IF(Planning[[#This Row],[Horas Planificadas]]&lt;&gt;0,+K4238/Planning[[#This Row],[Horas Planificadas]],0)</f>
        <v>#REF!</v>
      </c>
      <c r="V4238" s="43" t="e">
        <f>IF(Planning[[#This Row],[Horas Planificadas]]&lt;&gt;0,Planning[[#This Row],[Horas utilizadas]]/Planning[[#This Row],[Horas Planificadas]],0)</f>
        <v>#REF!</v>
      </c>
      <c r="W4238" s="44">
        <f>Planning[[#This Row],[Horas Planificadas]]+Planning[[#This Row],[Horas ajustadas adicionales]]</f>
        <v>22</v>
      </c>
      <c r="X4238" s="142"/>
    </row>
    <row r="4239" spans="1:24" ht="22.5" x14ac:dyDescent="0.2">
      <c r="A4239" s="7" t="s">
        <v>626</v>
      </c>
      <c r="B4239" s="7" t="s">
        <v>169</v>
      </c>
      <c r="C4239" s="3"/>
      <c r="D4239" s="3" t="s">
        <v>734</v>
      </c>
      <c r="E4239" s="4" t="s">
        <v>32</v>
      </c>
      <c r="F4239" s="3"/>
      <c r="G4239" s="9">
        <v>0</v>
      </c>
      <c r="H4239" s="14">
        <f>SUM(H4240:H4242)</f>
        <v>562</v>
      </c>
      <c r="I4239" s="14"/>
      <c r="J4239" s="14" t="e">
        <f>SUM(J4240:J4242)</f>
        <v>#REF!</v>
      </c>
      <c r="K4239" s="14" t="e">
        <f>+Planning[[#This Row],[Horas Planificadas]]+Planning[[#This Row],[Horas ajustadas adicionales]]-Planning[[#This Row],[Horas utilizadas]]</f>
        <v>#REF!</v>
      </c>
      <c r="L4239" s="15">
        <f>SUM(L4240:L4242)</f>
        <v>0</v>
      </c>
      <c r="M4239" s="16" t="e">
        <f>SUM(M4240:M4242)</f>
        <v>#REF!</v>
      </c>
      <c r="N4239" s="60" t="e">
        <f>+SUMIFS(#REF!,#REF!,Planning[[#This Row],[Proyectos]],#REF!,Planning[[#This Row],[Tipo de Tarea y especialidad]])</f>
        <v>#REF!</v>
      </c>
      <c r="O4239" s="16">
        <f t="shared" si="132"/>
        <v>10</v>
      </c>
      <c r="P4239" s="16">
        <f t="shared" si="133"/>
        <v>2024</v>
      </c>
      <c r="Q4239" s="16" t="e">
        <f>SUM(Q4240:Q4242)</f>
        <v>#REF!</v>
      </c>
      <c r="R4239" s="50" t="str">
        <f>TEXT(Planning[[#This Row],[Mes]]*29,"mmmm")</f>
        <v>October</v>
      </c>
      <c r="S423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39" s="213"/>
      <c r="U4239" s="43" t="e">
        <f>IF(Planning[[#This Row],[Horas Planificadas]]&lt;&gt;0,+K4239/Planning[[#This Row],[Horas Planificadas]],0)</f>
        <v>#REF!</v>
      </c>
      <c r="V4239" s="43" t="e">
        <f>IF(Planning[[#This Row],[Horas Planificadas]]&lt;&gt;0,Planning[[#This Row],[Horas utilizadas]]/Planning[[#This Row],[Horas Planificadas]],0)</f>
        <v>#REF!</v>
      </c>
      <c r="W4239" s="44">
        <f>Planning[[#This Row],[Horas Planificadas]]+Planning[[#This Row],[Horas ajustadas adicionales]]</f>
        <v>562</v>
      </c>
      <c r="X4239" s="142"/>
    </row>
    <row r="4240" spans="1:24" x14ac:dyDescent="0.2">
      <c r="A4240" s="7" t="s">
        <v>626</v>
      </c>
      <c r="B4240" s="7" t="s">
        <v>169</v>
      </c>
      <c r="C4240" s="3"/>
      <c r="D4240" s="3" t="s">
        <v>734</v>
      </c>
      <c r="E4240" s="4"/>
      <c r="F4240" s="3" t="s">
        <v>129</v>
      </c>
      <c r="G4240" s="9">
        <v>0</v>
      </c>
      <c r="H4240" s="9">
        <v>422</v>
      </c>
      <c r="I4240" s="12"/>
      <c r="J4240" s="5" t="e">
        <f>SUM(SUMIFS(#REF!,#REF!,Planning[[#This Row],[Tipo de Tarea y especialidad]],#REF!,Planning[[#This Row],[Proyectos Reiwa]]),SUMIFS(#REF!,#REF!,Planning[[#This Row],[Tipo de Tarea y especialidad]],#REF!,Planning[[#This Row],[Proyectos]]))</f>
        <v>#REF!</v>
      </c>
      <c r="K4240" s="5" t="e">
        <f>+Planning[[#This Row],[Horas Planificadas]]+Planning[[#This Row],[Horas ajustadas adicionales]]-Planning[[#This Row],[Horas utilizadas]]</f>
        <v>#REF!</v>
      </c>
      <c r="L4240" s="7">
        <v>0</v>
      </c>
      <c r="M4240" s="19" t="e">
        <f>Planning[[#This Row],[Saldo]]-Planning[[#This Row],[Saldo estimado]]</f>
        <v>#REF!</v>
      </c>
      <c r="N4240" s="60" t="e">
        <f>+SUMIFS(#REF!,#REF!,Planning[[#This Row],[Proyectos]],#REF!,Planning[[#This Row],[Tipo de Tarea y especialidad]])</f>
        <v>#REF!</v>
      </c>
      <c r="O4240" s="19">
        <f t="shared" si="132"/>
        <v>10</v>
      </c>
      <c r="P4240" s="19">
        <f t="shared" si="133"/>
        <v>2024</v>
      </c>
      <c r="Q42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40" s="49" t="str">
        <f>TEXT(Planning[[#This Row],[Mes]]*29,"mmmm")</f>
        <v>October</v>
      </c>
      <c r="S424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40" s="213"/>
      <c r="U4240" s="43" t="e">
        <f>IF(Planning[[#This Row],[Horas Planificadas]]&lt;&gt;0,+K4240/Planning[[#This Row],[Horas Planificadas]],0)</f>
        <v>#REF!</v>
      </c>
      <c r="V4240" s="43" t="e">
        <f>IF(Planning[[#This Row],[Horas Planificadas]]&lt;&gt;0,Planning[[#This Row],[Horas utilizadas]]/Planning[[#This Row],[Horas Planificadas]],0)</f>
        <v>#REF!</v>
      </c>
      <c r="W4240" s="44">
        <f>Planning[[#This Row],[Horas Planificadas]]+Planning[[#This Row],[Horas ajustadas adicionales]]</f>
        <v>422</v>
      </c>
      <c r="X4240" s="142"/>
    </row>
    <row r="4241" spans="1:24" x14ac:dyDescent="0.2">
      <c r="A4241" s="7" t="s">
        <v>626</v>
      </c>
      <c r="B4241" s="7" t="s">
        <v>169</v>
      </c>
      <c r="C4241" s="3"/>
      <c r="D4241" s="3" t="s">
        <v>734</v>
      </c>
      <c r="E4241" s="4"/>
      <c r="F4241" s="3" t="s">
        <v>130</v>
      </c>
      <c r="G4241" s="9">
        <v>0</v>
      </c>
      <c r="H4241" s="9">
        <v>140</v>
      </c>
      <c r="I4241" s="12"/>
      <c r="J4241" s="5" t="e">
        <f>SUM(SUMIFS(#REF!,#REF!,Planning[[#This Row],[Tipo de Tarea y especialidad]],#REF!,Planning[[#This Row],[Proyectos Reiwa]]),SUMIFS(#REF!,#REF!,Planning[[#This Row],[Tipo de Tarea y especialidad]],#REF!,Planning[[#This Row],[Proyectos]]))</f>
        <v>#REF!</v>
      </c>
      <c r="K4241" s="5" t="e">
        <f>+Planning[[#This Row],[Horas Planificadas]]+Planning[[#This Row],[Horas ajustadas adicionales]]-Planning[[#This Row],[Horas utilizadas]]</f>
        <v>#REF!</v>
      </c>
      <c r="L4241" s="7">
        <v>0</v>
      </c>
      <c r="M4241" s="19" t="e">
        <f>Planning[[#This Row],[Saldo]]-Planning[[#This Row],[Saldo estimado]]</f>
        <v>#REF!</v>
      </c>
      <c r="N4241" s="60" t="e">
        <f>+SUMIFS(#REF!,#REF!,Planning[[#This Row],[Proyectos]],#REF!,Planning[[#This Row],[Tipo de Tarea y especialidad]])</f>
        <v>#REF!</v>
      </c>
      <c r="O4241" s="19">
        <f t="shared" si="132"/>
        <v>10</v>
      </c>
      <c r="P4241" s="19">
        <f t="shared" si="133"/>
        <v>2024</v>
      </c>
      <c r="Q42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41" s="49" t="str">
        <f>TEXT(Planning[[#This Row],[Mes]]*29,"mmmm")</f>
        <v>October</v>
      </c>
      <c r="S424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41" s="213"/>
      <c r="U4241" s="43" t="e">
        <f>IF(Planning[[#This Row],[Horas Planificadas]]&lt;&gt;0,+K4241/Planning[[#This Row],[Horas Planificadas]],0)</f>
        <v>#REF!</v>
      </c>
      <c r="V4241" s="43" t="e">
        <f>IF(Planning[[#This Row],[Horas Planificadas]]&lt;&gt;0,Planning[[#This Row],[Horas utilizadas]]/Planning[[#This Row],[Horas Planificadas]],0)</f>
        <v>#REF!</v>
      </c>
      <c r="W4241" s="44">
        <f>Planning[[#This Row],[Horas Planificadas]]+Planning[[#This Row],[Horas ajustadas adicionales]]</f>
        <v>140</v>
      </c>
      <c r="X4241" s="142"/>
    </row>
    <row r="4242" spans="1:24" x14ac:dyDescent="0.2">
      <c r="A4242" s="7" t="s">
        <v>626</v>
      </c>
      <c r="B4242" s="7" t="s">
        <v>169</v>
      </c>
      <c r="C4242" s="3"/>
      <c r="D4242" s="3" t="s">
        <v>734</v>
      </c>
      <c r="E4242" s="4"/>
      <c r="F4242" s="3" t="s">
        <v>131</v>
      </c>
      <c r="G4242" s="9">
        <v>0</v>
      </c>
      <c r="H4242" s="9">
        <v>0</v>
      </c>
      <c r="I4242" s="12"/>
      <c r="J4242" s="5" t="e">
        <f>SUM(SUMIFS(#REF!,#REF!,Planning[[#This Row],[Tipo de Tarea y especialidad]],#REF!,Planning[[#This Row],[Proyectos Reiwa]]),SUMIFS(#REF!,#REF!,Planning[[#This Row],[Tipo de Tarea y especialidad]],#REF!,Planning[[#This Row],[Proyectos]]))</f>
        <v>#REF!</v>
      </c>
      <c r="K4242" s="5" t="e">
        <f>+Planning[[#This Row],[Horas Planificadas]]+Planning[[#This Row],[Horas ajustadas adicionales]]-Planning[[#This Row],[Horas utilizadas]]</f>
        <v>#REF!</v>
      </c>
      <c r="L4242" s="7">
        <v>0</v>
      </c>
      <c r="M4242" s="19" t="e">
        <f>Planning[[#This Row],[Saldo]]-Planning[[#This Row],[Saldo estimado]]</f>
        <v>#REF!</v>
      </c>
      <c r="N4242" s="60" t="e">
        <f>+SUMIFS(#REF!,#REF!,Planning[[#This Row],[Proyectos]],#REF!,Planning[[#This Row],[Tipo de Tarea y especialidad]])</f>
        <v>#REF!</v>
      </c>
      <c r="O4242" s="19">
        <f t="shared" si="132"/>
        <v>10</v>
      </c>
      <c r="P4242" s="19">
        <f t="shared" si="133"/>
        <v>2024</v>
      </c>
      <c r="Q42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42" s="51" t="str">
        <f>TEXT(Planning[[#This Row],[Mes]]*29,"mmmm")</f>
        <v>October</v>
      </c>
      <c r="S424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42" s="214"/>
      <c r="U4242" s="43">
        <f>IF(Planning[[#This Row],[Horas Planificadas]]&lt;&gt;0,+K4242/Planning[[#This Row],[Horas Planificadas]],0)</f>
        <v>0</v>
      </c>
      <c r="V4242" s="43">
        <f>IF(Planning[[#This Row],[Horas Planificadas]]&lt;&gt;0,Planning[[#This Row],[Horas utilizadas]]/Planning[[#This Row],[Horas Planificadas]],0)</f>
        <v>0</v>
      </c>
      <c r="W4242" s="44">
        <f>Planning[[#This Row],[Horas Planificadas]]+Planning[[#This Row],[Horas ajustadas adicionales]]</f>
        <v>0</v>
      </c>
      <c r="X4242" s="142"/>
    </row>
    <row r="4243" spans="1:24" ht="12.75" customHeight="1" x14ac:dyDescent="0.2">
      <c r="A4243" s="7" t="s">
        <v>204</v>
      </c>
      <c r="B4243" s="54" t="s">
        <v>288</v>
      </c>
      <c r="C4243" s="3">
        <v>116881</v>
      </c>
      <c r="D4243" s="3" t="s">
        <v>736</v>
      </c>
      <c r="E4243" s="4" t="s">
        <v>28</v>
      </c>
      <c r="F4243" s="3"/>
      <c r="G4243" s="9">
        <v>0</v>
      </c>
      <c r="H4243" s="14">
        <f>SUM(H4244:H4245)</f>
        <v>756</v>
      </c>
      <c r="I4243" s="14"/>
      <c r="J4243" s="14" t="e">
        <f>SUM(J4244:J4245)</f>
        <v>#REF!</v>
      </c>
      <c r="K4243" s="14" t="e">
        <f>+Planning[[#This Row],[Horas Planificadas]]+Planning[[#This Row],[Horas ajustadas adicionales]]-Planning[[#This Row],[Horas utilizadas]]</f>
        <v>#REF!</v>
      </c>
      <c r="L4243" s="15">
        <f>SUM(L4244:L4245)</f>
        <v>18</v>
      </c>
      <c r="M4243" s="14" t="e">
        <f>SUM(M4244:M4245)</f>
        <v>#REF!</v>
      </c>
      <c r="N4243" s="66" t="e">
        <f>+SUMIFS(#REF!,#REF!,Planning[[#This Row],[Proyectos]],#REF!,Planning[[#This Row],[Tipo de Tarea y especialidad]])</f>
        <v>#REF!</v>
      </c>
      <c r="O4243" s="14">
        <f t="shared" si="132"/>
        <v>10</v>
      </c>
      <c r="P4243" s="14">
        <f t="shared" si="133"/>
        <v>2024</v>
      </c>
      <c r="Q4243" s="28" t="e">
        <f>SUM(Q4244:Q4245)</f>
        <v>#REF!</v>
      </c>
      <c r="R4243" s="28" t="str">
        <f>TEXT(Planning[[#This Row],[Mes]]*29,"mmmm")</f>
        <v>October</v>
      </c>
      <c r="S42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43" s="207" t="s">
        <v>737</v>
      </c>
      <c r="U4243" s="43" t="e">
        <f>IF(Planning[[#This Row],[Horas Planificadas]]&lt;&gt;0,+K4243/Planning[[#This Row],[Horas Planificadas]],0)</f>
        <v>#REF!</v>
      </c>
      <c r="V4243" s="43" t="e">
        <f>IF(Planning[[#This Row],[Horas Planificadas]]&lt;&gt;0,Planning[[#This Row],[Horas utilizadas]]/Planning[[#This Row],[Horas Planificadas]],0)</f>
        <v>#REF!</v>
      </c>
      <c r="W4243" s="44">
        <f>Planning[[#This Row],[Horas Planificadas]]+Planning[[#This Row],[Horas ajustadas adicionales]]</f>
        <v>756</v>
      </c>
      <c r="X4243" s="142"/>
    </row>
    <row r="4244" spans="1:24" x14ac:dyDescent="0.2">
      <c r="A4244" s="7" t="s">
        <v>204</v>
      </c>
      <c r="B4244" s="54" t="s">
        <v>288</v>
      </c>
      <c r="C4244" s="3">
        <v>116881</v>
      </c>
      <c r="D4244" s="3" t="s">
        <v>736</v>
      </c>
      <c r="E4244" s="4"/>
      <c r="F4244" s="3" t="s">
        <v>120</v>
      </c>
      <c r="G4244" s="9">
        <v>616</v>
      </c>
      <c r="H4244" s="9">
        <v>616</v>
      </c>
      <c r="I4244" s="12"/>
      <c r="J4244" s="5" t="e">
        <f>SUM(SUMIFS(#REF!,#REF!,Planning[[#This Row],[Tipo de Tarea y especialidad]],#REF!,Planning[[#This Row],[Proyectos Reiwa]]),SUMIFS(#REF!,#REF!,Planning[[#This Row],[Tipo de Tarea y especialidad]],#REF!,Planning[[#This Row],[Proyectos]]))</f>
        <v>#REF!</v>
      </c>
      <c r="K4244" s="5" t="e">
        <f>+Planning[[#This Row],[Horas Planificadas]]+Planning[[#This Row],[Horas ajustadas adicionales]]-Planning[[#This Row],[Horas utilizadas]]</f>
        <v>#REF!</v>
      </c>
      <c r="L4244" s="7">
        <v>0</v>
      </c>
      <c r="M4244" s="19" t="e">
        <f>Planning[[#This Row],[Saldo]]-Planning[[#This Row],[Saldo estimado]]</f>
        <v>#REF!</v>
      </c>
      <c r="N4244" s="60" t="e">
        <f>+SUMIFS(#REF!,#REF!,Planning[[#This Row],[Proyectos]],#REF!,Planning[[#This Row],[Tipo de Tarea y especialidad]])</f>
        <v>#REF!</v>
      </c>
      <c r="O4244" s="19">
        <f t="shared" si="132"/>
        <v>10</v>
      </c>
      <c r="P4244" s="19">
        <f t="shared" si="133"/>
        <v>2024</v>
      </c>
      <c r="Q42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44" s="19" t="str">
        <f>TEXT(Planning[[#This Row],[Mes]]*29,"mmmm")</f>
        <v>October</v>
      </c>
      <c r="S42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44" s="208"/>
      <c r="U4244" s="43" t="e">
        <f>IF(Planning[[#This Row],[Horas Planificadas]]&lt;&gt;0,+K4244/Planning[[#This Row],[Horas Planificadas]],0)</f>
        <v>#REF!</v>
      </c>
      <c r="V4244" s="43" t="e">
        <f>IF(Planning[[#This Row],[Horas Planificadas]]&lt;&gt;0,Planning[[#This Row],[Horas utilizadas]]/Planning[[#This Row],[Horas Planificadas]],0)</f>
        <v>#REF!</v>
      </c>
      <c r="W4244" s="44">
        <f>Planning[[#This Row],[Horas Planificadas]]+Planning[[#This Row],[Horas ajustadas adicionales]]</f>
        <v>616</v>
      </c>
      <c r="X4244" s="142"/>
    </row>
    <row r="4245" spans="1:24" x14ac:dyDescent="0.2">
      <c r="A4245" s="7" t="s">
        <v>204</v>
      </c>
      <c r="B4245" s="54" t="s">
        <v>288</v>
      </c>
      <c r="C4245" s="3">
        <v>116881</v>
      </c>
      <c r="D4245" s="3" t="s">
        <v>736</v>
      </c>
      <c r="E4245" s="4"/>
      <c r="F4245" s="3" t="s">
        <v>121</v>
      </c>
      <c r="G4245" s="9">
        <v>140</v>
      </c>
      <c r="H4245" s="9">
        <v>140</v>
      </c>
      <c r="I4245" s="12"/>
      <c r="J4245" s="5" t="e">
        <f>SUM(SUMIFS(#REF!,#REF!,Planning[[#This Row],[Tipo de Tarea y especialidad]],#REF!,Planning[[#This Row],[Proyectos Reiwa]]),SUMIFS(#REF!,#REF!,Planning[[#This Row],[Tipo de Tarea y especialidad]],#REF!,Planning[[#This Row],[Proyectos]]))</f>
        <v>#REF!</v>
      </c>
      <c r="K4245" s="5" t="e">
        <f>+Planning[[#This Row],[Horas Planificadas]]+Planning[[#This Row],[Horas ajustadas adicionales]]-Planning[[#This Row],[Horas utilizadas]]</f>
        <v>#REF!</v>
      </c>
      <c r="L4245" s="7">
        <v>18</v>
      </c>
      <c r="M4245" s="19" t="e">
        <f>Planning[[#This Row],[Saldo]]-Planning[[#This Row],[Saldo estimado]]</f>
        <v>#REF!</v>
      </c>
      <c r="N4245" s="60" t="e">
        <f>+SUMIFS(#REF!,#REF!,Planning[[#This Row],[Proyectos]],#REF!,Planning[[#This Row],[Tipo de Tarea y especialidad]])</f>
        <v>#REF!</v>
      </c>
      <c r="O4245" s="19">
        <f t="shared" si="132"/>
        <v>10</v>
      </c>
      <c r="P4245" s="19">
        <f t="shared" si="133"/>
        <v>2024</v>
      </c>
      <c r="Q42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45" s="19" t="str">
        <f>TEXT(Planning[[#This Row],[Mes]]*29,"mmmm")</f>
        <v>October</v>
      </c>
      <c r="S42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45" s="208"/>
      <c r="U4245" s="43" t="e">
        <f>IF(Planning[[#This Row],[Horas Planificadas]]&lt;&gt;0,+K4245/Planning[[#This Row],[Horas Planificadas]],0)</f>
        <v>#REF!</v>
      </c>
      <c r="V4245" s="43" t="e">
        <f>IF(Planning[[#This Row],[Horas Planificadas]]&lt;&gt;0,Planning[[#This Row],[Horas utilizadas]]/Planning[[#This Row],[Horas Planificadas]],0)</f>
        <v>#REF!</v>
      </c>
      <c r="W4245" s="44">
        <f>Planning[[#This Row],[Horas Planificadas]]+Planning[[#This Row],[Horas ajustadas adicionales]]</f>
        <v>140</v>
      </c>
      <c r="X4245" s="142"/>
    </row>
    <row r="4246" spans="1:24" x14ac:dyDescent="0.2">
      <c r="A4246" s="7" t="s">
        <v>204</v>
      </c>
      <c r="B4246" s="54" t="s">
        <v>288</v>
      </c>
      <c r="C4246" s="3">
        <v>116881</v>
      </c>
      <c r="D4246" s="3" t="s">
        <v>736</v>
      </c>
      <c r="E4246" s="4" t="s">
        <v>30</v>
      </c>
      <c r="F4246" s="3"/>
      <c r="G4246" s="9"/>
      <c r="H4246" s="14">
        <f>SUM(H4247:H4253)</f>
        <v>802</v>
      </c>
      <c r="I4246" s="14"/>
      <c r="J4246" s="14" t="e">
        <f>SUM(J4247:J4253)</f>
        <v>#REF!</v>
      </c>
      <c r="K4246" s="14" t="e">
        <f>+Planning[[#This Row],[Horas Planificadas]]+Planning[[#This Row],[Horas ajustadas adicionales]]-Planning[[#This Row],[Horas utilizadas]]</f>
        <v>#REF!</v>
      </c>
      <c r="L4246" s="15" t="e">
        <f>SUM(L4247:L4253)</f>
        <v>#REF!</v>
      </c>
      <c r="M4246" s="16" t="e">
        <f>SUM(M4247:M4253)</f>
        <v>#REF!</v>
      </c>
      <c r="N4246" s="60" t="e">
        <f>+SUMIFS(#REF!,#REF!,Planning[[#This Row],[Proyectos]],#REF!,Planning[[#This Row],[Tipo de Tarea y especialidad]])</f>
        <v>#REF!</v>
      </c>
      <c r="O4246" s="16">
        <f t="shared" si="132"/>
        <v>10</v>
      </c>
      <c r="P4246" s="16">
        <f t="shared" si="133"/>
        <v>2024</v>
      </c>
      <c r="Q4246" s="16" t="e">
        <f>SUM(Q4247:Q4253)</f>
        <v>#REF!</v>
      </c>
      <c r="R4246" s="16" t="str">
        <f>TEXT(Planning[[#This Row],[Mes]]*29,"mmmm")</f>
        <v>October</v>
      </c>
      <c r="S42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46" s="208"/>
      <c r="U4246" s="43" t="e">
        <f>IF(Planning[[#This Row],[Horas Planificadas]]&lt;&gt;0,+K4246/Planning[[#This Row],[Horas Planificadas]],0)</f>
        <v>#REF!</v>
      </c>
      <c r="V4246" s="43" t="e">
        <f>IF(Planning[[#This Row],[Horas Planificadas]]&lt;&gt;0,Planning[[#This Row],[Horas utilizadas]]/Planning[[#This Row],[Horas Planificadas]],0)</f>
        <v>#REF!</v>
      </c>
      <c r="W4246" s="44">
        <f>Planning[[#This Row],[Horas Planificadas]]+Planning[[#This Row],[Horas ajustadas adicionales]]</f>
        <v>802</v>
      </c>
      <c r="X4246" s="142"/>
    </row>
    <row r="4247" spans="1:24" x14ac:dyDescent="0.2">
      <c r="A4247" s="7" t="s">
        <v>204</v>
      </c>
      <c r="B4247" s="54" t="s">
        <v>288</v>
      </c>
      <c r="C4247" s="3">
        <v>116881</v>
      </c>
      <c r="D4247" s="3" t="s">
        <v>736</v>
      </c>
      <c r="E4247" s="4"/>
      <c r="F4247" s="3" t="s">
        <v>122</v>
      </c>
      <c r="G4247" s="9">
        <v>45</v>
      </c>
      <c r="H4247" s="41">
        <v>45</v>
      </c>
      <c r="I4247" s="12"/>
      <c r="J4247" s="5" t="e">
        <f>SUM(SUMIFS(#REF!,#REF!,Planning[[#This Row],[Tipo de Tarea y especialidad]],#REF!,Planning[[#This Row],[Proyectos Reiwa]]),SUMIFS(#REF!,#REF!,Planning[[#This Row],[Tipo de Tarea y especialidad]],#REF!,Planning[[#This Row],[Proyectos]]))</f>
        <v>#REF!</v>
      </c>
      <c r="K4247" s="5" t="e">
        <f>+Planning[[#This Row],[Horas Planificadas]]+Planning[[#This Row],[Horas ajustadas adicionales]]-Planning[[#This Row],[Horas utilizadas]]</f>
        <v>#REF!</v>
      </c>
      <c r="L4247" s="7">
        <v>0</v>
      </c>
      <c r="M4247" s="19" t="e">
        <f>Planning[[#This Row],[Saldo]]-Planning[[#This Row],[Saldo estimado]]</f>
        <v>#REF!</v>
      </c>
      <c r="N4247" s="60" t="e">
        <f>+SUMIFS(#REF!,#REF!,Planning[[#This Row],[Proyectos]],#REF!,Planning[[#This Row],[Tipo de Tarea y especialidad]])</f>
        <v>#REF!</v>
      </c>
      <c r="O4247" s="19">
        <f t="shared" si="132"/>
        <v>10</v>
      </c>
      <c r="P4247" s="19">
        <f t="shared" si="133"/>
        <v>2024</v>
      </c>
      <c r="Q42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47" s="19" t="str">
        <f>TEXT(Planning[[#This Row],[Mes]]*29,"mmmm")</f>
        <v>October</v>
      </c>
      <c r="S42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47" s="208"/>
      <c r="U4247" s="43" t="e">
        <f>IF(Planning[[#This Row],[Horas Planificadas]]&lt;&gt;0,+K4247/Planning[[#This Row],[Horas Planificadas]],0)</f>
        <v>#REF!</v>
      </c>
      <c r="V4247" s="43" t="e">
        <f>IF(Planning[[#This Row],[Horas Planificadas]]&lt;&gt;0,Planning[[#This Row],[Horas utilizadas]]/Planning[[#This Row],[Horas Planificadas]],0)</f>
        <v>#REF!</v>
      </c>
      <c r="W4247" s="44">
        <f>Planning[[#This Row],[Horas Planificadas]]+Planning[[#This Row],[Horas ajustadas adicionales]]</f>
        <v>45</v>
      </c>
      <c r="X4247" s="142"/>
    </row>
    <row r="4248" spans="1:24" x14ac:dyDescent="0.2">
      <c r="A4248" s="7" t="s">
        <v>204</v>
      </c>
      <c r="B4248" s="54" t="s">
        <v>288</v>
      </c>
      <c r="C4248" s="3">
        <v>116881</v>
      </c>
      <c r="D4248" s="3" t="s">
        <v>736</v>
      </c>
      <c r="E4248" s="4"/>
      <c r="F4248" s="3" t="s">
        <v>123</v>
      </c>
      <c r="G4248" s="9">
        <v>0</v>
      </c>
      <c r="H4248" s="41">
        <v>0</v>
      </c>
      <c r="I4248" s="12"/>
      <c r="J4248" s="5" t="e">
        <f>SUM(SUMIFS(#REF!,#REF!,Planning[[#This Row],[Tipo de Tarea y especialidad]],#REF!,Planning[[#This Row],[Proyectos Reiwa]]),SUMIFS(#REF!,#REF!,Planning[[#This Row],[Tipo de Tarea y especialidad]],#REF!,Planning[[#This Row],[Proyectos]]))</f>
        <v>#REF!</v>
      </c>
      <c r="K4248" s="5" t="e">
        <f>+Planning[[#This Row],[Horas Planificadas]]+Planning[[#This Row],[Horas ajustadas adicionales]]-Planning[[#This Row],[Horas utilizadas]]</f>
        <v>#REF!</v>
      </c>
      <c r="L4248" s="7" t="e">
        <f>Planning[[#This Row],[Saldo]]</f>
        <v>#REF!</v>
      </c>
      <c r="M4248" s="19" t="e">
        <f>Planning[[#This Row],[Saldo]]-Planning[[#This Row],[Saldo estimado]]</f>
        <v>#REF!</v>
      </c>
      <c r="N4248" s="60" t="e">
        <f>+SUMIFS(#REF!,#REF!,Planning[[#This Row],[Proyectos]],#REF!,Planning[[#This Row],[Tipo de Tarea y especialidad]])</f>
        <v>#REF!</v>
      </c>
      <c r="O4248" s="19">
        <f t="shared" si="132"/>
        <v>10</v>
      </c>
      <c r="P4248" s="19">
        <f t="shared" si="133"/>
        <v>2024</v>
      </c>
      <c r="Q42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48" s="19" t="str">
        <f>TEXT(Planning[[#This Row],[Mes]]*29,"mmmm")</f>
        <v>October</v>
      </c>
      <c r="S42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48" s="208"/>
      <c r="U4248" s="43">
        <f>IF(Planning[[#This Row],[Horas Planificadas]]&lt;&gt;0,+K4248/Planning[[#This Row],[Horas Planificadas]],0)</f>
        <v>0</v>
      </c>
      <c r="V4248" s="43">
        <f>IF(Planning[[#This Row],[Horas Planificadas]]&lt;&gt;0,Planning[[#This Row],[Horas utilizadas]]/Planning[[#This Row],[Horas Planificadas]],0)</f>
        <v>0</v>
      </c>
      <c r="W4248" s="44">
        <f>Planning[[#This Row],[Horas Planificadas]]+Planning[[#This Row],[Horas ajustadas adicionales]]</f>
        <v>0</v>
      </c>
      <c r="X4248" s="142"/>
    </row>
    <row r="4249" spans="1:24" x14ac:dyDescent="0.2">
      <c r="A4249" s="7" t="s">
        <v>204</v>
      </c>
      <c r="B4249" s="54" t="s">
        <v>288</v>
      </c>
      <c r="C4249" s="3">
        <v>116881</v>
      </c>
      <c r="D4249" s="3" t="s">
        <v>736</v>
      </c>
      <c r="E4249" s="4"/>
      <c r="F4249" s="3" t="s">
        <v>124</v>
      </c>
      <c r="G4249" s="9">
        <f>299-45</f>
        <v>254</v>
      </c>
      <c r="H4249" s="41">
        <v>254</v>
      </c>
      <c r="I4249" s="12"/>
      <c r="J4249" s="5" t="e">
        <f>SUM(SUMIFS(#REF!,#REF!,Planning[[#This Row],[Tipo de Tarea y especialidad]],#REF!,Planning[[#This Row],[Proyectos Reiwa]]),SUMIFS(#REF!,#REF!,Planning[[#This Row],[Tipo de Tarea y especialidad]],#REF!,Planning[[#This Row],[Proyectos]]))</f>
        <v>#REF!</v>
      </c>
      <c r="K4249" s="5" t="e">
        <f>+Planning[[#This Row],[Horas Planificadas]]+Planning[[#This Row],[Horas ajustadas adicionales]]-Planning[[#This Row],[Horas utilizadas]]</f>
        <v>#REF!</v>
      </c>
      <c r="L4249" s="54">
        <v>10</v>
      </c>
      <c r="M4249" s="19" t="e">
        <f>Planning[[#This Row],[Saldo]]-Planning[[#This Row],[Saldo estimado]]</f>
        <v>#REF!</v>
      </c>
      <c r="N4249" s="60" t="e">
        <f>+SUMIFS(#REF!,#REF!,Planning[[#This Row],[Proyectos]],#REF!,Planning[[#This Row],[Tipo de Tarea y especialidad]])</f>
        <v>#REF!</v>
      </c>
      <c r="O4249" s="19">
        <f t="shared" si="132"/>
        <v>10</v>
      </c>
      <c r="P4249" s="19">
        <f t="shared" si="133"/>
        <v>2024</v>
      </c>
      <c r="Q42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49" s="19" t="str">
        <f>TEXT(Planning[[#This Row],[Mes]]*29,"mmmm")</f>
        <v>October</v>
      </c>
      <c r="S42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49" s="208"/>
      <c r="U4249" s="43" t="e">
        <f>IF(Planning[[#This Row],[Horas Planificadas]]&lt;&gt;0,+K4249/Planning[[#This Row],[Horas Planificadas]],0)</f>
        <v>#REF!</v>
      </c>
      <c r="V4249" s="43" t="e">
        <f>IF(Planning[[#This Row],[Horas Planificadas]]&lt;&gt;0,Planning[[#This Row],[Horas utilizadas]]/Planning[[#This Row],[Horas Planificadas]],0)</f>
        <v>#REF!</v>
      </c>
      <c r="W4249" s="44">
        <f>Planning[[#This Row],[Horas Planificadas]]+Planning[[#This Row],[Horas ajustadas adicionales]]</f>
        <v>254</v>
      </c>
      <c r="X4249" s="142"/>
    </row>
    <row r="4250" spans="1:24" x14ac:dyDescent="0.2">
      <c r="A4250" s="7" t="s">
        <v>204</v>
      </c>
      <c r="B4250" s="54" t="s">
        <v>288</v>
      </c>
      <c r="C4250" s="3">
        <v>116881</v>
      </c>
      <c r="D4250" s="3" t="s">
        <v>736</v>
      </c>
      <c r="E4250" s="4"/>
      <c r="F4250" s="3" t="s">
        <v>125</v>
      </c>
      <c r="G4250" s="9">
        <v>0</v>
      </c>
      <c r="H4250" s="41">
        <v>0</v>
      </c>
      <c r="I4250" s="12"/>
      <c r="J4250" s="5" t="e">
        <f>SUM(SUMIFS(#REF!,#REF!,Planning[[#This Row],[Tipo de Tarea y especialidad]],#REF!,Planning[[#This Row],[Proyectos Reiwa]]),SUMIFS(#REF!,#REF!,Planning[[#This Row],[Tipo de Tarea y especialidad]],#REF!,Planning[[#This Row],[Proyectos]]))</f>
        <v>#REF!</v>
      </c>
      <c r="K4250" s="5" t="e">
        <f>+Planning[[#This Row],[Horas Planificadas]]+Planning[[#This Row],[Horas ajustadas adicionales]]-Planning[[#This Row],[Horas utilizadas]]</f>
        <v>#REF!</v>
      </c>
      <c r="L4250" s="7">
        <v>0</v>
      </c>
      <c r="M4250" s="19" t="e">
        <f>Planning[[#This Row],[Saldo]]-Planning[[#This Row],[Saldo estimado]]</f>
        <v>#REF!</v>
      </c>
      <c r="N4250" s="60" t="e">
        <f>+SUMIFS(#REF!,#REF!,Planning[[#This Row],[Proyectos]],#REF!,Planning[[#This Row],[Tipo de Tarea y especialidad]])</f>
        <v>#REF!</v>
      </c>
      <c r="O4250" s="19">
        <f t="shared" si="132"/>
        <v>10</v>
      </c>
      <c r="P4250" s="19">
        <f t="shared" si="133"/>
        <v>2024</v>
      </c>
      <c r="Q42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50" s="19" t="str">
        <f>TEXT(Planning[[#This Row],[Mes]]*29,"mmmm")</f>
        <v>October</v>
      </c>
      <c r="S42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50" s="208"/>
      <c r="U4250" s="43">
        <f>IF(Planning[[#This Row],[Horas Planificadas]]&lt;&gt;0,+K4250/Planning[[#This Row],[Horas Planificadas]],0)</f>
        <v>0</v>
      </c>
      <c r="V4250" s="43">
        <f>IF(Planning[[#This Row],[Horas Planificadas]]&lt;&gt;0,Planning[[#This Row],[Horas utilizadas]]/Planning[[#This Row],[Horas Planificadas]],0)</f>
        <v>0</v>
      </c>
      <c r="W4250" s="44">
        <f>Planning[[#This Row],[Horas Planificadas]]+Planning[[#This Row],[Horas ajustadas adicionales]]</f>
        <v>0</v>
      </c>
      <c r="X4250" s="142"/>
    </row>
    <row r="4251" spans="1:24" x14ac:dyDescent="0.2">
      <c r="A4251" s="7" t="s">
        <v>204</v>
      </c>
      <c r="B4251" s="54" t="s">
        <v>288</v>
      </c>
      <c r="C4251" s="3">
        <v>116881</v>
      </c>
      <c r="D4251" s="3" t="s">
        <v>736</v>
      </c>
      <c r="E4251" s="4"/>
      <c r="F4251" s="3" t="s">
        <v>126</v>
      </c>
      <c r="G4251" s="9">
        <v>63</v>
      </c>
      <c r="H4251" s="41">
        <v>63</v>
      </c>
      <c r="I4251" s="12"/>
      <c r="J4251" s="5" t="e">
        <f>SUM(SUMIFS(#REF!,#REF!,Planning[[#This Row],[Tipo de Tarea y especialidad]],#REF!,Planning[[#This Row],[Proyectos Reiwa]]),SUMIFS(#REF!,#REF!,Planning[[#This Row],[Tipo de Tarea y especialidad]],#REF!,Planning[[#This Row],[Proyectos]]))</f>
        <v>#REF!</v>
      </c>
      <c r="K4251" s="5" t="e">
        <f>+Planning[[#This Row],[Horas Planificadas]]+Planning[[#This Row],[Horas ajustadas adicionales]]-Planning[[#This Row],[Horas utilizadas]]</f>
        <v>#REF!</v>
      </c>
      <c r="L4251" s="7">
        <v>0</v>
      </c>
      <c r="M4251" s="19" t="e">
        <f>Planning[[#This Row],[Saldo]]-Planning[[#This Row],[Saldo estimado]]</f>
        <v>#REF!</v>
      </c>
      <c r="N4251" s="60" t="e">
        <f>+SUMIFS(#REF!,#REF!,Planning[[#This Row],[Proyectos]],#REF!,Planning[[#This Row],[Tipo de Tarea y especialidad]])</f>
        <v>#REF!</v>
      </c>
      <c r="O4251" s="19">
        <f t="shared" si="132"/>
        <v>10</v>
      </c>
      <c r="P4251" s="19">
        <f t="shared" si="133"/>
        <v>2024</v>
      </c>
      <c r="Q42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51" s="19" t="str">
        <f>TEXT(Planning[[#This Row],[Mes]]*29,"mmmm")</f>
        <v>October</v>
      </c>
      <c r="S42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51" s="208"/>
      <c r="U4251" s="43" t="e">
        <f>IF(Planning[[#This Row],[Horas Planificadas]]&lt;&gt;0,+K4251/Planning[[#This Row],[Horas Planificadas]],0)</f>
        <v>#REF!</v>
      </c>
      <c r="V4251" s="43" t="e">
        <f>IF(Planning[[#This Row],[Horas Planificadas]]&lt;&gt;0,Planning[[#This Row],[Horas utilizadas]]/Planning[[#This Row],[Horas Planificadas]],0)</f>
        <v>#REF!</v>
      </c>
      <c r="W4251" s="44">
        <f>Planning[[#This Row],[Horas Planificadas]]+Planning[[#This Row],[Horas ajustadas adicionales]]</f>
        <v>63</v>
      </c>
      <c r="X4251" s="142"/>
    </row>
    <row r="4252" spans="1:24" x14ac:dyDescent="0.2">
      <c r="A4252" s="7" t="s">
        <v>204</v>
      </c>
      <c r="B4252" s="54" t="s">
        <v>288</v>
      </c>
      <c r="C4252" s="3">
        <v>116881</v>
      </c>
      <c r="D4252" s="3" t="s">
        <v>736</v>
      </c>
      <c r="E4252" s="4"/>
      <c r="F4252" s="3" t="s">
        <v>127</v>
      </c>
      <c r="G4252" s="9">
        <v>0</v>
      </c>
      <c r="H4252" s="41">
        <v>0</v>
      </c>
      <c r="I4252" s="12"/>
      <c r="J4252" s="5" t="e">
        <f>SUM(SUMIFS(#REF!,#REF!,Planning[[#This Row],[Tipo de Tarea y especialidad]],#REF!,Planning[[#This Row],[Proyectos Reiwa]]),SUMIFS(#REF!,#REF!,Planning[[#This Row],[Tipo de Tarea y especialidad]],#REF!,Planning[[#This Row],[Proyectos]]))</f>
        <v>#REF!</v>
      </c>
      <c r="K4252" s="5" t="e">
        <f>+Planning[[#This Row],[Horas Planificadas]]+Planning[[#This Row],[Horas ajustadas adicionales]]-Planning[[#This Row],[Horas utilizadas]]</f>
        <v>#REF!</v>
      </c>
      <c r="L4252" s="7" t="e">
        <f>Planning[[#This Row],[Saldo]]</f>
        <v>#REF!</v>
      </c>
      <c r="M4252" s="19" t="e">
        <f>Planning[[#This Row],[Saldo]]-Planning[[#This Row],[Saldo estimado]]</f>
        <v>#REF!</v>
      </c>
      <c r="N4252" s="60" t="e">
        <f>+SUMIFS(#REF!,#REF!,Planning[[#This Row],[Proyectos]],#REF!,Planning[[#This Row],[Tipo de Tarea y especialidad]])</f>
        <v>#REF!</v>
      </c>
      <c r="O4252" s="19">
        <f t="shared" si="132"/>
        <v>10</v>
      </c>
      <c r="P4252" s="19">
        <f t="shared" si="133"/>
        <v>2024</v>
      </c>
      <c r="Q42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52" s="19" t="str">
        <f>TEXT(Planning[[#This Row],[Mes]]*29,"mmmm")</f>
        <v>October</v>
      </c>
      <c r="S42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52" s="208"/>
      <c r="U4252" s="43">
        <f>IF(Planning[[#This Row],[Horas Planificadas]]&lt;&gt;0,+K4252/Planning[[#This Row],[Horas Planificadas]],0)</f>
        <v>0</v>
      </c>
      <c r="V4252" s="43">
        <f>IF(Planning[[#This Row],[Horas Planificadas]]&lt;&gt;0,Planning[[#This Row],[Horas utilizadas]]/Planning[[#This Row],[Horas Planificadas]],0)</f>
        <v>0</v>
      </c>
      <c r="W4252" s="44">
        <f>Planning[[#This Row],[Horas Planificadas]]+Planning[[#This Row],[Horas ajustadas adicionales]]</f>
        <v>0</v>
      </c>
      <c r="X4252" s="142"/>
    </row>
    <row r="4253" spans="1:24" x14ac:dyDescent="0.2">
      <c r="A4253" s="7" t="s">
        <v>204</v>
      </c>
      <c r="B4253" s="54" t="s">
        <v>288</v>
      </c>
      <c r="C4253" s="3">
        <v>116881</v>
      </c>
      <c r="D4253" s="3" t="s">
        <v>736</v>
      </c>
      <c r="E4253" s="4"/>
      <c r="F4253" s="3" t="s">
        <v>128</v>
      </c>
      <c r="G4253" s="9">
        <f>503-63</f>
        <v>440</v>
      </c>
      <c r="H4253" s="41">
        <v>440</v>
      </c>
      <c r="I4253" s="12"/>
      <c r="J4253" s="5" t="e">
        <f>SUM(SUMIFS(#REF!,#REF!,Planning[[#This Row],[Tipo de Tarea y especialidad]],#REF!,Planning[[#This Row],[Proyectos Reiwa]]),SUMIFS(#REF!,#REF!,Planning[[#This Row],[Tipo de Tarea y especialidad]],#REF!,Planning[[#This Row],[Proyectos]]))</f>
        <v>#REF!</v>
      </c>
      <c r="K4253" s="5" t="e">
        <f>+Planning[[#This Row],[Horas Planificadas]]+Planning[[#This Row],[Horas ajustadas adicionales]]-Planning[[#This Row],[Horas utilizadas]]</f>
        <v>#REF!</v>
      </c>
      <c r="L4253" s="7">
        <v>0</v>
      </c>
      <c r="M4253" s="19" t="e">
        <f>Planning[[#This Row],[Saldo]]-Planning[[#This Row],[Saldo estimado]]</f>
        <v>#REF!</v>
      </c>
      <c r="N4253" s="60" t="e">
        <f>+SUMIFS(#REF!,#REF!,Planning[[#This Row],[Proyectos]],#REF!,Planning[[#This Row],[Tipo de Tarea y especialidad]])</f>
        <v>#REF!</v>
      </c>
      <c r="O4253" s="19">
        <f t="shared" si="132"/>
        <v>10</v>
      </c>
      <c r="P4253" s="19">
        <f t="shared" si="133"/>
        <v>2024</v>
      </c>
      <c r="Q42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53" s="19" t="str">
        <f>TEXT(Planning[[#This Row],[Mes]]*29,"mmmm")</f>
        <v>October</v>
      </c>
      <c r="S42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53" s="208"/>
      <c r="U4253" s="43" t="e">
        <f>IF(Planning[[#This Row],[Horas Planificadas]]&lt;&gt;0,+K4253/Planning[[#This Row],[Horas Planificadas]],0)</f>
        <v>#REF!</v>
      </c>
      <c r="V4253" s="43" t="e">
        <f>IF(Planning[[#This Row],[Horas Planificadas]]&lt;&gt;0,Planning[[#This Row],[Horas utilizadas]]/Planning[[#This Row],[Horas Planificadas]],0)</f>
        <v>#REF!</v>
      </c>
      <c r="W4253" s="44">
        <f>Planning[[#This Row],[Horas Planificadas]]+Planning[[#This Row],[Horas ajustadas adicionales]]</f>
        <v>440</v>
      </c>
      <c r="X4253" s="142"/>
    </row>
    <row r="4254" spans="1:24" x14ac:dyDescent="0.2">
      <c r="A4254" s="7" t="s">
        <v>204</v>
      </c>
      <c r="B4254" s="54" t="s">
        <v>288</v>
      </c>
      <c r="C4254" s="3">
        <v>116881</v>
      </c>
      <c r="D4254" s="3" t="s">
        <v>736</v>
      </c>
      <c r="E4254" s="4" t="s">
        <v>31</v>
      </c>
      <c r="F4254" s="3" t="s">
        <v>31</v>
      </c>
      <c r="G4254" s="9">
        <v>147</v>
      </c>
      <c r="H4254" s="17">
        <f>Planning[[#This Row],[Horas Precálculo]]</f>
        <v>147</v>
      </c>
      <c r="I4254" s="18"/>
      <c r="J4254" s="14" t="e">
        <f>+SUMIFS(#REF!,#REF!,Planning[[#This Row],[Tarifa]],#REF!,Planning[[#This Row],[Proyectos]])</f>
        <v>#REF!</v>
      </c>
      <c r="K4254" s="14" t="e">
        <f>+Planning[[#This Row],[Horas Planificadas]]+Planning[[#This Row],[Horas ajustadas adicionales]]-Planning[[#This Row],[Horas utilizadas]]</f>
        <v>#REF!</v>
      </c>
      <c r="L4254" s="15" t="e">
        <f>Planning[[#This Row],[Saldo]]</f>
        <v>#REF!</v>
      </c>
      <c r="M4254" s="16" t="e">
        <f>Planning[[#This Row],[Saldo]]-Planning[[#This Row],[Saldo estimado]]</f>
        <v>#REF!</v>
      </c>
      <c r="N4254" s="60" t="e">
        <f>+SUMIFS(#REF!,#REF!,Planning[[#This Row],[Proyectos]],#REF!,Planning[[#This Row],[Tipo de Tarea y especialidad]])</f>
        <v>#REF!</v>
      </c>
      <c r="O4254" s="16">
        <f t="shared" si="132"/>
        <v>10</v>
      </c>
      <c r="P4254" s="16">
        <f t="shared" si="133"/>
        <v>2024</v>
      </c>
      <c r="Q4254" s="16" t="e">
        <f>+SUMIFS(#REF!,#REF!,Planning[[#This Row],[Tarifa]],#REF!,Planning[[#This Row],[Proyectos]],#REF!,Planning[[#This Row],[Mes]],#REF!,Planning[[#This Row],[Año]])</f>
        <v>#REF!</v>
      </c>
      <c r="R4254" s="16" t="str">
        <f>TEXT(Planning[[#This Row],[Mes]]*29,"mmmm")</f>
        <v>October</v>
      </c>
      <c r="S42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54" s="208"/>
      <c r="U4254" s="43" t="e">
        <f>IF(Planning[[#This Row],[Horas Planificadas]]&lt;&gt;0,+K4254/Planning[[#This Row],[Horas Planificadas]],0)</f>
        <v>#REF!</v>
      </c>
      <c r="V4254" s="43" t="e">
        <f>IF(Planning[[#This Row],[Horas Planificadas]]&lt;&gt;0,Planning[[#This Row],[Horas utilizadas]]/Planning[[#This Row],[Horas Planificadas]],0)</f>
        <v>#REF!</v>
      </c>
      <c r="W4254" s="44">
        <f>Planning[[#This Row],[Horas Planificadas]]+Planning[[#This Row],[Horas ajustadas adicionales]]</f>
        <v>147</v>
      </c>
      <c r="X4254" s="142"/>
    </row>
    <row r="4255" spans="1:24" ht="22.5" x14ac:dyDescent="0.2">
      <c r="A4255" s="7" t="s">
        <v>204</v>
      </c>
      <c r="B4255" s="54" t="s">
        <v>288</v>
      </c>
      <c r="C4255" s="3">
        <v>116881</v>
      </c>
      <c r="D4255" s="3" t="s">
        <v>736</v>
      </c>
      <c r="E4255" s="4" t="s">
        <v>32</v>
      </c>
      <c r="F4255" s="3"/>
      <c r="G4255" s="9">
        <v>0</v>
      </c>
      <c r="H4255" s="14">
        <f>SUM(H4256:H4258)</f>
        <v>810</v>
      </c>
      <c r="I4255" s="14"/>
      <c r="J4255" s="14" t="e">
        <f>SUM(J4256:J4258)</f>
        <v>#REF!</v>
      </c>
      <c r="K4255" s="14" t="e">
        <f>+Planning[[#This Row],[Horas Planificadas]]+Planning[[#This Row],[Horas ajustadas adicionales]]-Planning[[#This Row],[Horas utilizadas]]</f>
        <v>#REF!</v>
      </c>
      <c r="L4255" s="15" t="e">
        <f>SUM(L4256:L4258)</f>
        <v>#REF!</v>
      </c>
      <c r="M4255" s="16" t="e">
        <f>SUM(M4256:M4258)</f>
        <v>#REF!</v>
      </c>
      <c r="N4255" s="60" t="e">
        <f>+SUMIFS(#REF!,#REF!,Planning[[#This Row],[Proyectos]],#REF!,Planning[[#This Row],[Tipo de Tarea y especialidad]])</f>
        <v>#REF!</v>
      </c>
      <c r="O4255" s="16">
        <f t="shared" si="132"/>
        <v>10</v>
      </c>
      <c r="P4255" s="16">
        <f t="shared" si="133"/>
        <v>2024</v>
      </c>
      <c r="Q4255" s="16" t="e">
        <f>SUM(Q4256:Q4258)</f>
        <v>#REF!</v>
      </c>
      <c r="R4255" s="16" t="str">
        <f>TEXT(Planning[[#This Row],[Mes]]*29,"mmmm")</f>
        <v>October</v>
      </c>
      <c r="S42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55" s="208"/>
      <c r="U4255" s="43" t="e">
        <f>IF(Planning[[#This Row],[Horas Planificadas]]&lt;&gt;0,+K4255/Planning[[#This Row],[Horas Planificadas]],0)</f>
        <v>#REF!</v>
      </c>
      <c r="V4255" s="43" t="e">
        <f>IF(Planning[[#This Row],[Horas Planificadas]]&lt;&gt;0,Planning[[#This Row],[Horas utilizadas]]/Planning[[#This Row],[Horas Planificadas]],0)</f>
        <v>#REF!</v>
      </c>
      <c r="W4255" s="44">
        <f>Planning[[#This Row],[Horas Planificadas]]+Planning[[#This Row],[Horas ajustadas adicionales]]</f>
        <v>810</v>
      </c>
      <c r="X4255" s="142"/>
    </row>
    <row r="4256" spans="1:24" x14ac:dyDescent="0.2">
      <c r="A4256" s="7" t="s">
        <v>204</v>
      </c>
      <c r="B4256" s="54" t="s">
        <v>288</v>
      </c>
      <c r="C4256" s="3">
        <v>116881</v>
      </c>
      <c r="D4256" s="3" t="s">
        <v>736</v>
      </c>
      <c r="E4256" s="4"/>
      <c r="F4256" s="3" t="s">
        <v>129</v>
      </c>
      <c r="G4256" s="9">
        <v>50</v>
      </c>
      <c r="H4256" s="41">
        <v>50</v>
      </c>
      <c r="I4256" s="12"/>
      <c r="J4256" s="5" t="e">
        <f>SUM(SUMIFS(#REF!,#REF!,Planning[[#This Row],[Tipo de Tarea y especialidad]],#REF!,Planning[[#This Row],[Proyectos Reiwa]]),SUMIFS(#REF!,#REF!,Planning[[#This Row],[Tipo de Tarea y especialidad]],#REF!,Planning[[#This Row],[Proyectos]]))</f>
        <v>#REF!</v>
      </c>
      <c r="K4256" s="5" t="e">
        <f>+Planning[[#This Row],[Horas Planificadas]]+Planning[[#This Row],[Horas ajustadas adicionales]]-Planning[[#This Row],[Horas utilizadas]]</f>
        <v>#REF!</v>
      </c>
      <c r="L4256" s="7">
        <v>0</v>
      </c>
      <c r="M4256" s="19" t="e">
        <f>Planning[[#This Row],[Saldo]]-Planning[[#This Row],[Saldo estimado]]</f>
        <v>#REF!</v>
      </c>
      <c r="N4256" s="60" t="e">
        <f>+SUMIFS(#REF!,#REF!,Planning[[#This Row],[Proyectos]],#REF!,Planning[[#This Row],[Tipo de Tarea y especialidad]])</f>
        <v>#REF!</v>
      </c>
      <c r="O4256" s="19">
        <f t="shared" si="132"/>
        <v>10</v>
      </c>
      <c r="P4256" s="19">
        <f t="shared" si="133"/>
        <v>2024</v>
      </c>
      <c r="Q42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56" s="19" t="str">
        <f>TEXT(Planning[[#This Row],[Mes]]*29,"mmmm")</f>
        <v>October</v>
      </c>
      <c r="S42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56" s="208"/>
      <c r="U4256" s="43" t="e">
        <f>IF(Planning[[#This Row],[Horas Planificadas]]&lt;&gt;0,+K4256/Planning[[#This Row],[Horas Planificadas]],0)</f>
        <v>#REF!</v>
      </c>
      <c r="V4256" s="43" t="e">
        <f>IF(Planning[[#This Row],[Horas Planificadas]]&lt;&gt;0,Planning[[#This Row],[Horas utilizadas]]/Planning[[#This Row],[Horas Planificadas]],0)</f>
        <v>#REF!</v>
      </c>
      <c r="W4256" s="44">
        <f>Planning[[#This Row],[Horas Planificadas]]+Planning[[#This Row],[Horas ajustadas adicionales]]</f>
        <v>50</v>
      </c>
      <c r="X4256" s="142"/>
    </row>
    <row r="4257" spans="1:24" x14ac:dyDescent="0.2">
      <c r="A4257" s="7" t="s">
        <v>204</v>
      </c>
      <c r="B4257" s="54" t="s">
        <v>288</v>
      </c>
      <c r="C4257" s="3">
        <v>116881</v>
      </c>
      <c r="D4257" s="3" t="s">
        <v>736</v>
      </c>
      <c r="E4257" s="4"/>
      <c r="F4257" s="3" t="s">
        <v>130</v>
      </c>
      <c r="G4257" s="9">
        <v>0</v>
      </c>
      <c r="H4257" s="41">
        <v>0</v>
      </c>
      <c r="I4257" s="12"/>
      <c r="J4257" s="5" t="e">
        <f>SUM(SUMIFS(#REF!,#REF!,Planning[[#This Row],[Tipo de Tarea y especialidad]],#REF!,Planning[[#This Row],[Proyectos Reiwa]]),SUMIFS(#REF!,#REF!,Planning[[#This Row],[Tipo de Tarea y especialidad]],#REF!,Planning[[#This Row],[Proyectos]]))</f>
        <v>#REF!</v>
      </c>
      <c r="K4257" s="5" t="e">
        <f>+Planning[[#This Row],[Horas Planificadas]]+Planning[[#This Row],[Horas ajustadas adicionales]]-Planning[[#This Row],[Horas utilizadas]]</f>
        <v>#REF!</v>
      </c>
      <c r="L4257" s="7">
        <v>0</v>
      </c>
      <c r="M4257" s="19" t="e">
        <f>Planning[[#This Row],[Saldo]]-Planning[[#This Row],[Saldo estimado]]</f>
        <v>#REF!</v>
      </c>
      <c r="N4257" s="60" t="e">
        <f>+SUMIFS(#REF!,#REF!,Planning[[#This Row],[Proyectos]],#REF!,Planning[[#This Row],[Tipo de Tarea y especialidad]])</f>
        <v>#REF!</v>
      </c>
      <c r="O4257" s="19">
        <f t="shared" si="132"/>
        <v>10</v>
      </c>
      <c r="P4257" s="19">
        <f t="shared" si="133"/>
        <v>2024</v>
      </c>
      <c r="Q42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57" s="19" t="str">
        <f>TEXT(Planning[[#This Row],[Mes]]*29,"mmmm")</f>
        <v>October</v>
      </c>
      <c r="S42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57" s="208"/>
      <c r="U4257" s="43">
        <f>IF(Planning[[#This Row],[Horas Planificadas]]&lt;&gt;0,+K4257/Planning[[#This Row],[Horas Planificadas]],0)</f>
        <v>0</v>
      </c>
      <c r="V4257" s="43">
        <f>IF(Planning[[#This Row],[Horas Planificadas]]&lt;&gt;0,Planning[[#This Row],[Horas utilizadas]]/Planning[[#This Row],[Horas Planificadas]],0)</f>
        <v>0</v>
      </c>
      <c r="W4257" s="44">
        <f>Planning[[#This Row],[Horas Planificadas]]+Planning[[#This Row],[Horas ajustadas adicionales]]</f>
        <v>0</v>
      </c>
      <c r="X4257" s="142"/>
    </row>
    <row r="4258" spans="1:24" x14ac:dyDescent="0.2">
      <c r="A4258" s="7" t="s">
        <v>204</v>
      </c>
      <c r="B4258" s="54" t="s">
        <v>288</v>
      </c>
      <c r="C4258" s="3">
        <v>116881</v>
      </c>
      <c r="D4258" s="3" t="s">
        <v>736</v>
      </c>
      <c r="E4258" s="4"/>
      <c r="F4258" s="3" t="s">
        <v>131</v>
      </c>
      <c r="G4258" s="9">
        <f>810-50</f>
        <v>760</v>
      </c>
      <c r="H4258" s="41">
        <v>760</v>
      </c>
      <c r="I4258" s="12"/>
      <c r="J4258" s="5" t="e">
        <f>SUM(SUMIFS(#REF!,#REF!,Planning[[#This Row],[Tipo de Tarea y especialidad]],#REF!,Planning[[#This Row],[Proyectos Reiwa]]),SUMIFS(#REF!,#REF!,Planning[[#This Row],[Tipo de Tarea y especialidad]],#REF!,Planning[[#This Row],[Proyectos]]))</f>
        <v>#REF!</v>
      </c>
      <c r="K4258" s="5" t="e">
        <f>+Planning[[#This Row],[Horas Planificadas]]+Planning[[#This Row],[Horas ajustadas adicionales]]-Planning[[#This Row],[Horas utilizadas]]</f>
        <v>#REF!</v>
      </c>
      <c r="L4258" s="7" t="e">
        <f>Planning[[#This Row],[Saldo]]</f>
        <v>#REF!</v>
      </c>
      <c r="M4258" s="19" t="e">
        <f>Planning[[#This Row],[Saldo]]-Planning[[#This Row],[Saldo estimado]]</f>
        <v>#REF!</v>
      </c>
      <c r="N4258" s="60" t="e">
        <f>+SUMIFS(#REF!,#REF!,Planning[[#This Row],[Proyectos]],#REF!,Planning[[#This Row],[Tipo de Tarea y especialidad]])</f>
        <v>#REF!</v>
      </c>
      <c r="O4258" s="19">
        <f t="shared" si="132"/>
        <v>10</v>
      </c>
      <c r="P4258" s="19">
        <f t="shared" si="133"/>
        <v>2024</v>
      </c>
      <c r="Q42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58" s="19" t="str">
        <f>TEXT(Planning[[#This Row],[Mes]]*29,"mmmm")</f>
        <v>October</v>
      </c>
      <c r="S42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58" s="208"/>
      <c r="U4258" s="43" t="e">
        <f>IF(Planning[[#This Row],[Horas Planificadas]]&lt;&gt;0,+K4258/Planning[[#This Row],[Horas Planificadas]],0)</f>
        <v>#REF!</v>
      </c>
      <c r="V4258" s="43" t="e">
        <f>IF(Planning[[#This Row],[Horas Planificadas]]&lt;&gt;0,Planning[[#This Row],[Horas utilizadas]]/Planning[[#This Row],[Horas Planificadas]],0)</f>
        <v>#REF!</v>
      </c>
      <c r="W4258" s="44">
        <f>Planning[[#This Row],[Horas Planificadas]]+Planning[[#This Row],[Horas ajustadas adicionales]]</f>
        <v>760</v>
      </c>
      <c r="X4258" s="142"/>
    </row>
    <row r="4259" spans="1:24" ht="12.75" customHeight="1" x14ac:dyDescent="0.2">
      <c r="A4259" s="7" t="s">
        <v>435</v>
      </c>
      <c r="B4259" s="7" t="s">
        <v>220</v>
      </c>
      <c r="C4259" s="3"/>
      <c r="D4259" s="3" t="s">
        <v>738</v>
      </c>
      <c r="E4259" s="4" t="s">
        <v>28</v>
      </c>
      <c r="F4259" s="3"/>
      <c r="G4259" s="9">
        <v>0</v>
      </c>
      <c r="H4259" s="14">
        <f>SUM(H4260:H4261)</f>
        <v>1494</v>
      </c>
      <c r="I4259" s="14"/>
      <c r="J4259" s="14" t="e">
        <f>SUM(J4260:J4261)</f>
        <v>#REF!</v>
      </c>
      <c r="K4259" s="14" t="e">
        <f>+Planning[[#This Row],[Horas Planificadas]]+Planning[[#This Row],[Horas ajustadas adicionales]]-Planning[[#This Row],[Horas utilizadas]]</f>
        <v>#REF!</v>
      </c>
      <c r="L4259" s="15">
        <f>SUM(L4260:L4261)</f>
        <v>0</v>
      </c>
      <c r="M4259" s="14" t="e">
        <f>SUM(M4260:M4261)</f>
        <v>#REF!</v>
      </c>
      <c r="N4259" s="66" t="e">
        <f>+SUMIFS(#REF!,#REF!,Planning[[#This Row],[Proyectos]],#REF!,Planning[[#This Row],[Tipo de Tarea y especialidad]])</f>
        <v>#REF!</v>
      </c>
      <c r="O4259" s="14">
        <f t="shared" si="132"/>
        <v>10</v>
      </c>
      <c r="P4259" s="14">
        <f t="shared" si="133"/>
        <v>2024</v>
      </c>
      <c r="Q4259" s="28" t="e">
        <f>SUM(Q4260:Q4261)</f>
        <v>#REF!</v>
      </c>
      <c r="R4259" s="28" t="str">
        <f>TEXT(Planning[[#This Row],[Mes]]*29,"mmmm")</f>
        <v>October</v>
      </c>
      <c r="S42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59" s="232" t="s">
        <v>739</v>
      </c>
      <c r="U4259" s="43" t="e">
        <f>IF(Planning[[#This Row],[Horas Planificadas]]&lt;&gt;0,+K4259/Planning[[#This Row],[Horas Planificadas]],0)</f>
        <v>#REF!</v>
      </c>
      <c r="V4259" s="43" t="e">
        <f>IF(Planning[[#This Row],[Horas Planificadas]]&lt;&gt;0,Planning[[#This Row],[Horas utilizadas]]/Planning[[#This Row],[Horas Planificadas]],0)</f>
        <v>#REF!</v>
      </c>
      <c r="W4259" s="44">
        <f>Planning[[#This Row],[Horas Planificadas]]+Planning[[#This Row],[Horas ajustadas adicionales]]</f>
        <v>1494</v>
      </c>
      <c r="X4259" s="142"/>
    </row>
    <row r="4260" spans="1:24" x14ac:dyDescent="0.2">
      <c r="A4260" s="7" t="s">
        <v>435</v>
      </c>
      <c r="B4260" s="7" t="s">
        <v>220</v>
      </c>
      <c r="C4260" s="3"/>
      <c r="D4260" s="3" t="s">
        <v>738</v>
      </c>
      <c r="E4260" s="4"/>
      <c r="F4260" s="3" t="s">
        <v>120</v>
      </c>
      <c r="G4260" s="9">
        <v>900</v>
      </c>
      <c r="H4260" s="9">
        <v>900</v>
      </c>
      <c r="I4260" s="12"/>
      <c r="J4260" s="5" t="e">
        <f>SUM(SUMIFS(#REF!,#REF!,Planning[[#This Row],[Tipo de Tarea y especialidad]],#REF!,Planning[[#This Row],[Proyectos Reiwa]]),SUMIFS(#REF!,#REF!,Planning[[#This Row],[Tipo de Tarea y especialidad]],#REF!,Planning[[#This Row],[Proyectos]]))</f>
        <v>#REF!</v>
      </c>
      <c r="K4260" s="5" t="e">
        <f>+Planning[[#This Row],[Horas Planificadas]]+Planning[[#This Row],[Horas ajustadas adicionales]]-Planning[[#This Row],[Horas utilizadas]]</f>
        <v>#REF!</v>
      </c>
      <c r="L4260" s="7">
        <v>0</v>
      </c>
      <c r="M4260" s="19" t="e">
        <f>Planning[[#This Row],[Saldo]]-Planning[[#This Row],[Saldo estimado]]</f>
        <v>#REF!</v>
      </c>
      <c r="N4260" s="60" t="e">
        <f>+SUMIFS(#REF!,#REF!,Planning[[#This Row],[Proyectos]],#REF!,Planning[[#This Row],[Tipo de Tarea y especialidad]])</f>
        <v>#REF!</v>
      </c>
      <c r="O4260" s="19">
        <f t="shared" si="132"/>
        <v>10</v>
      </c>
      <c r="P4260" s="19">
        <f t="shared" si="133"/>
        <v>2024</v>
      </c>
      <c r="Q42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60" s="19" t="str">
        <f>TEXT(Planning[[#This Row],[Mes]]*29,"mmmm")</f>
        <v>October</v>
      </c>
      <c r="S42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60" s="233"/>
      <c r="U4260" s="43" t="e">
        <f>IF(Planning[[#This Row],[Horas Planificadas]]&lt;&gt;0,+K4260/Planning[[#This Row],[Horas Planificadas]],0)</f>
        <v>#REF!</v>
      </c>
      <c r="V4260" s="43" t="e">
        <f>IF(Planning[[#This Row],[Horas Planificadas]]&lt;&gt;0,Planning[[#This Row],[Horas utilizadas]]/Planning[[#This Row],[Horas Planificadas]],0)</f>
        <v>#REF!</v>
      </c>
      <c r="W4260" s="44">
        <f>Planning[[#This Row],[Horas Planificadas]]+Planning[[#This Row],[Horas ajustadas adicionales]]</f>
        <v>900</v>
      </c>
      <c r="X4260" s="142"/>
    </row>
    <row r="4261" spans="1:24" x14ac:dyDescent="0.2">
      <c r="A4261" s="7" t="s">
        <v>435</v>
      </c>
      <c r="B4261" s="7" t="s">
        <v>220</v>
      </c>
      <c r="C4261" s="3"/>
      <c r="D4261" s="3" t="s">
        <v>738</v>
      </c>
      <c r="E4261" s="4"/>
      <c r="F4261" s="3" t="s">
        <v>121</v>
      </c>
      <c r="G4261" s="9">
        <v>521</v>
      </c>
      <c r="H4261" s="9">
        <v>594</v>
      </c>
      <c r="I4261" s="12"/>
      <c r="J4261" s="5" t="e">
        <f>SUM(SUMIFS(#REF!,#REF!,Planning[[#This Row],[Tipo de Tarea y especialidad]],#REF!,Planning[[#This Row],[Proyectos Reiwa]]),SUMIFS(#REF!,#REF!,Planning[[#This Row],[Tipo de Tarea y especialidad]],#REF!,Planning[[#This Row],[Proyectos]]))</f>
        <v>#REF!</v>
      </c>
      <c r="K4261" s="5" t="e">
        <f>+Planning[[#This Row],[Horas Planificadas]]+Planning[[#This Row],[Horas ajustadas adicionales]]-Planning[[#This Row],[Horas utilizadas]]</f>
        <v>#REF!</v>
      </c>
      <c r="L4261" s="7">
        <v>0</v>
      </c>
      <c r="M4261" s="19" t="e">
        <f>Planning[[#This Row],[Saldo]]-Planning[[#This Row],[Saldo estimado]]</f>
        <v>#REF!</v>
      </c>
      <c r="N4261" s="60" t="e">
        <f>+SUMIFS(#REF!,#REF!,Planning[[#This Row],[Proyectos]],#REF!,Planning[[#This Row],[Tipo de Tarea y especialidad]])</f>
        <v>#REF!</v>
      </c>
      <c r="O4261" s="19">
        <f t="shared" si="132"/>
        <v>10</v>
      </c>
      <c r="P4261" s="19">
        <f t="shared" si="133"/>
        <v>2024</v>
      </c>
      <c r="Q42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61" s="19" t="str">
        <f>TEXT(Planning[[#This Row],[Mes]]*29,"mmmm")</f>
        <v>October</v>
      </c>
      <c r="S42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61" s="233"/>
      <c r="U4261" s="43" t="e">
        <f>IF(Planning[[#This Row],[Horas Planificadas]]&lt;&gt;0,+K4261/Planning[[#This Row],[Horas Planificadas]],0)</f>
        <v>#REF!</v>
      </c>
      <c r="V4261" s="43" t="e">
        <f>IF(Planning[[#This Row],[Horas Planificadas]]&lt;&gt;0,Planning[[#This Row],[Horas utilizadas]]/Planning[[#This Row],[Horas Planificadas]],0)</f>
        <v>#REF!</v>
      </c>
      <c r="W4261" s="44">
        <f>Planning[[#This Row],[Horas Planificadas]]+Planning[[#This Row],[Horas ajustadas adicionales]]</f>
        <v>594</v>
      </c>
      <c r="X4261" s="142"/>
    </row>
    <row r="4262" spans="1:24" x14ac:dyDescent="0.2">
      <c r="A4262" s="7" t="s">
        <v>435</v>
      </c>
      <c r="B4262" s="7" t="s">
        <v>220</v>
      </c>
      <c r="C4262" s="3"/>
      <c r="D4262" s="3" t="s">
        <v>738</v>
      </c>
      <c r="E4262" s="4" t="s">
        <v>30</v>
      </c>
      <c r="F4262" s="3"/>
      <c r="G4262" s="9"/>
      <c r="H4262" s="14">
        <f>SUM(H4263:H4269)</f>
        <v>1706</v>
      </c>
      <c r="I4262" s="14"/>
      <c r="J4262" s="14" t="e">
        <f>SUM(J4263:J4269)</f>
        <v>#REF!</v>
      </c>
      <c r="K4262" s="14" t="e">
        <f>+Planning[[#This Row],[Horas Planificadas]]+Planning[[#This Row],[Horas ajustadas adicionales]]-Planning[[#This Row],[Horas utilizadas]]</f>
        <v>#REF!</v>
      </c>
      <c r="L4262" s="15" t="e">
        <f>SUM(L4263:L4269)</f>
        <v>#REF!</v>
      </c>
      <c r="M4262" s="16" t="e">
        <f>SUM(M4263:M4269)</f>
        <v>#REF!</v>
      </c>
      <c r="N4262" s="60" t="e">
        <f>+SUMIFS(#REF!,#REF!,Planning[[#This Row],[Proyectos]],#REF!,Planning[[#This Row],[Tipo de Tarea y especialidad]])</f>
        <v>#REF!</v>
      </c>
      <c r="O4262" s="16">
        <f t="shared" si="132"/>
        <v>10</v>
      </c>
      <c r="P4262" s="16">
        <f t="shared" si="133"/>
        <v>2024</v>
      </c>
      <c r="Q4262" s="16" t="e">
        <f>SUM(Q4263:Q4269)</f>
        <v>#REF!</v>
      </c>
      <c r="R4262" s="16" t="str">
        <f>TEXT(Planning[[#This Row],[Mes]]*29,"mmmm")</f>
        <v>October</v>
      </c>
      <c r="S42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62" s="233"/>
      <c r="U4262" s="43" t="e">
        <f>IF(Planning[[#This Row],[Horas Planificadas]]&lt;&gt;0,+K4262/Planning[[#This Row],[Horas Planificadas]],0)</f>
        <v>#REF!</v>
      </c>
      <c r="V4262" s="43" t="e">
        <f>IF(Planning[[#This Row],[Horas Planificadas]]&lt;&gt;0,Planning[[#This Row],[Horas utilizadas]]/Planning[[#This Row],[Horas Planificadas]],0)</f>
        <v>#REF!</v>
      </c>
      <c r="W4262" s="44">
        <f>Planning[[#This Row],[Horas Planificadas]]+Planning[[#This Row],[Horas ajustadas adicionales]]</f>
        <v>1706</v>
      </c>
      <c r="X4262" s="142"/>
    </row>
    <row r="4263" spans="1:24" x14ac:dyDescent="0.2">
      <c r="A4263" s="7" t="s">
        <v>435</v>
      </c>
      <c r="B4263" s="7" t="s">
        <v>220</v>
      </c>
      <c r="C4263" s="3"/>
      <c r="D4263" s="3" t="s">
        <v>738</v>
      </c>
      <c r="E4263" s="4"/>
      <c r="F4263" s="3" t="s">
        <v>122</v>
      </c>
      <c r="G4263" s="9">
        <v>289</v>
      </c>
      <c r="H4263" s="9">
        <v>400</v>
      </c>
      <c r="I4263" s="12"/>
      <c r="J4263" s="5" t="e">
        <f>SUM(SUMIFS(#REF!,#REF!,Planning[[#This Row],[Tipo de Tarea y especialidad]],#REF!,Planning[[#This Row],[Proyectos Reiwa]]),SUMIFS(#REF!,#REF!,Planning[[#This Row],[Tipo de Tarea y especialidad]],#REF!,Planning[[#This Row],[Proyectos]]))</f>
        <v>#REF!</v>
      </c>
      <c r="K4263" s="5" t="e">
        <f>+Planning[[#This Row],[Horas Planificadas]]+Planning[[#This Row],[Horas ajustadas adicionales]]-Planning[[#This Row],[Horas utilizadas]]</f>
        <v>#REF!</v>
      </c>
      <c r="L4263" s="7">
        <v>0</v>
      </c>
      <c r="M4263" s="57" t="e">
        <f>Planning[[#This Row],[Saldo]]-Planning[[#This Row],[Saldo estimado]]</f>
        <v>#REF!</v>
      </c>
      <c r="N4263" s="60" t="e">
        <f>+SUMIFS(#REF!,#REF!,Planning[[#This Row],[Proyectos]],#REF!,Planning[[#This Row],[Tipo de Tarea y especialidad]])</f>
        <v>#REF!</v>
      </c>
      <c r="O4263" s="19">
        <f t="shared" si="132"/>
        <v>10</v>
      </c>
      <c r="P4263" s="19">
        <f t="shared" si="133"/>
        <v>2024</v>
      </c>
      <c r="Q42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63" s="19" t="str">
        <f>TEXT(Planning[[#This Row],[Mes]]*29,"mmmm")</f>
        <v>October</v>
      </c>
      <c r="S42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63" s="233"/>
      <c r="U4263" s="43" t="e">
        <f>IF(Planning[[#This Row],[Horas Planificadas]]&lt;&gt;0,+K4263/Planning[[#This Row],[Horas Planificadas]],0)</f>
        <v>#REF!</v>
      </c>
      <c r="V4263" s="43" t="e">
        <f>IF(Planning[[#This Row],[Horas Planificadas]]&lt;&gt;0,Planning[[#This Row],[Horas utilizadas]]/Planning[[#This Row],[Horas Planificadas]],0)</f>
        <v>#REF!</v>
      </c>
      <c r="W4263" s="44">
        <f>Planning[[#This Row],[Horas Planificadas]]+Planning[[#This Row],[Horas ajustadas adicionales]]</f>
        <v>400</v>
      </c>
      <c r="X4263" s="142"/>
    </row>
    <row r="4264" spans="1:24" x14ac:dyDescent="0.2">
      <c r="A4264" s="7" t="s">
        <v>435</v>
      </c>
      <c r="B4264" s="7" t="s">
        <v>220</v>
      </c>
      <c r="C4264" s="3"/>
      <c r="D4264" s="3" t="s">
        <v>738</v>
      </c>
      <c r="E4264" s="4"/>
      <c r="F4264" s="3" t="s">
        <v>123</v>
      </c>
      <c r="G4264" s="9">
        <v>468</v>
      </c>
      <c r="H4264" s="9">
        <v>481</v>
      </c>
      <c r="I4264" s="12"/>
      <c r="J4264" s="5" t="e">
        <f>SUM(SUMIFS(#REF!,#REF!,Planning[[#This Row],[Tipo de Tarea y especialidad]],#REF!,Planning[[#This Row],[Proyectos Reiwa]]),SUMIFS(#REF!,#REF!,Planning[[#This Row],[Tipo de Tarea y especialidad]],#REF!,Planning[[#This Row],[Proyectos]]))</f>
        <v>#REF!</v>
      </c>
      <c r="K4264" s="5" t="e">
        <f>+Planning[[#This Row],[Horas Planificadas]]+Planning[[#This Row],[Horas ajustadas adicionales]]-Planning[[#This Row],[Horas utilizadas]]</f>
        <v>#REF!</v>
      </c>
      <c r="L4264" s="7">
        <v>0</v>
      </c>
      <c r="M4264" s="57" t="e">
        <f>Planning[[#This Row],[Saldo]]-Planning[[#This Row],[Saldo estimado]]</f>
        <v>#REF!</v>
      </c>
      <c r="N4264" s="60" t="e">
        <f>+SUMIFS(#REF!,#REF!,Planning[[#This Row],[Proyectos]],#REF!,Planning[[#This Row],[Tipo de Tarea y especialidad]])</f>
        <v>#REF!</v>
      </c>
      <c r="O4264" s="19">
        <f t="shared" si="132"/>
        <v>10</v>
      </c>
      <c r="P4264" s="19">
        <f t="shared" si="133"/>
        <v>2024</v>
      </c>
      <c r="Q42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64" s="19" t="str">
        <f>TEXT(Planning[[#This Row],[Mes]]*29,"mmmm")</f>
        <v>October</v>
      </c>
      <c r="S42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64" s="233"/>
      <c r="U4264" s="43" t="e">
        <f>IF(Planning[[#This Row],[Horas Planificadas]]&lt;&gt;0,+K4264/Planning[[#This Row],[Horas Planificadas]],0)</f>
        <v>#REF!</v>
      </c>
      <c r="V4264" s="43" t="e">
        <f>IF(Planning[[#This Row],[Horas Planificadas]]&lt;&gt;0,Planning[[#This Row],[Horas utilizadas]]/Planning[[#This Row],[Horas Planificadas]],0)</f>
        <v>#REF!</v>
      </c>
      <c r="W4264" s="44">
        <f>Planning[[#This Row],[Horas Planificadas]]+Planning[[#This Row],[Horas ajustadas adicionales]]</f>
        <v>481</v>
      </c>
      <c r="X4264" s="142"/>
    </row>
    <row r="4265" spans="1:24" x14ac:dyDescent="0.2">
      <c r="A4265" s="7" t="s">
        <v>435</v>
      </c>
      <c r="B4265" s="7" t="s">
        <v>220</v>
      </c>
      <c r="C4265" s="3"/>
      <c r="D4265" s="3" t="s">
        <v>738</v>
      </c>
      <c r="E4265" s="4"/>
      <c r="F4265" s="3" t="s">
        <v>124</v>
      </c>
      <c r="G4265" s="9">
        <v>0</v>
      </c>
      <c r="H4265" s="9">
        <v>0</v>
      </c>
      <c r="I4265" s="12"/>
      <c r="J4265" s="5" t="e">
        <f>SUM(SUMIFS(#REF!,#REF!,Planning[[#This Row],[Tipo de Tarea y especialidad]],#REF!,Planning[[#This Row],[Proyectos Reiwa]]),SUMIFS(#REF!,#REF!,Planning[[#This Row],[Tipo de Tarea y especialidad]],#REF!,Planning[[#This Row],[Proyectos]]))</f>
        <v>#REF!</v>
      </c>
      <c r="K4265" s="5" t="e">
        <f>+Planning[[#This Row],[Horas Planificadas]]+Planning[[#This Row],[Horas ajustadas adicionales]]-Planning[[#This Row],[Horas utilizadas]]</f>
        <v>#REF!</v>
      </c>
      <c r="L4265" s="7" t="e">
        <f>Planning[[#This Row],[Saldo]]</f>
        <v>#REF!</v>
      </c>
      <c r="M4265" s="19" t="e">
        <f>Planning[[#This Row],[Saldo]]-Planning[[#This Row],[Saldo estimado]]</f>
        <v>#REF!</v>
      </c>
      <c r="N4265" s="60" t="e">
        <f>+SUMIFS(#REF!,#REF!,Planning[[#This Row],[Proyectos]],#REF!,Planning[[#This Row],[Tipo de Tarea y especialidad]])</f>
        <v>#REF!</v>
      </c>
      <c r="O4265" s="19">
        <f t="shared" si="132"/>
        <v>10</v>
      </c>
      <c r="P4265" s="19">
        <f t="shared" si="133"/>
        <v>2024</v>
      </c>
      <c r="Q42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65" s="19" t="str">
        <f>TEXT(Planning[[#This Row],[Mes]]*29,"mmmm")</f>
        <v>October</v>
      </c>
      <c r="S42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65" s="233"/>
      <c r="U4265" s="43">
        <f>IF(Planning[[#This Row],[Horas Planificadas]]&lt;&gt;0,+K4265/Planning[[#This Row],[Horas Planificadas]],0)</f>
        <v>0</v>
      </c>
      <c r="V4265" s="43">
        <f>IF(Planning[[#This Row],[Horas Planificadas]]&lt;&gt;0,Planning[[#This Row],[Horas utilizadas]]/Planning[[#This Row],[Horas Planificadas]],0)</f>
        <v>0</v>
      </c>
      <c r="W4265" s="44">
        <f>Planning[[#This Row],[Horas Planificadas]]+Planning[[#This Row],[Horas ajustadas adicionales]]</f>
        <v>0</v>
      </c>
      <c r="X4265" s="142"/>
    </row>
    <row r="4266" spans="1:24" x14ac:dyDescent="0.2">
      <c r="A4266" s="7" t="s">
        <v>435</v>
      </c>
      <c r="B4266" s="7" t="s">
        <v>220</v>
      </c>
      <c r="C4266" s="3"/>
      <c r="D4266" s="3" t="s">
        <v>738</v>
      </c>
      <c r="E4266" s="4"/>
      <c r="F4266" s="3" t="s">
        <v>125</v>
      </c>
      <c r="G4266" s="9">
        <v>270</v>
      </c>
      <c r="H4266" s="9">
        <v>270</v>
      </c>
      <c r="I4266" s="12"/>
      <c r="J4266" s="5" t="e">
        <f>SUM(SUMIFS(#REF!,#REF!,Planning[[#This Row],[Tipo de Tarea y especialidad]],#REF!,Planning[[#This Row],[Proyectos Reiwa]]),SUMIFS(#REF!,#REF!,Planning[[#This Row],[Tipo de Tarea y especialidad]],#REF!,Planning[[#This Row],[Proyectos]]))</f>
        <v>#REF!</v>
      </c>
      <c r="K4266" s="5" t="e">
        <f>+Planning[[#This Row],[Horas Planificadas]]+Planning[[#This Row],[Horas ajustadas adicionales]]-Planning[[#This Row],[Horas utilizadas]]</f>
        <v>#REF!</v>
      </c>
      <c r="L4266" s="7">
        <v>0</v>
      </c>
      <c r="M4266" s="19" t="e">
        <f>Planning[[#This Row],[Saldo]]-Planning[[#This Row],[Saldo estimado]]</f>
        <v>#REF!</v>
      </c>
      <c r="N4266" s="60" t="e">
        <f>+SUMIFS(#REF!,#REF!,Planning[[#This Row],[Proyectos]],#REF!,Planning[[#This Row],[Tipo de Tarea y especialidad]])</f>
        <v>#REF!</v>
      </c>
      <c r="O4266" s="19">
        <f t="shared" si="132"/>
        <v>10</v>
      </c>
      <c r="P4266" s="19">
        <f t="shared" si="133"/>
        <v>2024</v>
      </c>
      <c r="Q42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66" s="19" t="str">
        <f>TEXT(Planning[[#This Row],[Mes]]*29,"mmmm")</f>
        <v>October</v>
      </c>
      <c r="S42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66" s="233"/>
      <c r="U4266" s="43" t="e">
        <f>IF(Planning[[#This Row],[Horas Planificadas]]&lt;&gt;0,+K4266/Planning[[#This Row],[Horas Planificadas]],0)</f>
        <v>#REF!</v>
      </c>
      <c r="V4266" s="43" t="e">
        <f>IF(Planning[[#This Row],[Horas Planificadas]]&lt;&gt;0,Planning[[#This Row],[Horas utilizadas]]/Planning[[#This Row],[Horas Planificadas]],0)</f>
        <v>#REF!</v>
      </c>
      <c r="W4266" s="44">
        <f>Planning[[#This Row],[Horas Planificadas]]+Planning[[#This Row],[Horas ajustadas adicionales]]</f>
        <v>270</v>
      </c>
      <c r="X4266" s="142"/>
    </row>
    <row r="4267" spans="1:24" x14ac:dyDescent="0.2">
      <c r="A4267" s="7" t="s">
        <v>435</v>
      </c>
      <c r="B4267" s="7" t="s">
        <v>220</v>
      </c>
      <c r="C4267" s="3"/>
      <c r="D4267" s="3" t="s">
        <v>738</v>
      </c>
      <c r="E4267" s="4"/>
      <c r="F4267" s="3" t="s">
        <v>126</v>
      </c>
      <c r="G4267" s="9">
        <v>321</v>
      </c>
      <c r="H4267" s="9">
        <v>321</v>
      </c>
      <c r="I4267" s="12"/>
      <c r="J4267" s="5" t="e">
        <f>SUM(SUMIFS(#REF!,#REF!,Planning[[#This Row],[Tipo de Tarea y especialidad]],#REF!,Planning[[#This Row],[Proyectos Reiwa]]),SUMIFS(#REF!,#REF!,Planning[[#This Row],[Tipo de Tarea y especialidad]],#REF!,Planning[[#This Row],[Proyectos]]))</f>
        <v>#REF!</v>
      </c>
      <c r="K4267" s="5" t="e">
        <f>+Planning[[#This Row],[Horas Planificadas]]+Planning[[#This Row],[Horas ajustadas adicionales]]-Planning[[#This Row],[Horas utilizadas]]</f>
        <v>#REF!</v>
      </c>
      <c r="L4267" s="7">
        <v>0</v>
      </c>
      <c r="M4267" s="57" t="e">
        <f>Planning[[#This Row],[Saldo]]-Planning[[#This Row],[Saldo estimado]]</f>
        <v>#REF!</v>
      </c>
      <c r="N4267" s="60" t="e">
        <f>+SUMIFS(#REF!,#REF!,Planning[[#This Row],[Proyectos]],#REF!,Planning[[#This Row],[Tipo de Tarea y especialidad]])</f>
        <v>#REF!</v>
      </c>
      <c r="O4267" s="19">
        <f t="shared" si="132"/>
        <v>10</v>
      </c>
      <c r="P4267" s="19">
        <f t="shared" si="133"/>
        <v>2024</v>
      </c>
      <c r="Q42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67" s="19" t="str">
        <f>TEXT(Planning[[#This Row],[Mes]]*29,"mmmm")</f>
        <v>October</v>
      </c>
      <c r="S42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67" s="233"/>
      <c r="U4267" s="43" t="e">
        <f>IF(Planning[[#This Row],[Horas Planificadas]]&lt;&gt;0,+K4267/Planning[[#This Row],[Horas Planificadas]],0)</f>
        <v>#REF!</v>
      </c>
      <c r="V4267" s="43" t="e">
        <f>IF(Planning[[#This Row],[Horas Planificadas]]&lt;&gt;0,Planning[[#This Row],[Horas utilizadas]]/Planning[[#This Row],[Horas Planificadas]],0)</f>
        <v>#REF!</v>
      </c>
      <c r="W4267" s="44">
        <f>Planning[[#This Row],[Horas Planificadas]]+Planning[[#This Row],[Horas ajustadas adicionales]]</f>
        <v>321</v>
      </c>
      <c r="X4267" s="142"/>
    </row>
    <row r="4268" spans="1:24" x14ac:dyDescent="0.2">
      <c r="A4268" s="7" t="s">
        <v>435</v>
      </c>
      <c r="B4268" s="7" t="s">
        <v>220</v>
      </c>
      <c r="C4268" s="3"/>
      <c r="D4268" s="3" t="s">
        <v>738</v>
      </c>
      <c r="E4268" s="4"/>
      <c r="F4268" s="3" t="s">
        <v>127</v>
      </c>
      <c r="G4268" s="9">
        <v>234</v>
      </c>
      <c r="H4268" s="9">
        <v>234</v>
      </c>
      <c r="I4268" s="12"/>
      <c r="J4268" s="5" t="e">
        <f>SUM(SUMIFS(#REF!,#REF!,Planning[[#This Row],[Tipo de Tarea y especialidad]],#REF!,Planning[[#This Row],[Proyectos Reiwa]]),SUMIFS(#REF!,#REF!,Planning[[#This Row],[Tipo de Tarea y especialidad]],#REF!,Planning[[#This Row],[Proyectos]]))</f>
        <v>#REF!</v>
      </c>
      <c r="K4268" s="5" t="e">
        <f>+Planning[[#This Row],[Horas Planificadas]]+Planning[[#This Row],[Horas ajustadas adicionales]]-Planning[[#This Row],[Horas utilizadas]]</f>
        <v>#REF!</v>
      </c>
      <c r="L4268" s="7">
        <v>0</v>
      </c>
      <c r="M4268" s="19" t="e">
        <f>Planning[[#This Row],[Saldo]]-Planning[[#This Row],[Saldo estimado]]</f>
        <v>#REF!</v>
      </c>
      <c r="N4268" s="60" t="e">
        <f>+SUMIFS(#REF!,#REF!,Planning[[#This Row],[Proyectos]],#REF!,Planning[[#This Row],[Tipo de Tarea y especialidad]])</f>
        <v>#REF!</v>
      </c>
      <c r="O4268" s="19">
        <f t="shared" si="132"/>
        <v>10</v>
      </c>
      <c r="P4268" s="19">
        <f t="shared" si="133"/>
        <v>2024</v>
      </c>
      <c r="Q42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68" s="19" t="str">
        <f>TEXT(Planning[[#This Row],[Mes]]*29,"mmmm")</f>
        <v>October</v>
      </c>
      <c r="S42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68" s="233"/>
      <c r="U4268" s="43" t="e">
        <f>IF(Planning[[#This Row],[Horas Planificadas]]&lt;&gt;0,+K4268/Planning[[#This Row],[Horas Planificadas]],0)</f>
        <v>#REF!</v>
      </c>
      <c r="V4268" s="43" t="e">
        <f>IF(Planning[[#This Row],[Horas Planificadas]]&lt;&gt;0,Planning[[#This Row],[Horas utilizadas]]/Planning[[#This Row],[Horas Planificadas]],0)</f>
        <v>#REF!</v>
      </c>
      <c r="W4268" s="44">
        <f>Planning[[#This Row],[Horas Planificadas]]+Planning[[#This Row],[Horas ajustadas adicionales]]</f>
        <v>234</v>
      </c>
      <c r="X4268" s="142"/>
    </row>
    <row r="4269" spans="1:24" x14ac:dyDescent="0.2">
      <c r="A4269" s="7" t="s">
        <v>435</v>
      </c>
      <c r="B4269" s="7" t="s">
        <v>220</v>
      </c>
      <c r="C4269" s="3"/>
      <c r="D4269" s="3" t="s">
        <v>738</v>
      </c>
      <c r="E4269" s="4"/>
      <c r="F4269" s="3" t="s">
        <v>128</v>
      </c>
      <c r="G4269" s="9">
        <v>0</v>
      </c>
      <c r="H4269" s="9">
        <v>0</v>
      </c>
      <c r="I4269" s="12"/>
      <c r="J4269" s="5" t="e">
        <f>SUM(SUMIFS(#REF!,#REF!,Planning[[#This Row],[Tipo de Tarea y especialidad]],#REF!,Planning[[#This Row],[Proyectos Reiwa]]),SUMIFS(#REF!,#REF!,Planning[[#This Row],[Tipo de Tarea y especialidad]],#REF!,Planning[[#This Row],[Proyectos]]))</f>
        <v>#REF!</v>
      </c>
      <c r="K4269" s="5" t="e">
        <f>+Planning[[#This Row],[Horas Planificadas]]+Planning[[#This Row],[Horas ajustadas adicionales]]-Planning[[#This Row],[Horas utilizadas]]</f>
        <v>#REF!</v>
      </c>
      <c r="L4269" s="7" t="e">
        <f>Planning[[#This Row],[Saldo]]</f>
        <v>#REF!</v>
      </c>
      <c r="M4269" s="19" t="e">
        <f>Planning[[#This Row],[Saldo]]-Planning[[#This Row],[Saldo estimado]]</f>
        <v>#REF!</v>
      </c>
      <c r="N4269" s="60" t="e">
        <f>+SUMIFS(#REF!,#REF!,Planning[[#This Row],[Proyectos]],#REF!,Planning[[#This Row],[Tipo de Tarea y especialidad]])</f>
        <v>#REF!</v>
      </c>
      <c r="O4269" s="19">
        <f t="shared" si="132"/>
        <v>10</v>
      </c>
      <c r="P4269" s="19">
        <f t="shared" si="133"/>
        <v>2024</v>
      </c>
      <c r="Q42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69" s="19" t="str">
        <f>TEXT(Planning[[#This Row],[Mes]]*29,"mmmm")</f>
        <v>October</v>
      </c>
      <c r="S42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69" s="233"/>
      <c r="U4269" s="43">
        <f>IF(Planning[[#This Row],[Horas Planificadas]]&lt;&gt;0,+K4269/Planning[[#This Row],[Horas Planificadas]],0)</f>
        <v>0</v>
      </c>
      <c r="V4269" s="43">
        <f>IF(Planning[[#This Row],[Horas Planificadas]]&lt;&gt;0,Planning[[#This Row],[Horas utilizadas]]/Planning[[#This Row],[Horas Planificadas]],0)</f>
        <v>0</v>
      </c>
      <c r="W4269" s="44">
        <f>Planning[[#This Row],[Horas Planificadas]]+Planning[[#This Row],[Horas ajustadas adicionales]]</f>
        <v>0</v>
      </c>
      <c r="X4269" s="142"/>
    </row>
    <row r="4270" spans="1:24" x14ac:dyDescent="0.2">
      <c r="A4270" s="7" t="s">
        <v>435</v>
      </c>
      <c r="B4270" s="7" t="s">
        <v>220</v>
      </c>
      <c r="C4270" s="3"/>
      <c r="D4270" s="3" t="s">
        <v>738</v>
      </c>
      <c r="E4270" s="4" t="s">
        <v>31</v>
      </c>
      <c r="F4270" s="3" t="s">
        <v>31</v>
      </c>
      <c r="G4270" s="9">
        <v>292</v>
      </c>
      <c r="H4270" s="17">
        <f>Planning[[#This Row],[Horas Precálculo]]</f>
        <v>292</v>
      </c>
      <c r="I4270" s="18"/>
      <c r="J4270" s="14" t="e">
        <f>+SUMIFS(#REF!,#REF!,Planning[[#This Row],[Tarifa]],#REF!,Planning[[#This Row],[Proyectos]])</f>
        <v>#REF!</v>
      </c>
      <c r="K4270" s="14" t="e">
        <f>+Planning[[#This Row],[Horas Planificadas]]+Planning[[#This Row],[Horas ajustadas adicionales]]-Planning[[#This Row],[Horas utilizadas]]</f>
        <v>#REF!</v>
      </c>
      <c r="L4270" s="15" t="e">
        <f>Planning[[#This Row],[Saldo]]</f>
        <v>#REF!</v>
      </c>
      <c r="M4270" s="16" t="e">
        <f>Planning[[#This Row],[Saldo]]-Planning[[#This Row],[Saldo estimado]]</f>
        <v>#REF!</v>
      </c>
      <c r="N4270" s="60" t="e">
        <f>+SUMIFS(#REF!,#REF!,Planning[[#This Row],[Proyectos]],#REF!,Planning[[#This Row],[Tipo de Tarea y especialidad]])</f>
        <v>#REF!</v>
      </c>
      <c r="O4270" s="16">
        <f t="shared" si="132"/>
        <v>10</v>
      </c>
      <c r="P4270" s="16">
        <f t="shared" si="133"/>
        <v>2024</v>
      </c>
      <c r="Q4270" s="16" t="e">
        <f>+SUMIFS(#REF!,#REF!,Planning[[#This Row],[Tarifa]],#REF!,Planning[[#This Row],[Proyectos]],#REF!,Planning[[#This Row],[Mes]],#REF!,Planning[[#This Row],[Año]])</f>
        <v>#REF!</v>
      </c>
      <c r="R4270" s="16" t="str">
        <f>TEXT(Planning[[#This Row],[Mes]]*29,"mmmm")</f>
        <v>October</v>
      </c>
      <c r="S42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70" s="233"/>
      <c r="U4270" s="43" t="e">
        <f>IF(Planning[[#This Row],[Horas Planificadas]]&lt;&gt;0,+K4270/Planning[[#This Row],[Horas Planificadas]],0)</f>
        <v>#REF!</v>
      </c>
      <c r="V4270" s="43" t="e">
        <f>IF(Planning[[#This Row],[Horas Planificadas]]&lt;&gt;0,Planning[[#This Row],[Horas utilizadas]]/Planning[[#This Row],[Horas Planificadas]],0)</f>
        <v>#REF!</v>
      </c>
      <c r="W4270" s="44">
        <f>Planning[[#This Row],[Horas Planificadas]]+Planning[[#This Row],[Horas ajustadas adicionales]]</f>
        <v>292</v>
      </c>
      <c r="X4270" s="142"/>
    </row>
    <row r="4271" spans="1:24" ht="22.5" x14ac:dyDescent="0.2">
      <c r="A4271" s="7" t="s">
        <v>435</v>
      </c>
      <c r="B4271" s="7" t="s">
        <v>220</v>
      </c>
      <c r="C4271" s="3"/>
      <c r="D4271" s="3" t="s">
        <v>738</v>
      </c>
      <c r="E4271" s="4" t="s">
        <v>32</v>
      </c>
      <c r="F4271" s="3"/>
      <c r="G4271" s="9">
        <v>0</v>
      </c>
      <c r="H4271" s="14">
        <f>SUM(H4272:H4274)</f>
        <v>814</v>
      </c>
      <c r="I4271" s="14"/>
      <c r="J4271" s="14" t="e">
        <f>SUM(J4272:J4274)</f>
        <v>#REF!</v>
      </c>
      <c r="K4271" s="14" t="e">
        <f>+Planning[[#This Row],[Horas Planificadas]]+Planning[[#This Row],[Horas ajustadas adicionales]]-Planning[[#This Row],[Horas utilizadas]]</f>
        <v>#REF!</v>
      </c>
      <c r="L4271" s="15" t="e">
        <f>SUM(L4272:L4274)</f>
        <v>#REF!</v>
      </c>
      <c r="M4271" s="16" t="e">
        <f>SUM(M4272:M4274)</f>
        <v>#REF!</v>
      </c>
      <c r="N4271" s="60" t="e">
        <f>+SUMIFS(#REF!,#REF!,Planning[[#This Row],[Proyectos]],#REF!,Planning[[#This Row],[Tipo de Tarea y especialidad]])</f>
        <v>#REF!</v>
      </c>
      <c r="O4271" s="16">
        <f t="shared" si="132"/>
        <v>10</v>
      </c>
      <c r="P4271" s="16">
        <f t="shared" si="133"/>
        <v>2024</v>
      </c>
      <c r="Q4271" s="16" t="e">
        <f>SUM(Q4272:Q4274)</f>
        <v>#REF!</v>
      </c>
      <c r="R4271" s="16" t="str">
        <f>TEXT(Planning[[#This Row],[Mes]]*29,"mmmm")</f>
        <v>October</v>
      </c>
      <c r="S42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71" s="233"/>
      <c r="U4271" s="43" t="e">
        <f>IF(Planning[[#This Row],[Horas Planificadas]]&lt;&gt;0,+K4271/Planning[[#This Row],[Horas Planificadas]],0)</f>
        <v>#REF!</v>
      </c>
      <c r="V4271" s="43" t="e">
        <f>IF(Planning[[#This Row],[Horas Planificadas]]&lt;&gt;0,Planning[[#This Row],[Horas utilizadas]]/Planning[[#This Row],[Horas Planificadas]],0)</f>
        <v>#REF!</v>
      </c>
      <c r="W4271" s="44">
        <f>Planning[[#This Row],[Horas Planificadas]]+Planning[[#This Row],[Horas ajustadas adicionales]]</f>
        <v>814</v>
      </c>
      <c r="X4271" s="142"/>
    </row>
    <row r="4272" spans="1:24" x14ac:dyDescent="0.2">
      <c r="A4272" s="7" t="s">
        <v>435</v>
      </c>
      <c r="B4272" s="7" t="s">
        <v>220</v>
      </c>
      <c r="C4272" s="3"/>
      <c r="D4272" s="3" t="s">
        <v>738</v>
      </c>
      <c r="E4272" s="4"/>
      <c r="F4272" s="3" t="s">
        <v>129</v>
      </c>
      <c r="G4272" s="9">
        <v>414</v>
      </c>
      <c r="H4272" s="41">
        <v>414</v>
      </c>
      <c r="I4272" s="12"/>
      <c r="J4272" s="5" t="e">
        <f>SUM(SUMIFS(#REF!,#REF!,Planning[[#This Row],[Tipo de Tarea y especialidad]],#REF!,Planning[[#This Row],[Proyectos Reiwa]]),SUMIFS(#REF!,#REF!,Planning[[#This Row],[Tipo de Tarea y especialidad]],#REF!,Planning[[#This Row],[Proyectos]]))</f>
        <v>#REF!</v>
      </c>
      <c r="K4272" s="5" t="e">
        <f>+Planning[[#This Row],[Horas Planificadas]]+Planning[[#This Row],[Horas ajustadas adicionales]]-Planning[[#This Row],[Horas utilizadas]]</f>
        <v>#REF!</v>
      </c>
      <c r="L4272" s="7">
        <v>0</v>
      </c>
      <c r="M4272" s="19" t="e">
        <f>Planning[[#This Row],[Saldo]]-Planning[[#This Row],[Saldo estimado]]</f>
        <v>#REF!</v>
      </c>
      <c r="N4272" s="60" t="e">
        <f>+SUMIFS(#REF!,#REF!,Planning[[#This Row],[Proyectos]],#REF!,Planning[[#This Row],[Tipo de Tarea y especialidad]])</f>
        <v>#REF!</v>
      </c>
      <c r="O4272" s="19">
        <f t="shared" si="132"/>
        <v>10</v>
      </c>
      <c r="P4272" s="19">
        <f t="shared" si="133"/>
        <v>2024</v>
      </c>
      <c r="Q42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72" s="19" t="str">
        <f>TEXT(Planning[[#This Row],[Mes]]*29,"mmmm")</f>
        <v>October</v>
      </c>
      <c r="S42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72" s="233"/>
      <c r="U4272" s="43" t="e">
        <f>IF(Planning[[#This Row],[Horas Planificadas]]&lt;&gt;0,+K4272/Planning[[#This Row],[Horas Planificadas]],0)</f>
        <v>#REF!</v>
      </c>
      <c r="V4272" s="43" t="e">
        <f>IF(Planning[[#This Row],[Horas Planificadas]]&lt;&gt;0,Planning[[#This Row],[Horas utilizadas]]/Planning[[#This Row],[Horas Planificadas]],0)</f>
        <v>#REF!</v>
      </c>
      <c r="W4272" s="44">
        <f>Planning[[#This Row],[Horas Planificadas]]+Planning[[#This Row],[Horas ajustadas adicionales]]</f>
        <v>414</v>
      </c>
      <c r="X4272" s="142"/>
    </row>
    <row r="4273" spans="1:24" x14ac:dyDescent="0.2">
      <c r="A4273" s="7" t="s">
        <v>435</v>
      </c>
      <c r="B4273" s="7" t="s">
        <v>220</v>
      </c>
      <c r="C4273" s="3"/>
      <c r="D4273" s="3" t="s">
        <v>738</v>
      </c>
      <c r="E4273" s="4"/>
      <c r="F4273" s="3" t="s">
        <v>130</v>
      </c>
      <c r="G4273" s="9">
        <v>400</v>
      </c>
      <c r="H4273" s="41">
        <v>400</v>
      </c>
      <c r="I4273" s="12"/>
      <c r="J4273" s="5" t="e">
        <f>SUM(SUMIFS(#REF!,#REF!,Planning[[#This Row],[Tipo de Tarea y especialidad]],#REF!,Planning[[#This Row],[Proyectos Reiwa]]),SUMIFS(#REF!,#REF!,Planning[[#This Row],[Tipo de Tarea y especialidad]],#REF!,Planning[[#This Row],[Proyectos]]))</f>
        <v>#REF!</v>
      </c>
      <c r="K4273" s="5" t="e">
        <f>+Planning[[#This Row],[Horas Planificadas]]+Planning[[#This Row],[Horas ajustadas adicionales]]-Planning[[#This Row],[Horas utilizadas]]</f>
        <v>#REF!</v>
      </c>
      <c r="L4273" s="7">
        <v>0</v>
      </c>
      <c r="M4273" s="19" t="e">
        <f>Planning[[#This Row],[Saldo]]-Planning[[#This Row],[Saldo estimado]]</f>
        <v>#REF!</v>
      </c>
      <c r="N4273" s="60" t="e">
        <f>+SUMIFS(#REF!,#REF!,Planning[[#This Row],[Proyectos]],#REF!,Planning[[#This Row],[Tipo de Tarea y especialidad]])</f>
        <v>#REF!</v>
      </c>
      <c r="O4273" s="19">
        <f t="shared" si="132"/>
        <v>10</v>
      </c>
      <c r="P4273" s="19">
        <f t="shared" si="133"/>
        <v>2024</v>
      </c>
      <c r="Q42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73" s="19" t="str">
        <f>TEXT(Planning[[#This Row],[Mes]]*29,"mmmm")</f>
        <v>October</v>
      </c>
      <c r="S42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73" s="233"/>
      <c r="U4273" s="43" t="e">
        <f>IF(Planning[[#This Row],[Horas Planificadas]]&lt;&gt;0,+K4273/Planning[[#This Row],[Horas Planificadas]],0)</f>
        <v>#REF!</v>
      </c>
      <c r="V4273" s="43" t="e">
        <f>IF(Planning[[#This Row],[Horas Planificadas]]&lt;&gt;0,Planning[[#This Row],[Horas utilizadas]]/Planning[[#This Row],[Horas Planificadas]],0)</f>
        <v>#REF!</v>
      </c>
      <c r="W4273" s="44">
        <f>Planning[[#This Row],[Horas Planificadas]]+Planning[[#This Row],[Horas ajustadas adicionales]]</f>
        <v>400</v>
      </c>
      <c r="X4273" s="142"/>
    </row>
    <row r="4274" spans="1:24" x14ac:dyDescent="0.2">
      <c r="A4274" s="7" t="s">
        <v>435</v>
      </c>
      <c r="B4274" s="7" t="s">
        <v>220</v>
      </c>
      <c r="C4274" s="3"/>
      <c r="D4274" s="3" t="s">
        <v>738</v>
      </c>
      <c r="E4274" s="4"/>
      <c r="F4274" s="3" t="s">
        <v>131</v>
      </c>
      <c r="G4274" s="9">
        <v>0</v>
      </c>
      <c r="H4274" s="41">
        <v>0</v>
      </c>
      <c r="I4274" s="12"/>
      <c r="J4274" s="5" t="e">
        <f>SUM(SUMIFS(#REF!,#REF!,Planning[[#This Row],[Tipo de Tarea y especialidad]],#REF!,Planning[[#This Row],[Proyectos Reiwa]]),SUMIFS(#REF!,#REF!,Planning[[#This Row],[Tipo de Tarea y especialidad]],#REF!,Planning[[#This Row],[Proyectos]]))</f>
        <v>#REF!</v>
      </c>
      <c r="K4274" s="5" t="e">
        <f>+Planning[[#This Row],[Horas Planificadas]]+Planning[[#This Row],[Horas ajustadas adicionales]]-Planning[[#This Row],[Horas utilizadas]]</f>
        <v>#REF!</v>
      </c>
      <c r="L4274" s="7" t="e">
        <f>Planning[[#This Row],[Saldo]]</f>
        <v>#REF!</v>
      </c>
      <c r="M4274" s="19" t="e">
        <f>Planning[[#This Row],[Saldo]]-Planning[[#This Row],[Saldo estimado]]</f>
        <v>#REF!</v>
      </c>
      <c r="N4274" s="60" t="e">
        <f>+SUMIFS(#REF!,#REF!,Planning[[#This Row],[Proyectos]],#REF!,Planning[[#This Row],[Tipo de Tarea y especialidad]])</f>
        <v>#REF!</v>
      </c>
      <c r="O4274" s="19">
        <f t="shared" si="132"/>
        <v>10</v>
      </c>
      <c r="P4274" s="19">
        <f t="shared" si="133"/>
        <v>2024</v>
      </c>
      <c r="Q42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74" s="19" t="str">
        <f>TEXT(Planning[[#This Row],[Mes]]*29,"mmmm")</f>
        <v>October</v>
      </c>
      <c r="S42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74" s="233"/>
      <c r="U4274" s="43">
        <f>IF(Planning[[#This Row],[Horas Planificadas]]&lt;&gt;0,+K4274/Planning[[#This Row],[Horas Planificadas]],0)</f>
        <v>0</v>
      </c>
      <c r="V4274" s="43">
        <f>IF(Planning[[#This Row],[Horas Planificadas]]&lt;&gt;0,Planning[[#This Row],[Horas utilizadas]]/Planning[[#This Row],[Horas Planificadas]],0)</f>
        <v>0</v>
      </c>
      <c r="W4274" s="44">
        <f>Planning[[#This Row],[Horas Planificadas]]+Planning[[#This Row],[Horas ajustadas adicionales]]</f>
        <v>0</v>
      </c>
      <c r="X4274" s="142"/>
    </row>
    <row r="4275" spans="1:24" ht="12.75" customHeight="1" x14ac:dyDescent="0.2">
      <c r="A4275" s="7" t="s">
        <v>117</v>
      </c>
      <c r="B4275" s="7" t="s">
        <v>725</v>
      </c>
      <c r="C4275" s="3"/>
      <c r="D4275" s="3" t="s">
        <v>740</v>
      </c>
      <c r="E4275" s="4" t="s">
        <v>28</v>
      </c>
      <c r="F4275" s="3"/>
      <c r="G4275" s="9">
        <f>SUM(G4276:G4277)</f>
        <v>1945</v>
      </c>
      <c r="H4275" s="14">
        <f>SUM(H4276:H4277)</f>
        <v>1945</v>
      </c>
      <c r="I4275" s="14"/>
      <c r="J4275" s="14" t="e">
        <f>SUM(J4276:J4277)</f>
        <v>#REF!</v>
      </c>
      <c r="K4275" s="14" t="e">
        <f>+Planning[[#This Row],[Horas Planificadas]]+Planning[[#This Row],[Horas ajustadas adicionales]]-Planning[[#This Row],[Horas utilizadas]]</f>
        <v>#REF!</v>
      </c>
      <c r="L4275" s="15" t="e">
        <f>SUM(L4276:L4277)</f>
        <v>#REF!</v>
      </c>
      <c r="M4275" s="14" t="e">
        <f>SUM(M4276:M4277)</f>
        <v>#REF!</v>
      </c>
      <c r="N4275" s="66" t="e">
        <f>+SUMIFS(#REF!,#REF!,Planning[[#This Row],[Proyectos]],#REF!,Planning[[#This Row],[Tipo de Tarea y especialidad]])</f>
        <v>#REF!</v>
      </c>
      <c r="O4275" s="14">
        <f t="shared" si="132"/>
        <v>10</v>
      </c>
      <c r="P4275" s="14">
        <f t="shared" si="133"/>
        <v>2024</v>
      </c>
      <c r="Q4275" s="28" t="e">
        <f>SUM(Q4276:Q4277)</f>
        <v>#REF!</v>
      </c>
      <c r="R4275" s="28" t="str">
        <f>TEXT(Planning[[#This Row],[Mes]]*29,"mmmm")</f>
        <v>October</v>
      </c>
      <c r="S42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75" s="220" t="s">
        <v>741</v>
      </c>
      <c r="U4275" s="43" t="e">
        <f>IF(Planning[[#This Row],[Horas Planificadas]]&lt;&gt;0,+K4275/Planning[[#This Row],[Horas Planificadas]],0)</f>
        <v>#REF!</v>
      </c>
      <c r="V4275" s="43" t="e">
        <f>IF(Planning[[#This Row],[Horas Planificadas]]&lt;&gt;0,Planning[[#This Row],[Horas utilizadas]]/Planning[[#This Row],[Horas Planificadas]],0)</f>
        <v>#REF!</v>
      </c>
      <c r="W4275" s="44">
        <f>Planning[[#This Row],[Horas Planificadas]]+Planning[[#This Row],[Horas ajustadas adicionales]]</f>
        <v>1945</v>
      </c>
      <c r="X4275" s="142"/>
    </row>
    <row r="4276" spans="1:24" x14ac:dyDescent="0.2">
      <c r="A4276" s="7" t="s">
        <v>117</v>
      </c>
      <c r="B4276" s="7" t="s">
        <v>725</v>
      </c>
      <c r="C4276" s="3"/>
      <c r="D4276" s="3" t="s">
        <v>740</v>
      </c>
      <c r="E4276" s="4"/>
      <c r="F4276" s="3" t="s">
        <v>120</v>
      </c>
      <c r="G4276" s="9">
        <v>1430</v>
      </c>
      <c r="H4276" s="41">
        <v>1430</v>
      </c>
      <c r="I4276" s="12"/>
      <c r="J4276" s="5" t="e">
        <f>SUM(SUMIFS(#REF!,#REF!,Planning[[#This Row],[Tipo de Tarea y especialidad]],#REF!,Planning[[#This Row],[Proyectos Reiwa]]),SUMIFS(#REF!,#REF!,Planning[[#This Row],[Tipo de Tarea y especialidad]],#REF!,Planning[[#This Row],[Proyectos]]))</f>
        <v>#REF!</v>
      </c>
      <c r="K4276" s="5" t="e">
        <f>+Planning[[#This Row],[Horas Planificadas]]+Planning[[#This Row],[Horas ajustadas adicionales]]-Planning[[#This Row],[Horas utilizadas]]</f>
        <v>#REF!</v>
      </c>
      <c r="L4276" s="7" t="e">
        <f>Planning[[#This Row],[Saldo]]</f>
        <v>#REF!</v>
      </c>
      <c r="M4276" s="19" t="e">
        <f>Planning[[#This Row],[Saldo]]-Planning[[#This Row],[Saldo estimado]]</f>
        <v>#REF!</v>
      </c>
      <c r="N4276" s="60" t="e">
        <f>+SUMIFS(#REF!,#REF!,Planning[[#This Row],[Proyectos]],#REF!,Planning[[#This Row],[Tipo de Tarea y especialidad]])</f>
        <v>#REF!</v>
      </c>
      <c r="O4276" s="19">
        <f t="shared" si="132"/>
        <v>10</v>
      </c>
      <c r="P4276" s="19">
        <f t="shared" si="133"/>
        <v>2024</v>
      </c>
      <c r="Q42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76" s="19" t="str">
        <f>TEXT(Planning[[#This Row],[Mes]]*29,"mmmm")</f>
        <v>October</v>
      </c>
      <c r="S42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76" s="220"/>
      <c r="U4276" s="43" t="e">
        <f>IF(Planning[[#This Row],[Horas Planificadas]]&lt;&gt;0,+K4276/Planning[[#This Row],[Horas Planificadas]],0)</f>
        <v>#REF!</v>
      </c>
      <c r="V4276" s="43" t="e">
        <f>IF(Planning[[#This Row],[Horas Planificadas]]&lt;&gt;0,Planning[[#This Row],[Horas utilizadas]]/Planning[[#This Row],[Horas Planificadas]],0)</f>
        <v>#REF!</v>
      </c>
      <c r="W4276" s="44">
        <f>Planning[[#This Row],[Horas Planificadas]]+Planning[[#This Row],[Horas ajustadas adicionales]]</f>
        <v>1430</v>
      </c>
      <c r="X4276" s="142"/>
    </row>
    <row r="4277" spans="1:24" x14ac:dyDescent="0.2">
      <c r="A4277" s="7" t="s">
        <v>117</v>
      </c>
      <c r="B4277" s="7" t="s">
        <v>725</v>
      </c>
      <c r="C4277" s="3"/>
      <c r="D4277" s="3" t="s">
        <v>740</v>
      </c>
      <c r="E4277" s="4"/>
      <c r="F4277" s="3" t="s">
        <v>121</v>
      </c>
      <c r="G4277" s="9">
        <v>515</v>
      </c>
      <c r="H4277" s="41">
        <v>515</v>
      </c>
      <c r="I4277" s="12"/>
      <c r="J4277" s="5" t="e">
        <f>SUM(SUMIFS(#REF!,#REF!,Planning[[#This Row],[Tipo de Tarea y especialidad]],#REF!,Planning[[#This Row],[Proyectos Reiwa]]),SUMIFS(#REF!,#REF!,Planning[[#This Row],[Tipo de Tarea y especialidad]],#REF!,Planning[[#This Row],[Proyectos]]))</f>
        <v>#REF!</v>
      </c>
      <c r="K4277" s="5" t="e">
        <f>+Planning[[#This Row],[Horas Planificadas]]+Planning[[#This Row],[Horas ajustadas adicionales]]-Planning[[#This Row],[Horas utilizadas]]</f>
        <v>#REF!</v>
      </c>
      <c r="L4277" s="7" t="e">
        <f>Planning[[#This Row],[Saldo]]</f>
        <v>#REF!</v>
      </c>
      <c r="M4277" s="19" t="e">
        <f>Planning[[#This Row],[Saldo]]-Planning[[#This Row],[Saldo estimado]]</f>
        <v>#REF!</v>
      </c>
      <c r="N4277" s="60" t="e">
        <f>+SUMIFS(#REF!,#REF!,Planning[[#This Row],[Proyectos]],#REF!,Planning[[#This Row],[Tipo de Tarea y especialidad]])</f>
        <v>#REF!</v>
      </c>
      <c r="O4277" s="19">
        <f t="shared" si="132"/>
        <v>10</v>
      </c>
      <c r="P4277" s="19">
        <f t="shared" si="133"/>
        <v>2024</v>
      </c>
      <c r="Q42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77" s="19" t="str">
        <f>TEXT(Planning[[#This Row],[Mes]]*29,"mmmm")</f>
        <v>October</v>
      </c>
      <c r="S42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77" s="220"/>
      <c r="U4277" s="43" t="e">
        <f>IF(Planning[[#This Row],[Horas Planificadas]]&lt;&gt;0,+K4277/Planning[[#This Row],[Horas Planificadas]],0)</f>
        <v>#REF!</v>
      </c>
      <c r="V4277" s="43" t="e">
        <f>IF(Planning[[#This Row],[Horas Planificadas]]&lt;&gt;0,Planning[[#This Row],[Horas utilizadas]]/Planning[[#This Row],[Horas Planificadas]],0)</f>
        <v>#REF!</v>
      </c>
      <c r="W4277" s="44">
        <f>Planning[[#This Row],[Horas Planificadas]]+Planning[[#This Row],[Horas ajustadas adicionales]]</f>
        <v>515</v>
      </c>
      <c r="X4277" s="142"/>
    </row>
    <row r="4278" spans="1:24" x14ac:dyDescent="0.2">
      <c r="A4278" s="7" t="s">
        <v>117</v>
      </c>
      <c r="B4278" s="7" t="s">
        <v>725</v>
      </c>
      <c r="C4278" s="3"/>
      <c r="D4278" s="3" t="s">
        <v>740</v>
      </c>
      <c r="E4278" s="4" t="s">
        <v>30</v>
      </c>
      <c r="F4278" s="3"/>
      <c r="G4278" s="9">
        <f>SUM(G4279:G4285)</f>
        <v>1696</v>
      </c>
      <c r="H4278" s="14">
        <f>SUM(H4279:H4285)</f>
        <v>1696</v>
      </c>
      <c r="I4278" s="14"/>
      <c r="J4278" s="14" t="e">
        <f>SUM(J4279:J4285)</f>
        <v>#REF!</v>
      </c>
      <c r="K4278" s="14" t="e">
        <f>+Planning[[#This Row],[Horas Planificadas]]+Planning[[#This Row],[Horas ajustadas adicionales]]-Planning[[#This Row],[Horas utilizadas]]</f>
        <v>#REF!</v>
      </c>
      <c r="L4278" s="15" t="e">
        <f>SUM(L4279:L4285)</f>
        <v>#REF!</v>
      </c>
      <c r="M4278" s="16" t="e">
        <f>SUM(M4279:M4285)</f>
        <v>#REF!</v>
      </c>
      <c r="N4278" s="60" t="e">
        <f>+SUMIFS(#REF!,#REF!,Planning[[#This Row],[Proyectos]],#REF!,Planning[[#This Row],[Tipo de Tarea y especialidad]])</f>
        <v>#REF!</v>
      </c>
      <c r="O4278" s="16">
        <f t="shared" si="132"/>
        <v>10</v>
      </c>
      <c r="P4278" s="16">
        <f t="shared" si="133"/>
        <v>2024</v>
      </c>
      <c r="Q4278" s="16" t="e">
        <f>SUM(Q4279:Q4285)</f>
        <v>#REF!</v>
      </c>
      <c r="R4278" s="16" t="str">
        <f>TEXT(Planning[[#This Row],[Mes]]*29,"mmmm")</f>
        <v>October</v>
      </c>
      <c r="S42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78" s="220"/>
      <c r="U4278" s="43" t="e">
        <f>IF(Planning[[#This Row],[Horas Planificadas]]&lt;&gt;0,+K4278/Planning[[#This Row],[Horas Planificadas]],0)</f>
        <v>#REF!</v>
      </c>
      <c r="V4278" s="43" t="e">
        <f>IF(Planning[[#This Row],[Horas Planificadas]]&lt;&gt;0,Planning[[#This Row],[Horas utilizadas]]/Planning[[#This Row],[Horas Planificadas]],0)</f>
        <v>#REF!</v>
      </c>
      <c r="W4278" s="44">
        <f>Planning[[#This Row],[Horas Planificadas]]+Planning[[#This Row],[Horas ajustadas adicionales]]</f>
        <v>1696</v>
      </c>
      <c r="X4278" s="142"/>
    </row>
    <row r="4279" spans="1:24" x14ac:dyDescent="0.2">
      <c r="A4279" s="7" t="s">
        <v>117</v>
      </c>
      <c r="B4279" s="7" t="s">
        <v>725</v>
      </c>
      <c r="C4279" s="3"/>
      <c r="D4279" s="3" t="s">
        <v>740</v>
      </c>
      <c r="E4279" s="4"/>
      <c r="F4279" s="3" t="s">
        <v>122</v>
      </c>
      <c r="G4279" s="9">
        <f>908-400-243</f>
        <v>265</v>
      </c>
      <c r="H4279" s="41">
        <v>265</v>
      </c>
      <c r="I4279" s="12"/>
      <c r="J4279" s="5" t="e">
        <f>SUM(SUMIFS(#REF!,#REF!,Planning[[#This Row],[Tipo de Tarea y especialidad]],#REF!,Planning[[#This Row],[Proyectos Reiwa]]),SUMIFS(#REF!,#REF!,Planning[[#This Row],[Tipo de Tarea y especialidad]],#REF!,Planning[[#This Row],[Proyectos]]))</f>
        <v>#REF!</v>
      </c>
      <c r="K4279" s="5" t="e">
        <f>+Planning[[#This Row],[Horas Planificadas]]+Planning[[#This Row],[Horas ajustadas adicionales]]-Planning[[#This Row],[Horas utilizadas]]</f>
        <v>#REF!</v>
      </c>
      <c r="L4279" s="7" t="e">
        <f>Planning[[#This Row],[Saldo]]</f>
        <v>#REF!</v>
      </c>
      <c r="M4279" s="19" t="e">
        <f>Planning[[#This Row],[Saldo]]-Planning[[#This Row],[Saldo estimado]]</f>
        <v>#REF!</v>
      </c>
      <c r="N4279" s="60" t="e">
        <f>+SUMIFS(#REF!,#REF!,Planning[[#This Row],[Proyectos]],#REF!,Planning[[#This Row],[Tipo de Tarea y especialidad]])</f>
        <v>#REF!</v>
      </c>
      <c r="O4279" s="19">
        <f t="shared" si="132"/>
        <v>10</v>
      </c>
      <c r="P4279" s="19">
        <f t="shared" si="133"/>
        <v>2024</v>
      </c>
      <c r="Q42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79" s="19" t="str">
        <f>TEXT(Planning[[#This Row],[Mes]]*29,"mmmm")</f>
        <v>October</v>
      </c>
      <c r="S42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79" s="220"/>
      <c r="U4279" s="43" t="e">
        <f>IF(Planning[[#This Row],[Horas Planificadas]]&lt;&gt;0,+K4279/Planning[[#This Row],[Horas Planificadas]],0)</f>
        <v>#REF!</v>
      </c>
      <c r="V4279" s="43" t="e">
        <f>IF(Planning[[#This Row],[Horas Planificadas]]&lt;&gt;0,Planning[[#This Row],[Horas utilizadas]]/Planning[[#This Row],[Horas Planificadas]],0)</f>
        <v>#REF!</v>
      </c>
      <c r="W4279" s="44">
        <f>Planning[[#This Row],[Horas Planificadas]]+Planning[[#This Row],[Horas ajustadas adicionales]]</f>
        <v>265</v>
      </c>
      <c r="X4279" s="142"/>
    </row>
    <row r="4280" spans="1:24" x14ac:dyDescent="0.2">
      <c r="A4280" s="7" t="s">
        <v>117</v>
      </c>
      <c r="B4280" s="7" t="s">
        <v>725</v>
      </c>
      <c r="C4280" s="3"/>
      <c r="D4280" s="3" t="s">
        <v>740</v>
      </c>
      <c r="E4280" s="4"/>
      <c r="F4280" s="3" t="s">
        <v>123</v>
      </c>
      <c r="G4280" s="9">
        <v>400</v>
      </c>
      <c r="H4280" s="41">
        <v>400</v>
      </c>
      <c r="I4280" s="12"/>
      <c r="J4280" s="5" t="e">
        <f>SUM(SUMIFS(#REF!,#REF!,Planning[[#This Row],[Tipo de Tarea y especialidad]],#REF!,Planning[[#This Row],[Proyectos Reiwa]]),SUMIFS(#REF!,#REF!,Planning[[#This Row],[Tipo de Tarea y especialidad]],#REF!,Planning[[#This Row],[Proyectos]]))</f>
        <v>#REF!</v>
      </c>
      <c r="K4280" s="5" t="e">
        <f>+Planning[[#This Row],[Horas Planificadas]]+Planning[[#This Row],[Horas ajustadas adicionales]]-Planning[[#This Row],[Horas utilizadas]]</f>
        <v>#REF!</v>
      </c>
      <c r="L4280" s="7" t="e">
        <f>Planning[[#This Row],[Saldo]]</f>
        <v>#REF!</v>
      </c>
      <c r="M4280" s="19" t="e">
        <f>Planning[[#This Row],[Saldo]]-Planning[[#This Row],[Saldo estimado]]</f>
        <v>#REF!</v>
      </c>
      <c r="N4280" s="60" t="e">
        <f>+SUMIFS(#REF!,#REF!,Planning[[#This Row],[Proyectos]],#REF!,Planning[[#This Row],[Tipo de Tarea y especialidad]])</f>
        <v>#REF!</v>
      </c>
      <c r="O4280" s="19">
        <f t="shared" si="132"/>
        <v>10</v>
      </c>
      <c r="P4280" s="19">
        <f t="shared" si="133"/>
        <v>2024</v>
      </c>
      <c r="Q42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80" s="19" t="str">
        <f>TEXT(Planning[[#This Row],[Mes]]*29,"mmmm")</f>
        <v>October</v>
      </c>
      <c r="S42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80" s="220"/>
      <c r="U4280" s="43" t="e">
        <f>IF(Planning[[#This Row],[Horas Planificadas]]&lt;&gt;0,+K4280/Planning[[#This Row],[Horas Planificadas]],0)</f>
        <v>#REF!</v>
      </c>
      <c r="V4280" s="43" t="e">
        <f>IF(Planning[[#This Row],[Horas Planificadas]]&lt;&gt;0,Planning[[#This Row],[Horas utilizadas]]/Planning[[#This Row],[Horas Planificadas]],0)</f>
        <v>#REF!</v>
      </c>
      <c r="W4280" s="44">
        <f>Planning[[#This Row],[Horas Planificadas]]+Planning[[#This Row],[Horas ajustadas adicionales]]</f>
        <v>400</v>
      </c>
      <c r="X4280" s="142"/>
    </row>
    <row r="4281" spans="1:24" x14ac:dyDescent="0.2">
      <c r="A4281" s="7" t="s">
        <v>117</v>
      </c>
      <c r="B4281" s="7" t="s">
        <v>725</v>
      </c>
      <c r="C4281" s="3"/>
      <c r="D4281" s="3" t="s">
        <v>740</v>
      </c>
      <c r="E4281" s="4"/>
      <c r="F4281" s="3" t="s">
        <v>124</v>
      </c>
      <c r="G4281" s="9">
        <v>0</v>
      </c>
      <c r="H4281" s="41">
        <v>0</v>
      </c>
      <c r="I4281" s="12"/>
      <c r="J4281" s="5" t="e">
        <f>SUM(SUMIFS(#REF!,#REF!,Planning[[#This Row],[Tipo de Tarea y especialidad]],#REF!,Planning[[#This Row],[Proyectos Reiwa]]),SUMIFS(#REF!,#REF!,Planning[[#This Row],[Tipo de Tarea y especialidad]],#REF!,Planning[[#This Row],[Proyectos]]))</f>
        <v>#REF!</v>
      </c>
      <c r="K4281" s="5" t="e">
        <f>+Planning[[#This Row],[Horas Planificadas]]+Planning[[#This Row],[Horas ajustadas adicionales]]-Planning[[#This Row],[Horas utilizadas]]</f>
        <v>#REF!</v>
      </c>
      <c r="L4281" s="7" t="e">
        <f>Planning[[#This Row],[Saldo]]</f>
        <v>#REF!</v>
      </c>
      <c r="M4281" s="19" t="e">
        <f>Planning[[#This Row],[Saldo]]-Planning[[#This Row],[Saldo estimado]]</f>
        <v>#REF!</v>
      </c>
      <c r="N4281" s="60" t="e">
        <f>+SUMIFS(#REF!,#REF!,Planning[[#This Row],[Proyectos]],#REF!,Planning[[#This Row],[Tipo de Tarea y especialidad]])</f>
        <v>#REF!</v>
      </c>
      <c r="O4281" s="19">
        <f t="shared" si="132"/>
        <v>10</v>
      </c>
      <c r="P4281" s="19">
        <f t="shared" si="133"/>
        <v>2024</v>
      </c>
      <c r="Q42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81" s="19" t="str">
        <f>TEXT(Planning[[#This Row],[Mes]]*29,"mmmm")</f>
        <v>October</v>
      </c>
      <c r="S42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81" s="220"/>
      <c r="U4281" s="43">
        <f>IF(Planning[[#This Row],[Horas Planificadas]]&lt;&gt;0,+K4281/Planning[[#This Row],[Horas Planificadas]],0)</f>
        <v>0</v>
      </c>
      <c r="V4281" s="43">
        <f>IF(Planning[[#This Row],[Horas Planificadas]]&lt;&gt;0,Planning[[#This Row],[Horas utilizadas]]/Planning[[#This Row],[Horas Planificadas]],0)</f>
        <v>0</v>
      </c>
      <c r="W4281" s="44">
        <f>Planning[[#This Row],[Horas Planificadas]]+Planning[[#This Row],[Horas ajustadas adicionales]]</f>
        <v>0</v>
      </c>
      <c r="X4281" s="142"/>
    </row>
    <row r="4282" spans="1:24" x14ac:dyDescent="0.2">
      <c r="A4282" s="7" t="s">
        <v>117</v>
      </c>
      <c r="B4282" s="7" t="s">
        <v>725</v>
      </c>
      <c r="C4282" s="3"/>
      <c r="D4282" s="3" t="s">
        <v>740</v>
      </c>
      <c r="E4282" s="4"/>
      <c r="F4282" s="3" t="s">
        <v>125</v>
      </c>
      <c r="G4282" s="9">
        <v>243</v>
      </c>
      <c r="H4282" s="41">
        <v>243</v>
      </c>
      <c r="I4282" s="12"/>
      <c r="J4282" s="5" t="e">
        <f>SUM(SUMIFS(#REF!,#REF!,Planning[[#This Row],[Tipo de Tarea y especialidad]],#REF!,Planning[[#This Row],[Proyectos Reiwa]]),SUMIFS(#REF!,#REF!,Planning[[#This Row],[Tipo de Tarea y especialidad]],#REF!,Planning[[#This Row],[Proyectos]]))</f>
        <v>#REF!</v>
      </c>
      <c r="K4282" s="5" t="e">
        <f>+Planning[[#This Row],[Horas Planificadas]]+Planning[[#This Row],[Horas ajustadas adicionales]]-Planning[[#This Row],[Horas utilizadas]]</f>
        <v>#REF!</v>
      </c>
      <c r="L4282" s="7" t="e">
        <f>Planning[[#This Row],[Saldo]]</f>
        <v>#REF!</v>
      </c>
      <c r="M4282" s="19" t="e">
        <f>Planning[[#This Row],[Saldo]]-Planning[[#This Row],[Saldo estimado]]</f>
        <v>#REF!</v>
      </c>
      <c r="N4282" s="60" t="e">
        <f>+SUMIFS(#REF!,#REF!,Planning[[#This Row],[Proyectos]],#REF!,Planning[[#This Row],[Tipo de Tarea y especialidad]])</f>
        <v>#REF!</v>
      </c>
      <c r="O4282" s="19">
        <f t="shared" si="132"/>
        <v>10</v>
      </c>
      <c r="P4282" s="19">
        <f t="shared" si="133"/>
        <v>2024</v>
      </c>
      <c r="Q42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82" s="19" t="str">
        <f>TEXT(Planning[[#This Row],[Mes]]*29,"mmmm")</f>
        <v>October</v>
      </c>
      <c r="S42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82" s="220"/>
      <c r="U4282" s="43" t="e">
        <f>IF(Planning[[#This Row],[Horas Planificadas]]&lt;&gt;0,+K4282/Planning[[#This Row],[Horas Planificadas]],0)</f>
        <v>#REF!</v>
      </c>
      <c r="V4282" s="43" t="e">
        <f>IF(Planning[[#This Row],[Horas Planificadas]]&lt;&gt;0,Planning[[#This Row],[Horas utilizadas]]/Planning[[#This Row],[Horas Planificadas]],0)</f>
        <v>#REF!</v>
      </c>
      <c r="W4282" s="44">
        <f>Planning[[#This Row],[Horas Planificadas]]+Planning[[#This Row],[Horas ajustadas adicionales]]</f>
        <v>243</v>
      </c>
      <c r="X4282" s="142"/>
    </row>
    <row r="4283" spans="1:24" x14ac:dyDescent="0.2">
      <c r="A4283" s="7" t="s">
        <v>117</v>
      </c>
      <c r="B4283" s="7" t="s">
        <v>725</v>
      </c>
      <c r="C4283" s="3"/>
      <c r="D4283" s="3" t="s">
        <v>740</v>
      </c>
      <c r="E4283" s="4"/>
      <c r="F4283" s="3" t="s">
        <v>126</v>
      </c>
      <c r="G4283" s="9">
        <v>500</v>
      </c>
      <c r="H4283" s="41">
        <v>500</v>
      </c>
      <c r="I4283" s="12"/>
      <c r="J4283" s="5" t="e">
        <f>SUM(SUMIFS(#REF!,#REF!,Planning[[#This Row],[Tipo de Tarea y especialidad]],#REF!,Planning[[#This Row],[Proyectos Reiwa]]),SUMIFS(#REF!,#REF!,Planning[[#This Row],[Tipo de Tarea y especialidad]],#REF!,Planning[[#This Row],[Proyectos]]))</f>
        <v>#REF!</v>
      </c>
      <c r="K4283" s="5" t="e">
        <f>+Planning[[#This Row],[Horas Planificadas]]+Planning[[#This Row],[Horas ajustadas adicionales]]-Planning[[#This Row],[Horas utilizadas]]</f>
        <v>#REF!</v>
      </c>
      <c r="L4283" s="7" t="e">
        <f>Planning[[#This Row],[Saldo]]</f>
        <v>#REF!</v>
      </c>
      <c r="M4283" s="19" t="e">
        <f>Planning[[#This Row],[Saldo]]-Planning[[#This Row],[Saldo estimado]]</f>
        <v>#REF!</v>
      </c>
      <c r="N4283" s="60" t="e">
        <f>+SUMIFS(#REF!,#REF!,Planning[[#This Row],[Proyectos]],#REF!,Planning[[#This Row],[Tipo de Tarea y especialidad]])</f>
        <v>#REF!</v>
      </c>
      <c r="O4283" s="19">
        <f t="shared" si="132"/>
        <v>10</v>
      </c>
      <c r="P4283" s="19">
        <f t="shared" si="133"/>
        <v>2024</v>
      </c>
      <c r="Q42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83" s="19" t="str">
        <f>TEXT(Planning[[#This Row],[Mes]]*29,"mmmm")</f>
        <v>October</v>
      </c>
      <c r="S42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83" s="220"/>
      <c r="U4283" s="43" t="e">
        <f>IF(Planning[[#This Row],[Horas Planificadas]]&lt;&gt;0,+K4283/Planning[[#This Row],[Horas Planificadas]],0)</f>
        <v>#REF!</v>
      </c>
      <c r="V4283" s="43" t="e">
        <f>IF(Planning[[#This Row],[Horas Planificadas]]&lt;&gt;0,Planning[[#This Row],[Horas utilizadas]]/Planning[[#This Row],[Horas Planificadas]],0)</f>
        <v>#REF!</v>
      </c>
      <c r="W4283" s="44">
        <f>Planning[[#This Row],[Horas Planificadas]]+Planning[[#This Row],[Horas ajustadas adicionales]]</f>
        <v>500</v>
      </c>
      <c r="X4283" s="142"/>
    </row>
    <row r="4284" spans="1:24" x14ac:dyDescent="0.2">
      <c r="A4284" s="7" t="s">
        <v>117</v>
      </c>
      <c r="B4284" s="7" t="s">
        <v>725</v>
      </c>
      <c r="C4284" s="3"/>
      <c r="D4284" s="3" t="s">
        <v>740</v>
      </c>
      <c r="E4284" s="4"/>
      <c r="F4284" s="3" t="s">
        <v>127</v>
      </c>
      <c r="G4284" s="9">
        <v>288</v>
      </c>
      <c r="H4284" s="41">
        <v>288</v>
      </c>
      <c r="I4284" s="12"/>
      <c r="J4284" s="5" t="e">
        <f>SUM(SUMIFS(#REF!,#REF!,Planning[[#This Row],[Tipo de Tarea y especialidad]],#REF!,Planning[[#This Row],[Proyectos Reiwa]]),SUMIFS(#REF!,#REF!,Planning[[#This Row],[Tipo de Tarea y especialidad]],#REF!,Planning[[#This Row],[Proyectos]]))</f>
        <v>#REF!</v>
      </c>
      <c r="K4284" s="5" t="e">
        <f>+Planning[[#This Row],[Horas Planificadas]]+Planning[[#This Row],[Horas ajustadas adicionales]]-Planning[[#This Row],[Horas utilizadas]]</f>
        <v>#REF!</v>
      </c>
      <c r="L4284" s="7" t="e">
        <f>Planning[[#This Row],[Saldo]]</f>
        <v>#REF!</v>
      </c>
      <c r="M4284" s="19" t="e">
        <f>Planning[[#This Row],[Saldo]]-Planning[[#This Row],[Saldo estimado]]</f>
        <v>#REF!</v>
      </c>
      <c r="N4284" s="60" t="e">
        <f>+SUMIFS(#REF!,#REF!,Planning[[#This Row],[Proyectos]],#REF!,Planning[[#This Row],[Tipo de Tarea y especialidad]])</f>
        <v>#REF!</v>
      </c>
      <c r="O4284" s="19">
        <f t="shared" si="132"/>
        <v>10</v>
      </c>
      <c r="P4284" s="19">
        <f t="shared" si="133"/>
        <v>2024</v>
      </c>
      <c r="Q42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84" s="19" t="str">
        <f>TEXT(Planning[[#This Row],[Mes]]*29,"mmmm")</f>
        <v>October</v>
      </c>
      <c r="S42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84" s="220"/>
      <c r="U4284" s="43" t="e">
        <f>IF(Planning[[#This Row],[Horas Planificadas]]&lt;&gt;0,+K4284/Planning[[#This Row],[Horas Planificadas]],0)</f>
        <v>#REF!</v>
      </c>
      <c r="V4284" s="43" t="e">
        <f>IF(Planning[[#This Row],[Horas Planificadas]]&lt;&gt;0,Planning[[#This Row],[Horas utilizadas]]/Planning[[#This Row],[Horas Planificadas]],0)</f>
        <v>#REF!</v>
      </c>
      <c r="W4284" s="44">
        <f>Planning[[#This Row],[Horas Planificadas]]+Planning[[#This Row],[Horas ajustadas adicionales]]</f>
        <v>288</v>
      </c>
      <c r="X4284" s="142"/>
    </row>
    <row r="4285" spans="1:24" x14ac:dyDescent="0.2">
      <c r="A4285" s="7" t="s">
        <v>117</v>
      </c>
      <c r="B4285" s="7" t="s">
        <v>725</v>
      </c>
      <c r="C4285" s="3"/>
      <c r="D4285" s="3" t="s">
        <v>740</v>
      </c>
      <c r="E4285" s="4"/>
      <c r="F4285" s="3" t="s">
        <v>128</v>
      </c>
      <c r="G4285" s="9">
        <v>0</v>
      </c>
      <c r="H4285" s="41">
        <v>0</v>
      </c>
      <c r="I4285" s="12"/>
      <c r="J4285" s="5" t="e">
        <f>SUM(SUMIFS(#REF!,#REF!,Planning[[#This Row],[Tipo de Tarea y especialidad]],#REF!,Planning[[#This Row],[Proyectos Reiwa]]),SUMIFS(#REF!,#REF!,Planning[[#This Row],[Tipo de Tarea y especialidad]],#REF!,Planning[[#This Row],[Proyectos]]))</f>
        <v>#REF!</v>
      </c>
      <c r="K4285" s="5" t="e">
        <f>+Planning[[#This Row],[Horas Planificadas]]+Planning[[#This Row],[Horas ajustadas adicionales]]-Planning[[#This Row],[Horas utilizadas]]</f>
        <v>#REF!</v>
      </c>
      <c r="L4285" s="7" t="e">
        <f>Planning[[#This Row],[Saldo]]</f>
        <v>#REF!</v>
      </c>
      <c r="M4285" s="19" t="e">
        <f>Planning[[#This Row],[Saldo]]-Planning[[#This Row],[Saldo estimado]]</f>
        <v>#REF!</v>
      </c>
      <c r="N4285" s="60" t="e">
        <f>+SUMIFS(#REF!,#REF!,Planning[[#This Row],[Proyectos]],#REF!,Planning[[#This Row],[Tipo de Tarea y especialidad]])</f>
        <v>#REF!</v>
      </c>
      <c r="O4285" s="19">
        <f t="shared" si="132"/>
        <v>10</v>
      </c>
      <c r="P4285" s="19">
        <f t="shared" si="133"/>
        <v>2024</v>
      </c>
      <c r="Q42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85" s="19" t="str">
        <f>TEXT(Planning[[#This Row],[Mes]]*29,"mmmm")</f>
        <v>October</v>
      </c>
      <c r="S42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85" s="220"/>
      <c r="U4285" s="43">
        <f>IF(Planning[[#This Row],[Horas Planificadas]]&lt;&gt;0,+K4285/Planning[[#This Row],[Horas Planificadas]],0)</f>
        <v>0</v>
      </c>
      <c r="V4285" s="43">
        <f>IF(Planning[[#This Row],[Horas Planificadas]]&lt;&gt;0,Planning[[#This Row],[Horas utilizadas]]/Planning[[#This Row],[Horas Planificadas]],0)</f>
        <v>0</v>
      </c>
      <c r="W4285" s="44">
        <f>Planning[[#This Row],[Horas Planificadas]]+Planning[[#This Row],[Horas ajustadas adicionales]]</f>
        <v>0</v>
      </c>
      <c r="X4285" s="142"/>
    </row>
    <row r="4286" spans="1:24" x14ac:dyDescent="0.2">
      <c r="A4286" s="7" t="s">
        <v>117</v>
      </c>
      <c r="B4286" s="7" t="s">
        <v>725</v>
      </c>
      <c r="C4286" s="3"/>
      <c r="D4286" s="3" t="s">
        <v>740</v>
      </c>
      <c r="E4286" s="4" t="s">
        <v>31</v>
      </c>
      <c r="F4286" s="3" t="s">
        <v>31</v>
      </c>
      <c r="G4286" s="9">
        <v>292</v>
      </c>
      <c r="H4286" s="17">
        <f>Planning[[#This Row],[Horas Precálculo]]</f>
        <v>292</v>
      </c>
      <c r="I4286" s="18"/>
      <c r="J4286" s="14" t="e">
        <f>+SUMIFS(#REF!,#REF!,Planning[[#This Row],[Tarifa]],#REF!,Planning[[#This Row],[Proyectos]])</f>
        <v>#REF!</v>
      </c>
      <c r="K4286" s="14" t="e">
        <f>+Planning[[#This Row],[Horas Planificadas]]+Planning[[#This Row],[Horas ajustadas adicionales]]-Planning[[#This Row],[Horas utilizadas]]</f>
        <v>#REF!</v>
      </c>
      <c r="L4286" s="15" t="e">
        <f>Planning[[#This Row],[Saldo]]</f>
        <v>#REF!</v>
      </c>
      <c r="M4286" s="16" t="e">
        <f>Planning[[#This Row],[Saldo]]-Planning[[#This Row],[Saldo estimado]]</f>
        <v>#REF!</v>
      </c>
      <c r="N4286" s="60" t="e">
        <f>+SUMIFS(#REF!,#REF!,Planning[[#This Row],[Proyectos]],#REF!,Planning[[#This Row],[Tipo de Tarea y especialidad]])</f>
        <v>#REF!</v>
      </c>
      <c r="O4286" s="16">
        <f t="shared" si="132"/>
        <v>10</v>
      </c>
      <c r="P4286" s="16">
        <f t="shared" si="133"/>
        <v>2024</v>
      </c>
      <c r="Q4286" s="16" t="e">
        <f>+SUMIFS(#REF!,#REF!,Planning[[#This Row],[Tarifa]],#REF!,Planning[[#This Row],[Proyectos]],#REF!,Planning[[#This Row],[Mes]],#REF!,Planning[[#This Row],[Año]])</f>
        <v>#REF!</v>
      </c>
      <c r="R4286" s="16" t="str">
        <f>TEXT(Planning[[#This Row],[Mes]]*29,"mmmm")</f>
        <v>October</v>
      </c>
      <c r="S42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86" s="220"/>
      <c r="U4286" s="43" t="e">
        <f>IF(Planning[[#This Row],[Horas Planificadas]]&lt;&gt;0,+K4286/Planning[[#This Row],[Horas Planificadas]],0)</f>
        <v>#REF!</v>
      </c>
      <c r="V4286" s="43" t="e">
        <f>IF(Planning[[#This Row],[Horas Planificadas]]&lt;&gt;0,Planning[[#This Row],[Horas utilizadas]]/Planning[[#This Row],[Horas Planificadas]],0)</f>
        <v>#REF!</v>
      </c>
      <c r="W4286" s="44">
        <f>Planning[[#This Row],[Horas Planificadas]]+Planning[[#This Row],[Horas ajustadas adicionales]]</f>
        <v>292</v>
      </c>
      <c r="X4286" s="142"/>
    </row>
    <row r="4287" spans="1:24" ht="22.5" x14ac:dyDescent="0.2">
      <c r="A4287" s="7" t="s">
        <v>117</v>
      </c>
      <c r="B4287" s="7" t="s">
        <v>725</v>
      </c>
      <c r="C4287" s="3"/>
      <c r="D4287" s="3" t="s">
        <v>740</v>
      </c>
      <c r="E4287" s="4" t="s">
        <v>32</v>
      </c>
      <c r="F4287" s="3"/>
      <c r="G4287" s="9">
        <f>SUM(G4288:G4290)</f>
        <v>869</v>
      </c>
      <c r="H4287" s="14">
        <f>SUM(H4288:H4290)</f>
        <v>869</v>
      </c>
      <c r="I4287" s="14"/>
      <c r="J4287" s="14" t="e">
        <f>SUM(J4288:J4290)</f>
        <v>#REF!</v>
      </c>
      <c r="K4287" s="14" t="e">
        <f>+Planning[[#This Row],[Horas Planificadas]]+Planning[[#This Row],[Horas ajustadas adicionales]]-Planning[[#This Row],[Horas utilizadas]]</f>
        <v>#REF!</v>
      </c>
      <c r="L4287" s="15" t="e">
        <f>SUM(L4288:L4290)</f>
        <v>#REF!</v>
      </c>
      <c r="M4287" s="16" t="e">
        <f>SUM(M4288:M4290)</f>
        <v>#REF!</v>
      </c>
      <c r="N4287" s="60" t="e">
        <f>+SUMIFS(#REF!,#REF!,Planning[[#This Row],[Proyectos]],#REF!,Planning[[#This Row],[Tipo de Tarea y especialidad]])</f>
        <v>#REF!</v>
      </c>
      <c r="O4287" s="16">
        <f t="shared" si="132"/>
        <v>10</v>
      </c>
      <c r="P4287" s="16">
        <f t="shared" si="133"/>
        <v>2024</v>
      </c>
      <c r="Q4287" s="16" t="e">
        <f>SUM(Q4288:Q4290)</f>
        <v>#REF!</v>
      </c>
      <c r="R4287" s="16" t="str">
        <f>TEXT(Planning[[#This Row],[Mes]]*29,"mmmm")</f>
        <v>October</v>
      </c>
      <c r="S42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87" s="220"/>
      <c r="U4287" s="43" t="e">
        <f>IF(Planning[[#This Row],[Horas Planificadas]]&lt;&gt;0,+K4287/Planning[[#This Row],[Horas Planificadas]],0)</f>
        <v>#REF!</v>
      </c>
      <c r="V4287" s="43" t="e">
        <f>IF(Planning[[#This Row],[Horas Planificadas]]&lt;&gt;0,Planning[[#This Row],[Horas utilizadas]]/Planning[[#This Row],[Horas Planificadas]],0)</f>
        <v>#REF!</v>
      </c>
      <c r="W4287" s="44">
        <f>Planning[[#This Row],[Horas Planificadas]]+Planning[[#This Row],[Horas ajustadas adicionales]]</f>
        <v>869</v>
      </c>
      <c r="X4287" s="142"/>
    </row>
    <row r="4288" spans="1:24" x14ac:dyDescent="0.2">
      <c r="A4288" s="7" t="s">
        <v>117</v>
      </c>
      <c r="B4288" s="7" t="s">
        <v>725</v>
      </c>
      <c r="C4288" s="3"/>
      <c r="D4288" s="3" t="s">
        <v>740</v>
      </c>
      <c r="E4288" s="4"/>
      <c r="F4288" s="3" t="s">
        <v>129</v>
      </c>
      <c r="G4288" s="9">
        <v>469</v>
      </c>
      <c r="H4288" s="41">
        <v>469</v>
      </c>
      <c r="I4288" s="12"/>
      <c r="J4288" s="5" t="e">
        <f>SUM(SUMIFS(#REF!,#REF!,Planning[[#This Row],[Tipo de Tarea y especialidad]],#REF!,Planning[[#This Row],[Proyectos Reiwa]]),SUMIFS(#REF!,#REF!,Planning[[#This Row],[Tipo de Tarea y especialidad]],#REF!,Planning[[#This Row],[Proyectos]]))</f>
        <v>#REF!</v>
      </c>
      <c r="K4288" s="5" t="e">
        <f>+Planning[[#This Row],[Horas Planificadas]]+Planning[[#This Row],[Horas ajustadas adicionales]]-Planning[[#This Row],[Horas utilizadas]]</f>
        <v>#REF!</v>
      </c>
      <c r="L4288" s="7">
        <v>469</v>
      </c>
      <c r="M4288" s="19" t="e">
        <f>Planning[[#This Row],[Saldo]]-Planning[[#This Row],[Saldo estimado]]</f>
        <v>#REF!</v>
      </c>
      <c r="N4288" s="60" t="e">
        <f>+SUMIFS(#REF!,#REF!,Planning[[#This Row],[Proyectos]],#REF!,Planning[[#This Row],[Tipo de Tarea y especialidad]])</f>
        <v>#REF!</v>
      </c>
      <c r="O4288" s="19">
        <f t="shared" si="132"/>
        <v>10</v>
      </c>
      <c r="P4288" s="19">
        <f t="shared" si="133"/>
        <v>2024</v>
      </c>
      <c r="Q42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88" s="19" t="str">
        <f>TEXT(Planning[[#This Row],[Mes]]*29,"mmmm")</f>
        <v>October</v>
      </c>
      <c r="S42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88" s="220"/>
      <c r="U4288" s="43" t="e">
        <f>IF(Planning[[#This Row],[Horas Planificadas]]&lt;&gt;0,+K4288/Planning[[#This Row],[Horas Planificadas]],0)</f>
        <v>#REF!</v>
      </c>
      <c r="V4288" s="43" t="e">
        <f>IF(Planning[[#This Row],[Horas Planificadas]]&lt;&gt;0,Planning[[#This Row],[Horas utilizadas]]/Planning[[#This Row],[Horas Planificadas]],0)</f>
        <v>#REF!</v>
      </c>
      <c r="W4288" s="44">
        <f>Planning[[#This Row],[Horas Planificadas]]+Planning[[#This Row],[Horas ajustadas adicionales]]</f>
        <v>469</v>
      </c>
      <c r="X4288" s="142"/>
    </row>
    <row r="4289" spans="1:24" x14ac:dyDescent="0.2">
      <c r="A4289" s="7" t="s">
        <v>117</v>
      </c>
      <c r="B4289" s="7" t="s">
        <v>725</v>
      </c>
      <c r="C4289" s="3"/>
      <c r="D4289" s="3" t="s">
        <v>740</v>
      </c>
      <c r="E4289" s="4"/>
      <c r="F4289" s="3" t="s">
        <v>130</v>
      </c>
      <c r="G4289" s="9">
        <v>400</v>
      </c>
      <c r="H4289" s="41">
        <v>400</v>
      </c>
      <c r="I4289" s="12"/>
      <c r="J4289" s="5" t="e">
        <f>SUM(SUMIFS(#REF!,#REF!,Planning[[#This Row],[Tipo de Tarea y especialidad]],#REF!,Planning[[#This Row],[Proyectos Reiwa]]),SUMIFS(#REF!,#REF!,Planning[[#This Row],[Tipo de Tarea y especialidad]],#REF!,Planning[[#This Row],[Proyectos]]))</f>
        <v>#REF!</v>
      </c>
      <c r="K4289" s="5" t="e">
        <f>+Planning[[#This Row],[Horas Planificadas]]+Planning[[#This Row],[Horas ajustadas adicionales]]-Planning[[#This Row],[Horas utilizadas]]</f>
        <v>#REF!</v>
      </c>
      <c r="L4289" s="7">
        <v>400</v>
      </c>
      <c r="M4289" s="19" t="e">
        <f>Planning[[#This Row],[Saldo]]-Planning[[#This Row],[Saldo estimado]]</f>
        <v>#REF!</v>
      </c>
      <c r="N4289" s="60" t="e">
        <f>+SUMIFS(#REF!,#REF!,Planning[[#This Row],[Proyectos]],#REF!,Planning[[#This Row],[Tipo de Tarea y especialidad]])</f>
        <v>#REF!</v>
      </c>
      <c r="O4289" s="19">
        <f t="shared" si="132"/>
        <v>10</v>
      </c>
      <c r="P4289" s="19">
        <f t="shared" si="133"/>
        <v>2024</v>
      </c>
      <c r="Q42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89" s="19" t="str">
        <f>TEXT(Planning[[#This Row],[Mes]]*29,"mmmm")</f>
        <v>October</v>
      </c>
      <c r="S42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89" s="220"/>
      <c r="U4289" s="43" t="e">
        <f>IF(Planning[[#This Row],[Horas Planificadas]]&lt;&gt;0,+K4289/Planning[[#This Row],[Horas Planificadas]],0)</f>
        <v>#REF!</v>
      </c>
      <c r="V4289" s="43" t="e">
        <f>IF(Planning[[#This Row],[Horas Planificadas]]&lt;&gt;0,Planning[[#This Row],[Horas utilizadas]]/Planning[[#This Row],[Horas Planificadas]],0)</f>
        <v>#REF!</v>
      </c>
      <c r="W4289" s="44">
        <f>Planning[[#This Row],[Horas Planificadas]]+Planning[[#This Row],[Horas ajustadas adicionales]]</f>
        <v>400</v>
      </c>
      <c r="X4289" s="142"/>
    </row>
    <row r="4290" spans="1:24" x14ac:dyDescent="0.2">
      <c r="A4290" s="7" t="s">
        <v>117</v>
      </c>
      <c r="B4290" s="7" t="s">
        <v>725</v>
      </c>
      <c r="C4290" s="3"/>
      <c r="D4290" s="3" t="s">
        <v>740</v>
      </c>
      <c r="E4290" s="4"/>
      <c r="F4290" s="3" t="s">
        <v>131</v>
      </c>
      <c r="G4290" s="9">
        <v>0</v>
      </c>
      <c r="H4290" s="41">
        <v>0</v>
      </c>
      <c r="I4290" s="12"/>
      <c r="J4290" s="5" t="e">
        <f>SUM(SUMIFS(#REF!,#REF!,Planning[[#This Row],[Tipo de Tarea y especialidad]],#REF!,Planning[[#This Row],[Proyectos Reiwa]]),SUMIFS(#REF!,#REF!,Planning[[#This Row],[Tipo de Tarea y especialidad]],#REF!,Planning[[#This Row],[Proyectos]]))</f>
        <v>#REF!</v>
      </c>
      <c r="K4290" s="5" t="e">
        <f>+Planning[[#This Row],[Horas Planificadas]]+Planning[[#This Row],[Horas ajustadas adicionales]]-Planning[[#This Row],[Horas utilizadas]]</f>
        <v>#REF!</v>
      </c>
      <c r="L4290" s="7" t="e">
        <f>Planning[[#This Row],[Saldo]]</f>
        <v>#REF!</v>
      </c>
      <c r="M4290" s="19" t="e">
        <f>Planning[[#This Row],[Saldo]]-Planning[[#This Row],[Saldo estimado]]</f>
        <v>#REF!</v>
      </c>
      <c r="N4290" s="60" t="e">
        <f>+SUMIFS(#REF!,#REF!,Planning[[#This Row],[Proyectos]],#REF!,Planning[[#This Row],[Tipo de Tarea y especialidad]])</f>
        <v>#REF!</v>
      </c>
      <c r="O4290" s="19">
        <f t="shared" si="132"/>
        <v>10</v>
      </c>
      <c r="P4290" s="19">
        <f t="shared" si="133"/>
        <v>2024</v>
      </c>
      <c r="Q42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90" s="19" t="str">
        <f>TEXT(Planning[[#This Row],[Mes]]*29,"mmmm")</f>
        <v>October</v>
      </c>
      <c r="S42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90" s="220"/>
      <c r="U4290" s="43">
        <f>IF(Planning[[#This Row],[Horas Planificadas]]&lt;&gt;0,+K4290/Planning[[#This Row],[Horas Planificadas]],0)</f>
        <v>0</v>
      </c>
      <c r="V4290" s="43">
        <f>IF(Planning[[#This Row],[Horas Planificadas]]&lt;&gt;0,Planning[[#This Row],[Horas utilizadas]]/Planning[[#This Row],[Horas Planificadas]],0)</f>
        <v>0</v>
      </c>
      <c r="W4290" s="44">
        <f>Planning[[#This Row],[Horas Planificadas]]+Planning[[#This Row],[Horas ajustadas adicionales]]</f>
        <v>0</v>
      </c>
      <c r="X4290" s="142"/>
    </row>
    <row r="4291" spans="1:24" ht="22.5" x14ac:dyDescent="0.2">
      <c r="A4291" s="7" t="s">
        <v>626</v>
      </c>
      <c r="B4291" s="7" t="s">
        <v>178</v>
      </c>
      <c r="C4291" s="3"/>
      <c r="D4291" s="3" t="s">
        <v>742</v>
      </c>
      <c r="E4291" s="4" t="s">
        <v>28</v>
      </c>
      <c r="F4291" s="3"/>
      <c r="G4291" s="9">
        <v>18</v>
      </c>
      <c r="H4291" s="14">
        <f>SUM(H4292:H4293)</f>
        <v>18</v>
      </c>
      <c r="I4291" s="14"/>
      <c r="J4291" s="14" t="e">
        <f>SUM(J4292:J4293)</f>
        <v>#REF!</v>
      </c>
      <c r="K4291" s="14" t="e">
        <f>+Planning[[#This Row],[Horas Planificadas]]+Planning[[#This Row],[Horas ajustadas adicionales]]-Planning[[#This Row],[Horas utilizadas]]</f>
        <v>#REF!</v>
      </c>
      <c r="L4291" s="15">
        <f>SUM(L4292:L4293)</f>
        <v>0</v>
      </c>
      <c r="M4291" s="14" t="e">
        <f>SUM(M4292:M4293)</f>
        <v>#REF!</v>
      </c>
      <c r="N4291" s="66" t="e">
        <f>+SUMIFS(#REF!,#REF!,Planning[[#This Row],[Proyectos]],#REF!,Planning[[#This Row],[Tipo de Tarea y especialidad]])</f>
        <v>#REF!</v>
      </c>
      <c r="O4291" s="14">
        <f t="shared" si="132"/>
        <v>10</v>
      </c>
      <c r="P4291" s="14">
        <f t="shared" si="133"/>
        <v>2024</v>
      </c>
      <c r="Q4291" s="28" t="e">
        <f>SUM(Q4292:Q4293)</f>
        <v>#REF!</v>
      </c>
      <c r="R4291" s="28" t="str">
        <f>TEXT(Planning[[#This Row],[Mes]]*29,"mmmm")</f>
        <v>October</v>
      </c>
      <c r="S42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91" s="220" t="s">
        <v>743</v>
      </c>
      <c r="U4291" s="43" t="e">
        <f>IF(Planning[[#This Row],[Horas Planificadas]]&lt;&gt;0,+K4291/Planning[[#This Row],[Horas Planificadas]],0)</f>
        <v>#REF!</v>
      </c>
      <c r="V4291" s="43" t="e">
        <f>IF(Planning[[#This Row],[Horas Planificadas]]&lt;&gt;0,Planning[[#This Row],[Horas utilizadas]]/Planning[[#This Row],[Horas Planificadas]],0)</f>
        <v>#REF!</v>
      </c>
      <c r="W4291" s="44">
        <f>Planning[[#This Row],[Horas Planificadas]]+Planning[[#This Row],[Horas ajustadas adicionales]]</f>
        <v>18</v>
      </c>
      <c r="X4291" s="142"/>
    </row>
    <row r="4292" spans="1:24" x14ac:dyDescent="0.2">
      <c r="A4292" s="7" t="s">
        <v>626</v>
      </c>
      <c r="B4292" s="7" t="s">
        <v>178</v>
      </c>
      <c r="C4292" s="3"/>
      <c r="D4292" s="3" t="s">
        <v>742</v>
      </c>
      <c r="E4292" s="4"/>
      <c r="F4292" s="3" t="s">
        <v>120</v>
      </c>
      <c r="G4292" s="9">
        <v>0</v>
      </c>
      <c r="H4292" s="9">
        <v>0</v>
      </c>
      <c r="I4292" s="12"/>
      <c r="J4292" s="5" t="e">
        <f>SUM(SUMIFS(#REF!,#REF!,Planning[[#This Row],[Tipo de Tarea y especialidad]],#REF!,Planning[[#This Row],[Proyectos Reiwa]]),SUMIFS(#REF!,#REF!,Planning[[#This Row],[Tipo de Tarea y especialidad]],#REF!,Planning[[#This Row],[Proyectos]]))</f>
        <v>#REF!</v>
      </c>
      <c r="K4292" s="5" t="e">
        <f>+Planning[[#This Row],[Horas Planificadas]]+Planning[[#This Row],[Horas ajustadas adicionales]]-Planning[[#This Row],[Horas utilizadas]]</f>
        <v>#REF!</v>
      </c>
      <c r="L4292" s="7">
        <v>0</v>
      </c>
      <c r="M4292" s="19" t="e">
        <f>Planning[[#This Row],[Saldo]]-Planning[[#This Row],[Saldo estimado]]</f>
        <v>#REF!</v>
      </c>
      <c r="N4292" s="60" t="e">
        <f>+SUMIFS(#REF!,#REF!,Planning[[#This Row],[Proyectos]],#REF!,Planning[[#This Row],[Tipo de Tarea y especialidad]])</f>
        <v>#REF!</v>
      </c>
      <c r="O4292" s="19">
        <f t="shared" si="132"/>
        <v>10</v>
      </c>
      <c r="P4292" s="19">
        <f t="shared" si="133"/>
        <v>2024</v>
      </c>
      <c r="Q42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92" s="19" t="str">
        <f>TEXT(Planning[[#This Row],[Mes]]*29,"mmmm")</f>
        <v>October</v>
      </c>
      <c r="S42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92" s="210"/>
      <c r="U4292" s="43">
        <f>IF(Planning[[#This Row],[Horas Planificadas]]&lt;&gt;0,+K4292/Planning[[#This Row],[Horas Planificadas]],0)</f>
        <v>0</v>
      </c>
      <c r="V4292" s="43">
        <f>IF(Planning[[#This Row],[Horas Planificadas]]&lt;&gt;0,Planning[[#This Row],[Horas utilizadas]]/Planning[[#This Row],[Horas Planificadas]],0)</f>
        <v>0</v>
      </c>
      <c r="W4292" s="44">
        <f>Planning[[#This Row],[Horas Planificadas]]+Planning[[#This Row],[Horas ajustadas adicionales]]</f>
        <v>0</v>
      </c>
      <c r="X4292" s="142"/>
    </row>
    <row r="4293" spans="1:24" x14ac:dyDescent="0.2">
      <c r="A4293" s="7" t="s">
        <v>626</v>
      </c>
      <c r="B4293" s="7" t="s">
        <v>178</v>
      </c>
      <c r="C4293" s="3"/>
      <c r="D4293" s="3" t="s">
        <v>742</v>
      </c>
      <c r="E4293" s="4"/>
      <c r="F4293" s="3" t="s">
        <v>121</v>
      </c>
      <c r="G4293" s="9">
        <v>18</v>
      </c>
      <c r="H4293" s="9">
        <v>18</v>
      </c>
      <c r="I4293" s="12"/>
      <c r="J4293" s="5" t="e">
        <f>SUM(SUMIFS(#REF!,#REF!,Planning[[#This Row],[Tipo de Tarea y especialidad]],#REF!,Planning[[#This Row],[Proyectos Reiwa]]),SUMIFS(#REF!,#REF!,Planning[[#This Row],[Tipo de Tarea y especialidad]],#REF!,Planning[[#This Row],[Proyectos]]))</f>
        <v>#REF!</v>
      </c>
      <c r="K4293" s="5" t="e">
        <f>+Planning[[#This Row],[Horas Planificadas]]+Planning[[#This Row],[Horas ajustadas adicionales]]-Planning[[#This Row],[Horas utilizadas]]</f>
        <v>#REF!</v>
      </c>
      <c r="L4293" s="7">
        <v>0</v>
      </c>
      <c r="M4293" s="19" t="e">
        <f>Planning[[#This Row],[Saldo]]-Planning[[#This Row],[Saldo estimado]]</f>
        <v>#REF!</v>
      </c>
      <c r="N4293" s="60" t="e">
        <f>+SUMIFS(#REF!,#REF!,Planning[[#This Row],[Proyectos]],#REF!,Planning[[#This Row],[Tipo de Tarea y especialidad]])</f>
        <v>#REF!</v>
      </c>
      <c r="O4293" s="19">
        <f t="shared" si="132"/>
        <v>10</v>
      </c>
      <c r="P4293" s="19">
        <f t="shared" si="133"/>
        <v>2024</v>
      </c>
      <c r="Q42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93" s="19" t="str">
        <f>TEXT(Planning[[#This Row],[Mes]]*29,"mmmm")</f>
        <v>October</v>
      </c>
      <c r="S42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93" s="210"/>
      <c r="U4293" s="43" t="e">
        <f>IF(Planning[[#This Row],[Horas Planificadas]]&lt;&gt;0,+K4293/Planning[[#This Row],[Horas Planificadas]],0)</f>
        <v>#REF!</v>
      </c>
      <c r="V4293" s="43" t="e">
        <f>IF(Planning[[#This Row],[Horas Planificadas]]&lt;&gt;0,Planning[[#This Row],[Horas utilizadas]]/Planning[[#This Row],[Horas Planificadas]],0)</f>
        <v>#REF!</v>
      </c>
      <c r="W4293" s="44">
        <f>Planning[[#This Row],[Horas Planificadas]]+Planning[[#This Row],[Horas ajustadas adicionales]]</f>
        <v>18</v>
      </c>
      <c r="X4293" s="142"/>
    </row>
    <row r="4294" spans="1:24" x14ac:dyDescent="0.2">
      <c r="A4294" s="7" t="s">
        <v>626</v>
      </c>
      <c r="B4294" s="7" t="s">
        <v>178</v>
      </c>
      <c r="C4294" s="3"/>
      <c r="D4294" s="3" t="s">
        <v>742</v>
      </c>
      <c r="E4294" s="4" t="s">
        <v>30</v>
      </c>
      <c r="F4294" s="3"/>
      <c r="G4294" s="9">
        <v>684</v>
      </c>
      <c r="H4294" s="14">
        <f>SUM(H4295:H4301)</f>
        <v>684</v>
      </c>
      <c r="I4294" s="14"/>
      <c r="J4294" s="14" t="e">
        <f>SUM(J4295:J4301)</f>
        <v>#REF!</v>
      </c>
      <c r="K4294" s="14" t="e">
        <f>+Planning[[#This Row],[Horas Planificadas]]+Planning[[#This Row],[Horas ajustadas adicionales]]-Planning[[#This Row],[Horas utilizadas]]</f>
        <v>#REF!</v>
      </c>
      <c r="L4294" s="15">
        <f>SUM(L4295:L4301)</f>
        <v>0</v>
      </c>
      <c r="M4294" s="16" t="e">
        <f>SUM(M4295:M4301)</f>
        <v>#REF!</v>
      </c>
      <c r="N4294" s="60" t="e">
        <f>+SUMIFS(#REF!,#REF!,Planning[[#This Row],[Proyectos]],#REF!,Planning[[#This Row],[Tipo de Tarea y especialidad]])</f>
        <v>#REF!</v>
      </c>
      <c r="O4294" s="16">
        <f t="shared" si="132"/>
        <v>10</v>
      </c>
      <c r="P4294" s="16">
        <f t="shared" si="133"/>
        <v>2024</v>
      </c>
      <c r="Q4294" s="16" t="e">
        <f>SUM(Q4295:Q4301)</f>
        <v>#REF!</v>
      </c>
      <c r="R4294" s="16" t="str">
        <f>TEXT(Planning[[#This Row],[Mes]]*29,"mmmm")</f>
        <v>October</v>
      </c>
      <c r="S42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94" s="210"/>
      <c r="U4294" s="43" t="e">
        <f>IF(Planning[[#This Row],[Horas Planificadas]]&lt;&gt;0,+K4294/Planning[[#This Row],[Horas Planificadas]],0)</f>
        <v>#REF!</v>
      </c>
      <c r="V4294" s="43" t="e">
        <f>IF(Planning[[#This Row],[Horas Planificadas]]&lt;&gt;0,Planning[[#This Row],[Horas utilizadas]]/Planning[[#This Row],[Horas Planificadas]],0)</f>
        <v>#REF!</v>
      </c>
      <c r="W4294" s="44">
        <f>Planning[[#This Row],[Horas Planificadas]]+Planning[[#This Row],[Horas ajustadas adicionales]]</f>
        <v>684</v>
      </c>
      <c r="X4294" s="142"/>
    </row>
    <row r="4295" spans="1:24" x14ac:dyDescent="0.2">
      <c r="A4295" s="7" t="s">
        <v>626</v>
      </c>
      <c r="B4295" s="7" t="s">
        <v>178</v>
      </c>
      <c r="C4295" s="3"/>
      <c r="D4295" s="3" t="s">
        <v>742</v>
      </c>
      <c r="E4295" s="4"/>
      <c r="F4295" s="3" t="s">
        <v>122</v>
      </c>
      <c r="G4295" s="9">
        <v>0</v>
      </c>
      <c r="H4295" s="9">
        <v>0</v>
      </c>
      <c r="I4295" s="12"/>
      <c r="J4295" s="5" t="e">
        <f>SUM(SUMIFS(#REF!,#REF!,Planning[[#This Row],[Tipo de Tarea y especialidad]],#REF!,Planning[[#This Row],[Proyectos Reiwa]]),SUMIFS(#REF!,#REF!,Planning[[#This Row],[Tipo de Tarea y especialidad]],#REF!,Planning[[#This Row],[Proyectos]]))</f>
        <v>#REF!</v>
      </c>
      <c r="K4295" s="5" t="e">
        <f>+Planning[[#This Row],[Horas Planificadas]]+Planning[[#This Row],[Horas ajustadas adicionales]]-Planning[[#This Row],[Horas utilizadas]]</f>
        <v>#REF!</v>
      </c>
      <c r="L4295" s="7">
        <v>0</v>
      </c>
      <c r="M4295" s="19" t="e">
        <f>Planning[[#This Row],[Saldo]]-Planning[[#This Row],[Saldo estimado]]</f>
        <v>#REF!</v>
      </c>
      <c r="N4295" s="60" t="e">
        <f>+SUMIFS(#REF!,#REF!,Planning[[#This Row],[Proyectos]],#REF!,Planning[[#This Row],[Tipo de Tarea y especialidad]])</f>
        <v>#REF!</v>
      </c>
      <c r="O4295" s="19">
        <f t="shared" ref="O4295:O4358" si="134">$L$4</f>
        <v>10</v>
      </c>
      <c r="P4295" s="19">
        <f t="shared" ref="P4295:P4358" si="135">$M$4</f>
        <v>2024</v>
      </c>
      <c r="Q42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95" s="19" t="str">
        <f>TEXT(Planning[[#This Row],[Mes]]*29,"mmmm")</f>
        <v>October</v>
      </c>
      <c r="S42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95" s="210"/>
      <c r="U4295" s="43">
        <f>IF(Planning[[#This Row],[Horas Planificadas]]&lt;&gt;0,+K4295/Planning[[#This Row],[Horas Planificadas]],0)</f>
        <v>0</v>
      </c>
      <c r="V4295" s="43">
        <f>IF(Planning[[#This Row],[Horas Planificadas]]&lt;&gt;0,Planning[[#This Row],[Horas utilizadas]]/Planning[[#This Row],[Horas Planificadas]],0)</f>
        <v>0</v>
      </c>
      <c r="W4295" s="44">
        <f>Planning[[#This Row],[Horas Planificadas]]+Planning[[#This Row],[Horas ajustadas adicionales]]</f>
        <v>0</v>
      </c>
      <c r="X4295" s="142"/>
    </row>
    <row r="4296" spans="1:24" x14ac:dyDescent="0.2">
      <c r="A4296" s="7" t="s">
        <v>626</v>
      </c>
      <c r="B4296" s="7" t="s">
        <v>178</v>
      </c>
      <c r="C4296" s="3"/>
      <c r="D4296" s="3" t="s">
        <v>742</v>
      </c>
      <c r="E4296" s="4"/>
      <c r="F4296" s="3" t="s">
        <v>123</v>
      </c>
      <c r="G4296" s="9">
        <v>360</v>
      </c>
      <c r="H4296" s="9">
        <v>360</v>
      </c>
      <c r="I4296" s="12"/>
      <c r="J4296" s="5" t="e">
        <f>SUM(SUMIFS(#REF!,#REF!,Planning[[#This Row],[Tipo de Tarea y especialidad]],#REF!,Planning[[#This Row],[Proyectos Reiwa]]),SUMIFS(#REF!,#REF!,Planning[[#This Row],[Tipo de Tarea y especialidad]],#REF!,Planning[[#This Row],[Proyectos]]))</f>
        <v>#REF!</v>
      </c>
      <c r="K4296" s="5" t="e">
        <f>+Planning[[#This Row],[Horas Planificadas]]+Planning[[#This Row],[Horas ajustadas adicionales]]-Planning[[#This Row],[Horas utilizadas]]</f>
        <v>#REF!</v>
      </c>
      <c r="L4296" s="7">
        <v>0</v>
      </c>
      <c r="M4296" s="19" t="e">
        <f>Planning[[#This Row],[Saldo]]-Planning[[#This Row],[Saldo estimado]]</f>
        <v>#REF!</v>
      </c>
      <c r="N4296" s="60" t="e">
        <f>+SUMIFS(#REF!,#REF!,Planning[[#This Row],[Proyectos]],#REF!,Planning[[#This Row],[Tipo de Tarea y especialidad]])</f>
        <v>#REF!</v>
      </c>
      <c r="O4296" s="19">
        <f t="shared" si="134"/>
        <v>10</v>
      </c>
      <c r="P4296" s="19">
        <f t="shared" si="135"/>
        <v>2024</v>
      </c>
      <c r="Q42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96" s="19" t="str">
        <f>TEXT(Planning[[#This Row],[Mes]]*29,"mmmm")</f>
        <v>October</v>
      </c>
      <c r="S42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96" s="210"/>
      <c r="U4296" s="43" t="e">
        <f>IF(Planning[[#This Row],[Horas Planificadas]]&lt;&gt;0,+K4296/Planning[[#This Row],[Horas Planificadas]],0)</f>
        <v>#REF!</v>
      </c>
      <c r="V4296" s="43" t="e">
        <f>IF(Planning[[#This Row],[Horas Planificadas]]&lt;&gt;0,Planning[[#This Row],[Horas utilizadas]]/Planning[[#This Row],[Horas Planificadas]],0)</f>
        <v>#REF!</v>
      </c>
      <c r="W4296" s="44">
        <f>Planning[[#This Row],[Horas Planificadas]]+Planning[[#This Row],[Horas ajustadas adicionales]]</f>
        <v>360</v>
      </c>
      <c r="X4296" s="142"/>
    </row>
    <row r="4297" spans="1:24" x14ac:dyDescent="0.2">
      <c r="A4297" s="7" t="s">
        <v>626</v>
      </c>
      <c r="B4297" s="7" t="s">
        <v>178</v>
      </c>
      <c r="C4297" s="3"/>
      <c r="D4297" s="3" t="s">
        <v>742</v>
      </c>
      <c r="E4297" s="4"/>
      <c r="F4297" s="3" t="s">
        <v>124</v>
      </c>
      <c r="G4297" s="9">
        <v>0</v>
      </c>
      <c r="H4297" s="9">
        <v>0</v>
      </c>
      <c r="I4297" s="12"/>
      <c r="J4297" s="5" t="e">
        <f>SUM(SUMIFS(#REF!,#REF!,Planning[[#This Row],[Tipo de Tarea y especialidad]],#REF!,Planning[[#This Row],[Proyectos Reiwa]]),SUMIFS(#REF!,#REF!,Planning[[#This Row],[Tipo de Tarea y especialidad]],#REF!,Planning[[#This Row],[Proyectos]]))</f>
        <v>#REF!</v>
      </c>
      <c r="K4297" s="5" t="e">
        <f>+Planning[[#This Row],[Horas Planificadas]]+Planning[[#This Row],[Horas ajustadas adicionales]]-Planning[[#This Row],[Horas utilizadas]]</f>
        <v>#REF!</v>
      </c>
      <c r="L4297" s="7">
        <v>0</v>
      </c>
      <c r="M4297" s="19" t="e">
        <f>Planning[[#This Row],[Saldo]]-Planning[[#This Row],[Saldo estimado]]</f>
        <v>#REF!</v>
      </c>
      <c r="N4297" s="60" t="e">
        <f>+SUMIFS(#REF!,#REF!,Planning[[#This Row],[Proyectos]],#REF!,Planning[[#This Row],[Tipo de Tarea y especialidad]])</f>
        <v>#REF!</v>
      </c>
      <c r="O4297" s="19">
        <f t="shared" si="134"/>
        <v>10</v>
      </c>
      <c r="P4297" s="19">
        <f t="shared" si="135"/>
        <v>2024</v>
      </c>
      <c r="Q42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97" s="19" t="str">
        <f>TEXT(Planning[[#This Row],[Mes]]*29,"mmmm")</f>
        <v>October</v>
      </c>
      <c r="S42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97" s="210"/>
      <c r="U4297" s="43">
        <f>IF(Planning[[#This Row],[Horas Planificadas]]&lt;&gt;0,+K4297/Planning[[#This Row],[Horas Planificadas]],0)</f>
        <v>0</v>
      </c>
      <c r="V4297" s="43">
        <f>IF(Planning[[#This Row],[Horas Planificadas]]&lt;&gt;0,Planning[[#This Row],[Horas utilizadas]]/Planning[[#This Row],[Horas Planificadas]],0)</f>
        <v>0</v>
      </c>
      <c r="W4297" s="44">
        <f>Planning[[#This Row],[Horas Planificadas]]+Planning[[#This Row],[Horas ajustadas adicionales]]</f>
        <v>0</v>
      </c>
      <c r="X4297" s="142"/>
    </row>
    <row r="4298" spans="1:24" x14ac:dyDescent="0.2">
      <c r="A4298" s="7" t="s">
        <v>626</v>
      </c>
      <c r="B4298" s="7" t="s">
        <v>178</v>
      </c>
      <c r="C4298" s="3"/>
      <c r="D4298" s="3" t="s">
        <v>742</v>
      </c>
      <c r="E4298" s="4"/>
      <c r="F4298" s="3" t="s">
        <v>125</v>
      </c>
      <c r="G4298" s="9">
        <v>162</v>
      </c>
      <c r="H4298" s="9">
        <v>162</v>
      </c>
      <c r="I4298" s="12"/>
      <c r="J4298" s="5" t="e">
        <f>SUM(SUMIFS(#REF!,#REF!,Planning[[#This Row],[Tipo de Tarea y especialidad]],#REF!,Planning[[#This Row],[Proyectos Reiwa]]),SUMIFS(#REF!,#REF!,Planning[[#This Row],[Tipo de Tarea y especialidad]],#REF!,Planning[[#This Row],[Proyectos]]))</f>
        <v>#REF!</v>
      </c>
      <c r="K4298" s="5" t="e">
        <f>+Planning[[#This Row],[Horas Planificadas]]+Planning[[#This Row],[Horas ajustadas adicionales]]-Planning[[#This Row],[Horas utilizadas]]</f>
        <v>#REF!</v>
      </c>
      <c r="L4298" s="7">
        <v>0</v>
      </c>
      <c r="M4298" s="19" t="e">
        <f>Planning[[#This Row],[Saldo]]-Planning[[#This Row],[Saldo estimado]]</f>
        <v>#REF!</v>
      </c>
      <c r="N4298" s="60" t="e">
        <f>+SUMIFS(#REF!,#REF!,Planning[[#This Row],[Proyectos]],#REF!,Planning[[#This Row],[Tipo de Tarea y especialidad]])</f>
        <v>#REF!</v>
      </c>
      <c r="O4298" s="19">
        <f t="shared" si="134"/>
        <v>10</v>
      </c>
      <c r="P4298" s="19">
        <f t="shared" si="135"/>
        <v>2024</v>
      </c>
      <c r="Q42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98" s="19" t="str">
        <f>TEXT(Planning[[#This Row],[Mes]]*29,"mmmm")</f>
        <v>October</v>
      </c>
      <c r="S42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98" s="210"/>
      <c r="U4298" s="43" t="e">
        <f>IF(Planning[[#This Row],[Horas Planificadas]]&lt;&gt;0,+K4298/Planning[[#This Row],[Horas Planificadas]],0)</f>
        <v>#REF!</v>
      </c>
      <c r="V4298" s="43" t="e">
        <f>IF(Planning[[#This Row],[Horas Planificadas]]&lt;&gt;0,Planning[[#This Row],[Horas utilizadas]]/Planning[[#This Row],[Horas Planificadas]],0)</f>
        <v>#REF!</v>
      </c>
      <c r="W4298" s="44">
        <f>Planning[[#This Row],[Horas Planificadas]]+Planning[[#This Row],[Horas ajustadas adicionales]]</f>
        <v>162</v>
      </c>
      <c r="X4298" s="142"/>
    </row>
    <row r="4299" spans="1:24" x14ac:dyDescent="0.2">
      <c r="A4299" s="7" t="s">
        <v>626</v>
      </c>
      <c r="B4299" s="7" t="s">
        <v>178</v>
      </c>
      <c r="C4299" s="3"/>
      <c r="D4299" s="3" t="s">
        <v>742</v>
      </c>
      <c r="E4299" s="4"/>
      <c r="F4299" s="3" t="s">
        <v>126</v>
      </c>
      <c r="G4299" s="9">
        <v>0</v>
      </c>
      <c r="H4299" s="9">
        <v>0</v>
      </c>
      <c r="I4299" s="12"/>
      <c r="J4299" s="5" t="e">
        <f>SUM(SUMIFS(#REF!,#REF!,Planning[[#This Row],[Tipo de Tarea y especialidad]],#REF!,Planning[[#This Row],[Proyectos Reiwa]]),SUMIFS(#REF!,#REF!,Planning[[#This Row],[Tipo de Tarea y especialidad]],#REF!,Planning[[#This Row],[Proyectos]]))</f>
        <v>#REF!</v>
      </c>
      <c r="K4299" s="5" t="e">
        <f>+Planning[[#This Row],[Horas Planificadas]]+Planning[[#This Row],[Horas ajustadas adicionales]]-Planning[[#This Row],[Horas utilizadas]]</f>
        <v>#REF!</v>
      </c>
      <c r="L4299" s="7">
        <v>0</v>
      </c>
      <c r="M4299" s="19" t="e">
        <f>Planning[[#This Row],[Saldo]]-Planning[[#This Row],[Saldo estimado]]</f>
        <v>#REF!</v>
      </c>
      <c r="N4299" s="60" t="e">
        <f>+SUMIFS(#REF!,#REF!,Planning[[#This Row],[Proyectos]],#REF!,Planning[[#This Row],[Tipo de Tarea y especialidad]])</f>
        <v>#REF!</v>
      </c>
      <c r="O4299" s="19">
        <f t="shared" si="134"/>
        <v>10</v>
      </c>
      <c r="P4299" s="19">
        <f t="shared" si="135"/>
        <v>2024</v>
      </c>
      <c r="Q42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299" s="19" t="str">
        <f>TEXT(Planning[[#This Row],[Mes]]*29,"mmmm")</f>
        <v>October</v>
      </c>
      <c r="S42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299" s="210"/>
      <c r="U4299" s="43">
        <f>IF(Planning[[#This Row],[Horas Planificadas]]&lt;&gt;0,+K4299/Planning[[#This Row],[Horas Planificadas]],0)</f>
        <v>0</v>
      </c>
      <c r="V4299" s="43">
        <f>IF(Planning[[#This Row],[Horas Planificadas]]&lt;&gt;0,Planning[[#This Row],[Horas utilizadas]]/Planning[[#This Row],[Horas Planificadas]],0)</f>
        <v>0</v>
      </c>
      <c r="W4299" s="44">
        <f>Planning[[#This Row],[Horas Planificadas]]+Planning[[#This Row],[Horas ajustadas adicionales]]</f>
        <v>0</v>
      </c>
      <c r="X4299" s="142"/>
    </row>
    <row r="4300" spans="1:24" x14ac:dyDescent="0.2">
      <c r="A4300" s="7" t="s">
        <v>626</v>
      </c>
      <c r="B4300" s="7" t="s">
        <v>178</v>
      </c>
      <c r="C4300" s="3"/>
      <c r="D4300" s="3" t="s">
        <v>742</v>
      </c>
      <c r="E4300" s="4"/>
      <c r="F4300" s="3" t="s">
        <v>127</v>
      </c>
      <c r="G4300" s="9">
        <v>162</v>
      </c>
      <c r="H4300" s="9">
        <v>162</v>
      </c>
      <c r="I4300" s="12"/>
      <c r="J4300" s="5" t="e">
        <f>SUM(SUMIFS(#REF!,#REF!,Planning[[#This Row],[Tipo de Tarea y especialidad]],#REF!,Planning[[#This Row],[Proyectos Reiwa]]),SUMIFS(#REF!,#REF!,Planning[[#This Row],[Tipo de Tarea y especialidad]],#REF!,Planning[[#This Row],[Proyectos]]))</f>
        <v>#REF!</v>
      </c>
      <c r="K4300" s="5" t="e">
        <f>+Planning[[#This Row],[Horas Planificadas]]+Planning[[#This Row],[Horas ajustadas adicionales]]-Planning[[#This Row],[Horas utilizadas]]</f>
        <v>#REF!</v>
      </c>
      <c r="L4300" s="7">
        <v>0</v>
      </c>
      <c r="M4300" s="19" t="e">
        <f>Planning[[#This Row],[Saldo]]-Planning[[#This Row],[Saldo estimado]]</f>
        <v>#REF!</v>
      </c>
      <c r="N4300" s="60" t="e">
        <f>+SUMIFS(#REF!,#REF!,Planning[[#This Row],[Proyectos]],#REF!,Planning[[#This Row],[Tipo de Tarea y especialidad]])</f>
        <v>#REF!</v>
      </c>
      <c r="O4300" s="19">
        <f t="shared" si="134"/>
        <v>10</v>
      </c>
      <c r="P4300" s="19">
        <f t="shared" si="135"/>
        <v>2024</v>
      </c>
      <c r="Q43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00" s="19" t="str">
        <f>TEXT(Planning[[#This Row],[Mes]]*29,"mmmm")</f>
        <v>October</v>
      </c>
      <c r="S43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00" s="210"/>
      <c r="U4300" s="43" t="e">
        <f>IF(Planning[[#This Row],[Horas Planificadas]]&lt;&gt;0,+K4300/Planning[[#This Row],[Horas Planificadas]],0)</f>
        <v>#REF!</v>
      </c>
      <c r="V4300" s="43" t="e">
        <f>IF(Planning[[#This Row],[Horas Planificadas]]&lt;&gt;0,Planning[[#This Row],[Horas utilizadas]]/Planning[[#This Row],[Horas Planificadas]],0)</f>
        <v>#REF!</v>
      </c>
      <c r="W4300" s="44">
        <f>Planning[[#This Row],[Horas Planificadas]]+Planning[[#This Row],[Horas ajustadas adicionales]]</f>
        <v>162</v>
      </c>
      <c r="X4300" s="142"/>
    </row>
    <row r="4301" spans="1:24" x14ac:dyDescent="0.2">
      <c r="A4301" s="7" t="s">
        <v>626</v>
      </c>
      <c r="B4301" s="7" t="s">
        <v>178</v>
      </c>
      <c r="C4301" s="3"/>
      <c r="D4301" s="3" t="s">
        <v>742</v>
      </c>
      <c r="E4301" s="4"/>
      <c r="F4301" s="3" t="s">
        <v>128</v>
      </c>
      <c r="G4301" s="9">
        <v>0</v>
      </c>
      <c r="H4301" s="9">
        <v>0</v>
      </c>
      <c r="I4301" s="12"/>
      <c r="J4301" s="5" t="e">
        <f>SUM(SUMIFS(#REF!,#REF!,Planning[[#This Row],[Tipo de Tarea y especialidad]],#REF!,Planning[[#This Row],[Proyectos Reiwa]]),SUMIFS(#REF!,#REF!,Planning[[#This Row],[Tipo de Tarea y especialidad]],#REF!,Planning[[#This Row],[Proyectos]]))</f>
        <v>#REF!</v>
      </c>
      <c r="K4301" s="5" t="e">
        <f>+Planning[[#This Row],[Horas Planificadas]]+Planning[[#This Row],[Horas ajustadas adicionales]]-Planning[[#This Row],[Horas utilizadas]]</f>
        <v>#REF!</v>
      </c>
      <c r="L4301" s="7">
        <v>0</v>
      </c>
      <c r="M4301" s="19" t="e">
        <f>Planning[[#This Row],[Saldo]]-Planning[[#This Row],[Saldo estimado]]</f>
        <v>#REF!</v>
      </c>
      <c r="N4301" s="60" t="e">
        <f>+SUMIFS(#REF!,#REF!,Planning[[#This Row],[Proyectos]],#REF!,Planning[[#This Row],[Tipo de Tarea y especialidad]])</f>
        <v>#REF!</v>
      </c>
      <c r="O4301" s="19">
        <f t="shared" si="134"/>
        <v>10</v>
      </c>
      <c r="P4301" s="19">
        <f t="shared" si="135"/>
        <v>2024</v>
      </c>
      <c r="Q43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01" s="19" t="str">
        <f>TEXT(Planning[[#This Row],[Mes]]*29,"mmmm")</f>
        <v>October</v>
      </c>
      <c r="S43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01" s="210"/>
      <c r="U4301" s="43">
        <f>IF(Planning[[#This Row],[Horas Planificadas]]&lt;&gt;0,+K4301/Planning[[#This Row],[Horas Planificadas]],0)</f>
        <v>0</v>
      </c>
      <c r="V4301" s="43">
        <f>IF(Planning[[#This Row],[Horas Planificadas]]&lt;&gt;0,Planning[[#This Row],[Horas utilizadas]]/Planning[[#This Row],[Horas Planificadas]],0)</f>
        <v>0</v>
      </c>
      <c r="W4301" s="44">
        <f>Planning[[#This Row],[Horas Planificadas]]+Planning[[#This Row],[Horas ajustadas adicionales]]</f>
        <v>0</v>
      </c>
      <c r="X4301" s="142"/>
    </row>
    <row r="4302" spans="1:24" x14ac:dyDescent="0.2">
      <c r="A4302" s="7" t="s">
        <v>626</v>
      </c>
      <c r="B4302" s="7" t="s">
        <v>178</v>
      </c>
      <c r="C4302" s="3"/>
      <c r="D4302" s="3" t="s">
        <v>742</v>
      </c>
      <c r="E4302" s="4" t="s">
        <v>31</v>
      </c>
      <c r="F4302" s="3" t="s">
        <v>31</v>
      </c>
      <c r="G4302" s="9">
        <v>120</v>
      </c>
      <c r="H4302" s="17">
        <v>120</v>
      </c>
      <c r="I4302" s="18"/>
      <c r="J4302" s="14" t="e">
        <f>+SUMIFS(#REF!,#REF!,Planning[[#This Row],[Tarifa]],#REF!,Planning[[#This Row],[Proyectos]])</f>
        <v>#REF!</v>
      </c>
      <c r="K4302" s="14" t="e">
        <f>+Planning[[#This Row],[Horas Planificadas]]+Planning[[#This Row],[Horas ajustadas adicionales]]-Planning[[#This Row],[Horas utilizadas]]</f>
        <v>#REF!</v>
      </c>
      <c r="L4302" s="15">
        <v>0</v>
      </c>
      <c r="M4302" s="16" t="e">
        <f>Planning[[#This Row],[Saldo]]-Planning[[#This Row],[Saldo estimado]]</f>
        <v>#REF!</v>
      </c>
      <c r="N4302" s="60"/>
      <c r="O4302" s="16">
        <f t="shared" si="134"/>
        <v>10</v>
      </c>
      <c r="P4302" s="16">
        <f t="shared" si="135"/>
        <v>2024</v>
      </c>
      <c r="Q4302" s="16" t="e">
        <f>+SUMIFS(#REF!,#REF!,Planning[[#This Row],[Tarifa]],#REF!,Planning[[#This Row],[Proyectos]],#REF!,Planning[[#This Row],[Mes]],#REF!,Planning[[#This Row],[Año]])</f>
        <v>#REF!</v>
      </c>
      <c r="R4302" s="16" t="str">
        <f>TEXT(Planning[[#This Row],[Mes]]*29,"mmmm")</f>
        <v>October</v>
      </c>
      <c r="S43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02" s="210"/>
      <c r="U4302" s="43" t="e">
        <f>IF(Planning[[#This Row],[Horas Planificadas]]&lt;&gt;0,+K4302/Planning[[#This Row],[Horas Planificadas]],0)</f>
        <v>#REF!</v>
      </c>
      <c r="V4302" s="43" t="e">
        <f>IF(Planning[[#This Row],[Horas Planificadas]]&lt;&gt;0,Planning[[#This Row],[Horas utilizadas]]/Planning[[#This Row],[Horas Planificadas]],0)</f>
        <v>#REF!</v>
      </c>
      <c r="W4302" s="44">
        <f>Planning[[#This Row],[Horas Planificadas]]+Planning[[#This Row],[Horas ajustadas adicionales]]</f>
        <v>120</v>
      </c>
      <c r="X4302" s="142"/>
    </row>
    <row r="4303" spans="1:24" ht="22.5" x14ac:dyDescent="0.2">
      <c r="A4303" s="7" t="s">
        <v>626</v>
      </c>
      <c r="B4303" s="7" t="s">
        <v>178</v>
      </c>
      <c r="C4303" s="3"/>
      <c r="D4303" s="3" t="s">
        <v>742</v>
      </c>
      <c r="E4303" s="4" t="s">
        <v>32</v>
      </c>
      <c r="F4303" s="3"/>
      <c r="G4303" s="9">
        <v>160</v>
      </c>
      <c r="H4303" s="14">
        <f>SUM(H4304:H4306)</f>
        <v>160</v>
      </c>
      <c r="I4303" s="14"/>
      <c r="J4303" s="14" t="e">
        <f>SUM(J4304:J4306)</f>
        <v>#REF!</v>
      </c>
      <c r="K4303" s="14" t="e">
        <f>+Planning[[#This Row],[Horas Planificadas]]+Planning[[#This Row],[Horas ajustadas adicionales]]-Planning[[#This Row],[Horas utilizadas]]</f>
        <v>#REF!</v>
      </c>
      <c r="L4303" s="15">
        <f>SUM(L4304:L4306)</f>
        <v>0</v>
      </c>
      <c r="M4303" s="16" t="e">
        <f>SUM(M4304:M4306)</f>
        <v>#REF!</v>
      </c>
      <c r="N4303" s="60"/>
      <c r="O4303" s="16">
        <f t="shared" si="134"/>
        <v>10</v>
      </c>
      <c r="P4303" s="16">
        <f t="shared" si="135"/>
        <v>2024</v>
      </c>
      <c r="Q4303" s="16" t="e">
        <f>SUM(Q4304:Q4306)</f>
        <v>#REF!</v>
      </c>
      <c r="R4303" s="16" t="str">
        <f>TEXT(Planning[[#This Row],[Mes]]*29,"mmmm")</f>
        <v>October</v>
      </c>
      <c r="S43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03" s="210"/>
      <c r="U4303" s="43" t="e">
        <f>IF(Planning[[#This Row],[Horas Planificadas]]&lt;&gt;0,+K4303/Planning[[#This Row],[Horas Planificadas]],0)</f>
        <v>#REF!</v>
      </c>
      <c r="V4303" s="43" t="e">
        <f>IF(Planning[[#This Row],[Horas Planificadas]]&lt;&gt;0,Planning[[#This Row],[Horas utilizadas]]/Planning[[#This Row],[Horas Planificadas]],0)</f>
        <v>#REF!</v>
      </c>
      <c r="W4303" s="44">
        <f>Planning[[#This Row],[Horas Planificadas]]+Planning[[#This Row],[Horas ajustadas adicionales]]</f>
        <v>160</v>
      </c>
      <c r="X4303" s="142"/>
    </row>
    <row r="4304" spans="1:24" x14ac:dyDescent="0.2">
      <c r="A4304" s="7" t="s">
        <v>626</v>
      </c>
      <c r="B4304" s="7" t="s">
        <v>178</v>
      </c>
      <c r="C4304" s="3"/>
      <c r="D4304" s="3" t="s">
        <v>742</v>
      </c>
      <c r="E4304" s="4"/>
      <c r="F4304" s="3" t="s">
        <v>129</v>
      </c>
      <c r="G4304" s="9">
        <v>0</v>
      </c>
      <c r="H4304" s="9">
        <v>0</v>
      </c>
      <c r="I4304" s="12"/>
      <c r="J4304" s="5" t="e">
        <f>SUM(SUMIFS(#REF!,#REF!,Planning[[#This Row],[Tipo de Tarea y especialidad]],#REF!,Planning[[#This Row],[Proyectos Reiwa]]),SUMIFS(#REF!,#REF!,Planning[[#This Row],[Tipo de Tarea y especialidad]],#REF!,Planning[[#This Row],[Proyectos]]))</f>
        <v>#REF!</v>
      </c>
      <c r="K4304" s="5" t="e">
        <f>+Planning[[#This Row],[Horas Planificadas]]+Planning[[#This Row],[Horas ajustadas adicionales]]-Planning[[#This Row],[Horas utilizadas]]</f>
        <v>#REF!</v>
      </c>
      <c r="L4304" s="7">
        <v>0</v>
      </c>
      <c r="M4304" s="19" t="e">
        <f>Planning[[#This Row],[Saldo]]-Planning[[#This Row],[Saldo estimado]]</f>
        <v>#REF!</v>
      </c>
      <c r="N4304" s="60" t="e">
        <f>+SUMIFS(#REF!,#REF!,Planning[[#This Row],[Proyectos]],#REF!,Planning[[#This Row],[Tipo de Tarea y especialidad]])</f>
        <v>#REF!</v>
      </c>
      <c r="O4304" s="19">
        <f t="shared" si="134"/>
        <v>10</v>
      </c>
      <c r="P4304" s="19">
        <f t="shared" si="135"/>
        <v>2024</v>
      </c>
      <c r="Q43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04" s="19" t="str">
        <f>TEXT(Planning[[#This Row],[Mes]]*29,"mmmm")</f>
        <v>October</v>
      </c>
      <c r="S43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04" s="210"/>
      <c r="U4304" s="43">
        <f>IF(Planning[[#This Row],[Horas Planificadas]]&lt;&gt;0,+K4304/Planning[[#This Row],[Horas Planificadas]],0)</f>
        <v>0</v>
      </c>
      <c r="V4304" s="43">
        <f>IF(Planning[[#This Row],[Horas Planificadas]]&lt;&gt;0,Planning[[#This Row],[Horas utilizadas]]/Planning[[#This Row],[Horas Planificadas]],0)</f>
        <v>0</v>
      </c>
      <c r="W4304" s="44">
        <f>Planning[[#This Row],[Horas Planificadas]]+Planning[[#This Row],[Horas ajustadas adicionales]]</f>
        <v>0</v>
      </c>
      <c r="X4304" s="142"/>
    </row>
    <row r="4305" spans="1:24" x14ac:dyDescent="0.2">
      <c r="A4305" s="7" t="s">
        <v>626</v>
      </c>
      <c r="B4305" s="7" t="s">
        <v>178</v>
      </c>
      <c r="C4305" s="3"/>
      <c r="D4305" s="3" t="s">
        <v>742</v>
      </c>
      <c r="E4305" s="4"/>
      <c r="F4305" s="3" t="s">
        <v>130</v>
      </c>
      <c r="G4305" s="9">
        <v>160</v>
      </c>
      <c r="H4305" s="9">
        <v>160</v>
      </c>
      <c r="I4305" s="12"/>
      <c r="J4305" s="5" t="e">
        <f>SUM(SUMIFS(#REF!,#REF!,Planning[[#This Row],[Tipo de Tarea y especialidad]],#REF!,Planning[[#This Row],[Proyectos Reiwa]]),SUMIFS(#REF!,#REF!,Planning[[#This Row],[Tipo de Tarea y especialidad]],#REF!,Planning[[#This Row],[Proyectos]]))</f>
        <v>#REF!</v>
      </c>
      <c r="K4305" s="5" t="e">
        <f>+Planning[[#This Row],[Horas Planificadas]]+Planning[[#This Row],[Horas ajustadas adicionales]]-Planning[[#This Row],[Horas utilizadas]]</f>
        <v>#REF!</v>
      </c>
      <c r="L4305" s="7">
        <v>0</v>
      </c>
      <c r="M4305" s="19" t="e">
        <f>Planning[[#This Row],[Saldo]]-Planning[[#This Row],[Saldo estimado]]</f>
        <v>#REF!</v>
      </c>
      <c r="N4305" s="60" t="e">
        <f>+SUMIFS(#REF!,#REF!,Planning[[#This Row],[Proyectos]],#REF!,Planning[[#This Row],[Tipo de Tarea y especialidad]])</f>
        <v>#REF!</v>
      </c>
      <c r="O4305" s="19">
        <f t="shared" si="134"/>
        <v>10</v>
      </c>
      <c r="P4305" s="19">
        <f t="shared" si="135"/>
        <v>2024</v>
      </c>
      <c r="Q43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05" s="19" t="str">
        <f>TEXT(Planning[[#This Row],[Mes]]*29,"mmmm")</f>
        <v>October</v>
      </c>
      <c r="S43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05" s="210"/>
      <c r="U4305" s="43" t="e">
        <f>IF(Planning[[#This Row],[Horas Planificadas]]&lt;&gt;0,+K4305/Planning[[#This Row],[Horas Planificadas]],0)</f>
        <v>#REF!</v>
      </c>
      <c r="V4305" s="43" t="e">
        <f>IF(Planning[[#This Row],[Horas Planificadas]]&lt;&gt;0,Planning[[#This Row],[Horas utilizadas]]/Planning[[#This Row],[Horas Planificadas]],0)</f>
        <v>#REF!</v>
      </c>
      <c r="W4305" s="44">
        <f>Planning[[#This Row],[Horas Planificadas]]+Planning[[#This Row],[Horas ajustadas adicionales]]</f>
        <v>160</v>
      </c>
      <c r="X4305" s="142"/>
    </row>
    <row r="4306" spans="1:24" x14ac:dyDescent="0.2">
      <c r="A4306" s="7" t="s">
        <v>626</v>
      </c>
      <c r="B4306" s="7" t="s">
        <v>178</v>
      </c>
      <c r="C4306" s="3"/>
      <c r="D4306" s="3" t="s">
        <v>742</v>
      </c>
      <c r="E4306" s="4"/>
      <c r="F4306" s="3" t="s">
        <v>131</v>
      </c>
      <c r="G4306" s="9">
        <v>0</v>
      </c>
      <c r="H4306" s="9">
        <v>0</v>
      </c>
      <c r="I4306" s="12"/>
      <c r="J4306" s="5" t="e">
        <f>SUM(SUMIFS(#REF!,#REF!,Planning[[#This Row],[Tipo de Tarea y especialidad]],#REF!,Planning[[#This Row],[Proyectos Reiwa]]),SUMIFS(#REF!,#REF!,Planning[[#This Row],[Tipo de Tarea y especialidad]],#REF!,Planning[[#This Row],[Proyectos]]))</f>
        <v>#REF!</v>
      </c>
      <c r="K4306" s="5" t="e">
        <f>+Planning[[#This Row],[Horas Planificadas]]+Planning[[#This Row],[Horas ajustadas adicionales]]-Planning[[#This Row],[Horas utilizadas]]</f>
        <v>#REF!</v>
      </c>
      <c r="L4306" s="7">
        <v>0</v>
      </c>
      <c r="M4306" s="19" t="e">
        <f>Planning[[#This Row],[Saldo]]-Planning[[#This Row],[Saldo estimado]]</f>
        <v>#REF!</v>
      </c>
      <c r="N4306" s="60" t="e">
        <f>+SUMIFS(#REF!,#REF!,Planning[[#This Row],[Proyectos]],#REF!,Planning[[#This Row],[Tipo de Tarea y especialidad]])</f>
        <v>#REF!</v>
      </c>
      <c r="O4306" s="19">
        <f t="shared" si="134"/>
        <v>10</v>
      </c>
      <c r="P4306" s="19">
        <f t="shared" si="135"/>
        <v>2024</v>
      </c>
      <c r="Q43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06" s="19" t="str">
        <f>TEXT(Planning[[#This Row],[Mes]]*29,"mmmm")</f>
        <v>October</v>
      </c>
      <c r="S43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06" s="210"/>
      <c r="U4306" s="43">
        <f>IF(Planning[[#This Row],[Horas Planificadas]]&lt;&gt;0,+K4306/Planning[[#This Row],[Horas Planificadas]],0)</f>
        <v>0</v>
      </c>
      <c r="V4306" s="43">
        <f>IF(Planning[[#This Row],[Horas Planificadas]]&lt;&gt;0,Planning[[#This Row],[Horas utilizadas]]/Planning[[#This Row],[Horas Planificadas]],0)</f>
        <v>0</v>
      </c>
      <c r="W4306" s="44">
        <f>Planning[[#This Row],[Horas Planificadas]]+Planning[[#This Row],[Horas ajustadas adicionales]]</f>
        <v>0</v>
      </c>
      <c r="X4306" s="142"/>
    </row>
    <row r="4307" spans="1:24" ht="22.5" x14ac:dyDescent="0.2">
      <c r="A4307" s="7" t="s">
        <v>626</v>
      </c>
      <c r="B4307" s="7" t="s">
        <v>178</v>
      </c>
      <c r="C4307" s="3"/>
      <c r="D4307" s="3" t="s">
        <v>744</v>
      </c>
      <c r="E4307" s="4" t="s">
        <v>28</v>
      </c>
      <c r="F4307" s="3"/>
      <c r="G4307" s="9"/>
      <c r="H4307" s="14">
        <f>SUM(H4308:H4309)</f>
        <v>0</v>
      </c>
      <c r="I4307" s="14">
        <f>SUM(I4308:I4309)</f>
        <v>0</v>
      </c>
      <c r="J4307" s="14" t="e">
        <f>SUM(J4308:J4309)</f>
        <v>#REF!</v>
      </c>
      <c r="K4307" s="14" t="e">
        <f>+Planning[[#This Row],[Horas Planificadas]]+Planning[[#This Row],[Horas ajustadas adicionales]]-Planning[[#This Row],[Horas utilizadas]]</f>
        <v>#REF!</v>
      </c>
      <c r="L4307" s="15">
        <f>SUM(L4308:L4309)</f>
        <v>0</v>
      </c>
      <c r="M4307" s="14" t="e">
        <f>SUM(M4308:M4309)</f>
        <v>#REF!</v>
      </c>
      <c r="N4307" s="66" t="e">
        <f>+SUMIFS(#REF!,#REF!,Planning[[#This Row],[Proyectos]],#REF!,Planning[[#This Row],[Tipo de Tarea y especialidad]])</f>
        <v>#REF!</v>
      </c>
      <c r="O4307" s="14">
        <f t="shared" si="134"/>
        <v>10</v>
      </c>
      <c r="P4307" s="14">
        <f t="shared" si="135"/>
        <v>2024</v>
      </c>
      <c r="Q4307" s="28" t="e">
        <f>SUM(Q4308:Q4309)</f>
        <v>#REF!</v>
      </c>
      <c r="R4307" s="28" t="str">
        <f>TEXT(Planning[[#This Row],[Mes]]*29,"mmmm")</f>
        <v>October</v>
      </c>
      <c r="S43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07" s="220" t="s">
        <v>745</v>
      </c>
      <c r="U4307" s="43">
        <f>IF(Planning[[#This Row],[Horas Planificadas]]&lt;&gt;0,+K4307/Planning[[#This Row],[Horas Planificadas]],0)</f>
        <v>0</v>
      </c>
      <c r="V4307" s="43">
        <f>IF(Planning[[#This Row],[Horas Planificadas]]&lt;&gt;0,Planning[[#This Row],[Horas utilizadas]]/Planning[[#This Row],[Horas Planificadas]],0)</f>
        <v>0</v>
      </c>
      <c r="W4307" s="44">
        <f>Planning[[#This Row],[Horas Planificadas]]+Planning[[#This Row],[Horas ajustadas adicionales]]</f>
        <v>0</v>
      </c>
      <c r="X4307" s="142"/>
    </row>
    <row r="4308" spans="1:24" x14ac:dyDescent="0.2">
      <c r="A4308" s="7" t="s">
        <v>626</v>
      </c>
      <c r="B4308" s="7" t="s">
        <v>178</v>
      </c>
      <c r="C4308" s="3"/>
      <c r="D4308" s="3" t="s">
        <v>744</v>
      </c>
      <c r="E4308" s="4"/>
      <c r="F4308" s="3" t="s">
        <v>120</v>
      </c>
      <c r="G4308" s="9">
        <v>0</v>
      </c>
      <c r="H4308" s="9">
        <v>0</v>
      </c>
      <c r="I4308" s="12">
        <v>0</v>
      </c>
      <c r="J4308" s="5" t="e">
        <f>SUM(SUMIFS(#REF!,#REF!,Planning[[#This Row],[Tipo de Tarea y especialidad]],#REF!,Planning[[#This Row],[Proyectos Reiwa]]),SUMIFS(#REF!,#REF!,Planning[[#This Row],[Tipo de Tarea y especialidad]],#REF!,Planning[[#This Row],[Proyectos]]))</f>
        <v>#REF!</v>
      </c>
      <c r="K4308" s="5" t="e">
        <f>+Planning[[#This Row],[Horas Planificadas]]+Planning[[#This Row],[Horas ajustadas adicionales]]-Planning[[#This Row],[Horas utilizadas]]</f>
        <v>#REF!</v>
      </c>
      <c r="L4308" s="7">
        <v>0</v>
      </c>
      <c r="M4308" s="19" t="e">
        <f>Planning[[#This Row],[Saldo]]-Planning[[#This Row],[Saldo estimado]]</f>
        <v>#REF!</v>
      </c>
      <c r="N4308" s="60" t="e">
        <f>+SUMIFS(#REF!,#REF!,Planning[[#This Row],[Proyectos]],#REF!,Planning[[#This Row],[Tipo de Tarea y especialidad]])</f>
        <v>#REF!</v>
      </c>
      <c r="O4308" s="19">
        <f t="shared" si="134"/>
        <v>10</v>
      </c>
      <c r="P4308" s="19">
        <f t="shared" si="135"/>
        <v>2024</v>
      </c>
      <c r="Q43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08" s="19" t="str">
        <f>TEXT(Planning[[#This Row],[Mes]]*29,"mmmm")</f>
        <v>October</v>
      </c>
      <c r="S43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08" s="210"/>
      <c r="U4308" s="43">
        <f>IF(Planning[[#This Row],[Horas Planificadas]]&lt;&gt;0,+K4308/Planning[[#This Row],[Horas Planificadas]],0)</f>
        <v>0</v>
      </c>
      <c r="V4308" s="43">
        <f>IF(Planning[[#This Row],[Horas Planificadas]]&lt;&gt;0,Planning[[#This Row],[Horas utilizadas]]/Planning[[#This Row],[Horas Planificadas]],0)</f>
        <v>0</v>
      </c>
      <c r="W4308" s="44">
        <f>Planning[[#This Row],[Horas Planificadas]]+Planning[[#This Row],[Horas ajustadas adicionales]]</f>
        <v>0</v>
      </c>
      <c r="X4308" s="142"/>
    </row>
    <row r="4309" spans="1:24" x14ac:dyDescent="0.2">
      <c r="A4309" s="7" t="s">
        <v>626</v>
      </c>
      <c r="B4309" s="7" t="s">
        <v>178</v>
      </c>
      <c r="C4309" s="3"/>
      <c r="D4309" s="3" t="s">
        <v>744</v>
      </c>
      <c r="E4309" s="4"/>
      <c r="F4309" s="3" t="s">
        <v>121</v>
      </c>
      <c r="G4309" s="9">
        <v>0</v>
      </c>
      <c r="H4309" s="9">
        <v>0</v>
      </c>
      <c r="I4309" s="12">
        <v>0</v>
      </c>
      <c r="J4309" s="5" t="e">
        <f>SUM(SUMIFS(#REF!,#REF!,Planning[[#This Row],[Tipo de Tarea y especialidad]],#REF!,Planning[[#This Row],[Proyectos Reiwa]]),SUMIFS(#REF!,#REF!,Planning[[#This Row],[Tipo de Tarea y especialidad]],#REF!,Planning[[#This Row],[Proyectos]]))</f>
        <v>#REF!</v>
      </c>
      <c r="K4309" s="5" t="e">
        <f>+Planning[[#This Row],[Horas Planificadas]]+Planning[[#This Row],[Horas ajustadas adicionales]]-Planning[[#This Row],[Horas utilizadas]]</f>
        <v>#REF!</v>
      </c>
      <c r="L4309" s="7">
        <v>0</v>
      </c>
      <c r="M4309" s="19" t="e">
        <f>Planning[[#This Row],[Saldo]]-Planning[[#This Row],[Saldo estimado]]</f>
        <v>#REF!</v>
      </c>
      <c r="N4309" s="60" t="e">
        <f>+SUMIFS(#REF!,#REF!,Planning[[#This Row],[Proyectos]],#REF!,Planning[[#This Row],[Tipo de Tarea y especialidad]])</f>
        <v>#REF!</v>
      </c>
      <c r="O4309" s="19">
        <f t="shared" si="134"/>
        <v>10</v>
      </c>
      <c r="P4309" s="19">
        <f t="shared" si="135"/>
        <v>2024</v>
      </c>
      <c r="Q43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09" s="19" t="str">
        <f>TEXT(Planning[[#This Row],[Mes]]*29,"mmmm")</f>
        <v>October</v>
      </c>
      <c r="S43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09" s="210"/>
      <c r="U4309" s="43">
        <f>IF(Planning[[#This Row],[Horas Planificadas]]&lt;&gt;0,+K4309/Planning[[#This Row],[Horas Planificadas]],0)</f>
        <v>0</v>
      </c>
      <c r="V4309" s="43">
        <f>IF(Planning[[#This Row],[Horas Planificadas]]&lt;&gt;0,Planning[[#This Row],[Horas utilizadas]]/Planning[[#This Row],[Horas Planificadas]],0)</f>
        <v>0</v>
      </c>
      <c r="W4309" s="44">
        <f>Planning[[#This Row],[Horas Planificadas]]+Planning[[#This Row],[Horas ajustadas adicionales]]</f>
        <v>0</v>
      </c>
      <c r="X4309" s="142"/>
    </row>
    <row r="4310" spans="1:24" x14ac:dyDescent="0.2">
      <c r="A4310" s="7" t="s">
        <v>626</v>
      </c>
      <c r="B4310" s="7" t="s">
        <v>178</v>
      </c>
      <c r="C4310" s="3"/>
      <c r="D4310" s="3" t="s">
        <v>744</v>
      </c>
      <c r="E4310" s="4" t="s">
        <v>30</v>
      </c>
      <c r="F4310" s="3"/>
      <c r="G4310" s="9"/>
      <c r="H4310" s="14">
        <f>SUM(H4311:H4317)</f>
        <v>27</v>
      </c>
      <c r="I4310" s="14">
        <f>SUM(I4311:I4317)</f>
        <v>63</v>
      </c>
      <c r="J4310" s="14" t="e">
        <f>SUM(J4311:J4317)</f>
        <v>#REF!</v>
      </c>
      <c r="K4310" s="14" t="e">
        <f>+Planning[[#This Row],[Horas Planificadas]]+Planning[[#This Row],[Horas ajustadas adicionales]]-Planning[[#This Row],[Horas utilizadas]]</f>
        <v>#REF!</v>
      </c>
      <c r="L4310" s="15">
        <f>SUM(L4311:L4317)</f>
        <v>0</v>
      </c>
      <c r="M4310" s="16" t="e">
        <f>SUM(M4311:M4317)</f>
        <v>#REF!</v>
      </c>
      <c r="N4310" s="60"/>
      <c r="O4310" s="16">
        <f t="shared" si="134"/>
        <v>10</v>
      </c>
      <c r="P4310" s="16">
        <f t="shared" si="135"/>
        <v>2024</v>
      </c>
      <c r="Q4310" s="16" t="e">
        <f>SUM(Q4311:Q4317)</f>
        <v>#REF!</v>
      </c>
      <c r="R4310" s="16" t="str">
        <f>TEXT(Planning[[#This Row],[Mes]]*29,"mmmm")</f>
        <v>October</v>
      </c>
      <c r="S43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10" s="210"/>
      <c r="U4310" s="43" t="e">
        <f>IF(Planning[[#This Row],[Horas Planificadas]]&lt;&gt;0,+K4310/Planning[[#This Row],[Horas Planificadas]],0)</f>
        <v>#REF!</v>
      </c>
      <c r="V4310" s="43" t="e">
        <f>IF(Planning[[#This Row],[Horas Planificadas]]&lt;&gt;0,Planning[[#This Row],[Horas utilizadas]]/Planning[[#This Row],[Horas Planificadas]],0)</f>
        <v>#REF!</v>
      </c>
      <c r="W4310" s="44">
        <f>Planning[[#This Row],[Horas Planificadas]]+Planning[[#This Row],[Horas ajustadas adicionales]]</f>
        <v>90</v>
      </c>
      <c r="X4310" s="142"/>
    </row>
    <row r="4311" spans="1:24" x14ac:dyDescent="0.2">
      <c r="A4311" s="7" t="s">
        <v>626</v>
      </c>
      <c r="B4311" s="7" t="s">
        <v>178</v>
      </c>
      <c r="C4311" s="3"/>
      <c r="D4311" s="3" t="s">
        <v>744</v>
      </c>
      <c r="E4311" s="4"/>
      <c r="F4311" s="3" t="s">
        <v>122</v>
      </c>
      <c r="G4311" s="9">
        <v>0</v>
      </c>
      <c r="H4311" s="9">
        <v>0</v>
      </c>
      <c r="I4311" s="12">
        <v>0</v>
      </c>
      <c r="J4311" s="5" t="e">
        <f>SUM(SUMIFS(#REF!,#REF!,Planning[[#This Row],[Tipo de Tarea y especialidad]],#REF!,Planning[[#This Row],[Proyectos Reiwa]]),SUMIFS(#REF!,#REF!,Planning[[#This Row],[Tipo de Tarea y especialidad]],#REF!,Planning[[#This Row],[Proyectos]]))</f>
        <v>#REF!</v>
      </c>
      <c r="K4311" s="5" t="e">
        <f>+Planning[[#This Row],[Horas Planificadas]]+Planning[[#This Row],[Horas ajustadas adicionales]]-Planning[[#This Row],[Horas utilizadas]]</f>
        <v>#REF!</v>
      </c>
      <c r="L4311" s="7">
        <v>0</v>
      </c>
      <c r="M4311" s="19" t="e">
        <f>Planning[[#This Row],[Saldo]]-Planning[[#This Row],[Saldo estimado]]</f>
        <v>#REF!</v>
      </c>
      <c r="N4311" s="60" t="e">
        <f>+SUMIFS(#REF!,#REF!,Planning[[#This Row],[Proyectos]],#REF!,Planning[[#This Row],[Tipo de Tarea y especialidad]])</f>
        <v>#REF!</v>
      </c>
      <c r="O4311" s="19">
        <f t="shared" si="134"/>
        <v>10</v>
      </c>
      <c r="P4311" s="19">
        <f t="shared" si="135"/>
        <v>2024</v>
      </c>
      <c r="Q43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11" s="19" t="str">
        <f>TEXT(Planning[[#This Row],[Mes]]*29,"mmmm")</f>
        <v>October</v>
      </c>
      <c r="S43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11" s="210"/>
      <c r="U4311" s="43">
        <f>IF(Planning[[#This Row],[Horas Planificadas]]&lt;&gt;0,+K4311/Planning[[#This Row],[Horas Planificadas]],0)</f>
        <v>0</v>
      </c>
      <c r="V4311" s="43">
        <f>IF(Planning[[#This Row],[Horas Planificadas]]&lt;&gt;0,Planning[[#This Row],[Horas utilizadas]]/Planning[[#This Row],[Horas Planificadas]],0)</f>
        <v>0</v>
      </c>
      <c r="W4311" s="44">
        <f>Planning[[#This Row],[Horas Planificadas]]+Planning[[#This Row],[Horas ajustadas adicionales]]</f>
        <v>0</v>
      </c>
      <c r="X4311" s="142"/>
    </row>
    <row r="4312" spans="1:24" x14ac:dyDescent="0.2">
      <c r="A4312" s="7" t="s">
        <v>626</v>
      </c>
      <c r="B4312" s="7" t="s">
        <v>178</v>
      </c>
      <c r="C4312" s="3"/>
      <c r="D4312" s="3" t="s">
        <v>744</v>
      </c>
      <c r="E4312" s="4"/>
      <c r="F4312" s="3" t="s">
        <v>123</v>
      </c>
      <c r="G4312" s="9">
        <v>9</v>
      </c>
      <c r="H4312" s="9">
        <v>9</v>
      </c>
      <c r="I4312" s="12">
        <v>9</v>
      </c>
      <c r="J4312" s="5" t="e">
        <f>SUM(SUMIFS(#REF!,#REF!,Planning[[#This Row],[Tipo de Tarea y especialidad]],#REF!,Planning[[#This Row],[Proyectos Reiwa]]),SUMIFS(#REF!,#REF!,Planning[[#This Row],[Tipo de Tarea y especialidad]],#REF!,Planning[[#This Row],[Proyectos]]))</f>
        <v>#REF!</v>
      </c>
      <c r="K4312" s="5" t="e">
        <f>+Planning[[#This Row],[Horas Planificadas]]+Planning[[#This Row],[Horas ajustadas adicionales]]-Planning[[#This Row],[Horas utilizadas]]</f>
        <v>#REF!</v>
      </c>
      <c r="L4312" s="7">
        <v>0</v>
      </c>
      <c r="M4312" s="19" t="e">
        <f>Planning[[#This Row],[Saldo]]-Planning[[#This Row],[Saldo estimado]]</f>
        <v>#REF!</v>
      </c>
      <c r="N4312" s="60" t="e">
        <f>+SUMIFS(#REF!,#REF!,Planning[[#This Row],[Proyectos]],#REF!,Planning[[#This Row],[Tipo de Tarea y especialidad]])</f>
        <v>#REF!</v>
      </c>
      <c r="O4312" s="19">
        <f t="shared" si="134"/>
        <v>10</v>
      </c>
      <c r="P4312" s="19">
        <f t="shared" si="135"/>
        <v>2024</v>
      </c>
      <c r="Q43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12" s="19" t="str">
        <f>TEXT(Planning[[#This Row],[Mes]]*29,"mmmm")</f>
        <v>October</v>
      </c>
      <c r="S43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12" s="210"/>
      <c r="U4312" s="43" t="e">
        <f>IF(Planning[[#This Row],[Horas Planificadas]]&lt;&gt;0,+K4312/Planning[[#This Row],[Horas Planificadas]],0)</f>
        <v>#REF!</v>
      </c>
      <c r="V4312" s="43" t="e">
        <f>IF(Planning[[#This Row],[Horas Planificadas]]&lt;&gt;0,Planning[[#This Row],[Horas utilizadas]]/Planning[[#This Row],[Horas Planificadas]],0)</f>
        <v>#REF!</v>
      </c>
      <c r="W4312" s="44">
        <f>Planning[[#This Row],[Horas Planificadas]]+Planning[[#This Row],[Horas ajustadas adicionales]]</f>
        <v>18</v>
      </c>
      <c r="X4312" s="142"/>
    </row>
    <row r="4313" spans="1:24" x14ac:dyDescent="0.2">
      <c r="A4313" s="7" t="s">
        <v>626</v>
      </c>
      <c r="B4313" s="7" t="s">
        <v>178</v>
      </c>
      <c r="C4313" s="3"/>
      <c r="D4313" s="3" t="s">
        <v>744</v>
      </c>
      <c r="E4313" s="4"/>
      <c r="F4313" s="3" t="s">
        <v>124</v>
      </c>
      <c r="G4313" s="9">
        <v>0</v>
      </c>
      <c r="H4313" s="9">
        <v>0</v>
      </c>
      <c r="I4313" s="12">
        <v>0</v>
      </c>
      <c r="J4313" s="5" t="e">
        <f>SUM(SUMIFS(#REF!,#REF!,Planning[[#This Row],[Tipo de Tarea y especialidad]],#REF!,Planning[[#This Row],[Proyectos Reiwa]]),SUMIFS(#REF!,#REF!,Planning[[#This Row],[Tipo de Tarea y especialidad]],#REF!,Planning[[#This Row],[Proyectos]]))</f>
        <v>#REF!</v>
      </c>
      <c r="K4313" s="5" t="e">
        <f>+Planning[[#This Row],[Horas Planificadas]]+Planning[[#This Row],[Horas ajustadas adicionales]]-Planning[[#This Row],[Horas utilizadas]]</f>
        <v>#REF!</v>
      </c>
      <c r="L4313" s="7">
        <v>0</v>
      </c>
      <c r="M4313" s="19" t="e">
        <f>Planning[[#This Row],[Saldo]]-Planning[[#This Row],[Saldo estimado]]</f>
        <v>#REF!</v>
      </c>
      <c r="N4313" s="60" t="e">
        <f>+SUMIFS(#REF!,#REF!,Planning[[#This Row],[Proyectos]],#REF!,Planning[[#This Row],[Tipo de Tarea y especialidad]])</f>
        <v>#REF!</v>
      </c>
      <c r="O4313" s="19">
        <f t="shared" si="134"/>
        <v>10</v>
      </c>
      <c r="P4313" s="19">
        <f t="shared" si="135"/>
        <v>2024</v>
      </c>
      <c r="Q43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13" s="19" t="str">
        <f>TEXT(Planning[[#This Row],[Mes]]*29,"mmmm")</f>
        <v>October</v>
      </c>
      <c r="S43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13" s="210"/>
      <c r="U4313" s="43">
        <f>IF(Planning[[#This Row],[Horas Planificadas]]&lt;&gt;0,+K4313/Planning[[#This Row],[Horas Planificadas]],0)</f>
        <v>0</v>
      </c>
      <c r="V4313" s="43">
        <f>IF(Planning[[#This Row],[Horas Planificadas]]&lt;&gt;0,Planning[[#This Row],[Horas utilizadas]]/Planning[[#This Row],[Horas Planificadas]],0)</f>
        <v>0</v>
      </c>
      <c r="W4313" s="44">
        <f>Planning[[#This Row],[Horas Planificadas]]+Planning[[#This Row],[Horas ajustadas adicionales]]</f>
        <v>0</v>
      </c>
      <c r="X4313" s="142"/>
    </row>
    <row r="4314" spans="1:24" x14ac:dyDescent="0.2">
      <c r="A4314" s="7" t="s">
        <v>626</v>
      </c>
      <c r="B4314" s="7" t="s">
        <v>178</v>
      </c>
      <c r="C4314" s="3"/>
      <c r="D4314" s="3" t="s">
        <v>744</v>
      </c>
      <c r="E4314" s="4"/>
      <c r="F4314" s="3" t="s">
        <v>125</v>
      </c>
      <c r="G4314" s="9">
        <v>9</v>
      </c>
      <c r="H4314" s="9">
        <v>9</v>
      </c>
      <c r="I4314" s="12">
        <v>9</v>
      </c>
      <c r="J4314" s="5" t="e">
        <f>SUM(SUMIFS(#REF!,#REF!,Planning[[#This Row],[Tipo de Tarea y especialidad]],#REF!,Planning[[#This Row],[Proyectos Reiwa]]),SUMIFS(#REF!,#REF!,Planning[[#This Row],[Tipo de Tarea y especialidad]],#REF!,Planning[[#This Row],[Proyectos]]))</f>
        <v>#REF!</v>
      </c>
      <c r="K4314" s="5" t="e">
        <f>+Planning[[#This Row],[Horas Planificadas]]+Planning[[#This Row],[Horas ajustadas adicionales]]-Planning[[#This Row],[Horas utilizadas]]</f>
        <v>#REF!</v>
      </c>
      <c r="L4314" s="7">
        <v>0</v>
      </c>
      <c r="M4314" s="19" t="e">
        <f>Planning[[#This Row],[Saldo]]-Planning[[#This Row],[Saldo estimado]]</f>
        <v>#REF!</v>
      </c>
      <c r="N4314" s="60" t="e">
        <f>+SUMIFS(#REF!,#REF!,Planning[[#This Row],[Proyectos]],#REF!,Planning[[#This Row],[Tipo de Tarea y especialidad]])</f>
        <v>#REF!</v>
      </c>
      <c r="O4314" s="19">
        <f t="shared" si="134"/>
        <v>10</v>
      </c>
      <c r="P4314" s="19">
        <f t="shared" si="135"/>
        <v>2024</v>
      </c>
      <c r="Q43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14" s="19" t="str">
        <f>TEXT(Planning[[#This Row],[Mes]]*29,"mmmm")</f>
        <v>October</v>
      </c>
      <c r="S43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14" s="210"/>
      <c r="U4314" s="43" t="e">
        <f>IF(Planning[[#This Row],[Horas Planificadas]]&lt;&gt;0,+K4314/Planning[[#This Row],[Horas Planificadas]],0)</f>
        <v>#REF!</v>
      </c>
      <c r="V4314" s="43" t="e">
        <f>IF(Planning[[#This Row],[Horas Planificadas]]&lt;&gt;0,Planning[[#This Row],[Horas utilizadas]]/Planning[[#This Row],[Horas Planificadas]],0)</f>
        <v>#REF!</v>
      </c>
      <c r="W4314" s="44">
        <f>Planning[[#This Row],[Horas Planificadas]]+Planning[[#This Row],[Horas ajustadas adicionales]]</f>
        <v>18</v>
      </c>
      <c r="X4314" s="142"/>
    </row>
    <row r="4315" spans="1:24" x14ac:dyDescent="0.2">
      <c r="A4315" s="7" t="s">
        <v>626</v>
      </c>
      <c r="B4315" s="7" t="s">
        <v>178</v>
      </c>
      <c r="C4315" s="3"/>
      <c r="D4315" s="3" t="s">
        <v>744</v>
      </c>
      <c r="E4315" s="4"/>
      <c r="F4315" s="3" t="s">
        <v>126</v>
      </c>
      <c r="G4315" s="9">
        <v>0</v>
      </c>
      <c r="H4315" s="9">
        <v>0</v>
      </c>
      <c r="I4315" s="12">
        <v>0</v>
      </c>
      <c r="J4315" s="5" t="e">
        <f>SUM(SUMIFS(#REF!,#REF!,Planning[[#This Row],[Tipo de Tarea y especialidad]],#REF!,Planning[[#This Row],[Proyectos Reiwa]]),SUMIFS(#REF!,#REF!,Planning[[#This Row],[Tipo de Tarea y especialidad]],#REF!,Planning[[#This Row],[Proyectos]]))</f>
        <v>#REF!</v>
      </c>
      <c r="K4315" s="5" t="e">
        <f>+Planning[[#This Row],[Horas Planificadas]]+Planning[[#This Row],[Horas ajustadas adicionales]]-Planning[[#This Row],[Horas utilizadas]]</f>
        <v>#REF!</v>
      </c>
      <c r="L4315" s="7">
        <v>0</v>
      </c>
      <c r="M4315" s="19" t="e">
        <f>Planning[[#This Row],[Saldo]]-Planning[[#This Row],[Saldo estimado]]</f>
        <v>#REF!</v>
      </c>
      <c r="N4315" s="60" t="e">
        <f>+SUMIFS(#REF!,#REF!,Planning[[#This Row],[Proyectos]],#REF!,Planning[[#This Row],[Tipo de Tarea y especialidad]])</f>
        <v>#REF!</v>
      </c>
      <c r="O4315" s="19">
        <f t="shared" si="134"/>
        <v>10</v>
      </c>
      <c r="P4315" s="19">
        <f t="shared" si="135"/>
        <v>2024</v>
      </c>
      <c r="Q43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15" s="19" t="str">
        <f>TEXT(Planning[[#This Row],[Mes]]*29,"mmmm")</f>
        <v>October</v>
      </c>
      <c r="S43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15" s="210"/>
      <c r="U4315" s="43">
        <f>IF(Planning[[#This Row],[Horas Planificadas]]&lt;&gt;0,+K4315/Planning[[#This Row],[Horas Planificadas]],0)</f>
        <v>0</v>
      </c>
      <c r="V4315" s="43">
        <f>IF(Planning[[#This Row],[Horas Planificadas]]&lt;&gt;0,Planning[[#This Row],[Horas utilizadas]]/Planning[[#This Row],[Horas Planificadas]],0)</f>
        <v>0</v>
      </c>
      <c r="W4315" s="44">
        <f>Planning[[#This Row],[Horas Planificadas]]+Planning[[#This Row],[Horas ajustadas adicionales]]</f>
        <v>0</v>
      </c>
      <c r="X4315" s="142"/>
    </row>
    <row r="4316" spans="1:24" x14ac:dyDescent="0.2">
      <c r="A4316" s="7" t="s">
        <v>626</v>
      </c>
      <c r="B4316" s="7" t="s">
        <v>178</v>
      </c>
      <c r="C4316" s="3"/>
      <c r="D4316" s="3" t="s">
        <v>744</v>
      </c>
      <c r="E4316" s="4"/>
      <c r="F4316" s="3" t="s">
        <v>127</v>
      </c>
      <c r="G4316" s="9">
        <v>9</v>
      </c>
      <c r="H4316" s="9">
        <v>9</v>
      </c>
      <c r="I4316" s="12">
        <v>45</v>
      </c>
      <c r="J4316" s="5" t="e">
        <f>SUM(SUMIFS(#REF!,#REF!,Planning[[#This Row],[Tipo de Tarea y especialidad]],#REF!,Planning[[#This Row],[Proyectos Reiwa]]),SUMIFS(#REF!,#REF!,Planning[[#This Row],[Tipo de Tarea y especialidad]],#REF!,Planning[[#This Row],[Proyectos]]))</f>
        <v>#REF!</v>
      </c>
      <c r="K4316" s="5" t="e">
        <f>+Planning[[#This Row],[Horas Planificadas]]+Planning[[#This Row],[Horas ajustadas adicionales]]-Planning[[#This Row],[Horas utilizadas]]</f>
        <v>#REF!</v>
      </c>
      <c r="L4316" s="7">
        <v>0</v>
      </c>
      <c r="M4316" s="19" t="e">
        <f>Planning[[#This Row],[Saldo]]-Planning[[#This Row],[Saldo estimado]]</f>
        <v>#REF!</v>
      </c>
      <c r="N4316" s="60" t="e">
        <f>+SUMIFS(#REF!,#REF!,Planning[[#This Row],[Proyectos]],#REF!,Planning[[#This Row],[Tipo de Tarea y especialidad]])</f>
        <v>#REF!</v>
      </c>
      <c r="O4316" s="19">
        <f t="shared" si="134"/>
        <v>10</v>
      </c>
      <c r="P4316" s="19">
        <f t="shared" si="135"/>
        <v>2024</v>
      </c>
      <c r="Q43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16" s="19" t="str">
        <f>TEXT(Planning[[#This Row],[Mes]]*29,"mmmm")</f>
        <v>October</v>
      </c>
      <c r="S43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16" s="210"/>
      <c r="U4316" s="43" t="e">
        <f>IF(Planning[[#This Row],[Horas Planificadas]]&lt;&gt;0,+K4316/Planning[[#This Row],[Horas Planificadas]],0)</f>
        <v>#REF!</v>
      </c>
      <c r="V4316" s="43" t="e">
        <f>IF(Planning[[#This Row],[Horas Planificadas]]&lt;&gt;0,Planning[[#This Row],[Horas utilizadas]]/Planning[[#This Row],[Horas Planificadas]],0)</f>
        <v>#REF!</v>
      </c>
      <c r="W4316" s="44">
        <f>Planning[[#This Row],[Horas Planificadas]]+Planning[[#This Row],[Horas ajustadas adicionales]]</f>
        <v>54</v>
      </c>
      <c r="X4316" s="142"/>
    </row>
    <row r="4317" spans="1:24" x14ac:dyDescent="0.2">
      <c r="A4317" s="7" t="s">
        <v>626</v>
      </c>
      <c r="B4317" s="7" t="s">
        <v>178</v>
      </c>
      <c r="C4317" s="3"/>
      <c r="D4317" s="3" t="s">
        <v>744</v>
      </c>
      <c r="E4317" s="4"/>
      <c r="F4317" s="3" t="s">
        <v>128</v>
      </c>
      <c r="G4317" s="9">
        <v>0</v>
      </c>
      <c r="H4317" s="9">
        <v>0</v>
      </c>
      <c r="I4317" s="12">
        <v>0</v>
      </c>
      <c r="J4317" s="5" t="e">
        <f>SUM(SUMIFS(#REF!,#REF!,Planning[[#This Row],[Tipo de Tarea y especialidad]],#REF!,Planning[[#This Row],[Proyectos Reiwa]]),SUMIFS(#REF!,#REF!,Planning[[#This Row],[Tipo de Tarea y especialidad]],#REF!,Planning[[#This Row],[Proyectos]]))</f>
        <v>#REF!</v>
      </c>
      <c r="K4317" s="5" t="e">
        <f>+Planning[[#This Row],[Horas Planificadas]]+Planning[[#This Row],[Horas ajustadas adicionales]]-Planning[[#This Row],[Horas utilizadas]]</f>
        <v>#REF!</v>
      </c>
      <c r="L4317" s="7">
        <v>0</v>
      </c>
      <c r="M4317" s="19" t="e">
        <f>Planning[[#This Row],[Saldo]]-Planning[[#This Row],[Saldo estimado]]</f>
        <v>#REF!</v>
      </c>
      <c r="N4317" s="60" t="e">
        <f>+SUMIFS(#REF!,#REF!,Planning[[#This Row],[Proyectos]],#REF!,Planning[[#This Row],[Tipo de Tarea y especialidad]])</f>
        <v>#REF!</v>
      </c>
      <c r="O4317" s="19">
        <f t="shared" si="134"/>
        <v>10</v>
      </c>
      <c r="P4317" s="19">
        <f t="shared" si="135"/>
        <v>2024</v>
      </c>
      <c r="Q43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17" s="19" t="str">
        <f>TEXT(Planning[[#This Row],[Mes]]*29,"mmmm")</f>
        <v>October</v>
      </c>
      <c r="S43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17" s="210"/>
      <c r="U4317" s="43">
        <f>IF(Planning[[#This Row],[Horas Planificadas]]&lt;&gt;0,+K4317/Planning[[#This Row],[Horas Planificadas]],0)</f>
        <v>0</v>
      </c>
      <c r="V4317" s="43">
        <f>IF(Planning[[#This Row],[Horas Planificadas]]&lt;&gt;0,Planning[[#This Row],[Horas utilizadas]]/Planning[[#This Row],[Horas Planificadas]],0)</f>
        <v>0</v>
      </c>
      <c r="W4317" s="44">
        <f>Planning[[#This Row],[Horas Planificadas]]+Planning[[#This Row],[Horas ajustadas adicionales]]</f>
        <v>0</v>
      </c>
      <c r="X4317" s="142"/>
    </row>
    <row r="4318" spans="1:24" x14ac:dyDescent="0.2">
      <c r="A4318" s="7" t="s">
        <v>626</v>
      </c>
      <c r="B4318" s="7" t="s">
        <v>178</v>
      </c>
      <c r="C4318" s="3"/>
      <c r="D4318" s="3" t="s">
        <v>744</v>
      </c>
      <c r="E4318" s="4" t="s">
        <v>31</v>
      </c>
      <c r="F4318" s="3" t="s">
        <v>31</v>
      </c>
      <c r="G4318" s="9">
        <v>4</v>
      </c>
      <c r="H4318" s="17">
        <v>4</v>
      </c>
      <c r="I4318" s="18">
        <v>0</v>
      </c>
      <c r="J4318" s="14" t="e">
        <f>+SUMIFS(#REF!,#REF!,Planning[[#This Row],[Tarifa]],#REF!,Planning[[#This Row],[Proyectos]])</f>
        <v>#REF!</v>
      </c>
      <c r="K4318" s="14" t="e">
        <f>+Planning[[#This Row],[Horas Planificadas]]+Planning[[#This Row],[Horas ajustadas adicionales]]-Planning[[#This Row],[Horas utilizadas]]</f>
        <v>#REF!</v>
      </c>
      <c r="L4318" s="15">
        <v>0</v>
      </c>
      <c r="M4318" s="16" t="e">
        <f>Planning[[#This Row],[Saldo]]-Planning[[#This Row],[Saldo estimado]]</f>
        <v>#REF!</v>
      </c>
      <c r="N4318" s="60"/>
      <c r="O4318" s="16">
        <f t="shared" si="134"/>
        <v>10</v>
      </c>
      <c r="P4318" s="16">
        <f t="shared" si="135"/>
        <v>2024</v>
      </c>
      <c r="Q4318" s="16" t="e">
        <f>+SUMIFS(#REF!,#REF!,Planning[[#This Row],[Tarifa]],#REF!,Planning[[#This Row],[Proyectos]],#REF!,Planning[[#This Row],[Mes]],#REF!,Planning[[#This Row],[Año]])</f>
        <v>#REF!</v>
      </c>
      <c r="R4318" s="16" t="str">
        <f>TEXT(Planning[[#This Row],[Mes]]*29,"mmmm")</f>
        <v>October</v>
      </c>
      <c r="S43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18" s="210"/>
      <c r="U4318" s="43" t="e">
        <f>IF(Planning[[#This Row],[Horas Planificadas]]&lt;&gt;0,+K4318/Planning[[#This Row],[Horas Planificadas]],0)</f>
        <v>#REF!</v>
      </c>
      <c r="V4318" s="43" t="e">
        <f>IF(Planning[[#This Row],[Horas Planificadas]]&lt;&gt;0,Planning[[#This Row],[Horas utilizadas]]/Planning[[#This Row],[Horas Planificadas]],0)</f>
        <v>#REF!</v>
      </c>
      <c r="W4318" s="44">
        <f>Planning[[#This Row],[Horas Planificadas]]+Planning[[#This Row],[Horas ajustadas adicionales]]</f>
        <v>4</v>
      </c>
      <c r="X4318" s="142"/>
    </row>
    <row r="4319" spans="1:24" ht="22.5" x14ac:dyDescent="0.2">
      <c r="A4319" s="7" t="s">
        <v>626</v>
      </c>
      <c r="B4319" s="7" t="s">
        <v>178</v>
      </c>
      <c r="C4319" s="3"/>
      <c r="D4319" s="3" t="s">
        <v>744</v>
      </c>
      <c r="E4319" s="4" t="s">
        <v>32</v>
      </c>
      <c r="F4319" s="3"/>
      <c r="G4319" s="9"/>
      <c r="H4319" s="14">
        <f>SUM(H4320:H4322)</f>
        <v>0</v>
      </c>
      <c r="I4319" s="14">
        <f>SUM(I4320:I4322)</f>
        <v>0</v>
      </c>
      <c r="J4319" s="14" t="e">
        <f>SUM(J4320:J4322)</f>
        <v>#REF!</v>
      </c>
      <c r="K4319" s="14" t="e">
        <f>+Planning[[#This Row],[Horas Planificadas]]+Planning[[#This Row],[Horas ajustadas adicionales]]-Planning[[#This Row],[Horas utilizadas]]</f>
        <v>#REF!</v>
      </c>
      <c r="L4319" s="15">
        <f>SUM(L4320:L4322)</f>
        <v>0</v>
      </c>
      <c r="M4319" s="16" t="e">
        <f>SUM(M4320:M4322)</f>
        <v>#REF!</v>
      </c>
      <c r="N4319" s="60"/>
      <c r="O4319" s="16">
        <f t="shared" si="134"/>
        <v>10</v>
      </c>
      <c r="P4319" s="16">
        <f t="shared" si="135"/>
        <v>2024</v>
      </c>
      <c r="Q4319" s="16" t="e">
        <f>SUM(Q4320:Q4322)</f>
        <v>#REF!</v>
      </c>
      <c r="R4319" s="16" t="str">
        <f>TEXT(Planning[[#This Row],[Mes]]*29,"mmmm")</f>
        <v>October</v>
      </c>
      <c r="S43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19" s="210"/>
      <c r="U4319" s="43">
        <f>IF(Planning[[#This Row],[Horas Planificadas]]&lt;&gt;0,+K4319/Planning[[#This Row],[Horas Planificadas]],0)</f>
        <v>0</v>
      </c>
      <c r="V4319" s="43">
        <f>IF(Planning[[#This Row],[Horas Planificadas]]&lt;&gt;0,Planning[[#This Row],[Horas utilizadas]]/Planning[[#This Row],[Horas Planificadas]],0)</f>
        <v>0</v>
      </c>
      <c r="W4319" s="44">
        <f>Planning[[#This Row],[Horas Planificadas]]+Planning[[#This Row],[Horas ajustadas adicionales]]</f>
        <v>0</v>
      </c>
      <c r="X4319" s="142"/>
    </row>
    <row r="4320" spans="1:24" x14ac:dyDescent="0.2">
      <c r="A4320" s="7" t="s">
        <v>626</v>
      </c>
      <c r="B4320" s="7" t="s">
        <v>178</v>
      </c>
      <c r="C4320" s="3"/>
      <c r="D4320" s="3" t="s">
        <v>744</v>
      </c>
      <c r="E4320" s="4"/>
      <c r="F4320" s="3" t="s">
        <v>129</v>
      </c>
      <c r="G4320" s="9">
        <v>0</v>
      </c>
      <c r="H4320" s="9">
        <v>0</v>
      </c>
      <c r="I4320" s="12">
        <v>0</v>
      </c>
      <c r="J4320" s="5" t="e">
        <f>SUM(SUMIFS(#REF!,#REF!,Planning[[#This Row],[Tipo de Tarea y especialidad]],#REF!,Planning[[#This Row],[Proyectos Reiwa]]),SUMIFS(#REF!,#REF!,Planning[[#This Row],[Tipo de Tarea y especialidad]],#REF!,Planning[[#This Row],[Proyectos]]))</f>
        <v>#REF!</v>
      </c>
      <c r="K4320" s="5" t="e">
        <f>+Planning[[#This Row],[Horas Planificadas]]+Planning[[#This Row],[Horas ajustadas adicionales]]-Planning[[#This Row],[Horas utilizadas]]</f>
        <v>#REF!</v>
      </c>
      <c r="L4320" s="7">
        <v>0</v>
      </c>
      <c r="M4320" s="19" t="e">
        <f>Planning[[#This Row],[Saldo]]-Planning[[#This Row],[Saldo estimado]]</f>
        <v>#REF!</v>
      </c>
      <c r="N4320" s="60" t="e">
        <f>+SUMIFS(#REF!,#REF!,Planning[[#This Row],[Proyectos]],#REF!,Planning[[#This Row],[Tipo de Tarea y especialidad]])</f>
        <v>#REF!</v>
      </c>
      <c r="O4320" s="19">
        <f t="shared" si="134"/>
        <v>10</v>
      </c>
      <c r="P4320" s="19">
        <f t="shared" si="135"/>
        <v>2024</v>
      </c>
      <c r="Q43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20" s="19" t="str">
        <f>TEXT(Planning[[#This Row],[Mes]]*29,"mmmm")</f>
        <v>October</v>
      </c>
      <c r="S43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20" s="210"/>
      <c r="U4320" s="43">
        <f>IF(Planning[[#This Row],[Horas Planificadas]]&lt;&gt;0,+K4320/Planning[[#This Row],[Horas Planificadas]],0)</f>
        <v>0</v>
      </c>
      <c r="V4320" s="43">
        <f>IF(Planning[[#This Row],[Horas Planificadas]]&lt;&gt;0,Planning[[#This Row],[Horas utilizadas]]/Planning[[#This Row],[Horas Planificadas]],0)</f>
        <v>0</v>
      </c>
      <c r="W4320" s="44">
        <f>Planning[[#This Row],[Horas Planificadas]]+Planning[[#This Row],[Horas ajustadas adicionales]]</f>
        <v>0</v>
      </c>
      <c r="X4320" s="142"/>
    </row>
    <row r="4321" spans="1:24" x14ac:dyDescent="0.2">
      <c r="A4321" s="7" t="s">
        <v>626</v>
      </c>
      <c r="B4321" s="7" t="s">
        <v>178</v>
      </c>
      <c r="C4321" s="3"/>
      <c r="D4321" s="3" t="s">
        <v>744</v>
      </c>
      <c r="E4321" s="4"/>
      <c r="F4321" s="3" t="s">
        <v>130</v>
      </c>
      <c r="G4321" s="9">
        <v>0</v>
      </c>
      <c r="H4321" s="9">
        <v>0</v>
      </c>
      <c r="I4321" s="12">
        <v>0</v>
      </c>
      <c r="J4321" s="5" t="e">
        <f>SUM(SUMIFS(#REF!,#REF!,Planning[[#This Row],[Tipo de Tarea y especialidad]],#REF!,Planning[[#This Row],[Proyectos Reiwa]]),SUMIFS(#REF!,#REF!,Planning[[#This Row],[Tipo de Tarea y especialidad]],#REF!,Planning[[#This Row],[Proyectos]]))</f>
        <v>#REF!</v>
      </c>
      <c r="K4321" s="5" t="e">
        <f>+Planning[[#This Row],[Horas Planificadas]]+Planning[[#This Row],[Horas ajustadas adicionales]]-Planning[[#This Row],[Horas utilizadas]]</f>
        <v>#REF!</v>
      </c>
      <c r="L4321" s="7">
        <v>0</v>
      </c>
      <c r="M4321" s="19" t="e">
        <f>Planning[[#This Row],[Saldo]]-Planning[[#This Row],[Saldo estimado]]</f>
        <v>#REF!</v>
      </c>
      <c r="N4321" s="60" t="e">
        <f>+SUMIFS(#REF!,#REF!,Planning[[#This Row],[Proyectos]],#REF!,Planning[[#This Row],[Tipo de Tarea y especialidad]])</f>
        <v>#REF!</v>
      </c>
      <c r="O4321" s="19">
        <f t="shared" si="134"/>
        <v>10</v>
      </c>
      <c r="P4321" s="19">
        <f t="shared" si="135"/>
        <v>2024</v>
      </c>
      <c r="Q43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21" s="19" t="str">
        <f>TEXT(Planning[[#This Row],[Mes]]*29,"mmmm")</f>
        <v>October</v>
      </c>
      <c r="S43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21" s="210"/>
      <c r="U4321" s="43">
        <f>IF(Planning[[#This Row],[Horas Planificadas]]&lt;&gt;0,+K4321/Planning[[#This Row],[Horas Planificadas]],0)</f>
        <v>0</v>
      </c>
      <c r="V4321" s="43">
        <f>IF(Planning[[#This Row],[Horas Planificadas]]&lt;&gt;0,Planning[[#This Row],[Horas utilizadas]]/Planning[[#This Row],[Horas Planificadas]],0)</f>
        <v>0</v>
      </c>
      <c r="W4321" s="44">
        <f>Planning[[#This Row],[Horas Planificadas]]+Planning[[#This Row],[Horas ajustadas adicionales]]</f>
        <v>0</v>
      </c>
      <c r="X4321" s="142"/>
    </row>
    <row r="4322" spans="1:24" x14ac:dyDescent="0.2">
      <c r="A4322" s="7" t="s">
        <v>626</v>
      </c>
      <c r="B4322" s="7" t="s">
        <v>178</v>
      </c>
      <c r="C4322" s="3"/>
      <c r="D4322" s="3" t="s">
        <v>744</v>
      </c>
      <c r="E4322" s="4"/>
      <c r="F4322" s="3" t="s">
        <v>131</v>
      </c>
      <c r="G4322" s="9">
        <v>0</v>
      </c>
      <c r="H4322" s="9">
        <v>0</v>
      </c>
      <c r="I4322" s="12">
        <v>0</v>
      </c>
      <c r="J4322" s="5" t="e">
        <f>SUM(SUMIFS(#REF!,#REF!,Planning[[#This Row],[Tipo de Tarea y especialidad]],#REF!,Planning[[#This Row],[Proyectos Reiwa]]),SUMIFS(#REF!,#REF!,Planning[[#This Row],[Tipo de Tarea y especialidad]],#REF!,Planning[[#This Row],[Proyectos]]))</f>
        <v>#REF!</v>
      </c>
      <c r="K4322" s="5" t="e">
        <f>+Planning[[#This Row],[Horas Planificadas]]+Planning[[#This Row],[Horas ajustadas adicionales]]-Planning[[#This Row],[Horas utilizadas]]</f>
        <v>#REF!</v>
      </c>
      <c r="L4322" s="7">
        <v>0</v>
      </c>
      <c r="M4322" s="19" t="e">
        <f>Planning[[#This Row],[Saldo]]-Planning[[#This Row],[Saldo estimado]]</f>
        <v>#REF!</v>
      </c>
      <c r="N4322" s="60" t="e">
        <f>+SUMIFS(#REF!,#REF!,Planning[[#This Row],[Proyectos]],#REF!,Planning[[#This Row],[Tipo de Tarea y especialidad]])</f>
        <v>#REF!</v>
      </c>
      <c r="O4322" s="19">
        <f t="shared" si="134"/>
        <v>10</v>
      </c>
      <c r="P4322" s="19">
        <f t="shared" si="135"/>
        <v>2024</v>
      </c>
      <c r="Q43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22" s="19" t="str">
        <f>TEXT(Planning[[#This Row],[Mes]]*29,"mmmm")</f>
        <v>October</v>
      </c>
      <c r="S43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22" s="210"/>
      <c r="U4322" s="43">
        <f>IF(Planning[[#This Row],[Horas Planificadas]]&lt;&gt;0,+K4322/Planning[[#This Row],[Horas Planificadas]],0)</f>
        <v>0</v>
      </c>
      <c r="V4322" s="43">
        <f>IF(Planning[[#This Row],[Horas Planificadas]]&lt;&gt;0,Planning[[#This Row],[Horas utilizadas]]/Planning[[#This Row],[Horas Planificadas]],0)</f>
        <v>0</v>
      </c>
      <c r="W4322" s="44">
        <f>Planning[[#This Row],[Horas Planificadas]]+Planning[[#This Row],[Horas ajustadas adicionales]]</f>
        <v>0</v>
      </c>
      <c r="X4322" s="142"/>
    </row>
    <row r="4323" spans="1:24" ht="22.5" x14ac:dyDescent="0.2">
      <c r="A4323" s="7" t="s">
        <v>435</v>
      </c>
      <c r="B4323" s="7" t="s">
        <v>178</v>
      </c>
      <c r="C4323" s="3"/>
      <c r="D4323" s="3" t="s">
        <v>746</v>
      </c>
      <c r="E4323" s="4" t="s">
        <v>28</v>
      </c>
      <c r="F4323" s="3"/>
      <c r="G4323" s="9"/>
      <c r="H4323" s="14">
        <f>SUM(H4324:H4325)</f>
        <v>0</v>
      </c>
      <c r="I4323" s="14">
        <f>SUM(I4324:I4325)</f>
        <v>0</v>
      </c>
      <c r="J4323" s="14" t="e">
        <f>SUM(J4324:J4325)</f>
        <v>#REF!</v>
      </c>
      <c r="K4323" s="14" t="e">
        <f>+Planning[[#This Row],[Horas Planificadas]]+Planning[[#This Row],[Horas ajustadas adicionales]]-Planning[[#This Row],[Horas utilizadas]]</f>
        <v>#REF!</v>
      </c>
      <c r="L4323" s="15">
        <f>SUM(L4324:L4325)</f>
        <v>0</v>
      </c>
      <c r="M4323" s="14" t="e">
        <f>SUM(M4324:M4325)</f>
        <v>#REF!</v>
      </c>
      <c r="N4323" s="66" t="e">
        <f>+SUMIFS(#REF!,#REF!,Planning[[#This Row],[Proyectos]],#REF!,Planning[[#This Row],[Tipo de Tarea y especialidad]])</f>
        <v>#REF!</v>
      </c>
      <c r="O4323" s="14">
        <f t="shared" si="134"/>
        <v>10</v>
      </c>
      <c r="P4323" s="14">
        <f t="shared" si="135"/>
        <v>2024</v>
      </c>
      <c r="Q4323" s="28" t="e">
        <f>SUM(Q4324:Q4325)</f>
        <v>#REF!</v>
      </c>
      <c r="R4323" s="28" t="str">
        <f>TEXT(Planning[[#This Row],[Mes]]*29,"mmmm")</f>
        <v>October</v>
      </c>
      <c r="S43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23" s="220" t="s">
        <v>747</v>
      </c>
      <c r="U4323" s="43">
        <f>IF(Planning[[#This Row],[Horas Planificadas]]&lt;&gt;0,+K4323/Planning[[#This Row],[Horas Planificadas]],0)</f>
        <v>0</v>
      </c>
      <c r="V4323" s="43">
        <f>IF(Planning[[#This Row],[Horas Planificadas]]&lt;&gt;0,Planning[[#This Row],[Horas utilizadas]]/Planning[[#This Row],[Horas Planificadas]],0)</f>
        <v>0</v>
      </c>
      <c r="W4323" s="44">
        <f>Planning[[#This Row],[Horas Planificadas]]+Planning[[#This Row],[Horas ajustadas adicionales]]</f>
        <v>0</v>
      </c>
      <c r="X4323" s="142"/>
    </row>
    <row r="4324" spans="1:24" x14ac:dyDescent="0.2">
      <c r="A4324" s="7" t="s">
        <v>435</v>
      </c>
      <c r="B4324" s="7" t="s">
        <v>178</v>
      </c>
      <c r="C4324" s="3"/>
      <c r="D4324" s="3" t="s">
        <v>746</v>
      </c>
      <c r="E4324" s="4"/>
      <c r="F4324" s="3" t="s">
        <v>120</v>
      </c>
      <c r="G4324" s="9">
        <v>0</v>
      </c>
      <c r="H4324" s="9">
        <v>0</v>
      </c>
      <c r="I4324" s="12">
        <v>0</v>
      </c>
      <c r="J4324" s="5" t="e">
        <f>SUM(SUMIFS(#REF!,#REF!,Planning[[#This Row],[Tipo de Tarea y especialidad]],#REF!,Planning[[#This Row],[Proyectos Reiwa]]),SUMIFS(#REF!,#REF!,Planning[[#This Row],[Tipo de Tarea y especialidad]],#REF!,Planning[[#This Row],[Proyectos]]))</f>
        <v>#REF!</v>
      </c>
      <c r="K4324" s="5" t="e">
        <f>+Planning[[#This Row],[Horas Planificadas]]+Planning[[#This Row],[Horas ajustadas adicionales]]-Planning[[#This Row],[Horas utilizadas]]</f>
        <v>#REF!</v>
      </c>
      <c r="L4324" s="7">
        <v>0</v>
      </c>
      <c r="M4324" s="19" t="e">
        <f>Planning[[#This Row],[Saldo]]-Planning[[#This Row],[Saldo estimado]]</f>
        <v>#REF!</v>
      </c>
      <c r="N4324" s="60" t="e">
        <f>+SUMIFS(#REF!,#REF!,Planning[[#This Row],[Proyectos]],#REF!,Planning[[#This Row],[Tipo de Tarea y especialidad]])</f>
        <v>#REF!</v>
      </c>
      <c r="O4324" s="19">
        <f t="shared" si="134"/>
        <v>10</v>
      </c>
      <c r="P4324" s="19">
        <f t="shared" si="135"/>
        <v>2024</v>
      </c>
      <c r="Q43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24" s="19" t="str">
        <f>TEXT(Planning[[#This Row],[Mes]]*29,"mmmm")</f>
        <v>October</v>
      </c>
      <c r="S43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24" s="210"/>
      <c r="U4324" s="43">
        <f>IF(Planning[[#This Row],[Horas Planificadas]]&lt;&gt;0,+K4324/Planning[[#This Row],[Horas Planificadas]],0)</f>
        <v>0</v>
      </c>
      <c r="V4324" s="43">
        <f>IF(Planning[[#This Row],[Horas Planificadas]]&lt;&gt;0,Planning[[#This Row],[Horas utilizadas]]/Planning[[#This Row],[Horas Planificadas]],0)</f>
        <v>0</v>
      </c>
      <c r="W4324" s="44">
        <f>Planning[[#This Row],[Horas Planificadas]]+Planning[[#This Row],[Horas ajustadas adicionales]]</f>
        <v>0</v>
      </c>
      <c r="X4324" s="142"/>
    </row>
    <row r="4325" spans="1:24" x14ac:dyDescent="0.2">
      <c r="A4325" s="7" t="s">
        <v>435</v>
      </c>
      <c r="B4325" s="7" t="s">
        <v>178</v>
      </c>
      <c r="C4325" s="3"/>
      <c r="D4325" s="3" t="s">
        <v>746</v>
      </c>
      <c r="E4325" s="4"/>
      <c r="F4325" s="3" t="s">
        <v>121</v>
      </c>
      <c r="G4325" s="9">
        <v>0</v>
      </c>
      <c r="H4325" s="9">
        <v>0</v>
      </c>
      <c r="I4325" s="12">
        <v>0</v>
      </c>
      <c r="J4325" s="5" t="e">
        <f>SUM(SUMIFS(#REF!,#REF!,Planning[[#This Row],[Tipo de Tarea y especialidad]],#REF!,Planning[[#This Row],[Proyectos Reiwa]]),SUMIFS(#REF!,#REF!,Planning[[#This Row],[Tipo de Tarea y especialidad]],#REF!,Planning[[#This Row],[Proyectos]]))</f>
        <v>#REF!</v>
      </c>
      <c r="K4325" s="5" t="e">
        <f>+Planning[[#This Row],[Horas Planificadas]]+Planning[[#This Row],[Horas ajustadas adicionales]]-Planning[[#This Row],[Horas utilizadas]]</f>
        <v>#REF!</v>
      </c>
      <c r="L4325" s="7">
        <v>0</v>
      </c>
      <c r="M4325" s="19" t="e">
        <f>Planning[[#This Row],[Saldo]]-Planning[[#This Row],[Saldo estimado]]</f>
        <v>#REF!</v>
      </c>
      <c r="N4325" s="60" t="e">
        <f>+SUMIFS(#REF!,#REF!,Planning[[#This Row],[Proyectos]],#REF!,Planning[[#This Row],[Tipo de Tarea y especialidad]])</f>
        <v>#REF!</v>
      </c>
      <c r="O4325" s="19">
        <f t="shared" si="134"/>
        <v>10</v>
      </c>
      <c r="P4325" s="19">
        <f t="shared" si="135"/>
        <v>2024</v>
      </c>
      <c r="Q43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25" s="19" t="str">
        <f>TEXT(Planning[[#This Row],[Mes]]*29,"mmmm")</f>
        <v>October</v>
      </c>
      <c r="S43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25" s="210"/>
      <c r="U4325" s="43">
        <f>IF(Planning[[#This Row],[Horas Planificadas]]&lt;&gt;0,+K4325/Planning[[#This Row],[Horas Planificadas]],0)</f>
        <v>0</v>
      </c>
      <c r="V4325" s="43">
        <f>IF(Planning[[#This Row],[Horas Planificadas]]&lt;&gt;0,Planning[[#This Row],[Horas utilizadas]]/Planning[[#This Row],[Horas Planificadas]],0)</f>
        <v>0</v>
      </c>
      <c r="W4325" s="44">
        <f>Planning[[#This Row],[Horas Planificadas]]+Planning[[#This Row],[Horas ajustadas adicionales]]</f>
        <v>0</v>
      </c>
      <c r="X4325" s="142"/>
    </row>
    <row r="4326" spans="1:24" x14ac:dyDescent="0.2">
      <c r="A4326" s="7" t="s">
        <v>435</v>
      </c>
      <c r="B4326" s="7" t="s">
        <v>178</v>
      </c>
      <c r="C4326" s="3"/>
      <c r="D4326" s="3" t="s">
        <v>746</v>
      </c>
      <c r="E4326" s="4" t="s">
        <v>30</v>
      </c>
      <c r="F4326" s="3"/>
      <c r="G4326" s="9"/>
      <c r="H4326" s="14">
        <f>SUM(H4327:H4333)</f>
        <v>45</v>
      </c>
      <c r="I4326" s="14">
        <f>SUM(I4327:I4333)</f>
        <v>0</v>
      </c>
      <c r="J4326" s="14" t="e">
        <f>SUM(J4327:J4333)</f>
        <v>#REF!</v>
      </c>
      <c r="K4326" s="14" t="e">
        <f>+Planning[[#This Row],[Horas Planificadas]]+Planning[[#This Row],[Horas ajustadas adicionales]]-Planning[[#This Row],[Horas utilizadas]]</f>
        <v>#REF!</v>
      </c>
      <c r="L4326" s="15">
        <f>SUM(L4327:L4333)</f>
        <v>0</v>
      </c>
      <c r="M4326" s="16" t="e">
        <f>SUM(M4327:M4333)</f>
        <v>#REF!</v>
      </c>
      <c r="N4326" s="60"/>
      <c r="O4326" s="16">
        <f t="shared" si="134"/>
        <v>10</v>
      </c>
      <c r="P4326" s="16">
        <f t="shared" si="135"/>
        <v>2024</v>
      </c>
      <c r="Q4326" s="16" t="e">
        <f>SUM(Q4327:Q4333)</f>
        <v>#REF!</v>
      </c>
      <c r="R4326" s="16" t="str">
        <f>TEXT(Planning[[#This Row],[Mes]]*29,"mmmm")</f>
        <v>October</v>
      </c>
      <c r="S43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26" s="210"/>
      <c r="U4326" s="43" t="e">
        <f>IF(Planning[[#This Row],[Horas Planificadas]]&lt;&gt;0,+K4326/Planning[[#This Row],[Horas Planificadas]],0)</f>
        <v>#REF!</v>
      </c>
      <c r="V4326" s="43" t="e">
        <f>IF(Planning[[#This Row],[Horas Planificadas]]&lt;&gt;0,Planning[[#This Row],[Horas utilizadas]]/Planning[[#This Row],[Horas Planificadas]],0)</f>
        <v>#REF!</v>
      </c>
      <c r="W4326" s="44">
        <f>Planning[[#This Row],[Horas Planificadas]]+Planning[[#This Row],[Horas ajustadas adicionales]]</f>
        <v>45</v>
      </c>
      <c r="X4326" s="142"/>
    </row>
    <row r="4327" spans="1:24" x14ac:dyDescent="0.2">
      <c r="A4327" s="7" t="s">
        <v>435</v>
      </c>
      <c r="B4327" s="7" t="s">
        <v>178</v>
      </c>
      <c r="C4327" s="3"/>
      <c r="D4327" s="3" t="s">
        <v>746</v>
      </c>
      <c r="E4327" s="4"/>
      <c r="F4327" s="3" t="s">
        <v>122</v>
      </c>
      <c r="G4327" s="9">
        <v>0</v>
      </c>
      <c r="H4327" s="9">
        <v>0</v>
      </c>
      <c r="I4327" s="12">
        <v>0</v>
      </c>
      <c r="J4327" s="5" t="e">
        <f>SUM(SUMIFS(#REF!,#REF!,Planning[[#This Row],[Tipo de Tarea y especialidad]],#REF!,Planning[[#This Row],[Proyectos Reiwa]]),SUMIFS(#REF!,#REF!,Planning[[#This Row],[Tipo de Tarea y especialidad]],#REF!,Planning[[#This Row],[Proyectos]]))</f>
        <v>#REF!</v>
      </c>
      <c r="K4327" s="5" t="e">
        <f>+Planning[[#This Row],[Horas Planificadas]]+Planning[[#This Row],[Horas ajustadas adicionales]]-Planning[[#This Row],[Horas utilizadas]]</f>
        <v>#REF!</v>
      </c>
      <c r="L4327" s="7">
        <v>0</v>
      </c>
      <c r="M4327" s="19" t="e">
        <f>Planning[[#This Row],[Saldo]]-Planning[[#This Row],[Saldo estimado]]</f>
        <v>#REF!</v>
      </c>
      <c r="N4327" s="60" t="e">
        <f>+SUMIFS(#REF!,#REF!,Planning[[#This Row],[Proyectos]],#REF!,Planning[[#This Row],[Tipo de Tarea y especialidad]])</f>
        <v>#REF!</v>
      </c>
      <c r="O4327" s="19">
        <f t="shared" si="134"/>
        <v>10</v>
      </c>
      <c r="P4327" s="19">
        <f t="shared" si="135"/>
        <v>2024</v>
      </c>
      <c r="Q43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27" s="19" t="str">
        <f>TEXT(Planning[[#This Row],[Mes]]*29,"mmmm")</f>
        <v>October</v>
      </c>
      <c r="S43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27" s="210"/>
      <c r="U4327" s="43">
        <f>IF(Planning[[#This Row],[Horas Planificadas]]&lt;&gt;0,+K4327/Planning[[#This Row],[Horas Planificadas]],0)</f>
        <v>0</v>
      </c>
      <c r="V4327" s="43">
        <f>IF(Planning[[#This Row],[Horas Planificadas]]&lt;&gt;0,Planning[[#This Row],[Horas utilizadas]]/Planning[[#This Row],[Horas Planificadas]],0)</f>
        <v>0</v>
      </c>
      <c r="W4327" s="44">
        <f>Planning[[#This Row],[Horas Planificadas]]+Planning[[#This Row],[Horas ajustadas adicionales]]</f>
        <v>0</v>
      </c>
      <c r="X4327" s="142"/>
    </row>
    <row r="4328" spans="1:24" x14ac:dyDescent="0.2">
      <c r="A4328" s="7" t="s">
        <v>435</v>
      </c>
      <c r="B4328" s="7" t="s">
        <v>178</v>
      </c>
      <c r="C4328" s="3"/>
      <c r="D4328" s="3" t="s">
        <v>746</v>
      </c>
      <c r="E4328" s="4"/>
      <c r="F4328" s="3" t="s">
        <v>123</v>
      </c>
      <c r="G4328" s="9">
        <v>0</v>
      </c>
      <c r="H4328" s="9">
        <v>0</v>
      </c>
      <c r="I4328" s="12">
        <v>0</v>
      </c>
      <c r="J4328" s="5" t="e">
        <f>SUM(SUMIFS(#REF!,#REF!,Planning[[#This Row],[Tipo de Tarea y especialidad]],#REF!,Planning[[#This Row],[Proyectos Reiwa]]),SUMIFS(#REF!,#REF!,Planning[[#This Row],[Tipo de Tarea y especialidad]],#REF!,Planning[[#This Row],[Proyectos]]))</f>
        <v>#REF!</v>
      </c>
      <c r="K4328" s="5" t="e">
        <f>+Planning[[#This Row],[Horas Planificadas]]+Planning[[#This Row],[Horas ajustadas adicionales]]-Planning[[#This Row],[Horas utilizadas]]</f>
        <v>#REF!</v>
      </c>
      <c r="L4328" s="7">
        <v>0</v>
      </c>
      <c r="M4328" s="19" t="e">
        <f>Planning[[#This Row],[Saldo]]-Planning[[#This Row],[Saldo estimado]]</f>
        <v>#REF!</v>
      </c>
      <c r="N4328" s="60" t="e">
        <f>+SUMIFS(#REF!,#REF!,Planning[[#This Row],[Proyectos]],#REF!,Planning[[#This Row],[Tipo de Tarea y especialidad]])</f>
        <v>#REF!</v>
      </c>
      <c r="O4328" s="19">
        <f t="shared" si="134"/>
        <v>10</v>
      </c>
      <c r="P4328" s="19">
        <f t="shared" si="135"/>
        <v>2024</v>
      </c>
      <c r="Q43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28" s="19" t="str">
        <f>TEXT(Planning[[#This Row],[Mes]]*29,"mmmm")</f>
        <v>October</v>
      </c>
      <c r="S43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28" s="210"/>
      <c r="U4328" s="43">
        <f>IF(Planning[[#This Row],[Horas Planificadas]]&lt;&gt;0,+K4328/Planning[[#This Row],[Horas Planificadas]],0)</f>
        <v>0</v>
      </c>
      <c r="V4328" s="43">
        <f>IF(Planning[[#This Row],[Horas Planificadas]]&lt;&gt;0,Planning[[#This Row],[Horas utilizadas]]/Planning[[#This Row],[Horas Planificadas]],0)</f>
        <v>0</v>
      </c>
      <c r="W4328" s="44">
        <f>Planning[[#This Row],[Horas Planificadas]]+Planning[[#This Row],[Horas ajustadas adicionales]]</f>
        <v>0</v>
      </c>
      <c r="X4328" s="142"/>
    </row>
    <row r="4329" spans="1:24" x14ac:dyDescent="0.2">
      <c r="A4329" s="7" t="s">
        <v>435</v>
      </c>
      <c r="B4329" s="7" t="s">
        <v>178</v>
      </c>
      <c r="C4329" s="3"/>
      <c r="D4329" s="3" t="s">
        <v>746</v>
      </c>
      <c r="E4329" s="4"/>
      <c r="F4329" s="3" t="s">
        <v>124</v>
      </c>
      <c r="G4329" s="9">
        <v>0</v>
      </c>
      <c r="H4329" s="9">
        <v>0</v>
      </c>
      <c r="I4329" s="12">
        <v>0</v>
      </c>
      <c r="J4329" s="5" t="e">
        <f>SUM(SUMIFS(#REF!,#REF!,Planning[[#This Row],[Tipo de Tarea y especialidad]],#REF!,Planning[[#This Row],[Proyectos Reiwa]]),SUMIFS(#REF!,#REF!,Planning[[#This Row],[Tipo de Tarea y especialidad]],#REF!,Planning[[#This Row],[Proyectos]]))</f>
        <v>#REF!</v>
      </c>
      <c r="K4329" s="5" t="e">
        <f>+Planning[[#This Row],[Horas Planificadas]]+Planning[[#This Row],[Horas ajustadas adicionales]]-Planning[[#This Row],[Horas utilizadas]]</f>
        <v>#REF!</v>
      </c>
      <c r="L4329" s="7">
        <v>0</v>
      </c>
      <c r="M4329" s="19" t="e">
        <f>Planning[[#This Row],[Saldo]]-Planning[[#This Row],[Saldo estimado]]</f>
        <v>#REF!</v>
      </c>
      <c r="N4329" s="60" t="e">
        <f>+SUMIFS(#REF!,#REF!,Planning[[#This Row],[Proyectos]],#REF!,Planning[[#This Row],[Tipo de Tarea y especialidad]])</f>
        <v>#REF!</v>
      </c>
      <c r="O4329" s="19">
        <f t="shared" si="134"/>
        <v>10</v>
      </c>
      <c r="P4329" s="19">
        <f t="shared" si="135"/>
        <v>2024</v>
      </c>
      <c r="Q43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29" s="19" t="str">
        <f>TEXT(Planning[[#This Row],[Mes]]*29,"mmmm")</f>
        <v>October</v>
      </c>
      <c r="S43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29" s="210"/>
      <c r="U4329" s="43">
        <f>IF(Planning[[#This Row],[Horas Planificadas]]&lt;&gt;0,+K4329/Planning[[#This Row],[Horas Planificadas]],0)</f>
        <v>0</v>
      </c>
      <c r="V4329" s="43">
        <f>IF(Planning[[#This Row],[Horas Planificadas]]&lt;&gt;0,Planning[[#This Row],[Horas utilizadas]]/Planning[[#This Row],[Horas Planificadas]],0)</f>
        <v>0</v>
      </c>
      <c r="W4329" s="44">
        <f>Planning[[#This Row],[Horas Planificadas]]+Planning[[#This Row],[Horas ajustadas adicionales]]</f>
        <v>0</v>
      </c>
      <c r="X4329" s="142"/>
    </row>
    <row r="4330" spans="1:24" x14ac:dyDescent="0.2">
      <c r="A4330" s="7" t="s">
        <v>435</v>
      </c>
      <c r="B4330" s="7" t="s">
        <v>178</v>
      </c>
      <c r="C4330" s="3"/>
      <c r="D4330" s="3" t="s">
        <v>746</v>
      </c>
      <c r="E4330" s="4"/>
      <c r="F4330" s="3" t="s">
        <v>125</v>
      </c>
      <c r="G4330" s="9">
        <v>9</v>
      </c>
      <c r="H4330" s="9">
        <v>9</v>
      </c>
      <c r="I4330" s="12">
        <v>0</v>
      </c>
      <c r="J4330" s="5" t="e">
        <f>SUM(SUMIFS(#REF!,#REF!,Planning[[#This Row],[Tipo de Tarea y especialidad]],#REF!,Planning[[#This Row],[Proyectos Reiwa]]),SUMIFS(#REF!,#REF!,Planning[[#This Row],[Tipo de Tarea y especialidad]],#REF!,Planning[[#This Row],[Proyectos]]))</f>
        <v>#REF!</v>
      </c>
      <c r="K4330" s="5" t="e">
        <f>+Planning[[#This Row],[Horas Planificadas]]+Planning[[#This Row],[Horas ajustadas adicionales]]-Planning[[#This Row],[Horas utilizadas]]</f>
        <v>#REF!</v>
      </c>
      <c r="L4330" s="7">
        <v>0</v>
      </c>
      <c r="M4330" s="19" t="e">
        <f>Planning[[#This Row],[Saldo]]-Planning[[#This Row],[Saldo estimado]]</f>
        <v>#REF!</v>
      </c>
      <c r="N4330" s="60" t="e">
        <f>+SUMIFS(#REF!,#REF!,Planning[[#This Row],[Proyectos]],#REF!,Planning[[#This Row],[Tipo de Tarea y especialidad]])</f>
        <v>#REF!</v>
      </c>
      <c r="O4330" s="19">
        <f t="shared" si="134"/>
        <v>10</v>
      </c>
      <c r="P4330" s="19">
        <f t="shared" si="135"/>
        <v>2024</v>
      </c>
      <c r="Q43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30" s="19" t="str">
        <f>TEXT(Planning[[#This Row],[Mes]]*29,"mmmm")</f>
        <v>October</v>
      </c>
      <c r="S43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30" s="210"/>
      <c r="U4330" s="43" t="e">
        <f>IF(Planning[[#This Row],[Horas Planificadas]]&lt;&gt;0,+K4330/Planning[[#This Row],[Horas Planificadas]],0)</f>
        <v>#REF!</v>
      </c>
      <c r="V4330" s="43" t="e">
        <f>IF(Planning[[#This Row],[Horas Planificadas]]&lt;&gt;0,Planning[[#This Row],[Horas utilizadas]]/Planning[[#This Row],[Horas Planificadas]],0)</f>
        <v>#REF!</v>
      </c>
      <c r="W4330" s="44">
        <f>Planning[[#This Row],[Horas Planificadas]]+Planning[[#This Row],[Horas ajustadas adicionales]]</f>
        <v>9</v>
      </c>
      <c r="X4330" s="142"/>
    </row>
    <row r="4331" spans="1:24" x14ac:dyDescent="0.2">
      <c r="A4331" s="7" t="s">
        <v>435</v>
      </c>
      <c r="B4331" s="7" t="s">
        <v>178</v>
      </c>
      <c r="C4331" s="3"/>
      <c r="D4331" s="3" t="s">
        <v>746</v>
      </c>
      <c r="E4331" s="4"/>
      <c r="F4331" s="3" t="s">
        <v>126</v>
      </c>
      <c r="G4331" s="9">
        <v>0</v>
      </c>
      <c r="H4331" s="9">
        <v>0</v>
      </c>
      <c r="I4331" s="12">
        <v>0</v>
      </c>
      <c r="J4331" s="5" t="e">
        <f>SUM(SUMIFS(#REF!,#REF!,Planning[[#This Row],[Tipo de Tarea y especialidad]],#REF!,Planning[[#This Row],[Proyectos Reiwa]]),SUMIFS(#REF!,#REF!,Planning[[#This Row],[Tipo de Tarea y especialidad]],#REF!,Planning[[#This Row],[Proyectos]]))</f>
        <v>#REF!</v>
      </c>
      <c r="K4331" s="5" t="e">
        <f>+Planning[[#This Row],[Horas Planificadas]]+Planning[[#This Row],[Horas ajustadas adicionales]]-Planning[[#This Row],[Horas utilizadas]]</f>
        <v>#REF!</v>
      </c>
      <c r="L4331" s="7">
        <v>0</v>
      </c>
      <c r="M4331" s="19" t="e">
        <f>Planning[[#This Row],[Saldo]]-Planning[[#This Row],[Saldo estimado]]</f>
        <v>#REF!</v>
      </c>
      <c r="N4331" s="60" t="e">
        <f>+SUMIFS(#REF!,#REF!,Planning[[#This Row],[Proyectos]],#REF!,Planning[[#This Row],[Tipo de Tarea y especialidad]])</f>
        <v>#REF!</v>
      </c>
      <c r="O4331" s="19">
        <f t="shared" si="134"/>
        <v>10</v>
      </c>
      <c r="P4331" s="19">
        <f t="shared" si="135"/>
        <v>2024</v>
      </c>
      <c r="Q43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31" s="19" t="str">
        <f>TEXT(Planning[[#This Row],[Mes]]*29,"mmmm")</f>
        <v>October</v>
      </c>
      <c r="S43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31" s="210"/>
      <c r="U4331" s="43">
        <f>IF(Planning[[#This Row],[Horas Planificadas]]&lt;&gt;0,+K4331/Planning[[#This Row],[Horas Planificadas]],0)</f>
        <v>0</v>
      </c>
      <c r="V4331" s="43">
        <f>IF(Planning[[#This Row],[Horas Planificadas]]&lt;&gt;0,Planning[[#This Row],[Horas utilizadas]]/Planning[[#This Row],[Horas Planificadas]],0)</f>
        <v>0</v>
      </c>
      <c r="W4331" s="44">
        <f>Planning[[#This Row],[Horas Planificadas]]+Planning[[#This Row],[Horas ajustadas adicionales]]</f>
        <v>0</v>
      </c>
      <c r="X4331" s="142"/>
    </row>
    <row r="4332" spans="1:24" x14ac:dyDescent="0.2">
      <c r="A4332" s="7" t="s">
        <v>435</v>
      </c>
      <c r="B4332" s="7" t="s">
        <v>178</v>
      </c>
      <c r="C4332" s="3"/>
      <c r="D4332" s="3" t="s">
        <v>746</v>
      </c>
      <c r="E4332" s="4"/>
      <c r="F4332" s="3" t="s">
        <v>127</v>
      </c>
      <c r="G4332" s="9">
        <v>36</v>
      </c>
      <c r="H4332" s="9">
        <v>36</v>
      </c>
      <c r="I4332" s="12">
        <v>0</v>
      </c>
      <c r="J4332" s="5" t="e">
        <f>SUM(SUMIFS(#REF!,#REF!,Planning[[#This Row],[Tipo de Tarea y especialidad]],#REF!,Planning[[#This Row],[Proyectos Reiwa]]),SUMIFS(#REF!,#REF!,Planning[[#This Row],[Tipo de Tarea y especialidad]],#REF!,Planning[[#This Row],[Proyectos]]))</f>
        <v>#REF!</v>
      </c>
      <c r="K4332" s="5" t="e">
        <f>+Planning[[#This Row],[Horas Planificadas]]+Planning[[#This Row],[Horas ajustadas adicionales]]-Planning[[#This Row],[Horas utilizadas]]</f>
        <v>#REF!</v>
      </c>
      <c r="L4332" s="7">
        <v>0</v>
      </c>
      <c r="M4332" s="19" t="e">
        <f>Planning[[#This Row],[Saldo]]-Planning[[#This Row],[Saldo estimado]]</f>
        <v>#REF!</v>
      </c>
      <c r="N4332" s="60" t="e">
        <f>+SUMIFS(#REF!,#REF!,Planning[[#This Row],[Proyectos]],#REF!,Planning[[#This Row],[Tipo de Tarea y especialidad]])</f>
        <v>#REF!</v>
      </c>
      <c r="O4332" s="19">
        <f t="shared" si="134"/>
        <v>10</v>
      </c>
      <c r="P4332" s="19">
        <f t="shared" si="135"/>
        <v>2024</v>
      </c>
      <c r="Q43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32" s="19" t="str">
        <f>TEXT(Planning[[#This Row],[Mes]]*29,"mmmm")</f>
        <v>October</v>
      </c>
      <c r="S43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32" s="210"/>
      <c r="U4332" s="43" t="e">
        <f>IF(Planning[[#This Row],[Horas Planificadas]]&lt;&gt;0,+K4332/Planning[[#This Row],[Horas Planificadas]],0)</f>
        <v>#REF!</v>
      </c>
      <c r="V4332" s="43" t="e">
        <f>IF(Planning[[#This Row],[Horas Planificadas]]&lt;&gt;0,Planning[[#This Row],[Horas utilizadas]]/Planning[[#This Row],[Horas Planificadas]],0)</f>
        <v>#REF!</v>
      </c>
      <c r="W4332" s="44">
        <f>Planning[[#This Row],[Horas Planificadas]]+Planning[[#This Row],[Horas ajustadas adicionales]]</f>
        <v>36</v>
      </c>
      <c r="X4332" s="142"/>
    </row>
    <row r="4333" spans="1:24" x14ac:dyDescent="0.2">
      <c r="A4333" s="7" t="s">
        <v>435</v>
      </c>
      <c r="B4333" s="7" t="s">
        <v>178</v>
      </c>
      <c r="C4333" s="3"/>
      <c r="D4333" s="3" t="s">
        <v>746</v>
      </c>
      <c r="E4333" s="4"/>
      <c r="F4333" s="3" t="s">
        <v>128</v>
      </c>
      <c r="G4333" s="9">
        <v>0</v>
      </c>
      <c r="H4333" s="9">
        <v>0</v>
      </c>
      <c r="I4333" s="12">
        <v>0</v>
      </c>
      <c r="J4333" s="5" t="e">
        <f>SUM(SUMIFS(#REF!,#REF!,Planning[[#This Row],[Tipo de Tarea y especialidad]],#REF!,Planning[[#This Row],[Proyectos Reiwa]]),SUMIFS(#REF!,#REF!,Planning[[#This Row],[Tipo de Tarea y especialidad]],#REF!,Planning[[#This Row],[Proyectos]]))</f>
        <v>#REF!</v>
      </c>
      <c r="K4333" s="5" t="e">
        <f>+Planning[[#This Row],[Horas Planificadas]]+Planning[[#This Row],[Horas ajustadas adicionales]]-Planning[[#This Row],[Horas utilizadas]]</f>
        <v>#REF!</v>
      </c>
      <c r="L4333" s="7">
        <v>0</v>
      </c>
      <c r="M4333" s="19" t="e">
        <f>Planning[[#This Row],[Saldo]]-Planning[[#This Row],[Saldo estimado]]</f>
        <v>#REF!</v>
      </c>
      <c r="N4333" s="60" t="e">
        <f>+SUMIFS(#REF!,#REF!,Planning[[#This Row],[Proyectos]],#REF!,Planning[[#This Row],[Tipo de Tarea y especialidad]])</f>
        <v>#REF!</v>
      </c>
      <c r="O4333" s="19">
        <f t="shared" si="134"/>
        <v>10</v>
      </c>
      <c r="P4333" s="19">
        <f t="shared" si="135"/>
        <v>2024</v>
      </c>
      <c r="Q43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33" s="19" t="str">
        <f>TEXT(Planning[[#This Row],[Mes]]*29,"mmmm")</f>
        <v>October</v>
      </c>
      <c r="S43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33" s="210"/>
      <c r="U4333" s="43">
        <f>IF(Planning[[#This Row],[Horas Planificadas]]&lt;&gt;0,+K4333/Planning[[#This Row],[Horas Planificadas]],0)</f>
        <v>0</v>
      </c>
      <c r="V4333" s="43">
        <f>IF(Planning[[#This Row],[Horas Planificadas]]&lt;&gt;0,Planning[[#This Row],[Horas utilizadas]]/Planning[[#This Row],[Horas Planificadas]],0)</f>
        <v>0</v>
      </c>
      <c r="W4333" s="44">
        <f>Planning[[#This Row],[Horas Planificadas]]+Planning[[#This Row],[Horas ajustadas adicionales]]</f>
        <v>0</v>
      </c>
      <c r="X4333" s="142"/>
    </row>
    <row r="4334" spans="1:24" x14ac:dyDescent="0.2">
      <c r="A4334" s="7" t="s">
        <v>435</v>
      </c>
      <c r="B4334" s="7" t="s">
        <v>178</v>
      </c>
      <c r="C4334" s="3"/>
      <c r="D4334" s="3" t="s">
        <v>746</v>
      </c>
      <c r="E4334" s="4" t="s">
        <v>31</v>
      </c>
      <c r="F4334" s="3" t="s">
        <v>31</v>
      </c>
      <c r="G4334" s="9">
        <v>9</v>
      </c>
      <c r="H4334" s="17">
        <v>9</v>
      </c>
      <c r="I4334" s="18">
        <v>0</v>
      </c>
      <c r="J4334" s="14" t="e">
        <f>+SUMIFS(#REF!,#REF!,Planning[[#This Row],[Tarifa]],#REF!,Planning[[#This Row],[Proyectos]])</f>
        <v>#REF!</v>
      </c>
      <c r="K4334" s="14" t="e">
        <f>+Planning[[#This Row],[Horas Planificadas]]+Planning[[#This Row],[Horas ajustadas adicionales]]-Planning[[#This Row],[Horas utilizadas]]</f>
        <v>#REF!</v>
      </c>
      <c r="L4334" s="15">
        <v>0</v>
      </c>
      <c r="M4334" s="16" t="e">
        <f>Planning[[#This Row],[Saldo]]-Planning[[#This Row],[Saldo estimado]]</f>
        <v>#REF!</v>
      </c>
      <c r="N4334" s="60"/>
      <c r="O4334" s="16">
        <f t="shared" si="134"/>
        <v>10</v>
      </c>
      <c r="P4334" s="16">
        <f t="shared" si="135"/>
        <v>2024</v>
      </c>
      <c r="Q4334" s="16" t="e">
        <f>+SUMIFS(#REF!,#REF!,Planning[[#This Row],[Tarifa]],#REF!,Planning[[#This Row],[Proyectos]],#REF!,Planning[[#This Row],[Mes]],#REF!,Planning[[#This Row],[Año]])</f>
        <v>#REF!</v>
      </c>
      <c r="R4334" s="16" t="str">
        <f>TEXT(Planning[[#This Row],[Mes]]*29,"mmmm")</f>
        <v>October</v>
      </c>
      <c r="S43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34" s="210"/>
      <c r="U4334" s="43" t="e">
        <f>IF(Planning[[#This Row],[Horas Planificadas]]&lt;&gt;0,+K4334/Planning[[#This Row],[Horas Planificadas]],0)</f>
        <v>#REF!</v>
      </c>
      <c r="V4334" s="43" t="e">
        <f>IF(Planning[[#This Row],[Horas Planificadas]]&lt;&gt;0,Planning[[#This Row],[Horas utilizadas]]/Planning[[#This Row],[Horas Planificadas]],0)</f>
        <v>#REF!</v>
      </c>
      <c r="W4334" s="44">
        <f>Planning[[#This Row],[Horas Planificadas]]+Planning[[#This Row],[Horas ajustadas adicionales]]</f>
        <v>9</v>
      </c>
      <c r="X4334" s="142"/>
    </row>
    <row r="4335" spans="1:24" ht="22.5" x14ac:dyDescent="0.2">
      <c r="A4335" s="7" t="s">
        <v>435</v>
      </c>
      <c r="B4335" s="7" t="s">
        <v>178</v>
      </c>
      <c r="C4335" s="3"/>
      <c r="D4335" s="3" t="s">
        <v>746</v>
      </c>
      <c r="E4335" s="4" t="s">
        <v>32</v>
      </c>
      <c r="F4335" s="3"/>
      <c r="G4335" s="9"/>
      <c r="H4335" s="14">
        <f>SUM(H4336:H4338)</f>
        <v>50</v>
      </c>
      <c r="I4335" s="14">
        <f>SUM(I4336:I4338)</f>
        <v>0</v>
      </c>
      <c r="J4335" s="14" t="e">
        <f>SUM(J4336:J4338)</f>
        <v>#REF!</v>
      </c>
      <c r="K4335" s="14" t="e">
        <f>+Planning[[#This Row],[Horas Planificadas]]+Planning[[#This Row],[Horas ajustadas adicionales]]-Planning[[#This Row],[Horas utilizadas]]</f>
        <v>#REF!</v>
      </c>
      <c r="L4335" s="15">
        <f>SUM(L4336:L4338)</f>
        <v>0</v>
      </c>
      <c r="M4335" s="16" t="e">
        <f>SUM(M4336:M4338)</f>
        <v>#REF!</v>
      </c>
      <c r="N4335" s="60"/>
      <c r="O4335" s="16">
        <f t="shared" si="134"/>
        <v>10</v>
      </c>
      <c r="P4335" s="16">
        <f t="shared" si="135"/>
        <v>2024</v>
      </c>
      <c r="Q4335" s="16" t="e">
        <f>SUM(Q4336:Q4338)</f>
        <v>#REF!</v>
      </c>
      <c r="R4335" s="16" t="str">
        <f>TEXT(Planning[[#This Row],[Mes]]*29,"mmmm")</f>
        <v>October</v>
      </c>
      <c r="S43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35" s="210"/>
      <c r="U4335" s="43" t="e">
        <f>IF(Planning[[#This Row],[Horas Planificadas]]&lt;&gt;0,+K4335/Planning[[#This Row],[Horas Planificadas]],0)</f>
        <v>#REF!</v>
      </c>
      <c r="V4335" s="43" t="e">
        <f>IF(Planning[[#This Row],[Horas Planificadas]]&lt;&gt;0,Planning[[#This Row],[Horas utilizadas]]/Planning[[#This Row],[Horas Planificadas]],0)</f>
        <v>#REF!</v>
      </c>
      <c r="W4335" s="44">
        <f>Planning[[#This Row],[Horas Planificadas]]+Planning[[#This Row],[Horas ajustadas adicionales]]</f>
        <v>50</v>
      </c>
      <c r="X4335" s="142"/>
    </row>
    <row r="4336" spans="1:24" x14ac:dyDescent="0.2">
      <c r="A4336" s="7" t="s">
        <v>435</v>
      </c>
      <c r="B4336" s="7" t="s">
        <v>178</v>
      </c>
      <c r="C4336" s="3"/>
      <c r="D4336" s="3" t="s">
        <v>746</v>
      </c>
      <c r="E4336" s="4"/>
      <c r="F4336" s="3" t="s">
        <v>129</v>
      </c>
      <c r="G4336" s="9">
        <v>0</v>
      </c>
      <c r="H4336" s="9">
        <v>0</v>
      </c>
      <c r="I4336" s="12">
        <v>0</v>
      </c>
      <c r="J4336" s="5" t="e">
        <f>SUM(SUMIFS(#REF!,#REF!,Planning[[#This Row],[Tipo de Tarea y especialidad]],#REF!,Planning[[#This Row],[Proyectos Reiwa]]),SUMIFS(#REF!,#REF!,Planning[[#This Row],[Tipo de Tarea y especialidad]],#REF!,Planning[[#This Row],[Proyectos]]))</f>
        <v>#REF!</v>
      </c>
      <c r="K4336" s="5" t="e">
        <f>+Planning[[#This Row],[Horas Planificadas]]+Planning[[#This Row],[Horas ajustadas adicionales]]-Planning[[#This Row],[Horas utilizadas]]</f>
        <v>#REF!</v>
      </c>
      <c r="L4336" s="7">
        <v>0</v>
      </c>
      <c r="M4336" s="19" t="e">
        <f>Planning[[#This Row],[Saldo]]-Planning[[#This Row],[Saldo estimado]]</f>
        <v>#REF!</v>
      </c>
      <c r="N4336" s="60" t="e">
        <f>+SUMIFS(#REF!,#REF!,Planning[[#This Row],[Proyectos]],#REF!,Planning[[#This Row],[Tipo de Tarea y especialidad]])</f>
        <v>#REF!</v>
      </c>
      <c r="O4336" s="19">
        <f t="shared" si="134"/>
        <v>10</v>
      </c>
      <c r="P4336" s="19">
        <f t="shared" si="135"/>
        <v>2024</v>
      </c>
      <c r="Q43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36" s="19" t="str">
        <f>TEXT(Planning[[#This Row],[Mes]]*29,"mmmm")</f>
        <v>October</v>
      </c>
      <c r="S43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36" s="210"/>
      <c r="U4336" s="43">
        <f>IF(Planning[[#This Row],[Horas Planificadas]]&lt;&gt;0,+K4336/Planning[[#This Row],[Horas Planificadas]],0)</f>
        <v>0</v>
      </c>
      <c r="V4336" s="43">
        <f>IF(Planning[[#This Row],[Horas Planificadas]]&lt;&gt;0,Planning[[#This Row],[Horas utilizadas]]/Planning[[#This Row],[Horas Planificadas]],0)</f>
        <v>0</v>
      </c>
      <c r="W4336" s="44">
        <f>Planning[[#This Row],[Horas Planificadas]]+Planning[[#This Row],[Horas ajustadas adicionales]]</f>
        <v>0</v>
      </c>
      <c r="X4336" s="142"/>
    </row>
    <row r="4337" spans="1:24" x14ac:dyDescent="0.2">
      <c r="A4337" s="7" t="s">
        <v>435</v>
      </c>
      <c r="B4337" s="7" t="s">
        <v>178</v>
      </c>
      <c r="C4337" s="3"/>
      <c r="D4337" s="3" t="s">
        <v>746</v>
      </c>
      <c r="E4337" s="4"/>
      <c r="F4337" s="3" t="s">
        <v>130</v>
      </c>
      <c r="G4337" s="9">
        <v>50</v>
      </c>
      <c r="H4337" s="9">
        <v>50</v>
      </c>
      <c r="I4337" s="12">
        <v>0</v>
      </c>
      <c r="J4337" s="5" t="e">
        <f>SUM(SUMIFS(#REF!,#REF!,Planning[[#This Row],[Tipo de Tarea y especialidad]],#REF!,Planning[[#This Row],[Proyectos Reiwa]]),SUMIFS(#REF!,#REF!,Planning[[#This Row],[Tipo de Tarea y especialidad]],#REF!,Planning[[#This Row],[Proyectos]]))</f>
        <v>#REF!</v>
      </c>
      <c r="K4337" s="5" t="e">
        <f>+Planning[[#This Row],[Horas Planificadas]]+Planning[[#This Row],[Horas ajustadas adicionales]]-Planning[[#This Row],[Horas utilizadas]]</f>
        <v>#REF!</v>
      </c>
      <c r="L4337" s="7">
        <v>0</v>
      </c>
      <c r="M4337" s="19" t="e">
        <f>Planning[[#This Row],[Saldo]]-Planning[[#This Row],[Saldo estimado]]</f>
        <v>#REF!</v>
      </c>
      <c r="N4337" s="60" t="e">
        <f>+SUMIFS(#REF!,#REF!,Planning[[#This Row],[Proyectos]],#REF!,Planning[[#This Row],[Tipo de Tarea y especialidad]])</f>
        <v>#REF!</v>
      </c>
      <c r="O4337" s="19">
        <f t="shared" si="134"/>
        <v>10</v>
      </c>
      <c r="P4337" s="19">
        <f t="shared" si="135"/>
        <v>2024</v>
      </c>
      <c r="Q43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37" s="19" t="str">
        <f>TEXT(Planning[[#This Row],[Mes]]*29,"mmmm")</f>
        <v>October</v>
      </c>
      <c r="S43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37" s="210"/>
      <c r="U4337" s="43" t="e">
        <f>IF(Planning[[#This Row],[Horas Planificadas]]&lt;&gt;0,+K4337/Planning[[#This Row],[Horas Planificadas]],0)</f>
        <v>#REF!</v>
      </c>
      <c r="V4337" s="43" t="e">
        <f>IF(Planning[[#This Row],[Horas Planificadas]]&lt;&gt;0,Planning[[#This Row],[Horas utilizadas]]/Planning[[#This Row],[Horas Planificadas]],0)</f>
        <v>#REF!</v>
      </c>
      <c r="W4337" s="44">
        <f>Planning[[#This Row],[Horas Planificadas]]+Planning[[#This Row],[Horas ajustadas adicionales]]</f>
        <v>50</v>
      </c>
      <c r="X4337" s="142"/>
    </row>
    <row r="4338" spans="1:24" x14ac:dyDescent="0.2">
      <c r="A4338" s="7" t="s">
        <v>435</v>
      </c>
      <c r="B4338" s="7" t="s">
        <v>178</v>
      </c>
      <c r="C4338" s="3"/>
      <c r="D4338" s="3" t="s">
        <v>746</v>
      </c>
      <c r="E4338" s="4"/>
      <c r="F4338" s="3" t="s">
        <v>131</v>
      </c>
      <c r="G4338" s="9">
        <v>0</v>
      </c>
      <c r="H4338" s="9">
        <v>0</v>
      </c>
      <c r="I4338" s="12">
        <v>0</v>
      </c>
      <c r="J4338" s="5" t="e">
        <f>SUM(SUMIFS(#REF!,#REF!,Planning[[#This Row],[Tipo de Tarea y especialidad]],#REF!,Planning[[#This Row],[Proyectos Reiwa]]),SUMIFS(#REF!,#REF!,Planning[[#This Row],[Tipo de Tarea y especialidad]],#REF!,Planning[[#This Row],[Proyectos]]))</f>
        <v>#REF!</v>
      </c>
      <c r="K4338" s="5" t="e">
        <f>+Planning[[#This Row],[Horas Planificadas]]+Planning[[#This Row],[Horas ajustadas adicionales]]-Planning[[#This Row],[Horas utilizadas]]</f>
        <v>#REF!</v>
      </c>
      <c r="L4338" s="7">
        <v>0</v>
      </c>
      <c r="M4338" s="19" t="e">
        <f>Planning[[#This Row],[Saldo]]-Planning[[#This Row],[Saldo estimado]]</f>
        <v>#REF!</v>
      </c>
      <c r="N4338" s="60" t="e">
        <f>+SUMIFS(#REF!,#REF!,Planning[[#This Row],[Proyectos]],#REF!,Planning[[#This Row],[Tipo de Tarea y especialidad]])</f>
        <v>#REF!</v>
      </c>
      <c r="O4338" s="19">
        <f t="shared" si="134"/>
        <v>10</v>
      </c>
      <c r="P4338" s="19">
        <f t="shared" si="135"/>
        <v>2024</v>
      </c>
      <c r="Q43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38" s="19" t="str">
        <f>TEXT(Planning[[#This Row],[Mes]]*29,"mmmm")</f>
        <v>October</v>
      </c>
      <c r="S43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38" s="210"/>
      <c r="U4338" s="43">
        <f>IF(Planning[[#This Row],[Horas Planificadas]]&lt;&gt;0,+K4338/Planning[[#This Row],[Horas Planificadas]],0)</f>
        <v>0</v>
      </c>
      <c r="V4338" s="43">
        <f>IF(Planning[[#This Row],[Horas Planificadas]]&lt;&gt;0,Planning[[#This Row],[Horas utilizadas]]/Planning[[#This Row],[Horas Planificadas]],0)</f>
        <v>0</v>
      </c>
      <c r="W4338" s="44">
        <f>Planning[[#This Row],[Horas Planificadas]]+Planning[[#This Row],[Horas ajustadas adicionales]]</f>
        <v>0</v>
      </c>
      <c r="X4338" s="142"/>
    </row>
    <row r="4339" spans="1:24" ht="22.5" x14ac:dyDescent="0.2">
      <c r="A4339" s="7" t="s">
        <v>435</v>
      </c>
      <c r="B4339" s="7" t="s">
        <v>178</v>
      </c>
      <c r="C4339" s="3"/>
      <c r="D4339" s="3" t="s">
        <v>748</v>
      </c>
      <c r="E4339" s="4" t="s">
        <v>28</v>
      </c>
      <c r="F4339" s="3"/>
      <c r="G4339" s="9">
        <v>72</v>
      </c>
      <c r="H4339" s="14">
        <f>SUM(H4340:H4341)</f>
        <v>112</v>
      </c>
      <c r="I4339" s="14">
        <f>SUM(I4340:I4341)</f>
        <v>0</v>
      </c>
      <c r="J4339" s="14" t="e">
        <f>SUM(J4340:J4341)</f>
        <v>#REF!</v>
      </c>
      <c r="K4339" s="14" t="e">
        <f>+Planning[[#This Row],[Horas Planificadas]]+Planning[[#This Row],[Horas ajustadas adicionales]]-Planning[[#This Row],[Horas utilizadas]]</f>
        <v>#REF!</v>
      </c>
      <c r="L4339" s="15">
        <f>SUM(L4340:L4341)</f>
        <v>0</v>
      </c>
      <c r="M4339" s="14" t="e">
        <f>SUM(M4340:M4341)</f>
        <v>#REF!</v>
      </c>
      <c r="N4339" s="66"/>
      <c r="O4339" s="14">
        <f t="shared" si="134"/>
        <v>10</v>
      </c>
      <c r="P4339" s="14">
        <f t="shared" si="135"/>
        <v>2024</v>
      </c>
      <c r="Q4339" s="28" t="e">
        <f>SUM(Q4340:Q4341)</f>
        <v>#REF!</v>
      </c>
      <c r="R4339" s="28" t="str">
        <f>TEXT(Planning[[#This Row],[Mes]]*29,"mmmm")</f>
        <v>October</v>
      </c>
      <c r="S43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39" s="220" t="s">
        <v>749</v>
      </c>
      <c r="U4339" s="43" t="e">
        <f>IF(Planning[[#This Row],[Horas Planificadas]]&lt;&gt;0,+K4339/Planning[[#This Row],[Horas Planificadas]],0)</f>
        <v>#REF!</v>
      </c>
      <c r="V4339" s="43" t="e">
        <f>IF(Planning[[#This Row],[Horas Planificadas]]&lt;&gt;0,Planning[[#This Row],[Horas utilizadas]]/Planning[[#This Row],[Horas Planificadas]],0)</f>
        <v>#REF!</v>
      </c>
      <c r="W4339" s="44">
        <f>Planning[[#This Row],[Horas Planificadas]]+Planning[[#This Row],[Horas ajustadas adicionales]]</f>
        <v>112</v>
      </c>
      <c r="X4339" s="142"/>
    </row>
    <row r="4340" spans="1:24" x14ac:dyDescent="0.2">
      <c r="A4340" s="7" t="s">
        <v>435</v>
      </c>
      <c r="B4340" s="7" t="s">
        <v>178</v>
      </c>
      <c r="C4340" s="3"/>
      <c r="D4340" s="3" t="s">
        <v>748</v>
      </c>
      <c r="E4340" s="4"/>
      <c r="F4340" s="3" t="s">
        <v>120</v>
      </c>
      <c r="G4340" s="9">
        <v>0</v>
      </c>
      <c r="H4340" s="9">
        <v>40</v>
      </c>
      <c r="I4340" s="12">
        <v>0</v>
      </c>
      <c r="J4340" s="5" t="e">
        <f>SUM(SUMIFS(#REF!,#REF!,Planning[[#This Row],[Tipo de Tarea y especialidad]],#REF!,Planning[[#This Row],[Proyectos Reiwa]]),SUMIFS(#REF!,#REF!,Planning[[#This Row],[Tipo de Tarea y especialidad]],#REF!,Planning[[#This Row],[Proyectos]]))</f>
        <v>#REF!</v>
      </c>
      <c r="K4340" s="5" t="e">
        <f>+Planning[[#This Row],[Horas Planificadas]]+Planning[[#This Row],[Horas ajustadas adicionales]]-Planning[[#This Row],[Horas utilizadas]]</f>
        <v>#REF!</v>
      </c>
      <c r="L4340" s="7">
        <v>0</v>
      </c>
      <c r="M4340" s="19" t="e">
        <f>Planning[[#This Row],[Saldo]]-Planning[[#This Row],[Saldo estimado]]</f>
        <v>#REF!</v>
      </c>
      <c r="N4340" s="60" t="e">
        <f>+SUMIFS(#REF!,#REF!,Planning[[#This Row],[Proyectos]],#REF!,Planning[[#This Row],[Tipo de Tarea y especialidad]])</f>
        <v>#REF!</v>
      </c>
      <c r="O4340" s="19">
        <f t="shared" si="134"/>
        <v>10</v>
      </c>
      <c r="P4340" s="19">
        <f t="shared" si="135"/>
        <v>2024</v>
      </c>
      <c r="Q43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40" s="19" t="str">
        <f>TEXT(Planning[[#This Row],[Mes]]*29,"mmmm")</f>
        <v>October</v>
      </c>
      <c r="S43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40" s="210"/>
      <c r="U4340" s="43" t="e">
        <f>IF(Planning[[#This Row],[Horas Planificadas]]&lt;&gt;0,+K4340/Planning[[#This Row],[Horas Planificadas]],0)</f>
        <v>#REF!</v>
      </c>
      <c r="V4340" s="43" t="e">
        <f>IF(Planning[[#This Row],[Horas Planificadas]]&lt;&gt;0,Planning[[#This Row],[Horas utilizadas]]/Planning[[#This Row],[Horas Planificadas]],0)</f>
        <v>#REF!</v>
      </c>
      <c r="W4340" s="44">
        <f>Planning[[#This Row],[Horas Planificadas]]+Planning[[#This Row],[Horas ajustadas adicionales]]</f>
        <v>40</v>
      </c>
      <c r="X4340" s="142"/>
    </row>
    <row r="4341" spans="1:24" x14ac:dyDescent="0.2">
      <c r="A4341" s="7" t="s">
        <v>435</v>
      </c>
      <c r="B4341" s="7" t="s">
        <v>178</v>
      </c>
      <c r="C4341" s="3"/>
      <c r="D4341" s="3" t="s">
        <v>748</v>
      </c>
      <c r="E4341" s="4"/>
      <c r="F4341" s="3" t="s">
        <v>121</v>
      </c>
      <c r="G4341" s="9">
        <v>0</v>
      </c>
      <c r="H4341" s="9">
        <v>72</v>
      </c>
      <c r="I4341" s="12">
        <v>0</v>
      </c>
      <c r="J4341" s="5" t="e">
        <f>SUM(SUMIFS(#REF!,#REF!,Planning[[#This Row],[Tipo de Tarea y especialidad]],#REF!,Planning[[#This Row],[Proyectos Reiwa]]),SUMIFS(#REF!,#REF!,Planning[[#This Row],[Tipo de Tarea y especialidad]],#REF!,Planning[[#This Row],[Proyectos]]))</f>
        <v>#REF!</v>
      </c>
      <c r="K4341" s="5" t="e">
        <f>+Planning[[#This Row],[Horas Planificadas]]+Planning[[#This Row],[Horas ajustadas adicionales]]-Planning[[#This Row],[Horas utilizadas]]</f>
        <v>#REF!</v>
      </c>
      <c r="L4341" s="7">
        <v>0</v>
      </c>
      <c r="M4341" s="19" t="e">
        <f>Planning[[#This Row],[Saldo]]-Planning[[#This Row],[Saldo estimado]]</f>
        <v>#REF!</v>
      </c>
      <c r="N4341" s="60" t="e">
        <f>+SUMIFS(#REF!,#REF!,Planning[[#This Row],[Proyectos]],#REF!,Planning[[#This Row],[Tipo de Tarea y especialidad]])</f>
        <v>#REF!</v>
      </c>
      <c r="O4341" s="19">
        <f t="shared" si="134"/>
        <v>10</v>
      </c>
      <c r="P4341" s="19">
        <f t="shared" si="135"/>
        <v>2024</v>
      </c>
      <c r="Q43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41" s="19" t="str">
        <f>TEXT(Planning[[#This Row],[Mes]]*29,"mmmm")</f>
        <v>October</v>
      </c>
      <c r="S43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41" s="210"/>
      <c r="U4341" s="43" t="e">
        <f>IF(Planning[[#This Row],[Horas Planificadas]]&lt;&gt;0,+K4341/Planning[[#This Row],[Horas Planificadas]],0)</f>
        <v>#REF!</v>
      </c>
      <c r="V4341" s="43" t="e">
        <f>IF(Planning[[#This Row],[Horas Planificadas]]&lt;&gt;0,Planning[[#This Row],[Horas utilizadas]]/Planning[[#This Row],[Horas Planificadas]],0)</f>
        <v>#REF!</v>
      </c>
      <c r="W4341" s="44">
        <f>Planning[[#This Row],[Horas Planificadas]]+Planning[[#This Row],[Horas ajustadas adicionales]]</f>
        <v>72</v>
      </c>
      <c r="X4341" s="142"/>
    </row>
    <row r="4342" spans="1:24" x14ac:dyDescent="0.2">
      <c r="A4342" s="7" t="s">
        <v>435</v>
      </c>
      <c r="B4342" s="7" t="s">
        <v>178</v>
      </c>
      <c r="C4342" s="3"/>
      <c r="D4342" s="3" t="s">
        <v>748</v>
      </c>
      <c r="E4342" s="4" t="s">
        <v>30</v>
      </c>
      <c r="F4342" s="3"/>
      <c r="G4342" s="9">
        <v>126</v>
      </c>
      <c r="H4342" s="14">
        <f>SUM(H4343:H4349)</f>
        <v>189</v>
      </c>
      <c r="I4342" s="14">
        <f>SUM(I4343:I4349)</f>
        <v>0</v>
      </c>
      <c r="J4342" s="14" t="e">
        <f>SUM(J4343:J4349)</f>
        <v>#REF!</v>
      </c>
      <c r="K4342" s="14" t="e">
        <f>+Planning[[#This Row],[Horas Planificadas]]+Planning[[#This Row],[Horas ajustadas adicionales]]-Planning[[#This Row],[Horas utilizadas]]</f>
        <v>#REF!</v>
      </c>
      <c r="L4342" s="15">
        <f>SUM(L4343:L4349)</f>
        <v>0</v>
      </c>
      <c r="M4342" s="16" t="e">
        <f>SUM(M4343:M4349)</f>
        <v>#REF!</v>
      </c>
      <c r="N4342" s="60"/>
      <c r="O4342" s="16">
        <f t="shared" si="134"/>
        <v>10</v>
      </c>
      <c r="P4342" s="16">
        <f t="shared" si="135"/>
        <v>2024</v>
      </c>
      <c r="Q4342" s="16" t="e">
        <f>SUM(Q4343:Q4349)</f>
        <v>#REF!</v>
      </c>
      <c r="R4342" s="16" t="str">
        <f>TEXT(Planning[[#This Row],[Mes]]*29,"mmmm")</f>
        <v>October</v>
      </c>
      <c r="S43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42" s="210"/>
      <c r="U4342" s="43" t="e">
        <f>IF(Planning[[#This Row],[Horas Planificadas]]&lt;&gt;0,+K4342/Planning[[#This Row],[Horas Planificadas]],0)</f>
        <v>#REF!</v>
      </c>
      <c r="V4342" s="43" t="e">
        <f>IF(Planning[[#This Row],[Horas Planificadas]]&lt;&gt;0,Planning[[#This Row],[Horas utilizadas]]/Planning[[#This Row],[Horas Planificadas]],0)</f>
        <v>#REF!</v>
      </c>
      <c r="W4342" s="44">
        <f>Planning[[#This Row],[Horas Planificadas]]+Planning[[#This Row],[Horas ajustadas adicionales]]</f>
        <v>189</v>
      </c>
      <c r="X4342" s="142"/>
    </row>
    <row r="4343" spans="1:24" x14ac:dyDescent="0.2">
      <c r="A4343" s="7" t="s">
        <v>435</v>
      </c>
      <c r="B4343" s="7" t="s">
        <v>178</v>
      </c>
      <c r="C4343" s="3"/>
      <c r="D4343" s="3" t="s">
        <v>748</v>
      </c>
      <c r="E4343" s="4"/>
      <c r="F4343" s="3" t="s">
        <v>122</v>
      </c>
      <c r="G4343" s="9">
        <v>0</v>
      </c>
      <c r="H4343" s="9">
        <v>0</v>
      </c>
      <c r="I4343" s="12">
        <v>0</v>
      </c>
      <c r="J4343" s="5" t="e">
        <f>SUM(SUMIFS(#REF!,#REF!,Planning[[#This Row],[Tipo de Tarea y especialidad]],#REF!,Planning[[#This Row],[Proyectos Reiwa]]),SUMIFS(#REF!,#REF!,Planning[[#This Row],[Tipo de Tarea y especialidad]],#REF!,Planning[[#This Row],[Proyectos]]))</f>
        <v>#REF!</v>
      </c>
      <c r="K4343" s="5" t="e">
        <f>+Planning[[#This Row],[Horas Planificadas]]+Planning[[#This Row],[Horas ajustadas adicionales]]-Planning[[#This Row],[Horas utilizadas]]</f>
        <v>#REF!</v>
      </c>
      <c r="L4343" s="7">
        <v>0</v>
      </c>
      <c r="M4343" s="19" t="e">
        <f>Planning[[#This Row],[Saldo]]-Planning[[#This Row],[Saldo estimado]]</f>
        <v>#REF!</v>
      </c>
      <c r="N4343" s="60" t="e">
        <f>+SUMIFS(#REF!,#REF!,Planning[[#This Row],[Proyectos]],#REF!,Planning[[#This Row],[Tipo de Tarea y especialidad]])</f>
        <v>#REF!</v>
      </c>
      <c r="O4343" s="19">
        <f t="shared" si="134"/>
        <v>10</v>
      </c>
      <c r="P4343" s="19">
        <f t="shared" si="135"/>
        <v>2024</v>
      </c>
      <c r="Q43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43" s="19" t="str">
        <f>TEXT(Planning[[#This Row],[Mes]]*29,"mmmm")</f>
        <v>October</v>
      </c>
      <c r="S43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43" s="210"/>
      <c r="U4343" s="43">
        <f>IF(Planning[[#This Row],[Horas Planificadas]]&lt;&gt;0,+K4343/Planning[[#This Row],[Horas Planificadas]],0)</f>
        <v>0</v>
      </c>
      <c r="V4343" s="43">
        <f>IF(Planning[[#This Row],[Horas Planificadas]]&lt;&gt;0,Planning[[#This Row],[Horas utilizadas]]/Planning[[#This Row],[Horas Planificadas]],0)</f>
        <v>0</v>
      </c>
      <c r="W4343" s="44">
        <f>Planning[[#This Row],[Horas Planificadas]]+Planning[[#This Row],[Horas ajustadas adicionales]]</f>
        <v>0</v>
      </c>
      <c r="X4343" s="142"/>
    </row>
    <row r="4344" spans="1:24" x14ac:dyDescent="0.2">
      <c r="A4344" s="7" t="s">
        <v>435</v>
      </c>
      <c r="B4344" s="7" t="s">
        <v>178</v>
      </c>
      <c r="C4344" s="3"/>
      <c r="D4344" s="3" t="s">
        <v>748</v>
      </c>
      <c r="E4344" s="4"/>
      <c r="F4344" s="3" t="s">
        <v>123</v>
      </c>
      <c r="G4344" s="9">
        <v>0</v>
      </c>
      <c r="H4344" s="9">
        <v>81</v>
      </c>
      <c r="I4344" s="12">
        <v>0</v>
      </c>
      <c r="J4344" s="5" t="e">
        <f>SUM(SUMIFS(#REF!,#REF!,Planning[[#This Row],[Tipo de Tarea y especialidad]],#REF!,Planning[[#This Row],[Proyectos Reiwa]]),SUMIFS(#REF!,#REF!,Planning[[#This Row],[Tipo de Tarea y especialidad]],#REF!,Planning[[#This Row],[Proyectos]]))</f>
        <v>#REF!</v>
      </c>
      <c r="K4344" s="5" t="e">
        <f>+Planning[[#This Row],[Horas Planificadas]]+Planning[[#This Row],[Horas ajustadas adicionales]]-Planning[[#This Row],[Horas utilizadas]]</f>
        <v>#REF!</v>
      </c>
      <c r="L4344" s="7">
        <v>0</v>
      </c>
      <c r="M4344" s="19" t="e">
        <f>Planning[[#This Row],[Saldo]]-Planning[[#This Row],[Saldo estimado]]</f>
        <v>#REF!</v>
      </c>
      <c r="N4344" s="60" t="e">
        <f>+SUMIFS(#REF!,#REF!,Planning[[#This Row],[Proyectos]],#REF!,Planning[[#This Row],[Tipo de Tarea y especialidad]])</f>
        <v>#REF!</v>
      </c>
      <c r="O4344" s="19">
        <f t="shared" si="134"/>
        <v>10</v>
      </c>
      <c r="P4344" s="19">
        <f t="shared" si="135"/>
        <v>2024</v>
      </c>
      <c r="Q43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44" s="19" t="str">
        <f>TEXT(Planning[[#This Row],[Mes]]*29,"mmmm")</f>
        <v>October</v>
      </c>
      <c r="S43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44" s="210"/>
      <c r="U4344" s="43" t="e">
        <f>IF(Planning[[#This Row],[Horas Planificadas]]&lt;&gt;0,+K4344/Planning[[#This Row],[Horas Planificadas]],0)</f>
        <v>#REF!</v>
      </c>
      <c r="V4344" s="43" t="e">
        <f>IF(Planning[[#This Row],[Horas Planificadas]]&lt;&gt;0,Planning[[#This Row],[Horas utilizadas]]/Planning[[#This Row],[Horas Planificadas]],0)</f>
        <v>#REF!</v>
      </c>
      <c r="W4344" s="44">
        <f>Planning[[#This Row],[Horas Planificadas]]+Planning[[#This Row],[Horas ajustadas adicionales]]</f>
        <v>81</v>
      </c>
      <c r="X4344" s="142"/>
    </row>
    <row r="4345" spans="1:24" x14ac:dyDescent="0.2">
      <c r="A4345" s="7" t="s">
        <v>435</v>
      </c>
      <c r="B4345" s="7" t="s">
        <v>178</v>
      </c>
      <c r="C4345" s="3"/>
      <c r="D4345" s="3" t="s">
        <v>748</v>
      </c>
      <c r="E4345" s="4"/>
      <c r="F4345" s="3" t="s">
        <v>124</v>
      </c>
      <c r="G4345" s="9">
        <v>0</v>
      </c>
      <c r="H4345" s="9">
        <v>0</v>
      </c>
      <c r="I4345" s="12">
        <v>0</v>
      </c>
      <c r="J4345" s="5" t="e">
        <f>SUM(SUMIFS(#REF!,#REF!,Planning[[#This Row],[Tipo de Tarea y especialidad]],#REF!,Planning[[#This Row],[Proyectos Reiwa]]),SUMIFS(#REF!,#REF!,Planning[[#This Row],[Tipo de Tarea y especialidad]],#REF!,Planning[[#This Row],[Proyectos]]))</f>
        <v>#REF!</v>
      </c>
      <c r="K4345" s="5" t="e">
        <f>+Planning[[#This Row],[Horas Planificadas]]+Planning[[#This Row],[Horas ajustadas adicionales]]-Planning[[#This Row],[Horas utilizadas]]</f>
        <v>#REF!</v>
      </c>
      <c r="L4345" s="7">
        <v>0</v>
      </c>
      <c r="M4345" s="19" t="e">
        <f>Planning[[#This Row],[Saldo]]-Planning[[#This Row],[Saldo estimado]]</f>
        <v>#REF!</v>
      </c>
      <c r="N4345" s="60" t="e">
        <f>+SUMIFS(#REF!,#REF!,Planning[[#This Row],[Proyectos]],#REF!,Planning[[#This Row],[Tipo de Tarea y especialidad]])</f>
        <v>#REF!</v>
      </c>
      <c r="O4345" s="19">
        <f t="shared" si="134"/>
        <v>10</v>
      </c>
      <c r="P4345" s="19">
        <f t="shared" si="135"/>
        <v>2024</v>
      </c>
      <c r="Q43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45" s="19" t="str">
        <f>TEXT(Planning[[#This Row],[Mes]]*29,"mmmm")</f>
        <v>October</v>
      </c>
      <c r="S43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45" s="210"/>
      <c r="U4345" s="43">
        <f>IF(Planning[[#This Row],[Horas Planificadas]]&lt;&gt;0,+K4345/Planning[[#This Row],[Horas Planificadas]],0)</f>
        <v>0</v>
      </c>
      <c r="V4345" s="43">
        <f>IF(Planning[[#This Row],[Horas Planificadas]]&lt;&gt;0,Planning[[#This Row],[Horas utilizadas]]/Planning[[#This Row],[Horas Planificadas]],0)</f>
        <v>0</v>
      </c>
      <c r="W4345" s="44">
        <f>Planning[[#This Row],[Horas Planificadas]]+Planning[[#This Row],[Horas ajustadas adicionales]]</f>
        <v>0</v>
      </c>
      <c r="X4345" s="142"/>
    </row>
    <row r="4346" spans="1:24" x14ac:dyDescent="0.2">
      <c r="A4346" s="7" t="s">
        <v>435</v>
      </c>
      <c r="B4346" s="7" t="s">
        <v>178</v>
      </c>
      <c r="C4346" s="3"/>
      <c r="D4346" s="3" t="s">
        <v>748</v>
      </c>
      <c r="E4346" s="4"/>
      <c r="F4346" s="3" t="s">
        <v>125</v>
      </c>
      <c r="G4346" s="9">
        <v>0</v>
      </c>
      <c r="H4346" s="9">
        <v>45</v>
      </c>
      <c r="I4346" s="12">
        <v>0</v>
      </c>
      <c r="J4346" s="5" t="e">
        <f>SUM(SUMIFS(#REF!,#REF!,Planning[[#This Row],[Tipo de Tarea y especialidad]],#REF!,Planning[[#This Row],[Proyectos Reiwa]]),SUMIFS(#REF!,#REF!,Planning[[#This Row],[Tipo de Tarea y especialidad]],#REF!,Planning[[#This Row],[Proyectos]]))</f>
        <v>#REF!</v>
      </c>
      <c r="K4346" s="5" t="e">
        <f>+Planning[[#This Row],[Horas Planificadas]]+Planning[[#This Row],[Horas ajustadas adicionales]]-Planning[[#This Row],[Horas utilizadas]]</f>
        <v>#REF!</v>
      </c>
      <c r="L4346" s="7">
        <v>0</v>
      </c>
      <c r="M4346" s="19" t="e">
        <f>Planning[[#This Row],[Saldo]]-Planning[[#This Row],[Saldo estimado]]</f>
        <v>#REF!</v>
      </c>
      <c r="N4346" s="60" t="e">
        <f>+SUMIFS(#REF!,#REF!,Planning[[#This Row],[Proyectos]],#REF!,Planning[[#This Row],[Tipo de Tarea y especialidad]])</f>
        <v>#REF!</v>
      </c>
      <c r="O4346" s="19">
        <f t="shared" si="134"/>
        <v>10</v>
      </c>
      <c r="P4346" s="19">
        <f t="shared" si="135"/>
        <v>2024</v>
      </c>
      <c r="Q43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46" s="19" t="str">
        <f>TEXT(Planning[[#This Row],[Mes]]*29,"mmmm")</f>
        <v>October</v>
      </c>
      <c r="S43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46" s="210"/>
      <c r="U4346" s="43" t="e">
        <f>IF(Planning[[#This Row],[Horas Planificadas]]&lt;&gt;0,+K4346/Planning[[#This Row],[Horas Planificadas]],0)</f>
        <v>#REF!</v>
      </c>
      <c r="V4346" s="43" t="e">
        <f>IF(Planning[[#This Row],[Horas Planificadas]]&lt;&gt;0,Planning[[#This Row],[Horas utilizadas]]/Planning[[#This Row],[Horas Planificadas]],0)</f>
        <v>#REF!</v>
      </c>
      <c r="W4346" s="44">
        <f>Planning[[#This Row],[Horas Planificadas]]+Planning[[#This Row],[Horas ajustadas adicionales]]</f>
        <v>45</v>
      </c>
      <c r="X4346" s="142"/>
    </row>
    <row r="4347" spans="1:24" x14ac:dyDescent="0.2">
      <c r="A4347" s="7" t="s">
        <v>435</v>
      </c>
      <c r="B4347" s="7" t="s">
        <v>178</v>
      </c>
      <c r="C4347" s="3"/>
      <c r="D4347" s="3" t="s">
        <v>748</v>
      </c>
      <c r="E4347" s="4"/>
      <c r="F4347" s="3" t="s">
        <v>126</v>
      </c>
      <c r="G4347" s="9">
        <v>0</v>
      </c>
      <c r="H4347" s="9">
        <v>0</v>
      </c>
      <c r="I4347" s="12">
        <v>0</v>
      </c>
      <c r="J4347" s="5" t="e">
        <f>SUM(SUMIFS(#REF!,#REF!,Planning[[#This Row],[Tipo de Tarea y especialidad]],#REF!,Planning[[#This Row],[Proyectos Reiwa]]),SUMIFS(#REF!,#REF!,Planning[[#This Row],[Tipo de Tarea y especialidad]],#REF!,Planning[[#This Row],[Proyectos]]))</f>
        <v>#REF!</v>
      </c>
      <c r="K4347" s="5" t="e">
        <f>+Planning[[#This Row],[Horas Planificadas]]+Planning[[#This Row],[Horas ajustadas adicionales]]-Planning[[#This Row],[Horas utilizadas]]</f>
        <v>#REF!</v>
      </c>
      <c r="L4347" s="7">
        <v>0</v>
      </c>
      <c r="M4347" s="19" t="e">
        <f>Planning[[#This Row],[Saldo]]-Planning[[#This Row],[Saldo estimado]]</f>
        <v>#REF!</v>
      </c>
      <c r="N4347" s="60" t="e">
        <f>+SUMIFS(#REF!,#REF!,Planning[[#This Row],[Proyectos]],#REF!,Planning[[#This Row],[Tipo de Tarea y especialidad]])</f>
        <v>#REF!</v>
      </c>
      <c r="O4347" s="19">
        <f t="shared" si="134"/>
        <v>10</v>
      </c>
      <c r="P4347" s="19">
        <f t="shared" si="135"/>
        <v>2024</v>
      </c>
      <c r="Q43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47" s="19" t="str">
        <f>TEXT(Planning[[#This Row],[Mes]]*29,"mmmm")</f>
        <v>October</v>
      </c>
      <c r="S43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47" s="210"/>
      <c r="U4347" s="43">
        <f>IF(Planning[[#This Row],[Horas Planificadas]]&lt;&gt;0,+K4347/Planning[[#This Row],[Horas Planificadas]],0)</f>
        <v>0</v>
      </c>
      <c r="V4347" s="43">
        <f>IF(Planning[[#This Row],[Horas Planificadas]]&lt;&gt;0,Planning[[#This Row],[Horas utilizadas]]/Planning[[#This Row],[Horas Planificadas]],0)</f>
        <v>0</v>
      </c>
      <c r="W4347" s="44">
        <f>Planning[[#This Row],[Horas Planificadas]]+Planning[[#This Row],[Horas ajustadas adicionales]]</f>
        <v>0</v>
      </c>
      <c r="X4347" s="142"/>
    </row>
    <row r="4348" spans="1:24" x14ac:dyDescent="0.2">
      <c r="A4348" s="7" t="s">
        <v>435</v>
      </c>
      <c r="B4348" s="7" t="s">
        <v>178</v>
      </c>
      <c r="C4348" s="3"/>
      <c r="D4348" s="3" t="s">
        <v>748</v>
      </c>
      <c r="E4348" s="4"/>
      <c r="F4348" s="3" t="s">
        <v>127</v>
      </c>
      <c r="G4348" s="9">
        <v>63</v>
      </c>
      <c r="H4348" s="9">
        <v>63</v>
      </c>
      <c r="I4348" s="12">
        <v>0</v>
      </c>
      <c r="J4348" s="5" t="e">
        <f>SUM(SUMIFS(#REF!,#REF!,Planning[[#This Row],[Tipo de Tarea y especialidad]],#REF!,Planning[[#This Row],[Proyectos Reiwa]]),SUMIFS(#REF!,#REF!,Planning[[#This Row],[Tipo de Tarea y especialidad]],#REF!,Planning[[#This Row],[Proyectos]]))</f>
        <v>#REF!</v>
      </c>
      <c r="K4348" s="5" t="e">
        <f>+Planning[[#This Row],[Horas Planificadas]]+Planning[[#This Row],[Horas ajustadas adicionales]]-Planning[[#This Row],[Horas utilizadas]]</f>
        <v>#REF!</v>
      </c>
      <c r="L4348" s="7">
        <v>0</v>
      </c>
      <c r="M4348" s="19" t="e">
        <f>Planning[[#This Row],[Saldo]]-Planning[[#This Row],[Saldo estimado]]</f>
        <v>#REF!</v>
      </c>
      <c r="N4348" s="60" t="e">
        <f>+SUMIFS(#REF!,#REF!,Planning[[#This Row],[Proyectos]],#REF!,Planning[[#This Row],[Tipo de Tarea y especialidad]])</f>
        <v>#REF!</v>
      </c>
      <c r="O4348" s="19">
        <f t="shared" si="134"/>
        <v>10</v>
      </c>
      <c r="P4348" s="19">
        <f t="shared" si="135"/>
        <v>2024</v>
      </c>
      <c r="Q43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48" s="19" t="str">
        <f>TEXT(Planning[[#This Row],[Mes]]*29,"mmmm")</f>
        <v>October</v>
      </c>
      <c r="S43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48" s="210"/>
      <c r="U4348" s="43" t="e">
        <f>IF(Planning[[#This Row],[Horas Planificadas]]&lt;&gt;0,+K4348/Planning[[#This Row],[Horas Planificadas]],0)</f>
        <v>#REF!</v>
      </c>
      <c r="V4348" s="43" t="e">
        <f>IF(Planning[[#This Row],[Horas Planificadas]]&lt;&gt;0,Planning[[#This Row],[Horas utilizadas]]/Planning[[#This Row],[Horas Planificadas]],0)</f>
        <v>#REF!</v>
      </c>
      <c r="W4348" s="44">
        <f>Planning[[#This Row],[Horas Planificadas]]+Planning[[#This Row],[Horas ajustadas adicionales]]</f>
        <v>63</v>
      </c>
      <c r="X4348" s="142"/>
    </row>
    <row r="4349" spans="1:24" x14ac:dyDescent="0.2">
      <c r="A4349" s="7" t="s">
        <v>435</v>
      </c>
      <c r="B4349" s="7" t="s">
        <v>178</v>
      </c>
      <c r="C4349" s="3"/>
      <c r="D4349" s="3" t="s">
        <v>748</v>
      </c>
      <c r="E4349" s="4"/>
      <c r="F4349" s="3" t="s">
        <v>128</v>
      </c>
      <c r="G4349" s="9">
        <v>0</v>
      </c>
      <c r="H4349" s="9">
        <v>0</v>
      </c>
      <c r="I4349" s="12">
        <v>0</v>
      </c>
      <c r="J4349" s="5" t="e">
        <f>SUM(SUMIFS(#REF!,#REF!,Planning[[#This Row],[Tipo de Tarea y especialidad]],#REF!,Planning[[#This Row],[Proyectos Reiwa]]),SUMIFS(#REF!,#REF!,Planning[[#This Row],[Tipo de Tarea y especialidad]],#REF!,Planning[[#This Row],[Proyectos]]))</f>
        <v>#REF!</v>
      </c>
      <c r="K4349" s="5" t="e">
        <f>+Planning[[#This Row],[Horas Planificadas]]+Planning[[#This Row],[Horas ajustadas adicionales]]-Planning[[#This Row],[Horas utilizadas]]</f>
        <v>#REF!</v>
      </c>
      <c r="L4349" s="7">
        <v>0</v>
      </c>
      <c r="M4349" s="19" t="e">
        <f>Planning[[#This Row],[Saldo]]-Planning[[#This Row],[Saldo estimado]]</f>
        <v>#REF!</v>
      </c>
      <c r="N4349" s="60" t="e">
        <f>+SUMIFS(#REF!,#REF!,Planning[[#This Row],[Proyectos]],#REF!,Planning[[#This Row],[Tipo de Tarea y especialidad]])</f>
        <v>#REF!</v>
      </c>
      <c r="O4349" s="19">
        <f t="shared" si="134"/>
        <v>10</v>
      </c>
      <c r="P4349" s="19">
        <f t="shared" si="135"/>
        <v>2024</v>
      </c>
      <c r="Q43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49" s="19" t="str">
        <f>TEXT(Planning[[#This Row],[Mes]]*29,"mmmm")</f>
        <v>October</v>
      </c>
      <c r="S43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49" s="210"/>
      <c r="U4349" s="43">
        <f>IF(Planning[[#This Row],[Horas Planificadas]]&lt;&gt;0,+K4349/Planning[[#This Row],[Horas Planificadas]],0)</f>
        <v>0</v>
      </c>
      <c r="V4349" s="43">
        <f>IF(Planning[[#This Row],[Horas Planificadas]]&lt;&gt;0,Planning[[#This Row],[Horas utilizadas]]/Planning[[#This Row],[Horas Planificadas]],0)</f>
        <v>0</v>
      </c>
      <c r="W4349" s="44">
        <f>Planning[[#This Row],[Horas Planificadas]]+Planning[[#This Row],[Horas ajustadas adicionales]]</f>
        <v>0</v>
      </c>
      <c r="X4349" s="142"/>
    </row>
    <row r="4350" spans="1:24" x14ac:dyDescent="0.2">
      <c r="A4350" s="7" t="s">
        <v>435</v>
      </c>
      <c r="B4350" s="7" t="s">
        <v>178</v>
      </c>
      <c r="C4350" s="3"/>
      <c r="D4350" s="3" t="s">
        <v>748</v>
      </c>
      <c r="E4350" s="4" t="s">
        <v>31</v>
      </c>
      <c r="F4350" s="3" t="s">
        <v>31</v>
      </c>
      <c r="G4350" s="9">
        <v>54</v>
      </c>
      <c r="H4350" s="17">
        <v>54</v>
      </c>
      <c r="I4350" s="18">
        <v>4</v>
      </c>
      <c r="J4350" s="14" t="e">
        <f>+SUMIFS(#REF!,#REF!,Planning[[#This Row],[Tarifa]],#REF!,Planning[[#This Row],[Proyectos]])</f>
        <v>#REF!</v>
      </c>
      <c r="K4350" s="14" t="e">
        <f>+Planning[[#This Row],[Horas Planificadas]]+Planning[[#This Row],[Horas ajustadas adicionales]]-Planning[[#This Row],[Horas utilizadas]]</f>
        <v>#REF!</v>
      </c>
      <c r="L4350" s="15">
        <v>0</v>
      </c>
      <c r="M4350" s="16" t="e">
        <f>Planning[[#This Row],[Saldo]]-Planning[[#This Row],[Saldo estimado]]</f>
        <v>#REF!</v>
      </c>
      <c r="N4350" s="60"/>
      <c r="O4350" s="16">
        <f t="shared" si="134"/>
        <v>10</v>
      </c>
      <c r="P4350" s="16">
        <f t="shared" si="135"/>
        <v>2024</v>
      </c>
      <c r="Q4350" s="16" t="e">
        <f>+SUMIFS(#REF!,#REF!,Planning[[#This Row],[Tarifa]],#REF!,Planning[[#This Row],[Proyectos]],#REF!,Planning[[#This Row],[Mes]],#REF!,Planning[[#This Row],[Año]])</f>
        <v>#REF!</v>
      </c>
      <c r="R4350" s="16" t="str">
        <f>TEXT(Planning[[#This Row],[Mes]]*29,"mmmm")</f>
        <v>October</v>
      </c>
      <c r="S43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50" s="210"/>
      <c r="U4350" s="43" t="e">
        <f>IF(Planning[[#This Row],[Horas Planificadas]]&lt;&gt;0,+K4350/Planning[[#This Row],[Horas Planificadas]],0)</f>
        <v>#REF!</v>
      </c>
      <c r="V4350" s="43" t="e">
        <f>IF(Planning[[#This Row],[Horas Planificadas]]&lt;&gt;0,Planning[[#This Row],[Horas utilizadas]]/Planning[[#This Row],[Horas Planificadas]],0)</f>
        <v>#REF!</v>
      </c>
      <c r="W4350" s="44">
        <f>Planning[[#This Row],[Horas Planificadas]]+Planning[[#This Row],[Horas ajustadas adicionales]]</f>
        <v>58</v>
      </c>
      <c r="X4350" s="142"/>
    </row>
    <row r="4351" spans="1:24" ht="22.5" x14ac:dyDescent="0.2">
      <c r="A4351" s="7" t="s">
        <v>435</v>
      </c>
      <c r="B4351" s="7" t="s">
        <v>178</v>
      </c>
      <c r="C4351" s="3"/>
      <c r="D4351" s="3" t="s">
        <v>748</v>
      </c>
      <c r="E4351" s="4" t="s">
        <v>32</v>
      </c>
      <c r="F4351" s="3"/>
      <c r="G4351" s="9">
        <v>110</v>
      </c>
      <c r="H4351" s="14">
        <f>SUM(H4352:H4354)</f>
        <v>70</v>
      </c>
      <c r="I4351" s="14">
        <f>SUM(I4352:I4354)</f>
        <v>30</v>
      </c>
      <c r="J4351" s="14" t="e">
        <f>SUM(J4352:J4354)</f>
        <v>#REF!</v>
      </c>
      <c r="K4351" s="14" t="e">
        <f>+Planning[[#This Row],[Horas Planificadas]]+Planning[[#This Row],[Horas ajustadas adicionales]]-Planning[[#This Row],[Horas utilizadas]]</f>
        <v>#REF!</v>
      </c>
      <c r="L4351" s="15">
        <f>SUM(L4352:L4354)</f>
        <v>0</v>
      </c>
      <c r="M4351" s="16" t="e">
        <f>SUM(M4352:M4354)</f>
        <v>#REF!</v>
      </c>
      <c r="N4351" s="60"/>
      <c r="O4351" s="16">
        <f t="shared" si="134"/>
        <v>10</v>
      </c>
      <c r="P4351" s="16">
        <f t="shared" si="135"/>
        <v>2024</v>
      </c>
      <c r="Q4351" s="16" t="e">
        <f>SUM(Q4352:Q4354)</f>
        <v>#REF!</v>
      </c>
      <c r="R4351" s="16" t="str">
        <f>TEXT(Planning[[#This Row],[Mes]]*29,"mmmm")</f>
        <v>October</v>
      </c>
      <c r="S43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51" s="210"/>
      <c r="U4351" s="43" t="e">
        <f>IF(Planning[[#This Row],[Horas Planificadas]]&lt;&gt;0,+K4351/Planning[[#This Row],[Horas Planificadas]],0)</f>
        <v>#REF!</v>
      </c>
      <c r="V4351" s="43" t="e">
        <f>IF(Planning[[#This Row],[Horas Planificadas]]&lt;&gt;0,Planning[[#This Row],[Horas utilizadas]]/Planning[[#This Row],[Horas Planificadas]],0)</f>
        <v>#REF!</v>
      </c>
      <c r="W4351" s="44">
        <f>Planning[[#This Row],[Horas Planificadas]]+Planning[[#This Row],[Horas ajustadas adicionales]]</f>
        <v>100</v>
      </c>
      <c r="X4351" s="142"/>
    </row>
    <row r="4352" spans="1:24" x14ac:dyDescent="0.2">
      <c r="A4352" s="7" t="s">
        <v>435</v>
      </c>
      <c r="B4352" s="7" t="s">
        <v>178</v>
      </c>
      <c r="C4352" s="3"/>
      <c r="D4352" s="3" t="s">
        <v>748</v>
      </c>
      <c r="E4352" s="4"/>
      <c r="F4352" s="3" t="s">
        <v>129</v>
      </c>
      <c r="G4352" s="9">
        <v>0</v>
      </c>
      <c r="H4352" s="9">
        <v>0</v>
      </c>
      <c r="I4352" s="12">
        <v>0</v>
      </c>
      <c r="J4352" s="5" t="e">
        <f>SUM(SUMIFS(#REF!,#REF!,Planning[[#This Row],[Tipo de Tarea y especialidad]],#REF!,Planning[[#This Row],[Proyectos Reiwa]]),SUMIFS(#REF!,#REF!,Planning[[#This Row],[Tipo de Tarea y especialidad]],#REF!,Planning[[#This Row],[Proyectos]]))</f>
        <v>#REF!</v>
      </c>
      <c r="K4352" s="5" t="e">
        <f>+Planning[[#This Row],[Horas Planificadas]]+Planning[[#This Row],[Horas ajustadas adicionales]]-Planning[[#This Row],[Horas utilizadas]]</f>
        <v>#REF!</v>
      </c>
      <c r="L4352" s="7">
        <v>0</v>
      </c>
      <c r="M4352" s="19" t="e">
        <f>Planning[[#This Row],[Saldo]]-Planning[[#This Row],[Saldo estimado]]</f>
        <v>#REF!</v>
      </c>
      <c r="N4352" s="60" t="e">
        <f>+SUMIFS(#REF!,#REF!,Planning[[#This Row],[Proyectos]],#REF!,Planning[[#This Row],[Tipo de Tarea y especialidad]])</f>
        <v>#REF!</v>
      </c>
      <c r="O4352" s="19">
        <f t="shared" si="134"/>
        <v>10</v>
      </c>
      <c r="P4352" s="19">
        <f t="shared" si="135"/>
        <v>2024</v>
      </c>
      <c r="Q43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52" s="19" t="str">
        <f>TEXT(Planning[[#This Row],[Mes]]*29,"mmmm")</f>
        <v>October</v>
      </c>
      <c r="S43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52" s="210"/>
      <c r="U4352" s="43">
        <f>IF(Planning[[#This Row],[Horas Planificadas]]&lt;&gt;0,+K4352/Planning[[#This Row],[Horas Planificadas]],0)</f>
        <v>0</v>
      </c>
      <c r="V4352" s="43">
        <f>IF(Planning[[#This Row],[Horas Planificadas]]&lt;&gt;0,Planning[[#This Row],[Horas utilizadas]]/Planning[[#This Row],[Horas Planificadas]],0)</f>
        <v>0</v>
      </c>
      <c r="W4352" s="44">
        <f>Planning[[#This Row],[Horas Planificadas]]+Planning[[#This Row],[Horas ajustadas adicionales]]</f>
        <v>0</v>
      </c>
      <c r="X4352" s="142"/>
    </row>
    <row r="4353" spans="1:24" x14ac:dyDescent="0.2">
      <c r="A4353" s="7" t="s">
        <v>435</v>
      </c>
      <c r="B4353" s="7" t="s">
        <v>178</v>
      </c>
      <c r="C4353" s="3"/>
      <c r="D4353" s="3" t="s">
        <v>748</v>
      </c>
      <c r="E4353" s="4"/>
      <c r="F4353" s="3" t="s">
        <v>130</v>
      </c>
      <c r="G4353" s="9">
        <v>0</v>
      </c>
      <c r="H4353" s="9">
        <v>70</v>
      </c>
      <c r="I4353" s="12">
        <v>30</v>
      </c>
      <c r="J4353" s="5" t="e">
        <f>SUM(SUMIFS(#REF!,#REF!,Planning[[#This Row],[Tipo de Tarea y especialidad]],#REF!,Planning[[#This Row],[Proyectos Reiwa]]),SUMIFS(#REF!,#REF!,Planning[[#This Row],[Tipo de Tarea y especialidad]],#REF!,Planning[[#This Row],[Proyectos]]))</f>
        <v>#REF!</v>
      </c>
      <c r="K4353" s="5" t="e">
        <f>+Planning[[#This Row],[Horas Planificadas]]+Planning[[#This Row],[Horas ajustadas adicionales]]-Planning[[#This Row],[Horas utilizadas]]</f>
        <v>#REF!</v>
      </c>
      <c r="L4353" s="7">
        <v>0</v>
      </c>
      <c r="M4353" s="19" t="e">
        <f>Planning[[#This Row],[Saldo]]-Planning[[#This Row],[Saldo estimado]]</f>
        <v>#REF!</v>
      </c>
      <c r="N4353" s="60" t="e">
        <f>+SUMIFS(#REF!,#REF!,Planning[[#This Row],[Proyectos]],#REF!,Planning[[#This Row],[Tipo de Tarea y especialidad]])</f>
        <v>#REF!</v>
      </c>
      <c r="O4353" s="19">
        <f t="shared" si="134"/>
        <v>10</v>
      </c>
      <c r="P4353" s="19">
        <f t="shared" si="135"/>
        <v>2024</v>
      </c>
      <c r="Q43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53" s="19" t="str">
        <f>TEXT(Planning[[#This Row],[Mes]]*29,"mmmm")</f>
        <v>October</v>
      </c>
      <c r="S43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53" s="210"/>
      <c r="U4353" s="43" t="e">
        <f>IF(Planning[[#This Row],[Horas Planificadas]]&lt;&gt;0,+K4353/Planning[[#This Row],[Horas Planificadas]],0)</f>
        <v>#REF!</v>
      </c>
      <c r="V4353" s="43" t="e">
        <f>IF(Planning[[#This Row],[Horas Planificadas]]&lt;&gt;0,Planning[[#This Row],[Horas utilizadas]]/Planning[[#This Row],[Horas Planificadas]],0)</f>
        <v>#REF!</v>
      </c>
      <c r="W4353" s="44">
        <f>Planning[[#This Row],[Horas Planificadas]]+Planning[[#This Row],[Horas ajustadas adicionales]]</f>
        <v>100</v>
      </c>
      <c r="X4353" s="142"/>
    </row>
    <row r="4354" spans="1:24" x14ac:dyDescent="0.2">
      <c r="A4354" s="7" t="s">
        <v>435</v>
      </c>
      <c r="B4354" s="7" t="s">
        <v>178</v>
      </c>
      <c r="C4354" s="3"/>
      <c r="D4354" s="3" t="s">
        <v>748</v>
      </c>
      <c r="E4354" s="4"/>
      <c r="F4354" s="3" t="s">
        <v>131</v>
      </c>
      <c r="G4354" s="9">
        <v>0</v>
      </c>
      <c r="H4354" s="9">
        <v>0</v>
      </c>
      <c r="I4354" s="12">
        <v>0</v>
      </c>
      <c r="J4354" s="5" t="e">
        <f>SUM(SUMIFS(#REF!,#REF!,Planning[[#This Row],[Tipo de Tarea y especialidad]],#REF!,Planning[[#This Row],[Proyectos Reiwa]]),SUMIFS(#REF!,#REF!,Planning[[#This Row],[Tipo de Tarea y especialidad]],#REF!,Planning[[#This Row],[Proyectos]]))</f>
        <v>#REF!</v>
      </c>
      <c r="K4354" s="5" t="e">
        <f>+Planning[[#This Row],[Horas Planificadas]]+Planning[[#This Row],[Horas ajustadas adicionales]]-Planning[[#This Row],[Horas utilizadas]]</f>
        <v>#REF!</v>
      </c>
      <c r="L4354" s="7">
        <v>0</v>
      </c>
      <c r="M4354" s="19" t="e">
        <f>Planning[[#This Row],[Saldo]]-Planning[[#This Row],[Saldo estimado]]</f>
        <v>#REF!</v>
      </c>
      <c r="N4354" s="60" t="e">
        <f>+SUMIFS(#REF!,#REF!,Planning[[#This Row],[Proyectos]],#REF!,Planning[[#This Row],[Tipo de Tarea y especialidad]])</f>
        <v>#REF!</v>
      </c>
      <c r="O4354" s="19">
        <f t="shared" si="134"/>
        <v>10</v>
      </c>
      <c r="P4354" s="19">
        <f t="shared" si="135"/>
        <v>2024</v>
      </c>
      <c r="Q43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54" s="19" t="str">
        <f>TEXT(Planning[[#This Row],[Mes]]*29,"mmmm")</f>
        <v>October</v>
      </c>
      <c r="S43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54" s="210"/>
      <c r="U4354" s="43">
        <f>IF(Planning[[#This Row],[Horas Planificadas]]&lt;&gt;0,+K4354/Planning[[#This Row],[Horas Planificadas]],0)</f>
        <v>0</v>
      </c>
      <c r="V4354" s="43">
        <f>IF(Planning[[#This Row],[Horas Planificadas]]&lt;&gt;0,Planning[[#This Row],[Horas utilizadas]]/Planning[[#This Row],[Horas Planificadas]],0)</f>
        <v>0</v>
      </c>
      <c r="W4354" s="44">
        <f>Planning[[#This Row],[Horas Planificadas]]+Planning[[#This Row],[Horas ajustadas adicionales]]</f>
        <v>0</v>
      </c>
      <c r="X4354" s="142"/>
    </row>
    <row r="4355" spans="1:24" ht="22.5" x14ac:dyDescent="0.2">
      <c r="A4355" s="7" t="s">
        <v>294</v>
      </c>
      <c r="B4355" s="7" t="s">
        <v>178</v>
      </c>
      <c r="C4355" s="3"/>
      <c r="D4355" s="3" t="s">
        <v>750</v>
      </c>
      <c r="E4355" s="4" t="s">
        <v>28</v>
      </c>
      <c r="F4355" s="3"/>
      <c r="G4355" s="9">
        <v>0</v>
      </c>
      <c r="H4355" s="14">
        <f>SUM(H4356:H4357)</f>
        <v>0</v>
      </c>
      <c r="I4355" s="14">
        <f>SUM(I4356:I4357)</f>
        <v>0</v>
      </c>
      <c r="J4355" s="14" t="e">
        <f>SUM(J4356:J4357)</f>
        <v>#REF!</v>
      </c>
      <c r="K4355" s="14" t="e">
        <f>+Planning[[#This Row],[Horas Planificadas]]+Planning[[#This Row],[Horas ajustadas adicionales]]-Planning[[#This Row],[Horas utilizadas]]</f>
        <v>#REF!</v>
      </c>
      <c r="L4355" s="15">
        <f>SUM(L4356:L4357)</f>
        <v>0</v>
      </c>
      <c r="M4355" s="14" t="e">
        <f>SUM(M4356:M4357)</f>
        <v>#REF!</v>
      </c>
      <c r="N4355" s="66" t="e">
        <f>+SUMIFS(#REF!,#REF!,Planning[[#This Row],[Proyectos]],#REF!,Planning[[#This Row],[Tipo de Tarea y especialidad]])</f>
        <v>#REF!</v>
      </c>
      <c r="O4355" s="14">
        <f t="shared" si="134"/>
        <v>10</v>
      </c>
      <c r="P4355" s="14">
        <f t="shared" si="135"/>
        <v>2024</v>
      </c>
      <c r="Q4355" s="28" t="e">
        <f>SUM(Q4356:Q4357)</f>
        <v>#REF!</v>
      </c>
      <c r="R4355" s="28" t="str">
        <f>TEXT(Planning[[#This Row],[Mes]]*29,"mmmm")</f>
        <v>October</v>
      </c>
      <c r="S43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55" s="220" t="s">
        <v>745</v>
      </c>
      <c r="U4355" s="43">
        <f>IF(Planning[[#This Row],[Horas Planificadas]]&lt;&gt;0,+K4355/Planning[[#This Row],[Horas Planificadas]],0)</f>
        <v>0</v>
      </c>
      <c r="V4355" s="43">
        <f>IF(Planning[[#This Row],[Horas Planificadas]]&lt;&gt;0,Planning[[#This Row],[Horas utilizadas]]/Planning[[#This Row],[Horas Planificadas]],0)</f>
        <v>0</v>
      </c>
      <c r="W4355" s="44">
        <f>Planning[[#This Row],[Horas Planificadas]]+Planning[[#This Row],[Horas ajustadas adicionales]]</f>
        <v>0</v>
      </c>
      <c r="X4355" s="142"/>
    </row>
    <row r="4356" spans="1:24" x14ac:dyDescent="0.2">
      <c r="A4356" s="7" t="s">
        <v>294</v>
      </c>
      <c r="B4356" s="7" t="s">
        <v>178</v>
      </c>
      <c r="C4356" s="3"/>
      <c r="D4356" s="3" t="s">
        <v>750</v>
      </c>
      <c r="E4356" s="4"/>
      <c r="F4356" s="3" t="s">
        <v>120</v>
      </c>
      <c r="G4356" s="9"/>
      <c r="H4356" s="9">
        <v>0</v>
      </c>
      <c r="I4356" s="12">
        <v>0</v>
      </c>
      <c r="J4356" s="5" t="e">
        <f>SUM(SUMIFS(#REF!,#REF!,Planning[[#This Row],[Tipo de Tarea y especialidad]],#REF!,Planning[[#This Row],[Proyectos Reiwa]]),SUMIFS(#REF!,#REF!,Planning[[#This Row],[Tipo de Tarea y especialidad]],#REF!,Planning[[#This Row],[Proyectos]]))</f>
        <v>#REF!</v>
      </c>
      <c r="K4356" s="5" t="e">
        <f>+Planning[[#This Row],[Horas Planificadas]]+Planning[[#This Row],[Horas ajustadas adicionales]]-Planning[[#This Row],[Horas utilizadas]]</f>
        <v>#REF!</v>
      </c>
      <c r="L4356" s="7">
        <v>0</v>
      </c>
      <c r="M4356" s="19" t="e">
        <f>Planning[[#This Row],[Saldo]]-Planning[[#This Row],[Saldo estimado]]</f>
        <v>#REF!</v>
      </c>
      <c r="N4356" s="60" t="e">
        <f>+SUMIFS(#REF!,#REF!,Planning[[#This Row],[Proyectos]],#REF!,Planning[[#This Row],[Tipo de Tarea y especialidad]])</f>
        <v>#REF!</v>
      </c>
      <c r="O4356" s="19">
        <f t="shared" si="134"/>
        <v>10</v>
      </c>
      <c r="P4356" s="19">
        <f t="shared" si="135"/>
        <v>2024</v>
      </c>
      <c r="Q43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56" s="19" t="str">
        <f>TEXT(Planning[[#This Row],[Mes]]*29,"mmmm")</f>
        <v>October</v>
      </c>
      <c r="S43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56" s="210"/>
      <c r="U4356" s="43">
        <f>IF(Planning[[#This Row],[Horas Planificadas]]&lt;&gt;0,+K4356/Planning[[#This Row],[Horas Planificadas]],0)</f>
        <v>0</v>
      </c>
      <c r="V4356" s="43">
        <f>IF(Planning[[#This Row],[Horas Planificadas]]&lt;&gt;0,Planning[[#This Row],[Horas utilizadas]]/Planning[[#This Row],[Horas Planificadas]],0)</f>
        <v>0</v>
      </c>
      <c r="W4356" s="44">
        <f>Planning[[#This Row],[Horas Planificadas]]+Planning[[#This Row],[Horas ajustadas adicionales]]</f>
        <v>0</v>
      </c>
      <c r="X4356" s="142"/>
    </row>
    <row r="4357" spans="1:24" x14ac:dyDescent="0.2">
      <c r="A4357" s="7" t="s">
        <v>294</v>
      </c>
      <c r="B4357" s="7" t="s">
        <v>178</v>
      </c>
      <c r="C4357" s="3"/>
      <c r="D4357" s="3" t="s">
        <v>750</v>
      </c>
      <c r="E4357" s="4"/>
      <c r="F4357" s="3" t="s">
        <v>121</v>
      </c>
      <c r="G4357" s="9"/>
      <c r="H4357" s="9">
        <v>0</v>
      </c>
      <c r="I4357" s="12">
        <v>0</v>
      </c>
      <c r="J4357" s="5" t="e">
        <f>SUM(SUMIFS(#REF!,#REF!,Planning[[#This Row],[Tipo de Tarea y especialidad]],#REF!,Planning[[#This Row],[Proyectos Reiwa]]),SUMIFS(#REF!,#REF!,Planning[[#This Row],[Tipo de Tarea y especialidad]],#REF!,Planning[[#This Row],[Proyectos]]))</f>
        <v>#REF!</v>
      </c>
      <c r="K4357" s="5" t="e">
        <f>+Planning[[#This Row],[Horas Planificadas]]+Planning[[#This Row],[Horas ajustadas adicionales]]-Planning[[#This Row],[Horas utilizadas]]</f>
        <v>#REF!</v>
      </c>
      <c r="L4357" s="7">
        <v>0</v>
      </c>
      <c r="M4357" s="19" t="e">
        <f>Planning[[#This Row],[Saldo]]-Planning[[#This Row],[Saldo estimado]]</f>
        <v>#REF!</v>
      </c>
      <c r="N4357" s="60" t="e">
        <f>+SUMIFS(#REF!,#REF!,Planning[[#This Row],[Proyectos]],#REF!,Planning[[#This Row],[Tipo de Tarea y especialidad]])</f>
        <v>#REF!</v>
      </c>
      <c r="O4357" s="19">
        <f t="shared" si="134"/>
        <v>10</v>
      </c>
      <c r="P4357" s="19">
        <f t="shared" si="135"/>
        <v>2024</v>
      </c>
      <c r="Q43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57" s="19" t="str">
        <f>TEXT(Planning[[#This Row],[Mes]]*29,"mmmm")</f>
        <v>October</v>
      </c>
      <c r="S43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57" s="210"/>
      <c r="U4357" s="43">
        <f>IF(Planning[[#This Row],[Horas Planificadas]]&lt;&gt;0,+K4357/Planning[[#This Row],[Horas Planificadas]],0)</f>
        <v>0</v>
      </c>
      <c r="V4357" s="43">
        <f>IF(Planning[[#This Row],[Horas Planificadas]]&lt;&gt;0,Planning[[#This Row],[Horas utilizadas]]/Planning[[#This Row],[Horas Planificadas]],0)</f>
        <v>0</v>
      </c>
      <c r="W4357" s="44">
        <f>Planning[[#This Row],[Horas Planificadas]]+Planning[[#This Row],[Horas ajustadas adicionales]]</f>
        <v>0</v>
      </c>
      <c r="X4357" s="142"/>
    </row>
    <row r="4358" spans="1:24" x14ac:dyDescent="0.2">
      <c r="A4358" s="7" t="s">
        <v>294</v>
      </c>
      <c r="B4358" s="7" t="s">
        <v>178</v>
      </c>
      <c r="C4358" s="3"/>
      <c r="D4358" s="3" t="s">
        <v>750</v>
      </c>
      <c r="E4358" s="4" t="s">
        <v>30</v>
      </c>
      <c r="F4358" s="3"/>
      <c r="G4358" s="9">
        <v>27</v>
      </c>
      <c r="H4358" s="14">
        <f>SUM(H4359:H4365)</f>
        <v>54</v>
      </c>
      <c r="I4358" s="14">
        <f>SUM(I4359:I4365)</f>
        <v>0</v>
      </c>
      <c r="J4358" s="14" t="e">
        <f>SUM(J4359:J4365)</f>
        <v>#REF!</v>
      </c>
      <c r="K4358" s="14" t="e">
        <f>+Planning[[#This Row],[Horas Planificadas]]+Planning[[#This Row],[Horas ajustadas adicionales]]-Planning[[#This Row],[Horas utilizadas]]</f>
        <v>#REF!</v>
      </c>
      <c r="L4358" s="15">
        <f>SUM(L4359:L4365)</f>
        <v>0</v>
      </c>
      <c r="M4358" s="16" t="e">
        <f>SUM(M4359:M4365)</f>
        <v>#REF!</v>
      </c>
      <c r="N4358" s="60"/>
      <c r="O4358" s="16">
        <f t="shared" si="134"/>
        <v>10</v>
      </c>
      <c r="P4358" s="16">
        <f t="shared" si="135"/>
        <v>2024</v>
      </c>
      <c r="Q4358" s="16" t="e">
        <f>SUM(Q4359:Q4365)</f>
        <v>#REF!</v>
      </c>
      <c r="R4358" s="16" t="str">
        <f>TEXT(Planning[[#This Row],[Mes]]*29,"mmmm")</f>
        <v>October</v>
      </c>
      <c r="S43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58" s="210"/>
      <c r="U4358" s="43" t="e">
        <f>IF(Planning[[#This Row],[Horas Planificadas]]&lt;&gt;0,+K4358/Planning[[#This Row],[Horas Planificadas]],0)</f>
        <v>#REF!</v>
      </c>
      <c r="V4358" s="43" t="e">
        <f>IF(Planning[[#This Row],[Horas Planificadas]]&lt;&gt;0,Planning[[#This Row],[Horas utilizadas]]/Planning[[#This Row],[Horas Planificadas]],0)</f>
        <v>#REF!</v>
      </c>
      <c r="W4358" s="44">
        <f>Planning[[#This Row],[Horas Planificadas]]+Planning[[#This Row],[Horas ajustadas adicionales]]</f>
        <v>54</v>
      </c>
      <c r="X4358" s="142"/>
    </row>
    <row r="4359" spans="1:24" x14ac:dyDescent="0.2">
      <c r="A4359" s="7" t="s">
        <v>294</v>
      </c>
      <c r="B4359" s="7" t="s">
        <v>178</v>
      </c>
      <c r="C4359" s="3"/>
      <c r="D4359" s="3" t="s">
        <v>750</v>
      </c>
      <c r="E4359" s="4"/>
      <c r="F4359" s="3" t="s">
        <v>122</v>
      </c>
      <c r="G4359" s="9"/>
      <c r="H4359" s="9">
        <v>0</v>
      </c>
      <c r="I4359" s="12">
        <v>0</v>
      </c>
      <c r="J4359" s="5" t="e">
        <f>SUM(SUMIFS(#REF!,#REF!,Planning[[#This Row],[Tipo de Tarea y especialidad]],#REF!,Planning[[#This Row],[Proyectos Reiwa]]),SUMIFS(#REF!,#REF!,Planning[[#This Row],[Tipo de Tarea y especialidad]],#REF!,Planning[[#This Row],[Proyectos]]))</f>
        <v>#REF!</v>
      </c>
      <c r="K4359" s="5" t="e">
        <f>+Planning[[#This Row],[Horas Planificadas]]+Planning[[#This Row],[Horas ajustadas adicionales]]-Planning[[#This Row],[Horas utilizadas]]</f>
        <v>#REF!</v>
      </c>
      <c r="L4359" s="7">
        <v>0</v>
      </c>
      <c r="M4359" s="19" t="e">
        <f>Planning[[#This Row],[Saldo]]-Planning[[#This Row],[Saldo estimado]]</f>
        <v>#REF!</v>
      </c>
      <c r="N4359" s="60" t="e">
        <f>+SUMIFS(#REF!,#REF!,Planning[[#This Row],[Proyectos]],#REF!,Planning[[#This Row],[Tipo de Tarea y especialidad]])</f>
        <v>#REF!</v>
      </c>
      <c r="O4359" s="19">
        <f t="shared" ref="O4359:O4422" si="136">$L$4</f>
        <v>10</v>
      </c>
      <c r="P4359" s="19">
        <f t="shared" ref="P4359:P4422" si="137">$M$4</f>
        <v>2024</v>
      </c>
      <c r="Q43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59" s="19" t="str">
        <f>TEXT(Planning[[#This Row],[Mes]]*29,"mmmm")</f>
        <v>October</v>
      </c>
      <c r="S43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59" s="210"/>
      <c r="U4359" s="43">
        <f>IF(Planning[[#This Row],[Horas Planificadas]]&lt;&gt;0,+K4359/Planning[[#This Row],[Horas Planificadas]],0)</f>
        <v>0</v>
      </c>
      <c r="V4359" s="43">
        <f>IF(Planning[[#This Row],[Horas Planificadas]]&lt;&gt;0,Planning[[#This Row],[Horas utilizadas]]/Planning[[#This Row],[Horas Planificadas]],0)</f>
        <v>0</v>
      </c>
      <c r="W4359" s="44">
        <f>Planning[[#This Row],[Horas Planificadas]]+Planning[[#This Row],[Horas ajustadas adicionales]]</f>
        <v>0</v>
      </c>
      <c r="X4359" s="142"/>
    </row>
    <row r="4360" spans="1:24" x14ac:dyDescent="0.2">
      <c r="A4360" s="7" t="s">
        <v>294</v>
      </c>
      <c r="B4360" s="7" t="s">
        <v>178</v>
      </c>
      <c r="C4360" s="3"/>
      <c r="D4360" s="3" t="s">
        <v>750</v>
      </c>
      <c r="E4360" s="4"/>
      <c r="F4360" s="3" t="s">
        <v>123</v>
      </c>
      <c r="G4360" s="9"/>
      <c r="H4360" s="9">
        <v>0</v>
      </c>
      <c r="I4360" s="12">
        <v>0</v>
      </c>
      <c r="J4360" s="5" t="e">
        <f>SUM(SUMIFS(#REF!,#REF!,Planning[[#This Row],[Tipo de Tarea y especialidad]],#REF!,Planning[[#This Row],[Proyectos Reiwa]]),SUMIFS(#REF!,#REF!,Planning[[#This Row],[Tipo de Tarea y especialidad]],#REF!,Planning[[#This Row],[Proyectos]]))</f>
        <v>#REF!</v>
      </c>
      <c r="K4360" s="5" t="e">
        <f>+Planning[[#This Row],[Horas Planificadas]]+Planning[[#This Row],[Horas ajustadas adicionales]]-Planning[[#This Row],[Horas utilizadas]]</f>
        <v>#REF!</v>
      </c>
      <c r="L4360" s="7">
        <v>0</v>
      </c>
      <c r="M4360" s="19" t="e">
        <f>Planning[[#This Row],[Saldo]]-Planning[[#This Row],[Saldo estimado]]</f>
        <v>#REF!</v>
      </c>
      <c r="N4360" s="60" t="e">
        <f>+SUMIFS(#REF!,#REF!,Planning[[#This Row],[Proyectos]],#REF!,Planning[[#This Row],[Tipo de Tarea y especialidad]])</f>
        <v>#REF!</v>
      </c>
      <c r="O4360" s="19">
        <f t="shared" si="136"/>
        <v>10</v>
      </c>
      <c r="P4360" s="19">
        <f t="shared" si="137"/>
        <v>2024</v>
      </c>
      <c r="Q43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60" s="19" t="str">
        <f>TEXT(Planning[[#This Row],[Mes]]*29,"mmmm")</f>
        <v>October</v>
      </c>
      <c r="S43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60" s="210"/>
      <c r="U4360" s="43">
        <f>IF(Planning[[#This Row],[Horas Planificadas]]&lt;&gt;0,+K4360/Planning[[#This Row],[Horas Planificadas]],0)</f>
        <v>0</v>
      </c>
      <c r="V4360" s="43">
        <f>IF(Planning[[#This Row],[Horas Planificadas]]&lt;&gt;0,Planning[[#This Row],[Horas utilizadas]]/Planning[[#This Row],[Horas Planificadas]],0)</f>
        <v>0</v>
      </c>
      <c r="W4360" s="44">
        <f>Planning[[#This Row],[Horas Planificadas]]+Planning[[#This Row],[Horas ajustadas adicionales]]</f>
        <v>0</v>
      </c>
      <c r="X4360" s="142"/>
    </row>
    <row r="4361" spans="1:24" x14ac:dyDescent="0.2">
      <c r="A4361" s="7" t="s">
        <v>294</v>
      </c>
      <c r="B4361" s="7" t="s">
        <v>178</v>
      </c>
      <c r="C4361" s="3"/>
      <c r="D4361" s="3" t="s">
        <v>750</v>
      </c>
      <c r="E4361" s="4"/>
      <c r="F4361" s="3" t="s">
        <v>124</v>
      </c>
      <c r="G4361" s="9"/>
      <c r="H4361" s="9">
        <v>0</v>
      </c>
      <c r="I4361" s="12">
        <v>0</v>
      </c>
      <c r="J4361" s="5" t="e">
        <f>SUM(SUMIFS(#REF!,#REF!,Planning[[#This Row],[Tipo de Tarea y especialidad]],#REF!,Planning[[#This Row],[Proyectos Reiwa]]),SUMIFS(#REF!,#REF!,Planning[[#This Row],[Tipo de Tarea y especialidad]],#REF!,Planning[[#This Row],[Proyectos]]))</f>
        <v>#REF!</v>
      </c>
      <c r="K4361" s="5" t="e">
        <f>+Planning[[#This Row],[Horas Planificadas]]+Planning[[#This Row],[Horas ajustadas adicionales]]-Planning[[#This Row],[Horas utilizadas]]</f>
        <v>#REF!</v>
      </c>
      <c r="L4361" s="7">
        <v>0</v>
      </c>
      <c r="M4361" s="19" t="e">
        <f>Planning[[#This Row],[Saldo]]-Planning[[#This Row],[Saldo estimado]]</f>
        <v>#REF!</v>
      </c>
      <c r="N4361" s="60" t="e">
        <f>+SUMIFS(#REF!,#REF!,Planning[[#This Row],[Proyectos]],#REF!,Planning[[#This Row],[Tipo de Tarea y especialidad]])</f>
        <v>#REF!</v>
      </c>
      <c r="O4361" s="19">
        <f t="shared" si="136"/>
        <v>10</v>
      </c>
      <c r="P4361" s="19">
        <f t="shared" si="137"/>
        <v>2024</v>
      </c>
      <c r="Q43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61" s="19" t="str">
        <f>TEXT(Planning[[#This Row],[Mes]]*29,"mmmm")</f>
        <v>October</v>
      </c>
      <c r="S43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61" s="210"/>
      <c r="U4361" s="43">
        <f>IF(Planning[[#This Row],[Horas Planificadas]]&lt;&gt;0,+K4361/Planning[[#This Row],[Horas Planificadas]],0)</f>
        <v>0</v>
      </c>
      <c r="V4361" s="43">
        <f>IF(Planning[[#This Row],[Horas Planificadas]]&lt;&gt;0,Planning[[#This Row],[Horas utilizadas]]/Planning[[#This Row],[Horas Planificadas]],0)</f>
        <v>0</v>
      </c>
      <c r="W4361" s="44">
        <f>Planning[[#This Row],[Horas Planificadas]]+Planning[[#This Row],[Horas ajustadas adicionales]]</f>
        <v>0</v>
      </c>
      <c r="X4361" s="142"/>
    </row>
    <row r="4362" spans="1:24" x14ac:dyDescent="0.2">
      <c r="A4362" s="7" t="s">
        <v>294</v>
      </c>
      <c r="B4362" s="7" t="s">
        <v>178</v>
      </c>
      <c r="C4362" s="3"/>
      <c r="D4362" s="3" t="s">
        <v>750</v>
      </c>
      <c r="E4362" s="4"/>
      <c r="F4362" s="3" t="s">
        <v>125</v>
      </c>
      <c r="G4362" s="9"/>
      <c r="H4362" s="9">
        <v>9</v>
      </c>
      <c r="I4362" s="12">
        <v>0</v>
      </c>
      <c r="J4362" s="5" t="e">
        <f>SUM(SUMIFS(#REF!,#REF!,Planning[[#This Row],[Tipo de Tarea y especialidad]],#REF!,Planning[[#This Row],[Proyectos Reiwa]]),SUMIFS(#REF!,#REF!,Planning[[#This Row],[Tipo de Tarea y especialidad]],#REF!,Planning[[#This Row],[Proyectos]]))</f>
        <v>#REF!</v>
      </c>
      <c r="K4362" s="5" t="e">
        <f>+Planning[[#This Row],[Horas Planificadas]]+Planning[[#This Row],[Horas ajustadas adicionales]]-Planning[[#This Row],[Horas utilizadas]]</f>
        <v>#REF!</v>
      </c>
      <c r="L4362" s="7">
        <v>0</v>
      </c>
      <c r="M4362" s="19" t="e">
        <f>Planning[[#This Row],[Saldo]]-Planning[[#This Row],[Saldo estimado]]</f>
        <v>#REF!</v>
      </c>
      <c r="N4362" s="60" t="e">
        <f>+SUMIFS(#REF!,#REF!,Planning[[#This Row],[Proyectos]],#REF!,Planning[[#This Row],[Tipo de Tarea y especialidad]])</f>
        <v>#REF!</v>
      </c>
      <c r="O4362" s="19">
        <f t="shared" si="136"/>
        <v>10</v>
      </c>
      <c r="P4362" s="19">
        <f t="shared" si="137"/>
        <v>2024</v>
      </c>
      <c r="Q43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62" s="19" t="str">
        <f>TEXT(Planning[[#This Row],[Mes]]*29,"mmmm")</f>
        <v>October</v>
      </c>
      <c r="S43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62" s="210"/>
      <c r="U4362" s="43" t="e">
        <f>IF(Planning[[#This Row],[Horas Planificadas]]&lt;&gt;0,+K4362/Planning[[#This Row],[Horas Planificadas]],0)</f>
        <v>#REF!</v>
      </c>
      <c r="V4362" s="43" t="e">
        <f>IF(Planning[[#This Row],[Horas Planificadas]]&lt;&gt;0,Planning[[#This Row],[Horas utilizadas]]/Planning[[#This Row],[Horas Planificadas]],0)</f>
        <v>#REF!</v>
      </c>
      <c r="W4362" s="44">
        <f>Planning[[#This Row],[Horas Planificadas]]+Planning[[#This Row],[Horas ajustadas adicionales]]</f>
        <v>9</v>
      </c>
      <c r="X4362" s="142"/>
    </row>
    <row r="4363" spans="1:24" x14ac:dyDescent="0.2">
      <c r="A4363" s="7" t="s">
        <v>294</v>
      </c>
      <c r="B4363" s="7" t="s">
        <v>178</v>
      </c>
      <c r="C4363" s="3"/>
      <c r="D4363" s="3" t="s">
        <v>750</v>
      </c>
      <c r="E4363" s="4"/>
      <c r="F4363" s="3" t="s">
        <v>126</v>
      </c>
      <c r="G4363" s="9"/>
      <c r="H4363" s="9">
        <v>0</v>
      </c>
      <c r="I4363" s="12">
        <v>0</v>
      </c>
      <c r="J4363" s="5" t="e">
        <f>SUM(SUMIFS(#REF!,#REF!,Planning[[#This Row],[Tipo de Tarea y especialidad]],#REF!,Planning[[#This Row],[Proyectos Reiwa]]),SUMIFS(#REF!,#REF!,Planning[[#This Row],[Tipo de Tarea y especialidad]],#REF!,Planning[[#This Row],[Proyectos]]))</f>
        <v>#REF!</v>
      </c>
      <c r="K4363" s="5" t="e">
        <f>+Planning[[#This Row],[Horas Planificadas]]+Planning[[#This Row],[Horas ajustadas adicionales]]-Planning[[#This Row],[Horas utilizadas]]</f>
        <v>#REF!</v>
      </c>
      <c r="L4363" s="7">
        <v>0</v>
      </c>
      <c r="M4363" s="19" t="e">
        <f>Planning[[#This Row],[Saldo]]-Planning[[#This Row],[Saldo estimado]]</f>
        <v>#REF!</v>
      </c>
      <c r="N4363" s="60" t="e">
        <f>+SUMIFS(#REF!,#REF!,Planning[[#This Row],[Proyectos]],#REF!,Planning[[#This Row],[Tipo de Tarea y especialidad]])</f>
        <v>#REF!</v>
      </c>
      <c r="O4363" s="19">
        <f t="shared" si="136"/>
        <v>10</v>
      </c>
      <c r="P4363" s="19">
        <f t="shared" si="137"/>
        <v>2024</v>
      </c>
      <c r="Q43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63" s="19" t="str">
        <f>TEXT(Planning[[#This Row],[Mes]]*29,"mmmm")</f>
        <v>October</v>
      </c>
      <c r="S43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63" s="210"/>
      <c r="U4363" s="43">
        <f>IF(Planning[[#This Row],[Horas Planificadas]]&lt;&gt;0,+K4363/Planning[[#This Row],[Horas Planificadas]],0)</f>
        <v>0</v>
      </c>
      <c r="V4363" s="43">
        <f>IF(Planning[[#This Row],[Horas Planificadas]]&lt;&gt;0,Planning[[#This Row],[Horas utilizadas]]/Planning[[#This Row],[Horas Planificadas]],0)</f>
        <v>0</v>
      </c>
      <c r="W4363" s="44">
        <f>Planning[[#This Row],[Horas Planificadas]]+Planning[[#This Row],[Horas ajustadas adicionales]]</f>
        <v>0</v>
      </c>
      <c r="X4363" s="142"/>
    </row>
    <row r="4364" spans="1:24" x14ac:dyDescent="0.2">
      <c r="A4364" s="7" t="s">
        <v>294</v>
      </c>
      <c r="B4364" s="7" t="s">
        <v>178</v>
      </c>
      <c r="C4364" s="3"/>
      <c r="D4364" s="3" t="s">
        <v>750</v>
      </c>
      <c r="E4364" s="4"/>
      <c r="F4364" s="3" t="s">
        <v>127</v>
      </c>
      <c r="G4364" s="9"/>
      <c r="H4364" s="9">
        <v>45</v>
      </c>
      <c r="I4364" s="12">
        <v>0</v>
      </c>
      <c r="J4364" s="5" t="e">
        <f>SUM(SUMIFS(#REF!,#REF!,Planning[[#This Row],[Tipo de Tarea y especialidad]],#REF!,Planning[[#This Row],[Proyectos Reiwa]]),SUMIFS(#REF!,#REF!,Planning[[#This Row],[Tipo de Tarea y especialidad]],#REF!,Planning[[#This Row],[Proyectos]]))</f>
        <v>#REF!</v>
      </c>
      <c r="K4364" s="5" t="e">
        <f>+Planning[[#This Row],[Horas Planificadas]]+Planning[[#This Row],[Horas ajustadas adicionales]]-Planning[[#This Row],[Horas utilizadas]]</f>
        <v>#REF!</v>
      </c>
      <c r="L4364" s="7">
        <v>0</v>
      </c>
      <c r="M4364" s="19" t="e">
        <f>Planning[[#This Row],[Saldo]]-Planning[[#This Row],[Saldo estimado]]</f>
        <v>#REF!</v>
      </c>
      <c r="N4364" s="60" t="e">
        <f>+SUMIFS(#REF!,#REF!,Planning[[#This Row],[Proyectos]],#REF!,Planning[[#This Row],[Tipo de Tarea y especialidad]])</f>
        <v>#REF!</v>
      </c>
      <c r="O4364" s="19">
        <f t="shared" si="136"/>
        <v>10</v>
      </c>
      <c r="P4364" s="19">
        <f t="shared" si="137"/>
        <v>2024</v>
      </c>
      <c r="Q43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64" s="19" t="str">
        <f>TEXT(Planning[[#This Row],[Mes]]*29,"mmmm")</f>
        <v>October</v>
      </c>
      <c r="S43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64" s="210"/>
      <c r="U4364" s="43" t="e">
        <f>IF(Planning[[#This Row],[Horas Planificadas]]&lt;&gt;0,+K4364/Planning[[#This Row],[Horas Planificadas]],0)</f>
        <v>#REF!</v>
      </c>
      <c r="V4364" s="43" t="e">
        <f>IF(Planning[[#This Row],[Horas Planificadas]]&lt;&gt;0,Planning[[#This Row],[Horas utilizadas]]/Planning[[#This Row],[Horas Planificadas]],0)</f>
        <v>#REF!</v>
      </c>
      <c r="W4364" s="44">
        <f>Planning[[#This Row],[Horas Planificadas]]+Planning[[#This Row],[Horas ajustadas adicionales]]</f>
        <v>45</v>
      </c>
      <c r="X4364" s="142"/>
    </row>
    <row r="4365" spans="1:24" x14ac:dyDescent="0.2">
      <c r="A4365" s="7" t="s">
        <v>294</v>
      </c>
      <c r="B4365" s="7" t="s">
        <v>178</v>
      </c>
      <c r="C4365" s="3"/>
      <c r="D4365" s="3" t="s">
        <v>750</v>
      </c>
      <c r="E4365" s="4"/>
      <c r="F4365" s="3" t="s">
        <v>128</v>
      </c>
      <c r="G4365" s="9"/>
      <c r="H4365" s="9">
        <v>0</v>
      </c>
      <c r="I4365" s="12">
        <v>0</v>
      </c>
      <c r="J4365" s="5" t="e">
        <f>SUM(SUMIFS(#REF!,#REF!,Planning[[#This Row],[Tipo de Tarea y especialidad]],#REF!,Planning[[#This Row],[Proyectos Reiwa]]),SUMIFS(#REF!,#REF!,Planning[[#This Row],[Tipo de Tarea y especialidad]],#REF!,Planning[[#This Row],[Proyectos]]))</f>
        <v>#REF!</v>
      </c>
      <c r="K4365" s="5" t="e">
        <f>+Planning[[#This Row],[Horas Planificadas]]+Planning[[#This Row],[Horas ajustadas adicionales]]-Planning[[#This Row],[Horas utilizadas]]</f>
        <v>#REF!</v>
      </c>
      <c r="L4365" s="7">
        <v>0</v>
      </c>
      <c r="M4365" s="19" t="e">
        <f>Planning[[#This Row],[Saldo]]-Planning[[#This Row],[Saldo estimado]]</f>
        <v>#REF!</v>
      </c>
      <c r="N4365" s="60" t="e">
        <f>+SUMIFS(#REF!,#REF!,Planning[[#This Row],[Proyectos]],#REF!,Planning[[#This Row],[Tipo de Tarea y especialidad]])</f>
        <v>#REF!</v>
      </c>
      <c r="O4365" s="19">
        <f t="shared" si="136"/>
        <v>10</v>
      </c>
      <c r="P4365" s="19">
        <f t="shared" si="137"/>
        <v>2024</v>
      </c>
      <c r="Q43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65" s="19" t="str">
        <f>TEXT(Planning[[#This Row],[Mes]]*29,"mmmm")</f>
        <v>October</v>
      </c>
      <c r="S43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65" s="210"/>
      <c r="U4365" s="43">
        <f>IF(Planning[[#This Row],[Horas Planificadas]]&lt;&gt;0,+K4365/Planning[[#This Row],[Horas Planificadas]],0)</f>
        <v>0</v>
      </c>
      <c r="V4365" s="43">
        <f>IF(Planning[[#This Row],[Horas Planificadas]]&lt;&gt;0,Planning[[#This Row],[Horas utilizadas]]/Planning[[#This Row],[Horas Planificadas]],0)</f>
        <v>0</v>
      </c>
      <c r="W4365" s="44">
        <f>Planning[[#This Row],[Horas Planificadas]]+Planning[[#This Row],[Horas ajustadas adicionales]]</f>
        <v>0</v>
      </c>
      <c r="X4365" s="142"/>
    </row>
    <row r="4366" spans="1:24" x14ac:dyDescent="0.2">
      <c r="A4366" s="7" t="s">
        <v>294</v>
      </c>
      <c r="B4366" s="7" t="s">
        <v>178</v>
      </c>
      <c r="C4366" s="3"/>
      <c r="D4366" s="3" t="s">
        <v>750</v>
      </c>
      <c r="E4366" s="4" t="s">
        <v>31</v>
      </c>
      <c r="F4366" s="3" t="s">
        <v>31</v>
      </c>
      <c r="G4366" s="9">
        <v>9</v>
      </c>
      <c r="H4366" s="17">
        <v>9</v>
      </c>
      <c r="I4366" s="18">
        <v>0</v>
      </c>
      <c r="J4366" s="14" t="e">
        <f>+SUMIFS(#REF!,#REF!,Planning[[#This Row],[Tarifa]],#REF!,Planning[[#This Row],[Proyectos]])</f>
        <v>#REF!</v>
      </c>
      <c r="K4366" s="14" t="e">
        <f>+Planning[[#This Row],[Horas Planificadas]]+Planning[[#This Row],[Horas ajustadas adicionales]]-Planning[[#This Row],[Horas utilizadas]]</f>
        <v>#REF!</v>
      </c>
      <c r="L4366" s="15">
        <v>0</v>
      </c>
      <c r="M4366" s="16" t="e">
        <f>Planning[[#This Row],[Saldo]]-Planning[[#This Row],[Saldo estimado]]</f>
        <v>#REF!</v>
      </c>
      <c r="N4366" s="60"/>
      <c r="O4366" s="16">
        <f t="shared" si="136"/>
        <v>10</v>
      </c>
      <c r="P4366" s="16">
        <f t="shared" si="137"/>
        <v>2024</v>
      </c>
      <c r="Q4366" s="16" t="e">
        <f>+SUMIFS(#REF!,#REF!,Planning[[#This Row],[Tarifa]],#REF!,Planning[[#This Row],[Proyectos]],#REF!,Planning[[#This Row],[Mes]],#REF!,Planning[[#This Row],[Año]])</f>
        <v>#REF!</v>
      </c>
      <c r="R4366" s="16" t="str">
        <f>TEXT(Planning[[#This Row],[Mes]]*29,"mmmm")</f>
        <v>October</v>
      </c>
      <c r="S43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66" s="210"/>
      <c r="U4366" s="43" t="e">
        <f>IF(Planning[[#This Row],[Horas Planificadas]]&lt;&gt;0,+K4366/Planning[[#This Row],[Horas Planificadas]],0)</f>
        <v>#REF!</v>
      </c>
      <c r="V4366" s="43" t="e">
        <f>IF(Planning[[#This Row],[Horas Planificadas]]&lt;&gt;0,Planning[[#This Row],[Horas utilizadas]]/Planning[[#This Row],[Horas Planificadas]],0)</f>
        <v>#REF!</v>
      </c>
      <c r="W4366" s="44">
        <f>Planning[[#This Row],[Horas Planificadas]]+Planning[[#This Row],[Horas ajustadas adicionales]]</f>
        <v>9</v>
      </c>
      <c r="X4366" s="142"/>
    </row>
    <row r="4367" spans="1:24" ht="22.5" x14ac:dyDescent="0.2">
      <c r="A4367" s="7" t="s">
        <v>294</v>
      </c>
      <c r="B4367" s="7" t="s">
        <v>178</v>
      </c>
      <c r="C4367" s="3"/>
      <c r="D4367" s="3" t="s">
        <v>750</v>
      </c>
      <c r="E4367" s="4" t="s">
        <v>32</v>
      </c>
      <c r="F4367" s="3"/>
      <c r="G4367" s="9">
        <v>30</v>
      </c>
      <c r="H4367" s="14">
        <f>SUM(H4368:H4370)</f>
        <v>0</v>
      </c>
      <c r="I4367" s="14">
        <f>SUM(I4368:I4370)</f>
        <v>0</v>
      </c>
      <c r="J4367" s="14" t="e">
        <f>SUM(J4368:J4370)</f>
        <v>#REF!</v>
      </c>
      <c r="K4367" s="14" t="e">
        <f>+Planning[[#This Row],[Horas Planificadas]]+Planning[[#This Row],[Horas ajustadas adicionales]]-Planning[[#This Row],[Horas utilizadas]]</f>
        <v>#REF!</v>
      </c>
      <c r="L4367" s="15">
        <f>SUM(L4368:L4370)</f>
        <v>0</v>
      </c>
      <c r="M4367" s="16" t="e">
        <f>SUM(M4368:M4370)</f>
        <v>#REF!</v>
      </c>
      <c r="N4367" s="60"/>
      <c r="O4367" s="16">
        <f t="shared" si="136"/>
        <v>10</v>
      </c>
      <c r="P4367" s="16">
        <f t="shared" si="137"/>
        <v>2024</v>
      </c>
      <c r="Q4367" s="16" t="e">
        <f>SUM(Q4368:Q4370)</f>
        <v>#REF!</v>
      </c>
      <c r="R4367" s="16" t="str">
        <f>TEXT(Planning[[#This Row],[Mes]]*29,"mmmm")</f>
        <v>October</v>
      </c>
      <c r="S43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67" s="210"/>
      <c r="U4367" s="43">
        <f>IF(Planning[[#This Row],[Horas Planificadas]]&lt;&gt;0,+K4367/Planning[[#This Row],[Horas Planificadas]],0)</f>
        <v>0</v>
      </c>
      <c r="V4367" s="43">
        <f>IF(Planning[[#This Row],[Horas Planificadas]]&lt;&gt;0,Planning[[#This Row],[Horas utilizadas]]/Planning[[#This Row],[Horas Planificadas]],0)</f>
        <v>0</v>
      </c>
      <c r="W4367" s="44">
        <f>Planning[[#This Row],[Horas Planificadas]]+Planning[[#This Row],[Horas ajustadas adicionales]]</f>
        <v>0</v>
      </c>
      <c r="X4367" s="142"/>
    </row>
    <row r="4368" spans="1:24" x14ac:dyDescent="0.2">
      <c r="A4368" s="7" t="s">
        <v>294</v>
      </c>
      <c r="B4368" s="7" t="s">
        <v>178</v>
      </c>
      <c r="C4368" s="3"/>
      <c r="D4368" s="3" t="s">
        <v>750</v>
      </c>
      <c r="E4368" s="4"/>
      <c r="F4368" s="3" t="s">
        <v>129</v>
      </c>
      <c r="G4368" s="9"/>
      <c r="H4368" s="9">
        <v>0</v>
      </c>
      <c r="I4368" s="12">
        <v>0</v>
      </c>
      <c r="J4368" s="5" t="e">
        <f>SUM(SUMIFS(#REF!,#REF!,Planning[[#This Row],[Tipo de Tarea y especialidad]],#REF!,Planning[[#This Row],[Proyectos Reiwa]]),SUMIFS(#REF!,#REF!,Planning[[#This Row],[Tipo de Tarea y especialidad]],#REF!,Planning[[#This Row],[Proyectos]]))</f>
        <v>#REF!</v>
      </c>
      <c r="K4368" s="5" t="e">
        <f>+Planning[[#This Row],[Horas Planificadas]]+Planning[[#This Row],[Horas ajustadas adicionales]]-Planning[[#This Row],[Horas utilizadas]]</f>
        <v>#REF!</v>
      </c>
      <c r="L4368" s="7">
        <v>0</v>
      </c>
      <c r="M4368" s="19" t="e">
        <f>Planning[[#This Row],[Saldo]]-Planning[[#This Row],[Saldo estimado]]</f>
        <v>#REF!</v>
      </c>
      <c r="N4368" s="60" t="e">
        <f>+SUMIFS(#REF!,#REF!,Planning[[#This Row],[Proyectos]],#REF!,Planning[[#This Row],[Tipo de Tarea y especialidad]])</f>
        <v>#REF!</v>
      </c>
      <c r="O4368" s="19">
        <f t="shared" si="136"/>
        <v>10</v>
      </c>
      <c r="P4368" s="19">
        <f t="shared" si="137"/>
        <v>2024</v>
      </c>
      <c r="Q43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68" s="19" t="str">
        <f>TEXT(Planning[[#This Row],[Mes]]*29,"mmmm")</f>
        <v>October</v>
      </c>
      <c r="S43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68" s="210"/>
      <c r="U4368" s="43">
        <f>IF(Planning[[#This Row],[Horas Planificadas]]&lt;&gt;0,+K4368/Planning[[#This Row],[Horas Planificadas]],0)</f>
        <v>0</v>
      </c>
      <c r="V4368" s="43">
        <f>IF(Planning[[#This Row],[Horas Planificadas]]&lt;&gt;0,Planning[[#This Row],[Horas utilizadas]]/Planning[[#This Row],[Horas Planificadas]],0)</f>
        <v>0</v>
      </c>
      <c r="W4368" s="44">
        <f>Planning[[#This Row],[Horas Planificadas]]+Planning[[#This Row],[Horas ajustadas adicionales]]</f>
        <v>0</v>
      </c>
      <c r="X4368" s="142"/>
    </row>
    <row r="4369" spans="1:24" x14ac:dyDescent="0.2">
      <c r="A4369" s="7" t="s">
        <v>294</v>
      </c>
      <c r="B4369" s="7" t="s">
        <v>178</v>
      </c>
      <c r="C4369" s="3"/>
      <c r="D4369" s="3" t="s">
        <v>750</v>
      </c>
      <c r="E4369" s="4"/>
      <c r="F4369" s="3" t="s">
        <v>130</v>
      </c>
      <c r="G4369" s="9"/>
      <c r="H4369" s="9">
        <v>0</v>
      </c>
      <c r="I4369" s="12">
        <v>0</v>
      </c>
      <c r="J4369" s="5" t="e">
        <f>SUM(SUMIFS(#REF!,#REF!,Planning[[#This Row],[Tipo de Tarea y especialidad]],#REF!,Planning[[#This Row],[Proyectos Reiwa]]),SUMIFS(#REF!,#REF!,Planning[[#This Row],[Tipo de Tarea y especialidad]],#REF!,Planning[[#This Row],[Proyectos]]))</f>
        <v>#REF!</v>
      </c>
      <c r="K4369" s="5" t="e">
        <f>+Planning[[#This Row],[Horas Planificadas]]+Planning[[#This Row],[Horas ajustadas adicionales]]-Planning[[#This Row],[Horas utilizadas]]</f>
        <v>#REF!</v>
      </c>
      <c r="L4369" s="7">
        <v>0</v>
      </c>
      <c r="M4369" s="19" t="e">
        <f>Planning[[#This Row],[Saldo]]-Planning[[#This Row],[Saldo estimado]]</f>
        <v>#REF!</v>
      </c>
      <c r="N4369" s="60" t="e">
        <f>+SUMIFS(#REF!,#REF!,Planning[[#This Row],[Proyectos]],#REF!,Planning[[#This Row],[Tipo de Tarea y especialidad]])</f>
        <v>#REF!</v>
      </c>
      <c r="O4369" s="19">
        <f t="shared" si="136"/>
        <v>10</v>
      </c>
      <c r="P4369" s="19">
        <f t="shared" si="137"/>
        <v>2024</v>
      </c>
      <c r="Q43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69" s="19" t="str">
        <f>TEXT(Planning[[#This Row],[Mes]]*29,"mmmm")</f>
        <v>October</v>
      </c>
      <c r="S43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69" s="210"/>
      <c r="U4369" s="43">
        <f>IF(Planning[[#This Row],[Horas Planificadas]]&lt;&gt;0,+K4369/Planning[[#This Row],[Horas Planificadas]],0)</f>
        <v>0</v>
      </c>
      <c r="V4369" s="43">
        <f>IF(Planning[[#This Row],[Horas Planificadas]]&lt;&gt;0,Planning[[#This Row],[Horas utilizadas]]/Planning[[#This Row],[Horas Planificadas]],0)</f>
        <v>0</v>
      </c>
      <c r="W4369" s="44">
        <f>Planning[[#This Row],[Horas Planificadas]]+Planning[[#This Row],[Horas ajustadas adicionales]]</f>
        <v>0</v>
      </c>
      <c r="X4369" s="142"/>
    </row>
    <row r="4370" spans="1:24" x14ac:dyDescent="0.2">
      <c r="A4370" s="7" t="s">
        <v>294</v>
      </c>
      <c r="B4370" s="7" t="s">
        <v>178</v>
      </c>
      <c r="C4370" s="3"/>
      <c r="D4370" s="3" t="s">
        <v>750</v>
      </c>
      <c r="E4370" s="4"/>
      <c r="F4370" s="3" t="s">
        <v>131</v>
      </c>
      <c r="G4370" s="9"/>
      <c r="H4370" s="9">
        <v>0</v>
      </c>
      <c r="I4370" s="12">
        <v>0</v>
      </c>
      <c r="J4370" s="5" t="e">
        <f>SUM(SUMIFS(#REF!,#REF!,Planning[[#This Row],[Tipo de Tarea y especialidad]],#REF!,Planning[[#This Row],[Proyectos Reiwa]]),SUMIFS(#REF!,#REF!,Planning[[#This Row],[Tipo de Tarea y especialidad]],#REF!,Planning[[#This Row],[Proyectos]]))</f>
        <v>#REF!</v>
      </c>
      <c r="K4370" s="5" t="e">
        <f>+Planning[[#This Row],[Horas Planificadas]]+Planning[[#This Row],[Horas ajustadas adicionales]]-Planning[[#This Row],[Horas utilizadas]]</f>
        <v>#REF!</v>
      </c>
      <c r="L4370" s="7">
        <v>0</v>
      </c>
      <c r="M4370" s="19" t="e">
        <f>Planning[[#This Row],[Saldo]]-Planning[[#This Row],[Saldo estimado]]</f>
        <v>#REF!</v>
      </c>
      <c r="N4370" s="60" t="e">
        <f>+SUMIFS(#REF!,#REF!,Planning[[#This Row],[Proyectos]],#REF!,Planning[[#This Row],[Tipo de Tarea y especialidad]])</f>
        <v>#REF!</v>
      </c>
      <c r="O4370" s="19">
        <f t="shared" si="136"/>
        <v>10</v>
      </c>
      <c r="P4370" s="19">
        <f t="shared" si="137"/>
        <v>2024</v>
      </c>
      <c r="Q43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70" s="19" t="str">
        <f>TEXT(Planning[[#This Row],[Mes]]*29,"mmmm")</f>
        <v>October</v>
      </c>
      <c r="S43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70" s="210"/>
      <c r="U4370" s="43">
        <f>IF(Planning[[#This Row],[Horas Planificadas]]&lt;&gt;0,+K4370/Planning[[#This Row],[Horas Planificadas]],0)</f>
        <v>0</v>
      </c>
      <c r="V4370" s="43">
        <f>IF(Planning[[#This Row],[Horas Planificadas]]&lt;&gt;0,Planning[[#This Row],[Horas utilizadas]]/Planning[[#This Row],[Horas Planificadas]],0)</f>
        <v>0</v>
      </c>
      <c r="W4370" s="44">
        <f>Planning[[#This Row],[Horas Planificadas]]+Planning[[#This Row],[Horas ajustadas adicionales]]</f>
        <v>0</v>
      </c>
      <c r="X4370" s="142"/>
    </row>
    <row r="4371" spans="1:24" ht="22.5" x14ac:dyDescent="0.2">
      <c r="A4371" s="7" t="s">
        <v>626</v>
      </c>
      <c r="B4371" s="7" t="s">
        <v>178</v>
      </c>
      <c r="C4371" s="3"/>
      <c r="D4371" s="3" t="s">
        <v>751</v>
      </c>
      <c r="E4371" s="4" t="s">
        <v>28</v>
      </c>
      <c r="F4371" s="3"/>
      <c r="G4371" s="9">
        <v>72</v>
      </c>
      <c r="H4371" s="14">
        <f>SUM(H4372:H4373)</f>
        <v>72</v>
      </c>
      <c r="I4371" s="14"/>
      <c r="J4371" s="14" t="e">
        <f>SUM(J4372:J4373)</f>
        <v>#REF!</v>
      </c>
      <c r="K4371" s="14" t="e">
        <f>+Planning[[#This Row],[Horas Planificadas]]+Planning[[#This Row],[Horas ajustadas adicionales]]-Planning[[#This Row],[Horas utilizadas]]</f>
        <v>#REF!</v>
      </c>
      <c r="L4371" s="15">
        <f>SUM(L4372:L4373)</f>
        <v>0</v>
      </c>
      <c r="M4371" s="14" t="e">
        <f>SUM(M4372:M4373)</f>
        <v>#REF!</v>
      </c>
      <c r="N4371" s="66"/>
      <c r="O4371" s="14">
        <f t="shared" si="136"/>
        <v>10</v>
      </c>
      <c r="P4371" s="14">
        <f t="shared" si="137"/>
        <v>2024</v>
      </c>
      <c r="Q4371" s="28" t="e">
        <f>SUM(Q4372:Q4373)</f>
        <v>#REF!</v>
      </c>
      <c r="R4371" s="28" t="str">
        <f>TEXT(Planning[[#This Row],[Mes]]*29,"mmmm")</f>
        <v>October</v>
      </c>
      <c r="S43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71" s="220" t="s">
        <v>752</v>
      </c>
      <c r="U4371" s="43" t="e">
        <f>IF(Planning[[#This Row],[Horas Planificadas]]&lt;&gt;0,+K4371/Planning[[#This Row],[Horas Planificadas]],0)</f>
        <v>#REF!</v>
      </c>
      <c r="V4371" s="43" t="e">
        <f>IF(Planning[[#This Row],[Horas Planificadas]]&lt;&gt;0,Planning[[#This Row],[Horas utilizadas]]/Planning[[#This Row],[Horas Planificadas]],0)</f>
        <v>#REF!</v>
      </c>
      <c r="W4371" s="44">
        <f>Planning[[#This Row],[Horas Planificadas]]+Planning[[#This Row],[Horas ajustadas adicionales]]</f>
        <v>72</v>
      </c>
      <c r="X4371" s="142"/>
    </row>
    <row r="4372" spans="1:24" x14ac:dyDescent="0.2">
      <c r="A4372" s="7" t="s">
        <v>626</v>
      </c>
      <c r="B4372" s="7" t="s">
        <v>178</v>
      </c>
      <c r="C4372" s="3"/>
      <c r="D4372" s="3" t="s">
        <v>751</v>
      </c>
      <c r="E4372" s="4"/>
      <c r="F4372" s="3" t="s">
        <v>120</v>
      </c>
      <c r="G4372" s="9"/>
      <c r="H4372" s="9">
        <v>36</v>
      </c>
      <c r="I4372" s="12"/>
      <c r="J4372" s="5" t="e">
        <f>SUM(SUMIFS(#REF!,#REF!,Planning[[#This Row],[Tipo de Tarea y especialidad]],#REF!,Planning[[#This Row],[Proyectos Reiwa]]),SUMIFS(#REF!,#REF!,Planning[[#This Row],[Tipo de Tarea y especialidad]],#REF!,Planning[[#This Row],[Proyectos]]))</f>
        <v>#REF!</v>
      </c>
      <c r="K4372" s="5" t="e">
        <f>+Planning[[#This Row],[Horas Planificadas]]+Planning[[#This Row],[Horas ajustadas adicionales]]-Planning[[#This Row],[Horas utilizadas]]</f>
        <v>#REF!</v>
      </c>
      <c r="L4372" s="7">
        <v>0</v>
      </c>
      <c r="M4372" s="19" t="e">
        <f>Planning[[#This Row],[Saldo]]-Planning[[#This Row],[Saldo estimado]]</f>
        <v>#REF!</v>
      </c>
      <c r="N4372" s="60" t="e">
        <f>+SUMIFS(#REF!,#REF!,Planning[[#This Row],[Proyectos]],#REF!,Planning[[#This Row],[Tipo de Tarea y especialidad]])</f>
        <v>#REF!</v>
      </c>
      <c r="O4372" s="19">
        <f t="shared" si="136"/>
        <v>10</v>
      </c>
      <c r="P4372" s="19">
        <f t="shared" si="137"/>
        <v>2024</v>
      </c>
      <c r="Q43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72" s="19" t="str">
        <f>TEXT(Planning[[#This Row],[Mes]]*29,"mmmm")</f>
        <v>October</v>
      </c>
      <c r="S43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72" s="210"/>
      <c r="U4372" s="43" t="e">
        <f>IF(Planning[[#This Row],[Horas Planificadas]]&lt;&gt;0,+K4372/Planning[[#This Row],[Horas Planificadas]],0)</f>
        <v>#REF!</v>
      </c>
      <c r="V4372" s="43" t="e">
        <f>IF(Planning[[#This Row],[Horas Planificadas]]&lt;&gt;0,Planning[[#This Row],[Horas utilizadas]]/Planning[[#This Row],[Horas Planificadas]],0)</f>
        <v>#REF!</v>
      </c>
      <c r="W4372" s="44">
        <f>Planning[[#This Row],[Horas Planificadas]]+Planning[[#This Row],[Horas ajustadas adicionales]]</f>
        <v>36</v>
      </c>
      <c r="X4372" s="142"/>
    </row>
    <row r="4373" spans="1:24" x14ac:dyDescent="0.2">
      <c r="A4373" s="7" t="s">
        <v>626</v>
      </c>
      <c r="B4373" s="7" t="s">
        <v>178</v>
      </c>
      <c r="C4373" s="3"/>
      <c r="D4373" s="3" t="s">
        <v>751</v>
      </c>
      <c r="E4373" s="4"/>
      <c r="F4373" s="3" t="s">
        <v>121</v>
      </c>
      <c r="G4373" s="9"/>
      <c r="H4373" s="9">
        <v>36</v>
      </c>
      <c r="I4373" s="12"/>
      <c r="J4373" s="5" t="e">
        <f>SUM(SUMIFS(#REF!,#REF!,Planning[[#This Row],[Tipo de Tarea y especialidad]],#REF!,Planning[[#This Row],[Proyectos Reiwa]]),SUMIFS(#REF!,#REF!,Planning[[#This Row],[Tipo de Tarea y especialidad]],#REF!,Planning[[#This Row],[Proyectos]]))</f>
        <v>#REF!</v>
      </c>
      <c r="K4373" s="5" t="e">
        <f>+Planning[[#This Row],[Horas Planificadas]]+Planning[[#This Row],[Horas ajustadas adicionales]]-Planning[[#This Row],[Horas utilizadas]]</f>
        <v>#REF!</v>
      </c>
      <c r="L4373" s="7">
        <v>0</v>
      </c>
      <c r="M4373" s="19" t="e">
        <f>Planning[[#This Row],[Saldo]]-Planning[[#This Row],[Saldo estimado]]</f>
        <v>#REF!</v>
      </c>
      <c r="N4373" s="60" t="e">
        <f>+SUMIFS(#REF!,#REF!,Planning[[#This Row],[Proyectos]],#REF!,Planning[[#This Row],[Tipo de Tarea y especialidad]])</f>
        <v>#REF!</v>
      </c>
      <c r="O4373" s="19">
        <f t="shared" si="136"/>
        <v>10</v>
      </c>
      <c r="P4373" s="19">
        <f t="shared" si="137"/>
        <v>2024</v>
      </c>
      <c r="Q43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73" s="19" t="str">
        <f>TEXT(Planning[[#This Row],[Mes]]*29,"mmmm")</f>
        <v>October</v>
      </c>
      <c r="S43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73" s="210"/>
      <c r="U4373" s="43" t="e">
        <f>IF(Planning[[#This Row],[Horas Planificadas]]&lt;&gt;0,+K4373/Planning[[#This Row],[Horas Planificadas]],0)</f>
        <v>#REF!</v>
      </c>
      <c r="V4373" s="43" t="e">
        <f>IF(Planning[[#This Row],[Horas Planificadas]]&lt;&gt;0,Planning[[#This Row],[Horas utilizadas]]/Planning[[#This Row],[Horas Planificadas]],0)</f>
        <v>#REF!</v>
      </c>
      <c r="W4373" s="44">
        <f>Planning[[#This Row],[Horas Planificadas]]+Planning[[#This Row],[Horas ajustadas adicionales]]</f>
        <v>36</v>
      </c>
      <c r="X4373" s="142"/>
    </row>
    <row r="4374" spans="1:24" x14ac:dyDescent="0.2">
      <c r="A4374" s="7" t="s">
        <v>626</v>
      </c>
      <c r="B4374" s="7" t="s">
        <v>178</v>
      </c>
      <c r="C4374" s="3"/>
      <c r="D4374" s="3" t="s">
        <v>751</v>
      </c>
      <c r="E4374" s="4" t="s">
        <v>30</v>
      </c>
      <c r="F4374" s="3"/>
      <c r="G4374" s="9">
        <v>76</v>
      </c>
      <c r="H4374" s="14">
        <f>SUM(H4375:H4381)</f>
        <v>94</v>
      </c>
      <c r="I4374" s="14"/>
      <c r="J4374" s="14" t="e">
        <f>SUM(J4375:J4381)</f>
        <v>#REF!</v>
      </c>
      <c r="K4374" s="14" t="e">
        <f>+Planning[[#This Row],[Horas Planificadas]]+Planning[[#This Row],[Horas ajustadas adicionales]]-Planning[[#This Row],[Horas utilizadas]]</f>
        <v>#REF!</v>
      </c>
      <c r="L4374" s="15">
        <f>SUM(L4375:L4381)</f>
        <v>0</v>
      </c>
      <c r="M4374" s="16" t="e">
        <f>SUM(M4375:M4381)</f>
        <v>#REF!</v>
      </c>
      <c r="N4374" s="60"/>
      <c r="O4374" s="16">
        <f t="shared" si="136"/>
        <v>10</v>
      </c>
      <c r="P4374" s="16">
        <f t="shared" si="137"/>
        <v>2024</v>
      </c>
      <c r="Q4374" s="16" t="e">
        <f>SUM(Q4375:Q4381)</f>
        <v>#REF!</v>
      </c>
      <c r="R4374" s="16" t="str">
        <f>TEXT(Planning[[#This Row],[Mes]]*29,"mmmm")</f>
        <v>October</v>
      </c>
      <c r="S43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74" s="210"/>
      <c r="U4374" s="43" t="e">
        <f>IF(Planning[[#This Row],[Horas Planificadas]]&lt;&gt;0,+K4374/Planning[[#This Row],[Horas Planificadas]],0)</f>
        <v>#REF!</v>
      </c>
      <c r="V4374" s="43" t="e">
        <f>IF(Planning[[#This Row],[Horas Planificadas]]&lt;&gt;0,Planning[[#This Row],[Horas utilizadas]]/Planning[[#This Row],[Horas Planificadas]],0)</f>
        <v>#REF!</v>
      </c>
      <c r="W4374" s="44">
        <f>Planning[[#This Row],[Horas Planificadas]]+Planning[[#This Row],[Horas ajustadas adicionales]]</f>
        <v>94</v>
      </c>
      <c r="X4374" s="142"/>
    </row>
    <row r="4375" spans="1:24" x14ac:dyDescent="0.2">
      <c r="A4375" s="7" t="s">
        <v>626</v>
      </c>
      <c r="B4375" s="7" t="s">
        <v>178</v>
      </c>
      <c r="C4375" s="3"/>
      <c r="D4375" s="3" t="s">
        <v>751</v>
      </c>
      <c r="E4375" s="4"/>
      <c r="F4375" s="3" t="s">
        <v>122</v>
      </c>
      <c r="G4375" s="9"/>
      <c r="H4375" s="9">
        <v>0</v>
      </c>
      <c r="I4375" s="12"/>
      <c r="J4375" s="5" t="e">
        <f>SUM(SUMIFS(#REF!,#REF!,Planning[[#This Row],[Tipo de Tarea y especialidad]],#REF!,Planning[[#This Row],[Proyectos Reiwa]]),SUMIFS(#REF!,#REF!,Planning[[#This Row],[Tipo de Tarea y especialidad]],#REF!,Planning[[#This Row],[Proyectos]]))</f>
        <v>#REF!</v>
      </c>
      <c r="K4375" s="5" t="e">
        <f>+Planning[[#This Row],[Horas Planificadas]]+Planning[[#This Row],[Horas ajustadas adicionales]]-Planning[[#This Row],[Horas utilizadas]]</f>
        <v>#REF!</v>
      </c>
      <c r="L4375" s="7">
        <v>0</v>
      </c>
      <c r="M4375" s="19" t="e">
        <f>Planning[[#This Row],[Saldo]]-Planning[[#This Row],[Saldo estimado]]</f>
        <v>#REF!</v>
      </c>
      <c r="N4375" s="60" t="e">
        <f>+SUMIFS(#REF!,#REF!,Planning[[#This Row],[Proyectos]],#REF!,Planning[[#This Row],[Tipo de Tarea y especialidad]])</f>
        <v>#REF!</v>
      </c>
      <c r="O4375" s="19">
        <f t="shared" si="136"/>
        <v>10</v>
      </c>
      <c r="P4375" s="19">
        <f t="shared" si="137"/>
        <v>2024</v>
      </c>
      <c r="Q43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75" s="19" t="str">
        <f>TEXT(Planning[[#This Row],[Mes]]*29,"mmmm")</f>
        <v>October</v>
      </c>
      <c r="S43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75" s="210"/>
      <c r="U4375" s="43">
        <f>IF(Planning[[#This Row],[Horas Planificadas]]&lt;&gt;0,+K4375/Planning[[#This Row],[Horas Planificadas]],0)</f>
        <v>0</v>
      </c>
      <c r="V4375" s="43">
        <f>IF(Planning[[#This Row],[Horas Planificadas]]&lt;&gt;0,Planning[[#This Row],[Horas utilizadas]]/Planning[[#This Row],[Horas Planificadas]],0)</f>
        <v>0</v>
      </c>
      <c r="W4375" s="44">
        <f>Planning[[#This Row],[Horas Planificadas]]+Planning[[#This Row],[Horas ajustadas adicionales]]</f>
        <v>0</v>
      </c>
      <c r="X4375" s="142"/>
    </row>
    <row r="4376" spans="1:24" x14ac:dyDescent="0.2">
      <c r="A4376" s="7" t="s">
        <v>626</v>
      </c>
      <c r="B4376" s="7" t="s">
        <v>178</v>
      </c>
      <c r="C4376" s="3"/>
      <c r="D4376" s="3" t="s">
        <v>751</v>
      </c>
      <c r="E4376" s="4"/>
      <c r="F4376" s="3" t="s">
        <v>123</v>
      </c>
      <c r="G4376" s="9"/>
      <c r="H4376" s="9">
        <v>49</v>
      </c>
      <c r="I4376" s="12">
        <v>-49</v>
      </c>
      <c r="J4376" s="5" t="e">
        <f>SUM(SUMIFS(#REF!,#REF!,Planning[[#This Row],[Tipo de Tarea y especialidad]],#REF!,Planning[[#This Row],[Proyectos Reiwa]]),SUMIFS(#REF!,#REF!,Planning[[#This Row],[Tipo de Tarea y especialidad]],#REF!,Planning[[#This Row],[Proyectos]]))</f>
        <v>#REF!</v>
      </c>
      <c r="K4376" s="5" t="e">
        <f>+Planning[[#This Row],[Horas Planificadas]]+Planning[[#This Row],[Horas ajustadas adicionales]]-Planning[[#This Row],[Horas utilizadas]]</f>
        <v>#REF!</v>
      </c>
      <c r="L4376" s="7">
        <v>0</v>
      </c>
      <c r="M4376" s="19" t="e">
        <f>Planning[[#This Row],[Saldo]]-Planning[[#This Row],[Saldo estimado]]</f>
        <v>#REF!</v>
      </c>
      <c r="N4376" s="60" t="e">
        <f>+SUMIFS(#REF!,#REF!,Planning[[#This Row],[Proyectos]],#REF!,Planning[[#This Row],[Tipo de Tarea y especialidad]])</f>
        <v>#REF!</v>
      </c>
      <c r="O4376" s="19">
        <f t="shared" si="136"/>
        <v>10</v>
      </c>
      <c r="P4376" s="19">
        <f t="shared" si="137"/>
        <v>2024</v>
      </c>
      <c r="Q43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76" s="19" t="str">
        <f>TEXT(Planning[[#This Row],[Mes]]*29,"mmmm")</f>
        <v>October</v>
      </c>
      <c r="S43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76" s="210"/>
      <c r="U4376" s="43" t="e">
        <f>IF(Planning[[#This Row],[Horas Planificadas]]&lt;&gt;0,+K4376/Planning[[#This Row],[Horas Planificadas]],0)</f>
        <v>#REF!</v>
      </c>
      <c r="V4376" s="43" t="e">
        <f>IF(Planning[[#This Row],[Horas Planificadas]]&lt;&gt;0,Planning[[#This Row],[Horas utilizadas]]/Planning[[#This Row],[Horas Planificadas]],0)</f>
        <v>#REF!</v>
      </c>
      <c r="W4376" s="44">
        <f>Planning[[#This Row],[Horas Planificadas]]+Planning[[#This Row],[Horas ajustadas adicionales]]</f>
        <v>0</v>
      </c>
      <c r="X4376" s="142"/>
    </row>
    <row r="4377" spans="1:24" x14ac:dyDescent="0.2">
      <c r="A4377" s="7" t="s">
        <v>626</v>
      </c>
      <c r="B4377" s="7" t="s">
        <v>178</v>
      </c>
      <c r="C4377" s="3"/>
      <c r="D4377" s="3" t="s">
        <v>751</v>
      </c>
      <c r="E4377" s="4"/>
      <c r="F4377" s="3" t="s">
        <v>124</v>
      </c>
      <c r="G4377" s="9"/>
      <c r="H4377" s="9">
        <v>0</v>
      </c>
      <c r="I4377" s="12"/>
      <c r="J4377" s="5" t="e">
        <f>SUM(SUMIFS(#REF!,#REF!,Planning[[#This Row],[Tipo de Tarea y especialidad]],#REF!,Planning[[#This Row],[Proyectos Reiwa]]),SUMIFS(#REF!,#REF!,Planning[[#This Row],[Tipo de Tarea y especialidad]],#REF!,Planning[[#This Row],[Proyectos]]))</f>
        <v>#REF!</v>
      </c>
      <c r="K4377" s="5" t="e">
        <f>+Planning[[#This Row],[Horas Planificadas]]+Planning[[#This Row],[Horas ajustadas adicionales]]-Planning[[#This Row],[Horas utilizadas]]</f>
        <v>#REF!</v>
      </c>
      <c r="L4377" s="7">
        <v>0</v>
      </c>
      <c r="M4377" s="19" t="e">
        <f>Planning[[#This Row],[Saldo]]-Planning[[#This Row],[Saldo estimado]]</f>
        <v>#REF!</v>
      </c>
      <c r="N4377" s="60" t="e">
        <f>+SUMIFS(#REF!,#REF!,Planning[[#This Row],[Proyectos]],#REF!,Planning[[#This Row],[Tipo de Tarea y especialidad]])</f>
        <v>#REF!</v>
      </c>
      <c r="O4377" s="19">
        <f t="shared" si="136"/>
        <v>10</v>
      </c>
      <c r="P4377" s="19">
        <f t="shared" si="137"/>
        <v>2024</v>
      </c>
      <c r="Q43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77" s="19" t="str">
        <f>TEXT(Planning[[#This Row],[Mes]]*29,"mmmm")</f>
        <v>October</v>
      </c>
      <c r="S43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77" s="210"/>
      <c r="U4377" s="43">
        <f>IF(Planning[[#This Row],[Horas Planificadas]]&lt;&gt;0,+K4377/Planning[[#This Row],[Horas Planificadas]],0)</f>
        <v>0</v>
      </c>
      <c r="V4377" s="43">
        <f>IF(Planning[[#This Row],[Horas Planificadas]]&lt;&gt;0,Planning[[#This Row],[Horas utilizadas]]/Planning[[#This Row],[Horas Planificadas]],0)</f>
        <v>0</v>
      </c>
      <c r="W4377" s="44">
        <f>Planning[[#This Row],[Horas Planificadas]]+Planning[[#This Row],[Horas ajustadas adicionales]]</f>
        <v>0</v>
      </c>
      <c r="X4377" s="142"/>
    </row>
    <row r="4378" spans="1:24" x14ac:dyDescent="0.2">
      <c r="A4378" s="7" t="s">
        <v>626</v>
      </c>
      <c r="B4378" s="7" t="s">
        <v>178</v>
      </c>
      <c r="C4378" s="3"/>
      <c r="D4378" s="3" t="s">
        <v>751</v>
      </c>
      <c r="E4378" s="4"/>
      <c r="F4378" s="3" t="s">
        <v>125</v>
      </c>
      <c r="G4378" s="9"/>
      <c r="H4378" s="9">
        <v>18</v>
      </c>
      <c r="I4378" s="12"/>
      <c r="J4378" s="5" t="e">
        <f>SUM(SUMIFS(#REF!,#REF!,Planning[[#This Row],[Tipo de Tarea y especialidad]],#REF!,Planning[[#This Row],[Proyectos Reiwa]]),SUMIFS(#REF!,#REF!,Planning[[#This Row],[Tipo de Tarea y especialidad]],#REF!,Planning[[#This Row],[Proyectos]]))</f>
        <v>#REF!</v>
      </c>
      <c r="K4378" s="5" t="e">
        <f>+Planning[[#This Row],[Horas Planificadas]]+Planning[[#This Row],[Horas ajustadas adicionales]]-Planning[[#This Row],[Horas utilizadas]]</f>
        <v>#REF!</v>
      </c>
      <c r="L4378" s="7">
        <v>0</v>
      </c>
      <c r="M4378" s="19" t="e">
        <f>Planning[[#This Row],[Saldo]]-Planning[[#This Row],[Saldo estimado]]</f>
        <v>#REF!</v>
      </c>
      <c r="N4378" s="60" t="e">
        <f>+SUMIFS(#REF!,#REF!,Planning[[#This Row],[Proyectos]],#REF!,Planning[[#This Row],[Tipo de Tarea y especialidad]])</f>
        <v>#REF!</v>
      </c>
      <c r="O4378" s="19">
        <f t="shared" si="136"/>
        <v>10</v>
      </c>
      <c r="P4378" s="19">
        <f t="shared" si="137"/>
        <v>2024</v>
      </c>
      <c r="Q43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78" s="19" t="str">
        <f>TEXT(Planning[[#This Row],[Mes]]*29,"mmmm")</f>
        <v>October</v>
      </c>
      <c r="S43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78" s="210"/>
      <c r="U4378" s="43" t="e">
        <f>IF(Planning[[#This Row],[Horas Planificadas]]&lt;&gt;0,+K4378/Planning[[#This Row],[Horas Planificadas]],0)</f>
        <v>#REF!</v>
      </c>
      <c r="V4378" s="43" t="e">
        <f>IF(Planning[[#This Row],[Horas Planificadas]]&lt;&gt;0,Planning[[#This Row],[Horas utilizadas]]/Planning[[#This Row],[Horas Planificadas]],0)</f>
        <v>#REF!</v>
      </c>
      <c r="W4378" s="44">
        <f>Planning[[#This Row],[Horas Planificadas]]+Planning[[#This Row],[Horas ajustadas adicionales]]</f>
        <v>18</v>
      </c>
      <c r="X4378" s="142"/>
    </row>
    <row r="4379" spans="1:24" x14ac:dyDescent="0.2">
      <c r="A4379" s="7" t="s">
        <v>626</v>
      </c>
      <c r="B4379" s="7" t="s">
        <v>178</v>
      </c>
      <c r="C4379" s="3"/>
      <c r="D4379" s="3" t="s">
        <v>751</v>
      </c>
      <c r="E4379" s="4"/>
      <c r="F4379" s="3" t="s">
        <v>126</v>
      </c>
      <c r="G4379" s="9"/>
      <c r="H4379" s="9">
        <v>0</v>
      </c>
      <c r="I4379" s="12"/>
      <c r="J4379" s="5" t="e">
        <f>SUM(SUMIFS(#REF!,#REF!,Planning[[#This Row],[Tipo de Tarea y especialidad]],#REF!,Planning[[#This Row],[Proyectos Reiwa]]),SUMIFS(#REF!,#REF!,Planning[[#This Row],[Tipo de Tarea y especialidad]],#REF!,Planning[[#This Row],[Proyectos]]))</f>
        <v>#REF!</v>
      </c>
      <c r="K4379" s="5" t="e">
        <f>+Planning[[#This Row],[Horas Planificadas]]+Planning[[#This Row],[Horas ajustadas adicionales]]-Planning[[#This Row],[Horas utilizadas]]</f>
        <v>#REF!</v>
      </c>
      <c r="L4379" s="7">
        <v>0</v>
      </c>
      <c r="M4379" s="19" t="e">
        <f>Planning[[#This Row],[Saldo]]-Planning[[#This Row],[Saldo estimado]]</f>
        <v>#REF!</v>
      </c>
      <c r="N4379" s="60" t="e">
        <f>+SUMIFS(#REF!,#REF!,Planning[[#This Row],[Proyectos]],#REF!,Planning[[#This Row],[Tipo de Tarea y especialidad]])</f>
        <v>#REF!</v>
      </c>
      <c r="O4379" s="19">
        <f t="shared" si="136"/>
        <v>10</v>
      </c>
      <c r="P4379" s="19">
        <f t="shared" si="137"/>
        <v>2024</v>
      </c>
      <c r="Q43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79" s="19" t="str">
        <f>TEXT(Planning[[#This Row],[Mes]]*29,"mmmm")</f>
        <v>October</v>
      </c>
      <c r="S43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79" s="210"/>
      <c r="U4379" s="43">
        <f>IF(Planning[[#This Row],[Horas Planificadas]]&lt;&gt;0,+K4379/Planning[[#This Row],[Horas Planificadas]],0)</f>
        <v>0</v>
      </c>
      <c r="V4379" s="43">
        <f>IF(Planning[[#This Row],[Horas Planificadas]]&lt;&gt;0,Planning[[#This Row],[Horas utilizadas]]/Planning[[#This Row],[Horas Planificadas]],0)</f>
        <v>0</v>
      </c>
      <c r="W4379" s="44">
        <f>Planning[[#This Row],[Horas Planificadas]]+Planning[[#This Row],[Horas ajustadas adicionales]]</f>
        <v>0</v>
      </c>
      <c r="X4379" s="142"/>
    </row>
    <row r="4380" spans="1:24" x14ac:dyDescent="0.2">
      <c r="A4380" s="7" t="s">
        <v>626</v>
      </c>
      <c r="B4380" s="7" t="s">
        <v>178</v>
      </c>
      <c r="C4380" s="3"/>
      <c r="D4380" s="3" t="s">
        <v>751</v>
      </c>
      <c r="E4380" s="4"/>
      <c r="F4380" s="3" t="s">
        <v>127</v>
      </c>
      <c r="G4380" s="9"/>
      <c r="H4380" s="9">
        <v>27</v>
      </c>
      <c r="I4380" s="12">
        <v>49</v>
      </c>
      <c r="J4380" s="5" t="e">
        <f>SUM(SUMIFS(#REF!,#REF!,Planning[[#This Row],[Tipo de Tarea y especialidad]],#REF!,Planning[[#This Row],[Proyectos Reiwa]]),SUMIFS(#REF!,#REF!,Planning[[#This Row],[Tipo de Tarea y especialidad]],#REF!,Planning[[#This Row],[Proyectos]]))</f>
        <v>#REF!</v>
      </c>
      <c r="K4380" s="5" t="e">
        <f>+Planning[[#This Row],[Horas Planificadas]]+Planning[[#This Row],[Horas ajustadas adicionales]]-Planning[[#This Row],[Horas utilizadas]]</f>
        <v>#REF!</v>
      </c>
      <c r="L4380" s="7">
        <v>0</v>
      </c>
      <c r="M4380" s="19" t="e">
        <f>Planning[[#This Row],[Saldo]]-Planning[[#This Row],[Saldo estimado]]</f>
        <v>#REF!</v>
      </c>
      <c r="N4380" s="60" t="e">
        <f>+SUMIFS(#REF!,#REF!,Planning[[#This Row],[Proyectos]],#REF!,Planning[[#This Row],[Tipo de Tarea y especialidad]])</f>
        <v>#REF!</v>
      </c>
      <c r="O4380" s="19">
        <f t="shared" si="136"/>
        <v>10</v>
      </c>
      <c r="P4380" s="19">
        <f t="shared" si="137"/>
        <v>2024</v>
      </c>
      <c r="Q43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80" s="19" t="str">
        <f>TEXT(Planning[[#This Row],[Mes]]*29,"mmmm")</f>
        <v>October</v>
      </c>
      <c r="S43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80" s="210"/>
      <c r="U4380" s="43" t="e">
        <f>IF(Planning[[#This Row],[Horas Planificadas]]&lt;&gt;0,+K4380/Planning[[#This Row],[Horas Planificadas]],0)</f>
        <v>#REF!</v>
      </c>
      <c r="V4380" s="43" t="e">
        <f>IF(Planning[[#This Row],[Horas Planificadas]]&lt;&gt;0,Planning[[#This Row],[Horas utilizadas]]/Planning[[#This Row],[Horas Planificadas]],0)</f>
        <v>#REF!</v>
      </c>
      <c r="W4380" s="44">
        <f>Planning[[#This Row],[Horas Planificadas]]+Planning[[#This Row],[Horas ajustadas adicionales]]</f>
        <v>76</v>
      </c>
      <c r="X4380" s="142"/>
    </row>
    <row r="4381" spans="1:24" x14ac:dyDescent="0.2">
      <c r="A4381" s="7" t="s">
        <v>626</v>
      </c>
      <c r="B4381" s="7" t="s">
        <v>178</v>
      </c>
      <c r="C4381" s="3"/>
      <c r="D4381" s="3" t="s">
        <v>751</v>
      </c>
      <c r="E4381" s="4"/>
      <c r="F4381" s="3" t="s">
        <v>128</v>
      </c>
      <c r="G4381" s="9"/>
      <c r="H4381" s="9">
        <v>0</v>
      </c>
      <c r="I4381" s="12"/>
      <c r="J4381" s="5" t="e">
        <f>SUM(SUMIFS(#REF!,#REF!,Planning[[#This Row],[Tipo de Tarea y especialidad]],#REF!,Planning[[#This Row],[Proyectos Reiwa]]),SUMIFS(#REF!,#REF!,Planning[[#This Row],[Tipo de Tarea y especialidad]],#REF!,Planning[[#This Row],[Proyectos]]))</f>
        <v>#REF!</v>
      </c>
      <c r="K4381" s="5" t="e">
        <f>+Planning[[#This Row],[Horas Planificadas]]+Planning[[#This Row],[Horas ajustadas adicionales]]-Planning[[#This Row],[Horas utilizadas]]</f>
        <v>#REF!</v>
      </c>
      <c r="L4381" s="7">
        <v>0</v>
      </c>
      <c r="M4381" s="19" t="e">
        <f>Planning[[#This Row],[Saldo]]-Planning[[#This Row],[Saldo estimado]]</f>
        <v>#REF!</v>
      </c>
      <c r="N4381" s="60" t="e">
        <f>+SUMIFS(#REF!,#REF!,Planning[[#This Row],[Proyectos]],#REF!,Planning[[#This Row],[Tipo de Tarea y especialidad]])</f>
        <v>#REF!</v>
      </c>
      <c r="O4381" s="19">
        <f t="shared" si="136"/>
        <v>10</v>
      </c>
      <c r="P4381" s="19">
        <f t="shared" si="137"/>
        <v>2024</v>
      </c>
      <c r="Q43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81" s="19" t="str">
        <f>TEXT(Planning[[#This Row],[Mes]]*29,"mmmm")</f>
        <v>October</v>
      </c>
      <c r="S43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81" s="210"/>
      <c r="U4381" s="43">
        <f>IF(Planning[[#This Row],[Horas Planificadas]]&lt;&gt;0,+K4381/Planning[[#This Row],[Horas Planificadas]],0)</f>
        <v>0</v>
      </c>
      <c r="V4381" s="43">
        <f>IF(Planning[[#This Row],[Horas Planificadas]]&lt;&gt;0,Planning[[#This Row],[Horas utilizadas]]/Planning[[#This Row],[Horas Planificadas]],0)</f>
        <v>0</v>
      </c>
      <c r="W4381" s="44">
        <f>Planning[[#This Row],[Horas Planificadas]]+Planning[[#This Row],[Horas ajustadas adicionales]]</f>
        <v>0</v>
      </c>
      <c r="X4381" s="142"/>
    </row>
    <row r="4382" spans="1:24" x14ac:dyDescent="0.2">
      <c r="A4382" s="7" t="s">
        <v>626</v>
      </c>
      <c r="B4382" s="7" t="s">
        <v>178</v>
      </c>
      <c r="C4382" s="3"/>
      <c r="D4382" s="3" t="s">
        <v>751</v>
      </c>
      <c r="E4382" s="4" t="s">
        <v>31</v>
      </c>
      <c r="F4382" s="3" t="s">
        <v>31</v>
      </c>
      <c r="G4382" s="9">
        <v>9</v>
      </c>
      <c r="H4382" s="17">
        <v>9</v>
      </c>
      <c r="I4382" s="18"/>
      <c r="J4382" s="14" t="e">
        <f>+SUMIFS(#REF!,#REF!,Planning[[#This Row],[Tarifa]],#REF!,Planning[[#This Row],[Proyectos]])</f>
        <v>#REF!</v>
      </c>
      <c r="K4382" s="14" t="e">
        <f>+Planning[[#This Row],[Horas Planificadas]]+Planning[[#This Row],[Horas ajustadas adicionales]]-Planning[[#This Row],[Horas utilizadas]]</f>
        <v>#REF!</v>
      </c>
      <c r="L4382" s="15" t="e">
        <f>Planning[[#This Row],[Saldo]]</f>
        <v>#REF!</v>
      </c>
      <c r="M4382" s="16" t="e">
        <f>Planning[[#This Row],[Saldo]]-Planning[[#This Row],[Saldo estimado]]</f>
        <v>#REF!</v>
      </c>
      <c r="N4382" s="60"/>
      <c r="O4382" s="16">
        <f t="shared" si="136"/>
        <v>10</v>
      </c>
      <c r="P4382" s="16">
        <f t="shared" si="137"/>
        <v>2024</v>
      </c>
      <c r="Q4382" s="16" t="e">
        <f>+SUMIFS(#REF!,#REF!,Planning[[#This Row],[Tarifa]],#REF!,Planning[[#This Row],[Proyectos]],#REF!,Planning[[#This Row],[Mes]],#REF!,Planning[[#This Row],[Año]])</f>
        <v>#REF!</v>
      </c>
      <c r="R4382" s="16" t="str">
        <f>TEXT(Planning[[#This Row],[Mes]]*29,"mmmm")</f>
        <v>October</v>
      </c>
      <c r="S43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82" s="210"/>
      <c r="U4382" s="43" t="e">
        <f>IF(Planning[[#This Row],[Horas Planificadas]]&lt;&gt;0,+K4382/Planning[[#This Row],[Horas Planificadas]],0)</f>
        <v>#REF!</v>
      </c>
      <c r="V4382" s="43" t="e">
        <f>IF(Planning[[#This Row],[Horas Planificadas]]&lt;&gt;0,Planning[[#This Row],[Horas utilizadas]]/Planning[[#This Row],[Horas Planificadas]],0)</f>
        <v>#REF!</v>
      </c>
      <c r="W4382" s="44">
        <f>Planning[[#This Row],[Horas Planificadas]]+Planning[[#This Row],[Horas ajustadas adicionales]]</f>
        <v>9</v>
      </c>
      <c r="X4382" s="142"/>
    </row>
    <row r="4383" spans="1:24" ht="22.5" x14ac:dyDescent="0.2">
      <c r="A4383" s="7" t="s">
        <v>626</v>
      </c>
      <c r="B4383" s="7" t="s">
        <v>178</v>
      </c>
      <c r="C4383" s="3"/>
      <c r="D4383" s="3" t="s">
        <v>751</v>
      </c>
      <c r="E4383" s="4" t="s">
        <v>32</v>
      </c>
      <c r="F4383" s="3"/>
      <c r="G4383" s="9">
        <v>60</v>
      </c>
      <c r="H4383" s="14">
        <f>SUM(H4384:H4386)</f>
        <v>60</v>
      </c>
      <c r="I4383" s="14"/>
      <c r="J4383" s="14" t="e">
        <f>SUM(J4384:J4386)</f>
        <v>#REF!</v>
      </c>
      <c r="K4383" s="14" t="e">
        <f>+Planning[[#This Row],[Horas Planificadas]]+Planning[[#This Row],[Horas ajustadas adicionales]]-Planning[[#This Row],[Horas utilizadas]]</f>
        <v>#REF!</v>
      </c>
      <c r="L4383" s="15">
        <f>SUM(L4384:L4386)</f>
        <v>0</v>
      </c>
      <c r="M4383" s="16" t="e">
        <f>SUM(M4384:M4386)</f>
        <v>#REF!</v>
      </c>
      <c r="N4383" s="60"/>
      <c r="O4383" s="16">
        <f t="shared" si="136"/>
        <v>10</v>
      </c>
      <c r="P4383" s="16">
        <f t="shared" si="137"/>
        <v>2024</v>
      </c>
      <c r="Q4383" s="16" t="e">
        <f>SUM(Q4384:Q4386)</f>
        <v>#REF!</v>
      </c>
      <c r="R4383" s="16" t="str">
        <f>TEXT(Planning[[#This Row],[Mes]]*29,"mmmm")</f>
        <v>October</v>
      </c>
      <c r="S43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83" s="210"/>
      <c r="U4383" s="43" t="e">
        <f>IF(Planning[[#This Row],[Horas Planificadas]]&lt;&gt;0,+K4383/Planning[[#This Row],[Horas Planificadas]],0)</f>
        <v>#REF!</v>
      </c>
      <c r="V4383" s="43" t="e">
        <f>IF(Planning[[#This Row],[Horas Planificadas]]&lt;&gt;0,Planning[[#This Row],[Horas utilizadas]]/Planning[[#This Row],[Horas Planificadas]],0)</f>
        <v>#REF!</v>
      </c>
      <c r="W4383" s="44">
        <f>Planning[[#This Row],[Horas Planificadas]]+Planning[[#This Row],[Horas ajustadas adicionales]]</f>
        <v>60</v>
      </c>
      <c r="X4383" s="142"/>
    </row>
    <row r="4384" spans="1:24" x14ac:dyDescent="0.2">
      <c r="A4384" s="7" t="s">
        <v>626</v>
      </c>
      <c r="B4384" s="7" t="s">
        <v>178</v>
      </c>
      <c r="C4384" s="3"/>
      <c r="D4384" s="3" t="s">
        <v>751</v>
      </c>
      <c r="E4384" s="4"/>
      <c r="F4384" s="3" t="s">
        <v>129</v>
      </c>
      <c r="G4384" s="9"/>
      <c r="H4384" s="9">
        <v>0</v>
      </c>
      <c r="I4384" s="12"/>
      <c r="J4384" s="5" t="e">
        <f>SUM(SUMIFS(#REF!,#REF!,Planning[[#This Row],[Tipo de Tarea y especialidad]],#REF!,Planning[[#This Row],[Proyectos Reiwa]]),SUMIFS(#REF!,#REF!,Planning[[#This Row],[Tipo de Tarea y especialidad]],#REF!,Planning[[#This Row],[Proyectos]]))</f>
        <v>#REF!</v>
      </c>
      <c r="K4384" s="5" t="e">
        <f>+Planning[[#This Row],[Horas Planificadas]]+Planning[[#This Row],[Horas ajustadas adicionales]]-Planning[[#This Row],[Horas utilizadas]]</f>
        <v>#REF!</v>
      </c>
      <c r="L4384" s="7">
        <v>0</v>
      </c>
      <c r="M4384" s="19" t="e">
        <f>Planning[[#This Row],[Saldo]]-Planning[[#This Row],[Saldo estimado]]</f>
        <v>#REF!</v>
      </c>
      <c r="N4384" s="60" t="e">
        <f>+SUMIFS(#REF!,#REF!,Planning[[#This Row],[Proyectos]],#REF!,Planning[[#This Row],[Tipo de Tarea y especialidad]])</f>
        <v>#REF!</v>
      </c>
      <c r="O4384" s="19">
        <f t="shared" si="136"/>
        <v>10</v>
      </c>
      <c r="P4384" s="19">
        <f t="shared" si="137"/>
        <v>2024</v>
      </c>
      <c r="Q43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84" s="19" t="str">
        <f>TEXT(Planning[[#This Row],[Mes]]*29,"mmmm")</f>
        <v>October</v>
      </c>
      <c r="S43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84" s="210"/>
      <c r="U4384" s="43">
        <f>IF(Planning[[#This Row],[Horas Planificadas]]&lt;&gt;0,+K4384/Planning[[#This Row],[Horas Planificadas]],0)</f>
        <v>0</v>
      </c>
      <c r="V4384" s="43">
        <f>IF(Planning[[#This Row],[Horas Planificadas]]&lt;&gt;0,Planning[[#This Row],[Horas utilizadas]]/Planning[[#This Row],[Horas Planificadas]],0)</f>
        <v>0</v>
      </c>
      <c r="W4384" s="44">
        <f>Planning[[#This Row],[Horas Planificadas]]+Planning[[#This Row],[Horas ajustadas adicionales]]</f>
        <v>0</v>
      </c>
      <c r="X4384" s="142"/>
    </row>
    <row r="4385" spans="1:24" x14ac:dyDescent="0.2">
      <c r="A4385" s="7" t="s">
        <v>626</v>
      </c>
      <c r="B4385" s="7" t="s">
        <v>178</v>
      </c>
      <c r="C4385" s="3"/>
      <c r="D4385" s="3" t="s">
        <v>751</v>
      </c>
      <c r="E4385" s="4"/>
      <c r="F4385" s="3" t="s">
        <v>130</v>
      </c>
      <c r="G4385" s="9"/>
      <c r="H4385" s="9">
        <v>60</v>
      </c>
      <c r="I4385" s="12"/>
      <c r="J4385" s="5" t="e">
        <f>SUM(SUMIFS(#REF!,#REF!,Planning[[#This Row],[Tipo de Tarea y especialidad]],#REF!,Planning[[#This Row],[Proyectos Reiwa]]),SUMIFS(#REF!,#REF!,Planning[[#This Row],[Tipo de Tarea y especialidad]],#REF!,Planning[[#This Row],[Proyectos]]))</f>
        <v>#REF!</v>
      </c>
      <c r="K4385" s="5" t="e">
        <f>+Planning[[#This Row],[Horas Planificadas]]+Planning[[#This Row],[Horas ajustadas adicionales]]-Planning[[#This Row],[Horas utilizadas]]</f>
        <v>#REF!</v>
      </c>
      <c r="L4385" s="7">
        <v>0</v>
      </c>
      <c r="M4385" s="19" t="e">
        <f>Planning[[#This Row],[Saldo]]-Planning[[#This Row],[Saldo estimado]]</f>
        <v>#REF!</v>
      </c>
      <c r="N4385" s="60" t="e">
        <f>+SUMIFS(#REF!,#REF!,Planning[[#This Row],[Proyectos]],#REF!,Planning[[#This Row],[Tipo de Tarea y especialidad]])</f>
        <v>#REF!</v>
      </c>
      <c r="O4385" s="19">
        <f t="shared" si="136"/>
        <v>10</v>
      </c>
      <c r="P4385" s="19">
        <f t="shared" si="137"/>
        <v>2024</v>
      </c>
      <c r="Q43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85" s="19" t="str">
        <f>TEXT(Planning[[#This Row],[Mes]]*29,"mmmm")</f>
        <v>October</v>
      </c>
      <c r="S43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85" s="210"/>
      <c r="U4385" s="43" t="e">
        <f>IF(Planning[[#This Row],[Horas Planificadas]]&lt;&gt;0,+K4385/Planning[[#This Row],[Horas Planificadas]],0)</f>
        <v>#REF!</v>
      </c>
      <c r="V4385" s="43" t="e">
        <f>IF(Planning[[#This Row],[Horas Planificadas]]&lt;&gt;0,Planning[[#This Row],[Horas utilizadas]]/Planning[[#This Row],[Horas Planificadas]],0)</f>
        <v>#REF!</v>
      </c>
      <c r="W4385" s="44">
        <f>Planning[[#This Row],[Horas Planificadas]]+Planning[[#This Row],[Horas ajustadas adicionales]]</f>
        <v>60</v>
      </c>
      <c r="X4385" s="142"/>
    </row>
    <row r="4386" spans="1:24" x14ac:dyDescent="0.2">
      <c r="A4386" s="7" t="s">
        <v>626</v>
      </c>
      <c r="B4386" s="7" t="s">
        <v>178</v>
      </c>
      <c r="C4386" s="3"/>
      <c r="D4386" s="3" t="s">
        <v>751</v>
      </c>
      <c r="E4386" s="4"/>
      <c r="F4386" s="3" t="s">
        <v>131</v>
      </c>
      <c r="G4386" s="9"/>
      <c r="H4386" s="9">
        <v>0</v>
      </c>
      <c r="I4386" s="12"/>
      <c r="J4386" s="5" t="e">
        <f>SUM(SUMIFS(#REF!,#REF!,Planning[[#This Row],[Tipo de Tarea y especialidad]],#REF!,Planning[[#This Row],[Proyectos Reiwa]]),SUMIFS(#REF!,#REF!,Planning[[#This Row],[Tipo de Tarea y especialidad]],#REF!,Planning[[#This Row],[Proyectos]]))</f>
        <v>#REF!</v>
      </c>
      <c r="K4386" s="5" t="e">
        <f>+Planning[[#This Row],[Horas Planificadas]]+Planning[[#This Row],[Horas ajustadas adicionales]]-Planning[[#This Row],[Horas utilizadas]]</f>
        <v>#REF!</v>
      </c>
      <c r="L4386" s="7">
        <v>0</v>
      </c>
      <c r="M4386" s="19" t="e">
        <f>Planning[[#This Row],[Saldo]]-Planning[[#This Row],[Saldo estimado]]</f>
        <v>#REF!</v>
      </c>
      <c r="N4386" s="60" t="e">
        <f>+SUMIFS(#REF!,#REF!,Planning[[#This Row],[Proyectos]],#REF!,Planning[[#This Row],[Tipo de Tarea y especialidad]])</f>
        <v>#REF!</v>
      </c>
      <c r="O4386" s="19">
        <f t="shared" si="136"/>
        <v>10</v>
      </c>
      <c r="P4386" s="19">
        <f t="shared" si="137"/>
        <v>2024</v>
      </c>
      <c r="Q43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86" s="19" t="str">
        <f>TEXT(Planning[[#This Row],[Mes]]*29,"mmmm")</f>
        <v>October</v>
      </c>
      <c r="S43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86" s="210"/>
      <c r="U4386" s="43">
        <f>IF(Planning[[#This Row],[Horas Planificadas]]&lt;&gt;0,+K4386/Planning[[#This Row],[Horas Planificadas]],0)</f>
        <v>0</v>
      </c>
      <c r="V4386" s="43">
        <f>IF(Planning[[#This Row],[Horas Planificadas]]&lt;&gt;0,Planning[[#This Row],[Horas utilizadas]]/Planning[[#This Row],[Horas Planificadas]],0)</f>
        <v>0</v>
      </c>
      <c r="W4386" s="44">
        <f>Planning[[#This Row],[Horas Planificadas]]+Planning[[#This Row],[Horas ajustadas adicionales]]</f>
        <v>0</v>
      </c>
      <c r="X4386" s="142"/>
    </row>
    <row r="4387" spans="1:24" ht="22.5" x14ac:dyDescent="0.2">
      <c r="A4387" s="7" t="s">
        <v>204</v>
      </c>
      <c r="B4387" s="7" t="s">
        <v>463</v>
      </c>
      <c r="C4387" s="3">
        <v>116885</v>
      </c>
      <c r="D4387" s="3" t="s">
        <v>753</v>
      </c>
      <c r="E4387" s="4" t="s">
        <v>28</v>
      </c>
      <c r="F4387" s="3"/>
      <c r="G4387" s="9">
        <v>30</v>
      </c>
      <c r="H4387" s="14">
        <f>SUM(H4388:H4389)</f>
        <v>30</v>
      </c>
      <c r="I4387" s="14"/>
      <c r="J4387" s="14" t="e">
        <f>SUM(J4388:J4389)</f>
        <v>#REF!</v>
      </c>
      <c r="K4387" s="14" t="e">
        <f>+Planning[[#This Row],[Horas Planificadas]]+Planning[[#This Row],[Horas ajustadas adicionales]]-Planning[[#This Row],[Horas utilizadas]]</f>
        <v>#REF!</v>
      </c>
      <c r="L4387" s="15">
        <f>SUM(L4388:L4389)</f>
        <v>0</v>
      </c>
      <c r="M4387" s="14" t="e">
        <f>SUM(M4388:M4389)</f>
        <v>#REF!</v>
      </c>
      <c r="N4387" s="66"/>
      <c r="O4387" s="14">
        <f t="shared" si="136"/>
        <v>10</v>
      </c>
      <c r="P4387" s="14">
        <f t="shared" si="137"/>
        <v>2024</v>
      </c>
      <c r="Q4387" s="28" t="e">
        <f>SUM(Q4388:Q4389)</f>
        <v>#REF!</v>
      </c>
      <c r="R4387" s="28" t="str">
        <f>TEXT(Planning[[#This Row],[Mes]]*29,"mmmm")</f>
        <v>October</v>
      </c>
      <c r="S43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87" s="218" t="s">
        <v>754</v>
      </c>
      <c r="U4387" s="43" t="e">
        <f>IF(Planning[[#This Row],[Horas Planificadas]]&lt;&gt;0,+K4387/Planning[[#This Row],[Horas Planificadas]],0)</f>
        <v>#REF!</v>
      </c>
      <c r="V4387" s="43" t="e">
        <f>IF(Planning[[#This Row],[Horas Planificadas]]&lt;&gt;0,Planning[[#This Row],[Horas utilizadas]]/Planning[[#This Row],[Horas Planificadas]],0)</f>
        <v>#REF!</v>
      </c>
      <c r="W4387" s="44">
        <f>Planning[[#This Row],[Horas Planificadas]]+Planning[[#This Row],[Horas ajustadas adicionales]]</f>
        <v>30</v>
      </c>
      <c r="X4387" s="142"/>
    </row>
    <row r="4388" spans="1:24" x14ac:dyDescent="0.2">
      <c r="A4388" s="7" t="s">
        <v>204</v>
      </c>
      <c r="B4388" s="7" t="s">
        <v>463</v>
      </c>
      <c r="C4388" s="3">
        <v>116885</v>
      </c>
      <c r="D4388" s="3" t="s">
        <v>753</v>
      </c>
      <c r="E4388" s="4"/>
      <c r="F4388" s="3" t="s">
        <v>120</v>
      </c>
      <c r="G4388" s="9"/>
      <c r="H4388" s="9"/>
      <c r="I4388" s="12"/>
      <c r="J4388" s="5" t="e">
        <f>SUM(SUMIFS(#REF!,#REF!,Planning[[#This Row],[Tipo de Tarea y especialidad]],#REF!,Planning[[#This Row],[Proyectos Reiwa]]),SUMIFS(#REF!,#REF!,Planning[[#This Row],[Tipo de Tarea y especialidad]],#REF!,Planning[[#This Row],[Proyectos]]))</f>
        <v>#REF!</v>
      </c>
      <c r="K4388" s="5" t="e">
        <f>+Planning[[#This Row],[Horas Planificadas]]+Planning[[#This Row],[Horas ajustadas adicionales]]-Planning[[#This Row],[Horas utilizadas]]</f>
        <v>#REF!</v>
      </c>
      <c r="L4388" s="7">
        <v>0</v>
      </c>
      <c r="M4388" s="19" t="e">
        <f>Planning[[#This Row],[Saldo]]-Planning[[#This Row],[Saldo estimado]]</f>
        <v>#REF!</v>
      </c>
      <c r="N4388" s="60" t="e">
        <f>+SUMIFS(#REF!,#REF!,Planning[[#This Row],[Proyectos]],#REF!,Planning[[#This Row],[Tipo de Tarea y especialidad]])</f>
        <v>#REF!</v>
      </c>
      <c r="O4388" s="19">
        <f t="shared" si="136"/>
        <v>10</v>
      </c>
      <c r="P4388" s="19">
        <f t="shared" si="137"/>
        <v>2024</v>
      </c>
      <c r="Q43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88" s="19" t="str">
        <f>TEXT(Planning[[#This Row],[Mes]]*29,"mmmm")</f>
        <v>October</v>
      </c>
      <c r="S43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88" s="219"/>
      <c r="U4388" s="43">
        <f>IF(Planning[[#This Row],[Horas Planificadas]]&lt;&gt;0,+K4388/Planning[[#This Row],[Horas Planificadas]],0)</f>
        <v>0</v>
      </c>
      <c r="V4388" s="43">
        <f>IF(Planning[[#This Row],[Horas Planificadas]]&lt;&gt;0,Planning[[#This Row],[Horas utilizadas]]/Planning[[#This Row],[Horas Planificadas]],0)</f>
        <v>0</v>
      </c>
      <c r="W4388" s="44">
        <f>Planning[[#This Row],[Horas Planificadas]]+Planning[[#This Row],[Horas ajustadas adicionales]]</f>
        <v>0</v>
      </c>
      <c r="X4388" s="142"/>
    </row>
    <row r="4389" spans="1:24" x14ac:dyDescent="0.2">
      <c r="A4389" s="7" t="s">
        <v>204</v>
      </c>
      <c r="B4389" s="7" t="s">
        <v>463</v>
      </c>
      <c r="C4389" s="3">
        <v>116885</v>
      </c>
      <c r="D4389" s="3" t="s">
        <v>753</v>
      </c>
      <c r="E4389" s="4"/>
      <c r="F4389" s="3" t="s">
        <v>121</v>
      </c>
      <c r="G4389" s="9"/>
      <c r="H4389" s="9">
        <v>30</v>
      </c>
      <c r="I4389" s="12"/>
      <c r="J4389" s="5" t="e">
        <f>SUM(SUMIFS(#REF!,#REF!,Planning[[#This Row],[Tipo de Tarea y especialidad]],#REF!,Planning[[#This Row],[Proyectos Reiwa]]),SUMIFS(#REF!,#REF!,Planning[[#This Row],[Tipo de Tarea y especialidad]],#REF!,Planning[[#This Row],[Proyectos]]))</f>
        <v>#REF!</v>
      </c>
      <c r="K4389" s="5" t="e">
        <f>+Planning[[#This Row],[Horas Planificadas]]+Planning[[#This Row],[Horas ajustadas adicionales]]-Planning[[#This Row],[Horas utilizadas]]</f>
        <v>#REF!</v>
      </c>
      <c r="L4389" s="7">
        <v>0</v>
      </c>
      <c r="M4389" s="19" t="e">
        <f>Planning[[#This Row],[Saldo]]-Planning[[#This Row],[Saldo estimado]]</f>
        <v>#REF!</v>
      </c>
      <c r="N4389" s="60" t="e">
        <f>+SUMIFS(#REF!,#REF!,Planning[[#This Row],[Proyectos]],#REF!,Planning[[#This Row],[Tipo de Tarea y especialidad]])</f>
        <v>#REF!</v>
      </c>
      <c r="O4389" s="19">
        <f t="shared" si="136"/>
        <v>10</v>
      </c>
      <c r="P4389" s="19">
        <f t="shared" si="137"/>
        <v>2024</v>
      </c>
      <c r="Q43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89" s="19" t="str">
        <f>TEXT(Planning[[#This Row],[Mes]]*29,"mmmm")</f>
        <v>October</v>
      </c>
      <c r="S43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89" s="219"/>
      <c r="U4389" s="43" t="e">
        <f>IF(Planning[[#This Row],[Horas Planificadas]]&lt;&gt;0,+K4389/Planning[[#This Row],[Horas Planificadas]],0)</f>
        <v>#REF!</v>
      </c>
      <c r="V4389" s="43" t="e">
        <f>IF(Planning[[#This Row],[Horas Planificadas]]&lt;&gt;0,Planning[[#This Row],[Horas utilizadas]]/Planning[[#This Row],[Horas Planificadas]],0)</f>
        <v>#REF!</v>
      </c>
      <c r="W4389" s="44">
        <f>Planning[[#This Row],[Horas Planificadas]]+Planning[[#This Row],[Horas ajustadas adicionales]]</f>
        <v>30</v>
      </c>
      <c r="X4389" s="142"/>
    </row>
    <row r="4390" spans="1:24" x14ac:dyDescent="0.2">
      <c r="A4390" s="7" t="s">
        <v>204</v>
      </c>
      <c r="B4390" s="7" t="s">
        <v>463</v>
      </c>
      <c r="C4390" s="3">
        <v>116885</v>
      </c>
      <c r="D4390" s="3" t="s">
        <v>753</v>
      </c>
      <c r="E4390" s="4" t="s">
        <v>30</v>
      </c>
      <c r="F4390" s="3"/>
      <c r="G4390" s="9">
        <v>469</v>
      </c>
      <c r="H4390" s="14">
        <f>SUM(H4391:H4397)</f>
        <v>469</v>
      </c>
      <c r="I4390" s="14"/>
      <c r="J4390" s="14" t="e">
        <f>SUM(J4391:J4397)</f>
        <v>#REF!</v>
      </c>
      <c r="K4390" s="14" t="e">
        <f>+Planning[[#This Row],[Horas Planificadas]]+Planning[[#This Row],[Horas ajustadas adicionales]]-Planning[[#This Row],[Horas utilizadas]]</f>
        <v>#REF!</v>
      </c>
      <c r="L4390" s="15" t="e">
        <f>SUM(L4391:L4397)</f>
        <v>#REF!</v>
      </c>
      <c r="M4390" s="16" t="e">
        <f>SUM(M4391:M4397)</f>
        <v>#REF!</v>
      </c>
      <c r="N4390" s="60"/>
      <c r="O4390" s="16">
        <f t="shared" si="136"/>
        <v>10</v>
      </c>
      <c r="P4390" s="16">
        <f t="shared" si="137"/>
        <v>2024</v>
      </c>
      <c r="Q4390" s="16" t="e">
        <f>SUM(Q4391:Q4397)</f>
        <v>#REF!</v>
      </c>
      <c r="R4390" s="16" t="str">
        <f>TEXT(Planning[[#This Row],[Mes]]*29,"mmmm")</f>
        <v>October</v>
      </c>
      <c r="S43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90" s="219"/>
      <c r="U4390" s="43" t="e">
        <f>IF(Planning[[#This Row],[Horas Planificadas]]&lt;&gt;0,+K4390/Planning[[#This Row],[Horas Planificadas]],0)</f>
        <v>#REF!</v>
      </c>
      <c r="V4390" s="43" t="e">
        <f>IF(Planning[[#This Row],[Horas Planificadas]]&lt;&gt;0,Planning[[#This Row],[Horas utilizadas]]/Planning[[#This Row],[Horas Planificadas]],0)</f>
        <v>#REF!</v>
      </c>
      <c r="W4390" s="44">
        <f>Planning[[#This Row],[Horas Planificadas]]+Planning[[#This Row],[Horas ajustadas adicionales]]</f>
        <v>469</v>
      </c>
      <c r="X4390" s="142"/>
    </row>
    <row r="4391" spans="1:24" x14ac:dyDescent="0.2">
      <c r="A4391" s="7" t="s">
        <v>204</v>
      </c>
      <c r="B4391" s="7" t="s">
        <v>463</v>
      </c>
      <c r="C4391" s="3">
        <v>116885</v>
      </c>
      <c r="D4391" s="3" t="s">
        <v>753</v>
      </c>
      <c r="E4391" s="4"/>
      <c r="F4391" s="3" t="s">
        <v>122</v>
      </c>
      <c r="G4391" s="9"/>
      <c r="H4391" s="9"/>
      <c r="I4391" s="12"/>
      <c r="J4391" s="5" t="e">
        <f>SUM(SUMIFS(#REF!,#REF!,Planning[[#This Row],[Tipo de Tarea y especialidad]],#REF!,Planning[[#This Row],[Proyectos Reiwa]]),SUMIFS(#REF!,#REF!,Planning[[#This Row],[Tipo de Tarea y especialidad]],#REF!,Planning[[#This Row],[Proyectos]]))</f>
        <v>#REF!</v>
      </c>
      <c r="K4391" s="5" t="e">
        <f>+Planning[[#This Row],[Horas Planificadas]]+Planning[[#This Row],[Horas ajustadas adicionales]]-Planning[[#This Row],[Horas utilizadas]]</f>
        <v>#REF!</v>
      </c>
      <c r="L4391" s="7" t="e">
        <f t="shared" ref="L4391:L4398" si="138">K4391</f>
        <v>#REF!</v>
      </c>
      <c r="M4391" s="19" t="e">
        <f>Planning[[#This Row],[Saldo]]-Planning[[#This Row],[Saldo estimado]]</f>
        <v>#REF!</v>
      </c>
      <c r="N4391" s="60" t="e">
        <f>+SUMIFS(#REF!,#REF!,Planning[[#This Row],[Proyectos]],#REF!,Planning[[#This Row],[Tipo de Tarea y especialidad]])</f>
        <v>#REF!</v>
      </c>
      <c r="O4391" s="19">
        <f t="shared" si="136"/>
        <v>10</v>
      </c>
      <c r="P4391" s="19">
        <f t="shared" si="137"/>
        <v>2024</v>
      </c>
      <c r="Q43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91" s="19" t="str">
        <f>TEXT(Planning[[#This Row],[Mes]]*29,"mmmm")</f>
        <v>October</v>
      </c>
      <c r="S43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91" s="219"/>
      <c r="U4391" s="43">
        <f>IF(Planning[[#This Row],[Horas Planificadas]]&lt;&gt;0,+K4391/Planning[[#This Row],[Horas Planificadas]],0)</f>
        <v>0</v>
      </c>
      <c r="V4391" s="43">
        <f>IF(Planning[[#This Row],[Horas Planificadas]]&lt;&gt;0,Planning[[#This Row],[Horas utilizadas]]/Planning[[#This Row],[Horas Planificadas]],0)</f>
        <v>0</v>
      </c>
      <c r="W4391" s="44">
        <f>Planning[[#This Row],[Horas Planificadas]]+Planning[[#This Row],[Horas ajustadas adicionales]]</f>
        <v>0</v>
      </c>
      <c r="X4391" s="142"/>
    </row>
    <row r="4392" spans="1:24" x14ac:dyDescent="0.2">
      <c r="A4392" s="7" t="s">
        <v>204</v>
      </c>
      <c r="B4392" s="7" t="s">
        <v>463</v>
      </c>
      <c r="C4392" s="3">
        <v>116885</v>
      </c>
      <c r="D4392" s="3" t="s">
        <v>753</v>
      </c>
      <c r="E4392" s="4"/>
      <c r="F4392" s="3" t="s">
        <v>123</v>
      </c>
      <c r="G4392" s="9"/>
      <c r="H4392" s="9">
        <v>280</v>
      </c>
      <c r="I4392" s="12"/>
      <c r="J4392" s="5" t="e">
        <f>SUM(SUMIFS(#REF!,#REF!,Planning[[#This Row],[Tipo de Tarea y especialidad]],#REF!,Planning[[#This Row],[Proyectos Reiwa]]),SUMIFS(#REF!,#REF!,Planning[[#This Row],[Tipo de Tarea y especialidad]],#REF!,Planning[[#This Row],[Proyectos]]))</f>
        <v>#REF!</v>
      </c>
      <c r="K4392" s="5" t="e">
        <f>+Planning[[#This Row],[Horas Planificadas]]+Planning[[#This Row],[Horas ajustadas adicionales]]-Planning[[#This Row],[Horas utilizadas]]</f>
        <v>#REF!</v>
      </c>
      <c r="L4392" s="7">
        <v>0</v>
      </c>
      <c r="M4392" s="19" t="e">
        <f>Planning[[#This Row],[Saldo]]-Planning[[#This Row],[Saldo estimado]]</f>
        <v>#REF!</v>
      </c>
      <c r="N4392" s="60" t="e">
        <f>+SUMIFS(#REF!,#REF!,Planning[[#This Row],[Proyectos]],#REF!,Planning[[#This Row],[Tipo de Tarea y especialidad]])</f>
        <v>#REF!</v>
      </c>
      <c r="O4392" s="19">
        <f t="shared" si="136"/>
        <v>10</v>
      </c>
      <c r="P4392" s="19">
        <f t="shared" si="137"/>
        <v>2024</v>
      </c>
      <c r="Q43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92" s="19" t="str">
        <f>TEXT(Planning[[#This Row],[Mes]]*29,"mmmm")</f>
        <v>October</v>
      </c>
      <c r="S43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92" s="219"/>
      <c r="U4392" s="43" t="e">
        <f>IF(Planning[[#This Row],[Horas Planificadas]]&lt;&gt;0,+K4392/Planning[[#This Row],[Horas Planificadas]],0)</f>
        <v>#REF!</v>
      </c>
      <c r="V4392" s="43" t="e">
        <f>IF(Planning[[#This Row],[Horas Planificadas]]&lt;&gt;0,Planning[[#This Row],[Horas utilizadas]]/Planning[[#This Row],[Horas Planificadas]],0)</f>
        <v>#REF!</v>
      </c>
      <c r="W4392" s="44">
        <f>Planning[[#This Row],[Horas Planificadas]]+Planning[[#This Row],[Horas ajustadas adicionales]]</f>
        <v>280</v>
      </c>
      <c r="X4392" s="142"/>
    </row>
    <row r="4393" spans="1:24" x14ac:dyDescent="0.2">
      <c r="A4393" s="7" t="s">
        <v>204</v>
      </c>
      <c r="B4393" s="7" t="s">
        <v>463</v>
      </c>
      <c r="C4393" s="3">
        <v>116885</v>
      </c>
      <c r="D4393" s="3" t="s">
        <v>753</v>
      </c>
      <c r="E4393" s="4"/>
      <c r="F4393" s="3" t="s">
        <v>124</v>
      </c>
      <c r="G4393" s="9"/>
      <c r="H4393" s="9">
        <v>81</v>
      </c>
      <c r="I4393" s="12"/>
      <c r="J4393" s="5" t="e">
        <f>SUM(SUMIFS(#REF!,#REF!,Planning[[#This Row],[Tipo de Tarea y especialidad]],#REF!,Planning[[#This Row],[Proyectos Reiwa]]),SUMIFS(#REF!,#REF!,Planning[[#This Row],[Tipo de Tarea y especialidad]],#REF!,Planning[[#This Row],[Proyectos]]))</f>
        <v>#REF!</v>
      </c>
      <c r="K4393" s="5" t="e">
        <f>+Planning[[#This Row],[Horas Planificadas]]+Planning[[#This Row],[Horas ajustadas adicionales]]-Planning[[#This Row],[Horas utilizadas]]</f>
        <v>#REF!</v>
      </c>
      <c r="L4393" s="7">
        <v>0</v>
      </c>
      <c r="M4393" s="19" t="e">
        <f>Planning[[#This Row],[Saldo]]-Planning[[#This Row],[Saldo estimado]]</f>
        <v>#REF!</v>
      </c>
      <c r="N4393" s="60" t="e">
        <f>+SUMIFS(#REF!,#REF!,Planning[[#This Row],[Proyectos]],#REF!,Planning[[#This Row],[Tipo de Tarea y especialidad]])</f>
        <v>#REF!</v>
      </c>
      <c r="O4393" s="19">
        <f t="shared" si="136"/>
        <v>10</v>
      </c>
      <c r="P4393" s="19">
        <f t="shared" si="137"/>
        <v>2024</v>
      </c>
      <c r="Q43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93" s="19" t="str">
        <f>TEXT(Planning[[#This Row],[Mes]]*29,"mmmm")</f>
        <v>October</v>
      </c>
      <c r="S43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93" s="219"/>
      <c r="U4393" s="43" t="e">
        <f>IF(Planning[[#This Row],[Horas Planificadas]]&lt;&gt;0,+K4393/Planning[[#This Row],[Horas Planificadas]],0)</f>
        <v>#REF!</v>
      </c>
      <c r="V4393" s="43" t="e">
        <f>IF(Planning[[#This Row],[Horas Planificadas]]&lt;&gt;0,Planning[[#This Row],[Horas utilizadas]]/Planning[[#This Row],[Horas Planificadas]],0)</f>
        <v>#REF!</v>
      </c>
      <c r="W4393" s="44">
        <f>Planning[[#This Row],[Horas Planificadas]]+Planning[[#This Row],[Horas ajustadas adicionales]]</f>
        <v>81</v>
      </c>
      <c r="X4393" s="142"/>
    </row>
    <row r="4394" spans="1:24" x14ac:dyDescent="0.2">
      <c r="A4394" s="7" t="s">
        <v>204</v>
      </c>
      <c r="B4394" s="7" t="s">
        <v>463</v>
      </c>
      <c r="C4394" s="3">
        <v>116885</v>
      </c>
      <c r="D4394" s="3" t="s">
        <v>753</v>
      </c>
      <c r="E4394" s="4"/>
      <c r="F4394" s="3" t="s">
        <v>125</v>
      </c>
      <c r="G4394" s="9"/>
      <c r="H4394" s="9">
        <v>18</v>
      </c>
      <c r="I4394" s="12"/>
      <c r="J4394" s="5" t="e">
        <f>SUM(SUMIFS(#REF!,#REF!,Planning[[#This Row],[Tipo de Tarea y especialidad]],#REF!,Planning[[#This Row],[Proyectos Reiwa]]),SUMIFS(#REF!,#REF!,Planning[[#This Row],[Tipo de Tarea y especialidad]],#REF!,Planning[[#This Row],[Proyectos]]))</f>
        <v>#REF!</v>
      </c>
      <c r="K4394" s="5" t="e">
        <f>+Planning[[#This Row],[Horas Planificadas]]+Planning[[#This Row],[Horas ajustadas adicionales]]-Planning[[#This Row],[Horas utilizadas]]</f>
        <v>#REF!</v>
      </c>
      <c r="L4394" s="7">
        <v>0</v>
      </c>
      <c r="M4394" s="19" t="e">
        <f>Planning[[#This Row],[Saldo]]-Planning[[#This Row],[Saldo estimado]]</f>
        <v>#REF!</v>
      </c>
      <c r="N4394" s="60" t="e">
        <f>+SUMIFS(#REF!,#REF!,Planning[[#This Row],[Proyectos]],#REF!,Planning[[#This Row],[Tipo de Tarea y especialidad]])</f>
        <v>#REF!</v>
      </c>
      <c r="O4394" s="19">
        <f t="shared" si="136"/>
        <v>10</v>
      </c>
      <c r="P4394" s="19">
        <f t="shared" si="137"/>
        <v>2024</v>
      </c>
      <c r="Q43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94" s="19" t="str">
        <f>TEXT(Planning[[#This Row],[Mes]]*29,"mmmm")</f>
        <v>October</v>
      </c>
      <c r="S43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94" s="219"/>
      <c r="U4394" s="43" t="e">
        <f>IF(Planning[[#This Row],[Horas Planificadas]]&lt;&gt;0,+K4394/Planning[[#This Row],[Horas Planificadas]],0)</f>
        <v>#REF!</v>
      </c>
      <c r="V4394" s="43" t="e">
        <f>IF(Planning[[#This Row],[Horas Planificadas]]&lt;&gt;0,Planning[[#This Row],[Horas utilizadas]]/Planning[[#This Row],[Horas Planificadas]],0)</f>
        <v>#REF!</v>
      </c>
      <c r="W4394" s="44">
        <f>Planning[[#This Row],[Horas Planificadas]]+Planning[[#This Row],[Horas ajustadas adicionales]]</f>
        <v>18</v>
      </c>
      <c r="X4394" s="142"/>
    </row>
    <row r="4395" spans="1:24" x14ac:dyDescent="0.2">
      <c r="A4395" s="7" t="s">
        <v>204</v>
      </c>
      <c r="B4395" s="7" t="s">
        <v>463</v>
      </c>
      <c r="C4395" s="3">
        <v>116885</v>
      </c>
      <c r="D4395" s="3" t="s">
        <v>753</v>
      </c>
      <c r="E4395" s="4"/>
      <c r="F4395" s="3" t="s">
        <v>126</v>
      </c>
      <c r="G4395" s="9"/>
      <c r="H4395" s="9"/>
      <c r="I4395" s="12"/>
      <c r="J4395" s="5" t="e">
        <f>SUM(SUMIFS(#REF!,#REF!,Planning[[#This Row],[Tipo de Tarea y especialidad]],#REF!,Planning[[#This Row],[Proyectos Reiwa]]),SUMIFS(#REF!,#REF!,Planning[[#This Row],[Tipo de Tarea y especialidad]],#REF!,Planning[[#This Row],[Proyectos]]))</f>
        <v>#REF!</v>
      </c>
      <c r="K4395" s="5" t="e">
        <f>+Planning[[#This Row],[Horas Planificadas]]+Planning[[#This Row],[Horas ajustadas adicionales]]-Planning[[#This Row],[Horas utilizadas]]</f>
        <v>#REF!</v>
      </c>
      <c r="L4395" s="7">
        <v>0</v>
      </c>
      <c r="M4395" s="19" t="e">
        <f>Planning[[#This Row],[Saldo]]-Planning[[#This Row],[Saldo estimado]]</f>
        <v>#REF!</v>
      </c>
      <c r="N4395" s="60" t="e">
        <f>+SUMIFS(#REF!,#REF!,Planning[[#This Row],[Proyectos]],#REF!,Planning[[#This Row],[Tipo de Tarea y especialidad]])</f>
        <v>#REF!</v>
      </c>
      <c r="O4395" s="19">
        <f t="shared" si="136"/>
        <v>10</v>
      </c>
      <c r="P4395" s="19">
        <f t="shared" si="137"/>
        <v>2024</v>
      </c>
      <c r="Q43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95" s="19" t="str">
        <f>TEXT(Planning[[#This Row],[Mes]]*29,"mmmm")</f>
        <v>October</v>
      </c>
      <c r="S43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95" s="219"/>
      <c r="U4395" s="43">
        <f>IF(Planning[[#This Row],[Horas Planificadas]]&lt;&gt;0,+K4395/Planning[[#This Row],[Horas Planificadas]],0)</f>
        <v>0</v>
      </c>
      <c r="V4395" s="43">
        <f>IF(Planning[[#This Row],[Horas Planificadas]]&lt;&gt;0,Planning[[#This Row],[Horas utilizadas]]/Planning[[#This Row],[Horas Planificadas]],0)</f>
        <v>0</v>
      </c>
      <c r="W4395" s="44">
        <f>Planning[[#This Row],[Horas Planificadas]]+Planning[[#This Row],[Horas ajustadas adicionales]]</f>
        <v>0</v>
      </c>
      <c r="X4395" s="142"/>
    </row>
    <row r="4396" spans="1:24" x14ac:dyDescent="0.2">
      <c r="A4396" s="7" t="s">
        <v>204</v>
      </c>
      <c r="B4396" s="7" t="s">
        <v>463</v>
      </c>
      <c r="C4396" s="3">
        <v>116885</v>
      </c>
      <c r="D4396" s="3" t="s">
        <v>753</v>
      </c>
      <c r="E4396" s="4"/>
      <c r="F4396" s="3" t="s">
        <v>127</v>
      </c>
      <c r="G4396" s="9"/>
      <c r="H4396" s="9">
        <v>36</v>
      </c>
      <c r="I4396" s="12"/>
      <c r="J4396" s="5" t="e">
        <f>SUM(SUMIFS(#REF!,#REF!,Planning[[#This Row],[Tipo de Tarea y especialidad]],#REF!,Planning[[#This Row],[Proyectos Reiwa]]),SUMIFS(#REF!,#REF!,Planning[[#This Row],[Tipo de Tarea y especialidad]],#REF!,Planning[[#This Row],[Proyectos]]))</f>
        <v>#REF!</v>
      </c>
      <c r="K4396" s="5" t="e">
        <f>+Planning[[#This Row],[Horas Planificadas]]+Planning[[#This Row],[Horas ajustadas adicionales]]-Planning[[#This Row],[Horas utilizadas]]</f>
        <v>#REF!</v>
      </c>
      <c r="L4396" s="7">
        <v>0</v>
      </c>
      <c r="M4396" s="19" t="e">
        <f>Planning[[#This Row],[Saldo]]-Planning[[#This Row],[Saldo estimado]]</f>
        <v>#REF!</v>
      </c>
      <c r="N4396" s="60" t="e">
        <f>+SUMIFS(#REF!,#REF!,Planning[[#This Row],[Proyectos]],#REF!,Planning[[#This Row],[Tipo de Tarea y especialidad]])</f>
        <v>#REF!</v>
      </c>
      <c r="O4396" s="19">
        <f t="shared" si="136"/>
        <v>10</v>
      </c>
      <c r="P4396" s="19">
        <f t="shared" si="137"/>
        <v>2024</v>
      </c>
      <c r="Q43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96" s="19" t="str">
        <f>TEXT(Planning[[#This Row],[Mes]]*29,"mmmm")</f>
        <v>October</v>
      </c>
      <c r="S43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96" s="219"/>
      <c r="U4396" s="43" t="e">
        <f>IF(Planning[[#This Row],[Horas Planificadas]]&lt;&gt;0,+K4396/Planning[[#This Row],[Horas Planificadas]],0)</f>
        <v>#REF!</v>
      </c>
      <c r="V4396" s="43" t="e">
        <f>IF(Planning[[#This Row],[Horas Planificadas]]&lt;&gt;0,Planning[[#This Row],[Horas utilizadas]]/Planning[[#This Row],[Horas Planificadas]],0)</f>
        <v>#REF!</v>
      </c>
      <c r="W4396" s="44">
        <f>Planning[[#This Row],[Horas Planificadas]]+Planning[[#This Row],[Horas ajustadas adicionales]]</f>
        <v>36</v>
      </c>
      <c r="X4396" s="142"/>
    </row>
    <row r="4397" spans="1:24" x14ac:dyDescent="0.2">
      <c r="A4397" s="7" t="s">
        <v>204</v>
      </c>
      <c r="B4397" s="7" t="s">
        <v>463</v>
      </c>
      <c r="C4397" s="3">
        <v>116885</v>
      </c>
      <c r="D4397" s="3" t="s">
        <v>753</v>
      </c>
      <c r="E4397" s="4"/>
      <c r="F4397" s="3" t="s">
        <v>128</v>
      </c>
      <c r="G4397" s="9"/>
      <c r="H4397" s="9">
        <v>54</v>
      </c>
      <c r="I4397" s="12"/>
      <c r="J4397" s="5" t="e">
        <f>SUM(SUMIFS(#REF!,#REF!,Planning[[#This Row],[Tipo de Tarea y especialidad]],#REF!,Planning[[#This Row],[Proyectos Reiwa]]),SUMIFS(#REF!,#REF!,Planning[[#This Row],[Tipo de Tarea y especialidad]],#REF!,Planning[[#This Row],[Proyectos]]))</f>
        <v>#REF!</v>
      </c>
      <c r="K4397" s="5" t="e">
        <f>+Planning[[#This Row],[Horas Planificadas]]+Planning[[#This Row],[Horas ajustadas adicionales]]-Planning[[#This Row],[Horas utilizadas]]</f>
        <v>#REF!</v>
      </c>
      <c r="L4397" s="7">
        <v>0</v>
      </c>
      <c r="M4397" s="19" t="e">
        <f>Planning[[#This Row],[Saldo]]-Planning[[#This Row],[Saldo estimado]]</f>
        <v>#REF!</v>
      </c>
      <c r="N4397" s="60" t="e">
        <f>+SUMIFS(#REF!,#REF!,Planning[[#This Row],[Proyectos]],#REF!,Planning[[#This Row],[Tipo de Tarea y especialidad]])</f>
        <v>#REF!</v>
      </c>
      <c r="O4397" s="19">
        <f t="shared" si="136"/>
        <v>10</v>
      </c>
      <c r="P4397" s="19">
        <f t="shared" si="137"/>
        <v>2024</v>
      </c>
      <c r="Q43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397" s="19" t="str">
        <f>TEXT(Planning[[#This Row],[Mes]]*29,"mmmm")</f>
        <v>October</v>
      </c>
      <c r="S43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97" s="219"/>
      <c r="U4397" s="43" t="e">
        <f>IF(Planning[[#This Row],[Horas Planificadas]]&lt;&gt;0,+K4397/Planning[[#This Row],[Horas Planificadas]],0)</f>
        <v>#REF!</v>
      </c>
      <c r="V4397" s="43" t="e">
        <f>IF(Planning[[#This Row],[Horas Planificadas]]&lt;&gt;0,Planning[[#This Row],[Horas utilizadas]]/Planning[[#This Row],[Horas Planificadas]],0)</f>
        <v>#REF!</v>
      </c>
      <c r="W4397" s="44">
        <f>Planning[[#This Row],[Horas Planificadas]]+Planning[[#This Row],[Horas ajustadas adicionales]]</f>
        <v>54</v>
      </c>
      <c r="X4397" s="142"/>
    </row>
    <row r="4398" spans="1:24" x14ac:dyDescent="0.2">
      <c r="A4398" s="7" t="s">
        <v>204</v>
      </c>
      <c r="B4398" s="7" t="s">
        <v>463</v>
      </c>
      <c r="C4398" s="3">
        <v>116885</v>
      </c>
      <c r="D4398" s="3" t="s">
        <v>753</v>
      </c>
      <c r="E4398" s="4" t="s">
        <v>31</v>
      </c>
      <c r="F4398" s="3" t="s">
        <v>31</v>
      </c>
      <c r="G4398" s="9">
        <v>100</v>
      </c>
      <c r="H4398" s="17">
        <v>100</v>
      </c>
      <c r="I4398" s="18"/>
      <c r="J4398" s="14" t="e">
        <f>+SUMIFS(#REF!,#REF!,Planning[[#This Row],[Tarifa]],#REF!,Planning[[#This Row],[Proyectos]])</f>
        <v>#REF!</v>
      </c>
      <c r="K4398" s="14" t="e">
        <f>+Planning[[#This Row],[Horas Planificadas]]+Planning[[#This Row],[Horas ajustadas adicionales]]-Planning[[#This Row],[Horas utilizadas]]</f>
        <v>#REF!</v>
      </c>
      <c r="L4398" s="15" t="e">
        <f t="shared" si="138"/>
        <v>#REF!</v>
      </c>
      <c r="M4398" s="16" t="e">
        <f>Planning[[#This Row],[Saldo]]-Planning[[#This Row],[Saldo estimado]]</f>
        <v>#REF!</v>
      </c>
      <c r="N4398" s="60"/>
      <c r="O4398" s="16">
        <f t="shared" si="136"/>
        <v>10</v>
      </c>
      <c r="P4398" s="16">
        <f t="shared" si="137"/>
        <v>2024</v>
      </c>
      <c r="Q4398" s="16" t="e">
        <f>+SUMIFS(#REF!,#REF!,Planning[[#This Row],[Tarifa]],#REF!,Planning[[#This Row],[Proyectos]],#REF!,Planning[[#This Row],[Mes]],#REF!,Planning[[#This Row],[Año]])</f>
        <v>#REF!</v>
      </c>
      <c r="R4398" s="16" t="str">
        <f>TEXT(Planning[[#This Row],[Mes]]*29,"mmmm")</f>
        <v>October</v>
      </c>
      <c r="S43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98" s="219"/>
      <c r="U4398" s="43" t="e">
        <f>IF(Planning[[#This Row],[Horas Planificadas]]&lt;&gt;0,+K4398/Planning[[#This Row],[Horas Planificadas]],0)</f>
        <v>#REF!</v>
      </c>
      <c r="V4398" s="43" t="e">
        <f>IF(Planning[[#This Row],[Horas Planificadas]]&lt;&gt;0,Planning[[#This Row],[Horas utilizadas]]/Planning[[#This Row],[Horas Planificadas]],0)</f>
        <v>#REF!</v>
      </c>
      <c r="W4398" s="44">
        <f>Planning[[#This Row],[Horas Planificadas]]+Planning[[#This Row],[Horas ajustadas adicionales]]</f>
        <v>100</v>
      </c>
      <c r="X4398" s="142"/>
    </row>
    <row r="4399" spans="1:24" ht="22.5" x14ac:dyDescent="0.2">
      <c r="A4399" s="7" t="s">
        <v>204</v>
      </c>
      <c r="B4399" s="7" t="s">
        <v>463</v>
      </c>
      <c r="C4399" s="3">
        <v>116885</v>
      </c>
      <c r="D4399" s="3" t="s">
        <v>753</v>
      </c>
      <c r="E4399" s="4" t="s">
        <v>32</v>
      </c>
      <c r="F4399" s="3"/>
      <c r="G4399" s="9">
        <v>320</v>
      </c>
      <c r="H4399" s="14">
        <f>SUM(H4400:H4402)</f>
        <v>320</v>
      </c>
      <c r="I4399" s="14"/>
      <c r="J4399" s="14" t="e">
        <f>SUM(J4400:J4402)</f>
        <v>#REF!</v>
      </c>
      <c r="K4399" s="14" t="e">
        <f>+Planning[[#This Row],[Horas Planificadas]]+Planning[[#This Row],[Horas ajustadas adicionales]]-Planning[[#This Row],[Horas utilizadas]]</f>
        <v>#REF!</v>
      </c>
      <c r="L4399" s="15" t="e">
        <f>SUM(L4400:L4402)</f>
        <v>#REF!</v>
      </c>
      <c r="M4399" s="16" t="e">
        <f>SUM(M4400:M4402)</f>
        <v>#REF!</v>
      </c>
      <c r="N4399" s="60"/>
      <c r="O4399" s="16">
        <f t="shared" si="136"/>
        <v>10</v>
      </c>
      <c r="P4399" s="16">
        <f t="shared" si="137"/>
        <v>2024</v>
      </c>
      <c r="Q4399" s="16" t="e">
        <f>SUM(Q4400:Q4402)</f>
        <v>#REF!</v>
      </c>
      <c r="R4399" s="16" t="str">
        <f>TEXT(Planning[[#This Row],[Mes]]*29,"mmmm")</f>
        <v>October</v>
      </c>
      <c r="S43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399" s="219"/>
      <c r="U4399" s="43" t="e">
        <f>IF(Planning[[#This Row],[Horas Planificadas]]&lt;&gt;0,+K4399/Planning[[#This Row],[Horas Planificadas]],0)</f>
        <v>#REF!</v>
      </c>
      <c r="V4399" s="43" t="e">
        <f>IF(Planning[[#This Row],[Horas Planificadas]]&lt;&gt;0,Planning[[#This Row],[Horas utilizadas]]/Planning[[#This Row],[Horas Planificadas]],0)</f>
        <v>#REF!</v>
      </c>
      <c r="W4399" s="44">
        <f>Planning[[#This Row],[Horas Planificadas]]+Planning[[#This Row],[Horas ajustadas adicionales]]</f>
        <v>320</v>
      </c>
      <c r="X4399" s="142"/>
    </row>
    <row r="4400" spans="1:24" x14ac:dyDescent="0.2">
      <c r="A4400" s="7" t="s">
        <v>204</v>
      </c>
      <c r="B4400" s="7" t="s">
        <v>463</v>
      </c>
      <c r="C4400" s="3">
        <v>116885</v>
      </c>
      <c r="D4400" s="3" t="s">
        <v>753</v>
      </c>
      <c r="E4400" s="4"/>
      <c r="F4400" s="3" t="s">
        <v>129</v>
      </c>
      <c r="G4400" s="9"/>
      <c r="H4400" s="9"/>
      <c r="I4400" s="12"/>
      <c r="J4400" s="5" t="e">
        <f>SUM(SUMIFS(#REF!,#REF!,Planning[[#This Row],[Tipo de Tarea y especialidad]],#REF!,Planning[[#This Row],[Proyectos Reiwa]]),SUMIFS(#REF!,#REF!,Planning[[#This Row],[Tipo de Tarea y especialidad]],#REF!,Planning[[#This Row],[Proyectos]]))</f>
        <v>#REF!</v>
      </c>
      <c r="K4400" s="5" t="e">
        <f>+Planning[[#This Row],[Horas Planificadas]]+Planning[[#This Row],[Horas ajustadas adicionales]]-Planning[[#This Row],[Horas utilizadas]]</f>
        <v>#REF!</v>
      </c>
      <c r="L4400" s="7" t="e">
        <f>K4400</f>
        <v>#REF!</v>
      </c>
      <c r="M4400" s="19" t="e">
        <f>Planning[[#This Row],[Saldo]]-Planning[[#This Row],[Saldo estimado]]</f>
        <v>#REF!</v>
      </c>
      <c r="N4400" s="60" t="e">
        <f>+SUMIFS(#REF!,#REF!,Planning[[#This Row],[Proyectos]],#REF!,Planning[[#This Row],[Tipo de Tarea y especialidad]])</f>
        <v>#REF!</v>
      </c>
      <c r="O4400" s="19">
        <f t="shared" si="136"/>
        <v>10</v>
      </c>
      <c r="P4400" s="19">
        <f t="shared" si="137"/>
        <v>2024</v>
      </c>
      <c r="Q44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00" s="19" t="str">
        <f>TEXT(Planning[[#This Row],[Mes]]*29,"mmmm")</f>
        <v>October</v>
      </c>
      <c r="S44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00" s="219"/>
      <c r="U4400" s="43">
        <f>IF(Planning[[#This Row],[Horas Planificadas]]&lt;&gt;0,+K4400/Planning[[#This Row],[Horas Planificadas]],0)</f>
        <v>0</v>
      </c>
      <c r="V4400" s="43">
        <f>IF(Planning[[#This Row],[Horas Planificadas]]&lt;&gt;0,Planning[[#This Row],[Horas utilizadas]]/Planning[[#This Row],[Horas Planificadas]],0)</f>
        <v>0</v>
      </c>
      <c r="W4400" s="44">
        <f>Planning[[#This Row],[Horas Planificadas]]+Planning[[#This Row],[Horas ajustadas adicionales]]</f>
        <v>0</v>
      </c>
      <c r="X4400" s="142"/>
    </row>
    <row r="4401" spans="1:24" x14ac:dyDescent="0.2">
      <c r="A4401" s="7" t="s">
        <v>204</v>
      </c>
      <c r="B4401" s="7" t="s">
        <v>463</v>
      </c>
      <c r="C4401" s="3">
        <v>116885</v>
      </c>
      <c r="D4401" s="3" t="s">
        <v>753</v>
      </c>
      <c r="E4401" s="4"/>
      <c r="F4401" s="3" t="s">
        <v>130</v>
      </c>
      <c r="G4401" s="9"/>
      <c r="H4401" s="9">
        <v>320</v>
      </c>
      <c r="I4401" s="12"/>
      <c r="J4401" s="5" t="e">
        <f>SUM(SUMIFS(#REF!,#REF!,Planning[[#This Row],[Tipo de Tarea y especialidad]],#REF!,Planning[[#This Row],[Proyectos Reiwa]]),SUMIFS(#REF!,#REF!,Planning[[#This Row],[Tipo de Tarea y especialidad]],#REF!,Planning[[#This Row],[Proyectos]]))</f>
        <v>#REF!</v>
      </c>
      <c r="K4401" s="5" t="e">
        <f>+Planning[[#This Row],[Horas Planificadas]]+Planning[[#This Row],[Horas ajustadas adicionales]]-Planning[[#This Row],[Horas utilizadas]]</f>
        <v>#REF!</v>
      </c>
      <c r="L4401" s="7">
        <v>0</v>
      </c>
      <c r="M4401" s="19" t="e">
        <f>Planning[[#This Row],[Saldo]]-Planning[[#This Row],[Saldo estimado]]</f>
        <v>#REF!</v>
      </c>
      <c r="N4401" s="60" t="e">
        <f>+SUMIFS(#REF!,#REF!,Planning[[#This Row],[Proyectos]],#REF!,Planning[[#This Row],[Tipo de Tarea y especialidad]])</f>
        <v>#REF!</v>
      </c>
      <c r="O4401" s="19">
        <f t="shared" si="136"/>
        <v>10</v>
      </c>
      <c r="P4401" s="19">
        <f t="shared" si="137"/>
        <v>2024</v>
      </c>
      <c r="Q44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01" s="19" t="str">
        <f>TEXT(Planning[[#This Row],[Mes]]*29,"mmmm")</f>
        <v>October</v>
      </c>
      <c r="S44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01" s="219"/>
      <c r="U4401" s="43" t="e">
        <f>IF(Planning[[#This Row],[Horas Planificadas]]&lt;&gt;0,+K4401/Planning[[#This Row],[Horas Planificadas]],0)</f>
        <v>#REF!</v>
      </c>
      <c r="V4401" s="43" t="e">
        <f>IF(Planning[[#This Row],[Horas Planificadas]]&lt;&gt;0,Planning[[#This Row],[Horas utilizadas]]/Planning[[#This Row],[Horas Planificadas]],0)</f>
        <v>#REF!</v>
      </c>
      <c r="W4401" s="44">
        <f>Planning[[#This Row],[Horas Planificadas]]+Planning[[#This Row],[Horas ajustadas adicionales]]</f>
        <v>320</v>
      </c>
      <c r="X4401" s="142"/>
    </row>
    <row r="4402" spans="1:24" x14ac:dyDescent="0.2">
      <c r="A4402" s="7" t="s">
        <v>204</v>
      </c>
      <c r="B4402" s="7" t="s">
        <v>463</v>
      </c>
      <c r="C4402" s="3">
        <v>116885</v>
      </c>
      <c r="D4402" s="3" t="s">
        <v>753</v>
      </c>
      <c r="E4402" s="4"/>
      <c r="F4402" s="3" t="s">
        <v>131</v>
      </c>
      <c r="G4402" s="9"/>
      <c r="H4402" s="9"/>
      <c r="I4402" s="12"/>
      <c r="J4402" s="5" t="e">
        <f>SUM(SUMIFS(#REF!,#REF!,Planning[[#This Row],[Tipo de Tarea y especialidad]],#REF!,Planning[[#This Row],[Proyectos Reiwa]]),SUMIFS(#REF!,#REF!,Planning[[#This Row],[Tipo de Tarea y especialidad]],#REF!,Planning[[#This Row],[Proyectos]]))</f>
        <v>#REF!</v>
      </c>
      <c r="K4402" s="5" t="e">
        <f>+Planning[[#This Row],[Horas Planificadas]]+Planning[[#This Row],[Horas ajustadas adicionales]]-Planning[[#This Row],[Horas utilizadas]]</f>
        <v>#REF!</v>
      </c>
      <c r="L4402" s="7" t="e">
        <f>K4402</f>
        <v>#REF!</v>
      </c>
      <c r="M4402" s="19" t="e">
        <f>Planning[[#This Row],[Saldo]]-Planning[[#This Row],[Saldo estimado]]</f>
        <v>#REF!</v>
      </c>
      <c r="N4402" s="60" t="e">
        <f>+SUMIFS(#REF!,#REF!,Planning[[#This Row],[Proyectos]],#REF!,Planning[[#This Row],[Tipo de Tarea y especialidad]])</f>
        <v>#REF!</v>
      </c>
      <c r="O4402" s="19">
        <f t="shared" si="136"/>
        <v>10</v>
      </c>
      <c r="P4402" s="19">
        <f t="shared" si="137"/>
        <v>2024</v>
      </c>
      <c r="Q44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02" s="19" t="str">
        <f>TEXT(Planning[[#This Row],[Mes]]*29,"mmmm")</f>
        <v>October</v>
      </c>
      <c r="S44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02" s="219"/>
      <c r="U4402" s="43">
        <f>IF(Planning[[#This Row],[Horas Planificadas]]&lt;&gt;0,+K4402/Planning[[#This Row],[Horas Planificadas]],0)</f>
        <v>0</v>
      </c>
      <c r="V4402" s="43">
        <f>IF(Planning[[#This Row],[Horas Planificadas]]&lt;&gt;0,Planning[[#This Row],[Horas utilizadas]]/Planning[[#This Row],[Horas Planificadas]],0)</f>
        <v>0</v>
      </c>
      <c r="W4402" s="44">
        <f>Planning[[#This Row],[Horas Planificadas]]+Planning[[#This Row],[Horas ajustadas adicionales]]</f>
        <v>0</v>
      </c>
      <c r="X4402" s="142"/>
    </row>
    <row r="4403" spans="1:24" ht="22.5" x14ac:dyDescent="0.2">
      <c r="A4403" s="7" t="s">
        <v>435</v>
      </c>
      <c r="B4403" s="7" t="s">
        <v>582</v>
      </c>
      <c r="C4403" s="129">
        <v>116886</v>
      </c>
      <c r="D4403" s="3" t="s">
        <v>755</v>
      </c>
      <c r="E4403" s="4" t="s">
        <v>28</v>
      </c>
      <c r="F4403" s="3"/>
      <c r="G4403" s="9">
        <v>700</v>
      </c>
      <c r="H4403" s="14">
        <f>SUM(H4404:H4405)</f>
        <v>700</v>
      </c>
      <c r="I4403" s="14"/>
      <c r="J4403" s="14" t="e">
        <f>SUM(J4404:J4405)</f>
        <v>#REF!</v>
      </c>
      <c r="K4403" s="14" t="e">
        <f>+Planning[[#This Row],[Horas Planificadas]]+Planning[[#This Row],[Horas ajustadas adicionales]]-Planning[[#This Row],[Horas utilizadas]]</f>
        <v>#REF!</v>
      </c>
      <c r="L4403" s="15">
        <f>SUM(L4404:L4405)</f>
        <v>45</v>
      </c>
      <c r="M4403" s="14" t="e">
        <f>SUM(M4404:M4405)</f>
        <v>#REF!</v>
      </c>
      <c r="N4403" s="66"/>
      <c r="O4403" s="14">
        <f t="shared" si="136"/>
        <v>10</v>
      </c>
      <c r="P4403" s="14">
        <f t="shared" si="137"/>
        <v>2024</v>
      </c>
      <c r="Q4403" s="28" t="e">
        <f>SUM(Q4404:Q4405)</f>
        <v>#REF!</v>
      </c>
      <c r="R4403" s="28" t="str">
        <f>TEXT(Planning[[#This Row],[Mes]]*29,"mmmm")</f>
        <v>October</v>
      </c>
      <c r="S44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03" s="224" t="s">
        <v>756</v>
      </c>
      <c r="U4403" s="43" t="e">
        <f>IF(Planning[[#This Row],[Horas Planificadas]]&lt;&gt;0,+K4403/Planning[[#This Row],[Horas Planificadas]],0)</f>
        <v>#REF!</v>
      </c>
      <c r="V4403" s="43" t="e">
        <f>IF(Planning[[#This Row],[Horas Planificadas]]&lt;&gt;0,Planning[[#This Row],[Horas utilizadas]]/Planning[[#This Row],[Horas Planificadas]],0)</f>
        <v>#REF!</v>
      </c>
      <c r="W4403" s="44">
        <f>Planning[[#This Row],[Horas Planificadas]]+Planning[[#This Row],[Horas ajustadas adicionales]]</f>
        <v>700</v>
      </c>
      <c r="X4403" s="142"/>
    </row>
    <row r="4404" spans="1:24" x14ac:dyDescent="0.2">
      <c r="A4404" s="7" t="s">
        <v>435</v>
      </c>
      <c r="B4404" s="7" t="s">
        <v>582</v>
      </c>
      <c r="C4404" s="128">
        <v>116886</v>
      </c>
      <c r="D4404" s="3" t="s">
        <v>755</v>
      </c>
      <c r="E4404" s="4"/>
      <c r="F4404" s="3" t="s">
        <v>120</v>
      </c>
      <c r="G4404" s="9"/>
      <c r="H4404" s="9">
        <v>480</v>
      </c>
      <c r="I4404" s="12"/>
      <c r="J4404" s="5" t="e">
        <f>SUM(SUMIFS(#REF!,#REF!,Planning[[#This Row],[Tipo de Tarea y especialidad]],#REF!,Planning[[#This Row],[Proyectos Reiwa]]),SUMIFS(#REF!,#REF!,Planning[[#This Row],[Tipo de Tarea y especialidad]],#REF!,Planning[[#This Row],[Proyectos]]))</f>
        <v>#REF!</v>
      </c>
      <c r="K4404" s="5" t="e">
        <f>+Planning[[#This Row],[Horas Planificadas]]+Planning[[#This Row],[Horas ajustadas adicionales]]-Planning[[#This Row],[Horas utilizadas]]</f>
        <v>#REF!</v>
      </c>
      <c r="L4404" s="7">
        <v>0</v>
      </c>
      <c r="M4404" s="19" t="e">
        <f>Planning[[#This Row],[Saldo]]-Planning[[#This Row],[Saldo estimado]]</f>
        <v>#REF!</v>
      </c>
      <c r="N4404" s="60" t="e">
        <f>+SUMIFS(#REF!,#REF!,Planning[[#This Row],[Proyectos]],#REF!,Planning[[#This Row],[Tipo de Tarea y especialidad]])</f>
        <v>#REF!</v>
      </c>
      <c r="O4404" s="19">
        <f t="shared" si="136"/>
        <v>10</v>
      </c>
      <c r="P4404" s="19">
        <f t="shared" si="137"/>
        <v>2024</v>
      </c>
      <c r="Q44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04" s="19" t="str">
        <f>TEXT(Planning[[#This Row],[Mes]]*29,"mmmm")</f>
        <v>October</v>
      </c>
      <c r="S44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04" s="210"/>
      <c r="U4404" s="43" t="e">
        <f>IF(Planning[[#This Row],[Horas Planificadas]]&lt;&gt;0,+K4404/Planning[[#This Row],[Horas Planificadas]],0)</f>
        <v>#REF!</v>
      </c>
      <c r="V4404" s="43" t="e">
        <f>IF(Planning[[#This Row],[Horas Planificadas]]&lt;&gt;0,Planning[[#This Row],[Horas utilizadas]]/Planning[[#This Row],[Horas Planificadas]],0)</f>
        <v>#REF!</v>
      </c>
      <c r="W4404" s="44">
        <f>Planning[[#This Row],[Horas Planificadas]]+Planning[[#This Row],[Horas ajustadas adicionales]]</f>
        <v>480</v>
      </c>
      <c r="X4404" s="142"/>
    </row>
    <row r="4405" spans="1:24" x14ac:dyDescent="0.2">
      <c r="A4405" s="7" t="s">
        <v>435</v>
      </c>
      <c r="B4405" s="7" t="s">
        <v>582</v>
      </c>
      <c r="C4405" s="129">
        <v>116886</v>
      </c>
      <c r="D4405" s="3" t="s">
        <v>755</v>
      </c>
      <c r="E4405" s="4"/>
      <c r="F4405" s="3" t="s">
        <v>121</v>
      </c>
      <c r="G4405" s="9"/>
      <c r="H4405" s="9">
        <v>220</v>
      </c>
      <c r="I4405" s="12"/>
      <c r="J4405" s="5" t="e">
        <f>SUM(SUMIFS(#REF!,#REF!,Planning[[#This Row],[Tipo de Tarea y especialidad]],#REF!,Planning[[#This Row],[Proyectos Reiwa]]),SUMIFS(#REF!,#REF!,Planning[[#This Row],[Tipo de Tarea y especialidad]],#REF!,Planning[[#This Row],[Proyectos]]))</f>
        <v>#REF!</v>
      </c>
      <c r="K4405" s="5" t="e">
        <f>+Planning[[#This Row],[Horas Planificadas]]+Planning[[#This Row],[Horas ajustadas adicionales]]-Planning[[#This Row],[Horas utilizadas]]</f>
        <v>#REF!</v>
      </c>
      <c r="L4405" s="7">
        <v>45</v>
      </c>
      <c r="M4405" s="19" t="e">
        <f>Planning[[#This Row],[Saldo]]-Planning[[#This Row],[Saldo estimado]]</f>
        <v>#REF!</v>
      </c>
      <c r="N4405" s="60" t="e">
        <f>+SUMIFS(#REF!,#REF!,Planning[[#This Row],[Proyectos]],#REF!,Planning[[#This Row],[Tipo de Tarea y especialidad]])</f>
        <v>#REF!</v>
      </c>
      <c r="O4405" s="19">
        <f t="shared" si="136"/>
        <v>10</v>
      </c>
      <c r="P4405" s="19">
        <f t="shared" si="137"/>
        <v>2024</v>
      </c>
      <c r="Q44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05" s="19" t="str">
        <f>TEXT(Planning[[#This Row],[Mes]]*29,"mmmm")</f>
        <v>October</v>
      </c>
      <c r="S44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05" s="210"/>
      <c r="U4405" s="43" t="e">
        <f>IF(Planning[[#This Row],[Horas Planificadas]]&lt;&gt;0,+K4405/Planning[[#This Row],[Horas Planificadas]],0)</f>
        <v>#REF!</v>
      </c>
      <c r="V4405" s="43" t="e">
        <f>IF(Planning[[#This Row],[Horas Planificadas]]&lt;&gt;0,Planning[[#This Row],[Horas utilizadas]]/Planning[[#This Row],[Horas Planificadas]],0)</f>
        <v>#REF!</v>
      </c>
      <c r="W4405" s="44">
        <f>Planning[[#This Row],[Horas Planificadas]]+Planning[[#This Row],[Horas ajustadas adicionales]]</f>
        <v>220</v>
      </c>
      <c r="X4405" s="142"/>
    </row>
    <row r="4406" spans="1:24" x14ac:dyDescent="0.2">
      <c r="A4406" s="7" t="s">
        <v>435</v>
      </c>
      <c r="B4406" s="7" t="s">
        <v>582</v>
      </c>
      <c r="C4406" s="128">
        <v>116886</v>
      </c>
      <c r="D4406" s="3" t="s">
        <v>755</v>
      </c>
      <c r="E4406" s="4" t="s">
        <v>30</v>
      </c>
      <c r="F4406" s="3"/>
      <c r="G4406" s="9">
        <v>423</v>
      </c>
      <c r="H4406" s="14">
        <f>SUM(H4407:H4413)</f>
        <v>378</v>
      </c>
      <c r="I4406" s="14"/>
      <c r="J4406" s="14" t="e">
        <f>SUM(J4407:J4413)</f>
        <v>#REF!</v>
      </c>
      <c r="K4406" s="14" t="e">
        <f>+Planning[[#This Row],[Horas Planificadas]]+Planning[[#This Row],[Horas ajustadas adicionales]]-Planning[[#This Row],[Horas utilizadas]]</f>
        <v>#REF!</v>
      </c>
      <c r="L4406" s="15">
        <f>SUM(L4407:L4413)</f>
        <v>63</v>
      </c>
      <c r="M4406" s="16" t="e">
        <f>SUM(M4407:M4413)</f>
        <v>#REF!</v>
      </c>
      <c r="N4406" s="60"/>
      <c r="O4406" s="16">
        <f t="shared" si="136"/>
        <v>10</v>
      </c>
      <c r="P4406" s="16">
        <f t="shared" si="137"/>
        <v>2024</v>
      </c>
      <c r="Q4406" s="16" t="e">
        <f>SUM(Q4407:Q4413)</f>
        <v>#REF!</v>
      </c>
      <c r="R4406" s="16" t="str">
        <f>TEXT(Planning[[#This Row],[Mes]]*29,"mmmm")</f>
        <v>October</v>
      </c>
      <c r="S44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06" s="210"/>
      <c r="U4406" s="43" t="e">
        <f>IF(Planning[[#This Row],[Horas Planificadas]]&lt;&gt;0,+K4406/Planning[[#This Row],[Horas Planificadas]],0)</f>
        <v>#REF!</v>
      </c>
      <c r="V4406" s="43" t="e">
        <f>IF(Planning[[#This Row],[Horas Planificadas]]&lt;&gt;0,Planning[[#This Row],[Horas utilizadas]]/Planning[[#This Row],[Horas Planificadas]],0)</f>
        <v>#REF!</v>
      </c>
      <c r="W4406" s="44">
        <f>Planning[[#This Row],[Horas Planificadas]]+Planning[[#This Row],[Horas ajustadas adicionales]]</f>
        <v>378</v>
      </c>
      <c r="X4406" s="142"/>
    </row>
    <row r="4407" spans="1:24" x14ac:dyDescent="0.2">
      <c r="A4407" s="7" t="s">
        <v>435</v>
      </c>
      <c r="B4407" s="7" t="s">
        <v>582</v>
      </c>
      <c r="C4407" s="129">
        <v>116886</v>
      </c>
      <c r="D4407" s="3" t="s">
        <v>755</v>
      </c>
      <c r="E4407" s="4"/>
      <c r="F4407" s="3" t="s">
        <v>122</v>
      </c>
      <c r="G4407" s="9"/>
      <c r="H4407" s="9">
        <v>180</v>
      </c>
      <c r="I4407" s="12"/>
      <c r="J4407" s="5" t="e">
        <f>SUM(SUMIFS(#REF!,#REF!,Planning[[#This Row],[Tipo de Tarea y especialidad]],#REF!,Planning[[#This Row],[Proyectos Reiwa]]),SUMIFS(#REF!,#REF!,Planning[[#This Row],[Tipo de Tarea y especialidad]],#REF!,Planning[[#This Row],[Proyectos]]))</f>
        <v>#REF!</v>
      </c>
      <c r="K4407" s="5" t="e">
        <f>+Planning[[#This Row],[Horas Planificadas]]+Planning[[#This Row],[Horas ajustadas adicionales]]-Planning[[#This Row],[Horas utilizadas]]</f>
        <v>#REF!</v>
      </c>
      <c r="L4407" s="7">
        <v>0</v>
      </c>
      <c r="M4407" s="19" t="e">
        <f>Planning[[#This Row],[Saldo]]-Planning[[#This Row],[Saldo estimado]]</f>
        <v>#REF!</v>
      </c>
      <c r="N4407" s="60" t="e">
        <f>+SUMIFS(#REF!,#REF!,Planning[[#This Row],[Proyectos]],#REF!,Planning[[#This Row],[Tipo de Tarea y especialidad]])</f>
        <v>#REF!</v>
      </c>
      <c r="O4407" s="19">
        <f t="shared" si="136"/>
        <v>10</v>
      </c>
      <c r="P4407" s="19">
        <f t="shared" si="137"/>
        <v>2024</v>
      </c>
      <c r="Q44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07" s="19" t="str">
        <f>TEXT(Planning[[#This Row],[Mes]]*29,"mmmm")</f>
        <v>October</v>
      </c>
      <c r="S44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07" s="210"/>
      <c r="U4407" s="43" t="e">
        <f>IF(Planning[[#This Row],[Horas Planificadas]]&lt;&gt;0,+K4407/Planning[[#This Row],[Horas Planificadas]],0)</f>
        <v>#REF!</v>
      </c>
      <c r="V4407" s="43" t="e">
        <f>IF(Planning[[#This Row],[Horas Planificadas]]&lt;&gt;0,Planning[[#This Row],[Horas utilizadas]]/Planning[[#This Row],[Horas Planificadas]],0)</f>
        <v>#REF!</v>
      </c>
      <c r="W4407" s="44">
        <f>Planning[[#This Row],[Horas Planificadas]]+Planning[[#This Row],[Horas ajustadas adicionales]]</f>
        <v>180</v>
      </c>
      <c r="X4407" s="142"/>
    </row>
    <row r="4408" spans="1:24" x14ac:dyDescent="0.2">
      <c r="A4408" s="7" t="s">
        <v>435</v>
      </c>
      <c r="B4408" s="7" t="s">
        <v>582</v>
      </c>
      <c r="C4408" s="128">
        <v>116886</v>
      </c>
      <c r="D4408" s="3" t="s">
        <v>755</v>
      </c>
      <c r="E4408" s="4"/>
      <c r="F4408" s="3" t="s">
        <v>123</v>
      </c>
      <c r="G4408" s="9"/>
      <c r="H4408" s="9">
        <v>0</v>
      </c>
      <c r="I4408" s="12"/>
      <c r="J4408" s="5" t="e">
        <f>SUM(SUMIFS(#REF!,#REF!,Planning[[#This Row],[Tipo de Tarea y especialidad]],#REF!,Planning[[#This Row],[Proyectos Reiwa]]),SUMIFS(#REF!,#REF!,Planning[[#This Row],[Tipo de Tarea y especialidad]],#REF!,Planning[[#This Row],[Proyectos]]))</f>
        <v>#REF!</v>
      </c>
      <c r="K4408" s="5" t="e">
        <f>+Planning[[#This Row],[Horas Planificadas]]+Planning[[#This Row],[Horas ajustadas adicionales]]-Planning[[#This Row],[Horas utilizadas]]</f>
        <v>#REF!</v>
      </c>
      <c r="L4408" s="7">
        <v>0</v>
      </c>
      <c r="M4408" s="19" t="e">
        <f>Planning[[#This Row],[Saldo]]-Planning[[#This Row],[Saldo estimado]]</f>
        <v>#REF!</v>
      </c>
      <c r="N4408" s="60" t="e">
        <f>+SUMIFS(#REF!,#REF!,Planning[[#This Row],[Proyectos]],#REF!,Planning[[#This Row],[Tipo de Tarea y especialidad]])</f>
        <v>#REF!</v>
      </c>
      <c r="O4408" s="19">
        <f t="shared" si="136"/>
        <v>10</v>
      </c>
      <c r="P4408" s="19">
        <f t="shared" si="137"/>
        <v>2024</v>
      </c>
      <c r="Q44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08" s="19" t="str">
        <f>TEXT(Planning[[#This Row],[Mes]]*29,"mmmm")</f>
        <v>October</v>
      </c>
      <c r="S44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08" s="210"/>
      <c r="U4408" s="43">
        <f>IF(Planning[[#This Row],[Horas Planificadas]]&lt;&gt;0,+K4408/Planning[[#This Row],[Horas Planificadas]],0)</f>
        <v>0</v>
      </c>
      <c r="V4408" s="43">
        <f>IF(Planning[[#This Row],[Horas Planificadas]]&lt;&gt;0,Planning[[#This Row],[Horas utilizadas]]/Planning[[#This Row],[Horas Planificadas]],0)</f>
        <v>0</v>
      </c>
      <c r="W4408" s="44">
        <f>Planning[[#This Row],[Horas Planificadas]]+Planning[[#This Row],[Horas ajustadas adicionales]]</f>
        <v>0</v>
      </c>
      <c r="X4408" s="142"/>
    </row>
    <row r="4409" spans="1:24" x14ac:dyDescent="0.2">
      <c r="A4409" s="7" t="s">
        <v>435</v>
      </c>
      <c r="B4409" s="7" t="s">
        <v>582</v>
      </c>
      <c r="C4409" s="129">
        <v>116886</v>
      </c>
      <c r="D4409" s="3" t="s">
        <v>755</v>
      </c>
      <c r="E4409" s="4"/>
      <c r="F4409" s="3" t="s">
        <v>124</v>
      </c>
      <c r="G4409" s="9"/>
      <c r="H4409" s="9">
        <v>0</v>
      </c>
      <c r="I4409" s="12"/>
      <c r="J4409" s="5" t="e">
        <f>SUM(SUMIFS(#REF!,#REF!,Planning[[#This Row],[Tipo de Tarea y especialidad]],#REF!,Planning[[#This Row],[Proyectos Reiwa]]),SUMIFS(#REF!,#REF!,Planning[[#This Row],[Tipo de Tarea y especialidad]],#REF!,Planning[[#This Row],[Proyectos]]))</f>
        <v>#REF!</v>
      </c>
      <c r="K4409" s="5" t="e">
        <f>+Planning[[#This Row],[Horas Planificadas]]+Planning[[#This Row],[Horas ajustadas adicionales]]-Planning[[#This Row],[Horas utilizadas]]</f>
        <v>#REF!</v>
      </c>
      <c r="L4409" s="7">
        <v>0</v>
      </c>
      <c r="M4409" s="19" t="e">
        <f>Planning[[#This Row],[Saldo]]-Planning[[#This Row],[Saldo estimado]]</f>
        <v>#REF!</v>
      </c>
      <c r="N4409" s="60" t="e">
        <f>+SUMIFS(#REF!,#REF!,Planning[[#This Row],[Proyectos]],#REF!,Planning[[#This Row],[Tipo de Tarea y especialidad]])</f>
        <v>#REF!</v>
      </c>
      <c r="O4409" s="19">
        <f t="shared" si="136"/>
        <v>10</v>
      </c>
      <c r="P4409" s="19">
        <f t="shared" si="137"/>
        <v>2024</v>
      </c>
      <c r="Q44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09" s="19" t="str">
        <f>TEXT(Planning[[#This Row],[Mes]]*29,"mmmm")</f>
        <v>October</v>
      </c>
      <c r="S44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09" s="210"/>
      <c r="U4409" s="43">
        <f>IF(Planning[[#This Row],[Horas Planificadas]]&lt;&gt;0,+K4409/Planning[[#This Row],[Horas Planificadas]],0)</f>
        <v>0</v>
      </c>
      <c r="V4409" s="43">
        <f>IF(Planning[[#This Row],[Horas Planificadas]]&lt;&gt;0,Planning[[#This Row],[Horas utilizadas]]/Planning[[#This Row],[Horas Planificadas]],0)</f>
        <v>0</v>
      </c>
      <c r="W4409" s="44">
        <f>Planning[[#This Row],[Horas Planificadas]]+Planning[[#This Row],[Horas ajustadas adicionales]]</f>
        <v>0</v>
      </c>
      <c r="X4409" s="142"/>
    </row>
    <row r="4410" spans="1:24" x14ac:dyDescent="0.2">
      <c r="A4410" s="7" t="s">
        <v>435</v>
      </c>
      <c r="B4410" s="7" t="s">
        <v>582</v>
      </c>
      <c r="C4410" s="128">
        <v>116886</v>
      </c>
      <c r="D4410" s="3" t="s">
        <v>755</v>
      </c>
      <c r="E4410" s="4"/>
      <c r="F4410" s="3" t="s">
        <v>125</v>
      </c>
      <c r="G4410" s="9"/>
      <c r="H4410" s="9">
        <v>72</v>
      </c>
      <c r="I4410" s="12"/>
      <c r="J4410" s="5" t="e">
        <f>SUM(SUMIFS(#REF!,#REF!,Planning[[#This Row],[Tipo de Tarea y especialidad]],#REF!,Planning[[#This Row],[Proyectos Reiwa]]),SUMIFS(#REF!,#REF!,Planning[[#This Row],[Tipo de Tarea y especialidad]],#REF!,Planning[[#This Row],[Proyectos]]))</f>
        <v>#REF!</v>
      </c>
      <c r="K4410" s="5" t="e">
        <f>+Planning[[#This Row],[Horas Planificadas]]+Planning[[#This Row],[Horas ajustadas adicionales]]-Planning[[#This Row],[Horas utilizadas]]</f>
        <v>#REF!</v>
      </c>
      <c r="L4410" s="7">
        <v>27</v>
      </c>
      <c r="M4410" s="19" t="e">
        <f>Planning[[#This Row],[Saldo]]-Planning[[#This Row],[Saldo estimado]]</f>
        <v>#REF!</v>
      </c>
      <c r="N4410" s="60" t="e">
        <f>+SUMIFS(#REF!,#REF!,Planning[[#This Row],[Proyectos]],#REF!,Planning[[#This Row],[Tipo de Tarea y especialidad]])</f>
        <v>#REF!</v>
      </c>
      <c r="O4410" s="19">
        <f t="shared" si="136"/>
        <v>10</v>
      </c>
      <c r="P4410" s="19">
        <f t="shared" si="137"/>
        <v>2024</v>
      </c>
      <c r="Q44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10" s="19" t="str">
        <f>TEXT(Planning[[#This Row],[Mes]]*29,"mmmm")</f>
        <v>October</v>
      </c>
      <c r="S44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10" s="210"/>
      <c r="U4410" s="43" t="e">
        <f>IF(Planning[[#This Row],[Horas Planificadas]]&lt;&gt;0,+K4410/Planning[[#This Row],[Horas Planificadas]],0)</f>
        <v>#REF!</v>
      </c>
      <c r="V4410" s="43" t="e">
        <f>IF(Planning[[#This Row],[Horas Planificadas]]&lt;&gt;0,Planning[[#This Row],[Horas utilizadas]]/Planning[[#This Row],[Horas Planificadas]],0)</f>
        <v>#REF!</v>
      </c>
      <c r="W4410" s="44">
        <f>Planning[[#This Row],[Horas Planificadas]]+Planning[[#This Row],[Horas ajustadas adicionales]]</f>
        <v>72</v>
      </c>
      <c r="X4410" s="142"/>
    </row>
    <row r="4411" spans="1:24" x14ac:dyDescent="0.2">
      <c r="A4411" s="7" t="s">
        <v>435</v>
      </c>
      <c r="B4411" s="7" t="s">
        <v>582</v>
      </c>
      <c r="C4411" s="129">
        <v>116886</v>
      </c>
      <c r="D4411" s="3" t="s">
        <v>755</v>
      </c>
      <c r="E4411" s="4"/>
      <c r="F4411" s="3" t="s">
        <v>126</v>
      </c>
      <c r="G4411" s="9"/>
      <c r="H4411" s="9">
        <v>126</v>
      </c>
      <c r="I4411" s="12"/>
      <c r="J4411" s="5" t="e">
        <f>SUM(SUMIFS(#REF!,#REF!,Planning[[#This Row],[Tipo de Tarea y especialidad]],#REF!,Planning[[#This Row],[Proyectos Reiwa]]),SUMIFS(#REF!,#REF!,Planning[[#This Row],[Tipo de Tarea y especialidad]],#REF!,Planning[[#This Row],[Proyectos]]))</f>
        <v>#REF!</v>
      </c>
      <c r="K4411" s="5" t="e">
        <f>+Planning[[#This Row],[Horas Planificadas]]+Planning[[#This Row],[Horas ajustadas adicionales]]-Planning[[#This Row],[Horas utilizadas]]</f>
        <v>#REF!</v>
      </c>
      <c r="L4411" s="7">
        <v>36</v>
      </c>
      <c r="M4411" s="19" t="e">
        <f>Planning[[#This Row],[Saldo]]-Planning[[#This Row],[Saldo estimado]]</f>
        <v>#REF!</v>
      </c>
      <c r="N4411" s="60" t="e">
        <f>+SUMIFS(#REF!,#REF!,Planning[[#This Row],[Proyectos]],#REF!,Planning[[#This Row],[Tipo de Tarea y especialidad]])</f>
        <v>#REF!</v>
      </c>
      <c r="O4411" s="19">
        <f t="shared" si="136"/>
        <v>10</v>
      </c>
      <c r="P4411" s="19">
        <f t="shared" si="137"/>
        <v>2024</v>
      </c>
      <c r="Q44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11" s="19" t="str">
        <f>TEXT(Planning[[#This Row],[Mes]]*29,"mmmm")</f>
        <v>October</v>
      </c>
      <c r="S44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11" s="210"/>
      <c r="U4411" s="43" t="e">
        <f>IF(Planning[[#This Row],[Horas Planificadas]]&lt;&gt;0,+K4411/Planning[[#This Row],[Horas Planificadas]],0)</f>
        <v>#REF!</v>
      </c>
      <c r="V4411" s="43" t="e">
        <f>IF(Planning[[#This Row],[Horas Planificadas]]&lt;&gt;0,Planning[[#This Row],[Horas utilizadas]]/Planning[[#This Row],[Horas Planificadas]],0)</f>
        <v>#REF!</v>
      </c>
      <c r="W4411" s="44">
        <f>Planning[[#This Row],[Horas Planificadas]]+Planning[[#This Row],[Horas ajustadas adicionales]]</f>
        <v>126</v>
      </c>
      <c r="X4411" s="142"/>
    </row>
    <row r="4412" spans="1:24" x14ac:dyDescent="0.2">
      <c r="A4412" s="7" t="s">
        <v>435</v>
      </c>
      <c r="B4412" s="7" t="s">
        <v>582</v>
      </c>
      <c r="C4412" s="128">
        <v>116886</v>
      </c>
      <c r="D4412" s="3" t="s">
        <v>755</v>
      </c>
      <c r="E4412" s="4"/>
      <c r="F4412" s="3" t="s">
        <v>127</v>
      </c>
      <c r="G4412" s="9"/>
      <c r="H4412" s="9">
        <v>0</v>
      </c>
      <c r="I4412" s="12"/>
      <c r="J4412" s="5" t="e">
        <f>SUM(SUMIFS(#REF!,#REF!,Planning[[#This Row],[Tipo de Tarea y especialidad]],#REF!,Planning[[#This Row],[Proyectos Reiwa]]),SUMIFS(#REF!,#REF!,Planning[[#This Row],[Tipo de Tarea y especialidad]],#REF!,Planning[[#This Row],[Proyectos]]))</f>
        <v>#REF!</v>
      </c>
      <c r="K4412" s="5" t="e">
        <f>+Planning[[#This Row],[Horas Planificadas]]+Planning[[#This Row],[Horas ajustadas adicionales]]-Planning[[#This Row],[Horas utilizadas]]</f>
        <v>#REF!</v>
      </c>
      <c r="L4412" s="7">
        <v>0</v>
      </c>
      <c r="M4412" s="19" t="e">
        <f>Planning[[#This Row],[Saldo]]-Planning[[#This Row],[Saldo estimado]]</f>
        <v>#REF!</v>
      </c>
      <c r="N4412" s="60" t="e">
        <f>+SUMIFS(#REF!,#REF!,Planning[[#This Row],[Proyectos]],#REF!,Planning[[#This Row],[Tipo de Tarea y especialidad]])</f>
        <v>#REF!</v>
      </c>
      <c r="O4412" s="19">
        <f t="shared" si="136"/>
        <v>10</v>
      </c>
      <c r="P4412" s="19">
        <f t="shared" si="137"/>
        <v>2024</v>
      </c>
      <c r="Q44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12" s="19" t="str">
        <f>TEXT(Planning[[#This Row],[Mes]]*29,"mmmm")</f>
        <v>October</v>
      </c>
      <c r="S44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12" s="210"/>
      <c r="U4412" s="43">
        <f>IF(Planning[[#This Row],[Horas Planificadas]]&lt;&gt;0,+K4412/Planning[[#This Row],[Horas Planificadas]],0)</f>
        <v>0</v>
      </c>
      <c r="V4412" s="43">
        <f>IF(Planning[[#This Row],[Horas Planificadas]]&lt;&gt;0,Planning[[#This Row],[Horas utilizadas]]/Planning[[#This Row],[Horas Planificadas]],0)</f>
        <v>0</v>
      </c>
      <c r="W4412" s="44">
        <f>Planning[[#This Row],[Horas Planificadas]]+Planning[[#This Row],[Horas ajustadas adicionales]]</f>
        <v>0</v>
      </c>
      <c r="X4412" s="142"/>
    </row>
    <row r="4413" spans="1:24" x14ac:dyDescent="0.2">
      <c r="A4413" s="7" t="s">
        <v>435</v>
      </c>
      <c r="B4413" s="7" t="s">
        <v>582</v>
      </c>
      <c r="C4413" s="129">
        <v>116886</v>
      </c>
      <c r="D4413" s="3" t="s">
        <v>755</v>
      </c>
      <c r="E4413" s="4"/>
      <c r="F4413" s="3" t="s">
        <v>128</v>
      </c>
      <c r="G4413" s="9"/>
      <c r="H4413" s="9">
        <v>0</v>
      </c>
      <c r="I4413" s="12"/>
      <c r="J4413" s="5" t="e">
        <f>SUM(SUMIFS(#REF!,#REF!,Planning[[#This Row],[Tipo de Tarea y especialidad]],#REF!,Planning[[#This Row],[Proyectos Reiwa]]),SUMIFS(#REF!,#REF!,Planning[[#This Row],[Tipo de Tarea y especialidad]],#REF!,Planning[[#This Row],[Proyectos]]))</f>
        <v>#REF!</v>
      </c>
      <c r="K4413" s="5" t="e">
        <f>+Planning[[#This Row],[Horas Planificadas]]+Planning[[#This Row],[Horas ajustadas adicionales]]-Planning[[#This Row],[Horas utilizadas]]</f>
        <v>#REF!</v>
      </c>
      <c r="L4413" s="7">
        <v>0</v>
      </c>
      <c r="M4413" s="19" t="e">
        <f>Planning[[#This Row],[Saldo]]-Planning[[#This Row],[Saldo estimado]]</f>
        <v>#REF!</v>
      </c>
      <c r="N4413" s="60" t="e">
        <f>+SUMIFS(#REF!,#REF!,Planning[[#This Row],[Proyectos]],#REF!,Planning[[#This Row],[Tipo de Tarea y especialidad]])</f>
        <v>#REF!</v>
      </c>
      <c r="O4413" s="19">
        <f t="shared" si="136"/>
        <v>10</v>
      </c>
      <c r="P4413" s="19">
        <f t="shared" si="137"/>
        <v>2024</v>
      </c>
      <c r="Q44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13" s="19" t="str">
        <f>TEXT(Planning[[#This Row],[Mes]]*29,"mmmm")</f>
        <v>October</v>
      </c>
      <c r="S44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13" s="210"/>
      <c r="U4413" s="43">
        <f>IF(Planning[[#This Row],[Horas Planificadas]]&lt;&gt;0,+K4413/Planning[[#This Row],[Horas Planificadas]],0)</f>
        <v>0</v>
      </c>
      <c r="V4413" s="43">
        <f>IF(Planning[[#This Row],[Horas Planificadas]]&lt;&gt;0,Planning[[#This Row],[Horas utilizadas]]/Planning[[#This Row],[Horas Planificadas]],0)</f>
        <v>0</v>
      </c>
      <c r="W4413" s="44">
        <f>Planning[[#This Row],[Horas Planificadas]]+Planning[[#This Row],[Horas ajustadas adicionales]]</f>
        <v>0</v>
      </c>
      <c r="X4413" s="142"/>
    </row>
    <row r="4414" spans="1:24" x14ac:dyDescent="0.2">
      <c r="A4414" s="7" t="s">
        <v>435</v>
      </c>
      <c r="B4414" s="7" t="s">
        <v>582</v>
      </c>
      <c r="C4414" s="128">
        <v>116886</v>
      </c>
      <c r="D4414" s="3" t="s">
        <v>755</v>
      </c>
      <c r="E4414" s="4" t="s">
        <v>31</v>
      </c>
      <c r="F4414" s="3" t="s">
        <v>31</v>
      </c>
      <c r="G4414" s="9">
        <v>90</v>
      </c>
      <c r="H4414" s="17">
        <v>90</v>
      </c>
      <c r="I4414" s="18"/>
      <c r="J4414" s="14" t="e">
        <f>+SUMIFS(#REF!,#REF!,Planning[[#This Row],[Tarifa]],#REF!,Planning[[#This Row],[Proyectos]])</f>
        <v>#REF!</v>
      </c>
      <c r="K4414" s="14" t="e">
        <f>+Planning[[#This Row],[Horas Planificadas]]+Planning[[#This Row],[Horas ajustadas adicionales]]-Planning[[#This Row],[Horas utilizadas]]</f>
        <v>#REF!</v>
      </c>
      <c r="L4414" s="15">
        <v>27</v>
      </c>
      <c r="M4414" s="16" t="e">
        <f>Planning[[#This Row],[Saldo]]-Planning[[#This Row],[Saldo estimado]]</f>
        <v>#REF!</v>
      </c>
      <c r="N4414" s="60"/>
      <c r="O4414" s="16">
        <f t="shared" si="136"/>
        <v>10</v>
      </c>
      <c r="P4414" s="16">
        <f t="shared" si="137"/>
        <v>2024</v>
      </c>
      <c r="Q4414" s="16" t="e">
        <f>+SUMIFS(#REF!,#REF!,Planning[[#This Row],[Tarifa]],#REF!,Planning[[#This Row],[Proyectos]],#REF!,Planning[[#This Row],[Mes]],#REF!,Planning[[#This Row],[Año]])</f>
        <v>#REF!</v>
      </c>
      <c r="R4414" s="16" t="str">
        <f>TEXT(Planning[[#This Row],[Mes]]*29,"mmmm")</f>
        <v>October</v>
      </c>
      <c r="S44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14" s="210"/>
      <c r="U4414" s="43" t="e">
        <f>IF(Planning[[#This Row],[Horas Planificadas]]&lt;&gt;0,+K4414/Planning[[#This Row],[Horas Planificadas]],0)</f>
        <v>#REF!</v>
      </c>
      <c r="V4414" s="43" t="e">
        <f>IF(Planning[[#This Row],[Horas Planificadas]]&lt;&gt;0,Planning[[#This Row],[Horas utilizadas]]/Planning[[#This Row],[Horas Planificadas]],0)</f>
        <v>#REF!</v>
      </c>
      <c r="W4414" s="44">
        <f>Planning[[#This Row],[Horas Planificadas]]+Planning[[#This Row],[Horas ajustadas adicionales]]</f>
        <v>90</v>
      </c>
      <c r="X4414" s="142"/>
    </row>
    <row r="4415" spans="1:24" ht="22.5" x14ac:dyDescent="0.2">
      <c r="A4415" s="7" t="s">
        <v>435</v>
      </c>
      <c r="B4415" s="7" t="s">
        <v>582</v>
      </c>
      <c r="C4415" s="129">
        <v>116886</v>
      </c>
      <c r="D4415" s="3" t="s">
        <v>755</v>
      </c>
      <c r="E4415" s="4" t="s">
        <v>32</v>
      </c>
      <c r="F4415" s="3"/>
      <c r="G4415" s="9">
        <v>150</v>
      </c>
      <c r="H4415" s="14">
        <f>SUM(H4416:H4418)</f>
        <v>150</v>
      </c>
      <c r="I4415" s="14"/>
      <c r="J4415" s="14" t="e">
        <f>SUM(J4416:J4418)</f>
        <v>#REF!</v>
      </c>
      <c r="K4415" s="14" t="e">
        <f>+Planning[[#This Row],[Horas Planificadas]]+Planning[[#This Row],[Horas ajustadas adicionales]]-Planning[[#This Row],[Horas utilizadas]]</f>
        <v>#REF!</v>
      </c>
      <c r="L4415" s="15">
        <f>SUM(L4416:L4418)</f>
        <v>150</v>
      </c>
      <c r="M4415" s="16" t="e">
        <f>SUM(M4416:M4418)</f>
        <v>#REF!</v>
      </c>
      <c r="N4415" s="60"/>
      <c r="O4415" s="16">
        <f t="shared" si="136"/>
        <v>10</v>
      </c>
      <c r="P4415" s="16">
        <f t="shared" si="137"/>
        <v>2024</v>
      </c>
      <c r="Q4415" s="16" t="e">
        <f>SUM(Q4416:Q4418)</f>
        <v>#REF!</v>
      </c>
      <c r="R4415" s="16" t="str">
        <f>TEXT(Planning[[#This Row],[Mes]]*29,"mmmm")</f>
        <v>October</v>
      </c>
      <c r="S44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15" s="210"/>
      <c r="U4415" s="43" t="e">
        <f>IF(Planning[[#This Row],[Horas Planificadas]]&lt;&gt;0,+K4415/Planning[[#This Row],[Horas Planificadas]],0)</f>
        <v>#REF!</v>
      </c>
      <c r="V4415" s="43" t="e">
        <f>IF(Planning[[#This Row],[Horas Planificadas]]&lt;&gt;0,Planning[[#This Row],[Horas utilizadas]]/Planning[[#This Row],[Horas Planificadas]],0)</f>
        <v>#REF!</v>
      </c>
      <c r="W4415" s="44">
        <f>Planning[[#This Row],[Horas Planificadas]]+Planning[[#This Row],[Horas ajustadas adicionales]]</f>
        <v>150</v>
      </c>
      <c r="X4415" s="142"/>
    </row>
    <row r="4416" spans="1:24" x14ac:dyDescent="0.2">
      <c r="A4416" s="7" t="s">
        <v>435</v>
      </c>
      <c r="B4416" s="7" t="s">
        <v>582</v>
      </c>
      <c r="C4416" s="128">
        <v>116886</v>
      </c>
      <c r="D4416" s="3" t="s">
        <v>755</v>
      </c>
      <c r="E4416" s="4"/>
      <c r="F4416" s="3" t="s">
        <v>129</v>
      </c>
      <c r="G4416" s="9"/>
      <c r="H4416" s="9">
        <v>150</v>
      </c>
      <c r="I4416" s="12"/>
      <c r="J4416" s="5" t="e">
        <f>SUM(SUMIFS(#REF!,#REF!,Planning[[#This Row],[Tipo de Tarea y especialidad]],#REF!,Planning[[#This Row],[Proyectos Reiwa]]),SUMIFS(#REF!,#REF!,Planning[[#This Row],[Tipo de Tarea y especialidad]],#REF!,Planning[[#This Row],[Proyectos]]))</f>
        <v>#REF!</v>
      </c>
      <c r="K4416" s="5" t="e">
        <f>+Planning[[#This Row],[Horas Planificadas]]+Planning[[#This Row],[Horas ajustadas adicionales]]-Planning[[#This Row],[Horas utilizadas]]</f>
        <v>#REF!</v>
      </c>
      <c r="L4416" s="7">
        <v>150</v>
      </c>
      <c r="M4416" s="19" t="e">
        <f>Planning[[#This Row],[Saldo]]-Planning[[#This Row],[Saldo estimado]]</f>
        <v>#REF!</v>
      </c>
      <c r="N4416" s="60" t="e">
        <f>+SUMIFS(#REF!,#REF!,Planning[[#This Row],[Proyectos]],#REF!,Planning[[#This Row],[Tipo de Tarea y especialidad]])</f>
        <v>#REF!</v>
      </c>
      <c r="O4416" s="19">
        <f t="shared" si="136"/>
        <v>10</v>
      </c>
      <c r="P4416" s="19">
        <f t="shared" si="137"/>
        <v>2024</v>
      </c>
      <c r="Q44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16" s="19" t="str">
        <f>TEXT(Planning[[#This Row],[Mes]]*29,"mmmm")</f>
        <v>October</v>
      </c>
      <c r="S44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16" s="210"/>
      <c r="U4416" s="43" t="e">
        <f>IF(Planning[[#This Row],[Horas Planificadas]]&lt;&gt;0,+K4416/Planning[[#This Row],[Horas Planificadas]],0)</f>
        <v>#REF!</v>
      </c>
      <c r="V4416" s="43" t="e">
        <f>IF(Planning[[#This Row],[Horas Planificadas]]&lt;&gt;0,Planning[[#This Row],[Horas utilizadas]]/Planning[[#This Row],[Horas Planificadas]],0)</f>
        <v>#REF!</v>
      </c>
      <c r="W4416" s="44">
        <f>Planning[[#This Row],[Horas Planificadas]]+Planning[[#This Row],[Horas ajustadas adicionales]]</f>
        <v>150</v>
      </c>
      <c r="X4416" s="142"/>
    </row>
    <row r="4417" spans="1:24" x14ac:dyDescent="0.2">
      <c r="A4417" s="7" t="s">
        <v>435</v>
      </c>
      <c r="B4417" s="7" t="s">
        <v>582</v>
      </c>
      <c r="C4417" s="129">
        <v>116886</v>
      </c>
      <c r="D4417" s="3" t="s">
        <v>755</v>
      </c>
      <c r="E4417" s="4"/>
      <c r="F4417" s="3" t="s">
        <v>130</v>
      </c>
      <c r="G4417" s="9"/>
      <c r="H4417" s="9">
        <v>0</v>
      </c>
      <c r="I4417" s="12"/>
      <c r="J4417" s="5" t="e">
        <f>SUM(SUMIFS(#REF!,#REF!,Planning[[#This Row],[Tipo de Tarea y especialidad]],#REF!,Planning[[#This Row],[Proyectos Reiwa]]),SUMIFS(#REF!,#REF!,Planning[[#This Row],[Tipo de Tarea y especialidad]],#REF!,Planning[[#This Row],[Proyectos]]))</f>
        <v>#REF!</v>
      </c>
      <c r="K4417" s="5" t="e">
        <f>+Planning[[#This Row],[Horas Planificadas]]+Planning[[#This Row],[Horas ajustadas adicionales]]-Planning[[#This Row],[Horas utilizadas]]</f>
        <v>#REF!</v>
      </c>
      <c r="L4417" s="7">
        <v>0</v>
      </c>
      <c r="M4417" s="19" t="e">
        <f>Planning[[#This Row],[Saldo]]-Planning[[#This Row],[Saldo estimado]]</f>
        <v>#REF!</v>
      </c>
      <c r="N4417" s="60" t="e">
        <f>+SUMIFS(#REF!,#REF!,Planning[[#This Row],[Proyectos]],#REF!,Planning[[#This Row],[Tipo de Tarea y especialidad]])</f>
        <v>#REF!</v>
      </c>
      <c r="O4417" s="19">
        <f t="shared" si="136"/>
        <v>10</v>
      </c>
      <c r="P4417" s="19">
        <f t="shared" si="137"/>
        <v>2024</v>
      </c>
      <c r="Q44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17" s="19" t="str">
        <f>TEXT(Planning[[#This Row],[Mes]]*29,"mmmm")</f>
        <v>October</v>
      </c>
      <c r="S44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17" s="210"/>
      <c r="U4417" s="43">
        <f>IF(Planning[[#This Row],[Horas Planificadas]]&lt;&gt;0,+K4417/Planning[[#This Row],[Horas Planificadas]],0)</f>
        <v>0</v>
      </c>
      <c r="V4417" s="43">
        <f>IF(Planning[[#This Row],[Horas Planificadas]]&lt;&gt;0,Planning[[#This Row],[Horas utilizadas]]/Planning[[#This Row],[Horas Planificadas]],0)</f>
        <v>0</v>
      </c>
      <c r="W4417" s="44">
        <f>Planning[[#This Row],[Horas Planificadas]]+Planning[[#This Row],[Horas ajustadas adicionales]]</f>
        <v>0</v>
      </c>
      <c r="X4417" s="142"/>
    </row>
    <row r="4418" spans="1:24" x14ac:dyDescent="0.2">
      <c r="A4418" s="7" t="s">
        <v>435</v>
      </c>
      <c r="B4418" s="7" t="s">
        <v>582</v>
      </c>
      <c r="C4418" s="128">
        <v>116886</v>
      </c>
      <c r="D4418" s="3" t="s">
        <v>755</v>
      </c>
      <c r="E4418" s="4"/>
      <c r="F4418" s="3" t="s">
        <v>131</v>
      </c>
      <c r="G4418" s="9"/>
      <c r="H4418" s="9">
        <v>0</v>
      </c>
      <c r="I4418" s="12"/>
      <c r="J4418" s="5" t="e">
        <f>SUM(SUMIFS(#REF!,#REF!,Planning[[#This Row],[Tipo de Tarea y especialidad]],#REF!,Planning[[#This Row],[Proyectos Reiwa]]),SUMIFS(#REF!,#REF!,Planning[[#This Row],[Tipo de Tarea y especialidad]],#REF!,Planning[[#This Row],[Proyectos]]))</f>
        <v>#REF!</v>
      </c>
      <c r="K4418" s="5" t="e">
        <f>+Planning[[#This Row],[Horas Planificadas]]+Planning[[#This Row],[Horas ajustadas adicionales]]-Planning[[#This Row],[Horas utilizadas]]</f>
        <v>#REF!</v>
      </c>
      <c r="L4418" s="7">
        <v>0</v>
      </c>
      <c r="M4418" s="19" t="e">
        <f>Planning[[#This Row],[Saldo]]-Planning[[#This Row],[Saldo estimado]]</f>
        <v>#REF!</v>
      </c>
      <c r="N4418" s="60" t="e">
        <f>+SUMIFS(#REF!,#REF!,Planning[[#This Row],[Proyectos]],#REF!,Planning[[#This Row],[Tipo de Tarea y especialidad]])</f>
        <v>#REF!</v>
      </c>
      <c r="O4418" s="19">
        <f t="shared" si="136"/>
        <v>10</v>
      </c>
      <c r="P4418" s="19">
        <f t="shared" si="137"/>
        <v>2024</v>
      </c>
      <c r="Q44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18" s="19" t="str">
        <f>TEXT(Planning[[#This Row],[Mes]]*29,"mmmm")</f>
        <v>October</v>
      </c>
      <c r="S44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18" s="210"/>
      <c r="U4418" s="43">
        <f>IF(Planning[[#This Row],[Horas Planificadas]]&lt;&gt;0,+K4418/Planning[[#This Row],[Horas Planificadas]],0)</f>
        <v>0</v>
      </c>
      <c r="V4418" s="43">
        <f>IF(Planning[[#This Row],[Horas Planificadas]]&lt;&gt;0,Planning[[#This Row],[Horas utilizadas]]/Planning[[#This Row],[Horas Planificadas]],0)</f>
        <v>0</v>
      </c>
      <c r="W4418" s="44">
        <f>Planning[[#This Row],[Horas Planificadas]]+Planning[[#This Row],[Horas ajustadas adicionales]]</f>
        <v>0</v>
      </c>
      <c r="X4418" s="142"/>
    </row>
    <row r="4419" spans="1:24" ht="22.5" x14ac:dyDescent="0.2">
      <c r="A4419" s="7" t="s">
        <v>483</v>
      </c>
      <c r="B4419" s="7" t="s">
        <v>178</v>
      </c>
      <c r="C4419" s="3"/>
      <c r="D4419" s="3" t="s">
        <v>757</v>
      </c>
      <c r="E4419" s="4" t="s">
        <v>28</v>
      </c>
      <c r="F4419" s="3"/>
      <c r="G4419" s="9">
        <v>700</v>
      </c>
      <c r="H4419" s="14">
        <f>SUM(H4420:H4421)</f>
        <v>0</v>
      </c>
      <c r="I4419" s="14"/>
      <c r="J4419" s="14" t="e">
        <f>SUM(J4420:J4421)</f>
        <v>#REF!</v>
      </c>
      <c r="K4419" s="14" t="e">
        <f>+Planning[[#This Row],[Horas Planificadas]]+Planning[[#This Row],[Horas ajustadas adicionales]]-Planning[[#This Row],[Horas utilizadas]]</f>
        <v>#REF!</v>
      </c>
      <c r="L4419" s="15">
        <f>SUM(L4420:L4421)</f>
        <v>0</v>
      </c>
      <c r="M4419" s="14" t="e">
        <f>SUM(M4420:M4421)</f>
        <v>#REF!</v>
      </c>
      <c r="N4419" s="66"/>
      <c r="O4419" s="14">
        <f t="shared" si="136"/>
        <v>10</v>
      </c>
      <c r="P4419" s="14">
        <f t="shared" si="137"/>
        <v>2024</v>
      </c>
      <c r="Q4419" s="28" t="e">
        <f>SUM(Q4420:Q4421)</f>
        <v>#REF!</v>
      </c>
      <c r="R4419" s="28" t="str">
        <f>TEXT(Planning[[#This Row],[Mes]]*29,"mmmm")</f>
        <v>October</v>
      </c>
      <c r="S44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19" s="220" t="s">
        <v>758</v>
      </c>
      <c r="U4419" s="43">
        <f>IF(Planning[[#This Row],[Horas Planificadas]]&lt;&gt;0,+K4419/Planning[[#This Row],[Horas Planificadas]],0)</f>
        <v>0</v>
      </c>
      <c r="V4419" s="43">
        <f>IF(Planning[[#This Row],[Horas Planificadas]]&lt;&gt;0,Planning[[#This Row],[Horas utilizadas]]/Planning[[#This Row],[Horas Planificadas]],0)</f>
        <v>0</v>
      </c>
      <c r="W4419" s="44">
        <f>Planning[[#This Row],[Horas Planificadas]]+Planning[[#This Row],[Horas ajustadas adicionales]]</f>
        <v>0</v>
      </c>
      <c r="X4419" s="142"/>
    </row>
    <row r="4420" spans="1:24" x14ac:dyDescent="0.2">
      <c r="A4420" s="7" t="s">
        <v>483</v>
      </c>
      <c r="B4420" s="7" t="s">
        <v>178</v>
      </c>
      <c r="C4420" s="3"/>
      <c r="D4420" s="3" t="s">
        <v>757</v>
      </c>
      <c r="E4420" s="4"/>
      <c r="F4420" s="3" t="s">
        <v>120</v>
      </c>
      <c r="G4420" s="9"/>
      <c r="H4420" s="9">
        <v>0</v>
      </c>
      <c r="I4420" s="12"/>
      <c r="J4420" s="5" t="e">
        <f>SUM(SUMIFS(#REF!,#REF!,Planning[[#This Row],[Tipo de Tarea y especialidad]],#REF!,Planning[[#This Row],[Proyectos Reiwa]]),SUMIFS(#REF!,#REF!,Planning[[#This Row],[Tipo de Tarea y especialidad]],#REF!,Planning[[#This Row],[Proyectos]]))</f>
        <v>#REF!</v>
      </c>
      <c r="K4420" s="5" t="e">
        <f>+Planning[[#This Row],[Horas Planificadas]]+Planning[[#This Row],[Horas ajustadas adicionales]]-Planning[[#This Row],[Horas utilizadas]]</f>
        <v>#REF!</v>
      </c>
      <c r="L4420" s="7">
        <v>0</v>
      </c>
      <c r="M4420" s="19" t="e">
        <f>Planning[[#This Row],[Saldo]]-Planning[[#This Row],[Saldo estimado]]</f>
        <v>#REF!</v>
      </c>
      <c r="N4420" s="60" t="e">
        <f>+SUMIFS(#REF!,#REF!,Planning[[#This Row],[Proyectos]],#REF!,Planning[[#This Row],[Tipo de Tarea y especialidad]])</f>
        <v>#REF!</v>
      </c>
      <c r="O4420" s="19">
        <f t="shared" si="136"/>
        <v>10</v>
      </c>
      <c r="P4420" s="19">
        <f t="shared" si="137"/>
        <v>2024</v>
      </c>
      <c r="Q44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20" s="19" t="str">
        <f>TEXT(Planning[[#This Row],[Mes]]*29,"mmmm")</f>
        <v>October</v>
      </c>
      <c r="S44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20" s="210"/>
      <c r="U4420" s="43">
        <f>IF(Planning[[#This Row],[Horas Planificadas]]&lt;&gt;0,+K4420/Planning[[#This Row],[Horas Planificadas]],0)</f>
        <v>0</v>
      </c>
      <c r="V4420" s="43">
        <f>IF(Planning[[#This Row],[Horas Planificadas]]&lt;&gt;0,Planning[[#This Row],[Horas utilizadas]]/Planning[[#This Row],[Horas Planificadas]],0)</f>
        <v>0</v>
      </c>
      <c r="W4420" s="44">
        <f>Planning[[#This Row],[Horas Planificadas]]+Planning[[#This Row],[Horas ajustadas adicionales]]</f>
        <v>0</v>
      </c>
      <c r="X4420" s="142"/>
    </row>
    <row r="4421" spans="1:24" x14ac:dyDescent="0.2">
      <c r="A4421" s="7" t="s">
        <v>483</v>
      </c>
      <c r="B4421" s="7" t="s">
        <v>178</v>
      </c>
      <c r="C4421" s="3"/>
      <c r="D4421" s="3" t="s">
        <v>757</v>
      </c>
      <c r="E4421" s="4"/>
      <c r="F4421" s="3" t="s">
        <v>121</v>
      </c>
      <c r="G4421" s="9"/>
      <c r="H4421" s="9">
        <v>0</v>
      </c>
      <c r="I4421" s="12"/>
      <c r="J4421" s="5" t="e">
        <f>SUM(SUMIFS(#REF!,#REF!,Planning[[#This Row],[Tipo de Tarea y especialidad]],#REF!,Planning[[#This Row],[Proyectos Reiwa]]),SUMIFS(#REF!,#REF!,Planning[[#This Row],[Tipo de Tarea y especialidad]],#REF!,Planning[[#This Row],[Proyectos]]))</f>
        <v>#REF!</v>
      </c>
      <c r="K4421" s="5" t="e">
        <f>+Planning[[#This Row],[Horas Planificadas]]+Planning[[#This Row],[Horas ajustadas adicionales]]-Planning[[#This Row],[Horas utilizadas]]</f>
        <v>#REF!</v>
      </c>
      <c r="L4421" s="7">
        <v>0</v>
      </c>
      <c r="M4421" s="19" t="e">
        <f>Planning[[#This Row],[Saldo]]-Planning[[#This Row],[Saldo estimado]]</f>
        <v>#REF!</v>
      </c>
      <c r="N4421" s="60" t="e">
        <f>+SUMIFS(#REF!,#REF!,Planning[[#This Row],[Proyectos]],#REF!,Planning[[#This Row],[Tipo de Tarea y especialidad]])</f>
        <v>#REF!</v>
      </c>
      <c r="O4421" s="19">
        <f t="shared" si="136"/>
        <v>10</v>
      </c>
      <c r="P4421" s="19">
        <f t="shared" si="137"/>
        <v>2024</v>
      </c>
      <c r="Q44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21" s="19" t="str">
        <f>TEXT(Planning[[#This Row],[Mes]]*29,"mmmm")</f>
        <v>October</v>
      </c>
      <c r="S44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21" s="210"/>
      <c r="U4421" s="43">
        <f>IF(Planning[[#This Row],[Horas Planificadas]]&lt;&gt;0,+K4421/Planning[[#This Row],[Horas Planificadas]],0)</f>
        <v>0</v>
      </c>
      <c r="V4421" s="43">
        <f>IF(Planning[[#This Row],[Horas Planificadas]]&lt;&gt;0,Planning[[#This Row],[Horas utilizadas]]/Planning[[#This Row],[Horas Planificadas]],0)</f>
        <v>0</v>
      </c>
      <c r="W4421" s="44">
        <f>Planning[[#This Row],[Horas Planificadas]]+Planning[[#This Row],[Horas ajustadas adicionales]]</f>
        <v>0</v>
      </c>
      <c r="X4421" s="142"/>
    </row>
    <row r="4422" spans="1:24" x14ac:dyDescent="0.2">
      <c r="A4422" s="7" t="s">
        <v>483</v>
      </c>
      <c r="B4422" s="7" t="s">
        <v>178</v>
      </c>
      <c r="C4422" s="3"/>
      <c r="D4422" s="3" t="s">
        <v>757</v>
      </c>
      <c r="E4422" s="4" t="s">
        <v>30</v>
      </c>
      <c r="F4422" s="3"/>
      <c r="G4422" s="9">
        <v>423</v>
      </c>
      <c r="H4422" s="14">
        <f>SUM(H4423:H4429)</f>
        <v>60</v>
      </c>
      <c r="I4422" s="14"/>
      <c r="J4422" s="14" t="e">
        <f>SUM(J4423:J4429)</f>
        <v>#REF!</v>
      </c>
      <c r="K4422" s="14" t="e">
        <f>+Planning[[#This Row],[Horas Planificadas]]+Planning[[#This Row],[Horas ajustadas adicionales]]-Planning[[#This Row],[Horas utilizadas]]</f>
        <v>#REF!</v>
      </c>
      <c r="L4422" s="15">
        <f>SUM(L4423:L4429)</f>
        <v>0</v>
      </c>
      <c r="M4422" s="16" t="e">
        <f>SUM(M4423:M4429)</f>
        <v>#REF!</v>
      </c>
      <c r="N4422" s="60"/>
      <c r="O4422" s="16">
        <f t="shared" si="136"/>
        <v>10</v>
      </c>
      <c r="P4422" s="16">
        <f t="shared" si="137"/>
        <v>2024</v>
      </c>
      <c r="Q4422" s="16" t="e">
        <f>SUM(Q4423:Q4429)</f>
        <v>#REF!</v>
      </c>
      <c r="R4422" s="16" t="str">
        <f>TEXT(Planning[[#This Row],[Mes]]*29,"mmmm")</f>
        <v>October</v>
      </c>
      <c r="S44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22" s="210"/>
      <c r="U4422" s="43" t="e">
        <f>IF(Planning[[#This Row],[Horas Planificadas]]&lt;&gt;0,+K4422/Planning[[#This Row],[Horas Planificadas]],0)</f>
        <v>#REF!</v>
      </c>
      <c r="V4422" s="43" t="e">
        <f>IF(Planning[[#This Row],[Horas Planificadas]]&lt;&gt;0,Planning[[#This Row],[Horas utilizadas]]/Planning[[#This Row],[Horas Planificadas]],0)</f>
        <v>#REF!</v>
      </c>
      <c r="W4422" s="44">
        <f>Planning[[#This Row],[Horas Planificadas]]+Planning[[#This Row],[Horas ajustadas adicionales]]</f>
        <v>60</v>
      </c>
      <c r="X4422" s="142"/>
    </row>
    <row r="4423" spans="1:24" x14ac:dyDescent="0.2">
      <c r="A4423" s="7" t="s">
        <v>483</v>
      </c>
      <c r="B4423" s="7" t="s">
        <v>178</v>
      </c>
      <c r="C4423" s="3"/>
      <c r="D4423" s="3" t="s">
        <v>757</v>
      </c>
      <c r="E4423" s="4"/>
      <c r="F4423" s="3" t="s">
        <v>122</v>
      </c>
      <c r="G4423" s="9"/>
      <c r="H4423" s="9">
        <v>0</v>
      </c>
      <c r="I4423" s="12"/>
      <c r="J4423" s="5" t="e">
        <f>SUM(SUMIFS(#REF!,#REF!,Planning[[#This Row],[Tipo de Tarea y especialidad]],#REF!,Planning[[#This Row],[Proyectos Reiwa]]),SUMIFS(#REF!,#REF!,Planning[[#This Row],[Tipo de Tarea y especialidad]],#REF!,Planning[[#This Row],[Proyectos]]))</f>
        <v>#REF!</v>
      </c>
      <c r="K4423" s="5" t="e">
        <f>+Planning[[#This Row],[Horas Planificadas]]+Planning[[#This Row],[Horas ajustadas adicionales]]-Planning[[#This Row],[Horas utilizadas]]</f>
        <v>#REF!</v>
      </c>
      <c r="L4423" s="7">
        <v>0</v>
      </c>
      <c r="M4423" s="19" t="e">
        <f>Planning[[#This Row],[Saldo]]-Planning[[#This Row],[Saldo estimado]]</f>
        <v>#REF!</v>
      </c>
      <c r="N4423" s="60" t="e">
        <f>+SUMIFS(#REF!,#REF!,Planning[[#This Row],[Proyectos]],#REF!,Planning[[#This Row],[Tipo de Tarea y especialidad]])</f>
        <v>#REF!</v>
      </c>
      <c r="O4423" s="19">
        <f t="shared" ref="O4423:O4486" si="139">$L$4</f>
        <v>10</v>
      </c>
      <c r="P4423" s="19">
        <f t="shared" ref="P4423:P4470" si="140">$M$4</f>
        <v>2024</v>
      </c>
      <c r="Q44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23" s="19" t="str">
        <f>TEXT(Planning[[#This Row],[Mes]]*29,"mmmm")</f>
        <v>October</v>
      </c>
      <c r="S44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23" s="210"/>
      <c r="U4423" s="43">
        <f>IF(Planning[[#This Row],[Horas Planificadas]]&lt;&gt;0,+K4423/Planning[[#This Row],[Horas Planificadas]],0)</f>
        <v>0</v>
      </c>
      <c r="V4423" s="43">
        <f>IF(Planning[[#This Row],[Horas Planificadas]]&lt;&gt;0,Planning[[#This Row],[Horas utilizadas]]/Planning[[#This Row],[Horas Planificadas]],0)</f>
        <v>0</v>
      </c>
      <c r="W4423" s="44">
        <f>Planning[[#This Row],[Horas Planificadas]]+Planning[[#This Row],[Horas ajustadas adicionales]]</f>
        <v>0</v>
      </c>
      <c r="X4423" s="142"/>
    </row>
    <row r="4424" spans="1:24" x14ac:dyDescent="0.2">
      <c r="A4424" s="7" t="s">
        <v>483</v>
      </c>
      <c r="B4424" s="7" t="s">
        <v>178</v>
      </c>
      <c r="C4424" s="3"/>
      <c r="D4424" s="3" t="s">
        <v>757</v>
      </c>
      <c r="E4424" s="4"/>
      <c r="F4424" s="3" t="s">
        <v>123</v>
      </c>
      <c r="G4424" s="9"/>
      <c r="H4424" s="9">
        <v>39</v>
      </c>
      <c r="I4424" s="12"/>
      <c r="J4424" s="5" t="e">
        <f>SUM(SUMIFS(#REF!,#REF!,Planning[[#This Row],[Tipo de Tarea y especialidad]],#REF!,Planning[[#This Row],[Proyectos Reiwa]]),SUMIFS(#REF!,#REF!,Planning[[#This Row],[Tipo de Tarea y especialidad]],#REF!,Planning[[#This Row],[Proyectos]]))</f>
        <v>#REF!</v>
      </c>
      <c r="K4424" s="5" t="e">
        <f>+Planning[[#This Row],[Horas Planificadas]]+Planning[[#This Row],[Horas ajustadas adicionales]]-Planning[[#This Row],[Horas utilizadas]]</f>
        <v>#REF!</v>
      </c>
      <c r="L4424" s="7">
        <v>0</v>
      </c>
      <c r="M4424" s="19" t="e">
        <f>Planning[[#This Row],[Saldo]]-Planning[[#This Row],[Saldo estimado]]</f>
        <v>#REF!</v>
      </c>
      <c r="N4424" s="60" t="e">
        <f>+SUMIFS(#REF!,#REF!,Planning[[#This Row],[Proyectos]],#REF!,Planning[[#This Row],[Tipo de Tarea y especialidad]])</f>
        <v>#REF!</v>
      </c>
      <c r="O4424" s="19">
        <f t="shared" si="139"/>
        <v>10</v>
      </c>
      <c r="P4424" s="19">
        <f t="shared" si="140"/>
        <v>2024</v>
      </c>
      <c r="Q44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24" s="19" t="str">
        <f>TEXT(Planning[[#This Row],[Mes]]*29,"mmmm")</f>
        <v>October</v>
      </c>
      <c r="S44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24" s="210"/>
      <c r="U4424" s="43" t="e">
        <f>IF(Planning[[#This Row],[Horas Planificadas]]&lt;&gt;0,+K4424/Planning[[#This Row],[Horas Planificadas]],0)</f>
        <v>#REF!</v>
      </c>
      <c r="V4424" s="43" t="e">
        <f>IF(Planning[[#This Row],[Horas Planificadas]]&lt;&gt;0,Planning[[#This Row],[Horas utilizadas]]/Planning[[#This Row],[Horas Planificadas]],0)</f>
        <v>#REF!</v>
      </c>
      <c r="W4424" s="44">
        <f>Planning[[#This Row],[Horas Planificadas]]+Planning[[#This Row],[Horas ajustadas adicionales]]</f>
        <v>39</v>
      </c>
      <c r="X4424" s="142"/>
    </row>
    <row r="4425" spans="1:24" x14ac:dyDescent="0.2">
      <c r="A4425" s="7" t="s">
        <v>483</v>
      </c>
      <c r="B4425" s="7" t="s">
        <v>178</v>
      </c>
      <c r="C4425" s="3"/>
      <c r="D4425" s="3" t="s">
        <v>757</v>
      </c>
      <c r="E4425" s="4"/>
      <c r="F4425" s="3" t="s">
        <v>124</v>
      </c>
      <c r="G4425" s="9"/>
      <c r="H4425" s="9">
        <v>0</v>
      </c>
      <c r="I4425" s="12"/>
      <c r="J4425" s="5" t="e">
        <f>SUM(SUMIFS(#REF!,#REF!,Planning[[#This Row],[Tipo de Tarea y especialidad]],#REF!,Planning[[#This Row],[Proyectos Reiwa]]),SUMIFS(#REF!,#REF!,Planning[[#This Row],[Tipo de Tarea y especialidad]],#REF!,Planning[[#This Row],[Proyectos]]))</f>
        <v>#REF!</v>
      </c>
      <c r="K4425" s="5" t="e">
        <f>+Planning[[#This Row],[Horas Planificadas]]+Planning[[#This Row],[Horas ajustadas adicionales]]-Planning[[#This Row],[Horas utilizadas]]</f>
        <v>#REF!</v>
      </c>
      <c r="L4425" s="7">
        <v>0</v>
      </c>
      <c r="M4425" s="19" t="e">
        <f>Planning[[#This Row],[Saldo]]-Planning[[#This Row],[Saldo estimado]]</f>
        <v>#REF!</v>
      </c>
      <c r="N4425" s="60" t="e">
        <f>+SUMIFS(#REF!,#REF!,Planning[[#This Row],[Proyectos]],#REF!,Planning[[#This Row],[Tipo de Tarea y especialidad]])</f>
        <v>#REF!</v>
      </c>
      <c r="O4425" s="19">
        <f t="shared" si="139"/>
        <v>10</v>
      </c>
      <c r="P4425" s="19">
        <f t="shared" si="140"/>
        <v>2024</v>
      </c>
      <c r="Q44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25" s="19" t="str">
        <f>TEXT(Planning[[#This Row],[Mes]]*29,"mmmm")</f>
        <v>October</v>
      </c>
      <c r="S44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25" s="210"/>
      <c r="U4425" s="43">
        <f>IF(Planning[[#This Row],[Horas Planificadas]]&lt;&gt;0,+K4425/Planning[[#This Row],[Horas Planificadas]],0)</f>
        <v>0</v>
      </c>
      <c r="V4425" s="43">
        <f>IF(Planning[[#This Row],[Horas Planificadas]]&lt;&gt;0,Planning[[#This Row],[Horas utilizadas]]/Planning[[#This Row],[Horas Planificadas]],0)</f>
        <v>0</v>
      </c>
      <c r="W4425" s="44">
        <f>Planning[[#This Row],[Horas Planificadas]]+Planning[[#This Row],[Horas ajustadas adicionales]]</f>
        <v>0</v>
      </c>
      <c r="X4425" s="142"/>
    </row>
    <row r="4426" spans="1:24" x14ac:dyDescent="0.2">
      <c r="A4426" s="7" t="s">
        <v>483</v>
      </c>
      <c r="B4426" s="7" t="s">
        <v>178</v>
      </c>
      <c r="C4426" s="3"/>
      <c r="D4426" s="3" t="s">
        <v>757</v>
      </c>
      <c r="E4426" s="4"/>
      <c r="F4426" s="3" t="s">
        <v>125</v>
      </c>
      <c r="G4426" s="9"/>
      <c r="H4426" s="9">
        <v>9</v>
      </c>
      <c r="I4426" s="12"/>
      <c r="J4426" s="5" t="e">
        <f>SUM(SUMIFS(#REF!,#REF!,Planning[[#This Row],[Tipo de Tarea y especialidad]],#REF!,Planning[[#This Row],[Proyectos Reiwa]]),SUMIFS(#REF!,#REF!,Planning[[#This Row],[Tipo de Tarea y especialidad]],#REF!,Planning[[#This Row],[Proyectos]]))</f>
        <v>#REF!</v>
      </c>
      <c r="K4426" s="5" t="e">
        <f>+Planning[[#This Row],[Horas Planificadas]]+Planning[[#This Row],[Horas ajustadas adicionales]]-Planning[[#This Row],[Horas utilizadas]]</f>
        <v>#REF!</v>
      </c>
      <c r="L4426" s="7">
        <v>0</v>
      </c>
      <c r="M4426" s="19" t="e">
        <f>Planning[[#This Row],[Saldo]]-Planning[[#This Row],[Saldo estimado]]</f>
        <v>#REF!</v>
      </c>
      <c r="N4426" s="60" t="e">
        <f>+SUMIFS(#REF!,#REF!,Planning[[#This Row],[Proyectos]],#REF!,Planning[[#This Row],[Tipo de Tarea y especialidad]])</f>
        <v>#REF!</v>
      </c>
      <c r="O4426" s="19">
        <f t="shared" si="139"/>
        <v>10</v>
      </c>
      <c r="P4426" s="19">
        <f t="shared" si="140"/>
        <v>2024</v>
      </c>
      <c r="Q44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26" s="19" t="str">
        <f>TEXT(Planning[[#This Row],[Mes]]*29,"mmmm")</f>
        <v>October</v>
      </c>
      <c r="S44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26" s="210"/>
      <c r="U4426" s="43" t="e">
        <f>IF(Planning[[#This Row],[Horas Planificadas]]&lt;&gt;0,+K4426/Planning[[#This Row],[Horas Planificadas]],0)</f>
        <v>#REF!</v>
      </c>
      <c r="V4426" s="43" t="e">
        <f>IF(Planning[[#This Row],[Horas Planificadas]]&lt;&gt;0,Planning[[#This Row],[Horas utilizadas]]/Planning[[#This Row],[Horas Planificadas]],0)</f>
        <v>#REF!</v>
      </c>
      <c r="W4426" s="44">
        <f>Planning[[#This Row],[Horas Planificadas]]+Planning[[#This Row],[Horas ajustadas adicionales]]</f>
        <v>9</v>
      </c>
      <c r="X4426" s="142"/>
    </row>
    <row r="4427" spans="1:24" x14ac:dyDescent="0.2">
      <c r="A4427" s="7" t="s">
        <v>483</v>
      </c>
      <c r="B4427" s="7" t="s">
        <v>178</v>
      </c>
      <c r="C4427" s="3"/>
      <c r="D4427" s="3" t="s">
        <v>757</v>
      </c>
      <c r="E4427" s="4"/>
      <c r="F4427" s="3" t="s">
        <v>126</v>
      </c>
      <c r="G4427" s="9"/>
      <c r="H4427" s="9">
        <v>0</v>
      </c>
      <c r="I4427" s="12"/>
      <c r="J4427" s="5" t="e">
        <f>SUM(SUMIFS(#REF!,#REF!,Planning[[#This Row],[Tipo de Tarea y especialidad]],#REF!,Planning[[#This Row],[Proyectos Reiwa]]),SUMIFS(#REF!,#REF!,Planning[[#This Row],[Tipo de Tarea y especialidad]],#REF!,Planning[[#This Row],[Proyectos]]))</f>
        <v>#REF!</v>
      </c>
      <c r="K4427" s="5" t="e">
        <f>+Planning[[#This Row],[Horas Planificadas]]+Planning[[#This Row],[Horas ajustadas adicionales]]-Planning[[#This Row],[Horas utilizadas]]</f>
        <v>#REF!</v>
      </c>
      <c r="L4427" s="7">
        <v>0</v>
      </c>
      <c r="M4427" s="19" t="e">
        <f>Planning[[#This Row],[Saldo]]-Planning[[#This Row],[Saldo estimado]]</f>
        <v>#REF!</v>
      </c>
      <c r="N4427" s="60" t="e">
        <f>+SUMIFS(#REF!,#REF!,Planning[[#This Row],[Proyectos]],#REF!,Planning[[#This Row],[Tipo de Tarea y especialidad]])</f>
        <v>#REF!</v>
      </c>
      <c r="O4427" s="19">
        <f t="shared" si="139"/>
        <v>10</v>
      </c>
      <c r="P4427" s="19">
        <f t="shared" si="140"/>
        <v>2024</v>
      </c>
      <c r="Q44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27" s="19" t="str">
        <f>TEXT(Planning[[#This Row],[Mes]]*29,"mmmm")</f>
        <v>October</v>
      </c>
      <c r="S44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27" s="210"/>
      <c r="U4427" s="43">
        <f>IF(Planning[[#This Row],[Horas Planificadas]]&lt;&gt;0,+K4427/Planning[[#This Row],[Horas Planificadas]],0)</f>
        <v>0</v>
      </c>
      <c r="V4427" s="43">
        <f>IF(Planning[[#This Row],[Horas Planificadas]]&lt;&gt;0,Planning[[#This Row],[Horas utilizadas]]/Planning[[#This Row],[Horas Planificadas]],0)</f>
        <v>0</v>
      </c>
      <c r="W4427" s="44">
        <f>Planning[[#This Row],[Horas Planificadas]]+Planning[[#This Row],[Horas ajustadas adicionales]]</f>
        <v>0</v>
      </c>
      <c r="X4427" s="142"/>
    </row>
    <row r="4428" spans="1:24" x14ac:dyDescent="0.2">
      <c r="A4428" s="7" t="s">
        <v>483</v>
      </c>
      <c r="B4428" s="7" t="s">
        <v>178</v>
      </c>
      <c r="C4428" s="3"/>
      <c r="D4428" s="3" t="s">
        <v>757</v>
      </c>
      <c r="E4428" s="4"/>
      <c r="F4428" s="3" t="s">
        <v>127</v>
      </c>
      <c r="G4428" s="9"/>
      <c r="H4428" s="9">
        <v>12</v>
      </c>
      <c r="I4428" s="12"/>
      <c r="J4428" s="5" t="e">
        <f>SUM(SUMIFS(#REF!,#REF!,Planning[[#This Row],[Tipo de Tarea y especialidad]],#REF!,Planning[[#This Row],[Proyectos Reiwa]]),SUMIFS(#REF!,#REF!,Planning[[#This Row],[Tipo de Tarea y especialidad]],#REF!,Planning[[#This Row],[Proyectos]]))</f>
        <v>#REF!</v>
      </c>
      <c r="K4428" s="5" t="e">
        <f>+Planning[[#This Row],[Horas Planificadas]]+Planning[[#This Row],[Horas ajustadas adicionales]]-Planning[[#This Row],[Horas utilizadas]]</f>
        <v>#REF!</v>
      </c>
      <c r="L4428" s="7">
        <v>0</v>
      </c>
      <c r="M4428" s="19" t="e">
        <f>Planning[[#This Row],[Saldo]]-Planning[[#This Row],[Saldo estimado]]</f>
        <v>#REF!</v>
      </c>
      <c r="N4428" s="60" t="e">
        <f>+SUMIFS(#REF!,#REF!,Planning[[#This Row],[Proyectos]],#REF!,Planning[[#This Row],[Tipo de Tarea y especialidad]])</f>
        <v>#REF!</v>
      </c>
      <c r="O4428" s="19">
        <f t="shared" si="139"/>
        <v>10</v>
      </c>
      <c r="P4428" s="19">
        <f t="shared" si="140"/>
        <v>2024</v>
      </c>
      <c r="Q44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28" s="19" t="str">
        <f>TEXT(Planning[[#This Row],[Mes]]*29,"mmmm")</f>
        <v>October</v>
      </c>
      <c r="S44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28" s="210"/>
      <c r="U4428" s="43" t="e">
        <f>IF(Planning[[#This Row],[Horas Planificadas]]&lt;&gt;0,+K4428/Planning[[#This Row],[Horas Planificadas]],0)</f>
        <v>#REF!</v>
      </c>
      <c r="V4428" s="43" t="e">
        <f>IF(Planning[[#This Row],[Horas Planificadas]]&lt;&gt;0,Planning[[#This Row],[Horas utilizadas]]/Planning[[#This Row],[Horas Planificadas]],0)</f>
        <v>#REF!</v>
      </c>
      <c r="W4428" s="44">
        <f>Planning[[#This Row],[Horas Planificadas]]+Planning[[#This Row],[Horas ajustadas adicionales]]</f>
        <v>12</v>
      </c>
      <c r="X4428" s="142"/>
    </row>
    <row r="4429" spans="1:24" x14ac:dyDescent="0.2">
      <c r="A4429" s="7" t="s">
        <v>483</v>
      </c>
      <c r="B4429" s="7" t="s">
        <v>178</v>
      </c>
      <c r="C4429" s="3"/>
      <c r="D4429" s="3" t="s">
        <v>757</v>
      </c>
      <c r="E4429" s="4"/>
      <c r="F4429" s="3" t="s">
        <v>128</v>
      </c>
      <c r="G4429" s="9"/>
      <c r="H4429" s="9">
        <v>0</v>
      </c>
      <c r="I4429" s="12"/>
      <c r="J4429" s="5" t="e">
        <f>SUM(SUMIFS(#REF!,#REF!,Planning[[#This Row],[Tipo de Tarea y especialidad]],#REF!,Planning[[#This Row],[Proyectos Reiwa]]),SUMIFS(#REF!,#REF!,Planning[[#This Row],[Tipo de Tarea y especialidad]],#REF!,Planning[[#This Row],[Proyectos]]))</f>
        <v>#REF!</v>
      </c>
      <c r="K4429" s="5" t="e">
        <f>+Planning[[#This Row],[Horas Planificadas]]+Planning[[#This Row],[Horas ajustadas adicionales]]-Planning[[#This Row],[Horas utilizadas]]</f>
        <v>#REF!</v>
      </c>
      <c r="L4429" s="7">
        <v>0</v>
      </c>
      <c r="M4429" s="19" t="e">
        <f>Planning[[#This Row],[Saldo]]-Planning[[#This Row],[Saldo estimado]]</f>
        <v>#REF!</v>
      </c>
      <c r="N4429" s="60" t="e">
        <f>+SUMIFS(#REF!,#REF!,Planning[[#This Row],[Proyectos]],#REF!,Planning[[#This Row],[Tipo de Tarea y especialidad]])</f>
        <v>#REF!</v>
      </c>
      <c r="O4429" s="19">
        <f t="shared" si="139"/>
        <v>10</v>
      </c>
      <c r="P4429" s="19">
        <f t="shared" si="140"/>
        <v>2024</v>
      </c>
      <c r="Q44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29" s="19" t="str">
        <f>TEXT(Planning[[#This Row],[Mes]]*29,"mmmm")</f>
        <v>October</v>
      </c>
      <c r="S44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29" s="210"/>
      <c r="U4429" s="43">
        <f>IF(Planning[[#This Row],[Horas Planificadas]]&lt;&gt;0,+K4429/Planning[[#This Row],[Horas Planificadas]],0)</f>
        <v>0</v>
      </c>
      <c r="V4429" s="43">
        <f>IF(Planning[[#This Row],[Horas Planificadas]]&lt;&gt;0,Planning[[#This Row],[Horas utilizadas]]/Planning[[#This Row],[Horas Planificadas]],0)</f>
        <v>0</v>
      </c>
      <c r="W4429" s="44">
        <f>Planning[[#This Row],[Horas Planificadas]]+Planning[[#This Row],[Horas ajustadas adicionales]]</f>
        <v>0</v>
      </c>
      <c r="X4429" s="142"/>
    </row>
    <row r="4430" spans="1:24" x14ac:dyDescent="0.2">
      <c r="A4430" s="7" t="s">
        <v>483</v>
      </c>
      <c r="B4430" s="7" t="s">
        <v>178</v>
      </c>
      <c r="C4430" s="3"/>
      <c r="D4430" s="3" t="s">
        <v>757</v>
      </c>
      <c r="E4430" s="4" t="s">
        <v>31</v>
      </c>
      <c r="F4430" s="3" t="s">
        <v>31</v>
      </c>
      <c r="G4430" s="9">
        <v>90</v>
      </c>
      <c r="H4430" s="17">
        <v>12</v>
      </c>
      <c r="I4430" s="18"/>
      <c r="J4430" s="14" t="e">
        <f>+SUMIFS(#REF!,#REF!,Planning[[#This Row],[Tarifa]],#REF!,Planning[[#This Row],[Proyectos]])</f>
        <v>#REF!</v>
      </c>
      <c r="K4430" s="14" t="e">
        <f>+Planning[[#This Row],[Horas Planificadas]]+Planning[[#This Row],[Horas ajustadas adicionales]]-Planning[[#This Row],[Horas utilizadas]]</f>
        <v>#REF!</v>
      </c>
      <c r="L4430" s="15" t="e">
        <f>Planning[[#This Row],[Saldo]]</f>
        <v>#REF!</v>
      </c>
      <c r="M4430" s="16" t="e">
        <f>Planning[[#This Row],[Saldo]]-Planning[[#This Row],[Saldo estimado]]</f>
        <v>#REF!</v>
      </c>
      <c r="N4430" s="60"/>
      <c r="O4430" s="16">
        <f t="shared" si="139"/>
        <v>10</v>
      </c>
      <c r="P4430" s="16">
        <f t="shared" si="140"/>
        <v>2024</v>
      </c>
      <c r="Q4430" s="16" t="e">
        <f>+SUMIFS(#REF!,#REF!,Planning[[#This Row],[Tarifa]],#REF!,Planning[[#This Row],[Proyectos]],#REF!,Planning[[#This Row],[Mes]],#REF!,Planning[[#This Row],[Año]])</f>
        <v>#REF!</v>
      </c>
      <c r="R4430" s="16" t="str">
        <f>TEXT(Planning[[#This Row],[Mes]]*29,"mmmm")</f>
        <v>October</v>
      </c>
      <c r="S44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30" s="210"/>
      <c r="U4430" s="43" t="e">
        <f>IF(Planning[[#This Row],[Horas Planificadas]]&lt;&gt;0,+K4430/Planning[[#This Row],[Horas Planificadas]],0)</f>
        <v>#REF!</v>
      </c>
      <c r="V4430" s="43" t="e">
        <f>IF(Planning[[#This Row],[Horas Planificadas]]&lt;&gt;0,Planning[[#This Row],[Horas utilizadas]]/Planning[[#This Row],[Horas Planificadas]],0)</f>
        <v>#REF!</v>
      </c>
      <c r="W4430" s="44">
        <f>Planning[[#This Row],[Horas Planificadas]]+Planning[[#This Row],[Horas ajustadas adicionales]]</f>
        <v>12</v>
      </c>
      <c r="X4430" s="142"/>
    </row>
    <row r="4431" spans="1:24" ht="22.5" x14ac:dyDescent="0.2">
      <c r="A4431" s="7" t="s">
        <v>483</v>
      </c>
      <c r="B4431" s="7" t="s">
        <v>178</v>
      </c>
      <c r="C4431" s="3"/>
      <c r="D4431" s="3" t="s">
        <v>757</v>
      </c>
      <c r="E4431" s="4" t="s">
        <v>32</v>
      </c>
      <c r="F4431" s="3"/>
      <c r="G4431" s="9">
        <v>150</v>
      </c>
      <c r="H4431" s="14">
        <f>SUM(H4432:H4434)</f>
        <v>40</v>
      </c>
      <c r="I4431" s="14"/>
      <c r="J4431" s="14" t="e">
        <f>SUM(J4432:J4434)</f>
        <v>#REF!</v>
      </c>
      <c r="K4431" s="14" t="e">
        <f>+Planning[[#This Row],[Horas Planificadas]]+Planning[[#This Row],[Horas ajustadas adicionales]]-Planning[[#This Row],[Horas utilizadas]]</f>
        <v>#REF!</v>
      </c>
      <c r="L4431" s="15">
        <f>SUM(L4432:L4434)</f>
        <v>0</v>
      </c>
      <c r="M4431" s="16" t="e">
        <f>SUM(M4432:M4434)</f>
        <v>#REF!</v>
      </c>
      <c r="N4431" s="60"/>
      <c r="O4431" s="16">
        <f t="shared" si="139"/>
        <v>10</v>
      </c>
      <c r="P4431" s="16">
        <f t="shared" si="140"/>
        <v>2024</v>
      </c>
      <c r="Q4431" s="16" t="e">
        <f>SUM(Q4432:Q4434)</f>
        <v>#REF!</v>
      </c>
      <c r="R4431" s="16" t="str">
        <f>TEXT(Planning[[#This Row],[Mes]]*29,"mmmm")</f>
        <v>October</v>
      </c>
      <c r="S44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31" s="210"/>
      <c r="U4431" s="43" t="e">
        <f>IF(Planning[[#This Row],[Horas Planificadas]]&lt;&gt;0,+K4431/Planning[[#This Row],[Horas Planificadas]],0)</f>
        <v>#REF!</v>
      </c>
      <c r="V4431" s="43" t="e">
        <f>IF(Planning[[#This Row],[Horas Planificadas]]&lt;&gt;0,Planning[[#This Row],[Horas utilizadas]]/Planning[[#This Row],[Horas Planificadas]],0)</f>
        <v>#REF!</v>
      </c>
      <c r="W4431" s="44">
        <f>Planning[[#This Row],[Horas Planificadas]]+Planning[[#This Row],[Horas ajustadas adicionales]]</f>
        <v>40</v>
      </c>
      <c r="X4431" s="142"/>
    </row>
    <row r="4432" spans="1:24" x14ac:dyDescent="0.2">
      <c r="A4432" s="7" t="s">
        <v>483</v>
      </c>
      <c r="B4432" s="7" t="s">
        <v>178</v>
      </c>
      <c r="C4432" s="3"/>
      <c r="D4432" s="3" t="s">
        <v>757</v>
      </c>
      <c r="E4432" s="4"/>
      <c r="F4432" s="3" t="s">
        <v>129</v>
      </c>
      <c r="G4432" s="9"/>
      <c r="H4432" s="9">
        <v>0</v>
      </c>
      <c r="I4432" s="12"/>
      <c r="J4432" s="5" t="e">
        <f>SUM(SUMIFS(#REF!,#REF!,Planning[[#This Row],[Tipo de Tarea y especialidad]],#REF!,Planning[[#This Row],[Proyectos Reiwa]]),SUMIFS(#REF!,#REF!,Planning[[#This Row],[Tipo de Tarea y especialidad]],#REF!,Planning[[#This Row],[Proyectos]]))</f>
        <v>#REF!</v>
      </c>
      <c r="K4432" s="5" t="e">
        <f>+Planning[[#This Row],[Horas Planificadas]]+Planning[[#This Row],[Horas ajustadas adicionales]]-Planning[[#This Row],[Horas utilizadas]]</f>
        <v>#REF!</v>
      </c>
      <c r="L4432" s="7">
        <v>0</v>
      </c>
      <c r="M4432" s="19" t="e">
        <f>Planning[[#This Row],[Saldo]]-Planning[[#This Row],[Saldo estimado]]</f>
        <v>#REF!</v>
      </c>
      <c r="N4432" s="60" t="e">
        <f>+SUMIFS(#REF!,#REF!,Planning[[#This Row],[Proyectos]],#REF!,Planning[[#This Row],[Tipo de Tarea y especialidad]])</f>
        <v>#REF!</v>
      </c>
      <c r="O4432" s="19">
        <f t="shared" si="139"/>
        <v>10</v>
      </c>
      <c r="P4432" s="19">
        <f t="shared" si="140"/>
        <v>2024</v>
      </c>
      <c r="Q44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32" s="19" t="str">
        <f>TEXT(Planning[[#This Row],[Mes]]*29,"mmmm")</f>
        <v>October</v>
      </c>
      <c r="S44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32" s="210"/>
      <c r="U4432" s="43">
        <f>IF(Planning[[#This Row],[Horas Planificadas]]&lt;&gt;0,+K4432/Planning[[#This Row],[Horas Planificadas]],0)</f>
        <v>0</v>
      </c>
      <c r="V4432" s="43">
        <f>IF(Planning[[#This Row],[Horas Planificadas]]&lt;&gt;0,Planning[[#This Row],[Horas utilizadas]]/Planning[[#This Row],[Horas Planificadas]],0)</f>
        <v>0</v>
      </c>
      <c r="W4432" s="44">
        <f>Planning[[#This Row],[Horas Planificadas]]+Planning[[#This Row],[Horas ajustadas adicionales]]</f>
        <v>0</v>
      </c>
      <c r="X4432" s="142"/>
    </row>
    <row r="4433" spans="1:24" x14ac:dyDescent="0.2">
      <c r="A4433" s="7" t="s">
        <v>483</v>
      </c>
      <c r="B4433" s="7" t="s">
        <v>178</v>
      </c>
      <c r="C4433" s="3"/>
      <c r="D4433" s="3" t="s">
        <v>757</v>
      </c>
      <c r="E4433" s="4"/>
      <c r="F4433" s="3" t="s">
        <v>130</v>
      </c>
      <c r="G4433" s="9"/>
      <c r="H4433" s="9">
        <v>40</v>
      </c>
      <c r="I4433" s="12"/>
      <c r="J4433" s="5" t="e">
        <f>SUM(SUMIFS(#REF!,#REF!,Planning[[#This Row],[Tipo de Tarea y especialidad]],#REF!,Planning[[#This Row],[Proyectos Reiwa]]),SUMIFS(#REF!,#REF!,Planning[[#This Row],[Tipo de Tarea y especialidad]],#REF!,Planning[[#This Row],[Proyectos]]))</f>
        <v>#REF!</v>
      </c>
      <c r="K4433" s="5" t="e">
        <f>+Planning[[#This Row],[Horas Planificadas]]+Planning[[#This Row],[Horas ajustadas adicionales]]-Planning[[#This Row],[Horas utilizadas]]</f>
        <v>#REF!</v>
      </c>
      <c r="L4433" s="7">
        <v>0</v>
      </c>
      <c r="M4433" s="19" t="e">
        <f>Planning[[#This Row],[Saldo]]-Planning[[#This Row],[Saldo estimado]]</f>
        <v>#REF!</v>
      </c>
      <c r="N4433" s="60" t="e">
        <f>+SUMIFS(#REF!,#REF!,Planning[[#This Row],[Proyectos]],#REF!,Planning[[#This Row],[Tipo de Tarea y especialidad]])</f>
        <v>#REF!</v>
      </c>
      <c r="O4433" s="19">
        <f t="shared" si="139"/>
        <v>10</v>
      </c>
      <c r="P4433" s="19">
        <f t="shared" si="140"/>
        <v>2024</v>
      </c>
      <c r="Q44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33" s="19" t="str">
        <f>TEXT(Planning[[#This Row],[Mes]]*29,"mmmm")</f>
        <v>October</v>
      </c>
      <c r="S44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33" s="210"/>
      <c r="U4433" s="43" t="e">
        <f>IF(Planning[[#This Row],[Horas Planificadas]]&lt;&gt;0,+K4433/Planning[[#This Row],[Horas Planificadas]],0)</f>
        <v>#REF!</v>
      </c>
      <c r="V4433" s="43" t="e">
        <f>IF(Planning[[#This Row],[Horas Planificadas]]&lt;&gt;0,Planning[[#This Row],[Horas utilizadas]]/Planning[[#This Row],[Horas Planificadas]],0)</f>
        <v>#REF!</v>
      </c>
      <c r="W4433" s="44">
        <f>Planning[[#This Row],[Horas Planificadas]]+Planning[[#This Row],[Horas ajustadas adicionales]]</f>
        <v>40</v>
      </c>
      <c r="X4433" s="142"/>
    </row>
    <row r="4434" spans="1:24" x14ac:dyDescent="0.2">
      <c r="A4434" s="7" t="s">
        <v>483</v>
      </c>
      <c r="B4434" s="7" t="s">
        <v>178</v>
      </c>
      <c r="C4434" s="3"/>
      <c r="D4434" s="3" t="s">
        <v>757</v>
      </c>
      <c r="E4434" s="4"/>
      <c r="F4434" s="3" t="s">
        <v>131</v>
      </c>
      <c r="G4434" s="9"/>
      <c r="H4434" s="9">
        <v>0</v>
      </c>
      <c r="I4434" s="12"/>
      <c r="J4434" s="5" t="e">
        <f>SUM(SUMIFS(#REF!,#REF!,Planning[[#This Row],[Tipo de Tarea y especialidad]],#REF!,Planning[[#This Row],[Proyectos Reiwa]]),SUMIFS(#REF!,#REF!,Planning[[#This Row],[Tipo de Tarea y especialidad]],#REF!,Planning[[#This Row],[Proyectos]]))</f>
        <v>#REF!</v>
      </c>
      <c r="K4434" s="5" t="e">
        <f>+Planning[[#This Row],[Horas Planificadas]]+Planning[[#This Row],[Horas ajustadas adicionales]]-Planning[[#This Row],[Horas utilizadas]]</f>
        <v>#REF!</v>
      </c>
      <c r="L4434" s="7">
        <v>0</v>
      </c>
      <c r="M4434" s="19" t="e">
        <f>Planning[[#This Row],[Saldo]]-Planning[[#This Row],[Saldo estimado]]</f>
        <v>#REF!</v>
      </c>
      <c r="N4434" s="60" t="e">
        <f>+SUMIFS(#REF!,#REF!,Planning[[#This Row],[Proyectos]],#REF!,Planning[[#This Row],[Tipo de Tarea y especialidad]])</f>
        <v>#REF!</v>
      </c>
      <c r="O4434" s="19">
        <f t="shared" si="139"/>
        <v>10</v>
      </c>
      <c r="P4434" s="19">
        <f t="shared" si="140"/>
        <v>2024</v>
      </c>
      <c r="Q44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34" s="19" t="str">
        <f>TEXT(Planning[[#This Row],[Mes]]*29,"mmmm")</f>
        <v>October</v>
      </c>
      <c r="S44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34" s="210"/>
      <c r="U4434" s="43">
        <f>IF(Planning[[#This Row],[Horas Planificadas]]&lt;&gt;0,+K4434/Planning[[#This Row],[Horas Planificadas]],0)</f>
        <v>0</v>
      </c>
      <c r="V4434" s="43">
        <f>IF(Planning[[#This Row],[Horas Planificadas]]&lt;&gt;0,Planning[[#This Row],[Horas utilizadas]]/Planning[[#This Row],[Horas Planificadas]],0)</f>
        <v>0</v>
      </c>
      <c r="W4434" s="44">
        <f>Planning[[#This Row],[Horas Planificadas]]+Planning[[#This Row],[Horas ajustadas adicionales]]</f>
        <v>0</v>
      </c>
      <c r="X4434" s="142"/>
    </row>
    <row r="4435" spans="1:24" ht="22.5" x14ac:dyDescent="0.2">
      <c r="A4435" s="7" t="s">
        <v>483</v>
      </c>
      <c r="B4435" s="7" t="s">
        <v>205</v>
      </c>
      <c r="C4435" s="3"/>
      <c r="D4435" s="3" t="s">
        <v>759</v>
      </c>
      <c r="E4435" s="4" t="s">
        <v>28</v>
      </c>
      <c r="F4435" s="3"/>
      <c r="G4435" s="9">
        <v>0</v>
      </c>
      <c r="H4435" s="14">
        <f>SUM(H4436:H4437)</f>
        <v>0</v>
      </c>
      <c r="I4435" s="14"/>
      <c r="J4435" s="14" t="e">
        <f>SUM(J4436:J4437)</f>
        <v>#REF!</v>
      </c>
      <c r="K4435" s="14" t="e">
        <f>+Planning[[#This Row],[Horas Planificadas]]+Planning[[#This Row],[Horas ajustadas adicionales]]-Planning[[#This Row],[Horas utilizadas]]</f>
        <v>#REF!</v>
      </c>
      <c r="L4435" s="15">
        <f>SUM(L4436:L4437)</f>
        <v>0</v>
      </c>
      <c r="M4435" s="14" t="e">
        <f>SUM(M4436:M4437)</f>
        <v>#REF!</v>
      </c>
      <c r="N4435" s="66" t="e">
        <f>+SUMIFS(#REF!,#REF!,Planning[[#This Row],[Proyectos]],#REF!,Planning[[#This Row],[Tipo de Tarea y especialidad]])</f>
        <v>#REF!</v>
      </c>
      <c r="O4435" s="14">
        <f t="shared" si="139"/>
        <v>10</v>
      </c>
      <c r="P4435" s="14">
        <f t="shared" si="140"/>
        <v>2024</v>
      </c>
      <c r="Q4435" s="28" t="e">
        <f>SUM(Q4436:Q4437)</f>
        <v>#REF!</v>
      </c>
      <c r="R4435" s="28" t="str">
        <f>TEXT(Planning[[#This Row],[Mes]]*29,"mmmm")</f>
        <v>October</v>
      </c>
      <c r="S44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35" s="220" t="s">
        <v>760</v>
      </c>
      <c r="U4435" s="43">
        <f>IF(Planning[[#This Row],[Horas Planificadas]]&lt;&gt;0,+K4435/Planning[[#This Row],[Horas Planificadas]],0)</f>
        <v>0</v>
      </c>
      <c r="V4435" s="43">
        <f>IF(Planning[[#This Row],[Horas Planificadas]]&lt;&gt;0,Planning[[#This Row],[Horas utilizadas]]/Planning[[#This Row],[Horas Planificadas]],0)</f>
        <v>0</v>
      </c>
      <c r="W4435" s="44">
        <f>Planning[[#This Row],[Horas Planificadas]]+Planning[[#This Row],[Horas ajustadas adicionales]]</f>
        <v>0</v>
      </c>
      <c r="X4435" s="142"/>
    </row>
    <row r="4436" spans="1:24" x14ac:dyDescent="0.2">
      <c r="A4436" s="7" t="s">
        <v>483</v>
      </c>
      <c r="B4436" s="7" t="s">
        <v>205</v>
      </c>
      <c r="C4436" s="3"/>
      <c r="D4436" s="3" t="s">
        <v>759</v>
      </c>
      <c r="E4436" s="4"/>
      <c r="F4436" s="3" t="s">
        <v>120</v>
      </c>
      <c r="G4436" s="9"/>
      <c r="H4436" s="9">
        <v>0</v>
      </c>
      <c r="I4436" s="12"/>
      <c r="J4436" s="5" t="e">
        <f>SUM(SUMIFS(#REF!,#REF!,Planning[[#This Row],[Tipo de Tarea y especialidad]],#REF!,Planning[[#This Row],[Proyectos Reiwa]]),SUMIFS(#REF!,#REF!,Planning[[#This Row],[Tipo de Tarea y especialidad]],#REF!,Planning[[#This Row],[Proyectos]]))</f>
        <v>#REF!</v>
      </c>
      <c r="K4436" s="5" t="e">
        <f>+Planning[[#This Row],[Horas Planificadas]]+Planning[[#This Row],[Horas ajustadas adicionales]]-Planning[[#This Row],[Horas utilizadas]]</f>
        <v>#REF!</v>
      </c>
      <c r="L4436" s="7">
        <v>0</v>
      </c>
      <c r="M4436" s="19" t="e">
        <f>Planning[[#This Row],[Saldo]]-Planning[[#This Row],[Saldo estimado]]</f>
        <v>#REF!</v>
      </c>
      <c r="N4436" s="60" t="e">
        <f>+SUMIFS(#REF!,#REF!,Planning[[#This Row],[Proyectos]],#REF!,Planning[[#This Row],[Tipo de Tarea y especialidad]])</f>
        <v>#REF!</v>
      </c>
      <c r="O4436" s="19">
        <f t="shared" si="139"/>
        <v>10</v>
      </c>
      <c r="P4436" s="19">
        <f t="shared" si="140"/>
        <v>2024</v>
      </c>
      <c r="Q44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36" s="19" t="str">
        <f>TEXT(Planning[[#This Row],[Mes]]*29,"mmmm")</f>
        <v>October</v>
      </c>
      <c r="S44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36" s="210"/>
      <c r="U4436" s="43">
        <f>IF(Planning[[#This Row],[Horas Planificadas]]&lt;&gt;0,+K4436/Planning[[#This Row],[Horas Planificadas]],0)</f>
        <v>0</v>
      </c>
      <c r="V4436" s="43">
        <f>IF(Planning[[#This Row],[Horas Planificadas]]&lt;&gt;0,Planning[[#This Row],[Horas utilizadas]]/Planning[[#This Row],[Horas Planificadas]],0)</f>
        <v>0</v>
      </c>
      <c r="W4436" s="44">
        <f>Planning[[#This Row],[Horas Planificadas]]+Planning[[#This Row],[Horas ajustadas adicionales]]</f>
        <v>0</v>
      </c>
      <c r="X4436" s="142"/>
    </row>
    <row r="4437" spans="1:24" x14ac:dyDescent="0.2">
      <c r="A4437" s="7" t="s">
        <v>483</v>
      </c>
      <c r="B4437" s="7" t="s">
        <v>205</v>
      </c>
      <c r="C4437" s="3"/>
      <c r="D4437" s="3" t="s">
        <v>759</v>
      </c>
      <c r="E4437" s="4"/>
      <c r="F4437" s="3" t="s">
        <v>121</v>
      </c>
      <c r="G4437" s="9"/>
      <c r="H4437" s="9">
        <v>0</v>
      </c>
      <c r="I4437" s="12"/>
      <c r="J4437" s="5" t="e">
        <f>SUM(SUMIFS(#REF!,#REF!,Planning[[#This Row],[Tipo de Tarea y especialidad]],#REF!,Planning[[#This Row],[Proyectos Reiwa]]),SUMIFS(#REF!,#REF!,Planning[[#This Row],[Tipo de Tarea y especialidad]],#REF!,Planning[[#This Row],[Proyectos]]))</f>
        <v>#REF!</v>
      </c>
      <c r="K4437" s="5" t="e">
        <f>+Planning[[#This Row],[Horas Planificadas]]+Planning[[#This Row],[Horas ajustadas adicionales]]-Planning[[#This Row],[Horas utilizadas]]</f>
        <v>#REF!</v>
      </c>
      <c r="L4437" s="7">
        <v>0</v>
      </c>
      <c r="M4437" s="19" t="e">
        <f>Planning[[#This Row],[Saldo]]-Planning[[#This Row],[Saldo estimado]]</f>
        <v>#REF!</v>
      </c>
      <c r="N4437" s="60" t="e">
        <f>+SUMIFS(#REF!,#REF!,Planning[[#This Row],[Proyectos]],#REF!,Planning[[#This Row],[Tipo de Tarea y especialidad]])</f>
        <v>#REF!</v>
      </c>
      <c r="O4437" s="19">
        <f t="shared" si="139"/>
        <v>10</v>
      </c>
      <c r="P4437" s="19">
        <f t="shared" si="140"/>
        <v>2024</v>
      </c>
      <c r="Q44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37" s="19" t="str">
        <f>TEXT(Planning[[#This Row],[Mes]]*29,"mmmm")</f>
        <v>October</v>
      </c>
      <c r="S44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37" s="210"/>
      <c r="U4437" s="43">
        <f>IF(Planning[[#This Row],[Horas Planificadas]]&lt;&gt;0,+K4437/Planning[[#This Row],[Horas Planificadas]],0)</f>
        <v>0</v>
      </c>
      <c r="V4437" s="43">
        <f>IF(Planning[[#This Row],[Horas Planificadas]]&lt;&gt;0,Planning[[#This Row],[Horas utilizadas]]/Planning[[#This Row],[Horas Planificadas]],0)</f>
        <v>0</v>
      </c>
      <c r="W4437" s="44">
        <f>Planning[[#This Row],[Horas Planificadas]]+Planning[[#This Row],[Horas ajustadas adicionales]]</f>
        <v>0</v>
      </c>
      <c r="X4437" s="142"/>
    </row>
    <row r="4438" spans="1:24" x14ac:dyDescent="0.2">
      <c r="A4438" s="7" t="s">
        <v>483</v>
      </c>
      <c r="B4438" s="7" t="s">
        <v>205</v>
      </c>
      <c r="C4438" s="3"/>
      <c r="D4438" s="3" t="s">
        <v>759</v>
      </c>
      <c r="E4438" s="4" t="s">
        <v>30</v>
      </c>
      <c r="F4438" s="3"/>
      <c r="G4438" s="9">
        <v>400</v>
      </c>
      <c r="H4438" s="14">
        <f>SUM(H4439:H4445)</f>
        <v>400</v>
      </c>
      <c r="I4438" s="14"/>
      <c r="J4438" s="14" t="e">
        <f>SUM(J4439:J4445)</f>
        <v>#REF!</v>
      </c>
      <c r="K4438" s="14" t="e">
        <f>+Planning[[#This Row],[Horas Planificadas]]+Planning[[#This Row],[Horas ajustadas adicionales]]-Planning[[#This Row],[Horas utilizadas]]</f>
        <v>#REF!</v>
      </c>
      <c r="L4438" s="15">
        <f>SUM(L4439:L4445)</f>
        <v>0</v>
      </c>
      <c r="M4438" s="16" t="e">
        <f>SUM(M4439:M4445)</f>
        <v>#REF!</v>
      </c>
      <c r="N4438" s="60"/>
      <c r="O4438" s="16">
        <f t="shared" si="139"/>
        <v>10</v>
      </c>
      <c r="P4438" s="16">
        <f t="shared" si="140"/>
        <v>2024</v>
      </c>
      <c r="Q4438" s="16" t="e">
        <f>SUM(Q4439:Q4445)</f>
        <v>#REF!</v>
      </c>
      <c r="R4438" s="16" t="str">
        <f>TEXT(Planning[[#This Row],[Mes]]*29,"mmmm")</f>
        <v>October</v>
      </c>
      <c r="S44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38" s="210"/>
      <c r="U4438" s="43" t="e">
        <f>IF(Planning[[#This Row],[Horas Planificadas]]&lt;&gt;0,+K4438/Planning[[#This Row],[Horas Planificadas]],0)</f>
        <v>#REF!</v>
      </c>
      <c r="V4438" s="43" t="e">
        <f>IF(Planning[[#This Row],[Horas Planificadas]]&lt;&gt;0,Planning[[#This Row],[Horas utilizadas]]/Planning[[#This Row],[Horas Planificadas]],0)</f>
        <v>#REF!</v>
      </c>
      <c r="W4438" s="44">
        <f>Planning[[#This Row],[Horas Planificadas]]+Planning[[#This Row],[Horas ajustadas adicionales]]</f>
        <v>400</v>
      </c>
      <c r="X4438" s="142"/>
    </row>
    <row r="4439" spans="1:24" x14ac:dyDescent="0.2">
      <c r="A4439" s="7" t="s">
        <v>483</v>
      </c>
      <c r="B4439" s="7" t="s">
        <v>205</v>
      </c>
      <c r="C4439" s="3"/>
      <c r="D4439" s="3" t="s">
        <v>759</v>
      </c>
      <c r="E4439" s="4"/>
      <c r="F4439" s="3" t="s">
        <v>122</v>
      </c>
      <c r="G4439" s="9"/>
      <c r="H4439" s="9">
        <v>0</v>
      </c>
      <c r="I4439" s="12"/>
      <c r="J4439" s="5" t="e">
        <f>SUM(SUMIFS(#REF!,#REF!,Planning[[#This Row],[Tipo de Tarea y especialidad]],#REF!,Planning[[#This Row],[Proyectos Reiwa]]),SUMIFS(#REF!,#REF!,Planning[[#This Row],[Tipo de Tarea y especialidad]],#REF!,Planning[[#This Row],[Proyectos]]))</f>
        <v>#REF!</v>
      </c>
      <c r="K4439" s="5" t="e">
        <f>+Planning[[#This Row],[Horas Planificadas]]+Planning[[#This Row],[Horas ajustadas adicionales]]-Planning[[#This Row],[Horas utilizadas]]</f>
        <v>#REF!</v>
      </c>
      <c r="L4439" s="7">
        <v>0</v>
      </c>
      <c r="M4439" s="19" t="e">
        <f>Planning[[#This Row],[Saldo]]-Planning[[#This Row],[Saldo estimado]]</f>
        <v>#REF!</v>
      </c>
      <c r="N4439" s="60" t="e">
        <f>+SUMIFS(#REF!,#REF!,Planning[[#This Row],[Proyectos]],#REF!,Planning[[#This Row],[Tipo de Tarea y especialidad]])</f>
        <v>#REF!</v>
      </c>
      <c r="O4439" s="19">
        <f t="shared" si="139"/>
        <v>10</v>
      </c>
      <c r="P4439" s="19">
        <f t="shared" si="140"/>
        <v>2024</v>
      </c>
      <c r="Q44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39" s="19" t="str">
        <f>TEXT(Planning[[#This Row],[Mes]]*29,"mmmm")</f>
        <v>October</v>
      </c>
      <c r="S44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39" s="210"/>
      <c r="U4439" s="43">
        <f>IF(Planning[[#This Row],[Horas Planificadas]]&lt;&gt;0,+K4439/Planning[[#This Row],[Horas Planificadas]],0)</f>
        <v>0</v>
      </c>
      <c r="V4439" s="43">
        <f>IF(Planning[[#This Row],[Horas Planificadas]]&lt;&gt;0,Planning[[#This Row],[Horas utilizadas]]/Planning[[#This Row],[Horas Planificadas]],0)</f>
        <v>0</v>
      </c>
      <c r="W4439" s="44">
        <f>Planning[[#This Row],[Horas Planificadas]]+Planning[[#This Row],[Horas ajustadas adicionales]]</f>
        <v>0</v>
      </c>
      <c r="X4439" s="142"/>
    </row>
    <row r="4440" spans="1:24" x14ac:dyDescent="0.2">
      <c r="A4440" s="7" t="s">
        <v>483</v>
      </c>
      <c r="B4440" s="7" t="s">
        <v>205</v>
      </c>
      <c r="C4440" s="3"/>
      <c r="D4440" s="3" t="s">
        <v>759</v>
      </c>
      <c r="E4440" s="4"/>
      <c r="F4440" s="3" t="s">
        <v>123</v>
      </c>
      <c r="G4440" s="9"/>
      <c r="H4440" s="9">
        <v>310</v>
      </c>
      <c r="I4440" s="12"/>
      <c r="J4440" s="5" t="e">
        <f>SUM(SUMIFS(#REF!,#REF!,Planning[[#This Row],[Tipo de Tarea y especialidad]],#REF!,Planning[[#This Row],[Proyectos Reiwa]]),SUMIFS(#REF!,#REF!,Planning[[#This Row],[Tipo de Tarea y especialidad]],#REF!,Planning[[#This Row],[Proyectos]]))</f>
        <v>#REF!</v>
      </c>
      <c r="K4440" s="5" t="e">
        <f>+Planning[[#This Row],[Horas Planificadas]]+Planning[[#This Row],[Horas ajustadas adicionales]]-Planning[[#This Row],[Horas utilizadas]]</f>
        <v>#REF!</v>
      </c>
      <c r="L4440" s="7">
        <v>0</v>
      </c>
      <c r="M4440" s="19" t="e">
        <f>Planning[[#This Row],[Saldo]]-Planning[[#This Row],[Saldo estimado]]</f>
        <v>#REF!</v>
      </c>
      <c r="N4440" s="60" t="e">
        <f>+SUMIFS(#REF!,#REF!,Planning[[#This Row],[Proyectos]],#REF!,Planning[[#This Row],[Tipo de Tarea y especialidad]])</f>
        <v>#REF!</v>
      </c>
      <c r="O4440" s="19">
        <f t="shared" si="139"/>
        <v>10</v>
      </c>
      <c r="P4440" s="19">
        <f t="shared" si="140"/>
        <v>2024</v>
      </c>
      <c r="Q44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40" s="19" t="str">
        <f>TEXT(Planning[[#This Row],[Mes]]*29,"mmmm")</f>
        <v>October</v>
      </c>
      <c r="S44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40" s="210"/>
      <c r="U4440" s="43" t="e">
        <f>IF(Planning[[#This Row],[Horas Planificadas]]&lt;&gt;0,+K4440/Planning[[#This Row],[Horas Planificadas]],0)</f>
        <v>#REF!</v>
      </c>
      <c r="V4440" s="43" t="e">
        <f>IF(Planning[[#This Row],[Horas Planificadas]]&lt;&gt;0,Planning[[#This Row],[Horas utilizadas]]/Planning[[#This Row],[Horas Planificadas]],0)</f>
        <v>#REF!</v>
      </c>
      <c r="W4440" s="44">
        <f>Planning[[#This Row],[Horas Planificadas]]+Planning[[#This Row],[Horas ajustadas adicionales]]</f>
        <v>310</v>
      </c>
      <c r="X4440" s="142"/>
    </row>
    <row r="4441" spans="1:24" x14ac:dyDescent="0.2">
      <c r="A4441" s="7" t="s">
        <v>483</v>
      </c>
      <c r="B4441" s="7" t="s">
        <v>205</v>
      </c>
      <c r="C4441" s="3"/>
      <c r="D4441" s="3" t="s">
        <v>759</v>
      </c>
      <c r="E4441" s="4"/>
      <c r="F4441" s="3" t="s">
        <v>124</v>
      </c>
      <c r="G4441" s="9"/>
      <c r="H4441" s="9">
        <v>0</v>
      </c>
      <c r="I4441" s="12"/>
      <c r="J4441" s="5" t="e">
        <f>SUM(SUMIFS(#REF!,#REF!,Planning[[#This Row],[Tipo de Tarea y especialidad]],#REF!,Planning[[#This Row],[Proyectos Reiwa]]),SUMIFS(#REF!,#REF!,Planning[[#This Row],[Tipo de Tarea y especialidad]],#REF!,Planning[[#This Row],[Proyectos]]))</f>
        <v>#REF!</v>
      </c>
      <c r="K4441" s="5" t="e">
        <f>+Planning[[#This Row],[Horas Planificadas]]+Planning[[#This Row],[Horas ajustadas adicionales]]-Planning[[#This Row],[Horas utilizadas]]</f>
        <v>#REF!</v>
      </c>
      <c r="L4441" s="7">
        <v>0</v>
      </c>
      <c r="M4441" s="19" t="e">
        <f>Planning[[#This Row],[Saldo]]-Planning[[#This Row],[Saldo estimado]]</f>
        <v>#REF!</v>
      </c>
      <c r="N4441" s="60" t="e">
        <f>+SUMIFS(#REF!,#REF!,Planning[[#This Row],[Proyectos]],#REF!,Planning[[#This Row],[Tipo de Tarea y especialidad]])</f>
        <v>#REF!</v>
      </c>
      <c r="O4441" s="19">
        <f t="shared" si="139"/>
        <v>10</v>
      </c>
      <c r="P4441" s="19">
        <f t="shared" si="140"/>
        <v>2024</v>
      </c>
      <c r="Q44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41" s="19" t="str">
        <f>TEXT(Planning[[#This Row],[Mes]]*29,"mmmm")</f>
        <v>October</v>
      </c>
      <c r="S44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41" s="210"/>
      <c r="U4441" s="43">
        <f>IF(Planning[[#This Row],[Horas Planificadas]]&lt;&gt;0,+K4441/Planning[[#This Row],[Horas Planificadas]],0)</f>
        <v>0</v>
      </c>
      <c r="V4441" s="43">
        <f>IF(Planning[[#This Row],[Horas Planificadas]]&lt;&gt;0,Planning[[#This Row],[Horas utilizadas]]/Planning[[#This Row],[Horas Planificadas]],0)</f>
        <v>0</v>
      </c>
      <c r="W4441" s="44">
        <f>Planning[[#This Row],[Horas Planificadas]]+Planning[[#This Row],[Horas ajustadas adicionales]]</f>
        <v>0</v>
      </c>
      <c r="X4441" s="142"/>
    </row>
    <row r="4442" spans="1:24" x14ac:dyDescent="0.2">
      <c r="A4442" s="7" t="s">
        <v>483</v>
      </c>
      <c r="B4442" s="7" t="s">
        <v>205</v>
      </c>
      <c r="C4442" s="3"/>
      <c r="D4442" s="3" t="s">
        <v>759</v>
      </c>
      <c r="E4442" s="4"/>
      <c r="F4442" s="3" t="s">
        <v>125</v>
      </c>
      <c r="G4442" s="9"/>
      <c r="H4442" s="9">
        <v>90</v>
      </c>
      <c r="I4442" s="12"/>
      <c r="J4442" s="5" t="e">
        <f>SUM(SUMIFS(#REF!,#REF!,Planning[[#This Row],[Tipo de Tarea y especialidad]],#REF!,Planning[[#This Row],[Proyectos Reiwa]]),SUMIFS(#REF!,#REF!,Planning[[#This Row],[Tipo de Tarea y especialidad]],#REF!,Planning[[#This Row],[Proyectos]]))</f>
        <v>#REF!</v>
      </c>
      <c r="K4442" s="5" t="e">
        <f>+Planning[[#This Row],[Horas Planificadas]]+Planning[[#This Row],[Horas ajustadas adicionales]]-Planning[[#This Row],[Horas utilizadas]]</f>
        <v>#REF!</v>
      </c>
      <c r="L4442" s="7">
        <v>0</v>
      </c>
      <c r="M4442" s="19" t="e">
        <f>Planning[[#This Row],[Saldo]]-Planning[[#This Row],[Saldo estimado]]</f>
        <v>#REF!</v>
      </c>
      <c r="N4442" s="60" t="e">
        <f>+SUMIFS(#REF!,#REF!,Planning[[#This Row],[Proyectos]],#REF!,Planning[[#This Row],[Tipo de Tarea y especialidad]])</f>
        <v>#REF!</v>
      </c>
      <c r="O4442" s="19">
        <f t="shared" si="139"/>
        <v>10</v>
      </c>
      <c r="P4442" s="19">
        <f t="shared" si="140"/>
        <v>2024</v>
      </c>
      <c r="Q44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42" s="19" t="str">
        <f>TEXT(Planning[[#This Row],[Mes]]*29,"mmmm")</f>
        <v>October</v>
      </c>
      <c r="S44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42" s="210"/>
      <c r="U4442" s="43" t="e">
        <f>IF(Planning[[#This Row],[Horas Planificadas]]&lt;&gt;0,+K4442/Planning[[#This Row],[Horas Planificadas]],0)</f>
        <v>#REF!</v>
      </c>
      <c r="V4442" s="43" t="e">
        <f>IF(Planning[[#This Row],[Horas Planificadas]]&lt;&gt;0,Planning[[#This Row],[Horas utilizadas]]/Planning[[#This Row],[Horas Planificadas]],0)</f>
        <v>#REF!</v>
      </c>
      <c r="W4442" s="44">
        <f>Planning[[#This Row],[Horas Planificadas]]+Planning[[#This Row],[Horas ajustadas adicionales]]</f>
        <v>90</v>
      </c>
      <c r="X4442" s="142"/>
    </row>
    <row r="4443" spans="1:24" x14ac:dyDescent="0.2">
      <c r="A4443" s="7" t="s">
        <v>483</v>
      </c>
      <c r="B4443" s="7" t="s">
        <v>205</v>
      </c>
      <c r="C4443" s="3"/>
      <c r="D4443" s="3" t="s">
        <v>759</v>
      </c>
      <c r="E4443" s="4"/>
      <c r="F4443" s="3" t="s">
        <v>126</v>
      </c>
      <c r="G4443" s="9"/>
      <c r="H4443" s="9">
        <v>0</v>
      </c>
      <c r="I4443" s="12"/>
      <c r="J4443" s="5" t="e">
        <f>SUM(SUMIFS(#REF!,#REF!,Planning[[#This Row],[Tipo de Tarea y especialidad]],#REF!,Planning[[#This Row],[Proyectos Reiwa]]),SUMIFS(#REF!,#REF!,Planning[[#This Row],[Tipo de Tarea y especialidad]],#REF!,Planning[[#This Row],[Proyectos]]))</f>
        <v>#REF!</v>
      </c>
      <c r="K4443" s="5" t="e">
        <f>+Planning[[#This Row],[Horas Planificadas]]+Planning[[#This Row],[Horas ajustadas adicionales]]-Planning[[#This Row],[Horas utilizadas]]</f>
        <v>#REF!</v>
      </c>
      <c r="L4443" s="7">
        <v>0</v>
      </c>
      <c r="M4443" s="19" t="e">
        <f>Planning[[#This Row],[Saldo]]-Planning[[#This Row],[Saldo estimado]]</f>
        <v>#REF!</v>
      </c>
      <c r="N4443" s="60" t="e">
        <f>+SUMIFS(#REF!,#REF!,Planning[[#This Row],[Proyectos]],#REF!,Planning[[#This Row],[Tipo de Tarea y especialidad]])</f>
        <v>#REF!</v>
      </c>
      <c r="O4443" s="19">
        <f t="shared" si="139"/>
        <v>10</v>
      </c>
      <c r="P4443" s="19">
        <f t="shared" si="140"/>
        <v>2024</v>
      </c>
      <c r="Q44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43" s="19" t="str">
        <f>TEXT(Planning[[#This Row],[Mes]]*29,"mmmm")</f>
        <v>October</v>
      </c>
      <c r="S44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43" s="210"/>
      <c r="U4443" s="43">
        <f>IF(Planning[[#This Row],[Horas Planificadas]]&lt;&gt;0,+K4443/Planning[[#This Row],[Horas Planificadas]],0)</f>
        <v>0</v>
      </c>
      <c r="V4443" s="43">
        <f>IF(Planning[[#This Row],[Horas Planificadas]]&lt;&gt;0,Planning[[#This Row],[Horas utilizadas]]/Planning[[#This Row],[Horas Planificadas]],0)</f>
        <v>0</v>
      </c>
      <c r="W4443" s="44">
        <f>Planning[[#This Row],[Horas Planificadas]]+Planning[[#This Row],[Horas ajustadas adicionales]]</f>
        <v>0</v>
      </c>
      <c r="X4443" s="142"/>
    </row>
    <row r="4444" spans="1:24" x14ac:dyDescent="0.2">
      <c r="A4444" s="7" t="s">
        <v>483</v>
      </c>
      <c r="B4444" s="7" t="s">
        <v>205</v>
      </c>
      <c r="C4444" s="3"/>
      <c r="D4444" s="3" t="s">
        <v>759</v>
      </c>
      <c r="E4444" s="4"/>
      <c r="F4444" s="3" t="s">
        <v>127</v>
      </c>
      <c r="G4444" s="9"/>
      <c r="H4444" s="9">
        <v>0</v>
      </c>
      <c r="I4444" s="12"/>
      <c r="J4444" s="5" t="e">
        <f>SUM(SUMIFS(#REF!,#REF!,Planning[[#This Row],[Tipo de Tarea y especialidad]],#REF!,Planning[[#This Row],[Proyectos Reiwa]]),SUMIFS(#REF!,#REF!,Planning[[#This Row],[Tipo de Tarea y especialidad]],#REF!,Planning[[#This Row],[Proyectos]]))</f>
        <v>#REF!</v>
      </c>
      <c r="K4444" s="5" t="e">
        <f>+Planning[[#This Row],[Horas Planificadas]]+Planning[[#This Row],[Horas ajustadas adicionales]]-Planning[[#This Row],[Horas utilizadas]]</f>
        <v>#REF!</v>
      </c>
      <c r="L4444" s="7">
        <v>0</v>
      </c>
      <c r="M4444" s="19" t="e">
        <f>Planning[[#This Row],[Saldo]]-Planning[[#This Row],[Saldo estimado]]</f>
        <v>#REF!</v>
      </c>
      <c r="N4444" s="60" t="e">
        <f>+SUMIFS(#REF!,#REF!,Planning[[#This Row],[Proyectos]],#REF!,Planning[[#This Row],[Tipo de Tarea y especialidad]])</f>
        <v>#REF!</v>
      </c>
      <c r="O4444" s="19">
        <f t="shared" si="139"/>
        <v>10</v>
      </c>
      <c r="P4444" s="19">
        <f t="shared" si="140"/>
        <v>2024</v>
      </c>
      <c r="Q44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44" s="19" t="str">
        <f>TEXT(Planning[[#This Row],[Mes]]*29,"mmmm")</f>
        <v>October</v>
      </c>
      <c r="S44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44" s="210"/>
      <c r="U4444" s="43">
        <f>IF(Planning[[#This Row],[Horas Planificadas]]&lt;&gt;0,+K4444/Planning[[#This Row],[Horas Planificadas]],0)</f>
        <v>0</v>
      </c>
      <c r="V4444" s="43">
        <f>IF(Planning[[#This Row],[Horas Planificadas]]&lt;&gt;0,Planning[[#This Row],[Horas utilizadas]]/Planning[[#This Row],[Horas Planificadas]],0)</f>
        <v>0</v>
      </c>
      <c r="W4444" s="44">
        <f>Planning[[#This Row],[Horas Planificadas]]+Planning[[#This Row],[Horas ajustadas adicionales]]</f>
        <v>0</v>
      </c>
      <c r="X4444" s="142"/>
    </row>
    <row r="4445" spans="1:24" x14ac:dyDescent="0.2">
      <c r="A4445" s="7" t="s">
        <v>483</v>
      </c>
      <c r="B4445" s="7" t="s">
        <v>205</v>
      </c>
      <c r="C4445" s="3"/>
      <c r="D4445" s="3" t="s">
        <v>759</v>
      </c>
      <c r="E4445" s="4"/>
      <c r="F4445" s="3" t="s">
        <v>128</v>
      </c>
      <c r="G4445" s="9"/>
      <c r="H4445" s="9">
        <v>0</v>
      </c>
      <c r="I4445" s="12"/>
      <c r="J4445" s="5" t="e">
        <f>SUM(SUMIFS(#REF!,#REF!,Planning[[#This Row],[Tipo de Tarea y especialidad]],#REF!,Planning[[#This Row],[Proyectos Reiwa]]),SUMIFS(#REF!,#REF!,Planning[[#This Row],[Tipo de Tarea y especialidad]],#REF!,Planning[[#This Row],[Proyectos]]))</f>
        <v>#REF!</v>
      </c>
      <c r="K4445" s="5" t="e">
        <f>+Planning[[#This Row],[Horas Planificadas]]+Planning[[#This Row],[Horas ajustadas adicionales]]-Planning[[#This Row],[Horas utilizadas]]</f>
        <v>#REF!</v>
      </c>
      <c r="L4445" s="7">
        <v>0</v>
      </c>
      <c r="M4445" s="19" t="e">
        <f>Planning[[#This Row],[Saldo]]-Planning[[#This Row],[Saldo estimado]]</f>
        <v>#REF!</v>
      </c>
      <c r="N4445" s="60" t="e">
        <f>+SUMIFS(#REF!,#REF!,Planning[[#This Row],[Proyectos]],#REF!,Planning[[#This Row],[Tipo de Tarea y especialidad]])</f>
        <v>#REF!</v>
      </c>
      <c r="O4445" s="19">
        <f t="shared" si="139"/>
        <v>10</v>
      </c>
      <c r="P4445" s="19">
        <f t="shared" si="140"/>
        <v>2024</v>
      </c>
      <c r="Q44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45" s="19" t="str">
        <f>TEXT(Planning[[#This Row],[Mes]]*29,"mmmm")</f>
        <v>October</v>
      </c>
      <c r="S44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45" s="210"/>
      <c r="U4445" s="43">
        <f>IF(Planning[[#This Row],[Horas Planificadas]]&lt;&gt;0,+K4445/Planning[[#This Row],[Horas Planificadas]],0)</f>
        <v>0</v>
      </c>
      <c r="V4445" s="43">
        <f>IF(Planning[[#This Row],[Horas Planificadas]]&lt;&gt;0,Planning[[#This Row],[Horas utilizadas]]/Planning[[#This Row],[Horas Planificadas]],0)</f>
        <v>0</v>
      </c>
      <c r="W4445" s="44">
        <f>Planning[[#This Row],[Horas Planificadas]]+Planning[[#This Row],[Horas ajustadas adicionales]]</f>
        <v>0</v>
      </c>
      <c r="X4445" s="142"/>
    </row>
    <row r="4446" spans="1:24" x14ac:dyDescent="0.2">
      <c r="A4446" s="7" t="s">
        <v>483</v>
      </c>
      <c r="B4446" s="7" t="s">
        <v>205</v>
      </c>
      <c r="C4446" s="3"/>
      <c r="D4446" s="3" t="s">
        <v>759</v>
      </c>
      <c r="E4446" s="4" t="s">
        <v>31</v>
      </c>
      <c r="F4446" s="3" t="s">
        <v>31</v>
      </c>
      <c r="G4446" s="9">
        <v>36</v>
      </c>
      <c r="H4446" s="17">
        <v>36</v>
      </c>
      <c r="I4446" s="18"/>
      <c r="J4446" s="14" t="e">
        <f>+SUMIFS(#REF!,#REF!,Planning[[#This Row],[Tarifa]],#REF!,Planning[[#This Row],[Proyectos]])</f>
        <v>#REF!</v>
      </c>
      <c r="K4446" s="14" t="e">
        <f>+Planning[[#This Row],[Horas Planificadas]]+Planning[[#This Row],[Horas ajustadas adicionales]]-Planning[[#This Row],[Horas utilizadas]]</f>
        <v>#REF!</v>
      </c>
      <c r="L4446" s="15" t="e">
        <f>Planning[[#This Row],[Saldo]]</f>
        <v>#REF!</v>
      </c>
      <c r="M4446" s="16" t="e">
        <f>Planning[[#This Row],[Saldo]]-Planning[[#This Row],[Saldo estimado]]</f>
        <v>#REF!</v>
      </c>
      <c r="N4446" s="60"/>
      <c r="O4446" s="16">
        <f t="shared" si="139"/>
        <v>10</v>
      </c>
      <c r="P4446" s="16">
        <f t="shared" si="140"/>
        <v>2024</v>
      </c>
      <c r="Q4446" s="16" t="e">
        <f>+SUMIFS(#REF!,#REF!,Planning[[#This Row],[Tarifa]],#REF!,Planning[[#This Row],[Proyectos]],#REF!,Planning[[#This Row],[Mes]],#REF!,Planning[[#This Row],[Año]])</f>
        <v>#REF!</v>
      </c>
      <c r="R4446" s="16" t="str">
        <f>TEXT(Planning[[#This Row],[Mes]]*29,"mmmm")</f>
        <v>October</v>
      </c>
      <c r="S44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46" s="210"/>
      <c r="U4446" s="43" t="e">
        <f>IF(Planning[[#This Row],[Horas Planificadas]]&lt;&gt;0,+K4446/Planning[[#This Row],[Horas Planificadas]],0)</f>
        <v>#REF!</v>
      </c>
      <c r="V4446" s="43" t="e">
        <f>IF(Planning[[#This Row],[Horas Planificadas]]&lt;&gt;0,Planning[[#This Row],[Horas utilizadas]]/Planning[[#This Row],[Horas Planificadas]],0)</f>
        <v>#REF!</v>
      </c>
      <c r="W4446" s="44">
        <f>Planning[[#This Row],[Horas Planificadas]]+Planning[[#This Row],[Horas ajustadas adicionales]]</f>
        <v>36</v>
      </c>
      <c r="X4446" s="142"/>
    </row>
    <row r="4447" spans="1:24" ht="22.5" x14ac:dyDescent="0.2">
      <c r="A4447" s="7" t="s">
        <v>483</v>
      </c>
      <c r="B4447" s="7" t="s">
        <v>205</v>
      </c>
      <c r="C4447" s="3"/>
      <c r="D4447" s="3" t="s">
        <v>759</v>
      </c>
      <c r="E4447" s="4" t="s">
        <v>32</v>
      </c>
      <c r="F4447" s="3"/>
      <c r="G4447" s="9">
        <v>178</v>
      </c>
      <c r="H4447" s="14">
        <f>SUM(H4448:H4450)</f>
        <v>178</v>
      </c>
      <c r="I4447" s="14"/>
      <c r="J4447" s="14" t="e">
        <f>SUM(J4448:J4450)</f>
        <v>#REF!</v>
      </c>
      <c r="K4447" s="14" t="e">
        <f>+Planning[[#This Row],[Horas Planificadas]]+Planning[[#This Row],[Horas ajustadas adicionales]]-Planning[[#This Row],[Horas utilizadas]]</f>
        <v>#REF!</v>
      </c>
      <c r="L4447" s="15">
        <v>0</v>
      </c>
      <c r="M4447" s="16" t="e">
        <f>SUM(M4448:M4450)</f>
        <v>#REF!</v>
      </c>
      <c r="N4447" s="60"/>
      <c r="O4447" s="16">
        <f t="shared" si="139"/>
        <v>10</v>
      </c>
      <c r="P4447" s="16">
        <f t="shared" si="140"/>
        <v>2024</v>
      </c>
      <c r="Q4447" s="16" t="e">
        <f>SUM(Q4448:Q4450)</f>
        <v>#REF!</v>
      </c>
      <c r="R4447" s="16" t="str">
        <f>TEXT(Planning[[#This Row],[Mes]]*29,"mmmm")</f>
        <v>October</v>
      </c>
      <c r="S44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47" s="210"/>
      <c r="U4447" s="43" t="e">
        <f>IF(Planning[[#This Row],[Horas Planificadas]]&lt;&gt;0,+K4447/Planning[[#This Row],[Horas Planificadas]],0)</f>
        <v>#REF!</v>
      </c>
      <c r="V4447" s="43" t="e">
        <f>IF(Planning[[#This Row],[Horas Planificadas]]&lt;&gt;0,Planning[[#This Row],[Horas utilizadas]]/Planning[[#This Row],[Horas Planificadas]],0)</f>
        <v>#REF!</v>
      </c>
      <c r="W4447" s="44">
        <f>Planning[[#This Row],[Horas Planificadas]]+Planning[[#This Row],[Horas ajustadas adicionales]]</f>
        <v>178</v>
      </c>
      <c r="X4447" s="142"/>
    </row>
    <row r="4448" spans="1:24" x14ac:dyDescent="0.2">
      <c r="A4448" s="7" t="s">
        <v>483</v>
      </c>
      <c r="B4448" s="7" t="s">
        <v>205</v>
      </c>
      <c r="C4448" s="3"/>
      <c r="D4448" s="3" t="s">
        <v>759</v>
      </c>
      <c r="E4448" s="4"/>
      <c r="F4448" s="3" t="s">
        <v>129</v>
      </c>
      <c r="G4448" s="9"/>
      <c r="H4448" s="9">
        <v>0</v>
      </c>
      <c r="I4448" s="12"/>
      <c r="J4448" s="5" t="e">
        <f>SUM(SUMIFS(#REF!,#REF!,Planning[[#This Row],[Tipo de Tarea y especialidad]],#REF!,Planning[[#This Row],[Proyectos Reiwa]]),SUMIFS(#REF!,#REF!,Planning[[#This Row],[Tipo de Tarea y especialidad]],#REF!,Planning[[#This Row],[Proyectos]]))</f>
        <v>#REF!</v>
      </c>
      <c r="K4448" s="5" t="e">
        <f>+Planning[[#This Row],[Horas Planificadas]]+Planning[[#This Row],[Horas ajustadas adicionales]]-Planning[[#This Row],[Horas utilizadas]]</f>
        <v>#REF!</v>
      </c>
      <c r="L4448" s="7">
        <v>0</v>
      </c>
      <c r="M4448" s="19" t="e">
        <f>Planning[[#This Row],[Saldo]]-Planning[[#This Row],[Saldo estimado]]</f>
        <v>#REF!</v>
      </c>
      <c r="N4448" s="60" t="e">
        <f>+SUMIFS(#REF!,#REF!,Planning[[#This Row],[Proyectos]],#REF!,Planning[[#This Row],[Tipo de Tarea y especialidad]])</f>
        <v>#REF!</v>
      </c>
      <c r="O4448" s="19">
        <f t="shared" si="139"/>
        <v>10</v>
      </c>
      <c r="P4448" s="19">
        <f t="shared" si="140"/>
        <v>2024</v>
      </c>
      <c r="Q44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48" s="19" t="str">
        <f>TEXT(Planning[[#This Row],[Mes]]*29,"mmmm")</f>
        <v>October</v>
      </c>
      <c r="S44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48" s="210"/>
      <c r="U4448" s="43">
        <f>IF(Planning[[#This Row],[Horas Planificadas]]&lt;&gt;0,+K4448/Planning[[#This Row],[Horas Planificadas]],0)</f>
        <v>0</v>
      </c>
      <c r="V4448" s="43">
        <f>IF(Planning[[#This Row],[Horas Planificadas]]&lt;&gt;0,Planning[[#This Row],[Horas utilizadas]]/Planning[[#This Row],[Horas Planificadas]],0)</f>
        <v>0</v>
      </c>
      <c r="W4448" s="44">
        <f>Planning[[#This Row],[Horas Planificadas]]+Planning[[#This Row],[Horas ajustadas adicionales]]</f>
        <v>0</v>
      </c>
      <c r="X4448" s="142"/>
    </row>
    <row r="4449" spans="1:24" x14ac:dyDescent="0.2">
      <c r="A4449" s="7" t="s">
        <v>483</v>
      </c>
      <c r="B4449" s="7" t="s">
        <v>205</v>
      </c>
      <c r="C4449" s="3"/>
      <c r="D4449" s="3" t="s">
        <v>759</v>
      </c>
      <c r="E4449" s="4"/>
      <c r="F4449" s="3" t="s">
        <v>130</v>
      </c>
      <c r="G4449" s="9"/>
      <c r="H4449" s="9">
        <v>178</v>
      </c>
      <c r="I4449" s="12"/>
      <c r="J4449" s="5" t="e">
        <f>SUM(SUMIFS(#REF!,#REF!,Planning[[#This Row],[Tipo de Tarea y especialidad]],#REF!,Planning[[#This Row],[Proyectos Reiwa]]),SUMIFS(#REF!,#REF!,Planning[[#This Row],[Tipo de Tarea y especialidad]],#REF!,Planning[[#This Row],[Proyectos]]))</f>
        <v>#REF!</v>
      </c>
      <c r="K4449" s="5" t="e">
        <f>+Planning[[#This Row],[Horas Planificadas]]+Planning[[#This Row],[Horas ajustadas adicionales]]-Planning[[#This Row],[Horas utilizadas]]</f>
        <v>#REF!</v>
      </c>
      <c r="L4449" s="7">
        <v>0</v>
      </c>
      <c r="M4449" s="19" t="e">
        <f>Planning[[#This Row],[Saldo]]-Planning[[#This Row],[Saldo estimado]]</f>
        <v>#REF!</v>
      </c>
      <c r="N4449" s="60" t="e">
        <f>+SUMIFS(#REF!,#REF!,Planning[[#This Row],[Proyectos]],#REF!,Planning[[#This Row],[Tipo de Tarea y especialidad]])</f>
        <v>#REF!</v>
      </c>
      <c r="O4449" s="19">
        <f t="shared" si="139"/>
        <v>10</v>
      </c>
      <c r="P4449" s="19">
        <f t="shared" si="140"/>
        <v>2024</v>
      </c>
      <c r="Q44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49" s="19" t="str">
        <f>TEXT(Planning[[#This Row],[Mes]]*29,"mmmm")</f>
        <v>October</v>
      </c>
      <c r="S44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49" s="210"/>
      <c r="U4449" s="43" t="e">
        <f>IF(Planning[[#This Row],[Horas Planificadas]]&lt;&gt;0,+K4449/Planning[[#This Row],[Horas Planificadas]],0)</f>
        <v>#REF!</v>
      </c>
      <c r="V4449" s="43" t="e">
        <f>IF(Planning[[#This Row],[Horas Planificadas]]&lt;&gt;0,Planning[[#This Row],[Horas utilizadas]]/Planning[[#This Row],[Horas Planificadas]],0)</f>
        <v>#REF!</v>
      </c>
      <c r="W4449" s="44">
        <f>Planning[[#This Row],[Horas Planificadas]]+Planning[[#This Row],[Horas ajustadas adicionales]]</f>
        <v>178</v>
      </c>
      <c r="X4449" s="142"/>
    </row>
    <row r="4450" spans="1:24" x14ac:dyDescent="0.2">
      <c r="A4450" s="7" t="s">
        <v>483</v>
      </c>
      <c r="B4450" s="7" t="s">
        <v>205</v>
      </c>
      <c r="C4450" s="3"/>
      <c r="D4450" s="3" t="s">
        <v>759</v>
      </c>
      <c r="E4450" s="4"/>
      <c r="F4450" s="3" t="s">
        <v>131</v>
      </c>
      <c r="G4450" s="9"/>
      <c r="H4450" s="9">
        <v>0</v>
      </c>
      <c r="I4450" s="12"/>
      <c r="J4450" s="5" t="e">
        <f>SUM(SUMIFS(#REF!,#REF!,Planning[[#This Row],[Tipo de Tarea y especialidad]],#REF!,Planning[[#This Row],[Proyectos Reiwa]]),SUMIFS(#REF!,#REF!,Planning[[#This Row],[Tipo de Tarea y especialidad]],#REF!,Planning[[#This Row],[Proyectos]]))</f>
        <v>#REF!</v>
      </c>
      <c r="K4450" s="5" t="e">
        <f>+Planning[[#This Row],[Horas Planificadas]]+Planning[[#This Row],[Horas ajustadas adicionales]]-Planning[[#This Row],[Horas utilizadas]]</f>
        <v>#REF!</v>
      </c>
      <c r="L4450" s="7">
        <v>0</v>
      </c>
      <c r="M4450" s="19" t="e">
        <f>Planning[[#This Row],[Saldo]]-Planning[[#This Row],[Saldo estimado]]</f>
        <v>#REF!</v>
      </c>
      <c r="N4450" s="60" t="e">
        <f>+SUMIFS(#REF!,#REF!,Planning[[#This Row],[Proyectos]],#REF!,Planning[[#This Row],[Tipo de Tarea y especialidad]])</f>
        <v>#REF!</v>
      </c>
      <c r="O4450" s="19">
        <f t="shared" si="139"/>
        <v>10</v>
      </c>
      <c r="P4450" s="19">
        <f t="shared" si="140"/>
        <v>2024</v>
      </c>
      <c r="Q44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50" s="19" t="str">
        <f>TEXT(Planning[[#This Row],[Mes]]*29,"mmmm")</f>
        <v>October</v>
      </c>
      <c r="S44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50" s="210"/>
      <c r="U4450" s="43">
        <f>IF(Planning[[#This Row],[Horas Planificadas]]&lt;&gt;0,+K4450/Planning[[#This Row],[Horas Planificadas]],0)</f>
        <v>0</v>
      </c>
      <c r="V4450" s="43">
        <f>IF(Planning[[#This Row],[Horas Planificadas]]&lt;&gt;0,Planning[[#This Row],[Horas utilizadas]]/Planning[[#This Row],[Horas Planificadas]],0)</f>
        <v>0</v>
      </c>
      <c r="W4450" s="44">
        <f>Planning[[#This Row],[Horas Planificadas]]+Planning[[#This Row],[Horas ajustadas adicionales]]</f>
        <v>0</v>
      </c>
      <c r="X4450" s="142"/>
    </row>
    <row r="4451" spans="1:24" ht="12.6" customHeight="1" x14ac:dyDescent="0.2">
      <c r="A4451" s="7" t="s">
        <v>626</v>
      </c>
      <c r="B4451" s="7" t="s">
        <v>288</v>
      </c>
      <c r="C4451" s="3">
        <v>117200</v>
      </c>
      <c r="D4451" s="3" t="s">
        <v>761</v>
      </c>
      <c r="E4451" s="4" t="s">
        <v>28</v>
      </c>
      <c r="F4451" s="3"/>
      <c r="G4451" s="9"/>
      <c r="H4451" s="14">
        <f>SUM(H4452:H4453)</f>
        <v>140</v>
      </c>
      <c r="I4451" s="14"/>
      <c r="J4451" s="14" t="e">
        <f>SUM(J4452:J4453)</f>
        <v>#REF!</v>
      </c>
      <c r="K4451" s="14" t="e">
        <f>+Planning[[#This Row],[Horas Planificadas]]+Planning[[#This Row],[Horas ajustadas adicionales]]-Planning[[#This Row],[Horas utilizadas]]</f>
        <v>#REF!</v>
      </c>
      <c r="L4451" s="15">
        <f>SUM(L4452:L4453)</f>
        <v>0</v>
      </c>
      <c r="M4451" s="14" t="e">
        <f>SUM(M4452:M4453)</f>
        <v>#REF!</v>
      </c>
      <c r="N4451" s="66" t="e">
        <f>+SUMIFS(#REF!,#REF!,Planning[[#This Row],[Proyectos]],#REF!,Planning[[#This Row],[Tipo de Tarea y especialidad]])</f>
        <v>#REF!</v>
      </c>
      <c r="O4451" s="14">
        <f t="shared" si="139"/>
        <v>10</v>
      </c>
      <c r="P4451" s="14">
        <f t="shared" si="140"/>
        <v>2024</v>
      </c>
      <c r="Q4451" s="28" t="e">
        <f>SUM(Q4452:Q4453)</f>
        <v>#REF!</v>
      </c>
      <c r="R4451" s="24" t="str">
        <f>TEXT(Planning[[#This Row],[Mes]]*29,"mmmm")</f>
        <v>October</v>
      </c>
      <c r="S4451"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51" s="175" t="s">
        <v>762</v>
      </c>
      <c r="U4451"/>
      <c r="V4451"/>
      <c r="W4451"/>
      <c r="X4451" s="142"/>
    </row>
    <row r="4452" spans="1:24" ht="12.6" customHeight="1" x14ac:dyDescent="0.2">
      <c r="A4452" s="7" t="s">
        <v>626</v>
      </c>
      <c r="B4452" s="7" t="s">
        <v>288</v>
      </c>
      <c r="C4452" s="3">
        <v>117200</v>
      </c>
      <c r="D4452" s="3" t="s">
        <v>761</v>
      </c>
      <c r="E4452" s="4"/>
      <c r="F4452" s="3" t="s">
        <v>120</v>
      </c>
      <c r="G4452" s="9">
        <v>100</v>
      </c>
      <c r="H4452" s="9">
        <v>100</v>
      </c>
      <c r="I4452" s="12"/>
      <c r="J4452" s="5" t="e">
        <f>SUM(SUMIFS(#REF!,#REF!,Planning[[#This Row],[Tipo de Tarea y especialidad]],#REF!,Planning[[#This Row],[Proyectos Reiwa]]),SUMIFS(#REF!,#REF!,Planning[[#This Row],[Tipo de Tarea y especialidad]],#REF!,Planning[[#This Row],[Proyectos]]))</f>
        <v>#REF!</v>
      </c>
      <c r="K4452" s="5" t="e">
        <f>+Planning[[#This Row],[Horas Planificadas]]+Planning[[#This Row],[Horas ajustadas adicionales]]-Planning[[#This Row],[Horas utilizadas]]</f>
        <v>#REF!</v>
      </c>
      <c r="L4452" s="7">
        <v>0</v>
      </c>
      <c r="M4452" s="19" t="e">
        <f>Planning[[#This Row],[Saldo]]-Planning[[#This Row],[Saldo estimado]]</f>
        <v>#REF!</v>
      </c>
      <c r="N4452" s="60" t="e">
        <f>+SUMIFS(#REF!,#REF!,Planning[[#This Row],[Proyectos]],#REF!,Planning[[#This Row],[Tipo de Tarea y especialidad]])</f>
        <v>#REF!</v>
      </c>
      <c r="O4452" s="19">
        <f t="shared" si="139"/>
        <v>10</v>
      </c>
      <c r="P4452" s="19">
        <f t="shared" si="140"/>
        <v>2024</v>
      </c>
      <c r="Q44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52" s="49" t="str">
        <f>TEXT(Planning[[#This Row],[Mes]]*29,"mmmm")</f>
        <v>October</v>
      </c>
      <c r="S445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52" s="152"/>
      <c r="U4452"/>
      <c r="V4452"/>
      <c r="W4452"/>
      <c r="X4452" s="142"/>
    </row>
    <row r="4453" spans="1:24" ht="12.6" customHeight="1" x14ac:dyDescent="0.2">
      <c r="A4453" s="7" t="s">
        <v>626</v>
      </c>
      <c r="B4453" s="7" t="s">
        <v>288</v>
      </c>
      <c r="C4453" s="3">
        <v>117200</v>
      </c>
      <c r="D4453" s="3" t="s">
        <v>761</v>
      </c>
      <c r="E4453" s="4"/>
      <c r="F4453" s="3" t="s">
        <v>121</v>
      </c>
      <c r="G4453" s="9">
        <v>40</v>
      </c>
      <c r="H4453" s="9">
        <v>40</v>
      </c>
      <c r="I4453" s="12"/>
      <c r="J4453" s="5" t="e">
        <f>SUM(SUMIFS(#REF!,#REF!,Planning[[#This Row],[Tipo de Tarea y especialidad]],#REF!,Planning[[#This Row],[Proyectos Reiwa]]),SUMIFS(#REF!,#REF!,Planning[[#This Row],[Tipo de Tarea y especialidad]],#REF!,Planning[[#This Row],[Proyectos]]))</f>
        <v>#REF!</v>
      </c>
      <c r="K4453" s="5" t="e">
        <f>+Planning[[#This Row],[Horas Planificadas]]+Planning[[#This Row],[Horas ajustadas adicionales]]-Planning[[#This Row],[Horas utilizadas]]</f>
        <v>#REF!</v>
      </c>
      <c r="L4453" s="7">
        <v>0</v>
      </c>
      <c r="M4453" s="19" t="e">
        <f>Planning[[#This Row],[Saldo]]-Planning[[#This Row],[Saldo estimado]]</f>
        <v>#REF!</v>
      </c>
      <c r="N4453" s="60" t="e">
        <f>+SUMIFS(#REF!,#REF!,Planning[[#This Row],[Proyectos]],#REF!,Planning[[#This Row],[Tipo de Tarea y especialidad]])</f>
        <v>#REF!</v>
      </c>
      <c r="O4453" s="19">
        <f t="shared" si="139"/>
        <v>10</v>
      </c>
      <c r="P4453" s="19">
        <f t="shared" si="140"/>
        <v>2024</v>
      </c>
      <c r="Q44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53" s="49" t="str">
        <f>TEXT(Planning[[#This Row],[Mes]]*29,"mmmm")</f>
        <v>October</v>
      </c>
      <c r="S445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53" s="152"/>
      <c r="U4453"/>
      <c r="V4453"/>
      <c r="W4453"/>
      <c r="X4453" s="142"/>
    </row>
    <row r="4454" spans="1:24" ht="12.6" customHeight="1" x14ac:dyDescent="0.2">
      <c r="A4454" s="7" t="s">
        <v>626</v>
      </c>
      <c r="B4454" s="7" t="s">
        <v>288</v>
      </c>
      <c r="C4454" s="3">
        <v>117200</v>
      </c>
      <c r="D4454" s="3" t="s">
        <v>761</v>
      </c>
      <c r="E4454" s="4" t="s">
        <v>30</v>
      </c>
      <c r="F4454" s="3"/>
      <c r="G4454" s="9"/>
      <c r="H4454" s="14">
        <f>SUM(H4455:H4461)</f>
        <v>140</v>
      </c>
      <c r="I4454" s="14"/>
      <c r="J4454" s="14" t="e">
        <f>SUM(J4455:J4461)</f>
        <v>#REF!</v>
      </c>
      <c r="K4454" s="14" t="e">
        <f>+Planning[[#This Row],[Horas Planificadas]]+Planning[[#This Row],[Horas ajustadas adicionales]]-Planning[[#This Row],[Horas utilizadas]]</f>
        <v>#REF!</v>
      </c>
      <c r="L4454" s="15">
        <f>SUM(L4455:L4461)</f>
        <v>0</v>
      </c>
      <c r="M4454" s="16" t="e">
        <f>SUM(M4455:M4461)</f>
        <v>#REF!</v>
      </c>
      <c r="N4454" s="60"/>
      <c r="O4454" s="16">
        <f t="shared" si="139"/>
        <v>10</v>
      </c>
      <c r="P4454" s="16">
        <f t="shared" si="140"/>
        <v>2024</v>
      </c>
      <c r="Q4454" s="16" t="e">
        <f>SUM(Q4455:Q4461)</f>
        <v>#REF!</v>
      </c>
      <c r="R4454" s="50" t="str">
        <f>TEXT(Planning[[#This Row],[Mes]]*29,"mmmm")</f>
        <v>October</v>
      </c>
      <c r="S445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54" s="152"/>
      <c r="U4454"/>
      <c r="V4454"/>
      <c r="W4454"/>
      <c r="X4454" s="142"/>
    </row>
    <row r="4455" spans="1:24" ht="12.6" customHeight="1" x14ac:dyDescent="0.2">
      <c r="A4455" s="7" t="s">
        <v>626</v>
      </c>
      <c r="B4455" s="7" t="s">
        <v>288</v>
      </c>
      <c r="C4455" s="3">
        <v>117200</v>
      </c>
      <c r="D4455" s="3" t="s">
        <v>761</v>
      </c>
      <c r="E4455" s="4"/>
      <c r="F4455" s="3" t="s">
        <v>122</v>
      </c>
      <c r="G4455" s="9"/>
      <c r="H4455" s="12"/>
      <c r="I4455" s="12"/>
      <c r="J4455" s="5" t="e">
        <f>SUM(SUMIFS(#REF!,#REF!,Planning[[#This Row],[Tipo de Tarea y especialidad]],#REF!,Planning[[#This Row],[Proyectos Reiwa]]),SUMIFS(#REF!,#REF!,Planning[[#This Row],[Tipo de Tarea y especialidad]],#REF!,Planning[[#This Row],[Proyectos]]))</f>
        <v>#REF!</v>
      </c>
      <c r="K4455" s="5" t="e">
        <f>+Planning[[#This Row],[Horas Planificadas]]+Planning[[#This Row],[Horas ajustadas adicionales]]-Planning[[#This Row],[Horas utilizadas]]</f>
        <v>#REF!</v>
      </c>
      <c r="L4455" s="7"/>
      <c r="M4455" s="19" t="e">
        <f>Planning[[#This Row],[Saldo]]-Planning[[#This Row],[Saldo estimado]]</f>
        <v>#REF!</v>
      </c>
      <c r="N4455" s="60" t="e">
        <f>+SUMIFS(#REF!,#REF!,Planning[[#This Row],[Proyectos]],#REF!,Planning[[#This Row],[Tipo de Tarea y especialidad]])</f>
        <v>#REF!</v>
      </c>
      <c r="O4455" s="19">
        <f t="shared" si="139"/>
        <v>10</v>
      </c>
      <c r="P4455" s="19">
        <f t="shared" si="140"/>
        <v>2024</v>
      </c>
      <c r="Q44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55" s="49" t="str">
        <f>TEXT(Planning[[#This Row],[Mes]]*29,"mmmm")</f>
        <v>October</v>
      </c>
      <c r="S445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55" s="152"/>
      <c r="U4455"/>
      <c r="V4455"/>
      <c r="W4455"/>
      <c r="X4455" s="142"/>
    </row>
    <row r="4456" spans="1:24" ht="12.6" customHeight="1" x14ac:dyDescent="0.2">
      <c r="A4456" s="7" t="s">
        <v>626</v>
      </c>
      <c r="B4456" s="7" t="s">
        <v>288</v>
      </c>
      <c r="C4456" s="3">
        <v>117200</v>
      </c>
      <c r="D4456" s="3" t="s">
        <v>761</v>
      </c>
      <c r="E4456" s="4"/>
      <c r="F4456" s="3" t="s">
        <v>123</v>
      </c>
      <c r="G4456" s="9"/>
      <c r="H4456" s="12"/>
      <c r="I4456" s="12"/>
      <c r="J4456" s="5" t="e">
        <f>SUM(SUMIFS(#REF!,#REF!,Planning[[#This Row],[Tipo de Tarea y especialidad]],#REF!,Planning[[#This Row],[Proyectos Reiwa]]),SUMIFS(#REF!,#REF!,Planning[[#This Row],[Tipo de Tarea y especialidad]],#REF!,Planning[[#This Row],[Proyectos]]))</f>
        <v>#REF!</v>
      </c>
      <c r="K4456" s="5" t="e">
        <f>+Planning[[#This Row],[Horas Planificadas]]+Planning[[#This Row],[Horas ajustadas adicionales]]-Planning[[#This Row],[Horas utilizadas]]</f>
        <v>#REF!</v>
      </c>
      <c r="L4456" s="7"/>
      <c r="M4456" s="19" t="e">
        <f>Planning[[#This Row],[Saldo]]-Planning[[#This Row],[Saldo estimado]]</f>
        <v>#REF!</v>
      </c>
      <c r="N4456" s="60" t="e">
        <f>+SUMIFS(#REF!,#REF!,Planning[[#This Row],[Proyectos]],#REF!,Planning[[#This Row],[Tipo de Tarea y especialidad]])</f>
        <v>#REF!</v>
      </c>
      <c r="O4456" s="19">
        <f t="shared" si="139"/>
        <v>10</v>
      </c>
      <c r="P4456" s="19">
        <f t="shared" si="140"/>
        <v>2024</v>
      </c>
      <c r="Q44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56" s="49" t="str">
        <f>TEXT(Planning[[#This Row],[Mes]]*29,"mmmm")</f>
        <v>October</v>
      </c>
      <c r="S445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56" s="152"/>
      <c r="U4456"/>
      <c r="V4456"/>
      <c r="W4456"/>
      <c r="X4456" s="142"/>
    </row>
    <row r="4457" spans="1:24" ht="12.6" customHeight="1" x14ac:dyDescent="0.2">
      <c r="A4457" s="7" t="s">
        <v>626</v>
      </c>
      <c r="B4457" s="7" t="s">
        <v>288</v>
      </c>
      <c r="C4457" s="3">
        <v>117200</v>
      </c>
      <c r="D4457" s="3" t="s">
        <v>761</v>
      </c>
      <c r="E4457" s="4"/>
      <c r="F4457" s="3" t="s">
        <v>124</v>
      </c>
      <c r="G4457" s="9">
        <v>100</v>
      </c>
      <c r="H4457" s="12">
        <v>100</v>
      </c>
      <c r="I4457" s="12"/>
      <c r="J4457" s="5" t="e">
        <f>SUM(SUMIFS(#REF!,#REF!,Planning[[#This Row],[Tipo de Tarea y especialidad]],#REF!,Planning[[#This Row],[Proyectos Reiwa]]),SUMIFS(#REF!,#REF!,Planning[[#This Row],[Tipo de Tarea y especialidad]],#REF!,Planning[[#This Row],[Proyectos]]))</f>
        <v>#REF!</v>
      </c>
      <c r="K4457" s="5" t="e">
        <f>+Planning[[#This Row],[Horas Planificadas]]+Planning[[#This Row],[Horas ajustadas adicionales]]-Planning[[#This Row],[Horas utilizadas]]</f>
        <v>#REF!</v>
      </c>
      <c r="L4457" s="7">
        <v>0</v>
      </c>
      <c r="M4457" s="19" t="e">
        <f>Planning[[#This Row],[Saldo]]-Planning[[#This Row],[Saldo estimado]]</f>
        <v>#REF!</v>
      </c>
      <c r="N4457" s="60" t="e">
        <f>+SUMIFS(#REF!,#REF!,Planning[[#This Row],[Proyectos]],#REF!,Planning[[#This Row],[Tipo de Tarea y especialidad]])</f>
        <v>#REF!</v>
      </c>
      <c r="O4457" s="19">
        <f t="shared" si="139"/>
        <v>10</v>
      </c>
      <c r="P4457" s="19">
        <f t="shared" si="140"/>
        <v>2024</v>
      </c>
      <c r="Q44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57" s="49" t="str">
        <f>TEXT(Planning[[#This Row],[Mes]]*29,"mmmm")</f>
        <v>October</v>
      </c>
      <c r="S445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57" s="152"/>
      <c r="U4457"/>
      <c r="V4457"/>
      <c r="W4457"/>
      <c r="X4457" s="142"/>
    </row>
    <row r="4458" spans="1:24" ht="12.6" customHeight="1" x14ac:dyDescent="0.2">
      <c r="A4458" s="7" t="s">
        <v>626</v>
      </c>
      <c r="B4458" s="7" t="s">
        <v>288</v>
      </c>
      <c r="C4458" s="3">
        <v>117200</v>
      </c>
      <c r="D4458" s="3" t="s">
        <v>761</v>
      </c>
      <c r="E4458" s="4"/>
      <c r="F4458" s="3" t="s">
        <v>125</v>
      </c>
      <c r="G4458" s="9"/>
      <c r="H4458" s="12"/>
      <c r="I4458" s="12"/>
      <c r="J4458" s="5" t="e">
        <f>SUM(SUMIFS(#REF!,#REF!,Planning[[#This Row],[Tipo de Tarea y especialidad]],#REF!,Planning[[#This Row],[Proyectos Reiwa]]),SUMIFS(#REF!,#REF!,Planning[[#This Row],[Tipo de Tarea y especialidad]],#REF!,Planning[[#This Row],[Proyectos]]))</f>
        <v>#REF!</v>
      </c>
      <c r="K4458" s="5" t="e">
        <f>+Planning[[#This Row],[Horas Planificadas]]+Planning[[#This Row],[Horas ajustadas adicionales]]-Planning[[#This Row],[Horas utilizadas]]</f>
        <v>#REF!</v>
      </c>
      <c r="L4458" s="7"/>
      <c r="M4458" s="19" t="e">
        <f>Planning[[#This Row],[Saldo]]-Planning[[#This Row],[Saldo estimado]]</f>
        <v>#REF!</v>
      </c>
      <c r="N4458" s="60" t="e">
        <f>+SUMIFS(#REF!,#REF!,Planning[[#This Row],[Proyectos]],#REF!,Planning[[#This Row],[Tipo de Tarea y especialidad]])</f>
        <v>#REF!</v>
      </c>
      <c r="O4458" s="19">
        <f t="shared" si="139"/>
        <v>10</v>
      </c>
      <c r="P4458" s="19">
        <f t="shared" si="140"/>
        <v>2024</v>
      </c>
      <c r="Q44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58" s="49" t="str">
        <f>TEXT(Planning[[#This Row],[Mes]]*29,"mmmm")</f>
        <v>October</v>
      </c>
      <c r="S445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58" s="152"/>
      <c r="U4458"/>
      <c r="V4458"/>
      <c r="W4458"/>
      <c r="X4458" s="142"/>
    </row>
    <row r="4459" spans="1:24" ht="12.6" customHeight="1" x14ac:dyDescent="0.2">
      <c r="A4459" s="7" t="s">
        <v>626</v>
      </c>
      <c r="B4459" s="7" t="s">
        <v>288</v>
      </c>
      <c r="C4459" s="3">
        <v>117200</v>
      </c>
      <c r="D4459" s="3" t="s">
        <v>761</v>
      </c>
      <c r="E4459" s="4"/>
      <c r="F4459" s="3" t="s">
        <v>126</v>
      </c>
      <c r="G4459" s="9"/>
      <c r="H4459" s="12"/>
      <c r="I4459" s="12"/>
      <c r="J4459" s="5" t="e">
        <f>SUM(SUMIFS(#REF!,#REF!,Planning[[#This Row],[Tipo de Tarea y especialidad]],#REF!,Planning[[#This Row],[Proyectos Reiwa]]),SUMIFS(#REF!,#REF!,Planning[[#This Row],[Tipo de Tarea y especialidad]],#REF!,Planning[[#This Row],[Proyectos]]))</f>
        <v>#REF!</v>
      </c>
      <c r="K4459" s="5" t="e">
        <f>+Planning[[#This Row],[Horas Planificadas]]+Planning[[#This Row],[Horas ajustadas adicionales]]-Planning[[#This Row],[Horas utilizadas]]</f>
        <v>#REF!</v>
      </c>
      <c r="L4459" s="7"/>
      <c r="M4459" s="19" t="e">
        <f>Planning[[#This Row],[Saldo]]-Planning[[#This Row],[Saldo estimado]]</f>
        <v>#REF!</v>
      </c>
      <c r="N4459" s="60" t="e">
        <f>+SUMIFS(#REF!,#REF!,Planning[[#This Row],[Proyectos]],#REF!,Planning[[#This Row],[Tipo de Tarea y especialidad]])</f>
        <v>#REF!</v>
      </c>
      <c r="O4459" s="19">
        <f t="shared" si="139"/>
        <v>10</v>
      </c>
      <c r="P4459" s="19">
        <f t="shared" si="140"/>
        <v>2024</v>
      </c>
      <c r="Q44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59" s="49" t="str">
        <f>TEXT(Planning[[#This Row],[Mes]]*29,"mmmm")</f>
        <v>October</v>
      </c>
      <c r="S445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59" s="152"/>
      <c r="U4459"/>
      <c r="V4459"/>
      <c r="W4459"/>
      <c r="X4459" s="142"/>
    </row>
    <row r="4460" spans="1:24" ht="12.6" customHeight="1" x14ac:dyDescent="0.2">
      <c r="A4460" s="7" t="s">
        <v>626</v>
      </c>
      <c r="B4460" s="7" t="s">
        <v>288</v>
      </c>
      <c r="C4460" s="3">
        <v>117200</v>
      </c>
      <c r="D4460" s="3" t="s">
        <v>761</v>
      </c>
      <c r="E4460" s="4"/>
      <c r="F4460" s="3" t="s">
        <v>127</v>
      </c>
      <c r="G4460" s="9"/>
      <c r="H4460" s="12"/>
      <c r="I4460" s="12"/>
      <c r="J4460" s="5" t="e">
        <f>SUM(SUMIFS(#REF!,#REF!,Planning[[#This Row],[Tipo de Tarea y especialidad]],#REF!,Planning[[#This Row],[Proyectos Reiwa]]),SUMIFS(#REF!,#REF!,Planning[[#This Row],[Tipo de Tarea y especialidad]],#REF!,Planning[[#This Row],[Proyectos]]))</f>
        <v>#REF!</v>
      </c>
      <c r="K4460" s="5" t="e">
        <f>+Planning[[#This Row],[Horas Planificadas]]+Planning[[#This Row],[Horas ajustadas adicionales]]-Planning[[#This Row],[Horas utilizadas]]</f>
        <v>#REF!</v>
      </c>
      <c r="L4460" s="7"/>
      <c r="M4460" s="19" t="e">
        <f>Planning[[#This Row],[Saldo]]-Planning[[#This Row],[Saldo estimado]]</f>
        <v>#REF!</v>
      </c>
      <c r="N4460" s="60" t="e">
        <f>+SUMIFS(#REF!,#REF!,Planning[[#This Row],[Proyectos]],#REF!,Planning[[#This Row],[Tipo de Tarea y especialidad]])</f>
        <v>#REF!</v>
      </c>
      <c r="O4460" s="19">
        <f t="shared" si="139"/>
        <v>10</v>
      </c>
      <c r="P4460" s="19">
        <f t="shared" si="140"/>
        <v>2024</v>
      </c>
      <c r="Q44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60" s="49" t="str">
        <f>TEXT(Planning[[#This Row],[Mes]]*29,"mmmm")</f>
        <v>October</v>
      </c>
      <c r="S446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60" s="152"/>
      <c r="U4460"/>
      <c r="V4460"/>
      <c r="W4460"/>
      <c r="X4460" s="142"/>
    </row>
    <row r="4461" spans="1:24" ht="12.6" customHeight="1" x14ac:dyDescent="0.2">
      <c r="A4461" s="7" t="s">
        <v>626</v>
      </c>
      <c r="B4461" s="7" t="s">
        <v>288</v>
      </c>
      <c r="C4461" s="3">
        <v>117200</v>
      </c>
      <c r="D4461" s="3" t="s">
        <v>761</v>
      </c>
      <c r="E4461" s="4"/>
      <c r="F4461" s="3" t="s">
        <v>128</v>
      </c>
      <c r="G4461" s="9">
        <v>40</v>
      </c>
      <c r="H4461" s="12">
        <v>40</v>
      </c>
      <c r="I4461" s="12"/>
      <c r="J4461" s="5" t="e">
        <f>SUM(SUMIFS(#REF!,#REF!,Planning[[#This Row],[Tipo de Tarea y especialidad]],#REF!,Planning[[#This Row],[Proyectos Reiwa]]),SUMIFS(#REF!,#REF!,Planning[[#This Row],[Tipo de Tarea y especialidad]],#REF!,Planning[[#This Row],[Proyectos]]))</f>
        <v>#REF!</v>
      </c>
      <c r="K4461" s="5" t="e">
        <f>+Planning[[#This Row],[Horas Planificadas]]+Planning[[#This Row],[Horas ajustadas adicionales]]-Planning[[#This Row],[Horas utilizadas]]</f>
        <v>#REF!</v>
      </c>
      <c r="L4461" s="7">
        <v>0</v>
      </c>
      <c r="M4461" s="19" t="e">
        <f>Planning[[#This Row],[Saldo]]-Planning[[#This Row],[Saldo estimado]]</f>
        <v>#REF!</v>
      </c>
      <c r="N4461" s="60" t="e">
        <f>+SUMIFS(#REF!,#REF!,Planning[[#This Row],[Proyectos]],#REF!,Planning[[#This Row],[Tipo de Tarea y especialidad]])</f>
        <v>#REF!</v>
      </c>
      <c r="O4461" s="19">
        <f t="shared" si="139"/>
        <v>10</v>
      </c>
      <c r="P4461" s="19">
        <f t="shared" si="140"/>
        <v>2024</v>
      </c>
      <c r="Q44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61" s="49" t="str">
        <f>TEXT(Planning[[#This Row],[Mes]]*29,"mmmm")</f>
        <v>October</v>
      </c>
      <c r="S446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61" s="152"/>
      <c r="U4461"/>
      <c r="V4461"/>
      <c r="W4461"/>
      <c r="X4461" s="142"/>
    </row>
    <row r="4462" spans="1:24" ht="12.6" customHeight="1" x14ac:dyDescent="0.2">
      <c r="A4462" s="7" t="s">
        <v>626</v>
      </c>
      <c r="B4462" s="7" t="s">
        <v>288</v>
      </c>
      <c r="C4462" s="3">
        <v>117200</v>
      </c>
      <c r="D4462" s="3" t="s">
        <v>761</v>
      </c>
      <c r="E4462" s="4" t="s">
        <v>31</v>
      </c>
      <c r="F4462" s="3" t="s">
        <v>31</v>
      </c>
      <c r="G4462" s="9">
        <v>70</v>
      </c>
      <c r="H4462" s="17">
        <v>70</v>
      </c>
      <c r="I4462" s="18"/>
      <c r="J4462" s="14" t="e">
        <f>+SUMIFS(#REF!,#REF!,Planning[[#This Row],[Tarifa]],#REF!,Planning[[#This Row],[Proyectos]])</f>
        <v>#REF!</v>
      </c>
      <c r="K4462" s="14" t="e">
        <f>+Planning[[#This Row],[Horas Planificadas]]+Planning[[#This Row],[Horas ajustadas adicionales]]-Planning[[#This Row],[Horas utilizadas]]</f>
        <v>#REF!</v>
      </c>
      <c r="L4462" s="15" t="e">
        <f>Planning[[#This Row],[Saldo]]</f>
        <v>#REF!</v>
      </c>
      <c r="M4462" s="16" t="e">
        <f>Planning[[#This Row],[Saldo]]-Planning[[#This Row],[Saldo estimado]]</f>
        <v>#REF!</v>
      </c>
      <c r="N4462" s="60"/>
      <c r="O4462" s="16">
        <f t="shared" si="139"/>
        <v>10</v>
      </c>
      <c r="P4462" s="16">
        <f t="shared" si="140"/>
        <v>2024</v>
      </c>
      <c r="Q4462" s="16" t="e">
        <f>+SUMIFS(#REF!,#REF!,Planning[[#This Row],[Tarifa]],#REF!,Planning[[#This Row],[Proyectos]],#REF!,Planning[[#This Row],[Mes]],#REF!,Planning[[#This Row],[Año]])</f>
        <v>#REF!</v>
      </c>
      <c r="R4462" s="50" t="str">
        <f>TEXT(Planning[[#This Row],[Mes]]*29,"mmmm")</f>
        <v>October</v>
      </c>
      <c r="S446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62" s="152"/>
      <c r="U4462"/>
      <c r="V4462"/>
      <c r="W4462"/>
      <c r="X4462" s="142"/>
    </row>
    <row r="4463" spans="1:24" ht="12.6" customHeight="1" x14ac:dyDescent="0.2">
      <c r="A4463" s="7" t="s">
        <v>626</v>
      </c>
      <c r="B4463" s="7" t="s">
        <v>288</v>
      </c>
      <c r="C4463" s="3">
        <v>117200</v>
      </c>
      <c r="D4463" s="3" t="s">
        <v>761</v>
      </c>
      <c r="E4463" s="4" t="s">
        <v>32</v>
      </c>
      <c r="F4463" s="3"/>
      <c r="G4463" s="9"/>
      <c r="H4463" s="14">
        <f>SUM(H4464:H4466)</f>
        <v>150</v>
      </c>
      <c r="I4463" s="14"/>
      <c r="J4463" s="14" t="e">
        <f>SUM(J4464:J4466)</f>
        <v>#REF!</v>
      </c>
      <c r="K4463" s="14" t="e">
        <f>+Planning[[#This Row],[Horas Planificadas]]+Planning[[#This Row],[Horas ajustadas adicionales]]-Planning[[#This Row],[Horas utilizadas]]</f>
        <v>#REF!</v>
      </c>
      <c r="L4463" s="15">
        <f>SUM(L4464:L4466)</f>
        <v>150</v>
      </c>
      <c r="M4463" s="16" t="e">
        <f>SUM(M4464:M4466)</f>
        <v>#REF!</v>
      </c>
      <c r="N4463" s="60"/>
      <c r="O4463" s="16">
        <f t="shared" si="139"/>
        <v>10</v>
      </c>
      <c r="P4463" s="16">
        <f t="shared" si="140"/>
        <v>2024</v>
      </c>
      <c r="Q4463" s="16" t="e">
        <f>SUM(Q4464:Q4466)</f>
        <v>#REF!</v>
      </c>
      <c r="R4463" s="50" t="str">
        <f>TEXT(Planning[[#This Row],[Mes]]*29,"mmmm")</f>
        <v>October</v>
      </c>
      <c r="S446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63" s="152"/>
      <c r="U4463"/>
      <c r="V4463"/>
      <c r="W4463"/>
      <c r="X4463" s="142"/>
    </row>
    <row r="4464" spans="1:24" ht="12.6" customHeight="1" x14ac:dyDescent="0.2">
      <c r="A4464" s="7" t="s">
        <v>626</v>
      </c>
      <c r="B4464" s="7" t="s">
        <v>288</v>
      </c>
      <c r="C4464" s="3">
        <v>117200</v>
      </c>
      <c r="D4464" s="3" t="s">
        <v>761</v>
      </c>
      <c r="E4464" s="4"/>
      <c r="F4464" s="3" t="s">
        <v>129</v>
      </c>
      <c r="G4464" s="9"/>
      <c r="H4464" s="12"/>
      <c r="I4464" s="12"/>
      <c r="J4464" s="5" t="e">
        <f>SUM(SUMIFS(#REF!,#REF!,Planning[[#This Row],[Tipo de Tarea y especialidad]],#REF!,Planning[[#This Row],[Proyectos Reiwa]]),SUMIFS(#REF!,#REF!,Planning[[#This Row],[Tipo de Tarea y especialidad]],#REF!,Planning[[#This Row],[Proyectos]]))</f>
        <v>#REF!</v>
      </c>
      <c r="K4464" s="5" t="e">
        <f>+Planning[[#This Row],[Horas Planificadas]]+Planning[[#This Row],[Horas ajustadas adicionales]]-Planning[[#This Row],[Horas utilizadas]]</f>
        <v>#REF!</v>
      </c>
      <c r="L4464" s="7"/>
      <c r="M4464" s="19" t="e">
        <f>Planning[[#This Row],[Saldo]]-Planning[[#This Row],[Saldo estimado]]</f>
        <v>#REF!</v>
      </c>
      <c r="N4464" s="60" t="e">
        <f>+SUMIFS(#REF!,#REF!,Planning[[#This Row],[Proyectos]],#REF!,Planning[[#This Row],[Tipo de Tarea y especialidad]])</f>
        <v>#REF!</v>
      </c>
      <c r="O4464" s="19">
        <f t="shared" si="139"/>
        <v>10</v>
      </c>
      <c r="P4464" s="19">
        <f t="shared" si="140"/>
        <v>2024</v>
      </c>
      <c r="Q44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64" s="49" t="str">
        <f>TEXT(Planning[[#This Row],[Mes]]*29,"mmmm")</f>
        <v>October</v>
      </c>
      <c r="S446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64" s="152"/>
      <c r="U4464"/>
      <c r="V4464"/>
      <c r="W4464"/>
      <c r="X4464" s="142"/>
    </row>
    <row r="4465" spans="1:24" ht="12.6" customHeight="1" x14ac:dyDescent="0.2">
      <c r="A4465" s="7" t="s">
        <v>626</v>
      </c>
      <c r="B4465" s="7" t="s">
        <v>288</v>
      </c>
      <c r="C4465" s="3">
        <v>117200</v>
      </c>
      <c r="D4465" s="3" t="s">
        <v>761</v>
      </c>
      <c r="E4465" s="4"/>
      <c r="F4465" s="3" t="s">
        <v>130</v>
      </c>
      <c r="G4465" s="9"/>
      <c r="H4465" s="12"/>
      <c r="I4465" s="12"/>
      <c r="J4465" s="5" t="e">
        <f>SUM(SUMIFS(#REF!,#REF!,Planning[[#This Row],[Tipo de Tarea y especialidad]],#REF!,Planning[[#This Row],[Proyectos Reiwa]]),SUMIFS(#REF!,#REF!,Planning[[#This Row],[Tipo de Tarea y especialidad]],#REF!,Planning[[#This Row],[Proyectos]]))</f>
        <v>#REF!</v>
      </c>
      <c r="K4465" s="5" t="e">
        <f>+Planning[[#This Row],[Horas Planificadas]]+Planning[[#This Row],[Horas ajustadas adicionales]]-Planning[[#This Row],[Horas utilizadas]]</f>
        <v>#REF!</v>
      </c>
      <c r="L4465" s="7"/>
      <c r="M4465" s="19" t="e">
        <f>Planning[[#This Row],[Saldo]]-Planning[[#This Row],[Saldo estimado]]</f>
        <v>#REF!</v>
      </c>
      <c r="N4465" s="60" t="e">
        <f>+SUMIFS(#REF!,#REF!,Planning[[#This Row],[Proyectos]],#REF!,Planning[[#This Row],[Tipo de Tarea y especialidad]])</f>
        <v>#REF!</v>
      </c>
      <c r="O4465" s="19">
        <f t="shared" si="139"/>
        <v>10</v>
      </c>
      <c r="P4465" s="19">
        <f t="shared" si="140"/>
        <v>2024</v>
      </c>
      <c r="Q44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65" s="49" t="str">
        <f>TEXT(Planning[[#This Row],[Mes]]*29,"mmmm")</f>
        <v>October</v>
      </c>
      <c r="S446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65" s="152"/>
      <c r="U4465"/>
      <c r="V4465"/>
      <c r="W4465"/>
      <c r="X4465" s="142"/>
    </row>
    <row r="4466" spans="1:24" ht="12.6" customHeight="1" x14ac:dyDescent="0.2">
      <c r="A4466" s="7" t="s">
        <v>626</v>
      </c>
      <c r="B4466" s="7" t="s">
        <v>288</v>
      </c>
      <c r="C4466" s="3">
        <v>117200</v>
      </c>
      <c r="D4466" s="3" t="s">
        <v>761</v>
      </c>
      <c r="E4466" s="4"/>
      <c r="F4466" s="3" t="s">
        <v>131</v>
      </c>
      <c r="G4466" s="9">
        <v>150</v>
      </c>
      <c r="H4466" s="12">
        <v>150</v>
      </c>
      <c r="I4466" s="12"/>
      <c r="J4466" s="5" t="e">
        <f>SUM(SUMIFS(#REF!,#REF!,Planning[[#This Row],[Tipo de Tarea y especialidad]],#REF!,Planning[[#This Row],[Proyectos Reiwa]]),SUMIFS(#REF!,#REF!,Planning[[#This Row],[Tipo de Tarea y especialidad]],#REF!,Planning[[#This Row],[Proyectos]]))</f>
        <v>#REF!</v>
      </c>
      <c r="K4466" s="5" t="e">
        <f>+Planning[[#This Row],[Horas Planificadas]]+Planning[[#This Row],[Horas ajustadas adicionales]]-Planning[[#This Row],[Horas utilizadas]]</f>
        <v>#REF!</v>
      </c>
      <c r="L4466" s="7">
        <v>150</v>
      </c>
      <c r="M4466" s="19" t="e">
        <f>Planning[[#This Row],[Saldo]]-Planning[[#This Row],[Saldo estimado]]</f>
        <v>#REF!</v>
      </c>
      <c r="N4466" s="60" t="e">
        <f>+SUMIFS(#REF!,#REF!,Planning[[#This Row],[Proyectos]],#REF!,Planning[[#This Row],[Tipo de Tarea y especialidad]])</f>
        <v>#REF!</v>
      </c>
      <c r="O4466" s="19">
        <f t="shared" si="139"/>
        <v>10</v>
      </c>
      <c r="P4466" s="19">
        <f t="shared" si="140"/>
        <v>2024</v>
      </c>
      <c r="Q44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66" s="51" t="str">
        <f>TEXT(Planning[[#This Row],[Mes]]*29,"mmmm")</f>
        <v>October</v>
      </c>
      <c r="S4466"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66" s="153"/>
      <c r="U4466"/>
      <c r="V4466"/>
      <c r="W4466"/>
      <c r="X4466" s="142"/>
    </row>
    <row r="4467" spans="1:24" ht="13.35" customHeight="1" x14ac:dyDescent="0.2">
      <c r="A4467" s="9" t="s">
        <v>626</v>
      </c>
      <c r="B4467" s="9" t="s">
        <v>288</v>
      </c>
      <c r="C4467" s="3">
        <v>116888</v>
      </c>
      <c r="D4467" s="3" t="s">
        <v>763</v>
      </c>
      <c r="E4467" s="4" t="s">
        <v>28</v>
      </c>
      <c r="F4467" s="3"/>
      <c r="G4467" s="11"/>
      <c r="H4467" s="20">
        <f>SUM(H4468:H4469)</f>
        <v>10</v>
      </c>
      <c r="I4467" s="12"/>
      <c r="J4467" s="14" t="e">
        <f>SUM(J4468:J4469)</f>
        <v>#REF!</v>
      </c>
      <c r="K4467" s="5" t="e">
        <f>+Planning[[#This Row],[Horas Planificadas]]+Planning[[#This Row],[Horas ajustadas adicionales]]-Planning[[#This Row],[Horas utilizadas]]</f>
        <v>#REF!</v>
      </c>
      <c r="L4467" s="9">
        <f>SUM(L4468:L4469)</f>
        <v>0</v>
      </c>
      <c r="M4467" s="19" t="e">
        <f>SUM(M4468:M4469)</f>
        <v>#REF!</v>
      </c>
      <c r="N4467" s="62" t="e">
        <f>+SUMIFS(#REF!,#REF!,Planning[[#This Row],[Proyectos]],#REF!,Planning[[#This Row],[Tipo de Tarea y especialidad]])</f>
        <v>#REF!</v>
      </c>
      <c r="O4467" s="34">
        <f t="shared" si="139"/>
        <v>10</v>
      </c>
      <c r="P4467" s="34">
        <f t="shared" si="140"/>
        <v>2024</v>
      </c>
      <c r="Q4467" s="28" t="e">
        <f>SUM(Q4468:Q4469)</f>
        <v>#REF!</v>
      </c>
      <c r="R4467" s="28" t="str">
        <f>TEXT(Planning[[#This Row],[Mes]]*29,"mmmm")</f>
        <v>October</v>
      </c>
      <c r="S44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67" s="207" t="s">
        <v>764</v>
      </c>
      <c r="U4467" s="43"/>
      <c r="V4467" s="43"/>
      <c r="W4467" s="44"/>
      <c r="X4467" s="142"/>
    </row>
    <row r="4468" spans="1:24" x14ac:dyDescent="0.2">
      <c r="A4468" s="9" t="s">
        <v>626</v>
      </c>
      <c r="B4468" s="9" t="s">
        <v>288</v>
      </c>
      <c r="C4468" s="3">
        <v>116888</v>
      </c>
      <c r="D4468" s="3" t="s">
        <v>763</v>
      </c>
      <c r="E4468" s="4"/>
      <c r="F4468" s="3" t="s">
        <v>120</v>
      </c>
      <c r="G4468" s="53">
        <v>6</v>
      </c>
      <c r="H4468" s="20">
        <v>6</v>
      </c>
      <c r="I4468" s="12"/>
      <c r="J4468" s="5" t="e">
        <f>SUM(SUMIFS(#REF!,#REF!,Planning[[#This Row],[Tipo de Tarea y especialidad]],#REF!,Planning[[#This Row],[Proyectos Reiwa]]),SUMIFS(#REF!,#REF!,Planning[[#This Row],[Tipo de Tarea y especialidad]],#REF!,Planning[[#This Row],[Proyectos]]))</f>
        <v>#REF!</v>
      </c>
      <c r="K4468" s="5" t="e">
        <f>+Planning[[#This Row],[Horas Planificadas]]+Planning[[#This Row],[Horas ajustadas adicionales]]-Planning[[#This Row],[Horas utilizadas]]</f>
        <v>#REF!</v>
      </c>
      <c r="L4468" s="9">
        <v>0</v>
      </c>
      <c r="M4468" s="19" t="e">
        <f>Planning[[#This Row],[Saldo]]-Planning[[#This Row],[Saldo estimado]]</f>
        <v>#REF!</v>
      </c>
      <c r="N4468" s="62" t="e">
        <f>+SUMIFS(#REF!,#REF!,Planning[[#This Row],[Proyectos]],#REF!,Planning[[#This Row],[Tipo de Tarea y especialidad]])</f>
        <v>#REF!</v>
      </c>
      <c r="O4468" s="34">
        <f t="shared" si="139"/>
        <v>10</v>
      </c>
      <c r="P4468" s="34">
        <f t="shared" si="140"/>
        <v>2024</v>
      </c>
      <c r="Q44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68" s="19" t="str">
        <f>TEXT(Planning[[#This Row],[Mes]]*29,"mmmm")</f>
        <v>October</v>
      </c>
      <c r="S44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68" s="208"/>
      <c r="U4468" s="43"/>
      <c r="V4468" s="43"/>
      <c r="W4468" s="44"/>
      <c r="X4468" s="142"/>
    </row>
    <row r="4469" spans="1:24" x14ac:dyDescent="0.2">
      <c r="A4469" s="9" t="s">
        <v>626</v>
      </c>
      <c r="B4469" s="9" t="s">
        <v>288</v>
      </c>
      <c r="C4469" s="3">
        <v>116888</v>
      </c>
      <c r="D4469" s="3" t="s">
        <v>763</v>
      </c>
      <c r="E4469" s="4"/>
      <c r="F4469" s="3" t="s">
        <v>121</v>
      </c>
      <c r="G4469" s="53">
        <v>4</v>
      </c>
      <c r="H4469" s="20">
        <v>4</v>
      </c>
      <c r="I4469" s="12"/>
      <c r="J4469" s="5" t="e">
        <f>SUM(SUMIFS(#REF!,#REF!,Planning[[#This Row],[Tipo de Tarea y especialidad]],#REF!,Planning[[#This Row],[Proyectos Reiwa]]),SUMIFS(#REF!,#REF!,Planning[[#This Row],[Tipo de Tarea y especialidad]],#REF!,Planning[[#This Row],[Proyectos]]))</f>
        <v>#REF!</v>
      </c>
      <c r="K4469" s="5" t="e">
        <f>+Planning[[#This Row],[Horas Planificadas]]+Planning[[#This Row],[Horas ajustadas adicionales]]-Planning[[#This Row],[Horas utilizadas]]</f>
        <v>#REF!</v>
      </c>
      <c r="L4469" s="9">
        <v>0</v>
      </c>
      <c r="M4469" s="19" t="e">
        <f>Planning[[#This Row],[Saldo]]-Planning[[#This Row],[Saldo estimado]]</f>
        <v>#REF!</v>
      </c>
      <c r="N4469" s="62" t="e">
        <f>+SUMIFS(#REF!,#REF!,Planning[[#This Row],[Proyectos]],#REF!,Planning[[#This Row],[Tipo de Tarea y especialidad]])</f>
        <v>#REF!</v>
      </c>
      <c r="O4469" s="34">
        <f t="shared" si="139"/>
        <v>10</v>
      </c>
      <c r="P4469" s="34">
        <f t="shared" si="140"/>
        <v>2024</v>
      </c>
      <c r="Q44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69" s="19" t="str">
        <f>TEXT(Planning[[#This Row],[Mes]]*29,"mmmm")</f>
        <v>October</v>
      </c>
      <c r="S44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69" s="208"/>
      <c r="U4469" s="43"/>
      <c r="V4469" s="43"/>
      <c r="W4469" s="44"/>
      <c r="X4469" s="142"/>
    </row>
    <row r="4470" spans="1:24" x14ac:dyDescent="0.2">
      <c r="A4470" s="9" t="s">
        <v>626</v>
      </c>
      <c r="B4470" s="9" t="s">
        <v>288</v>
      </c>
      <c r="C4470" s="3">
        <v>116888</v>
      </c>
      <c r="D4470" s="3" t="s">
        <v>763</v>
      </c>
      <c r="E4470" s="4" t="s">
        <v>30</v>
      </c>
      <c r="F4470" s="3"/>
      <c r="G4470" s="53"/>
      <c r="H4470" s="20">
        <f>SUM(H4471:H4477)</f>
        <v>50</v>
      </c>
      <c r="I4470" s="12"/>
      <c r="J4470" s="14" t="e">
        <f>SUM(J4471:J4477)</f>
        <v>#REF!</v>
      </c>
      <c r="K4470" s="5" t="e">
        <f>+Planning[[#This Row],[Horas Planificadas]]+Planning[[#This Row],[Horas ajustadas adicionales]]-Planning[[#This Row],[Horas utilizadas]]</f>
        <v>#REF!</v>
      </c>
      <c r="L4470" s="9">
        <f>+SUM(L4471:L4477)</f>
        <v>0</v>
      </c>
      <c r="M4470" s="19" t="e">
        <f>SUM(M4471:M4477)</f>
        <v>#REF!</v>
      </c>
      <c r="N4470" s="62" t="e">
        <f>+SUMIFS(#REF!,#REF!,Planning[[#This Row],[Proyectos]],#REF!,Planning[[#This Row],[Tipo de Tarea y especialidad]])</f>
        <v>#REF!</v>
      </c>
      <c r="O4470" s="34">
        <f t="shared" si="139"/>
        <v>10</v>
      </c>
      <c r="P4470" s="34">
        <f t="shared" si="140"/>
        <v>2024</v>
      </c>
      <c r="Q4470" s="16" t="e">
        <f>SUM(Q4471:Q4477)</f>
        <v>#REF!</v>
      </c>
      <c r="R4470" s="16" t="str">
        <f>TEXT(Planning[[#This Row],[Mes]]*29,"mmmm")</f>
        <v>October</v>
      </c>
      <c r="S44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70" s="208"/>
      <c r="U4470" s="43"/>
      <c r="V4470" s="43"/>
      <c r="W4470" s="44"/>
      <c r="X4470" s="142"/>
    </row>
    <row r="4471" spans="1:24" x14ac:dyDescent="0.2">
      <c r="A4471" s="9" t="s">
        <v>626</v>
      </c>
      <c r="B4471" s="9" t="s">
        <v>288</v>
      </c>
      <c r="C4471" s="3">
        <v>116888</v>
      </c>
      <c r="D4471" s="3" t="s">
        <v>763</v>
      </c>
      <c r="E4471" s="4"/>
      <c r="F4471" s="3" t="s">
        <v>122</v>
      </c>
      <c r="G4471" s="53"/>
      <c r="H4471" s="20"/>
      <c r="I4471" s="12"/>
      <c r="J4471" s="5" t="e">
        <f>SUM(SUMIFS(#REF!,#REF!,Planning[[#This Row],[Tipo de Tarea y especialidad]],#REF!,Planning[[#This Row],[Proyectos Reiwa]]),SUMIFS(#REF!,#REF!,Planning[[#This Row],[Tipo de Tarea y especialidad]],#REF!,Planning[[#This Row],[Proyectos]]))</f>
        <v>#REF!</v>
      </c>
      <c r="K4471" s="5" t="e">
        <f>+Planning[[#This Row],[Horas Planificadas]]+Planning[[#This Row],[Horas ajustadas adicionales]]-Planning[[#This Row],[Horas utilizadas]]</f>
        <v>#REF!</v>
      </c>
      <c r="L4471" s="9"/>
      <c r="M4471" s="19" t="e">
        <f>Planning[[#This Row],[Saldo]]-Planning[[#This Row],[Saldo estimado]]</f>
        <v>#REF!</v>
      </c>
      <c r="N4471" s="62" t="e">
        <f>+SUMIFS(#REF!,#REF!,Planning[[#This Row],[Proyectos]],#REF!,Planning[[#This Row],[Tipo de Tarea y especialidad]])</f>
        <v>#REF!</v>
      </c>
      <c r="O4471" s="34">
        <f t="shared" si="139"/>
        <v>10</v>
      </c>
      <c r="P4471" s="34">
        <f t="shared" ref="P4471:P4550" si="141">$M$4</f>
        <v>2024</v>
      </c>
      <c r="Q44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71" s="19" t="str">
        <f>TEXT(Planning[[#This Row],[Mes]]*29,"mmmm")</f>
        <v>October</v>
      </c>
      <c r="S44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71" s="208"/>
      <c r="U4471" s="43"/>
      <c r="V4471" s="43"/>
      <c r="W4471" s="44"/>
      <c r="X4471" s="142"/>
    </row>
    <row r="4472" spans="1:24" x14ac:dyDescent="0.2">
      <c r="A4472" s="9" t="s">
        <v>626</v>
      </c>
      <c r="B4472" s="9" t="s">
        <v>288</v>
      </c>
      <c r="C4472" s="3">
        <v>116888</v>
      </c>
      <c r="D4472" s="3" t="s">
        <v>763</v>
      </c>
      <c r="E4472" s="4"/>
      <c r="F4472" s="3" t="s">
        <v>123</v>
      </c>
      <c r="G4472" s="53"/>
      <c r="H4472" s="20"/>
      <c r="I4472" s="12"/>
      <c r="J4472" s="5" t="e">
        <f>SUM(SUMIFS(#REF!,#REF!,Planning[[#This Row],[Tipo de Tarea y especialidad]],#REF!,Planning[[#This Row],[Proyectos Reiwa]]),SUMIFS(#REF!,#REF!,Planning[[#This Row],[Tipo de Tarea y especialidad]],#REF!,Planning[[#This Row],[Proyectos]]))</f>
        <v>#REF!</v>
      </c>
      <c r="K4472" s="5" t="e">
        <f>+Planning[[#This Row],[Horas Planificadas]]+Planning[[#This Row],[Horas ajustadas adicionales]]-Planning[[#This Row],[Horas utilizadas]]</f>
        <v>#REF!</v>
      </c>
      <c r="L4472" s="9"/>
      <c r="M4472" s="19" t="e">
        <f>Planning[[#This Row],[Saldo]]-Planning[[#This Row],[Saldo estimado]]</f>
        <v>#REF!</v>
      </c>
      <c r="N4472" s="62" t="e">
        <f>+SUMIFS(#REF!,#REF!,Planning[[#This Row],[Proyectos]],#REF!,Planning[[#This Row],[Tipo de Tarea y especialidad]])</f>
        <v>#REF!</v>
      </c>
      <c r="O4472" s="34">
        <f t="shared" si="139"/>
        <v>10</v>
      </c>
      <c r="P4472" s="34">
        <f t="shared" si="141"/>
        <v>2024</v>
      </c>
      <c r="Q44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72" s="19" t="str">
        <f>TEXT(Planning[[#This Row],[Mes]]*29,"mmmm")</f>
        <v>October</v>
      </c>
      <c r="S44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72" s="208"/>
      <c r="U4472" s="43"/>
      <c r="V4472" s="43"/>
      <c r="W4472" s="44"/>
      <c r="X4472" s="142"/>
    </row>
    <row r="4473" spans="1:24" x14ac:dyDescent="0.2">
      <c r="A4473" s="9" t="s">
        <v>626</v>
      </c>
      <c r="B4473" s="9" t="s">
        <v>288</v>
      </c>
      <c r="C4473" s="3">
        <v>116888</v>
      </c>
      <c r="D4473" s="3" t="s">
        <v>763</v>
      </c>
      <c r="E4473" s="4"/>
      <c r="F4473" s="3" t="s">
        <v>124</v>
      </c>
      <c r="G4473" s="53">
        <v>20</v>
      </c>
      <c r="H4473" s="20">
        <v>20</v>
      </c>
      <c r="I4473" s="12"/>
      <c r="J4473" s="5" t="e">
        <f>SUM(SUMIFS(#REF!,#REF!,Planning[[#This Row],[Tipo de Tarea y especialidad]],#REF!,Planning[[#This Row],[Proyectos Reiwa]]),SUMIFS(#REF!,#REF!,Planning[[#This Row],[Tipo de Tarea y especialidad]],#REF!,Planning[[#This Row],[Proyectos]]))</f>
        <v>#REF!</v>
      </c>
      <c r="K4473" s="5" t="e">
        <f>+Planning[[#This Row],[Horas Planificadas]]+Planning[[#This Row],[Horas ajustadas adicionales]]-Planning[[#This Row],[Horas utilizadas]]</f>
        <v>#REF!</v>
      </c>
      <c r="L4473" s="9">
        <v>0</v>
      </c>
      <c r="M4473" s="19" t="e">
        <f>Planning[[#This Row],[Saldo]]-Planning[[#This Row],[Saldo estimado]]</f>
        <v>#REF!</v>
      </c>
      <c r="N4473" s="62" t="e">
        <f>+SUMIFS(#REF!,#REF!,Planning[[#This Row],[Proyectos]],#REF!,Planning[[#This Row],[Tipo de Tarea y especialidad]])</f>
        <v>#REF!</v>
      </c>
      <c r="O4473" s="34">
        <f t="shared" si="139"/>
        <v>10</v>
      </c>
      <c r="P4473" s="34">
        <f t="shared" si="141"/>
        <v>2024</v>
      </c>
      <c r="Q44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73" s="19" t="str">
        <f>TEXT(Planning[[#This Row],[Mes]]*29,"mmmm")</f>
        <v>October</v>
      </c>
      <c r="S44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73" s="208"/>
      <c r="U4473" s="43"/>
      <c r="V4473" s="43"/>
      <c r="W4473" s="44"/>
      <c r="X4473" s="142"/>
    </row>
    <row r="4474" spans="1:24" x14ac:dyDescent="0.2">
      <c r="A4474" s="9" t="s">
        <v>626</v>
      </c>
      <c r="B4474" s="9" t="s">
        <v>288</v>
      </c>
      <c r="C4474" s="3">
        <v>116888</v>
      </c>
      <c r="D4474" s="3" t="s">
        <v>763</v>
      </c>
      <c r="E4474" s="4"/>
      <c r="F4474" s="3" t="s">
        <v>125</v>
      </c>
      <c r="G4474" s="53"/>
      <c r="H4474" s="20"/>
      <c r="I4474" s="12"/>
      <c r="J4474" s="5" t="e">
        <f>SUM(SUMIFS(#REF!,#REF!,Planning[[#This Row],[Tipo de Tarea y especialidad]],#REF!,Planning[[#This Row],[Proyectos Reiwa]]),SUMIFS(#REF!,#REF!,Planning[[#This Row],[Tipo de Tarea y especialidad]],#REF!,Planning[[#This Row],[Proyectos]]))</f>
        <v>#REF!</v>
      </c>
      <c r="K4474" s="5" t="e">
        <f>+Planning[[#This Row],[Horas Planificadas]]+Planning[[#This Row],[Horas ajustadas adicionales]]-Planning[[#This Row],[Horas utilizadas]]</f>
        <v>#REF!</v>
      </c>
      <c r="L4474" s="9"/>
      <c r="M4474" s="19" t="e">
        <f>Planning[[#This Row],[Saldo]]-Planning[[#This Row],[Saldo estimado]]</f>
        <v>#REF!</v>
      </c>
      <c r="N4474" s="62" t="e">
        <f>+SUMIFS(#REF!,#REF!,Planning[[#This Row],[Proyectos]],#REF!,Planning[[#This Row],[Tipo de Tarea y especialidad]])</f>
        <v>#REF!</v>
      </c>
      <c r="O4474" s="34">
        <f t="shared" si="139"/>
        <v>10</v>
      </c>
      <c r="P4474" s="34">
        <f t="shared" si="141"/>
        <v>2024</v>
      </c>
      <c r="Q44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74" s="19" t="str">
        <f>TEXT(Planning[[#This Row],[Mes]]*29,"mmmm")</f>
        <v>October</v>
      </c>
      <c r="S44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74" s="208"/>
      <c r="U4474" s="43"/>
      <c r="V4474" s="43"/>
      <c r="W4474" s="44"/>
      <c r="X4474" s="142"/>
    </row>
    <row r="4475" spans="1:24" x14ac:dyDescent="0.2">
      <c r="A4475" s="9" t="s">
        <v>626</v>
      </c>
      <c r="B4475" s="9" t="s">
        <v>288</v>
      </c>
      <c r="C4475" s="3">
        <v>116888</v>
      </c>
      <c r="D4475" s="3" t="s">
        <v>763</v>
      </c>
      <c r="E4475" s="4"/>
      <c r="F4475" s="3" t="s">
        <v>126</v>
      </c>
      <c r="G4475" s="53"/>
      <c r="H4475" s="20"/>
      <c r="I4475" s="12"/>
      <c r="J4475" s="5" t="e">
        <f>SUM(SUMIFS(#REF!,#REF!,Planning[[#This Row],[Tipo de Tarea y especialidad]],#REF!,Planning[[#This Row],[Proyectos Reiwa]]),SUMIFS(#REF!,#REF!,Planning[[#This Row],[Tipo de Tarea y especialidad]],#REF!,Planning[[#This Row],[Proyectos]]))</f>
        <v>#REF!</v>
      </c>
      <c r="K4475" s="5" t="e">
        <f>+Planning[[#This Row],[Horas Planificadas]]+Planning[[#This Row],[Horas ajustadas adicionales]]-Planning[[#This Row],[Horas utilizadas]]</f>
        <v>#REF!</v>
      </c>
      <c r="L4475" s="9"/>
      <c r="M4475" s="19" t="e">
        <f>Planning[[#This Row],[Saldo]]-Planning[[#This Row],[Saldo estimado]]</f>
        <v>#REF!</v>
      </c>
      <c r="N4475" s="62" t="e">
        <f>+SUMIFS(#REF!,#REF!,Planning[[#This Row],[Proyectos]],#REF!,Planning[[#This Row],[Tipo de Tarea y especialidad]])</f>
        <v>#REF!</v>
      </c>
      <c r="O4475" s="34">
        <f t="shared" si="139"/>
        <v>10</v>
      </c>
      <c r="P4475" s="34">
        <f t="shared" si="141"/>
        <v>2024</v>
      </c>
      <c r="Q44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75" s="19" t="str">
        <f>TEXT(Planning[[#This Row],[Mes]]*29,"mmmm")</f>
        <v>October</v>
      </c>
      <c r="S44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75" s="208"/>
      <c r="U4475" s="43"/>
      <c r="V4475" s="43"/>
      <c r="W4475" s="44"/>
      <c r="X4475" s="142"/>
    </row>
    <row r="4476" spans="1:24" x14ac:dyDescent="0.2">
      <c r="A4476" s="9" t="s">
        <v>626</v>
      </c>
      <c r="B4476" s="9" t="s">
        <v>288</v>
      </c>
      <c r="C4476" s="3">
        <v>116888</v>
      </c>
      <c r="D4476" s="3" t="s">
        <v>763</v>
      </c>
      <c r="E4476" s="4"/>
      <c r="F4476" s="3" t="s">
        <v>127</v>
      </c>
      <c r="G4476" s="53"/>
      <c r="H4476" s="20"/>
      <c r="I4476" s="12"/>
      <c r="J4476" s="5" t="e">
        <f>SUM(SUMIFS(#REF!,#REF!,Planning[[#This Row],[Tipo de Tarea y especialidad]],#REF!,Planning[[#This Row],[Proyectos Reiwa]]),SUMIFS(#REF!,#REF!,Planning[[#This Row],[Tipo de Tarea y especialidad]],#REF!,Planning[[#This Row],[Proyectos]]))</f>
        <v>#REF!</v>
      </c>
      <c r="K4476" s="5" t="e">
        <f>+Planning[[#This Row],[Horas Planificadas]]+Planning[[#This Row],[Horas ajustadas adicionales]]-Planning[[#This Row],[Horas utilizadas]]</f>
        <v>#REF!</v>
      </c>
      <c r="L4476" s="9"/>
      <c r="M4476" s="19" t="e">
        <f>Planning[[#This Row],[Saldo]]-Planning[[#This Row],[Saldo estimado]]</f>
        <v>#REF!</v>
      </c>
      <c r="N4476" s="62" t="e">
        <f>+SUMIFS(#REF!,#REF!,Planning[[#This Row],[Proyectos]],#REF!,Planning[[#This Row],[Tipo de Tarea y especialidad]])</f>
        <v>#REF!</v>
      </c>
      <c r="O4476" s="34">
        <f t="shared" si="139"/>
        <v>10</v>
      </c>
      <c r="P4476" s="34">
        <f t="shared" si="141"/>
        <v>2024</v>
      </c>
      <c r="Q44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76" s="19" t="str">
        <f>TEXT(Planning[[#This Row],[Mes]]*29,"mmmm")</f>
        <v>October</v>
      </c>
      <c r="S44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76" s="208"/>
      <c r="U4476" s="43"/>
      <c r="V4476" s="43"/>
      <c r="W4476" s="44"/>
      <c r="X4476" s="142"/>
    </row>
    <row r="4477" spans="1:24" x14ac:dyDescent="0.2">
      <c r="A4477" s="9" t="s">
        <v>626</v>
      </c>
      <c r="B4477" s="9" t="s">
        <v>288</v>
      </c>
      <c r="C4477" s="3">
        <v>116888</v>
      </c>
      <c r="D4477" s="3" t="s">
        <v>763</v>
      </c>
      <c r="E4477" s="4"/>
      <c r="F4477" s="3" t="s">
        <v>128</v>
      </c>
      <c r="G4477" s="53">
        <v>30</v>
      </c>
      <c r="H4477" s="20">
        <v>30</v>
      </c>
      <c r="I4477" s="12"/>
      <c r="J4477" s="5" t="e">
        <f>SUM(SUMIFS(#REF!,#REF!,Planning[[#This Row],[Tipo de Tarea y especialidad]],#REF!,Planning[[#This Row],[Proyectos Reiwa]]),SUMIFS(#REF!,#REF!,Planning[[#This Row],[Tipo de Tarea y especialidad]],#REF!,Planning[[#This Row],[Proyectos]]))</f>
        <v>#REF!</v>
      </c>
      <c r="K4477" s="5" t="e">
        <f>+Planning[[#This Row],[Horas Planificadas]]+Planning[[#This Row],[Horas ajustadas adicionales]]-Planning[[#This Row],[Horas utilizadas]]</f>
        <v>#REF!</v>
      </c>
      <c r="L4477" s="9">
        <v>0</v>
      </c>
      <c r="M4477" s="19" t="e">
        <f>Planning[[#This Row],[Saldo]]-Planning[[#This Row],[Saldo estimado]]</f>
        <v>#REF!</v>
      </c>
      <c r="N4477" s="62" t="e">
        <f>+SUMIFS(#REF!,#REF!,Planning[[#This Row],[Proyectos]],#REF!,Planning[[#This Row],[Tipo de Tarea y especialidad]])</f>
        <v>#REF!</v>
      </c>
      <c r="O4477" s="34">
        <f t="shared" si="139"/>
        <v>10</v>
      </c>
      <c r="P4477" s="34">
        <f t="shared" si="141"/>
        <v>2024</v>
      </c>
      <c r="Q44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77" s="19" t="str">
        <f>TEXT(Planning[[#This Row],[Mes]]*29,"mmmm")</f>
        <v>October</v>
      </c>
      <c r="S44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77" s="208"/>
      <c r="U4477" s="43"/>
      <c r="V4477" s="43"/>
      <c r="W4477" s="44"/>
      <c r="X4477" s="142"/>
    </row>
    <row r="4478" spans="1:24" x14ac:dyDescent="0.2">
      <c r="A4478" s="9" t="s">
        <v>626</v>
      </c>
      <c r="B4478" s="9" t="s">
        <v>288</v>
      </c>
      <c r="C4478" s="3">
        <v>116888</v>
      </c>
      <c r="D4478" s="3" t="s">
        <v>763</v>
      </c>
      <c r="E4478" s="4" t="s">
        <v>31</v>
      </c>
      <c r="F4478" s="3" t="s">
        <v>31</v>
      </c>
      <c r="G4478" s="53">
        <v>60</v>
      </c>
      <c r="H4478" s="20">
        <v>60</v>
      </c>
      <c r="I4478" s="12"/>
      <c r="J4478" s="14" t="e">
        <f>+SUMIFS(#REF!,#REF!,Planning[[#This Row],[Tarifa]],#REF!,Planning[[#This Row],[Proyectos]])</f>
        <v>#REF!</v>
      </c>
      <c r="K4478" s="5" t="e">
        <f>+Planning[[#This Row],[Horas Planificadas]]+Planning[[#This Row],[Horas ajustadas adicionales]]-Planning[[#This Row],[Horas utilizadas]]</f>
        <v>#REF!</v>
      </c>
      <c r="L4478" s="9">
        <v>0</v>
      </c>
      <c r="M4478" s="19" t="e">
        <f>Planning[[#This Row],[Saldo]]-Planning[[#This Row],[Saldo estimado]]</f>
        <v>#REF!</v>
      </c>
      <c r="N4478" s="62" t="e">
        <f>+SUMIFS(#REF!,#REF!,Planning[[#This Row],[Proyectos]],#REF!,Planning[[#This Row],[Tipo de Tarea y especialidad]])</f>
        <v>#REF!</v>
      </c>
      <c r="O4478" s="34">
        <f t="shared" si="139"/>
        <v>10</v>
      </c>
      <c r="P4478" s="34">
        <f t="shared" si="141"/>
        <v>2024</v>
      </c>
      <c r="Q4478" s="16" t="e">
        <f>+SUMIFS(#REF!,#REF!,Planning[[#This Row],[Tarifa]],#REF!,Planning[[#This Row],[Proyectos]],#REF!,Planning[[#This Row],[Mes]],#REF!,Planning[[#This Row],[Año]])</f>
        <v>#REF!</v>
      </c>
      <c r="R4478" s="16" t="str">
        <f>TEXT(Planning[[#This Row],[Mes]]*29,"mmmm")</f>
        <v>October</v>
      </c>
      <c r="S44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78" s="208"/>
      <c r="U4478" s="43"/>
      <c r="V4478" s="43"/>
      <c r="W4478" s="44"/>
      <c r="X4478" s="142"/>
    </row>
    <row r="4479" spans="1:24" ht="22.5" x14ac:dyDescent="0.2">
      <c r="A4479" s="9" t="s">
        <v>626</v>
      </c>
      <c r="B4479" s="9" t="s">
        <v>288</v>
      </c>
      <c r="C4479" s="3">
        <v>116888</v>
      </c>
      <c r="D4479" s="3" t="s">
        <v>763</v>
      </c>
      <c r="E4479" s="4" t="s">
        <v>32</v>
      </c>
      <c r="F4479" s="3"/>
      <c r="G4479" s="53"/>
      <c r="H4479" s="20">
        <f>SUM(H4480:H4482)</f>
        <v>60</v>
      </c>
      <c r="I4479" s="12"/>
      <c r="J4479" s="14" t="e">
        <f>SUM(J4480:J4482)</f>
        <v>#REF!</v>
      </c>
      <c r="K4479" s="5" t="e">
        <f>+Planning[[#This Row],[Horas Planificadas]]+Planning[[#This Row],[Horas ajustadas adicionales]]-Planning[[#This Row],[Horas utilizadas]]</f>
        <v>#REF!</v>
      </c>
      <c r="L4479" s="9">
        <f>SUM(L4480:L4482)</f>
        <v>0</v>
      </c>
      <c r="M4479" s="19" t="e">
        <f>SUM(M4480:M4482)</f>
        <v>#REF!</v>
      </c>
      <c r="N4479" s="62" t="e">
        <f>+SUMIFS(#REF!,#REF!,Planning[[#This Row],[Proyectos]],#REF!,Planning[[#This Row],[Tipo de Tarea y especialidad]])</f>
        <v>#REF!</v>
      </c>
      <c r="O4479" s="34">
        <f t="shared" si="139"/>
        <v>10</v>
      </c>
      <c r="P4479" s="34">
        <f t="shared" si="141"/>
        <v>2024</v>
      </c>
      <c r="Q4479" s="16" t="e">
        <f>SUM(Q4480:Q4482)</f>
        <v>#REF!</v>
      </c>
      <c r="R4479" s="16" t="str">
        <f>TEXT(Planning[[#This Row],[Mes]]*29,"mmmm")</f>
        <v>October</v>
      </c>
      <c r="S44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79" s="208"/>
      <c r="U4479" s="43"/>
      <c r="V4479" s="43"/>
      <c r="W4479" s="44"/>
      <c r="X4479" s="142"/>
    </row>
    <row r="4480" spans="1:24" x14ac:dyDescent="0.2">
      <c r="A4480" s="9" t="s">
        <v>626</v>
      </c>
      <c r="B4480" s="9" t="s">
        <v>288</v>
      </c>
      <c r="C4480" s="3">
        <v>116888</v>
      </c>
      <c r="D4480" s="3" t="s">
        <v>763</v>
      </c>
      <c r="E4480" s="4"/>
      <c r="F4480" s="3" t="s">
        <v>129</v>
      </c>
      <c r="G4480" s="53"/>
      <c r="H4480" s="20"/>
      <c r="I4480" s="12"/>
      <c r="J4480" s="5" t="e">
        <f>SUM(SUMIFS(#REF!,#REF!,Planning[[#This Row],[Tipo de Tarea y especialidad]],#REF!,Planning[[#This Row],[Proyectos Reiwa]]),SUMIFS(#REF!,#REF!,Planning[[#This Row],[Tipo de Tarea y especialidad]],#REF!,Planning[[#This Row],[Proyectos]]))</f>
        <v>#REF!</v>
      </c>
      <c r="K4480" s="5" t="e">
        <f>+Planning[[#This Row],[Horas Planificadas]]+Planning[[#This Row],[Horas ajustadas adicionales]]-Planning[[#This Row],[Horas utilizadas]]</f>
        <v>#REF!</v>
      </c>
      <c r="L4480" s="9"/>
      <c r="M4480" s="19" t="e">
        <f>Planning[[#This Row],[Saldo]]-Planning[[#This Row],[Saldo estimado]]</f>
        <v>#REF!</v>
      </c>
      <c r="N4480" s="62" t="e">
        <f>+SUMIFS(#REF!,#REF!,Planning[[#This Row],[Proyectos]],#REF!,Planning[[#This Row],[Tipo de Tarea y especialidad]])</f>
        <v>#REF!</v>
      </c>
      <c r="O4480" s="34">
        <f t="shared" si="139"/>
        <v>10</v>
      </c>
      <c r="P4480" s="34">
        <f t="shared" si="141"/>
        <v>2024</v>
      </c>
      <c r="Q44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80" s="19" t="str">
        <f>TEXT(Planning[[#This Row],[Mes]]*29,"mmmm")</f>
        <v>October</v>
      </c>
      <c r="S44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80" s="208"/>
      <c r="U4480" s="43"/>
      <c r="V4480" s="43"/>
      <c r="W4480" s="44"/>
      <c r="X4480" s="142"/>
    </row>
    <row r="4481" spans="1:24" x14ac:dyDescent="0.2">
      <c r="A4481" s="9" t="s">
        <v>626</v>
      </c>
      <c r="B4481" s="9" t="s">
        <v>288</v>
      </c>
      <c r="C4481" s="3">
        <v>116888</v>
      </c>
      <c r="D4481" s="3" t="s">
        <v>763</v>
      </c>
      <c r="E4481" s="4"/>
      <c r="F4481" s="3" t="s">
        <v>130</v>
      </c>
      <c r="G4481" s="53"/>
      <c r="H4481" s="20"/>
      <c r="I4481" s="12"/>
      <c r="J4481" s="5" t="e">
        <f>SUM(SUMIFS(#REF!,#REF!,Planning[[#This Row],[Tipo de Tarea y especialidad]],#REF!,Planning[[#This Row],[Proyectos Reiwa]]),SUMIFS(#REF!,#REF!,Planning[[#This Row],[Tipo de Tarea y especialidad]],#REF!,Planning[[#This Row],[Proyectos]]))</f>
        <v>#REF!</v>
      </c>
      <c r="K4481" s="5" t="e">
        <f>+Planning[[#This Row],[Horas Planificadas]]+Planning[[#This Row],[Horas ajustadas adicionales]]-Planning[[#This Row],[Horas utilizadas]]</f>
        <v>#REF!</v>
      </c>
      <c r="L4481" s="9"/>
      <c r="M4481" s="19" t="e">
        <f>Planning[[#This Row],[Saldo]]-Planning[[#This Row],[Saldo estimado]]</f>
        <v>#REF!</v>
      </c>
      <c r="N4481" s="62" t="e">
        <f>+SUMIFS(#REF!,#REF!,Planning[[#This Row],[Proyectos]],#REF!,Planning[[#This Row],[Tipo de Tarea y especialidad]])</f>
        <v>#REF!</v>
      </c>
      <c r="O4481" s="34">
        <f t="shared" si="139"/>
        <v>10</v>
      </c>
      <c r="P4481" s="34">
        <f t="shared" si="141"/>
        <v>2024</v>
      </c>
      <c r="Q44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81" s="19" t="str">
        <f>TEXT(Planning[[#This Row],[Mes]]*29,"mmmm")</f>
        <v>October</v>
      </c>
      <c r="S44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81" s="208"/>
      <c r="U4481" s="43"/>
      <c r="V4481" s="43"/>
      <c r="W4481" s="44"/>
      <c r="X4481" s="142"/>
    </row>
    <row r="4482" spans="1:24" x14ac:dyDescent="0.2">
      <c r="A4482" s="9" t="s">
        <v>626</v>
      </c>
      <c r="B4482" s="9" t="s">
        <v>288</v>
      </c>
      <c r="C4482" s="3">
        <v>116888</v>
      </c>
      <c r="D4482" s="3" t="s">
        <v>763</v>
      </c>
      <c r="E4482" s="4"/>
      <c r="F4482" s="3" t="s">
        <v>131</v>
      </c>
      <c r="G4482" s="53">
        <v>60</v>
      </c>
      <c r="H4482" s="20">
        <v>60</v>
      </c>
      <c r="I4482" s="12"/>
      <c r="J4482" s="5" t="e">
        <f>SUM(SUMIFS(#REF!,#REF!,Planning[[#This Row],[Tipo de Tarea y especialidad]],#REF!,Planning[[#This Row],[Proyectos Reiwa]]),SUMIFS(#REF!,#REF!,Planning[[#This Row],[Tipo de Tarea y especialidad]],#REF!,Planning[[#This Row],[Proyectos]]))</f>
        <v>#REF!</v>
      </c>
      <c r="K4482" s="5" t="e">
        <f>+Planning[[#This Row],[Horas Planificadas]]+Planning[[#This Row],[Horas ajustadas adicionales]]-Planning[[#This Row],[Horas utilizadas]]</f>
        <v>#REF!</v>
      </c>
      <c r="L4482" s="9">
        <v>0</v>
      </c>
      <c r="M4482" s="19" t="e">
        <f>Planning[[#This Row],[Saldo]]-Planning[[#This Row],[Saldo estimado]]</f>
        <v>#REF!</v>
      </c>
      <c r="N4482" s="62" t="e">
        <f>+SUMIFS(#REF!,#REF!,Planning[[#This Row],[Proyectos]],#REF!,Planning[[#This Row],[Tipo de Tarea y especialidad]])</f>
        <v>#REF!</v>
      </c>
      <c r="O4482" s="34">
        <f t="shared" si="139"/>
        <v>10</v>
      </c>
      <c r="P4482" s="34">
        <f t="shared" si="141"/>
        <v>2024</v>
      </c>
      <c r="Q44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82" s="19" t="str">
        <f>TEXT(Planning[[#This Row],[Mes]]*29,"mmmm")</f>
        <v>October</v>
      </c>
      <c r="S44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82" s="208"/>
      <c r="U4482" s="43"/>
      <c r="V4482" s="43"/>
      <c r="W4482" s="44"/>
      <c r="X4482" s="142"/>
    </row>
    <row r="4483" spans="1:24" ht="22.5" x14ac:dyDescent="0.2">
      <c r="A4483" s="9" t="s">
        <v>483</v>
      </c>
      <c r="B4483" s="9" t="s">
        <v>178</v>
      </c>
      <c r="C4483" s="3"/>
      <c r="D4483" s="3" t="s">
        <v>765</v>
      </c>
      <c r="E4483" s="4" t="s">
        <v>28</v>
      </c>
      <c r="F4483" s="3"/>
      <c r="G4483" s="9">
        <v>36</v>
      </c>
      <c r="H4483" s="14">
        <f>SUM(H4484:H4485)</f>
        <v>36</v>
      </c>
      <c r="I4483" s="14"/>
      <c r="J4483" s="14" t="e">
        <f>SUM(J4484:J4485)</f>
        <v>#REF!</v>
      </c>
      <c r="K4483" s="14" t="e">
        <f>+Planning[[#This Row],[Horas Planificadas]]+Planning[[#This Row],[Horas ajustadas adicionales]]-Planning[[#This Row],[Horas utilizadas]]</f>
        <v>#REF!</v>
      </c>
      <c r="L4483" s="15">
        <f>SUM(L4484:L4485)</f>
        <v>0</v>
      </c>
      <c r="M4483" s="14" t="e">
        <f>SUM(M4484:M4485)</f>
        <v>#REF!</v>
      </c>
      <c r="N4483" s="66"/>
      <c r="O4483" s="14">
        <f t="shared" si="139"/>
        <v>10</v>
      </c>
      <c r="P4483" s="14">
        <f t="shared" si="141"/>
        <v>2024</v>
      </c>
      <c r="Q4483" s="28" t="e">
        <f>SUM(Q4484:Q4485)</f>
        <v>#REF!</v>
      </c>
      <c r="R4483" s="28" t="str">
        <f>TEXT(Planning[[#This Row],[Mes]]*29,"mmmm")</f>
        <v>October</v>
      </c>
      <c r="S44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83" s="224" t="s">
        <v>766</v>
      </c>
      <c r="U4483" s="43"/>
      <c r="V4483" s="43"/>
      <c r="W4483" s="44"/>
      <c r="X4483" s="142"/>
    </row>
    <row r="4484" spans="1:24" x14ac:dyDescent="0.2">
      <c r="A4484" s="9" t="s">
        <v>483</v>
      </c>
      <c r="B4484" s="9" t="s">
        <v>178</v>
      </c>
      <c r="C4484" s="3"/>
      <c r="D4484" s="3" t="s">
        <v>765</v>
      </c>
      <c r="E4484" s="4"/>
      <c r="F4484" s="3" t="s">
        <v>120</v>
      </c>
      <c r="G4484" s="9"/>
      <c r="H4484" s="9">
        <v>0</v>
      </c>
      <c r="I4484" s="12"/>
      <c r="J4484" s="5" t="e">
        <f>SUM(SUMIFS(#REF!,#REF!,Planning[[#This Row],[Tipo de Tarea y especialidad]],#REF!,Planning[[#This Row],[Proyectos Reiwa]]),SUMIFS(#REF!,#REF!,Planning[[#This Row],[Tipo de Tarea y especialidad]],#REF!,Planning[[#This Row],[Proyectos]]))</f>
        <v>#REF!</v>
      </c>
      <c r="K4484" s="5" t="e">
        <f>+Planning[[#This Row],[Horas Planificadas]]+Planning[[#This Row],[Horas ajustadas adicionales]]-Planning[[#This Row],[Horas utilizadas]]</f>
        <v>#REF!</v>
      </c>
      <c r="L4484" s="7">
        <v>0</v>
      </c>
      <c r="M4484" s="19" t="e">
        <f>Planning[[#This Row],[Saldo]]-Planning[[#This Row],[Saldo estimado]]</f>
        <v>#REF!</v>
      </c>
      <c r="N4484" s="60" t="e">
        <f>+SUMIFS(#REF!,#REF!,Planning[[#This Row],[Proyectos]],#REF!,Planning[[#This Row],[Tipo de Tarea y especialidad]])</f>
        <v>#REF!</v>
      </c>
      <c r="O4484" s="19">
        <f t="shared" si="139"/>
        <v>10</v>
      </c>
      <c r="P4484" s="19">
        <f t="shared" si="141"/>
        <v>2024</v>
      </c>
      <c r="Q44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84" s="19" t="str">
        <f>TEXT(Planning[[#This Row],[Mes]]*29,"mmmm")</f>
        <v>October</v>
      </c>
      <c r="S44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84" s="210"/>
      <c r="U4484" s="43"/>
      <c r="V4484" s="43"/>
      <c r="W4484" s="44"/>
      <c r="X4484" s="142"/>
    </row>
    <row r="4485" spans="1:24" x14ac:dyDescent="0.2">
      <c r="A4485" s="9" t="s">
        <v>483</v>
      </c>
      <c r="B4485" s="9" t="s">
        <v>178</v>
      </c>
      <c r="C4485" s="3"/>
      <c r="D4485" s="3" t="s">
        <v>765</v>
      </c>
      <c r="E4485" s="4"/>
      <c r="F4485" s="3" t="s">
        <v>121</v>
      </c>
      <c r="G4485" s="9"/>
      <c r="H4485" s="9">
        <v>36</v>
      </c>
      <c r="I4485" s="12"/>
      <c r="J4485" s="5" t="e">
        <f>SUM(SUMIFS(#REF!,#REF!,Planning[[#This Row],[Tipo de Tarea y especialidad]],#REF!,Planning[[#This Row],[Proyectos Reiwa]]),SUMIFS(#REF!,#REF!,Planning[[#This Row],[Tipo de Tarea y especialidad]],#REF!,Planning[[#This Row],[Proyectos]]))</f>
        <v>#REF!</v>
      </c>
      <c r="K4485" s="5" t="e">
        <f>+Planning[[#This Row],[Horas Planificadas]]+Planning[[#This Row],[Horas ajustadas adicionales]]-Planning[[#This Row],[Horas utilizadas]]</f>
        <v>#REF!</v>
      </c>
      <c r="L4485" s="7">
        <v>0</v>
      </c>
      <c r="M4485" s="19" t="e">
        <f>Planning[[#This Row],[Saldo]]-Planning[[#This Row],[Saldo estimado]]</f>
        <v>#REF!</v>
      </c>
      <c r="N4485" s="60" t="e">
        <f>+SUMIFS(#REF!,#REF!,Planning[[#This Row],[Proyectos]],#REF!,Planning[[#This Row],[Tipo de Tarea y especialidad]])</f>
        <v>#REF!</v>
      </c>
      <c r="O4485" s="19">
        <f t="shared" si="139"/>
        <v>10</v>
      </c>
      <c r="P4485" s="19">
        <f t="shared" si="141"/>
        <v>2024</v>
      </c>
      <c r="Q44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85" s="19" t="str">
        <f>TEXT(Planning[[#This Row],[Mes]]*29,"mmmm")</f>
        <v>October</v>
      </c>
      <c r="S44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85" s="210"/>
      <c r="U4485" s="43"/>
      <c r="V4485" s="43"/>
      <c r="W4485" s="44"/>
      <c r="X4485" s="142"/>
    </row>
    <row r="4486" spans="1:24" x14ac:dyDescent="0.2">
      <c r="A4486" s="9" t="s">
        <v>483</v>
      </c>
      <c r="B4486" s="9" t="s">
        <v>178</v>
      </c>
      <c r="C4486" s="3"/>
      <c r="D4486" s="3" t="s">
        <v>765</v>
      </c>
      <c r="E4486" s="4" t="s">
        <v>30</v>
      </c>
      <c r="F4486" s="3"/>
      <c r="G4486" s="9">
        <v>609</v>
      </c>
      <c r="H4486" s="14">
        <f>SUM(H4487:H4493)</f>
        <v>609</v>
      </c>
      <c r="I4486" s="14"/>
      <c r="J4486" s="14" t="e">
        <f>SUM(J4487:J4493)</f>
        <v>#REF!</v>
      </c>
      <c r="K4486" s="14" t="e">
        <f>+Planning[[#This Row],[Horas Planificadas]]+Planning[[#This Row],[Horas ajustadas adicionales]]-Planning[[#This Row],[Horas utilizadas]]</f>
        <v>#REF!</v>
      </c>
      <c r="L4486" s="15">
        <f>SUM(L4487:L4493)</f>
        <v>0</v>
      </c>
      <c r="M4486" s="16" t="e">
        <f>SUM(M4487:M4493)</f>
        <v>#REF!</v>
      </c>
      <c r="N4486" s="60"/>
      <c r="O4486" s="16">
        <f t="shared" si="139"/>
        <v>10</v>
      </c>
      <c r="P4486" s="16">
        <f t="shared" si="141"/>
        <v>2024</v>
      </c>
      <c r="Q4486" s="16" t="e">
        <f>SUM(Q4487:Q4493)</f>
        <v>#REF!</v>
      </c>
      <c r="R4486" s="16" t="str">
        <f>TEXT(Planning[[#This Row],[Mes]]*29,"mmmm")</f>
        <v>October</v>
      </c>
      <c r="S44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86" s="210"/>
      <c r="U4486" s="43"/>
      <c r="V4486" s="43"/>
      <c r="W4486" s="44"/>
      <c r="X4486" s="142"/>
    </row>
    <row r="4487" spans="1:24" x14ac:dyDescent="0.2">
      <c r="A4487" s="9" t="s">
        <v>483</v>
      </c>
      <c r="B4487" s="9" t="s">
        <v>178</v>
      </c>
      <c r="C4487" s="3"/>
      <c r="D4487" s="3" t="s">
        <v>765</v>
      </c>
      <c r="E4487" s="4"/>
      <c r="F4487" s="3" t="s">
        <v>122</v>
      </c>
      <c r="G4487" s="9"/>
      <c r="H4487" s="9">
        <v>0</v>
      </c>
      <c r="I4487" s="12"/>
      <c r="J4487" s="5" t="e">
        <f>SUM(SUMIFS(#REF!,#REF!,Planning[[#This Row],[Tipo de Tarea y especialidad]],#REF!,Planning[[#This Row],[Proyectos Reiwa]]),SUMIFS(#REF!,#REF!,Planning[[#This Row],[Tipo de Tarea y especialidad]],#REF!,Planning[[#This Row],[Proyectos]]))</f>
        <v>#REF!</v>
      </c>
      <c r="K4487" s="5" t="e">
        <f>+Planning[[#This Row],[Horas Planificadas]]+Planning[[#This Row],[Horas ajustadas adicionales]]-Planning[[#This Row],[Horas utilizadas]]</f>
        <v>#REF!</v>
      </c>
      <c r="L4487" s="7">
        <v>0</v>
      </c>
      <c r="M4487" s="19" t="e">
        <f>Planning[[#This Row],[Saldo]]-Planning[[#This Row],[Saldo estimado]]</f>
        <v>#REF!</v>
      </c>
      <c r="N4487" s="60" t="e">
        <f>+SUMIFS(#REF!,#REF!,Planning[[#This Row],[Proyectos]],#REF!,Planning[[#This Row],[Tipo de Tarea y especialidad]])</f>
        <v>#REF!</v>
      </c>
      <c r="O4487" s="19">
        <f t="shared" ref="O4487:O4550" si="142">$L$4</f>
        <v>10</v>
      </c>
      <c r="P4487" s="19">
        <f t="shared" si="141"/>
        <v>2024</v>
      </c>
      <c r="Q44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87" s="19" t="str">
        <f>TEXT(Planning[[#This Row],[Mes]]*29,"mmmm")</f>
        <v>October</v>
      </c>
      <c r="S44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87" s="210"/>
      <c r="U4487" s="43"/>
      <c r="V4487" s="43"/>
      <c r="W4487" s="44"/>
      <c r="X4487" s="142"/>
    </row>
    <row r="4488" spans="1:24" x14ac:dyDescent="0.2">
      <c r="A4488" s="9" t="s">
        <v>483</v>
      </c>
      <c r="B4488" s="9" t="s">
        <v>178</v>
      </c>
      <c r="C4488" s="3"/>
      <c r="D4488" s="3" t="s">
        <v>765</v>
      </c>
      <c r="E4488" s="4"/>
      <c r="F4488" s="3" t="s">
        <v>123</v>
      </c>
      <c r="G4488" s="9"/>
      <c r="H4488" s="9">
        <v>285</v>
      </c>
      <c r="I4488" s="12"/>
      <c r="J4488" s="5" t="e">
        <f>SUM(SUMIFS(#REF!,#REF!,Planning[[#This Row],[Tipo de Tarea y especialidad]],#REF!,Planning[[#This Row],[Proyectos Reiwa]]),SUMIFS(#REF!,#REF!,Planning[[#This Row],[Tipo de Tarea y especialidad]],#REF!,Planning[[#This Row],[Proyectos]]))</f>
        <v>#REF!</v>
      </c>
      <c r="K4488" s="5" t="e">
        <f>+Planning[[#This Row],[Horas Planificadas]]+Planning[[#This Row],[Horas ajustadas adicionales]]-Planning[[#This Row],[Horas utilizadas]]</f>
        <v>#REF!</v>
      </c>
      <c r="L4488" s="7">
        <v>0</v>
      </c>
      <c r="M4488" s="19" t="e">
        <f>Planning[[#This Row],[Saldo]]-Planning[[#This Row],[Saldo estimado]]</f>
        <v>#REF!</v>
      </c>
      <c r="N4488" s="60" t="e">
        <f>+SUMIFS(#REF!,#REF!,Planning[[#This Row],[Proyectos]],#REF!,Planning[[#This Row],[Tipo de Tarea y especialidad]])</f>
        <v>#REF!</v>
      </c>
      <c r="O4488" s="19">
        <f t="shared" si="142"/>
        <v>10</v>
      </c>
      <c r="P4488" s="19">
        <f t="shared" si="141"/>
        <v>2024</v>
      </c>
      <c r="Q44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88" s="19" t="str">
        <f>TEXT(Planning[[#This Row],[Mes]]*29,"mmmm")</f>
        <v>October</v>
      </c>
      <c r="S44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88" s="210"/>
      <c r="U4488" s="43"/>
      <c r="V4488" s="43"/>
      <c r="W4488" s="44"/>
      <c r="X4488" s="142"/>
    </row>
    <row r="4489" spans="1:24" x14ac:dyDescent="0.2">
      <c r="A4489" s="9" t="s">
        <v>483</v>
      </c>
      <c r="B4489" s="9" t="s">
        <v>178</v>
      </c>
      <c r="C4489" s="3"/>
      <c r="D4489" s="3" t="s">
        <v>765</v>
      </c>
      <c r="E4489" s="4"/>
      <c r="F4489" s="3" t="s">
        <v>124</v>
      </c>
      <c r="G4489" s="9"/>
      <c r="H4489" s="9">
        <v>72</v>
      </c>
      <c r="I4489" s="12"/>
      <c r="J4489" s="5" t="e">
        <f>SUM(SUMIFS(#REF!,#REF!,Planning[[#This Row],[Tipo de Tarea y especialidad]],#REF!,Planning[[#This Row],[Proyectos Reiwa]]),SUMIFS(#REF!,#REF!,Planning[[#This Row],[Tipo de Tarea y especialidad]],#REF!,Planning[[#This Row],[Proyectos]]))</f>
        <v>#REF!</v>
      </c>
      <c r="K4489" s="5" t="e">
        <f>+Planning[[#This Row],[Horas Planificadas]]+Planning[[#This Row],[Horas ajustadas adicionales]]-Planning[[#This Row],[Horas utilizadas]]</f>
        <v>#REF!</v>
      </c>
      <c r="L4489" s="7">
        <v>0</v>
      </c>
      <c r="M4489" s="19" t="e">
        <f>Planning[[#This Row],[Saldo]]-Planning[[#This Row],[Saldo estimado]]</f>
        <v>#REF!</v>
      </c>
      <c r="N4489" s="60" t="e">
        <f>+SUMIFS(#REF!,#REF!,Planning[[#This Row],[Proyectos]],#REF!,Planning[[#This Row],[Tipo de Tarea y especialidad]])</f>
        <v>#REF!</v>
      </c>
      <c r="O4489" s="19">
        <f t="shared" si="142"/>
        <v>10</v>
      </c>
      <c r="P4489" s="19">
        <f t="shared" si="141"/>
        <v>2024</v>
      </c>
      <c r="Q44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89" s="19" t="str">
        <f>TEXT(Planning[[#This Row],[Mes]]*29,"mmmm")</f>
        <v>October</v>
      </c>
      <c r="S44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89" s="210"/>
      <c r="U4489" s="43"/>
      <c r="V4489" s="43"/>
      <c r="W4489" s="44"/>
      <c r="X4489" s="142"/>
    </row>
    <row r="4490" spans="1:24" x14ac:dyDescent="0.2">
      <c r="A4490" s="9" t="s">
        <v>483</v>
      </c>
      <c r="B4490" s="9" t="s">
        <v>178</v>
      </c>
      <c r="C4490" s="3"/>
      <c r="D4490" s="3" t="s">
        <v>765</v>
      </c>
      <c r="E4490" s="4"/>
      <c r="F4490" s="3" t="s">
        <v>125</v>
      </c>
      <c r="G4490" s="9"/>
      <c r="H4490" s="9">
        <v>135</v>
      </c>
      <c r="I4490" s="12"/>
      <c r="J4490" s="5" t="e">
        <f>SUM(SUMIFS(#REF!,#REF!,Planning[[#This Row],[Tipo de Tarea y especialidad]],#REF!,Planning[[#This Row],[Proyectos Reiwa]]),SUMIFS(#REF!,#REF!,Planning[[#This Row],[Tipo de Tarea y especialidad]],#REF!,Planning[[#This Row],[Proyectos]]))</f>
        <v>#REF!</v>
      </c>
      <c r="K4490" s="5" t="e">
        <f>+Planning[[#This Row],[Horas Planificadas]]+Planning[[#This Row],[Horas ajustadas adicionales]]-Planning[[#This Row],[Horas utilizadas]]</f>
        <v>#REF!</v>
      </c>
      <c r="L4490" s="7">
        <v>0</v>
      </c>
      <c r="M4490" s="19" t="e">
        <f>Planning[[#This Row],[Saldo]]-Planning[[#This Row],[Saldo estimado]]</f>
        <v>#REF!</v>
      </c>
      <c r="N4490" s="60" t="e">
        <f>+SUMIFS(#REF!,#REF!,Planning[[#This Row],[Proyectos]],#REF!,Planning[[#This Row],[Tipo de Tarea y especialidad]])</f>
        <v>#REF!</v>
      </c>
      <c r="O4490" s="19">
        <f t="shared" si="142"/>
        <v>10</v>
      </c>
      <c r="P4490" s="19">
        <f t="shared" si="141"/>
        <v>2024</v>
      </c>
      <c r="Q44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90" s="19" t="str">
        <f>TEXT(Planning[[#This Row],[Mes]]*29,"mmmm")</f>
        <v>October</v>
      </c>
      <c r="S44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90" s="210"/>
      <c r="U4490" s="43"/>
      <c r="V4490" s="43"/>
      <c r="W4490" s="44"/>
      <c r="X4490" s="142"/>
    </row>
    <row r="4491" spans="1:24" x14ac:dyDescent="0.2">
      <c r="A4491" s="9" t="s">
        <v>483</v>
      </c>
      <c r="B4491" s="9" t="s">
        <v>178</v>
      </c>
      <c r="C4491" s="3"/>
      <c r="D4491" s="3" t="s">
        <v>765</v>
      </c>
      <c r="E4491" s="4"/>
      <c r="F4491" s="3" t="s">
        <v>126</v>
      </c>
      <c r="G4491" s="9"/>
      <c r="H4491" s="9">
        <v>0</v>
      </c>
      <c r="I4491" s="12"/>
      <c r="J4491" s="5" t="e">
        <f>SUM(SUMIFS(#REF!,#REF!,Planning[[#This Row],[Tipo de Tarea y especialidad]],#REF!,Planning[[#This Row],[Proyectos Reiwa]]),SUMIFS(#REF!,#REF!,Planning[[#This Row],[Tipo de Tarea y especialidad]],#REF!,Planning[[#This Row],[Proyectos]]))</f>
        <v>#REF!</v>
      </c>
      <c r="K4491" s="5" t="e">
        <f>+Planning[[#This Row],[Horas Planificadas]]+Planning[[#This Row],[Horas ajustadas adicionales]]-Planning[[#This Row],[Horas utilizadas]]</f>
        <v>#REF!</v>
      </c>
      <c r="L4491" s="7">
        <v>0</v>
      </c>
      <c r="M4491" s="19" t="e">
        <f>Planning[[#This Row],[Saldo]]-Planning[[#This Row],[Saldo estimado]]</f>
        <v>#REF!</v>
      </c>
      <c r="N4491" s="60" t="e">
        <f>+SUMIFS(#REF!,#REF!,Planning[[#This Row],[Proyectos]],#REF!,Planning[[#This Row],[Tipo de Tarea y especialidad]])</f>
        <v>#REF!</v>
      </c>
      <c r="O4491" s="19">
        <f t="shared" si="142"/>
        <v>10</v>
      </c>
      <c r="P4491" s="19">
        <f t="shared" si="141"/>
        <v>2024</v>
      </c>
      <c r="Q44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91" s="19" t="str">
        <f>TEXT(Planning[[#This Row],[Mes]]*29,"mmmm")</f>
        <v>October</v>
      </c>
      <c r="S44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91" s="210"/>
      <c r="U4491" s="43"/>
      <c r="V4491" s="43"/>
      <c r="W4491" s="44"/>
      <c r="X4491" s="142"/>
    </row>
    <row r="4492" spans="1:24" x14ac:dyDescent="0.2">
      <c r="A4492" s="9" t="s">
        <v>483</v>
      </c>
      <c r="B4492" s="9" t="s">
        <v>178</v>
      </c>
      <c r="C4492" s="3"/>
      <c r="D4492" s="3" t="s">
        <v>765</v>
      </c>
      <c r="E4492" s="4"/>
      <c r="F4492" s="3" t="s">
        <v>127</v>
      </c>
      <c r="G4492" s="9"/>
      <c r="H4492" s="9">
        <v>117</v>
      </c>
      <c r="I4492" s="12"/>
      <c r="J4492" s="5" t="e">
        <f>SUM(SUMIFS(#REF!,#REF!,Planning[[#This Row],[Tipo de Tarea y especialidad]],#REF!,Planning[[#This Row],[Proyectos Reiwa]]),SUMIFS(#REF!,#REF!,Planning[[#This Row],[Tipo de Tarea y especialidad]],#REF!,Planning[[#This Row],[Proyectos]]))</f>
        <v>#REF!</v>
      </c>
      <c r="K4492" s="5" t="e">
        <f>+Planning[[#This Row],[Horas Planificadas]]+Planning[[#This Row],[Horas ajustadas adicionales]]-Planning[[#This Row],[Horas utilizadas]]</f>
        <v>#REF!</v>
      </c>
      <c r="L4492" s="7">
        <v>0</v>
      </c>
      <c r="M4492" s="19" t="e">
        <f>Planning[[#This Row],[Saldo]]-Planning[[#This Row],[Saldo estimado]]</f>
        <v>#REF!</v>
      </c>
      <c r="N4492" s="60" t="e">
        <f>+SUMIFS(#REF!,#REF!,Planning[[#This Row],[Proyectos]],#REF!,Planning[[#This Row],[Tipo de Tarea y especialidad]])</f>
        <v>#REF!</v>
      </c>
      <c r="O4492" s="19">
        <f t="shared" si="142"/>
        <v>10</v>
      </c>
      <c r="P4492" s="19">
        <f t="shared" si="141"/>
        <v>2024</v>
      </c>
      <c r="Q44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92" s="19" t="str">
        <f>TEXT(Planning[[#This Row],[Mes]]*29,"mmmm")</f>
        <v>October</v>
      </c>
      <c r="S44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92" s="210"/>
      <c r="U4492" s="43"/>
      <c r="V4492" s="43"/>
      <c r="W4492" s="44"/>
      <c r="X4492" s="142"/>
    </row>
    <row r="4493" spans="1:24" x14ac:dyDescent="0.2">
      <c r="A4493" s="9" t="s">
        <v>483</v>
      </c>
      <c r="B4493" s="9" t="s">
        <v>178</v>
      </c>
      <c r="C4493" s="3"/>
      <c r="D4493" s="3" t="s">
        <v>765</v>
      </c>
      <c r="E4493" s="4"/>
      <c r="F4493" s="3" t="s">
        <v>128</v>
      </c>
      <c r="G4493" s="9"/>
      <c r="H4493" s="9">
        <v>0</v>
      </c>
      <c r="I4493" s="12"/>
      <c r="J4493" s="5" t="e">
        <f>SUM(SUMIFS(#REF!,#REF!,Planning[[#This Row],[Tipo de Tarea y especialidad]],#REF!,Planning[[#This Row],[Proyectos Reiwa]]),SUMIFS(#REF!,#REF!,Planning[[#This Row],[Tipo de Tarea y especialidad]],#REF!,Planning[[#This Row],[Proyectos]]))</f>
        <v>#REF!</v>
      </c>
      <c r="K4493" s="5" t="e">
        <f>+Planning[[#This Row],[Horas Planificadas]]+Planning[[#This Row],[Horas ajustadas adicionales]]-Planning[[#This Row],[Horas utilizadas]]</f>
        <v>#REF!</v>
      </c>
      <c r="L4493" s="7">
        <v>0</v>
      </c>
      <c r="M4493" s="19" t="e">
        <f>Planning[[#This Row],[Saldo]]-Planning[[#This Row],[Saldo estimado]]</f>
        <v>#REF!</v>
      </c>
      <c r="N4493" s="60" t="e">
        <f>+SUMIFS(#REF!,#REF!,Planning[[#This Row],[Proyectos]],#REF!,Planning[[#This Row],[Tipo de Tarea y especialidad]])</f>
        <v>#REF!</v>
      </c>
      <c r="O4493" s="19">
        <f t="shared" si="142"/>
        <v>10</v>
      </c>
      <c r="P4493" s="19">
        <f t="shared" si="141"/>
        <v>2024</v>
      </c>
      <c r="Q44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93" s="19" t="str">
        <f>TEXT(Planning[[#This Row],[Mes]]*29,"mmmm")</f>
        <v>October</v>
      </c>
      <c r="S44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93" s="210"/>
      <c r="U4493" s="43"/>
      <c r="V4493" s="43"/>
      <c r="W4493" s="44"/>
      <c r="X4493" s="142"/>
    </row>
    <row r="4494" spans="1:24" x14ac:dyDescent="0.2">
      <c r="A4494" s="9" t="s">
        <v>483</v>
      </c>
      <c r="B4494" s="9" t="s">
        <v>178</v>
      </c>
      <c r="C4494" s="3"/>
      <c r="D4494" s="3" t="s">
        <v>765</v>
      </c>
      <c r="E4494" s="4" t="s">
        <v>31</v>
      </c>
      <c r="F4494" s="3" t="s">
        <v>31</v>
      </c>
      <c r="G4494" s="9">
        <v>73</v>
      </c>
      <c r="H4494" s="17">
        <v>73</v>
      </c>
      <c r="I4494" s="18"/>
      <c r="J4494" s="14" t="e">
        <f>+SUMIFS(#REF!,#REF!,Planning[[#This Row],[Tarifa]],#REF!,Planning[[#This Row],[Proyectos]])</f>
        <v>#REF!</v>
      </c>
      <c r="K4494" s="14" t="e">
        <f>+Planning[[#This Row],[Horas Planificadas]]+Planning[[#This Row],[Horas ajustadas adicionales]]-Planning[[#This Row],[Horas utilizadas]]</f>
        <v>#REF!</v>
      </c>
      <c r="L4494" s="15">
        <v>0</v>
      </c>
      <c r="M4494" s="16" t="e">
        <f>Planning[[#This Row],[Saldo]]-Planning[[#This Row],[Saldo estimado]]</f>
        <v>#REF!</v>
      </c>
      <c r="N4494" s="60"/>
      <c r="O4494" s="16">
        <f t="shared" si="142"/>
        <v>10</v>
      </c>
      <c r="P4494" s="16">
        <f t="shared" si="141"/>
        <v>2024</v>
      </c>
      <c r="Q4494" s="16" t="e">
        <f>+SUMIFS(#REF!,#REF!,Planning[[#This Row],[Tarifa]],#REF!,Planning[[#This Row],[Proyectos]],#REF!,Planning[[#This Row],[Mes]],#REF!,Planning[[#This Row],[Año]])</f>
        <v>#REF!</v>
      </c>
      <c r="R4494" s="16" t="str">
        <f>TEXT(Planning[[#This Row],[Mes]]*29,"mmmm")</f>
        <v>October</v>
      </c>
      <c r="S44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94" s="210"/>
      <c r="U4494" s="43"/>
      <c r="V4494" s="43"/>
      <c r="W4494" s="44"/>
      <c r="X4494" s="142"/>
    </row>
    <row r="4495" spans="1:24" ht="22.5" x14ac:dyDescent="0.2">
      <c r="A4495" s="9" t="s">
        <v>483</v>
      </c>
      <c r="B4495" s="9" t="s">
        <v>178</v>
      </c>
      <c r="C4495" s="3"/>
      <c r="D4495" s="3" t="s">
        <v>765</v>
      </c>
      <c r="E4495" s="4" t="s">
        <v>32</v>
      </c>
      <c r="F4495" s="3"/>
      <c r="G4495" s="9">
        <v>130</v>
      </c>
      <c r="H4495" s="14">
        <f>SUM(H4496:H4498)</f>
        <v>130</v>
      </c>
      <c r="I4495" s="14"/>
      <c r="J4495" s="14" t="e">
        <f>SUM(J4496:J4498)</f>
        <v>#REF!</v>
      </c>
      <c r="K4495" s="14" t="e">
        <f>+Planning[[#This Row],[Horas Planificadas]]+Planning[[#This Row],[Horas ajustadas adicionales]]-Planning[[#This Row],[Horas utilizadas]]</f>
        <v>#REF!</v>
      </c>
      <c r="L4495" s="15">
        <f>SUM(L4496:L4498)</f>
        <v>0</v>
      </c>
      <c r="M4495" s="16" t="e">
        <f>SUM(M4496:M4498)</f>
        <v>#REF!</v>
      </c>
      <c r="N4495" s="60"/>
      <c r="O4495" s="16">
        <f t="shared" si="142"/>
        <v>10</v>
      </c>
      <c r="P4495" s="16">
        <f t="shared" si="141"/>
        <v>2024</v>
      </c>
      <c r="Q4495" s="16" t="e">
        <f>SUM(Q4496:Q4498)</f>
        <v>#REF!</v>
      </c>
      <c r="R4495" s="16" t="str">
        <f>TEXT(Planning[[#This Row],[Mes]]*29,"mmmm")</f>
        <v>October</v>
      </c>
      <c r="S44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95" s="210"/>
      <c r="U4495" s="43"/>
      <c r="V4495" s="43"/>
      <c r="W4495" s="44"/>
      <c r="X4495" s="142"/>
    </row>
    <row r="4496" spans="1:24" x14ac:dyDescent="0.2">
      <c r="A4496" s="9" t="s">
        <v>483</v>
      </c>
      <c r="B4496" s="9" t="s">
        <v>178</v>
      </c>
      <c r="C4496" s="3"/>
      <c r="D4496" s="3" t="s">
        <v>765</v>
      </c>
      <c r="E4496" s="4"/>
      <c r="F4496" s="3" t="s">
        <v>129</v>
      </c>
      <c r="G4496" s="9"/>
      <c r="H4496" s="9">
        <v>0</v>
      </c>
      <c r="I4496" s="12"/>
      <c r="J4496" s="5" t="e">
        <f>SUM(SUMIFS(#REF!,#REF!,Planning[[#This Row],[Tipo de Tarea y especialidad]],#REF!,Planning[[#This Row],[Proyectos Reiwa]]),SUMIFS(#REF!,#REF!,Planning[[#This Row],[Tipo de Tarea y especialidad]],#REF!,Planning[[#This Row],[Proyectos]]))</f>
        <v>#REF!</v>
      </c>
      <c r="K4496" s="5" t="e">
        <f>+Planning[[#This Row],[Horas Planificadas]]+Planning[[#This Row],[Horas ajustadas adicionales]]-Planning[[#This Row],[Horas utilizadas]]</f>
        <v>#REF!</v>
      </c>
      <c r="L4496" s="7">
        <v>0</v>
      </c>
      <c r="M4496" s="19" t="e">
        <f>Planning[[#This Row],[Saldo]]-Planning[[#This Row],[Saldo estimado]]</f>
        <v>#REF!</v>
      </c>
      <c r="N4496" s="60" t="e">
        <f>+SUMIFS(#REF!,#REF!,Planning[[#This Row],[Proyectos]],#REF!,Planning[[#This Row],[Tipo de Tarea y especialidad]])</f>
        <v>#REF!</v>
      </c>
      <c r="O4496" s="19">
        <f t="shared" si="142"/>
        <v>10</v>
      </c>
      <c r="P4496" s="19">
        <f t="shared" si="141"/>
        <v>2024</v>
      </c>
      <c r="Q44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96" s="19" t="str">
        <f>TEXT(Planning[[#This Row],[Mes]]*29,"mmmm")</f>
        <v>October</v>
      </c>
      <c r="S44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96" s="210"/>
      <c r="U4496" s="43"/>
      <c r="V4496" s="43"/>
      <c r="W4496" s="44"/>
      <c r="X4496" s="142"/>
    </row>
    <row r="4497" spans="1:24" x14ac:dyDescent="0.2">
      <c r="A4497" s="9" t="s">
        <v>483</v>
      </c>
      <c r="B4497" s="9" t="s">
        <v>178</v>
      </c>
      <c r="C4497" s="3"/>
      <c r="D4497" s="3" t="s">
        <v>765</v>
      </c>
      <c r="E4497" s="4"/>
      <c r="F4497" s="3" t="s">
        <v>130</v>
      </c>
      <c r="G4497" s="9"/>
      <c r="H4497" s="9">
        <v>130</v>
      </c>
      <c r="I4497" s="12">
        <v>20</v>
      </c>
      <c r="J4497" s="5" t="e">
        <f>SUM(SUMIFS(#REF!,#REF!,Planning[[#This Row],[Tipo de Tarea y especialidad]],#REF!,Planning[[#This Row],[Proyectos Reiwa]]),SUMIFS(#REF!,#REF!,Planning[[#This Row],[Tipo de Tarea y especialidad]],#REF!,Planning[[#This Row],[Proyectos]]))</f>
        <v>#REF!</v>
      </c>
      <c r="K4497" s="5" t="e">
        <f>+Planning[[#This Row],[Horas Planificadas]]+Planning[[#This Row],[Horas ajustadas adicionales]]-Planning[[#This Row],[Horas utilizadas]]</f>
        <v>#REF!</v>
      </c>
      <c r="L4497" s="7">
        <v>0</v>
      </c>
      <c r="M4497" s="19" t="e">
        <f>Planning[[#This Row],[Saldo]]-Planning[[#This Row],[Saldo estimado]]</f>
        <v>#REF!</v>
      </c>
      <c r="N4497" s="60" t="e">
        <f>+SUMIFS(#REF!,#REF!,Planning[[#This Row],[Proyectos]],#REF!,Planning[[#This Row],[Tipo de Tarea y especialidad]])</f>
        <v>#REF!</v>
      </c>
      <c r="O4497" s="19">
        <f t="shared" si="142"/>
        <v>10</v>
      </c>
      <c r="P4497" s="19">
        <f t="shared" si="141"/>
        <v>2024</v>
      </c>
      <c r="Q44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97" s="19" t="str">
        <f>TEXT(Planning[[#This Row],[Mes]]*29,"mmmm")</f>
        <v>October</v>
      </c>
      <c r="S44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97" s="210"/>
      <c r="U4497" s="43"/>
      <c r="V4497" s="43"/>
      <c r="W4497" s="44"/>
      <c r="X4497" s="142"/>
    </row>
    <row r="4498" spans="1:24" x14ac:dyDescent="0.2">
      <c r="A4498" s="9" t="s">
        <v>483</v>
      </c>
      <c r="B4498" s="9" t="s">
        <v>178</v>
      </c>
      <c r="C4498" s="3"/>
      <c r="D4498" s="3" t="s">
        <v>765</v>
      </c>
      <c r="E4498" s="4"/>
      <c r="F4498" s="3" t="s">
        <v>131</v>
      </c>
      <c r="G4498" s="9"/>
      <c r="H4498" s="9">
        <v>0</v>
      </c>
      <c r="I4498" s="12"/>
      <c r="J4498" s="5" t="e">
        <f>SUM(SUMIFS(#REF!,#REF!,Planning[[#This Row],[Tipo de Tarea y especialidad]],#REF!,Planning[[#This Row],[Proyectos Reiwa]]),SUMIFS(#REF!,#REF!,Planning[[#This Row],[Tipo de Tarea y especialidad]],#REF!,Planning[[#This Row],[Proyectos]]))</f>
        <v>#REF!</v>
      </c>
      <c r="K4498" s="5" t="e">
        <f>+Planning[[#This Row],[Horas Planificadas]]+Planning[[#This Row],[Horas ajustadas adicionales]]-Planning[[#This Row],[Horas utilizadas]]</f>
        <v>#REF!</v>
      </c>
      <c r="L4498" s="7">
        <v>0</v>
      </c>
      <c r="M4498" s="19" t="e">
        <f>Planning[[#This Row],[Saldo]]-Planning[[#This Row],[Saldo estimado]]</f>
        <v>#REF!</v>
      </c>
      <c r="N4498" s="60" t="e">
        <f>+SUMIFS(#REF!,#REF!,Planning[[#This Row],[Proyectos]],#REF!,Planning[[#This Row],[Tipo de Tarea y especialidad]])</f>
        <v>#REF!</v>
      </c>
      <c r="O4498" s="19">
        <f t="shared" si="142"/>
        <v>10</v>
      </c>
      <c r="P4498" s="19">
        <f t="shared" si="141"/>
        <v>2024</v>
      </c>
      <c r="Q44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498" s="19" t="str">
        <f>TEXT(Planning[[#This Row],[Mes]]*29,"mmmm")</f>
        <v>October</v>
      </c>
      <c r="S44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98" s="210"/>
      <c r="U4498" s="43"/>
      <c r="V4498" s="43"/>
      <c r="W4498" s="44"/>
      <c r="X4498" s="142"/>
    </row>
    <row r="4499" spans="1:24" ht="22.5" x14ac:dyDescent="0.2">
      <c r="A4499" s="9" t="s">
        <v>626</v>
      </c>
      <c r="B4499" s="9" t="s">
        <v>178</v>
      </c>
      <c r="C4499" s="3"/>
      <c r="D4499" s="3" t="s">
        <v>767</v>
      </c>
      <c r="E4499" s="4" t="s">
        <v>28</v>
      </c>
      <c r="F4499" s="3"/>
      <c r="G4499" s="9">
        <v>0</v>
      </c>
      <c r="H4499" s="14">
        <f>SUM(H4500:H4501)</f>
        <v>0</v>
      </c>
      <c r="I4499" s="14"/>
      <c r="J4499" s="14" t="e">
        <f>SUM(J4500:J4501)</f>
        <v>#REF!</v>
      </c>
      <c r="K4499" s="14" t="e">
        <f>+Planning[[#This Row],[Horas Planificadas]]+Planning[[#This Row],[Horas ajustadas adicionales]]-Planning[[#This Row],[Horas utilizadas]]</f>
        <v>#REF!</v>
      </c>
      <c r="L4499" s="15">
        <f>SUM(L4500:L4501)</f>
        <v>0</v>
      </c>
      <c r="M4499" s="14" t="e">
        <f>SUM(M4500:M4501)</f>
        <v>#REF!</v>
      </c>
      <c r="N4499" s="66"/>
      <c r="O4499" s="14">
        <f t="shared" si="142"/>
        <v>10</v>
      </c>
      <c r="P4499" s="14">
        <f t="shared" si="141"/>
        <v>2024</v>
      </c>
      <c r="Q4499" s="28" t="e">
        <f>SUM(Q4500:Q4501)</f>
        <v>#REF!</v>
      </c>
      <c r="R4499" s="28" t="str">
        <f>TEXT(Planning[[#This Row],[Mes]]*29,"mmmm")</f>
        <v>October</v>
      </c>
      <c r="S44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499" s="220" t="s">
        <v>768</v>
      </c>
      <c r="U4499" s="43"/>
      <c r="V4499" s="43"/>
      <c r="W4499" s="44"/>
      <c r="X4499" s="142"/>
    </row>
    <row r="4500" spans="1:24" x14ac:dyDescent="0.2">
      <c r="A4500" s="9" t="s">
        <v>626</v>
      </c>
      <c r="B4500" s="9" t="s">
        <v>178</v>
      </c>
      <c r="C4500" s="3"/>
      <c r="D4500" s="3" t="s">
        <v>767</v>
      </c>
      <c r="E4500" s="4"/>
      <c r="F4500" s="3" t="s">
        <v>120</v>
      </c>
      <c r="G4500" s="9"/>
      <c r="H4500" s="9">
        <v>0</v>
      </c>
      <c r="I4500" s="12"/>
      <c r="J4500" s="5" t="e">
        <f>SUM(SUMIFS(#REF!,#REF!,Planning[[#This Row],[Tipo de Tarea y especialidad]],#REF!,Planning[[#This Row],[Proyectos Reiwa]]),SUMIFS(#REF!,#REF!,Planning[[#This Row],[Tipo de Tarea y especialidad]],#REF!,Planning[[#This Row],[Proyectos]]))</f>
        <v>#REF!</v>
      </c>
      <c r="K4500" s="5" t="e">
        <f>+Planning[[#This Row],[Horas Planificadas]]+Planning[[#This Row],[Horas ajustadas adicionales]]-Planning[[#This Row],[Horas utilizadas]]</f>
        <v>#REF!</v>
      </c>
      <c r="L4500" s="7">
        <v>0</v>
      </c>
      <c r="M4500" s="19" t="e">
        <f>Planning[[#This Row],[Saldo]]-Planning[[#This Row],[Saldo estimado]]</f>
        <v>#REF!</v>
      </c>
      <c r="N4500" s="60" t="e">
        <f>+SUMIFS(#REF!,#REF!,Planning[[#This Row],[Proyectos]],#REF!,Planning[[#This Row],[Tipo de Tarea y especialidad]])</f>
        <v>#REF!</v>
      </c>
      <c r="O4500" s="19">
        <f t="shared" si="142"/>
        <v>10</v>
      </c>
      <c r="P4500" s="19">
        <f t="shared" si="141"/>
        <v>2024</v>
      </c>
      <c r="Q45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00" s="19" t="str">
        <f>TEXT(Planning[[#This Row],[Mes]]*29,"mmmm")</f>
        <v>October</v>
      </c>
      <c r="S45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00" s="210"/>
      <c r="U4500" s="43"/>
      <c r="V4500" s="43"/>
      <c r="W4500" s="44"/>
      <c r="X4500" s="142"/>
    </row>
    <row r="4501" spans="1:24" x14ac:dyDescent="0.2">
      <c r="A4501" s="9" t="s">
        <v>626</v>
      </c>
      <c r="B4501" s="9" t="s">
        <v>178</v>
      </c>
      <c r="C4501" s="3"/>
      <c r="D4501" s="3" t="s">
        <v>767</v>
      </c>
      <c r="E4501" s="4"/>
      <c r="F4501" s="3" t="s">
        <v>121</v>
      </c>
      <c r="G4501" s="9"/>
      <c r="H4501" s="9">
        <v>0</v>
      </c>
      <c r="I4501" s="12"/>
      <c r="J4501" s="5" t="e">
        <f>SUM(SUMIFS(#REF!,#REF!,Planning[[#This Row],[Tipo de Tarea y especialidad]],#REF!,Planning[[#This Row],[Proyectos Reiwa]]),SUMIFS(#REF!,#REF!,Planning[[#This Row],[Tipo de Tarea y especialidad]],#REF!,Planning[[#This Row],[Proyectos]]))</f>
        <v>#REF!</v>
      </c>
      <c r="K4501" s="5" t="e">
        <f>+Planning[[#This Row],[Horas Planificadas]]+Planning[[#This Row],[Horas ajustadas adicionales]]-Planning[[#This Row],[Horas utilizadas]]</f>
        <v>#REF!</v>
      </c>
      <c r="L4501" s="7">
        <v>0</v>
      </c>
      <c r="M4501" s="19" t="e">
        <f>Planning[[#This Row],[Saldo]]-Planning[[#This Row],[Saldo estimado]]</f>
        <v>#REF!</v>
      </c>
      <c r="N4501" s="60" t="e">
        <f>+SUMIFS(#REF!,#REF!,Planning[[#This Row],[Proyectos]],#REF!,Planning[[#This Row],[Tipo de Tarea y especialidad]])</f>
        <v>#REF!</v>
      </c>
      <c r="O4501" s="19">
        <f t="shared" si="142"/>
        <v>10</v>
      </c>
      <c r="P4501" s="19">
        <f t="shared" si="141"/>
        <v>2024</v>
      </c>
      <c r="Q45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01" s="19" t="str">
        <f>TEXT(Planning[[#This Row],[Mes]]*29,"mmmm")</f>
        <v>October</v>
      </c>
      <c r="S45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01" s="210"/>
      <c r="U4501" s="43"/>
      <c r="V4501" s="43"/>
      <c r="W4501" s="44"/>
      <c r="X4501" s="142"/>
    </row>
    <row r="4502" spans="1:24" x14ac:dyDescent="0.2">
      <c r="A4502" s="9" t="s">
        <v>626</v>
      </c>
      <c r="B4502" s="9" t="s">
        <v>178</v>
      </c>
      <c r="C4502" s="3"/>
      <c r="D4502" s="3" t="s">
        <v>767</v>
      </c>
      <c r="E4502" s="4" t="s">
        <v>30</v>
      </c>
      <c r="F4502" s="3"/>
      <c r="G4502" s="9">
        <v>468</v>
      </c>
      <c r="H4502" s="14">
        <f>SUM(H4503:H4509)</f>
        <v>468</v>
      </c>
      <c r="I4502" s="14"/>
      <c r="J4502" s="14" t="e">
        <f>SUM(J4503:J4509)</f>
        <v>#REF!</v>
      </c>
      <c r="K4502" s="14" t="e">
        <f>+Planning[[#This Row],[Horas Planificadas]]+Planning[[#This Row],[Horas ajustadas adicionales]]-Planning[[#This Row],[Horas utilizadas]]</f>
        <v>#REF!</v>
      </c>
      <c r="L4502" s="15">
        <f>SUM(L4503:L4509)</f>
        <v>0</v>
      </c>
      <c r="M4502" s="16" t="e">
        <f>SUM(M4503:M4509)</f>
        <v>#REF!</v>
      </c>
      <c r="N4502" s="60"/>
      <c r="O4502" s="16">
        <f t="shared" si="142"/>
        <v>10</v>
      </c>
      <c r="P4502" s="16">
        <f t="shared" si="141"/>
        <v>2024</v>
      </c>
      <c r="Q4502" s="16" t="e">
        <f>SUM(Q4503:Q4509)</f>
        <v>#REF!</v>
      </c>
      <c r="R4502" s="16" t="str">
        <f>TEXT(Planning[[#This Row],[Mes]]*29,"mmmm")</f>
        <v>October</v>
      </c>
      <c r="S45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02" s="210"/>
      <c r="U4502" s="43"/>
      <c r="V4502" s="43"/>
      <c r="W4502" s="44"/>
      <c r="X4502" s="142"/>
    </row>
    <row r="4503" spans="1:24" x14ac:dyDescent="0.2">
      <c r="A4503" s="9" t="s">
        <v>626</v>
      </c>
      <c r="B4503" s="9" t="s">
        <v>178</v>
      </c>
      <c r="C4503" s="3"/>
      <c r="D4503" s="3" t="s">
        <v>767</v>
      </c>
      <c r="E4503" s="4"/>
      <c r="F4503" s="3" t="s">
        <v>122</v>
      </c>
      <c r="G4503" s="9"/>
      <c r="H4503" s="9">
        <v>0</v>
      </c>
      <c r="I4503" s="12"/>
      <c r="J4503" s="5" t="e">
        <f>SUM(SUMIFS(#REF!,#REF!,Planning[[#This Row],[Tipo de Tarea y especialidad]],#REF!,Planning[[#This Row],[Proyectos Reiwa]]),SUMIFS(#REF!,#REF!,Planning[[#This Row],[Tipo de Tarea y especialidad]],#REF!,Planning[[#This Row],[Proyectos]]))</f>
        <v>#REF!</v>
      </c>
      <c r="K4503" s="5" t="e">
        <f>+Planning[[#This Row],[Horas Planificadas]]+Planning[[#This Row],[Horas ajustadas adicionales]]-Planning[[#This Row],[Horas utilizadas]]</f>
        <v>#REF!</v>
      </c>
      <c r="L4503" s="7">
        <v>0</v>
      </c>
      <c r="M4503" s="19" t="e">
        <f>Planning[[#This Row],[Saldo]]-Planning[[#This Row],[Saldo estimado]]</f>
        <v>#REF!</v>
      </c>
      <c r="N4503" s="60" t="e">
        <f>+SUMIFS(#REF!,#REF!,Planning[[#This Row],[Proyectos]],#REF!,Planning[[#This Row],[Tipo de Tarea y especialidad]])</f>
        <v>#REF!</v>
      </c>
      <c r="O4503" s="19">
        <f t="shared" si="142"/>
        <v>10</v>
      </c>
      <c r="P4503" s="19">
        <f t="shared" si="141"/>
        <v>2024</v>
      </c>
      <c r="Q45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03" s="19" t="str">
        <f>TEXT(Planning[[#This Row],[Mes]]*29,"mmmm")</f>
        <v>October</v>
      </c>
      <c r="S45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03" s="210"/>
      <c r="U4503" s="43"/>
      <c r="V4503" s="43"/>
      <c r="W4503" s="44"/>
      <c r="X4503" s="142"/>
    </row>
    <row r="4504" spans="1:24" x14ac:dyDescent="0.2">
      <c r="A4504" s="9" t="s">
        <v>626</v>
      </c>
      <c r="B4504" s="9" t="s">
        <v>178</v>
      </c>
      <c r="C4504" s="3"/>
      <c r="D4504" s="3" t="s">
        <v>767</v>
      </c>
      <c r="E4504" s="4"/>
      <c r="F4504" s="3" t="s">
        <v>123</v>
      </c>
      <c r="G4504" s="9"/>
      <c r="H4504" s="9">
        <v>468</v>
      </c>
      <c r="I4504" s="12"/>
      <c r="J4504" s="5" t="e">
        <f>SUM(SUMIFS(#REF!,#REF!,Planning[[#This Row],[Tipo de Tarea y especialidad]],#REF!,Planning[[#This Row],[Proyectos Reiwa]]),SUMIFS(#REF!,#REF!,Planning[[#This Row],[Tipo de Tarea y especialidad]],#REF!,Planning[[#This Row],[Proyectos]]))</f>
        <v>#REF!</v>
      </c>
      <c r="K4504" s="5" t="e">
        <f>+Planning[[#This Row],[Horas Planificadas]]+Planning[[#This Row],[Horas ajustadas adicionales]]-Planning[[#This Row],[Horas utilizadas]]</f>
        <v>#REF!</v>
      </c>
      <c r="L4504" s="7">
        <v>0</v>
      </c>
      <c r="M4504" s="19" t="e">
        <f>Planning[[#This Row],[Saldo]]-Planning[[#This Row],[Saldo estimado]]</f>
        <v>#REF!</v>
      </c>
      <c r="N4504" s="60" t="e">
        <f>+SUMIFS(#REF!,#REF!,Planning[[#This Row],[Proyectos]],#REF!,Planning[[#This Row],[Tipo de Tarea y especialidad]])</f>
        <v>#REF!</v>
      </c>
      <c r="O4504" s="19">
        <f t="shared" si="142"/>
        <v>10</v>
      </c>
      <c r="P4504" s="19">
        <f t="shared" si="141"/>
        <v>2024</v>
      </c>
      <c r="Q45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04" s="19" t="str">
        <f>TEXT(Planning[[#This Row],[Mes]]*29,"mmmm")</f>
        <v>October</v>
      </c>
      <c r="S45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04" s="210"/>
      <c r="U4504" s="43"/>
      <c r="V4504" s="43"/>
      <c r="W4504" s="44"/>
      <c r="X4504" s="142"/>
    </row>
    <row r="4505" spans="1:24" x14ac:dyDescent="0.2">
      <c r="A4505" s="9" t="s">
        <v>626</v>
      </c>
      <c r="B4505" s="9" t="s">
        <v>178</v>
      </c>
      <c r="C4505" s="3"/>
      <c r="D4505" s="3" t="s">
        <v>767</v>
      </c>
      <c r="E4505" s="4"/>
      <c r="F4505" s="3" t="s">
        <v>124</v>
      </c>
      <c r="G4505" s="9"/>
      <c r="H4505" s="9">
        <v>0</v>
      </c>
      <c r="I4505" s="12"/>
      <c r="J4505" s="5" t="e">
        <f>SUM(SUMIFS(#REF!,#REF!,Planning[[#This Row],[Tipo de Tarea y especialidad]],#REF!,Planning[[#This Row],[Proyectos Reiwa]]),SUMIFS(#REF!,#REF!,Planning[[#This Row],[Tipo de Tarea y especialidad]],#REF!,Planning[[#This Row],[Proyectos]]))</f>
        <v>#REF!</v>
      </c>
      <c r="K4505" s="5" t="e">
        <f>+Planning[[#This Row],[Horas Planificadas]]+Planning[[#This Row],[Horas ajustadas adicionales]]-Planning[[#This Row],[Horas utilizadas]]</f>
        <v>#REF!</v>
      </c>
      <c r="L4505" s="7">
        <v>0</v>
      </c>
      <c r="M4505" s="19" t="e">
        <f>Planning[[#This Row],[Saldo]]-Planning[[#This Row],[Saldo estimado]]</f>
        <v>#REF!</v>
      </c>
      <c r="N4505" s="60" t="e">
        <f>+SUMIFS(#REF!,#REF!,Planning[[#This Row],[Proyectos]],#REF!,Planning[[#This Row],[Tipo de Tarea y especialidad]])</f>
        <v>#REF!</v>
      </c>
      <c r="O4505" s="19">
        <f t="shared" si="142"/>
        <v>10</v>
      </c>
      <c r="P4505" s="19">
        <f t="shared" si="141"/>
        <v>2024</v>
      </c>
      <c r="Q45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05" s="19" t="str">
        <f>TEXT(Planning[[#This Row],[Mes]]*29,"mmmm")</f>
        <v>October</v>
      </c>
      <c r="S45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05" s="210"/>
      <c r="U4505" s="43"/>
      <c r="V4505" s="43"/>
      <c r="W4505" s="44"/>
      <c r="X4505" s="142"/>
    </row>
    <row r="4506" spans="1:24" x14ac:dyDescent="0.2">
      <c r="A4506" s="9" t="s">
        <v>626</v>
      </c>
      <c r="B4506" s="9" t="s">
        <v>178</v>
      </c>
      <c r="C4506" s="3"/>
      <c r="D4506" s="3" t="s">
        <v>767</v>
      </c>
      <c r="E4506" s="4"/>
      <c r="F4506" s="3" t="s">
        <v>125</v>
      </c>
      <c r="G4506" s="9"/>
      <c r="H4506" s="9">
        <v>0</v>
      </c>
      <c r="I4506" s="12"/>
      <c r="J4506" s="5" t="e">
        <f>SUM(SUMIFS(#REF!,#REF!,Planning[[#This Row],[Tipo de Tarea y especialidad]],#REF!,Planning[[#This Row],[Proyectos Reiwa]]),SUMIFS(#REF!,#REF!,Planning[[#This Row],[Tipo de Tarea y especialidad]],#REF!,Planning[[#This Row],[Proyectos]]))</f>
        <v>#REF!</v>
      </c>
      <c r="K4506" s="5" t="e">
        <f>+Planning[[#This Row],[Horas Planificadas]]+Planning[[#This Row],[Horas ajustadas adicionales]]-Planning[[#This Row],[Horas utilizadas]]</f>
        <v>#REF!</v>
      </c>
      <c r="L4506" s="7">
        <v>0</v>
      </c>
      <c r="M4506" s="19" t="e">
        <f>Planning[[#This Row],[Saldo]]-Planning[[#This Row],[Saldo estimado]]</f>
        <v>#REF!</v>
      </c>
      <c r="N4506" s="60" t="e">
        <f>+SUMIFS(#REF!,#REF!,Planning[[#This Row],[Proyectos]],#REF!,Planning[[#This Row],[Tipo de Tarea y especialidad]])</f>
        <v>#REF!</v>
      </c>
      <c r="O4506" s="19">
        <f t="shared" si="142"/>
        <v>10</v>
      </c>
      <c r="P4506" s="19">
        <f t="shared" si="141"/>
        <v>2024</v>
      </c>
      <c r="Q45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06" s="19" t="str">
        <f>TEXT(Planning[[#This Row],[Mes]]*29,"mmmm")</f>
        <v>October</v>
      </c>
      <c r="S45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06" s="210"/>
      <c r="U4506" s="43"/>
      <c r="V4506" s="43"/>
      <c r="W4506" s="44"/>
      <c r="X4506" s="142"/>
    </row>
    <row r="4507" spans="1:24" x14ac:dyDescent="0.2">
      <c r="A4507" s="9" t="s">
        <v>626</v>
      </c>
      <c r="B4507" s="9" t="s">
        <v>178</v>
      </c>
      <c r="C4507" s="3"/>
      <c r="D4507" s="3" t="s">
        <v>767</v>
      </c>
      <c r="E4507" s="4"/>
      <c r="F4507" s="3" t="s">
        <v>126</v>
      </c>
      <c r="G4507" s="9"/>
      <c r="H4507" s="9">
        <v>0</v>
      </c>
      <c r="I4507" s="12"/>
      <c r="J4507" s="5" t="e">
        <f>SUM(SUMIFS(#REF!,#REF!,Planning[[#This Row],[Tipo de Tarea y especialidad]],#REF!,Planning[[#This Row],[Proyectos Reiwa]]),SUMIFS(#REF!,#REF!,Planning[[#This Row],[Tipo de Tarea y especialidad]],#REF!,Planning[[#This Row],[Proyectos]]))</f>
        <v>#REF!</v>
      </c>
      <c r="K4507" s="5" t="e">
        <f>+Planning[[#This Row],[Horas Planificadas]]+Planning[[#This Row],[Horas ajustadas adicionales]]-Planning[[#This Row],[Horas utilizadas]]</f>
        <v>#REF!</v>
      </c>
      <c r="L4507" s="7">
        <v>0</v>
      </c>
      <c r="M4507" s="19" t="e">
        <f>Planning[[#This Row],[Saldo]]-Planning[[#This Row],[Saldo estimado]]</f>
        <v>#REF!</v>
      </c>
      <c r="N4507" s="60" t="e">
        <f>+SUMIFS(#REF!,#REF!,Planning[[#This Row],[Proyectos]],#REF!,Planning[[#This Row],[Tipo de Tarea y especialidad]])</f>
        <v>#REF!</v>
      </c>
      <c r="O4507" s="19">
        <f t="shared" si="142"/>
        <v>10</v>
      </c>
      <c r="P4507" s="19">
        <f t="shared" si="141"/>
        <v>2024</v>
      </c>
      <c r="Q45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07" s="19" t="str">
        <f>TEXT(Planning[[#This Row],[Mes]]*29,"mmmm")</f>
        <v>October</v>
      </c>
      <c r="S45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07" s="210"/>
      <c r="U4507" s="43"/>
      <c r="V4507" s="43"/>
      <c r="W4507" s="44"/>
      <c r="X4507" s="142"/>
    </row>
    <row r="4508" spans="1:24" x14ac:dyDescent="0.2">
      <c r="A4508" s="9" t="s">
        <v>626</v>
      </c>
      <c r="B4508" s="9" t="s">
        <v>178</v>
      </c>
      <c r="C4508" s="3"/>
      <c r="D4508" s="3" t="s">
        <v>767</v>
      </c>
      <c r="E4508" s="4"/>
      <c r="F4508" s="3" t="s">
        <v>127</v>
      </c>
      <c r="G4508" s="9"/>
      <c r="H4508" s="9">
        <v>0</v>
      </c>
      <c r="I4508" s="12"/>
      <c r="J4508" s="5" t="e">
        <f>SUM(SUMIFS(#REF!,#REF!,Planning[[#This Row],[Tipo de Tarea y especialidad]],#REF!,Planning[[#This Row],[Proyectos Reiwa]]),SUMIFS(#REF!,#REF!,Planning[[#This Row],[Tipo de Tarea y especialidad]],#REF!,Planning[[#This Row],[Proyectos]]))</f>
        <v>#REF!</v>
      </c>
      <c r="K4508" s="5" t="e">
        <f>+Planning[[#This Row],[Horas Planificadas]]+Planning[[#This Row],[Horas ajustadas adicionales]]-Planning[[#This Row],[Horas utilizadas]]</f>
        <v>#REF!</v>
      </c>
      <c r="L4508" s="7">
        <v>0</v>
      </c>
      <c r="M4508" s="19" t="e">
        <f>Planning[[#This Row],[Saldo]]-Planning[[#This Row],[Saldo estimado]]</f>
        <v>#REF!</v>
      </c>
      <c r="N4508" s="60" t="e">
        <f>+SUMIFS(#REF!,#REF!,Planning[[#This Row],[Proyectos]],#REF!,Planning[[#This Row],[Tipo de Tarea y especialidad]])</f>
        <v>#REF!</v>
      </c>
      <c r="O4508" s="19">
        <f t="shared" si="142"/>
        <v>10</v>
      </c>
      <c r="P4508" s="19">
        <f t="shared" si="141"/>
        <v>2024</v>
      </c>
      <c r="Q45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08" s="19" t="str">
        <f>TEXT(Planning[[#This Row],[Mes]]*29,"mmmm")</f>
        <v>October</v>
      </c>
      <c r="S45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08" s="210"/>
      <c r="U4508" s="43"/>
      <c r="V4508" s="43"/>
      <c r="W4508" s="44"/>
      <c r="X4508" s="142"/>
    </row>
    <row r="4509" spans="1:24" x14ac:dyDescent="0.2">
      <c r="A4509" s="9" t="s">
        <v>626</v>
      </c>
      <c r="B4509" s="9" t="s">
        <v>178</v>
      </c>
      <c r="C4509" s="3"/>
      <c r="D4509" s="3" t="s">
        <v>767</v>
      </c>
      <c r="E4509" s="4"/>
      <c r="F4509" s="3" t="s">
        <v>128</v>
      </c>
      <c r="G4509" s="9"/>
      <c r="H4509" s="9">
        <v>0</v>
      </c>
      <c r="I4509" s="12"/>
      <c r="J4509" s="5" t="e">
        <f>SUM(SUMIFS(#REF!,#REF!,Planning[[#This Row],[Tipo de Tarea y especialidad]],#REF!,Planning[[#This Row],[Proyectos Reiwa]]),SUMIFS(#REF!,#REF!,Planning[[#This Row],[Tipo de Tarea y especialidad]],#REF!,Planning[[#This Row],[Proyectos]]))</f>
        <v>#REF!</v>
      </c>
      <c r="K4509" s="5" t="e">
        <f>+Planning[[#This Row],[Horas Planificadas]]+Planning[[#This Row],[Horas ajustadas adicionales]]-Planning[[#This Row],[Horas utilizadas]]</f>
        <v>#REF!</v>
      </c>
      <c r="L4509" s="7">
        <v>0</v>
      </c>
      <c r="M4509" s="19" t="e">
        <f>Planning[[#This Row],[Saldo]]-Planning[[#This Row],[Saldo estimado]]</f>
        <v>#REF!</v>
      </c>
      <c r="N4509" s="60" t="e">
        <f>+SUMIFS(#REF!,#REF!,Planning[[#This Row],[Proyectos]],#REF!,Planning[[#This Row],[Tipo de Tarea y especialidad]])</f>
        <v>#REF!</v>
      </c>
      <c r="O4509" s="19">
        <f t="shared" si="142"/>
        <v>10</v>
      </c>
      <c r="P4509" s="19">
        <f t="shared" si="141"/>
        <v>2024</v>
      </c>
      <c r="Q45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09" s="19" t="str">
        <f>TEXT(Planning[[#This Row],[Mes]]*29,"mmmm")</f>
        <v>October</v>
      </c>
      <c r="S45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09" s="210"/>
      <c r="U4509" s="43"/>
      <c r="V4509" s="43"/>
      <c r="W4509" s="44"/>
      <c r="X4509" s="142"/>
    </row>
    <row r="4510" spans="1:24" x14ac:dyDescent="0.2">
      <c r="A4510" s="9" t="s">
        <v>626</v>
      </c>
      <c r="B4510" s="9" t="s">
        <v>178</v>
      </c>
      <c r="C4510" s="3"/>
      <c r="D4510" s="3" t="s">
        <v>767</v>
      </c>
      <c r="E4510" s="4" t="s">
        <v>31</v>
      </c>
      <c r="F4510" s="3" t="s">
        <v>31</v>
      </c>
      <c r="G4510" s="9">
        <v>24</v>
      </c>
      <c r="H4510" s="17">
        <v>24</v>
      </c>
      <c r="I4510" s="18"/>
      <c r="J4510" s="14" t="e">
        <f>+SUMIFS(#REF!,#REF!,Planning[[#This Row],[Tarifa]],#REF!,Planning[[#This Row],[Proyectos]])</f>
        <v>#REF!</v>
      </c>
      <c r="K4510" s="14" t="e">
        <f>+Planning[[#This Row],[Horas Planificadas]]+Planning[[#This Row],[Horas ajustadas adicionales]]-Planning[[#This Row],[Horas utilizadas]]</f>
        <v>#REF!</v>
      </c>
      <c r="L4510" s="15" t="e">
        <f>Planning[[#This Row],[Saldo]]</f>
        <v>#REF!</v>
      </c>
      <c r="M4510" s="16" t="e">
        <f>Planning[[#This Row],[Saldo]]-Planning[[#This Row],[Saldo estimado]]</f>
        <v>#REF!</v>
      </c>
      <c r="N4510" s="60"/>
      <c r="O4510" s="16">
        <f t="shared" si="142"/>
        <v>10</v>
      </c>
      <c r="P4510" s="16">
        <f t="shared" si="141"/>
        <v>2024</v>
      </c>
      <c r="Q4510" s="16" t="e">
        <f>+SUMIFS(#REF!,#REF!,Planning[[#This Row],[Tarifa]],#REF!,Planning[[#This Row],[Proyectos]],#REF!,Planning[[#This Row],[Mes]],#REF!,Planning[[#This Row],[Año]])</f>
        <v>#REF!</v>
      </c>
      <c r="R4510" s="16" t="str">
        <f>TEXT(Planning[[#This Row],[Mes]]*29,"mmmm")</f>
        <v>October</v>
      </c>
      <c r="S45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10" s="210"/>
      <c r="U4510" s="43"/>
      <c r="V4510" s="43"/>
      <c r="W4510" s="44"/>
      <c r="X4510" s="142"/>
    </row>
    <row r="4511" spans="1:24" ht="22.5" x14ac:dyDescent="0.2">
      <c r="A4511" s="9" t="s">
        <v>626</v>
      </c>
      <c r="B4511" s="9" t="s">
        <v>178</v>
      </c>
      <c r="C4511" s="3"/>
      <c r="D4511" s="3" t="s">
        <v>767</v>
      </c>
      <c r="E4511" s="4" t="s">
        <v>32</v>
      </c>
      <c r="F4511" s="3"/>
      <c r="G4511" s="9">
        <v>0</v>
      </c>
      <c r="H4511" s="14">
        <f>SUM(H4512:H4514)</f>
        <v>0</v>
      </c>
      <c r="I4511" s="14"/>
      <c r="J4511" s="14" t="e">
        <f>SUM(J4512:J4514)</f>
        <v>#REF!</v>
      </c>
      <c r="K4511" s="14" t="e">
        <f>+Planning[[#This Row],[Horas Planificadas]]+Planning[[#This Row],[Horas ajustadas adicionales]]-Planning[[#This Row],[Horas utilizadas]]</f>
        <v>#REF!</v>
      </c>
      <c r="L4511" s="15">
        <f>SUM(L4512:L4514)</f>
        <v>0</v>
      </c>
      <c r="M4511" s="16" t="e">
        <f>SUM(M4512:M4514)</f>
        <v>#REF!</v>
      </c>
      <c r="N4511" s="60"/>
      <c r="O4511" s="16">
        <f t="shared" si="142"/>
        <v>10</v>
      </c>
      <c r="P4511" s="16">
        <f t="shared" si="141"/>
        <v>2024</v>
      </c>
      <c r="Q4511" s="16" t="e">
        <f>SUM(Q4512:Q4514)</f>
        <v>#REF!</v>
      </c>
      <c r="R4511" s="16" t="str">
        <f>TEXT(Planning[[#This Row],[Mes]]*29,"mmmm")</f>
        <v>October</v>
      </c>
      <c r="S45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11" s="210"/>
      <c r="U4511" s="43"/>
      <c r="V4511" s="43"/>
      <c r="W4511" s="44"/>
      <c r="X4511" s="142"/>
    </row>
    <row r="4512" spans="1:24" x14ac:dyDescent="0.2">
      <c r="A4512" s="9" t="s">
        <v>626</v>
      </c>
      <c r="B4512" s="9" t="s">
        <v>178</v>
      </c>
      <c r="C4512" s="3"/>
      <c r="D4512" s="3" t="s">
        <v>767</v>
      </c>
      <c r="E4512" s="4"/>
      <c r="F4512" s="3" t="s">
        <v>129</v>
      </c>
      <c r="G4512" s="9"/>
      <c r="H4512" s="9">
        <v>0</v>
      </c>
      <c r="I4512" s="12"/>
      <c r="J4512" s="5" t="e">
        <f>SUM(SUMIFS(#REF!,#REF!,Planning[[#This Row],[Tipo de Tarea y especialidad]],#REF!,Planning[[#This Row],[Proyectos Reiwa]]),SUMIFS(#REF!,#REF!,Planning[[#This Row],[Tipo de Tarea y especialidad]],#REF!,Planning[[#This Row],[Proyectos]]))</f>
        <v>#REF!</v>
      </c>
      <c r="K4512" s="5" t="e">
        <f>+Planning[[#This Row],[Horas Planificadas]]+Planning[[#This Row],[Horas ajustadas adicionales]]-Planning[[#This Row],[Horas utilizadas]]</f>
        <v>#REF!</v>
      </c>
      <c r="L4512" s="7">
        <v>0</v>
      </c>
      <c r="M4512" s="19" t="e">
        <f>Planning[[#This Row],[Saldo]]-Planning[[#This Row],[Saldo estimado]]</f>
        <v>#REF!</v>
      </c>
      <c r="N4512" s="60" t="e">
        <f>+SUMIFS(#REF!,#REF!,Planning[[#This Row],[Proyectos]],#REF!,Planning[[#This Row],[Tipo de Tarea y especialidad]])</f>
        <v>#REF!</v>
      </c>
      <c r="O4512" s="19">
        <f t="shared" si="142"/>
        <v>10</v>
      </c>
      <c r="P4512" s="19">
        <f t="shared" si="141"/>
        <v>2024</v>
      </c>
      <c r="Q45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12" s="19" t="str">
        <f>TEXT(Planning[[#This Row],[Mes]]*29,"mmmm")</f>
        <v>October</v>
      </c>
      <c r="S45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12" s="210"/>
      <c r="U4512" s="43"/>
      <c r="V4512" s="43"/>
      <c r="W4512" s="44"/>
      <c r="X4512" s="142"/>
    </row>
    <row r="4513" spans="1:24" x14ac:dyDescent="0.2">
      <c r="A4513" s="9" t="s">
        <v>626</v>
      </c>
      <c r="B4513" s="9" t="s">
        <v>178</v>
      </c>
      <c r="C4513" s="3"/>
      <c r="D4513" s="3" t="s">
        <v>767</v>
      </c>
      <c r="E4513" s="4"/>
      <c r="F4513" s="3" t="s">
        <v>130</v>
      </c>
      <c r="G4513" s="9"/>
      <c r="H4513" s="9">
        <v>0</v>
      </c>
      <c r="I4513" s="12"/>
      <c r="J4513" s="5" t="e">
        <f>SUM(SUMIFS(#REF!,#REF!,Planning[[#This Row],[Tipo de Tarea y especialidad]],#REF!,Planning[[#This Row],[Proyectos Reiwa]]),SUMIFS(#REF!,#REF!,Planning[[#This Row],[Tipo de Tarea y especialidad]],#REF!,Planning[[#This Row],[Proyectos]]))</f>
        <v>#REF!</v>
      </c>
      <c r="K4513" s="5" t="e">
        <f>+Planning[[#This Row],[Horas Planificadas]]+Planning[[#This Row],[Horas ajustadas adicionales]]-Planning[[#This Row],[Horas utilizadas]]</f>
        <v>#REF!</v>
      </c>
      <c r="L4513" s="7">
        <v>0</v>
      </c>
      <c r="M4513" s="19" t="e">
        <f>Planning[[#This Row],[Saldo]]-Planning[[#This Row],[Saldo estimado]]</f>
        <v>#REF!</v>
      </c>
      <c r="N4513" s="60" t="e">
        <f>+SUMIFS(#REF!,#REF!,Planning[[#This Row],[Proyectos]],#REF!,Planning[[#This Row],[Tipo de Tarea y especialidad]])</f>
        <v>#REF!</v>
      </c>
      <c r="O4513" s="19">
        <f t="shared" si="142"/>
        <v>10</v>
      </c>
      <c r="P4513" s="19">
        <f t="shared" si="141"/>
        <v>2024</v>
      </c>
      <c r="Q45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13" s="19" t="str">
        <f>TEXT(Planning[[#This Row],[Mes]]*29,"mmmm")</f>
        <v>October</v>
      </c>
      <c r="S45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13" s="210"/>
      <c r="U4513" s="43"/>
      <c r="V4513" s="43"/>
      <c r="W4513" s="44"/>
      <c r="X4513" s="142"/>
    </row>
    <row r="4514" spans="1:24" x14ac:dyDescent="0.2">
      <c r="A4514" s="9" t="s">
        <v>626</v>
      </c>
      <c r="B4514" s="9" t="s">
        <v>178</v>
      </c>
      <c r="C4514" s="3"/>
      <c r="D4514" s="3" t="s">
        <v>767</v>
      </c>
      <c r="E4514" s="4"/>
      <c r="F4514" s="3" t="s">
        <v>131</v>
      </c>
      <c r="G4514" s="9"/>
      <c r="H4514" s="9">
        <v>0</v>
      </c>
      <c r="I4514" s="12"/>
      <c r="J4514" s="5" t="e">
        <f>SUM(SUMIFS(#REF!,#REF!,Planning[[#This Row],[Tipo de Tarea y especialidad]],#REF!,Planning[[#This Row],[Proyectos Reiwa]]),SUMIFS(#REF!,#REF!,Planning[[#This Row],[Tipo de Tarea y especialidad]],#REF!,Planning[[#This Row],[Proyectos]]))</f>
        <v>#REF!</v>
      </c>
      <c r="K4514" s="5" t="e">
        <f>+Planning[[#This Row],[Horas Planificadas]]+Planning[[#This Row],[Horas ajustadas adicionales]]-Planning[[#This Row],[Horas utilizadas]]</f>
        <v>#REF!</v>
      </c>
      <c r="L4514" s="7">
        <v>0</v>
      </c>
      <c r="M4514" s="19" t="e">
        <f>Planning[[#This Row],[Saldo]]-Planning[[#This Row],[Saldo estimado]]</f>
        <v>#REF!</v>
      </c>
      <c r="N4514" s="60" t="e">
        <f>+SUMIFS(#REF!,#REF!,Planning[[#This Row],[Proyectos]],#REF!,Planning[[#This Row],[Tipo de Tarea y especialidad]])</f>
        <v>#REF!</v>
      </c>
      <c r="O4514" s="19">
        <f t="shared" si="142"/>
        <v>10</v>
      </c>
      <c r="P4514" s="19">
        <f t="shared" si="141"/>
        <v>2024</v>
      </c>
      <c r="Q45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14" s="19" t="str">
        <f>TEXT(Planning[[#This Row],[Mes]]*29,"mmmm")</f>
        <v>October</v>
      </c>
      <c r="S45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14" s="210"/>
      <c r="U4514" s="43"/>
      <c r="V4514" s="43"/>
      <c r="W4514" s="44"/>
      <c r="X4514" s="142"/>
    </row>
    <row r="4515" spans="1:24" ht="22.5" x14ac:dyDescent="0.2">
      <c r="A4515" s="7" t="s">
        <v>435</v>
      </c>
      <c r="B4515" s="7" t="s">
        <v>118</v>
      </c>
      <c r="C4515" s="3"/>
      <c r="D4515" s="3" t="s">
        <v>769</v>
      </c>
      <c r="E4515" s="4" t="s">
        <v>28</v>
      </c>
      <c r="F4515" s="3"/>
      <c r="G4515" s="9"/>
      <c r="H4515" s="14">
        <f>SUM(H4516:H4517)</f>
        <v>128</v>
      </c>
      <c r="I4515" s="14"/>
      <c r="J4515" s="14" t="e">
        <f>SUM(J4516:J4517)</f>
        <v>#REF!</v>
      </c>
      <c r="K4515" s="14" t="e">
        <f>+Planning[[#This Row],[Horas Planificadas]]+Planning[[#This Row],[Horas ajustadas adicionales]]-Planning[[#This Row],[Horas utilizadas]]</f>
        <v>#REF!</v>
      </c>
      <c r="L4515" s="15">
        <f>SUM(L4516:L4517)</f>
        <v>9</v>
      </c>
      <c r="M4515" s="14" t="e">
        <f>SUM(M4516:M4517)</f>
        <v>#REF!</v>
      </c>
      <c r="N4515" s="66"/>
      <c r="O4515" s="14">
        <f t="shared" si="142"/>
        <v>10</v>
      </c>
      <c r="P4515" s="14">
        <f t="shared" si="141"/>
        <v>2024</v>
      </c>
      <c r="Q4515" s="28" t="e">
        <f>SUM(Q4516:Q4517)</f>
        <v>#REF!</v>
      </c>
      <c r="R4515" s="28" t="str">
        <f>TEXT(Planning[[#This Row],[Mes]]*29,"mmmm")</f>
        <v>October</v>
      </c>
      <c r="S45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15" s="216" t="s">
        <v>770</v>
      </c>
      <c r="U4515" s="43"/>
      <c r="V4515" s="43"/>
      <c r="W4515" s="44"/>
      <c r="X4515" s="142"/>
    </row>
    <row r="4516" spans="1:24" x14ac:dyDescent="0.2">
      <c r="A4516" s="7" t="s">
        <v>435</v>
      </c>
      <c r="B4516" s="7" t="s">
        <v>118</v>
      </c>
      <c r="C4516" s="3"/>
      <c r="D4516" s="3" t="s">
        <v>769</v>
      </c>
      <c r="E4516" s="4"/>
      <c r="F4516" s="3" t="s">
        <v>120</v>
      </c>
      <c r="G4516" s="9">
        <v>72</v>
      </c>
      <c r="H4516" s="9">
        <v>65</v>
      </c>
      <c r="I4516" s="12"/>
      <c r="J4516" s="5" t="e">
        <f>SUM(SUMIFS(#REF!,#REF!,Planning[[#This Row],[Tipo de Tarea y especialidad]],#REF!,Planning[[#This Row],[Proyectos Reiwa]]),SUMIFS(#REF!,#REF!,Planning[[#This Row],[Tipo de Tarea y especialidad]],#REF!,Planning[[#This Row],[Proyectos]]))</f>
        <v>#REF!</v>
      </c>
      <c r="K4516" s="5" t="e">
        <f>+Planning[[#This Row],[Horas Planificadas]]+Planning[[#This Row],[Horas ajustadas adicionales]]-Planning[[#This Row],[Horas utilizadas]]</f>
        <v>#REF!</v>
      </c>
      <c r="L4516" s="7">
        <v>0</v>
      </c>
      <c r="M4516" s="19" t="e">
        <f>Planning[[#This Row],[Saldo]]-Planning[[#This Row],[Saldo estimado]]</f>
        <v>#REF!</v>
      </c>
      <c r="N4516" s="60" t="e">
        <f>+SUMIFS(#REF!,#REF!,Planning[[#This Row],[Proyectos]],#REF!,Planning[[#This Row],[Tipo de Tarea y especialidad]])</f>
        <v>#REF!</v>
      </c>
      <c r="O4516" s="19">
        <f t="shared" si="142"/>
        <v>10</v>
      </c>
      <c r="P4516" s="19">
        <f t="shared" si="141"/>
        <v>2024</v>
      </c>
      <c r="Q45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16" s="19" t="str">
        <f>TEXT(Planning[[#This Row],[Mes]]*29,"mmmm")</f>
        <v>October</v>
      </c>
      <c r="S45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16" s="217"/>
      <c r="U4516" s="43"/>
      <c r="V4516" s="43"/>
      <c r="W4516" s="44"/>
      <c r="X4516" s="142"/>
    </row>
    <row r="4517" spans="1:24" x14ac:dyDescent="0.2">
      <c r="A4517" s="7" t="s">
        <v>435</v>
      </c>
      <c r="B4517" s="7" t="s">
        <v>118</v>
      </c>
      <c r="C4517" s="3"/>
      <c r="D4517" s="3" t="s">
        <v>769</v>
      </c>
      <c r="E4517" s="4"/>
      <c r="F4517" s="3" t="s">
        <v>121</v>
      </c>
      <c r="G4517" s="9"/>
      <c r="H4517" s="9">
        <v>63</v>
      </c>
      <c r="I4517" s="12">
        <v>80</v>
      </c>
      <c r="J4517" s="5" t="e">
        <f>SUM(SUMIFS(#REF!,#REF!,Planning[[#This Row],[Tipo de Tarea y especialidad]],#REF!,Planning[[#This Row],[Proyectos Reiwa]]),SUMIFS(#REF!,#REF!,Planning[[#This Row],[Tipo de Tarea y especialidad]],#REF!,Planning[[#This Row],[Proyectos]]))</f>
        <v>#REF!</v>
      </c>
      <c r="K4517" s="5">
        <v>36</v>
      </c>
      <c r="L4517" s="7">
        <v>9</v>
      </c>
      <c r="M4517" s="19">
        <f>Planning[[#This Row],[Saldo]]-Planning[[#This Row],[Saldo estimado]]</f>
        <v>27</v>
      </c>
      <c r="N4517" s="60" t="e">
        <f>+SUMIFS(#REF!,#REF!,Planning[[#This Row],[Proyectos]],#REF!,Planning[[#This Row],[Tipo de Tarea y especialidad]])</f>
        <v>#REF!</v>
      </c>
      <c r="O4517" s="19">
        <f t="shared" si="142"/>
        <v>10</v>
      </c>
      <c r="P4517" s="19">
        <f t="shared" si="141"/>
        <v>2024</v>
      </c>
      <c r="Q45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17" s="19" t="str">
        <f>TEXT(Planning[[#This Row],[Mes]]*29,"mmmm")</f>
        <v>October</v>
      </c>
      <c r="S45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17" s="217"/>
      <c r="U4517" s="43"/>
      <c r="V4517" s="43"/>
      <c r="W4517" s="44"/>
      <c r="X4517" s="142"/>
    </row>
    <row r="4518" spans="1:24" x14ac:dyDescent="0.2">
      <c r="A4518" s="7" t="s">
        <v>435</v>
      </c>
      <c r="B4518" s="7" t="s">
        <v>118</v>
      </c>
      <c r="C4518" s="3"/>
      <c r="D4518" s="3" t="s">
        <v>769</v>
      </c>
      <c r="E4518" s="4" t="s">
        <v>30</v>
      </c>
      <c r="F4518" s="3"/>
      <c r="G4518" s="9"/>
      <c r="H4518" s="14">
        <f>SUM(H4519:H4525)</f>
        <v>206</v>
      </c>
      <c r="I4518" s="14"/>
      <c r="J4518" s="14" t="e">
        <f>SUM(J4519:J4525)</f>
        <v>#REF!</v>
      </c>
      <c r="K4518" s="14" t="e">
        <f>+Planning[[#This Row],[Horas Planificadas]]+Planning[[#This Row],[Horas ajustadas adicionales]]-Planning[[#This Row],[Horas utilizadas]]</f>
        <v>#REF!</v>
      </c>
      <c r="L4518" s="15" t="e">
        <f>SUM(L4519:L4525)</f>
        <v>#REF!</v>
      </c>
      <c r="M4518" s="16" t="e">
        <f>SUM(M4519:M4525)</f>
        <v>#REF!</v>
      </c>
      <c r="N4518" s="60"/>
      <c r="O4518" s="16">
        <f t="shared" si="142"/>
        <v>10</v>
      </c>
      <c r="P4518" s="16">
        <f t="shared" si="141"/>
        <v>2024</v>
      </c>
      <c r="Q4518" s="16" t="e">
        <f>SUM(Q4519:Q4525)</f>
        <v>#REF!</v>
      </c>
      <c r="R4518" s="16" t="str">
        <f>TEXT(Planning[[#This Row],[Mes]]*29,"mmmm")</f>
        <v>October</v>
      </c>
      <c r="S45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18" s="217"/>
      <c r="U4518" s="43"/>
      <c r="V4518" s="43"/>
      <c r="W4518" s="44"/>
      <c r="X4518" s="142"/>
    </row>
    <row r="4519" spans="1:24" x14ac:dyDescent="0.2">
      <c r="A4519" s="7" t="s">
        <v>435</v>
      </c>
      <c r="B4519" s="7" t="s">
        <v>118</v>
      </c>
      <c r="C4519" s="3"/>
      <c r="D4519" s="3" t="s">
        <v>769</v>
      </c>
      <c r="E4519" s="4"/>
      <c r="F4519" s="3" t="s">
        <v>122</v>
      </c>
      <c r="G4519" s="9">
        <v>171</v>
      </c>
      <c r="H4519" s="9">
        <v>80</v>
      </c>
      <c r="I4519" s="12">
        <v>29</v>
      </c>
      <c r="J4519" s="5" t="e">
        <f>SUM(SUMIFS(#REF!,#REF!,Planning[[#This Row],[Tipo de Tarea y especialidad]],#REF!,Planning[[#This Row],[Proyectos Reiwa]]),SUMIFS(#REF!,#REF!,Planning[[#This Row],[Tipo de Tarea y especialidad]],#REF!,Planning[[#This Row],[Proyectos]]))</f>
        <v>#REF!</v>
      </c>
      <c r="K4519" s="5" t="e">
        <f>+Planning[[#This Row],[Horas Planificadas]]+Planning[[#This Row],[Horas ajustadas adicionales]]-Planning[[#This Row],[Horas utilizadas]]</f>
        <v>#REF!</v>
      </c>
      <c r="L4519" s="7">
        <v>8</v>
      </c>
      <c r="M4519" s="19" t="e">
        <f>Planning[[#This Row],[Saldo]]-Planning[[#This Row],[Saldo estimado]]</f>
        <v>#REF!</v>
      </c>
      <c r="N4519" s="60" t="e">
        <f>+SUMIFS(#REF!,#REF!,Planning[[#This Row],[Proyectos]],#REF!,Planning[[#This Row],[Tipo de Tarea y especialidad]])</f>
        <v>#REF!</v>
      </c>
      <c r="O4519" s="19">
        <f t="shared" si="142"/>
        <v>10</v>
      </c>
      <c r="P4519" s="19">
        <f t="shared" si="141"/>
        <v>2024</v>
      </c>
      <c r="Q45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19" s="19" t="str">
        <f>TEXT(Planning[[#This Row],[Mes]]*29,"mmmm")</f>
        <v>October</v>
      </c>
      <c r="S45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19" s="217"/>
      <c r="U4519" s="43"/>
      <c r="V4519" s="43"/>
      <c r="W4519" s="44"/>
      <c r="X4519" s="142"/>
    </row>
    <row r="4520" spans="1:24" x14ac:dyDescent="0.2">
      <c r="A4520" s="7" t="s">
        <v>435</v>
      </c>
      <c r="B4520" s="7" t="s">
        <v>118</v>
      </c>
      <c r="C4520" s="3"/>
      <c r="D4520" s="3" t="s">
        <v>769</v>
      </c>
      <c r="E4520" s="4"/>
      <c r="F4520" s="3" t="s">
        <v>123</v>
      </c>
      <c r="G4520" s="9"/>
      <c r="H4520" s="9"/>
      <c r="I4520" s="12"/>
      <c r="J4520" s="5" t="e">
        <f>SUM(SUMIFS(#REF!,#REF!,Planning[[#This Row],[Tipo de Tarea y especialidad]],#REF!,Planning[[#This Row],[Proyectos Reiwa]]),SUMIFS(#REF!,#REF!,Planning[[#This Row],[Tipo de Tarea y especialidad]],#REF!,Planning[[#This Row],[Proyectos]]))</f>
        <v>#REF!</v>
      </c>
      <c r="K4520" s="5" t="e">
        <f>+Planning[[#This Row],[Horas Planificadas]]+Planning[[#This Row],[Horas ajustadas adicionales]]-Planning[[#This Row],[Horas utilizadas]]</f>
        <v>#REF!</v>
      </c>
      <c r="L4520" s="7" t="e">
        <f>K4520</f>
        <v>#REF!</v>
      </c>
      <c r="M4520" s="19" t="e">
        <f>Planning[[#This Row],[Saldo]]-Planning[[#This Row],[Saldo estimado]]</f>
        <v>#REF!</v>
      </c>
      <c r="N4520" s="60" t="e">
        <f>+SUMIFS(#REF!,#REF!,Planning[[#This Row],[Proyectos]],#REF!,Planning[[#This Row],[Tipo de Tarea y especialidad]])</f>
        <v>#REF!</v>
      </c>
      <c r="O4520" s="19">
        <f t="shared" si="142"/>
        <v>10</v>
      </c>
      <c r="P4520" s="19">
        <f t="shared" si="141"/>
        <v>2024</v>
      </c>
      <c r="Q45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20" s="19" t="str">
        <f>TEXT(Planning[[#This Row],[Mes]]*29,"mmmm")</f>
        <v>October</v>
      </c>
      <c r="S45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20" s="217"/>
      <c r="U4520" s="43"/>
      <c r="V4520" s="43"/>
      <c r="W4520" s="44"/>
      <c r="X4520" s="142"/>
    </row>
    <row r="4521" spans="1:24" x14ac:dyDescent="0.2">
      <c r="A4521" s="7" t="s">
        <v>435</v>
      </c>
      <c r="B4521" s="7" t="s">
        <v>118</v>
      </c>
      <c r="C4521" s="3"/>
      <c r="D4521" s="3" t="s">
        <v>769</v>
      </c>
      <c r="E4521" s="4"/>
      <c r="F4521" s="3" t="s">
        <v>124</v>
      </c>
      <c r="G4521" s="9"/>
      <c r="H4521" s="9"/>
      <c r="I4521" s="12"/>
      <c r="J4521" s="5" t="e">
        <f>SUM(SUMIFS(#REF!,#REF!,Planning[[#This Row],[Tipo de Tarea y especialidad]],#REF!,Planning[[#This Row],[Proyectos Reiwa]]),SUMIFS(#REF!,#REF!,Planning[[#This Row],[Tipo de Tarea y especialidad]],#REF!,Planning[[#This Row],[Proyectos]]))</f>
        <v>#REF!</v>
      </c>
      <c r="K4521" s="5" t="e">
        <f>+Planning[[#This Row],[Horas Planificadas]]+Planning[[#This Row],[Horas ajustadas adicionales]]-Planning[[#This Row],[Horas utilizadas]]</f>
        <v>#REF!</v>
      </c>
      <c r="L4521" s="7">
        <v>0</v>
      </c>
      <c r="M4521" s="19" t="e">
        <f>Planning[[#This Row],[Saldo]]-Planning[[#This Row],[Saldo estimado]]</f>
        <v>#REF!</v>
      </c>
      <c r="N4521" s="60" t="e">
        <f>+SUMIFS(#REF!,#REF!,Planning[[#This Row],[Proyectos]],#REF!,Planning[[#This Row],[Tipo de Tarea y especialidad]])</f>
        <v>#REF!</v>
      </c>
      <c r="O4521" s="19">
        <f t="shared" si="142"/>
        <v>10</v>
      </c>
      <c r="P4521" s="19">
        <f t="shared" si="141"/>
        <v>2024</v>
      </c>
      <c r="Q45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21" s="19" t="str">
        <f>TEXT(Planning[[#This Row],[Mes]]*29,"mmmm")</f>
        <v>October</v>
      </c>
      <c r="S45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21" s="217"/>
      <c r="U4521" s="43"/>
      <c r="V4521" s="43"/>
      <c r="W4521" s="44"/>
      <c r="X4521" s="142"/>
    </row>
    <row r="4522" spans="1:24" x14ac:dyDescent="0.2">
      <c r="A4522" s="7" t="s">
        <v>435</v>
      </c>
      <c r="B4522" s="7" t="s">
        <v>118</v>
      </c>
      <c r="C4522" s="3"/>
      <c r="D4522" s="3" t="s">
        <v>769</v>
      </c>
      <c r="E4522" s="4"/>
      <c r="F4522" s="3" t="s">
        <v>125</v>
      </c>
      <c r="G4522" s="9"/>
      <c r="H4522" s="9">
        <v>90</v>
      </c>
      <c r="I4522" s="12"/>
      <c r="J4522" s="5" t="e">
        <f>SUM(SUMIFS(#REF!,#REF!,Planning[[#This Row],[Tipo de Tarea y especialidad]],#REF!,Planning[[#This Row],[Proyectos Reiwa]]),SUMIFS(#REF!,#REF!,Planning[[#This Row],[Tipo de Tarea y especialidad]],#REF!,Planning[[#This Row],[Proyectos]]))</f>
        <v>#REF!</v>
      </c>
      <c r="K4522" s="5" t="e">
        <f>+Planning[[#This Row],[Horas Planificadas]]+Planning[[#This Row],[Horas ajustadas adicionales]]-Planning[[#This Row],[Horas utilizadas]]</f>
        <v>#REF!</v>
      </c>
      <c r="L4522" s="7" t="e">
        <f>K4522</f>
        <v>#REF!</v>
      </c>
      <c r="M4522" s="19" t="e">
        <f>Planning[[#This Row],[Saldo]]-Planning[[#This Row],[Saldo estimado]]</f>
        <v>#REF!</v>
      </c>
      <c r="N4522" s="60" t="e">
        <f>+SUMIFS(#REF!,#REF!,Planning[[#This Row],[Proyectos]],#REF!,Planning[[#This Row],[Tipo de Tarea y especialidad]])</f>
        <v>#REF!</v>
      </c>
      <c r="O4522" s="19">
        <f t="shared" si="142"/>
        <v>10</v>
      </c>
      <c r="P4522" s="19">
        <f t="shared" si="141"/>
        <v>2024</v>
      </c>
      <c r="Q45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22" s="19" t="str">
        <f>TEXT(Planning[[#This Row],[Mes]]*29,"mmmm")</f>
        <v>October</v>
      </c>
      <c r="S45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22" s="217"/>
      <c r="U4522" s="43"/>
      <c r="V4522" s="43"/>
      <c r="W4522" s="44"/>
      <c r="X4522" s="142"/>
    </row>
    <row r="4523" spans="1:24" x14ac:dyDescent="0.2">
      <c r="A4523" s="7" t="s">
        <v>435</v>
      </c>
      <c r="B4523" s="7" t="s">
        <v>118</v>
      </c>
      <c r="C4523" s="3"/>
      <c r="D4523" s="3" t="s">
        <v>769</v>
      </c>
      <c r="E4523" s="4"/>
      <c r="F4523" s="3" t="s">
        <v>126</v>
      </c>
      <c r="G4523" s="9">
        <v>146</v>
      </c>
      <c r="H4523" s="9">
        <v>36</v>
      </c>
      <c r="I4523" s="12"/>
      <c r="J4523" s="5" t="e">
        <f>SUM(SUMIFS(#REF!,#REF!,Planning[[#This Row],[Tipo de Tarea y especialidad]],#REF!,Planning[[#This Row],[Proyectos Reiwa]]),SUMIFS(#REF!,#REF!,Planning[[#This Row],[Tipo de Tarea y especialidad]],#REF!,Planning[[#This Row],[Proyectos]]))</f>
        <v>#REF!</v>
      </c>
      <c r="K4523" s="5" t="e">
        <f>+Planning[[#This Row],[Horas Planificadas]]+Planning[[#This Row],[Horas ajustadas adicionales]]-Planning[[#This Row],[Horas utilizadas]]</f>
        <v>#REF!</v>
      </c>
      <c r="L4523" s="7">
        <v>0</v>
      </c>
      <c r="M4523" s="19" t="e">
        <f>Planning[[#This Row],[Saldo]]-Planning[[#This Row],[Saldo estimado]]</f>
        <v>#REF!</v>
      </c>
      <c r="N4523" s="60" t="e">
        <f>+SUMIFS(#REF!,#REF!,Planning[[#This Row],[Proyectos]],#REF!,Planning[[#This Row],[Tipo de Tarea y especialidad]])</f>
        <v>#REF!</v>
      </c>
      <c r="O4523" s="19">
        <f t="shared" si="142"/>
        <v>10</v>
      </c>
      <c r="P4523" s="19">
        <f t="shared" si="141"/>
        <v>2024</v>
      </c>
      <c r="Q45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23" s="19" t="str">
        <f>TEXT(Planning[[#This Row],[Mes]]*29,"mmmm")</f>
        <v>October</v>
      </c>
      <c r="S45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23" s="217"/>
      <c r="U4523" s="43"/>
      <c r="V4523" s="43"/>
      <c r="W4523" s="44"/>
      <c r="X4523" s="142"/>
    </row>
    <row r="4524" spans="1:24" x14ac:dyDescent="0.2">
      <c r="A4524" s="7" t="s">
        <v>435</v>
      </c>
      <c r="B4524" s="7" t="s">
        <v>118</v>
      </c>
      <c r="C4524" s="3"/>
      <c r="D4524" s="3" t="s">
        <v>769</v>
      </c>
      <c r="E4524" s="4"/>
      <c r="F4524" s="3" t="s">
        <v>127</v>
      </c>
      <c r="G4524" s="9"/>
      <c r="H4524" s="9"/>
      <c r="I4524" s="12"/>
      <c r="J4524" s="5" t="e">
        <f>SUM(SUMIFS(#REF!,#REF!,Planning[[#This Row],[Tipo de Tarea y especialidad]],#REF!,Planning[[#This Row],[Proyectos Reiwa]]),SUMIFS(#REF!,#REF!,Planning[[#This Row],[Tipo de Tarea y especialidad]],#REF!,Planning[[#This Row],[Proyectos]]))</f>
        <v>#REF!</v>
      </c>
      <c r="K4524" s="5" t="e">
        <f>+Planning[[#This Row],[Horas Planificadas]]+Planning[[#This Row],[Horas ajustadas adicionales]]-Planning[[#This Row],[Horas utilizadas]]</f>
        <v>#REF!</v>
      </c>
      <c r="L4524" s="7">
        <v>0</v>
      </c>
      <c r="M4524" s="19" t="e">
        <f>Planning[[#This Row],[Saldo]]-Planning[[#This Row],[Saldo estimado]]</f>
        <v>#REF!</v>
      </c>
      <c r="N4524" s="60" t="e">
        <f>+SUMIFS(#REF!,#REF!,Planning[[#This Row],[Proyectos]],#REF!,Planning[[#This Row],[Tipo de Tarea y especialidad]])</f>
        <v>#REF!</v>
      </c>
      <c r="O4524" s="19">
        <f t="shared" si="142"/>
        <v>10</v>
      </c>
      <c r="P4524" s="19">
        <f t="shared" si="141"/>
        <v>2024</v>
      </c>
      <c r="Q45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24" s="19" t="str">
        <f>TEXT(Planning[[#This Row],[Mes]]*29,"mmmm")</f>
        <v>October</v>
      </c>
      <c r="S45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24" s="217"/>
      <c r="U4524" s="43"/>
      <c r="V4524" s="43"/>
      <c r="W4524" s="44"/>
      <c r="X4524" s="142"/>
    </row>
    <row r="4525" spans="1:24" x14ac:dyDescent="0.2">
      <c r="A4525" s="7" t="s">
        <v>435</v>
      </c>
      <c r="B4525" s="7" t="s">
        <v>118</v>
      </c>
      <c r="C4525" s="3"/>
      <c r="D4525" s="3" t="s">
        <v>769</v>
      </c>
      <c r="E4525" s="4"/>
      <c r="F4525" s="3" t="s">
        <v>128</v>
      </c>
      <c r="G4525" s="9"/>
      <c r="H4525" s="9"/>
      <c r="I4525" s="12"/>
      <c r="J4525" s="5" t="e">
        <f>SUM(SUMIFS(#REF!,#REF!,Planning[[#This Row],[Tipo de Tarea y especialidad]],#REF!,Planning[[#This Row],[Proyectos Reiwa]]),SUMIFS(#REF!,#REF!,Planning[[#This Row],[Tipo de Tarea y especialidad]],#REF!,Planning[[#This Row],[Proyectos]]))</f>
        <v>#REF!</v>
      </c>
      <c r="K4525" s="5" t="e">
        <f>+Planning[[#This Row],[Horas Planificadas]]+Planning[[#This Row],[Horas ajustadas adicionales]]-Planning[[#This Row],[Horas utilizadas]]</f>
        <v>#REF!</v>
      </c>
      <c r="L4525" s="7">
        <v>0</v>
      </c>
      <c r="M4525" s="19" t="e">
        <f>Planning[[#This Row],[Saldo]]-Planning[[#This Row],[Saldo estimado]]</f>
        <v>#REF!</v>
      </c>
      <c r="N4525" s="60" t="e">
        <f>+SUMIFS(#REF!,#REF!,Planning[[#This Row],[Proyectos]],#REF!,Planning[[#This Row],[Tipo de Tarea y especialidad]])</f>
        <v>#REF!</v>
      </c>
      <c r="O4525" s="19">
        <f t="shared" si="142"/>
        <v>10</v>
      </c>
      <c r="P4525" s="19">
        <f t="shared" si="141"/>
        <v>2024</v>
      </c>
      <c r="Q45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25" s="19" t="str">
        <f>TEXT(Planning[[#This Row],[Mes]]*29,"mmmm")</f>
        <v>October</v>
      </c>
      <c r="S45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25" s="217"/>
      <c r="U4525" s="43"/>
      <c r="V4525" s="43"/>
      <c r="W4525" s="44"/>
      <c r="X4525" s="142"/>
    </row>
    <row r="4526" spans="1:24" x14ac:dyDescent="0.2">
      <c r="A4526" s="7" t="s">
        <v>435</v>
      </c>
      <c r="B4526" s="7" t="s">
        <v>118</v>
      </c>
      <c r="C4526" s="3"/>
      <c r="D4526" s="3" t="s">
        <v>769</v>
      </c>
      <c r="E4526" s="4" t="s">
        <v>31</v>
      </c>
      <c r="F4526" s="3" t="s">
        <v>31</v>
      </c>
      <c r="G4526" s="9"/>
      <c r="H4526" s="17"/>
      <c r="I4526" s="18"/>
      <c r="J4526" s="14" t="e">
        <f>+SUMIFS(#REF!,#REF!,Planning[[#This Row],[Tarifa]],#REF!,Planning[[#This Row],[Proyectos]])</f>
        <v>#REF!</v>
      </c>
      <c r="K4526" s="14" t="e">
        <f>+Planning[[#This Row],[Horas Planificadas]]+Planning[[#This Row],[Horas ajustadas adicionales]]-Planning[[#This Row],[Horas utilizadas]]</f>
        <v>#REF!</v>
      </c>
      <c r="L4526" s="15" t="e">
        <f>Planning[[#This Row],[Saldo]]</f>
        <v>#REF!</v>
      </c>
      <c r="M4526" s="16" t="e">
        <f>Planning[[#This Row],[Saldo]]-Planning[[#This Row],[Saldo estimado]]</f>
        <v>#REF!</v>
      </c>
      <c r="N4526" s="60"/>
      <c r="O4526" s="16">
        <f t="shared" si="142"/>
        <v>10</v>
      </c>
      <c r="P4526" s="16">
        <f t="shared" si="141"/>
        <v>2024</v>
      </c>
      <c r="Q4526" s="16" t="e">
        <f>+SUMIFS(#REF!,#REF!,Planning[[#This Row],[Tarifa]],#REF!,Planning[[#This Row],[Proyectos]],#REF!,Planning[[#This Row],[Mes]],#REF!,Planning[[#This Row],[Año]])</f>
        <v>#REF!</v>
      </c>
      <c r="R4526" s="16" t="str">
        <f>TEXT(Planning[[#This Row],[Mes]]*29,"mmmm")</f>
        <v>October</v>
      </c>
      <c r="S45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26" s="217"/>
      <c r="U4526" s="43"/>
      <c r="V4526" s="43"/>
      <c r="W4526" s="44"/>
      <c r="X4526" s="142"/>
    </row>
    <row r="4527" spans="1:24" ht="22.5" x14ac:dyDescent="0.2">
      <c r="A4527" s="7" t="s">
        <v>435</v>
      </c>
      <c r="B4527" s="7" t="s">
        <v>118</v>
      </c>
      <c r="C4527" s="3"/>
      <c r="D4527" s="3" t="s">
        <v>769</v>
      </c>
      <c r="E4527" s="4" t="s">
        <v>32</v>
      </c>
      <c r="F4527" s="3"/>
      <c r="G4527" s="9"/>
      <c r="H4527" s="14">
        <f>SUM(H4528:H4530)</f>
        <v>60</v>
      </c>
      <c r="I4527" s="14"/>
      <c r="J4527" s="14" t="e">
        <f>SUM(J4528:J4530)</f>
        <v>#REF!</v>
      </c>
      <c r="K4527" s="14" t="e">
        <f>+Planning[[#This Row],[Horas Planificadas]]+Planning[[#This Row],[Horas ajustadas adicionales]]-Planning[[#This Row],[Horas utilizadas]]</f>
        <v>#REF!</v>
      </c>
      <c r="L4527" s="15" t="e">
        <f>SUM(L4528:L4530)</f>
        <v>#REF!</v>
      </c>
      <c r="M4527" s="16" t="e">
        <f>SUM(M4528:M4530)</f>
        <v>#REF!</v>
      </c>
      <c r="N4527" s="60"/>
      <c r="O4527" s="16">
        <f t="shared" si="142"/>
        <v>10</v>
      </c>
      <c r="P4527" s="16">
        <f t="shared" si="141"/>
        <v>2024</v>
      </c>
      <c r="Q4527" s="16" t="e">
        <f>SUM(Q4528:Q4530)</f>
        <v>#REF!</v>
      </c>
      <c r="R4527" s="16" t="str">
        <f>TEXT(Planning[[#This Row],[Mes]]*29,"mmmm")</f>
        <v>October</v>
      </c>
      <c r="S45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27" s="217"/>
      <c r="U4527" s="43"/>
      <c r="V4527" s="43"/>
      <c r="W4527" s="44"/>
      <c r="X4527" s="142"/>
    </row>
    <row r="4528" spans="1:24" x14ac:dyDescent="0.2">
      <c r="A4528" s="7" t="s">
        <v>435</v>
      </c>
      <c r="B4528" s="7" t="s">
        <v>118</v>
      </c>
      <c r="C4528" s="3"/>
      <c r="D4528" s="3" t="s">
        <v>769</v>
      </c>
      <c r="E4528" s="4"/>
      <c r="F4528" s="3" t="s">
        <v>129</v>
      </c>
      <c r="G4528" s="9">
        <v>80</v>
      </c>
      <c r="H4528" s="9">
        <v>60</v>
      </c>
      <c r="I4528" s="12"/>
      <c r="J4528" s="5" t="e">
        <f>SUM(SUMIFS(#REF!,#REF!,Planning[[#This Row],[Tipo de Tarea y especialidad]],#REF!,Planning[[#This Row],[Proyectos Reiwa]]),SUMIFS(#REF!,#REF!,Planning[[#This Row],[Tipo de Tarea y especialidad]],#REF!,Planning[[#This Row],[Proyectos]]))</f>
        <v>#REF!</v>
      </c>
      <c r="K4528" s="5" t="e">
        <f>+Planning[[#This Row],[Horas Planificadas]]+Planning[[#This Row],[Horas ajustadas adicionales]]-Planning[[#This Row],[Horas utilizadas]]</f>
        <v>#REF!</v>
      </c>
      <c r="L4528" s="7">
        <v>20</v>
      </c>
      <c r="M4528" s="19" t="e">
        <f>Planning[[#This Row],[Saldo]]-Planning[[#This Row],[Saldo estimado]]</f>
        <v>#REF!</v>
      </c>
      <c r="N4528" s="60" t="e">
        <f>+SUMIFS(#REF!,#REF!,Planning[[#This Row],[Proyectos]],#REF!,Planning[[#This Row],[Tipo de Tarea y especialidad]])</f>
        <v>#REF!</v>
      </c>
      <c r="O4528" s="19">
        <f t="shared" si="142"/>
        <v>10</v>
      </c>
      <c r="P4528" s="19">
        <f t="shared" si="141"/>
        <v>2024</v>
      </c>
      <c r="Q45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28" s="19" t="str">
        <f>TEXT(Planning[[#This Row],[Mes]]*29,"mmmm")</f>
        <v>October</v>
      </c>
      <c r="S45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28" s="217"/>
      <c r="U4528" s="43"/>
      <c r="V4528" s="43"/>
      <c r="W4528" s="44"/>
      <c r="X4528" s="142"/>
    </row>
    <row r="4529" spans="1:24" x14ac:dyDescent="0.2">
      <c r="A4529" s="7" t="s">
        <v>435</v>
      </c>
      <c r="B4529" s="7" t="s">
        <v>118</v>
      </c>
      <c r="C4529" s="3"/>
      <c r="D4529" s="3" t="s">
        <v>769</v>
      </c>
      <c r="E4529" s="4"/>
      <c r="F4529" s="3" t="s">
        <v>130</v>
      </c>
      <c r="G4529" s="9"/>
      <c r="H4529" s="9"/>
      <c r="I4529" s="12"/>
      <c r="J4529" s="5" t="e">
        <f>SUM(SUMIFS(#REF!,#REF!,Planning[[#This Row],[Tipo de Tarea y especialidad]],#REF!,Planning[[#This Row],[Proyectos Reiwa]]),SUMIFS(#REF!,#REF!,Planning[[#This Row],[Tipo de Tarea y especialidad]],#REF!,Planning[[#This Row],[Proyectos]]))</f>
        <v>#REF!</v>
      </c>
      <c r="K4529" s="5" t="e">
        <f>+Planning[[#This Row],[Horas Planificadas]]+Planning[[#This Row],[Horas ajustadas adicionales]]-Planning[[#This Row],[Horas utilizadas]]</f>
        <v>#REF!</v>
      </c>
      <c r="L4529" s="7" t="e">
        <f>K4529</f>
        <v>#REF!</v>
      </c>
      <c r="M4529" s="19" t="e">
        <f>Planning[[#This Row],[Saldo]]-Planning[[#This Row],[Saldo estimado]]</f>
        <v>#REF!</v>
      </c>
      <c r="N4529" s="60" t="e">
        <f>+SUMIFS(#REF!,#REF!,Planning[[#This Row],[Proyectos]],#REF!,Planning[[#This Row],[Tipo de Tarea y especialidad]])</f>
        <v>#REF!</v>
      </c>
      <c r="O4529" s="19">
        <f t="shared" si="142"/>
        <v>10</v>
      </c>
      <c r="P4529" s="19">
        <f t="shared" si="141"/>
        <v>2024</v>
      </c>
      <c r="Q45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29" s="19" t="str">
        <f>TEXT(Planning[[#This Row],[Mes]]*29,"mmmm")</f>
        <v>October</v>
      </c>
      <c r="S45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29" s="217"/>
      <c r="U4529" s="43"/>
      <c r="V4529" s="43"/>
      <c r="W4529" s="44"/>
      <c r="X4529" s="142"/>
    </row>
    <row r="4530" spans="1:24" x14ac:dyDescent="0.2">
      <c r="A4530" s="7" t="s">
        <v>435</v>
      </c>
      <c r="B4530" s="7" t="s">
        <v>118</v>
      </c>
      <c r="C4530" s="3"/>
      <c r="D4530" s="3" t="s">
        <v>769</v>
      </c>
      <c r="E4530" s="4"/>
      <c r="F4530" s="3" t="s">
        <v>131</v>
      </c>
      <c r="G4530" s="9"/>
      <c r="H4530" s="9"/>
      <c r="I4530" s="12"/>
      <c r="J4530" s="5" t="e">
        <f>SUM(SUMIFS(#REF!,#REF!,Planning[[#This Row],[Tipo de Tarea y especialidad]],#REF!,Planning[[#This Row],[Proyectos Reiwa]]),SUMIFS(#REF!,#REF!,Planning[[#This Row],[Tipo de Tarea y especialidad]],#REF!,Planning[[#This Row],[Proyectos]]))</f>
        <v>#REF!</v>
      </c>
      <c r="K4530" s="5" t="e">
        <f>+Planning[[#This Row],[Horas Planificadas]]+Planning[[#This Row],[Horas ajustadas adicionales]]-Planning[[#This Row],[Horas utilizadas]]</f>
        <v>#REF!</v>
      </c>
      <c r="L4530" s="7">
        <v>0</v>
      </c>
      <c r="M4530" s="19" t="e">
        <f>Planning[[#This Row],[Saldo]]-Planning[[#This Row],[Saldo estimado]]</f>
        <v>#REF!</v>
      </c>
      <c r="N4530" s="60" t="e">
        <f>+SUMIFS(#REF!,#REF!,Planning[[#This Row],[Proyectos]],#REF!,Planning[[#This Row],[Tipo de Tarea y especialidad]])</f>
        <v>#REF!</v>
      </c>
      <c r="O4530" s="19">
        <f t="shared" si="142"/>
        <v>10</v>
      </c>
      <c r="P4530" s="19">
        <f t="shared" si="141"/>
        <v>2024</v>
      </c>
      <c r="Q45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30" s="19" t="str">
        <f>TEXT(Planning[[#This Row],[Mes]]*29,"mmmm")</f>
        <v>October</v>
      </c>
      <c r="S45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30" s="217"/>
      <c r="U4530" s="43"/>
      <c r="V4530" s="43"/>
      <c r="W4530" s="44"/>
      <c r="X4530" s="142"/>
    </row>
    <row r="4531" spans="1:24" ht="22.5" x14ac:dyDescent="0.2">
      <c r="A4531" s="9" t="s">
        <v>626</v>
      </c>
      <c r="B4531" s="9" t="s">
        <v>178</v>
      </c>
      <c r="C4531" s="3"/>
      <c r="D4531" s="3" t="s">
        <v>771</v>
      </c>
      <c r="E4531" s="4" t="s">
        <v>28</v>
      </c>
      <c r="F4531" s="3"/>
      <c r="G4531" s="9">
        <v>0</v>
      </c>
      <c r="H4531" s="14">
        <f>SUM(H4532:H4533)</f>
        <v>0</v>
      </c>
      <c r="I4531" s="14"/>
      <c r="J4531" s="14" t="e">
        <f>SUM(J4532:J4533)</f>
        <v>#REF!</v>
      </c>
      <c r="K4531" s="14" t="e">
        <f>+Planning[[#This Row],[Horas Planificadas]]+Planning[[#This Row],[Horas ajustadas adicionales]]-Planning[[#This Row],[Horas utilizadas]]</f>
        <v>#REF!</v>
      </c>
      <c r="L4531" s="15">
        <f>SUM(L4532:L4533)</f>
        <v>0</v>
      </c>
      <c r="M4531" s="14" t="e">
        <f>SUM(M4532:M4533)</f>
        <v>#REF!</v>
      </c>
      <c r="N4531" s="66"/>
      <c r="O4531" s="14">
        <f t="shared" si="142"/>
        <v>10</v>
      </c>
      <c r="P4531" s="14">
        <f t="shared" si="141"/>
        <v>2024</v>
      </c>
      <c r="Q4531" s="28" t="e">
        <f>SUM(Q4532:Q4533)</f>
        <v>#REF!</v>
      </c>
      <c r="R4531" s="28" t="str">
        <f>TEXT(Planning[[#This Row],[Mes]]*29,"mmmm")</f>
        <v>October</v>
      </c>
      <c r="S45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31" s="220" t="s">
        <v>772</v>
      </c>
      <c r="U4531" s="43"/>
      <c r="V4531" s="43"/>
      <c r="W4531" s="44"/>
      <c r="X4531" s="142"/>
    </row>
    <row r="4532" spans="1:24" x14ac:dyDescent="0.2">
      <c r="A4532" s="9" t="s">
        <v>626</v>
      </c>
      <c r="B4532" s="9" t="s">
        <v>178</v>
      </c>
      <c r="C4532" s="3"/>
      <c r="D4532" s="3" t="s">
        <v>771</v>
      </c>
      <c r="E4532" s="4"/>
      <c r="F4532" s="3" t="s">
        <v>120</v>
      </c>
      <c r="G4532" s="9"/>
      <c r="H4532" s="9">
        <v>0</v>
      </c>
      <c r="I4532" s="12"/>
      <c r="J4532" s="5" t="e">
        <f>SUM(SUMIFS(#REF!,#REF!,Planning[[#This Row],[Tipo de Tarea y especialidad]],#REF!,Planning[[#This Row],[Proyectos Reiwa]]),SUMIFS(#REF!,#REF!,Planning[[#This Row],[Tipo de Tarea y especialidad]],#REF!,Planning[[#This Row],[Proyectos]]))</f>
        <v>#REF!</v>
      </c>
      <c r="K4532" s="5" t="e">
        <f>+Planning[[#This Row],[Horas Planificadas]]+Planning[[#This Row],[Horas ajustadas adicionales]]-Planning[[#This Row],[Horas utilizadas]]</f>
        <v>#REF!</v>
      </c>
      <c r="L4532" s="7">
        <v>0</v>
      </c>
      <c r="M4532" s="19" t="e">
        <f>Planning[[#This Row],[Saldo]]-Planning[[#This Row],[Saldo estimado]]</f>
        <v>#REF!</v>
      </c>
      <c r="N4532" s="60" t="e">
        <f>+SUMIFS(#REF!,#REF!,Planning[[#This Row],[Proyectos]],#REF!,Planning[[#This Row],[Tipo de Tarea y especialidad]])</f>
        <v>#REF!</v>
      </c>
      <c r="O4532" s="19">
        <f t="shared" si="142"/>
        <v>10</v>
      </c>
      <c r="P4532" s="19">
        <f t="shared" si="141"/>
        <v>2024</v>
      </c>
      <c r="Q45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32" s="19" t="str">
        <f>TEXT(Planning[[#This Row],[Mes]]*29,"mmmm")</f>
        <v>October</v>
      </c>
      <c r="S45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32" s="210"/>
      <c r="U4532" s="43"/>
      <c r="V4532" s="43"/>
      <c r="W4532" s="44"/>
      <c r="X4532" s="142"/>
    </row>
    <row r="4533" spans="1:24" x14ac:dyDescent="0.2">
      <c r="A4533" s="9" t="s">
        <v>626</v>
      </c>
      <c r="B4533" s="9" t="s">
        <v>178</v>
      </c>
      <c r="C4533" s="3"/>
      <c r="D4533" s="3" t="s">
        <v>771</v>
      </c>
      <c r="E4533" s="4"/>
      <c r="F4533" s="3" t="s">
        <v>121</v>
      </c>
      <c r="G4533" s="9"/>
      <c r="H4533" s="9">
        <v>0</v>
      </c>
      <c r="I4533" s="12">
        <v>6</v>
      </c>
      <c r="J4533" s="5" t="e">
        <f>SUM(SUMIFS(#REF!,#REF!,Planning[[#This Row],[Tipo de Tarea y especialidad]],#REF!,Planning[[#This Row],[Proyectos Reiwa]]),SUMIFS(#REF!,#REF!,Planning[[#This Row],[Tipo de Tarea y especialidad]],#REF!,Planning[[#This Row],[Proyectos]]))</f>
        <v>#REF!</v>
      </c>
      <c r="K4533" s="5" t="e">
        <f>+Planning[[#This Row],[Horas Planificadas]]+Planning[[#This Row],[Horas ajustadas adicionales]]-Planning[[#This Row],[Horas utilizadas]]</f>
        <v>#REF!</v>
      </c>
      <c r="L4533" s="7">
        <v>0</v>
      </c>
      <c r="M4533" s="19" t="e">
        <f>Planning[[#This Row],[Saldo]]-Planning[[#This Row],[Saldo estimado]]</f>
        <v>#REF!</v>
      </c>
      <c r="N4533" s="60" t="e">
        <f>+SUMIFS(#REF!,#REF!,Planning[[#This Row],[Proyectos]],#REF!,Planning[[#This Row],[Tipo de Tarea y especialidad]])</f>
        <v>#REF!</v>
      </c>
      <c r="O4533" s="19">
        <f t="shared" si="142"/>
        <v>10</v>
      </c>
      <c r="P4533" s="19">
        <f t="shared" si="141"/>
        <v>2024</v>
      </c>
      <c r="Q45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33" s="19" t="str">
        <f>TEXT(Planning[[#This Row],[Mes]]*29,"mmmm")</f>
        <v>October</v>
      </c>
      <c r="S45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33" s="210"/>
      <c r="U4533" s="43"/>
      <c r="V4533" s="43"/>
      <c r="W4533" s="44"/>
      <c r="X4533" s="142"/>
    </row>
    <row r="4534" spans="1:24" x14ac:dyDescent="0.2">
      <c r="A4534" s="9" t="s">
        <v>626</v>
      </c>
      <c r="B4534" s="9" t="s">
        <v>178</v>
      </c>
      <c r="C4534" s="3"/>
      <c r="D4534" s="3" t="s">
        <v>771</v>
      </c>
      <c r="E4534" s="4" t="s">
        <v>30</v>
      </c>
      <c r="F4534" s="3"/>
      <c r="G4534" s="9">
        <v>344</v>
      </c>
      <c r="H4534" s="14">
        <f>SUM(H4535:H4541)</f>
        <v>344</v>
      </c>
      <c r="I4534" s="14"/>
      <c r="J4534" s="14" t="e">
        <f>SUM(J4535:J4541)</f>
        <v>#REF!</v>
      </c>
      <c r="K4534" s="14" t="e">
        <f>+Planning[[#This Row],[Horas Planificadas]]+Planning[[#This Row],[Horas ajustadas adicionales]]-Planning[[#This Row],[Horas utilizadas]]</f>
        <v>#REF!</v>
      </c>
      <c r="L4534" s="15">
        <f>SUM(L4535:L4541)</f>
        <v>0</v>
      </c>
      <c r="M4534" s="16" t="e">
        <f>SUM(M4535:M4541)</f>
        <v>#REF!</v>
      </c>
      <c r="N4534" s="60"/>
      <c r="O4534" s="16">
        <f t="shared" si="142"/>
        <v>10</v>
      </c>
      <c r="P4534" s="16">
        <f t="shared" si="141"/>
        <v>2024</v>
      </c>
      <c r="Q4534" s="16" t="e">
        <f>SUM(Q4535:Q4541)</f>
        <v>#REF!</v>
      </c>
      <c r="R4534" s="16" t="str">
        <f>TEXT(Planning[[#This Row],[Mes]]*29,"mmmm")</f>
        <v>October</v>
      </c>
      <c r="S45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34" s="210"/>
      <c r="U4534" s="43"/>
      <c r="V4534" s="43"/>
      <c r="W4534" s="44"/>
      <c r="X4534" s="142"/>
    </row>
    <row r="4535" spans="1:24" x14ac:dyDescent="0.2">
      <c r="A4535" s="9" t="s">
        <v>626</v>
      </c>
      <c r="B4535" s="9" t="s">
        <v>178</v>
      </c>
      <c r="C4535" s="3"/>
      <c r="D4535" s="3" t="s">
        <v>771</v>
      </c>
      <c r="E4535" s="4"/>
      <c r="F4535" s="3" t="s">
        <v>122</v>
      </c>
      <c r="G4535" s="9"/>
      <c r="H4535" s="9">
        <v>0</v>
      </c>
      <c r="I4535" s="12"/>
      <c r="J4535" s="5" t="e">
        <f>SUM(SUMIFS(#REF!,#REF!,Planning[[#This Row],[Tipo de Tarea y especialidad]],#REF!,Planning[[#This Row],[Proyectos Reiwa]]),SUMIFS(#REF!,#REF!,Planning[[#This Row],[Tipo de Tarea y especialidad]],#REF!,Planning[[#This Row],[Proyectos]]))</f>
        <v>#REF!</v>
      </c>
      <c r="K4535" s="5" t="e">
        <f>+Planning[[#This Row],[Horas Planificadas]]+Planning[[#This Row],[Horas ajustadas adicionales]]-Planning[[#This Row],[Horas utilizadas]]</f>
        <v>#REF!</v>
      </c>
      <c r="L4535" s="7">
        <v>0</v>
      </c>
      <c r="M4535" s="19" t="e">
        <f>Planning[[#This Row],[Saldo]]-Planning[[#This Row],[Saldo estimado]]</f>
        <v>#REF!</v>
      </c>
      <c r="N4535" s="60" t="e">
        <f>+SUMIFS(#REF!,#REF!,Planning[[#This Row],[Proyectos]],#REF!,Planning[[#This Row],[Tipo de Tarea y especialidad]])</f>
        <v>#REF!</v>
      </c>
      <c r="O4535" s="19">
        <f t="shared" si="142"/>
        <v>10</v>
      </c>
      <c r="P4535" s="19">
        <f t="shared" si="141"/>
        <v>2024</v>
      </c>
      <c r="Q45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35" s="19" t="str">
        <f>TEXT(Planning[[#This Row],[Mes]]*29,"mmmm")</f>
        <v>October</v>
      </c>
      <c r="S45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35" s="210"/>
      <c r="U4535" s="43"/>
      <c r="V4535" s="43"/>
      <c r="W4535" s="44"/>
      <c r="X4535" s="142"/>
    </row>
    <row r="4536" spans="1:24" x14ac:dyDescent="0.2">
      <c r="A4536" s="9" t="s">
        <v>626</v>
      </c>
      <c r="B4536" s="9" t="s">
        <v>178</v>
      </c>
      <c r="C4536" s="3"/>
      <c r="D4536" s="3" t="s">
        <v>771</v>
      </c>
      <c r="E4536" s="4"/>
      <c r="F4536" s="3" t="s">
        <v>123</v>
      </c>
      <c r="G4536" s="9"/>
      <c r="H4536" s="9">
        <v>155</v>
      </c>
      <c r="I4536" s="12">
        <v>-150</v>
      </c>
      <c r="J4536" s="5" t="e">
        <f>SUM(SUMIFS(#REF!,#REF!,Planning[[#This Row],[Tipo de Tarea y especialidad]],#REF!,Planning[[#This Row],[Proyectos Reiwa]]),SUMIFS(#REF!,#REF!,Planning[[#This Row],[Tipo de Tarea y especialidad]],#REF!,Planning[[#This Row],[Proyectos]]))</f>
        <v>#REF!</v>
      </c>
      <c r="K4536" s="5" t="e">
        <f>+Planning[[#This Row],[Horas Planificadas]]+Planning[[#This Row],[Horas ajustadas adicionales]]-Planning[[#This Row],[Horas utilizadas]]</f>
        <v>#REF!</v>
      </c>
      <c r="L4536" s="7">
        <v>0</v>
      </c>
      <c r="M4536" s="19" t="e">
        <f>Planning[[#This Row],[Saldo]]-Planning[[#This Row],[Saldo estimado]]</f>
        <v>#REF!</v>
      </c>
      <c r="N4536" s="60" t="e">
        <f>+SUMIFS(#REF!,#REF!,Planning[[#This Row],[Proyectos]],#REF!,Planning[[#This Row],[Tipo de Tarea y especialidad]])</f>
        <v>#REF!</v>
      </c>
      <c r="O4536" s="19">
        <f t="shared" si="142"/>
        <v>10</v>
      </c>
      <c r="P4536" s="19">
        <f t="shared" si="141"/>
        <v>2024</v>
      </c>
      <c r="Q45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36" s="19" t="str">
        <f>TEXT(Planning[[#This Row],[Mes]]*29,"mmmm")</f>
        <v>October</v>
      </c>
      <c r="S45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36" s="210"/>
      <c r="U4536" s="43"/>
      <c r="V4536" s="43"/>
      <c r="W4536" s="44"/>
      <c r="X4536" s="142"/>
    </row>
    <row r="4537" spans="1:24" x14ac:dyDescent="0.2">
      <c r="A4537" s="9" t="s">
        <v>626</v>
      </c>
      <c r="B4537" s="9" t="s">
        <v>178</v>
      </c>
      <c r="C4537" s="3"/>
      <c r="D4537" s="3" t="s">
        <v>771</v>
      </c>
      <c r="E4537" s="4"/>
      <c r="F4537" s="3" t="s">
        <v>124</v>
      </c>
      <c r="G4537" s="9"/>
      <c r="H4537" s="9">
        <v>0</v>
      </c>
      <c r="I4537" s="12"/>
      <c r="J4537" s="5" t="e">
        <f>SUM(SUMIFS(#REF!,#REF!,Planning[[#This Row],[Tipo de Tarea y especialidad]],#REF!,Planning[[#This Row],[Proyectos Reiwa]]),SUMIFS(#REF!,#REF!,Planning[[#This Row],[Tipo de Tarea y especialidad]],#REF!,Planning[[#This Row],[Proyectos]]))</f>
        <v>#REF!</v>
      </c>
      <c r="K4537" s="5" t="e">
        <f>+Planning[[#This Row],[Horas Planificadas]]+Planning[[#This Row],[Horas ajustadas adicionales]]-Planning[[#This Row],[Horas utilizadas]]</f>
        <v>#REF!</v>
      </c>
      <c r="L4537" s="7">
        <v>0</v>
      </c>
      <c r="M4537" s="19" t="e">
        <f>Planning[[#This Row],[Saldo]]-Planning[[#This Row],[Saldo estimado]]</f>
        <v>#REF!</v>
      </c>
      <c r="N4537" s="60" t="e">
        <f>+SUMIFS(#REF!,#REF!,Planning[[#This Row],[Proyectos]],#REF!,Planning[[#This Row],[Tipo de Tarea y especialidad]])</f>
        <v>#REF!</v>
      </c>
      <c r="O4537" s="19">
        <f t="shared" si="142"/>
        <v>10</v>
      </c>
      <c r="P4537" s="19">
        <f t="shared" si="141"/>
        <v>2024</v>
      </c>
      <c r="Q45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37" s="19" t="str">
        <f>TEXT(Planning[[#This Row],[Mes]]*29,"mmmm")</f>
        <v>October</v>
      </c>
      <c r="S45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37" s="210"/>
      <c r="U4537" s="43"/>
      <c r="V4537" s="43"/>
      <c r="W4537" s="44"/>
      <c r="X4537" s="142"/>
    </row>
    <row r="4538" spans="1:24" x14ac:dyDescent="0.2">
      <c r="A4538" s="9" t="s">
        <v>626</v>
      </c>
      <c r="B4538" s="9" t="s">
        <v>178</v>
      </c>
      <c r="C4538" s="3"/>
      <c r="D4538" s="3" t="s">
        <v>771</v>
      </c>
      <c r="E4538" s="4"/>
      <c r="F4538" s="3" t="s">
        <v>125</v>
      </c>
      <c r="G4538" s="9"/>
      <c r="H4538" s="9">
        <v>99</v>
      </c>
      <c r="I4538" s="12">
        <v>54</v>
      </c>
      <c r="J4538" s="5" t="e">
        <f>SUM(SUMIFS(#REF!,#REF!,Planning[[#This Row],[Tipo de Tarea y especialidad]],#REF!,Planning[[#This Row],[Proyectos Reiwa]]),SUMIFS(#REF!,#REF!,Planning[[#This Row],[Tipo de Tarea y especialidad]],#REF!,Planning[[#This Row],[Proyectos]]))</f>
        <v>#REF!</v>
      </c>
      <c r="K4538" s="5" t="e">
        <f>+Planning[[#This Row],[Horas Planificadas]]+Planning[[#This Row],[Horas ajustadas adicionales]]-Planning[[#This Row],[Horas utilizadas]]</f>
        <v>#REF!</v>
      </c>
      <c r="L4538" s="7">
        <v>0</v>
      </c>
      <c r="M4538" s="19" t="e">
        <f>Planning[[#This Row],[Saldo]]-Planning[[#This Row],[Saldo estimado]]</f>
        <v>#REF!</v>
      </c>
      <c r="N4538" s="60" t="e">
        <f>+SUMIFS(#REF!,#REF!,Planning[[#This Row],[Proyectos]],#REF!,Planning[[#This Row],[Tipo de Tarea y especialidad]])</f>
        <v>#REF!</v>
      </c>
      <c r="O4538" s="19">
        <f t="shared" si="142"/>
        <v>10</v>
      </c>
      <c r="P4538" s="19">
        <f t="shared" si="141"/>
        <v>2024</v>
      </c>
      <c r="Q45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38" s="19" t="str">
        <f>TEXT(Planning[[#This Row],[Mes]]*29,"mmmm")</f>
        <v>October</v>
      </c>
      <c r="S45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38" s="210"/>
      <c r="U4538" s="43"/>
      <c r="V4538" s="43"/>
      <c r="W4538" s="44"/>
      <c r="X4538" s="142"/>
    </row>
    <row r="4539" spans="1:24" x14ac:dyDescent="0.2">
      <c r="A4539" s="9" t="s">
        <v>626</v>
      </c>
      <c r="B4539" s="9" t="s">
        <v>178</v>
      </c>
      <c r="C4539" s="3"/>
      <c r="D4539" s="3" t="s">
        <v>771</v>
      </c>
      <c r="E4539" s="4"/>
      <c r="F4539" s="3" t="s">
        <v>126</v>
      </c>
      <c r="G4539" s="9"/>
      <c r="H4539" s="9">
        <v>0</v>
      </c>
      <c r="I4539" s="12"/>
      <c r="J4539" s="5" t="e">
        <f>SUM(SUMIFS(#REF!,#REF!,Planning[[#This Row],[Tipo de Tarea y especialidad]],#REF!,Planning[[#This Row],[Proyectos Reiwa]]),SUMIFS(#REF!,#REF!,Planning[[#This Row],[Tipo de Tarea y especialidad]],#REF!,Planning[[#This Row],[Proyectos]]))</f>
        <v>#REF!</v>
      </c>
      <c r="K4539" s="5" t="e">
        <f>+Planning[[#This Row],[Horas Planificadas]]+Planning[[#This Row],[Horas ajustadas adicionales]]-Planning[[#This Row],[Horas utilizadas]]</f>
        <v>#REF!</v>
      </c>
      <c r="L4539" s="7">
        <v>0</v>
      </c>
      <c r="M4539" s="19" t="e">
        <f>Planning[[#This Row],[Saldo]]-Planning[[#This Row],[Saldo estimado]]</f>
        <v>#REF!</v>
      </c>
      <c r="N4539" s="60" t="e">
        <f>+SUMIFS(#REF!,#REF!,Planning[[#This Row],[Proyectos]],#REF!,Planning[[#This Row],[Tipo de Tarea y especialidad]])</f>
        <v>#REF!</v>
      </c>
      <c r="O4539" s="19">
        <f t="shared" si="142"/>
        <v>10</v>
      </c>
      <c r="P4539" s="19">
        <f t="shared" si="141"/>
        <v>2024</v>
      </c>
      <c r="Q45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39" s="19" t="str">
        <f>TEXT(Planning[[#This Row],[Mes]]*29,"mmmm")</f>
        <v>October</v>
      </c>
      <c r="S45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39" s="210"/>
      <c r="U4539" s="43"/>
      <c r="V4539" s="43"/>
      <c r="W4539" s="44"/>
      <c r="X4539" s="142"/>
    </row>
    <row r="4540" spans="1:24" x14ac:dyDescent="0.2">
      <c r="A4540" s="9" t="s">
        <v>626</v>
      </c>
      <c r="B4540" s="9" t="s">
        <v>178</v>
      </c>
      <c r="C4540" s="3"/>
      <c r="D4540" s="3" t="s">
        <v>771</v>
      </c>
      <c r="E4540" s="4"/>
      <c r="F4540" s="3" t="s">
        <v>127</v>
      </c>
      <c r="G4540" s="9"/>
      <c r="H4540" s="9">
        <v>90</v>
      </c>
      <c r="I4540" s="12">
        <v>90</v>
      </c>
      <c r="J4540" s="5" t="e">
        <f>SUM(SUMIFS(#REF!,#REF!,Planning[[#This Row],[Tipo de Tarea y especialidad]],#REF!,Planning[[#This Row],[Proyectos Reiwa]]),SUMIFS(#REF!,#REF!,Planning[[#This Row],[Tipo de Tarea y especialidad]],#REF!,Planning[[#This Row],[Proyectos]]))</f>
        <v>#REF!</v>
      </c>
      <c r="K4540" s="5" t="e">
        <f>+Planning[[#This Row],[Horas Planificadas]]+Planning[[#This Row],[Horas ajustadas adicionales]]-Planning[[#This Row],[Horas utilizadas]]</f>
        <v>#REF!</v>
      </c>
      <c r="L4540" s="7">
        <v>0</v>
      </c>
      <c r="M4540" s="19" t="e">
        <f>Planning[[#This Row],[Saldo]]-Planning[[#This Row],[Saldo estimado]]</f>
        <v>#REF!</v>
      </c>
      <c r="N4540" s="60" t="e">
        <f>+SUMIFS(#REF!,#REF!,Planning[[#This Row],[Proyectos]],#REF!,Planning[[#This Row],[Tipo de Tarea y especialidad]])</f>
        <v>#REF!</v>
      </c>
      <c r="O4540" s="19">
        <f t="shared" si="142"/>
        <v>10</v>
      </c>
      <c r="P4540" s="19">
        <f t="shared" si="141"/>
        <v>2024</v>
      </c>
      <c r="Q45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40" s="19" t="str">
        <f>TEXT(Planning[[#This Row],[Mes]]*29,"mmmm")</f>
        <v>October</v>
      </c>
      <c r="S45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40" s="210"/>
      <c r="U4540" s="43"/>
      <c r="V4540" s="43"/>
      <c r="W4540" s="44"/>
      <c r="X4540" s="142"/>
    </row>
    <row r="4541" spans="1:24" x14ac:dyDescent="0.2">
      <c r="A4541" s="9" t="s">
        <v>626</v>
      </c>
      <c r="B4541" s="9" t="s">
        <v>178</v>
      </c>
      <c r="C4541" s="3"/>
      <c r="D4541" s="3" t="s">
        <v>771</v>
      </c>
      <c r="E4541" s="4"/>
      <c r="F4541" s="3" t="s">
        <v>128</v>
      </c>
      <c r="G4541" s="9"/>
      <c r="H4541" s="9">
        <v>0</v>
      </c>
      <c r="I4541" s="12"/>
      <c r="J4541" s="5" t="e">
        <f>SUM(SUMIFS(#REF!,#REF!,Planning[[#This Row],[Tipo de Tarea y especialidad]],#REF!,Planning[[#This Row],[Proyectos Reiwa]]),SUMIFS(#REF!,#REF!,Planning[[#This Row],[Tipo de Tarea y especialidad]],#REF!,Planning[[#This Row],[Proyectos]]))</f>
        <v>#REF!</v>
      </c>
      <c r="K4541" s="5" t="e">
        <f>+Planning[[#This Row],[Horas Planificadas]]+Planning[[#This Row],[Horas ajustadas adicionales]]-Planning[[#This Row],[Horas utilizadas]]</f>
        <v>#REF!</v>
      </c>
      <c r="L4541" s="7">
        <v>0</v>
      </c>
      <c r="M4541" s="19" t="e">
        <f>Planning[[#This Row],[Saldo]]-Planning[[#This Row],[Saldo estimado]]</f>
        <v>#REF!</v>
      </c>
      <c r="N4541" s="60" t="e">
        <f>+SUMIFS(#REF!,#REF!,Planning[[#This Row],[Proyectos]],#REF!,Planning[[#This Row],[Tipo de Tarea y especialidad]])</f>
        <v>#REF!</v>
      </c>
      <c r="O4541" s="19">
        <f t="shared" si="142"/>
        <v>10</v>
      </c>
      <c r="P4541" s="19">
        <f t="shared" si="141"/>
        <v>2024</v>
      </c>
      <c r="Q45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41" s="19" t="str">
        <f>TEXT(Planning[[#This Row],[Mes]]*29,"mmmm")</f>
        <v>October</v>
      </c>
      <c r="S45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41" s="210"/>
      <c r="U4541" s="43"/>
      <c r="V4541" s="43"/>
      <c r="W4541" s="44"/>
      <c r="X4541" s="142"/>
    </row>
    <row r="4542" spans="1:24" x14ac:dyDescent="0.2">
      <c r="A4542" s="9" t="s">
        <v>626</v>
      </c>
      <c r="B4542" s="9" t="s">
        <v>178</v>
      </c>
      <c r="C4542" s="3"/>
      <c r="D4542" s="3" t="s">
        <v>771</v>
      </c>
      <c r="E4542" s="4" t="s">
        <v>31</v>
      </c>
      <c r="F4542" s="3" t="s">
        <v>31</v>
      </c>
      <c r="G4542" s="9">
        <v>54</v>
      </c>
      <c r="H4542" s="17">
        <v>54</v>
      </c>
      <c r="I4542" s="18"/>
      <c r="J4542" s="14" t="e">
        <f>+SUMIFS(#REF!,#REF!,Planning[[#This Row],[Tarifa]],#REF!,Planning[[#This Row],[Proyectos]])</f>
        <v>#REF!</v>
      </c>
      <c r="K4542" s="14" t="e">
        <f>+Planning[[#This Row],[Horas Planificadas]]+Planning[[#This Row],[Horas ajustadas adicionales]]-Planning[[#This Row],[Horas utilizadas]]</f>
        <v>#REF!</v>
      </c>
      <c r="L4542" s="15">
        <v>0</v>
      </c>
      <c r="M4542" s="16" t="e">
        <f>Planning[[#This Row],[Saldo]]-Planning[[#This Row],[Saldo estimado]]</f>
        <v>#REF!</v>
      </c>
      <c r="N4542" s="60"/>
      <c r="O4542" s="16">
        <f t="shared" si="142"/>
        <v>10</v>
      </c>
      <c r="P4542" s="16">
        <f t="shared" si="141"/>
        <v>2024</v>
      </c>
      <c r="Q4542" s="16" t="e">
        <f>+SUMIFS(#REF!,#REF!,Planning[[#This Row],[Tarifa]],#REF!,Planning[[#This Row],[Proyectos]],#REF!,Planning[[#This Row],[Mes]],#REF!,Planning[[#This Row],[Año]])</f>
        <v>#REF!</v>
      </c>
      <c r="R4542" s="16" t="str">
        <f>TEXT(Planning[[#This Row],[Mes]]*29,"mmmm")</f>
        <v>October</v>
      </c>
      <c r="S45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42" s="210"/>
      <c r="U4542" s="43"/>
      <c r="V4542" s="43"/>
      <c r="W4542" s="44"/>
      <c r="X4542" s="142"/>
    </row>
    <row r="4543" spans="1:24" ht="22.5" x14ac:dyDescent="0.2">
      <c r="A4543" s="9" t="s">
        <v>626</v>
      </c>
      <c r="B4543" s="9" t="s">
        <v>178</v>
      </c>
      <c r="C4543" s="3"/>
      <c r="D4543" s="3" t="s">
        <v>771</v>
      </c>
      <c r="E4543" s="4" t="s">
        <v>32</v>
      </c>
      <c r="F4543" s="3"/>
      <c r="G4543" s="9">
        <v>100</v>
      </c>
      <c r="H4543" s="14">
        <f>SUM(H4544:H4546)</f>
        <v>100</v>
      </c>
      <c r="I4543" s="14"/>
      <c r="J4543" s="14" t="e">
        <f>SUM(J4544:J4546)</f>
        <v>#REF!</v>
      </c>
      <c r="K4543" s="14" t="e">
        <f>+Planning[[#This Row],[Horas Planificadas]]+Planning[[#This Row],[Horas ajustadas adicionales]]-Planning[[#This Row],[Horas utilizadas]]</f>
        <v>#REF!</v>
      </c>
      <c r="L4543" s="15">
        <f>SUM(L4544:L4546)</f>
        <v>0</v>
      </c>
      <c r="M4543" s="16" t="e">
        <f>SUM(M4544:M4546)</f>
        <v>#REF!</v>
      </c>
      <c r="N4543" s="60"/>
      <c r="O4543" s="16">
        <f t="shared" si="142"/>
        <v>10</v>
      </c>
      <c r="P4543" s="16">
        <f t="shared" si="141"/>
        <v>2024</v>
      </c>
      <c r="Q4543" s="16" t="e">
        <f>SUM(Q4544:Q4546)</f>
        <v>#REF!</v>
      </c>
      <c r="R4543" s="16" t="str">
        <f>TEXT(Planning[[#This Row],[Mes]]*29,"mmmm")</f>
        <v>October</v>
      </c>
      <c r="S45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43" s="210"/>
      <c r="U4543" s="43"/>
      <c r="V4543" s="43"/>
      <c r="W4543" s="44"/>
      <c r="X4543" s="142"/>
    </row>
    <row r="4544" spans="1:24" x14ac:dyDescent="0.2">
      <c r="A4544" s="9" t="s">
        <v>626</v>
      </c>
      <c r="B4544" s="9" t="s">
        <v>178</v>
      </c>
      <c r="C4544" s="3"/>
      <c r="D4544" s="3" t="s">
        <v>771</v>
      </c>
      <c r="E4544" s="4"/>
      <c r="F4544" s="3" t="s">
        <v>129</v>
      </c>
      <c r="G4544" s="9"/>
      <c r="H4544" s="9">
        <v>0</v>
      </c>
      <c r="I4544" s="12"/>
      <c r="J4544" s="5" t="e">
        <f>SUM(SUMIFS(#REF!,#REF!,Planning[[#This Row],[Tipo de Tarea y especialidad]],#REF!,Planning[[#This Row],[Proyectos Reiwa]]),SUMIFS(#REF!,#REF!,Planning[[#This Row],[Tipo de Tarea y especialidad]],#REF!,Planning[[#This Row],[Proyectos]]))</f>
        <v>#REF!</v>
      </c>
      <c r="K4544" s="5" t="e">
        <f>+Planning[[#This Row],[Horas Planificadas]]+Planning[[#This Row],[Horas ajustadas adicionales]]-Planning[[#This Row],[Horas utilizadas]]</f>
        <v>#REF!</v>
      </c>
      <c r="L4544" s="7">
        <v>0</v>
      </c>
      <c r="M4544" s="19" t="e">
        <f>Planning[[#This Row],[Saldo]]-Planning[[#This Row],[Saldo estimado]]</f>
        <v>#REF!</v>
      </c>
      <c r="N4544" s="60" t="e">
        <f>+SUMIFS(#REF!,#REF!,Planning[[#This Row],[Proyectos]],#REF!,Planning[[#This Row],[Tipo de Tarea y especialidad]])</f>
        <v>#REF!</v>
      </c>
      <c r="O4544" s="19">
        <f t="shared" si="142"/>
        <v>10</v>
      </c>
      <c r="P4544" s="19">
        <f t="shared" si="141"/>
        <v>2024</v>
      </c>
      <c r="Q45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44" s="19" t="str">
        <f>TEXT(Planning[[#This Row],[Mes]]*29,"mmmm")</f>
        <v>October</v>
      </c>
      <c r="S45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44" s="210"/>
      <c r="U4544" s="43"/>
      <c r="V4544" s="43"/>
      <c r="W4544" s="44"/>
      <c r="X4544" s="142"/>
    </row>
    <row r="4545" spans="1:24" x14ac:dyDescent="0.2">
      <c r="A4545" s="9" t="s">
        <v>626</v>
      </c>
      <c r="B4545" s="9" t="s">
        <v>178</v>
      </c>
      <c r="C4545" s="3"/>
      <c r="D4545" s="3" t="s">
        <v>771</v>
      </c>
      <c r="E4545" s="4"/>
      <c r="F4545" s="3" t="s">
        <v>130</v>
      </c>
      <c r="G4545" s="9"/>
      <c r="H4545" s="9">
        <v>100</v>
      </c>
      <c r="I4545" s="12"/>
      <c r="J4545" s="5" t="e">
        <f>SUM(SUMIFS(#REF!,#REF!,Planning[[#This Row],[Tipo de Tarea y especialidad]],#REF!,Planning[[#This Row],[Proyectos Reiwa]]),SUMIFS(#REF!,#REF!,Planning[[#This Row],[Tipo de Tarea y especialidad]],#REF!,Planning[[#This Row],[Proyectos]]))</f>
        <v>#REF!</v>
      </c>
      <c r="K4545" s="5" t="e">
        <f>+Planning[[#This Row],[Horas Planificadas]]+Planning[[#This Row],[Horas ajustadas adicionales]]-Planning[[#This Row],[Horas utilizadas]]</f>
        <v>#REF!</v>
      </c>
      <c r="L4545" s="7">
        <v>0</v>
      </c>
      <c r="M4545" s="19" t="e">
        <f>Planning[[#This Row],[Saldo]]-Planning[[#This Row],[Saldo estimado]]</f>
        <v>#REF!</v>
      </c>
      <c r="N4545" s="60" t="e">
        <f>+SUMIFS(#REF!,#REF!,Planning[[#This Row],[Proyectos]],#REF!,Planning[[#This Row],[Tipo de Tarea y especialidad]])</f>
        <v>#REF!</v>
      </c>
      <c r="O4545" s="19">
        <f t="shared" si="142"/>
        <v>10</v>
      </c>
      <c r="P4545" s="19">
        <f t="shared" si="141"/>
        <v>2024</v>
      </c>
      <c r="Q45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45" s="19" t="str">
        <f>TEXT(Planning[[#This Row],[Mes]]*29,"mmmm")</f>
        <v>October</v>
      </c>
      <c r="S45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45" s="210"/>
      <c r="U4545" s="43"/>
      <c r="V4545" s="43"/>
      <c r="W4545" s="44"/>
      <c r="X4545" s="142"/>
    </row>
    <row r="4546" spans="1:24" x14ac:dyDescent="0.2">
      <c r="A4546" s="9" t="s">
        <v>626</v>
      </c>
      <c r="B4546" s="9" t="s">
        <v>178</v>
      </c>
      <c r="C4546" s="3"/>
      <c r="D4546" s="3" t="s">
        <v>771</v>
      </c>
      <c r="E4546" s="4"/>
      <c r="F4546" s="3" t="s">
        <v>131</v>
      </c>
      <c r="G4546" s="9"/>
      <c r="H4546" s="9">
        <v>0</v>
      </c>
      <c r="I4546" s="12"/>
      <c r="J4546" s="5" t="e">
        <f>SUM(SUMIFS(#REF!,#REF!,Planning[[#This Row],[Tipo de Tarea y especialidad]],#REF!,Planning[[#This Row],[Proyectos Reiwa]]),SUMIFS(#REF!,#REF!,Planning[[#This Row],[Tipo de Tarea y especialidad]],#REF!,Planning[[#This Row],[Proyectos]]))</f>
        <v>#REF!</v>
      </c>
      <c r="K4546" s="5" t="e">
        <f>+Planning[[#This Row],[Horas Planificadas]]+Planning[[#This Row],[Horas ajustadas adicionales]]-Planning[[#This Row],[Horas utilizadas]]</f>
        <v>#REF!</v>
      </c>
      <c r="L4546" s="7">
        <v>0</v>
      </c>
      <c r="M4546" s="19" t="e">
        <f>Planning[[#This Row],[Saldo]]-Planning[[#This Row],[Saldo estimado]]</f>
        <v>#REF!</v>
      </c>
      <c r="N4546" s="60" t="e">
        <f>+SUMIFS(#REF!,#REF!,Planning[[#This Row],[Proyectos]],#REF!,Planning[[#This Row],[Tipo de Tarea y especialidad]])</f>
        <v>#REF!</v>
      </c>
      <c r="O4546" s="19">
        <f t="shared" si="142"/>
        <v>10</v>
      </c>
      <c r="P4546" s="19">
        <f t="shared" si="141"/>
        <v>2024</v>
      </c>
      <c r="Q45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46" s="19" t="str">
        <f>TEXT(Planning[[#This Row],[Mes]]*29,"mmmm")</f>
        <v>October</v>
      </c>
      <c r="S45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46" s="210"/>
      <c r="U4546" s="43"/>
      <c r="V4546" s="43"/>
      <c r="W4546" s="44"/>
      <c r="X4546" s="142"/>
    </row>
    <row r="4547" spans="1:24" ht="12.75" customHeight="1" x14ac:dyDescent="0.2">
      <c r="A4547" s="7" t="s">
        <v>684</v>
      </c>
      <c r="B4547" s="7" t="s">
        <v>169</v>
      </c>
      <c r="C4547" s="3"/>
      <c r="D4547" s="3" t="s">
        <v>773</v>
      </c>
      <c r="E4547" s="4" t="s">
        <v>28</v>
      </c>
      <c r="F4547" s="3"/>
      <c r="G4547" s="9">
        <v>3959</v>
      </c>
      <c r="H4547" s="14">
        <f>SUM(H4548:H4549)</f>
        <v>4431</v>
      </c>
      <c r="I4547" s="14">
        <f>I4549</f>
        <v>120</v>
      </c>
      <c r="J4547" s="14" t="e">
        <f>SUM(J4548:J4549)</f>
        <v>#REF!</v>
      </c>
      <c r="K4547" s="14" t="e">
        <f>+Planning[[#This Row],[Horas Planificadas]]+Planning[[#This Row],[Horas ajustadas adicionales]]-Planning[[#This Row],[Horas utilizadas]]</f>
        <v>#REF!</v>
      </c>
      <c r="L4547" s="15">
        <f>SUM(L4548:L4549)</f>
        <v>45</v>
      </c>
      <c r="M4547" s="14" t="e">
        <f>SUM(M4548:M4549)</f>
        <v>#REF!</v>
      </c>
      <c r="N4547" s="66"/>
      <c r="O4547" s="14">
        <f t="shared" si="142"/>
        <v>10</v>
      </c>
      <c r="P4547" s="14">
        <f t="shared" si="141"/>
        <v>2024</v>
      </c>
      <c r="Q4547" s="28" t="e">
        <f>SUM(Q4548:Q4549)</f>
        <v>#REF!</v>
      </c>
      <c r="R4547" s="24" t="str">
        <f>TEXT(Planning[[#This Row],[Mes]]*29,"mmmm")</f>
        <v>October</v>
      </c>
      <c r="S454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47" s="204" t="s">
        <v>774</v>
      </c>
      <c r="U4547" s="43" t="e">
        <f>IF(Planning[[#This Row],[Horas Planificadas]]&lt;&gt;0,+K4547/Planning[[#This Row],[Horas Planificadas]],0)</f>
        <v>#REF!</v>
      </c>
      <c r="V4547" s="43" t="e">
        <f>IF(Planning[[#This Row],[Horas Planificadas]]&lt;&gt;0,Planning[[#This Row],[Horas utilizadas]]/Planning[[#This Row],[Horas Planificadas]],0)</f>
        <v>#REF!</v>
      </c>
      <c r="W4547" s="44">
        <f>Planning[[#This Row],[Horas Planificadas]]+Planning[[#This Row],[Horas ajustadas adicionales]]</f>
        <v>4551</v>
      </c>
      <c r="X4547" s="142"/>
    </row>
    <row r="4548" spans="1:24" x14ac:dyDescent="0.2">
      <c r="A4548" s="7" t="s">
        <v>684</v>
      </c>
      <c r="B4548" s="7" t="s">
        <v>169</v>
      </c>
      <c r="C4548" s="3"/>
      <c r="D4548" s="3" t="s">
        <v>773</v>
      </c>
      <c r="E4548" s="4"/>
      <c r="F4548" s="3" t="s">
        <v>120</v>
      </c>
      <c r="G4548" s="9">
        <v>3035</v>
      </c>
      <c r="H4548" s="9">
        <f>3035+56</f>
        <v>3091</v>
      </c>
      <c r="I4548" s="12"/>
      <c r="J4548" s="5" t="e">
        <f>SUM(SUMIFS(#REF!,#REF!,Planning[[#This Row],[Tipo de Tarea y especialidad]],#REF!,Planning[[#This Row],[Proyectos Reiwa]]),SUMIFS(#REF!,#REF!,Planning[[#This Row],[Tipo de Tarea y especialidad]],#REF!,Planning[[#This Row],[Proyectos]]))</f>
        <v>#REF!</v>
      </c>
      <c r="K4548" s="5" t="e">
        <f>+Planning[[#This Row],[Horas Planificadas]]+Planning[[#This Row],[Horas ajustadas adicionales]]-Planning[[#This Row],[Horas utilizadas]]</f>
        <v>#REF!</v>
      </c>
      <c r="L4548" s="7">
        <v>0</v>
      </c>
      <c r="M4548" s="19" t="e">
        <f>Planning[[#This Row],[Saldo]]-Planning[[#This Row],[Saldo estimado]]</f>
        <v>#REF!</v>
      </c>
      <c r="N4548" s="60" t="e">
        <f>+SUMIFS(#REF!,#REF!,Planning[[#This Row],[Proyectos]],#REF!,Planning[[#This Row],[Tipo de Tarea y especialidad]])</f>
        <v>#REF!</v>
      </c>
      <c r="O4548" s="19">
        <f t="shared" si="142"/>
        <v>10</v>
      </c>
      <c r="P4548" s="19">
        <f t="shared" si="141"/>
        <v>2024</v>
      </c>
      <c r="Q45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48" s="49" t="str">
        <f>TEXT(Planning[[#This Row],[Mes]]*29,"mmmm")</f>
        <v>October</v>
      </c>
      <c r="S454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48" s="205"/>
      <c r="U4548" s="43" t="e">
        <f>IF(Planning[[#This Row],[Horas Planificadas]]&lt;&gt;0,+K4548/Planning[[#This Row],[Horas Planificadas]],0)</f>
        <v>#REF!</v>
      </c>
      <c r="V4548" s="43" t="e">
        <f>IF(Planning[[#This Row],[Horas Planificadas]]&lt;&gt;0,Planning[[#This Row],[Horas utilizadas]]/Planning[[#This Row],[Horas Planificadas]],0)</f>
        <v>#REF!</v>
      </c>
      <c r="W4548" s="44">
        <f>Planning[[#This Row],[Horas Planificadas]]+Planning[[#This Row],[Horas ajustadas adicionales]]</f>
        <v>3091</v>
      </c>
      <c r="X4548" s="142"/>
    </row>
    <row r="4549" spans="1:24" x14ac:dyDescent="0.2">
      <c r="A4549" s="7" t="s">
        <v>684</v>
      </c>
      <c r="B4549" s="7" t="s">
        <v>169</v>
      </c>
      <c r="C4549" s="3"/>
      <c r="D4549" s="3" t="s">
        <v>773</v>
      </c>
      <c r="E4549" s="4"/>
      <c r="F4549" s="3" t="s">
        <v>121</v>
      </c>
      <c r="G4549" s="9">
        <v>924</v>
      </c>
      <c r="H4549" s="9">
        <f>924+416</f>
        <v>1340</v>
      </c>
      <c r="I4549" s="12">
        <f>90+30</f>
        <v>120</v>
      </c>
      <c r="J4549" s="5" t="e">
        <f>SUM(SUMIFS(#REF!,#REF!,Planning[[#This Row],[Tipo de Tarea y especialidad]],#REF!,Planning[[#This Row],[Proyectos Reiwa]]),SUMIFS(#REF!,#REF!,Planning[[#This Row],[Tipo de Tarea y especialidad]],#REF!,Planning[[#This Row],[Proyectos]]))</f>
        <v>#REF!</v>
      </c>
      <c r="K4549" s="5" t="e">
        <f>+Planning[[#This Row],[Horas Planificadas]]+Planning[[#This Row],[Horas ajustadas adicionales]]-Planning[[#This Row],[Horas utilizadas]]</f>
        <v>#REF!</v>
      </c>
      <c r="L4549" s="7">
        <v>45</v>
      </c>
      <c r="M4549" s="19" t="e">
        <f>Planning[[#This Row],[Saldo]]-Planning[[#This Row],[Saldo estimado]]</f>
        <v>#REF!</v>
      </c>
      <c r="N4549" s="60" t="e">
        <f>+SUMIFS(#REF!,#REF!,Planning[[#This Row],[Proyectos]],#REF!,Planning[[#This Row],[Tipo de Tarea y especialidad]])</f>
        <v>#REF!</v>
      </c>
      <c r="O4549" s="19">
        <f t="shared" si="142"/>
        <v>10</v>
      </c>
      <c r="P4549" s="19">
        <f t="shared" si="141"/>
        <v>2024</v>
      </c>
      <c r="Q45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49" s="49" t="str">
        <f>TEXT(Planning[[#This Row],[Mes]]*29,"mmmm")</f>
        <v>October</v>
      </c>
      <c r="S454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49" s="205"/>
      <c r="U4549" s="43" t="e">
        <f>IF(Planning[[#This Row],[Horas Planificadas]]&lt;&gt;0,+K4549/Planning[[#This Row],[Horas Planificadas]],0)</f>
        <v>#REF!</v>
      </c>
      <c r="V4549" s="43" t="e">
        <f>IF(Planning[[#This Row],[Horas Planificadas]]&lt;&gt;0,Planning[[#This Row],[Horas utilizadas]]/Planning[[#This Row],[Horas Planificadas]],0)</f>
        <v>#REF!</v>
      </c>
      <c r="W4549" s="44">
        <f>Planning[[#This Row],[Horas Planificadas]]+Planning[[#This Row],[Horas ajustadas adicionales]]</f>
        <v>1460</v>
      </c>
      <c r="X4549" s="142"/>
    </row>
    <row r="4550" spans="1:24" x14ac:dyDescent="0.2">
      <c r="A4550" s="7" t="s">
        <v>684</v>
      </c>
      <c r="B4550" s="7" t="s">
        <v>169</v>
      </c>
      <c r="C4550" s="3"/>
      <c r="D4550" s="3" t="s">
        <v>773</v>
      </c>
      <c r="E4550" s="4" t="s">
        <v>30</v>
      </c>
      <c r="F4550" s="3"/>
      <c r="G4550" s="9">
        <v>1550</v>
      </c>
      <c r="H4550" s="14">
        <f>SUM(H4551:H4557)</f>
        <v>2340</v>
      </c>
      <c r="I4550" s="14"/>
      <c r="J4550" s="14" t="e">
        <f>SUM(J4551:J4557)</f>
        <v>#REF!</v>
      </c>
      <c r="K4550" s="14" t="e">
        <f>+Planning[[#This Row],[Horas Planificadas]]+Planning[[#This Row],[Horas ajustadas adicionales]]-Planning[[#This Row],[Horas utilizadas]]</f>
        <v>#REF!</v>
      </c>
      <c r="L4550" s="15">
        <f>SUM(L4551:L4557)</f>
        <v>0</v>
      </c>
      <c r="M4550" s="16" t="e">
        <f>SUM(M4551:M4557)</f>
        <v>#REF!</v>
      </c>
      <c r="N4550" s="60"/>
      <c r="O4550" s="16">
        <f t="shared" si="142"/>
        <v>10</v>
      </c>
      <c r="P4550" s="16">
        <f t="shared" si="141"/>
        <v>2024</v>
      </c>
      <c r="Q4550" s="16" t="e">
        <f>SUM(Q4551:Q4557)</f>
        <v>#REF!</v>
      </c>
      <c r="R4550" s="50" t="str">
        <f>TEXT(Planning[[#This Row],[Mes]]*29,"mmmm")</f>
        <v>October</v>
      </c>
      <c r="S455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50" s="205"/>
      <c r="U4550" s="43" t="e">
        <f>IF(Planning[[#This Row],[Horas Planificadas]]&lt;&gt;0,+K4550/Planning[[#This Row],[Horas Planificadas]],0)</f>
        <v>#REF!</v>
      </c>
      <c r="V4550" s="43" t="e">
        <f>IF(Planning[[#This Row],[Horas Planificadas]]&lt;&gt;0,Planning[[#This Row],[Horas utilizadas]]/Planning[[#This Row],[Horas Planificadas]],0)</f>
        <v>#REF!</v>
      </c>
      <c r="W4550" s="44">
        <f>Planning[[#This Row],[Horas Planificadas]]+Planning[[#This Row],[Horas ajustadas adicionales]]</f>
        <v>2340</v>
      </c>
      <c r="X4550" s="142"/>
    </row>
    <row r="4551" spans="1:24" x14ac:dyDescent="0.2">
      <c r="A4551" s="7" t="s">
        <v>684</v>
      </c>
      <c r="B4551" s="7" t="s">
        <v>169</v>
      </c>
      <c r="C4551" s="3"/>
      <c r="D4551" s="3" t="s">
        <v>773</v>
      </c>
      <c r="E4551" s="4"/>
      <c r="F4551" s="3" t="s">
        <v>122</v>
      </c>
      <c r="G4551" s="9">
        <v>474</v>
      </c>
      <c r="H4551" s="9">
        <f>474+474</f>
        <v>948</v>
      </c>
      <c r="I4551" s="12"/>
      <c r="J4551" s="5" t="e">
        <f>SUM(SUMIFS(#REF!,#REF!,Planning[[#This Row],[Tipo de Tarea y especialidad]],#REF!,Planning[[#This Row],[Proyectos Reiwa]]),SUMIFS(#REF!,#REF!,Planning[[#This Row],[Tipo de Tarea y especialidad]],#REF!,Planning[[#This Row],[Proyectos]]))</f>
        <v>#REF!</v>
      </c>
      <c r="K4551" s="5" t="e">
        <f>+Planning[[#This Row],[Horas Planificadas]]+Planning[[#This Row],[Horas ajustadas adicionales]]-Planning[[#This Row],[Horas utilizadas]]</f>
        <v>#REF!</v>
      </c>
      <c r="L4551" s="7">
        <v>0</v>
      </c>
      <c r="M4551" s="19" t="e">
        <f>Planning[[#This Row],[Saldo]]-Planning[[#This Row],[Saldo estimado]]</f>
        <v>#REF!</v>
      </c>
      <c r="N4551" s="60" t="e">
        <f>+SUMIFS(#REF!,#REF!,Planning[[#This Row],[Proyectos]],#REF!,Planning[[#This Row],[Tipo de Tarea y especialidad]])</f>
        <v>#REF!</v>
      </c>
      <c r="O4551" s="19">
        <f t="shared" ref="O4551:O4594" si="143">$L$4</f>
        <v>10</v>
      </c>
      <c r="P4551" s="19">
        <f t="shared" ref="P4551:P4594" si="144">$M$4</f>
        <v>2024</v>
      </c>
      <c r="Q45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51" s="49" t="str">
        <f>TEXT(Planning[[#This Row],[Mes]]*29,"mmmm")</f>
        <v>October</v>
      </c>
      <c r="S455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51" s="205"/>
      <c r="U4551" s="43" t="e">
        <f>IF(Planning[[#This Row],[Horas Planificadas]]&lt;&gt;0,+K4551/Planning[[#This Row],[Horas Planificadas]],0)</f>
        <v>#REF!</v>
      </c>
      <c r="V4551" s="43" t="e">
        <f>IF(Planning[[#This Row],[Horas Planificadas]]&lt;&gt;0,Planning[[#This Row],[Horas utilizadas]]/Planning[[#This Row],[Horas Planificadas]],0)</f>
        <v>#REF!</v>
      </c>
      <c r="W4551" s="44">
        <f>Planning[[#This Row],[Horas Planificadas]]+Planning[[#This Row],[Horas ajustadas adicionales]]</f>
        <v>948</v>
      </c>
      <c r="X4551" s="142"/>
    </row>
    <row r="4552" spans="1:24" x14ac:dyDescent="0.2">
      <c r="A4552" s="7" t="s">
        <v>684</v>
      </c>
      <c r="B4552" s="7" t="s">
        <v>169</v>
      </c>
      <c r="C4552" s="3"/>
      <c r="D4552" s="3" t="s">
        <v>773</v>
      </c>
      <c r="E4552" s="4"/>
      <c r="F4552" s="3" t="s">
        <v>123</v>
      </c>
      <c r="G4552" s="9">
        <v>0</v>
      </c>
      <c r="H4552" s="9">
        <v>0</v>
      </c>
      <c r="I4552" s="12"/>
      <c r="J4552" s="5" t="e">
        <f>SUM(SUMIFS(#REF!,#REF!,Planning[[#This Row],[Tipo de Tarea y especialidad]],#REF!,Planning[[#This Row],[Proyectos Reiwa]]),SUMIFS(#REF!,#REF!,Planning[[#This Row],[Tipo de Tarea y especialidad]],#REF!,Planning[[#This Row],[Proyectos]]))</f>
        <v>#REF!</v>
      </c>
      <c r="K4552" s="5" t="e">
        <f>+Planning[[#This Row],[Horas Planificadas]]+Planning[[#This Row],[Horas ajustadas adicionales]]-Planning[[#This Row],[Horas utilizadas]]</f>
        <v>#REF!</v>
      </c>
      <c r="L4552" s="7">
        <v>0</v>
      </c>
      <c r="M4552" s="19" t="e">
        <f>Planning[[#This Row],[Saldo]]-Planning[[#This Row],[Saldo estimado]]</f>
        <v>#REF!</v>
      </c>
      <c r="N4552" s="60" t="e">
        <f>+SUMIFS(#REF!,#REF!,Planning[[#This Row],[Proyectos]],#REF!,Planning[[#This Row],[Tipo de Tarea y especialidad]])</f>
        <v>#REF!</v>
      </c>
      <c r="O4552" s="19">
        <f t="shared" si="143"/>
        <v>10</v>
      </c>
      <c r="P4552" s="19">
        <f t="shared" si="144"/>
        <v>2024</v>
      </c>
      <c r="Q45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52" s="49" t="str">
        <f>TEXT(Planning[[#This Row],[Mes]]*29,"mmmm")</f>
        <v>October</v>
      </c>
      <c r="S455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52" s="205"/>
      <c r="U4552" s="43">
        <f>IF(Planning[[#This Row],[Horas Planificadas]]&lt;&gt;0,+K4552/Planning[[#This Row],[Horas Planificadas]],0)</f>
        <v>0</v>
      </c>
      <c r="V4552" s="43">
        <f>IF(Planning[[#This Row],[Horas Planificadas]]&lt;&gt;0,Planning[[#This Row],[Horas utilizadas]]/Planning[[#This Row],[Horas Planificadas]],0)</f>
        <v>0</v>
      </c>
      <c r="W4552" s="44">
        <f>Planning[[#This Row],[Horas Planificadas]]+Planning[[#This Row],[Horas ajustadas adicionales]]</f>
        <v>0</v>
      </c>
      <c r="X4552" s="142"/>
    </row>
    <row r="4553" spans="1:24" x14ac:dyDescent="0.2">
      <c r="A4553" s="7" t="s">
        <v>684</v>
      </c>
      <c r="B4553" s="7" t="s">
        <v>169</v>
      </c>
      <c r="C4553" s="3"/>
      <c r="D4553" s="3" t="s">
        <v>773</v>
      </c>
      <c r="E4553" s="4"/>
      <c r="F4553" s="3" t="s">
        <v>124</v>
      </c>
      <c r="G4553" s="9">
        <v>0</v>
      </c>
      <c r="H4553" s="9">
        <v>0</v>
      </c>
      <c r="I4553" s="12"/>
      <c r="J4553" s="5" t="e">
        <f>SUM(SUMIFS(#REF!,#REF!,Planning[[#This Row],[Tipo de Tarea y especialidad]],#REF!,Planning[[#This Row],[Proyectos Reiwa]]),SUMIFS(#REF!,#REF!,Planning[[#This Row],[Tipo de Tarea y especialidad]],#REF!,Planning[[#This Row],[Proyectos]]))</f>
        <v>#REF!</v>
      </c>
      <c r="K4553" s="5" t="e">
        <f>+Planning[[#This Row],[Horas Planificadas]]+Planning[[#This Row],[Horas ajustadas adicionales]]-Planning[[#This Row],[Horas utilizadas]]</f>
        <v>#REF!</v>
      </c>
      <c r="L4553" s="7">
        <v>0</v>
      </c>
      <c r="M4553" s="19" t="e">
        <f>Planning[[#This Row],[Saldo]]-Planning[[#This Row],[Saldo estimado]]</f>
        <v>#REF!</v>
      </c>
      <c r="N4553" s="60" t="e">
        <f>+SUMIFS(#REF!,#REF!,Planning[[#This Row],[Proyectos]],#REF!,Planning[[#This Row],[Tipo de Tarea y especialidad]])</f>
        <v>#REF!</v>
      </c>
      <c r="O4553" s="19">
        <f t="shared" si="143"/>
        <v>10</v>
      </c>
      <c r="P4553" s="19">
        <f t="shared" si="144"/>
        <v>2024</v>
      </c>
      <c r="Q45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53" s="49" t="str">
        <f>TEXT(Planning[[#This Row],[Mes]]*29,"mmmm")</f>
        <v>October</v>
      </c>
      <c r="S455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53" s="205"/>
      <c r="U4553" s="43">
        <f>IF(Planning[[#This Row],[Horas Planificadas]]&lt;&gt;0,+K4553/Planning[[#This Row],[Horas Planificadas]],0)</f>
        <v>0</v>
      </c>
      <c r="V4553" s="43">
        <f>IF(Planning[[#This Row],[Horas Planificadas]]&lt;&gt;0,Planning[[#This Row],[Horas utilizadas]]/Planning[[#This Row],[Horas Planificadas]],0)</f>
        <v>0</v>
      </c>
      <c r="W4553" s="44">
        <f>Planning[[#This Row],[Horas Planificadas]]+Planning[[#This Row],[Horas ajustadas adicionales]]</f>
        <v>0</v>
      </c>
      <c r="X4553" s="142"/>
    </row>
    <row r="4554" spans="1:24" x14ac:dyDescent="0.2">
      <c r="A4554" s="7" t="s">
        <v>684</v>
      </c>
      <c r="B4554" s="7" t="s">
        <v>169</v>
      </c>
      <c r="C4554" s="3"/>
      <c r="D4554" s="3" t="s">
        <v>773</v>
      </c>
      <c r="E4554" s="4"/>
      <c r="F4554" s="3" t="s">
        <v>125</v>
      </c>
      <c r="G4554" s="9">
        <v>342</v>
      </c>
      <c r="H4554" s="9">
        <v>342</v>
      </c>
      <c r="I4554" s="12"/>
      <c r="J4554" s="5" t="e">
        <f>SUM(SUMIFS(#REF!,#REF!,Planning[[#This Row],[Tipo de Tarea y especialidad]],#REF!,Planning[[#This Row],[Proyectos Reiwa]]),SUMIFS(#REF!,#REF!,Planning[[#This Row],[Tipo de Tarea y especialidad]],#REF!,Planning[[#This Row],[Proyectos]]))</f>
        <v>#REF!</v>
      </c>
      <c r="K4554" s="5" t="e">
        <f>+Planning[[#This Row],[Horas Planificadas]]+Planning[[#This Row],[Horas ajustadas adicionales]]-Planning[[#This Row],[Horas utilizadas]]</f>
        <v>#REF!</v>
      </c>
      <c r="L4554" s="7">
        <v>0</v>
      </c>
      <c r="M4554" s="19" t="e">
        <f>Planning[[#This Row],[Saldo]]-Planning[[#This Row],[Saldo estimado]]</f>
        <v>#REF!</v>
      </c>
      <c r="N4554" s="60" t="e">
        <f>+SUMIFS(#REF!,#REF!,Planning[[#This Row],[Proyectos]],#REF!,Planning[[#This Row],[Tipo de Tarea y especialidad]])</f>
        <v>#REF!</v>
      </c>
      <c r="O4554" s="19">
        <f t="shared" si="143"/>
        <v>10</v>
      </c>
      <c r="P4554" s="19">
        <f t="shared" si="144"/>
        <v>2024</v>
      </c>
      <c r="Q45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54" s="49" t="str">
        <f>TEXT(Planning[[#This Row],[Mes]]*29,"mmmm")</f>
        <v>October</v>
      </c>
      <c r="S455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54" s="205"/>
      <c r="U4554" s="43" t="e">
        <f>IF(Planning[[#This Row],[Horas Planificadas]]&lt;&gt;0,+K4554/Planning[[#This Row],[Horas Planificadas]],0)</f>
        <v>#REF!</v>
      </c>
      <c r="V4554" s="43" t="e">
        <f>IF(Planning[[#This Row],[Horas Planificadas]]&lt;&gt;0,Planning[[#This Row],[Horas utilizadas]]/Planning[[#This Row],[Horas Planificadas]],0)</f>
        <v>#REF!</v>
      </c>
      <c r="W4554" s="44">
        <f>Planning[[#This Row],[Horas Planificadas]]+Planning[[#This Row],[Horas ajustadas adicionales]]</f>
        <v>342</v>
      </c>
      <c r="X4554" s="142"/>
    </row>
    <row r="4555" spans="1:24" x14ac:dyDescent="0.2">
      <c r="A4555" s="7" t="s">
        <v>684</v>
      </c>
      <c r="B4555" s="7" t="s">
        <v>169</v>
      </c>
      <c r="C4555" s="3"/>
      <c r="D4555" s="3" t="s">
        <v>773</v>
      </c>
      <c r="E4555" s="4"/>
      <c r="F4555" s="3" t="s">
        <v>126</v>
      </c>
      <c r="G4555" s="9">
        <v>734</v>
      </c>
      <c r="H4555" s="9">
        <f>734+316</f>
        <v>1050</v>
      </c>
      <c r="I4555" s="12"/>
      <c r="J4555" s="5" t="e">
        <f>SUM(SUMIFS(#REF!,#REF!,Planning[[#This Row],[Tipo de Tarea y especialidad]],#REF!,Planning[[#This Row],[Proyectos Reiwa]]),SUMIFS(#REF!,#REF!,Planning[[#This Row],[Tipo de Tarea y especialidad]],#REF!,Planning[[#This Row],[Proyectos]]))</f>
        <v>#REF!</v>
      </c>
      <c r="K4555" s="5" t="e">
        <f>+Planning[[#This Row],[Horas Planificadas]]+Planning[[#This Row],[Horas ajustadas adicionales]]-Planning[[#This Row],[Horas utilizadas]]</f>
        <v>#REF!</v>
      </c>
      <c r="L4555" s="7">
        <v>0</v>
      </c>
      <c r="M4555" s="19" t="e">
        <f>Planning[[#This Row],[Saldo]]-Planning[[#This Row],[Saldo estimado]]</f>
        <v>#REF!</v>
      </c>
      <c r="N4555" s="60" t="e">
        <f>+SUMIFS(#REF!,#REF!,Planning[[#This Row],[Proyectos]],#REF!,Planning[[#This Row],[Tipo de Tarea y especialidad]])</f>
        <v>#REF!</v>
      </c>
      <c r="O4555" s="19">
        <f t="shared" si="143"/>
        <v>10</v>
      </c>
      <c r="P4555" s="19">
        <f t="shared" si="144"/>
        <v>2024</v>
      </c>
      <c r="Q45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55" s="49" t="str">
        <f>TEXT(Planning[[#This Row],[Mes]]*29,"mmmm")</f>
        <v>October</v>
      </c>
      <c r="S455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55" s="205"/>
      <c r="U4555" s="43" t="e">
        <f>IF(Planning[[#This Row],[Horas Planificadas]]&lt;&gt;0,+K4555/Planning[[#This Row],[Horas Planificadas]],0)</f>
        <v>#REF!</v>
      </c>
      <c r="V4555" s="43" t="e">
        <f>IF(Planning[[#This Row],[Horas Planificadas]]&lt;&gt;0,Planning[[#This Row],[Horas utilizadas]]/Planning[[#This Row],[Horas Planificadas]],0)</f>
        <v>#REF!</v>
      </c>
      <c r="W4555" s="44">
        <f>Planning[[#This Row],[Horas Planificadas]]+Planning[[#This Row],[Horas ajustadas adicionales]]</f>
        <v>1050</v>
      </c>
      <c r="X4555" s="142"/>
    </row>
    <row r="4556" spans="1:24" x14ac:dyDescent="0.2">
      <c r="A4556" s="7" t="s">
        <v>684</v>
      </c>
      <c r="B4556" s="7" t="s">
        <v>169</v>
      </c>
      <c r="C4556" s="3"/>
      <c r="D4556" s="3" t="s">
        <v>773</v>
      </c>
      <c r="E4556" s="4"/>
      <c r="F4556" s="3" t="s">
        <v>127</v>
      </c>
      <c r="G4556" s="9">
        <v>0</v>
      </c>
      <c r="H4556" s="9">
        <v>0</v>
      </c>
      <c r="I4556" s="12"/>
      <c r="J4556" s="5" t="e">
        <f>SUM(SUMIFS(#REF!,#REF!,Planning[[#This Row],[Tipo de Tarea y especialidad]],#REF!,Planning[[#This Row],[Proyectos Reiwa]]),SUMIFS(#REF!,#REF!,Planning[[#This Row],[Tipo de Tarea y especialidad]],#REF!,Planning[[#This Row],[Proyectos]]))</f>
        <v>#REF!</v>
      </c>
      <c r="K4556" s="5" t="e">
        <f>+Planning[[#This Row],[Horas Planificadas]]+Planning[[#This Row],[Horas ajustadas adicionales]]-Planning[[#This Row],[Horas utilizadas]]</f>
        <v>#REF!</v>
      </c>
      <c r="L4556" s="7">
        <v>0</v>
      </c>
      <c r="M4556" s="19" t="e">
        <f>Planning[[#This Row],[Saldo]]-Planning[[#This Row],[Saldo estimado]]</f>
        <v>#REF!</v>
      </c>
      <c r="N4556" s="60" t="e">
        <f>+SUMIFS(#REF!,#REF!,Planning[[#This Row],[Proyectos]],#REF!,Planning[[#This Row],[Tipo de Tarea y especialidad]])</f>
        <v>#REF!</v>
      </c>
      <c r="O4556" s="19">
        <f t="shared" si="143"/>
        <v>10</v>
      </c>
      <c r="P4556" s="19">
        <f t="shared" si="144"/>
        <v>2024</v>
      </c>
      <c r="Q45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56" s="49" t="str">
        <f>TEXT(Planning[[#This Row],[Mes]]*29,"mmmm")</f>
        <v>October</v>
      </c>
      <c r="S455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56" s="205"/>
      <c r="U4556" s="43">
        <f>IF(Planning[[#This Row],[Horas Planificadas]]&lt;&gt;0,+K4556/Planning[[#This Row],[Horas Planificadas]],0)</f>
        <v>0</v>
      </c>
      <c r="V4556" s="43">
        <f>IF(Planning[[#This Row],[Horas Planificadas]]&lt;&gt;0,Planning[[#This Row],[Horas utilizadas]]/Planning[[#This Row],[Horas Planificadas]],0)</f>
        <v>0</v>
      </c>
      <c r="W4556" s="44">
        <f>Planning[[#This Row],[Horas Planificadas]]+Planning[[#This Row],[Horas ajustadas adicionales]]</f>
        <v>0</v>
      </c>
      <c r="X4556" s="142"/>
    </row>
    <row r="4557" spans="1:24" x14ac:dyDescent="0.2">
      <c r="A4557" s="7" t="s">
        <v>684</v>
      </c>
      <c r="B4557" s="7" t="s">
        <v>169</v>
      </c>
      <c r="C4557" s="3"/>
      <c r="D4557" s="3" t="s">
        <v>773</v>
      </c>
      <c r="E4557" s="4"/>
      <c r="F4557" s="3" t="s">
        <v>128</v>
      </c>
      <c r="G4557" s="9">
        <v>0</v>
      </c>
      <c r="H4557" s="9">
        <v>0</v>
      </c>
      <c r="I4557" s="12"/>
      <c r="J4557" s="5" t="e">
        <f>SUM(SUMIFS(#REF!,#REF!,Planning[[#This Row],[Tipo de Tarea y especialidad]],#REF!,Planning[[#This Row],[Proyectos Reiwa]]),SUMIFS(#REF!,#REF!,Planning[[#This Row],[Tipo de Tarea y especialidad]],#REF!,Planning[[#This Row],[Proyectos]]))</f>
        <v>#REF!</v>
      </c>
      <c r="K4557" s="5" t="e">
        <f>+Planning[[#This Row],[Horas Planificadas]]+Planning[[#This Row],[Horas ajustadas adicionales]]-Planning[[#This Row],[Horas utilizadas]]</f>
        <v>#REF!</v>
      </c>
      <c r="L4557" s="7">
        <v>0</v>
      </c>
      <c r="M4557" s="19" t="e">
        <f>Planning[[#This Row],[Saldo]]-Planning[[#This Row],[Saldo estimado]]</f>
        <v>#REF!</v>
      </c>
      <c r="N4557" s="60" t="e">
        <f>+SUMIFS(#REF!,#REF!,Planning[[#This Row],[Proyectos]],#REF!,Planning[[#This Row],[Tipo de Tarea y especialidad]])</f>
        <v>#REF!</v>
      </c>
      <c r="O4557" s="19">
        <f t="shared" si="143"/>
        <v>10</v>
      </c>
      <c r="P4557" s="19">
        <f t="shared" si="144"/>
        <v>2024</v>
      </c>
      <c r="Q45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57" s="49" t="str">
        <f>TEXT(Planning[[#This Row],[Mes]]*29,"mmmm")</f>
        <v>October</v>
      </c>
      <c r="S455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57" s="205"/>
      <c r="U4557" s="43">
        <f>IF(Planning[[#This Row],[Horas Planificadas]]&lt;&gt;0,+K4557/Planning[[#This Row],[Horas Planificadas]],0)</f>
        <v>0</v>
      </c>
      <c r="V4557" s="43">
        <f>IF(Planning[[#This Row],[Horas Planificadas]]&lt;&gt;0,Planning[[#This Row],[Horas utilizadas]]/Planning[[#This Row],[Horas Planificadas]],0)</f>
        <v>0</v>
      </c>
      <c r="W4557" s="44">
        <f>Planning[[#This Row],[Horas Planificadas]]+Planning[[#This Row],[Horas ajustadas adicionales]]</f>
        <v>0</v>
      </c>
      <c r="X4557" s="142"/>
    </row>
    <row r="4558" spans="1:24" x14ac:dyDescent="0.2">
      <c r="A4558" s="7" t="s">
        <v>684</v>
      </c>
      <c r="B4558" s="7" t="s">
        <v>169</v>
      </c>
      <c r="C4558" s="3"/>
      <c r="D4558" s="3" t="s">
        <v>773</v>
      </c>
      <c r="E4558" s="4" t="s">
        <v>31</v>
      </c>
      <c r="F4558" s="3" t="s">
        <v>31</v>
      </c>
      <c r="G4558" s="9">
        <v>390</v>
      </c>
      <c r="H4558" s="17">
        <v>390</v>
      </c>
      <c r="I4558" s="18"/>
      <c r="J4558" s="14" t="e">
        <f>+SUMIFS(#REF!,#REF!,Planning[[#This Row],[Tarifa]],#REF!,Planning[[#This Row],[Proyectos]])</f>
        <v>#REF!</v>
      </c>
      <c r="K4558" s="14" t="e">
        <f>+Planning[[#This Row],[Horas Planificadas]]+Planning[[#This Row],[Horas ajustadas adicionales]]-Planning[[#This Row],[Horas utilizadas]]</f>
        <v>#REF!</v>
      </c>
      <c r="L4558" s="15" t="e">
        <f>Planning[[#This Row],[Saldo]]</f>
        <v>#REF!</v>
      </c>
      <c r="M4558" s="16" t="e">
        <f>Planning[[#This Row],[Saldo]]-Planning[[#This Row],[Saldo estimado]]</f>
        <v>#REF!</v>
      </c>
      <c r="N4558" s="60"/>
      <c r="O4558" s="16">
        <f t="shared" si="143"/>
        <v>10</v>
      </c>
      <c r="P4558" s="16">
        <f t="shared" si="144"/>
        <v>2024</v>
      </c>
      <c r="Q4558" s="16" t="e">
        <f>+SUMIFS(#REF!,#REF!,Planning[[#This Row],[Tarifa]],#REF!,Planning[[#This Row],[Proyectos]],#REF!,Planning[[#This Row],[Mes]],#REF!,Planning[[#This Row],[Año]])</f>
        <v>#REF!</v>
      </c>
      <c r="R4558" s="50" t="str">
        <f>TEXT(Planning[[#This Row],[Mes]]*29,"mmmm")</f>
        <v>October</v>
      </c>
      <c r="S455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58" s="205"/>
      <c r="U4558" s="43" t="e">
        <f>IF(Planning[[#This Row],[Horas Planificadas]]&lt;&gt;0,+K4558/Planning[[#This Row],[Horas Planificadas]],0)</f>
        <v>#REF!</v>
      </c>
      <c r="V4558" s="43" t="e">
        <f>IF(Planning[[#This Row],[Horas Planificadas]]&lt;&gt;0,Planning[[#This Row],[Horas utilizadas]]/Planning[[#This Row],[Horas Planificadas]],0)</f>
        <v>#REF!</v>
      </c>
      <c r="W4558" s="44">
        <f>Planning[[#This Row],[Horas Planificadas]]+Planning[[#This Row],[Horas ajustadas adicionales]]</f>
        <v>390</v>
      </c>
      <c r="X4558" s="142"/>
    </row>
    <row r="4559" spans="1:24" ht="22.5" x14ac:dyDescent="0.2">
      <c r="A4559" s="7" t="s">
        <v>684</v>
      </c>
      <c r="B4559" s="7" t="s">
        <v>169</v>
      </c>
      <c r="C4559" s="3"/>
      <c r="D4559" s="3" t="s">
        <v>773</v>
      </c>
      <c r="E4559" s="4" t="s">
        <v>32</v>
      </c>
      <c r="F4559" s="3"/>
      <c r="G4559" s="9">
        <v>1192</v>
      </c>
      <c r="H4559" s="14">
        <f>SUM(H4560:H4562)</f>
        <v>1192</v>
      </c>
      <c r="I4559" s="14"/>
      <c r="J4559" s="14" t="e">
        <f>SUM(J4560:J4562)</f>
        <v>#REF!</v>
      </c>
      <c r="K4559" s="14" t="e">
        <f>+Planning[[#This Row],[Horas Planificadas]]+Planning[[#This Row],[Horas ajustadas adicionales]]-Planning[[#This Row],[Horas utilizadas]]</f>
        <v>#REF!</v>
      </c>
      <c r="L4559" s="15" t="e">
        <f>SUM(L4560:L4562)</f>
        <v>#REF!</v>
      </c>
      <c r="M4559" s="16" t="e">
        <f>SUM(M4560:M4562)</f>
        <v>#REF!</v>
      </c>
      <c r="N4559" s="60"/>
      <c r="O4559" s="16">
        <f t="shared" si="143"/>
        <v>10</v>
      </c>
      <c r="P4559" s="16">
        <f t="shared" si="144"/>
        <v>2024</v>
      </c>
      <c r="Q4559" s="16" t="e">
        <f>SUM(Q4560:Q4562)</f>
        <v>#REF!</v>
      </c>
      <c r="R4559" s="50" t="str">
        <f>TEXT(Planning[[#This Row],[Mes]]*29,"mmmm")</f>
        <v>October</v>
      </c>
      <c r="S455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59" s="205"/>
      <c r="U4559" s="43" t="e">
        <f>IF(Planning[[#This Row],[Horas Planificadas]]&lt;&gt;0,+K4559/Planning[[#This Row],[Horas Planificadas]],0)</f>
        <v>#REF!</v>
      </c>
      <c r="V4559" s="43" t="e">
        <f>IF(Planning[[#This Row],[Horas Planificadas]]&lt;&gt;0,Planning[[#This Row],[Horas utilizadas]]/Planning[[#This Row],[Horas Planificadas]],0)</f>
        <v>#REF!</v>
      </c>
      <c r="W4559" s="44">
        <f>Planning[[#This Row],[Horas Planificadas]]+Planning[[#This Row],[Horas ajustadas adicionales]]</f>
        <v>1192</v>
      </c>
      <c r="X4559" s="142"/>
    </row>
    <row r="4560" spans="1:24" x14ac:dyDescent="0.2">
      <c r="A4560" s="7" t="s">
        <v>684</v>
      </c>
      <c r="B4560" s="7" t="s">
        <v>169</v>
      </c>
      <c r="C4560" s="3"/>
      <c r="D4560" s="3" t="s">
        <v>773</v>
      </c>
      <c r="E4560" s="4"/>
      <c r="F4560" s="3" t="s">
        <v>129</v>
      </c>
      <c r="G4560" s="9">
        <v>1192</v>
      </c>
      <c r="H4560" s="9">
        <v>1192</v>
      </c>
      <c r="I4560" s="12"/>
      <c r="J4560" s="5" t="e">
        <f>SUM(SUMIFS(#REF!,#REF!,Planning[[#This Row],[Tipo de Tarea y especialidad]],#REF!,Planning[[#This Row],[Proyectos Reiwa]]),SUMIFS(#REF!,#REF!,Planning[[#This Row],[Tipo de Tarea y especialidad]],#REF!,Planning[[#This Row],[Proyectos]]))</f>
        <v>#REF!</v>
      </c>
      <c r="K4560" s="5" t="e">
        <f>+Planning[[#This Row],[Horas Planificadas]]+Planning[[#This Row],[Horas ajustadas adicionales]]-Planning[[#This Row],[Horas utilizadas]]</f>
        <v>#REF!</v>
      </c>
      <c r="L4560" s="7">
        <v>0</v>
      </c>
      <c r="M4560" s="19" t="e">
        <f>Planning[[#This Row],[Saldo]]-Planning[[#This Row],[Saldo estimado]]</f>
        <v>#REF!</v>
      </c>
      <c r="N4560" s="60" t="e">
        <f>+SUMIFS(#REF!,#REF!,Planning[[#This Row],[Proyectos]],#REF!,Planning[[#This Row],[Tipo de Tarea y especialidad]])</f>
        <v>#REF!</v>
      </c>
      <c r="O4560" s="19">
        <f t="shared" si="143"/>
        <v>10</v>
      </c>
      <c r="P4560" s="19">
        <f t="shared" si="144"/>
        <v>2024</v>
      </c>
      <c r="Q45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60" s="49" t="str">
        <f>TEXT(Planning[[#This Row],[Mes]]*29,"mmmm")</f>
        <v>October</v>
      </c>
      <c r="S456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60" s="205"/>
      <c r="U4560" s="43" t="e">
        <f>IF(Planning[[#This Row],[Horas Planificadas]]&lt;&gt;0,+K4560/Planning[[#This Row],[Horas Planificadas]],0)</f>
        <v>#REF!</v>
      </c>
      <c r="V4560" s="43" t="e">
        <f>IF(Planning[[#This Row],[Horas Planificadas]]&lt;&gt;0,Planning[[#This Row],[Horas utilizadas]]/Planning[[#This Row],[Horas Planificadas]],0)</f>
        <v>#REF!</v>
      </c>
      <c r="W4560" s="44">
        <f>Planning[[#This Row],[Horas Planificadas]]+Planning[[#This Row],[Horas ajustadas adicionales]]</f>
        <v>1192</v>
      </c>
      <c r="X4560" s="142"/>
    </row>
    <row r="4561" spans="1:24" x14ac:dyDescent="0.2">
      <c r="A4561" s="7" t="s">
        <v>684</v>
      </c>
      <c r="B4561" s="7" t="s">
        <v>169</v>
      </c>
      <c r="C4561" s="3"/>
      <c r="D4561" s="3" t="s">
        <v>773</v>
      </c>
      <c r="E4561" s="4"/>
      <c r="F4561" s="3" t="s">
        <v>130</v>
      </c>
      <c r="G4561" s="9">
        <v>0</v>
      </c>
      <c r="H4561" s="9">
        <v>0</v>
      </c>
      <c r="I4561" s="12"/>
      <c r="J4561" s="5" t="e">
        <f>SUM(SUMIFS(#REF!,#REF!,Planning[[#This Row],[Tipo de Tarea y especialidad]],#REF!,Planning[[#This Row],[Proyectos Reiwa]]),SUMIFS(#REF!,#REF!,Planning[[#This Row],[Tipo de Tarea y especialidad]],#REF!,Planning[[#This Row],[Proyectos]]))</f>
        <v>#REF!</v>
      </c>
      <c r="K4561" s="5" t="e">
        <f>+Planning[[#This Row],[Horas Planificadas]]+Planning[[#This Row],[Horas ajustadas adicionales]]-Planning[[#This Row],[Horas utilizadas]]</f>
        <v>#REF!</v>
      </c>
      <c r="L4561" s="7" t="e">
        <f>K4561</f>
        <v>#REF!</v>
      </c>
      <c r="M4561" s="19" t="e">
        <f>Planning[[#This Row],[Saldo]]-Planning[[#This Row],[Saldo estimado]]</f>
        <v>#REF!</v>
      </c>
      <c r="N4561" s="60" t="e">
        <f>+SUMIFS(#REF!,#REF!,Planning[[#This Row],[Proyectos]],#REF!,Planning[[#This Row],[Tipo de Tarea y especialidad]])</f>
        <v>#REF!</v>
      </c>
      <c r="O4561" s="19">
        <f t="shared" si="143"/>
        <v>10</v>
      </c>
      <c r="P4561" s="19">
        <f t="shared" si="144"/>
        <v>2024</v>
      </c>
      <c r="Q45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61" s="49" t="str">
        <f>TEXT(Planning[[#This Row],[Mes]]*29,"mmmm")</f>
        <v>October</v>
      </c>
      <c r="S456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61" s="205"/>
      <c r="U4561" s="43">
        <f>IF(Planning[[#This Row],[Horas Planificadas]]&lt;&gt;0,+K4561/Planning[[#This Row],[Horas Planificadas]],0)</f>
        <v>0</v>
      </c>
      <c r="V4561" s="43">
        <f>IF(Planning[[#This Row],[Horas Planificadas]]&lt;&gt;0,Planning[[#This Row],[Horas utilizadas]]/Planning[[#This Row],[Horas Planificadas]],0)</f>
        <v>0</v>
      </c>
      <c r="W4561" s="44">
        <f>Planning[[#This Row],[Horas Planificadas]]+Planning[[#This Row],[Horas ajustadas adicionales]]</f>
        <v>0</v>
      </c>
      <c r="X4561" s="142"/>
    </row>
    <row r="4562" spans="1:24" x14ac:dyDescent="0.2">
      <c r="A4562" s="7" t="s">
        <v>684</v>
      </c>
      <c r="B4562" s="7" t="s">
        <v>169</v>
      </c>
      <c r="C4562" s="3"/>
      <c r="D4562" s="3" t="s">
        <v>773</v>
      </c>
      <c r="E4562" s="4"/>
      <c r="F4562" s="3" t="s">
        <v>131</v>
      </c>
      <c r="G4562" s="9">
        <v>0</v>
      </c>
      <c r="H4562" s="9">
        <v>0</v>
      </c>
      <c r="I4562" s="12"/>
      <c r="J4562" s="5" t="e">
        <f>SUM(SUMIFS(#REF!,#REF!,Planning[[#This Row],[Tipo de Tarea y especialidad]],#REF!,Planning[[#This Row],[Proyectos Reiwa]]),SUMIFS(#REF!,#REF!,Planning[[#This Row],[Tipo de Tarea y especialidad]],#REF!,Planning[[#This Row],[Proyectos]]))</f>
        <v>#REF!</v>
      </c>
      <c r="K4562" s="5" t="e">
        <f>+Planning[[#This Row],[Horas Planificadas]]+Planning[[#This Row],[Horas ajustadas adicionales]]-Planning[[#This Row],[Horas utilizadas]]</f>
        <v>#REF!</v>
      </c>
      <c r="L4562" s="7">
        <v>0</v>
      </c>
      <c r="M4562" s="19" t="e">
        <f>Planning[[#This Row],[Saldo]]-Planning[[#This Row],[Saldo estimado]]</f>
        <v>#REF!</v>
      </c>
      <c r="N4562" s="60" t="e">
        <f>+SUMIFS(#REF!,#REF!,Planning[[#This Row],[Proyectos]],#REF!,Planning[[#This Row],[Tipo de Tarea y especialidad]])</f>
        <v>#REF!</v>
      </c>
      <c r="O4562" s="19">
        <f t="shared" si="143"/>
        <v>10</v>
      </c>
      <c r="P4562" s="19">
        <f t="shared" si="144"/>
        <v>2024</v>
      </c>
      <c r="Q45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62" s="51" t="str">
        <f>TEXT(Planning[[#This Row],[Mes]]*29,"mmmm")</f>
        <v>October</v>
      </c>
      <c r="S456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62" s="206"/>
      <c r="U4562" s="43">
        <f>IF(Planning[[#This Row],[Horas Planificadas]]&lt;&gt;0,+K4562/Planning[[#This Row],[Horas Planificadas]],0)</f>
        <v>0</v>
      </c>
      <c r="V4562" s="43">
        <f>IF(Planning[[#This Row],[Horas Planificadas]]&lt;&gt;0,Planning[[#This Row],[Horas utilizadas]]/Planning[[#This Row],[Horas Planificadas]],0)</f>
        <v>0</v>
      </c>
      <c r="W4562" s="44">
        <f>Planning[[#This Row],[Horas Planificadas]]+Planning[[#This Row],[Horas ajustadas adicionales]]</f>
        <v>0</v>
      </c>
      <c r="X4562" s="142"/>
    </row>
    <row r="4563" spans="1:24" ht="22.5" x14ac:dyDescent="0.2">
      <c r="A4563" s="9" t="s">
        <v>435</v>
      </c>
      <c r="B4563" s="9" t="s">
        <v>178</v>
      </c>
      <c r="C4563" s="3"/>
      <c r="D4563" s="3" t="s">
        <v>775</v>
      </c>
      <c r="E4563" s="4" t="s">
        <v>28</v>
      </c>
      <c r="F4563" s="3"/>
      <c r="G4563" s="9">
        <v>0</v>
      </c>
      <c r="H4563" s="14">
        <f>SUM(H4564:H4565)</f>
        <v>0</v>
      </c>
      <c r="I4563" s="14"/>
      <c r="J4563" s="14" t="e">
        <f>SUM(J4564:J4565)</f>
        <v>#REF!</v>
      </c>
      <c r="K4563" s="14" t="e">
        <f>+Planning[[#This Row],[Horas Planificadas]]+Planning[[#This Row],[Horas ajustadas adicionales]]-Planning[[#This Row],[Horas utilizadas]]</f>
        <v>#REF!</v>
      </c>
      <c r="L4563" s="15">
        <f>SUM(L4564:L4565)</f>
        <v>0</v>
      </c>
      <c r="M4563" s="14" t="e">
        <f>SUM(M4564:M4565)</f>
        <v>#REF!</v>
      </c>
      <c r="N4563" s="66"/>
      <c r="O4563" s="14">
        <f t="shared" si="143"/>
        <v>10</v>
      </c>
      <c r="P4563" s="14">
        <f t="shared" si="144"/>
        <v>2024</v>
      </c>
      <c r="Q4563" s="28" t="e">
        <f>SUM(Q4564:Q4565)</f>
        <v>#REF!</v>
      </c>
      <c r="R4563" s="28" t="str">
        <f>TEXT(Planning[[#This Row],[Mes]]*29,"mmmm")</f>
        <v>October</v>
      </c>
      <c r="S45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63" s="220" t="s">
        <v>776</v>
      </c>
      <c r="U4563" s="43">
        <f>IF(Planning[[#This Row],[Horas Planificadas]]&lt;&gt;0,+K4563/Planning[[#This Row],[Horas Planificadas]],0)</f>
        <v>0</v>
      </c>
      <c r="V4563" s="43">
        <f>IF(Planning[[#This Row],[Horas Planificadas]]&lt;&gt;0,Planning[[#This Row],[Horas utilizadas]]/Planning[[#This Row],[Horas Planificadas]],0)</f>
        <v>0</v>
      </c>
      <c r="W4563" s="44">
        <f>Planning[[#This Row],[Horas Planificadas]]+Planning[[#This Row],[Horas ajustadas adicionales]]</f>
        <v>0</v>
      </c>
      <c r="X4563" s="142"/>
    </row>
    <row r="4564" spans="1:24" x14ac:dyDescent="0.2">
      <c r="A4564" s="9" t="s">
        <v>435</v>
      </c>
      <c r="B4564" s="9" t="s">
        <v>178</v>
      </c>
      <c r="C4564" s="3"/>
      <c r="D4564" s="3" t="s">
        <v>775</v>
      </c>
      <c r="E4564" s="4"/>
      <c r="F4564" s="3" t="s">
        <v>120</v>
      </c>
      <c r="G4564" s="9"/>
      <c r="H4564" s="9">
        <v>0</v>
      </c>
      <c r="I4564" s="12"/>
      <c r="J4564" s="5" t="e">
        <f>SUM(SUMIFS(#REF!,#REF!,Planning[[#This Row],[Tipo de Tarea y especialidad]],#REF!,Planning[[#This Row],[Proyectos Reiwa]]),SUMIFS(#REF!,#REF!,Planning[[#This Row],[Tipo de Tarea y especialidad]],#REF!,Planning[[#This Row],[Proyectos]]))</f>
        <v>#REF!</v>
      </c>
      <c r="K4564" s="5" t="e">
        <f>+Planning[[#This Row],[Horas Planificadas]]+Planning[[#This Row],[Horas ajustadas adicionales]]-Planning[[#This Row],[Horas utilizadas]]</f>
        <v>#REF!</v>
      </c>
      <c r="L4564" s="7">
        <v>0</v>
      </c>
      <c r="M4564" s="19" t="e">
        <f>Planning[[#This Row],[Saldo]]-Planning[[#This Row],[Saldo estimado]]</f>
        <v>#REF!</v>
      </c>
      <c r="N4564" s="60" t="e">
        <f>+SUMIFS(#REF!,#REF!,Planning[[#This Row],[Proyectos]],#REF!,Planning[[#This Row],[Tipo de Tarea y especialidad]])</f>
        <v>#REF!</v>
      </c>
      <c r="O4564" s="19">
        <f t="shared" si="143"/>
        <v>10</v>
      </c>
      <c r="P4564" s="19">
        <f t="shared" si="144"/>
        <v>2024</v>
      </c>
      <c r="Q45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64" s="19" t="str">
        <f>TEXT(Planning[[#This Row],[Mes]]*29,"mmmm")</f>
        <v>October</v>
      </c>
      <c r="S45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64" s="210"/>
      <c r="U4564" s="43">
        <f>IF(Planning[[#This Row],[Horas Planificadas]]&lt;&gt;0,+K4564/Planning[[#This Row],[Horas Planificadas]],0)</f>
        <v>0</v>
      </c>
      <c r="V4564" s="43">
        <f>IF(Planning[[#This Row],[Horas Planificadas]]&lt;&gt;0,Planning[[#This Row],[Horas utilizadas]]/Planning[[#This Row],[Horas Planificadas]],0)</f>
        <v>0</v>
      </c>
      <c r="W4564" s="44">
        <f>Planning[[#This Row],[Horas Planificadas]]+Planning[[#This Row],[Horas ajustadas adicionales]]</f>
        <v>0</v>
      </c>
      <c r="X4564" s="142"/>
    </row>
    <row r="4565" spans="1:24" x14ac:dyDescent="0.2">
      <c r="A4565" s="9" t="s">
        <v>435</v>
      </c>
      <c r="B4565" s="9" t="s">
        <v>178</v>
      </c>
      <c r="C4565" s="3"/>
      <c r="D4565" s="3" t="s">
        <v>775</v>
      </c>
      <c r="E4565" s="4"/>
      <c r="F4565" s="3" t="s">
        <v>121</v>
      </c>
      <c r="G4565" s="9"/>
      <c r="H4565" s="9">
        <v>0</v>
      </c>
      <c r="I4565" s="12"/>
      <c r="J4565" s="5" t="e">
        <f>SUM(SUMIFS(#REF!,#REF!,Planning[[#This Row],[Tipo de Tarea y especialidad]],#REF!,Planning[[#This Row],[Proyectos Reiwa]]),SUMIFS(#REF!,#REF!,Planning[[#This Row],[Tipo de Tarea y especialidad]],#REF!,Planning[[#This Row],[Proyectos]]))</f>
        <v>#REF!</v>
      </c>
      <c r="K4565" s="5" t="e">
        <f>+Planning[[#This Row],[Horas Planificadas]]+Planning[[#This Row],[Horas ajustadas adicionales]]-Planning[[#This Row],[Horas utilizadas]]</f>
        <v>#REF!</v>
      </c>
      <c r="L4565" s="7">
        <v>0</v>
      </c>
      <c r="M4565" s="19" t="e">
        <f>Planning[[#This Row],[Saldo]]-Planning[[#This Row],[Saldo estimado]]</f>
        <v>#REF!</v>
      </c>
      <c r="N4565" s="60" t="e">
        <f>+SUMIFS(#REF!,#REF!,Planning[[#This Row],[Proyectos]],#REF!,Planning[[#This Row],[Tipo de Tarea y especialidad]])</f>
        <v>#REF!</v>
      </c>
      <c r="O4565" s="19">
        <f t="shared" si="143"/>
        <v>10</v>
      </c>
      <c r="P4565" s="19">
        <f t="shared" si="144"/>
        <v>2024</v>
      </c>
      <c r="Q45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65" s="19" t="str">
        <f>TEXT(Planning[[#This Row],[Mes]]*29,"mmmm")</f>
        <v>October</v>
      </c>
      <c r="S45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65" s="210"/>
      <c r="U4565" s="43">
        <f>IF(Planning[[#This Row],[Horas Planificadas]]&lt;&gt;0,+K4565/Planning[[#This Row],[Horas Planificadas]],0)</f>
        <v>0</v>
      </c>
      <c r="V4565" s="43">
        <f>IF(Planning[[#This Row],[Horas Planificadas]]&lt;&gt;0,Planning[[#This Row],[Horas utilizadas]]/Planning[[#This Row],[Horas Planificadas]],0)</f>
        <v>0</v>
      </c>
      <c r="W4565" s="44">
        <f>Planning[[#This Row],[Horas Planificadas]]+Planning[[#This Row],[Horas ajustadas adicionales]]</f>
        <v>0</v>
      </c>
      <c r="X4565" s="142"/>
    </row>
    <row r="4566" spans="1:24" x14ac:dyDescent="0.2">
      <c r="A4566" s="9" t="s">
        <v>435</v>
      </c>
      <c r="B4566" s="9" t="s">
        <v>178</v>
      </c>
      <c r="C4566" s="3"/>
      <c r="D4566" s="3" t="s">
        <v>775</v>
      </c>
      <c r="E4566" s="4" t="s">
        <v>30</v>
      </c>
      <c r="F4566" s="3"/>
      <c r="G4566" s="9">
        <v>46</v>
      </c>
      <c r="H4566" s="14">
        <f>SUM(H4567:H4573)</f>
        <v>46</v>
      </c>
      <c r="I4566" s="14"/>
      <c r="J4566" s="14" t="e">
        <f>SUM(J4567:J4573)</f>
        <v>#REF!</v>
      </c>
      <c r="K4566" s="14" t="e">
        <f>+Planning[[#This Row],[Horas Planificadas]]+Planning[[#This Row],[Horas ajustadas adicionales]]-Planning[[#This Row],[Horas utilizadas]]</f>
        <v>#REF!</v>
      </c>
      <c r="L4566" s="15">
        <f>SUM(L4567:L4573)</f>
        <v>0</v>
      </c>
      <c r="M4566" s="16" t="e">
        <f>SUM(M4567:M4573)</f>
        <v>#REF!</v>
      </c>
      <c r="N4566" s="60"/>
      <c r="O4566" s="16">
        <f t="shared" si="143"/>
        <v>10</v>
      </c>
      <c r="P4566" s="16">
        <f t="shared" si="144"/>
        <v>2024</v>
      </c>
      <c r="Q4566" s="16" t="e">
        <f>SUM(Q4567:Q4573)</f>
        <v>#REF!</v>
      </c>
      <c r="R4566" s="16" t="str">
        <f>TEXT(Planning[[#This Row],[Mes]]*29,"mmmm")</f>
        <v>October</v>
      </c>
      <c r="S45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66" s="210"/>
      <c r="U4566" s="43" t="e">
        <f>IF(Planning[[#This Row],[Horas Planificadas]]&lt;&gt;0,+K4566/Planning[[#This Row],[Horas Planificadas]],0)</f>
        <v>#REF!</v>
      </c>
      <c r="V4566" s="43" t="e">
        <f>IF(Planning[[#This Row],[Horas Planificadas]]&lt;&gt;0,Planning[[#This Row],[Horas utilizadas]]/Planning[[#This Row],[Horas Planificadas]],0)</f>
        <v>#REF!</v>
      </c>
      <c r="W4566" s="44">
        <f>Planning[[#This Row],[Horas Planificadas]]+Planning[[#This Row],[Horas ajustadas adicionales]]</f>
        <v>46</v>
      </c>
      <c r="X4566" s="142"/>
    </row>
    <row r="4567" spans="1:24" x14ac:dyDescent="0.2">
      <c r="A4567" s="9" t="s">
        <v>435</v>
      </c>
      <c r="B4567" s="9" t="s">
        <v>178</v>
      </c>
      <c r="C4567" s="3"/>
      <c r="D4567" s="3" t="s">
        <v>775</v>
      </c>
      <c r="E4567" s="4"/>
      <c r="F4567" s="3" t="s">
        <v>122</v>
      </c>
      <c r="G4567" s="9"/>
      <c r="H4567" s="9">
        <v>0</v>
      </c>
      <c r="I4567" s="12"/>
      <c r="J4567" s="5" t="e">
        <f>SUM(SUMIFS(#REF!,#REF!,Planning[[#This Row],[Tipo de Tarea y especialidad]],#REF!,Planning[[#This Row],[Proyectos Reiwa]]),SUMIFS(#REF!,#REF!,Planning[[#This Row],[Tipo de Tarea y especialidad]],#REF!,Planning[[#This Row],[Proyectos]]))</f>
        <v>#REF!</v>
      </c>
      <c r="K4567" s="5" t="e">
        <f>+Planning[[#This Row],[Horas Planificadas]]+Planning[[#This Row],[Horas ajustadas adicionales]]-Planning[[#This Row],[Horas utilizadas]]</f>
        <v>#REF!</v>
      </c>
      <c r="L4567" s="7">
        <v>0</v>
      </c>
      <c r="M4567" s="19" t="e">
        <f>Planning[[#This Row],[Saldo]]-Planning[[#This Row],[Saldo estimado]]</f>
        <v>#REF!</v>
      </c>
      <c r="N4567" s="60" t="e">
        <f>+SUMIFS(#REF!,#REF!,Planning[[#This Row],[Proyectos]],#REF!,Planning[[#This Row],[Tipo de Tarea y especialidad]])</f>
        <v>#REF!</v>
      </c>
      <c r="O4567" s="19">
        <f t="shared" si="143"/>
        <v>10</v>
      </c>
      <c r="P4567" s="19">
        <f t="shared" si="144"/>
        <v>2024</v>
      </c>
      <c r="Q45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67" s="19" t="str">
        <f>TEXT(Planning[[#This Row],[Mes]]*29,"mmmm")</f>
        <v>October</v>
      </c>
      <c r="S45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67" s="210"/>
      <c r="U4567" s="43">
        <f>IF(Planning[[#This Row],[Horas Planificadas]]&lt;&gt;0,+K4567/Planning[[#This Row],[Horas Planificadas]],0)</f>
        <v>0</v>
      </c>
      <c r="V4567" s="43">
        <f>IF(Planning[[#This Row],[Horas Planificadas]]&lt;&gt;0,Planning[[#This Row],[Horas utilizadas]]/Planning[[#This Row],[Horas Planificadas]],0)</f>
        <v>0</v>
      </c>
      <c r="W4567" s="44">
        <f>Planning[[#This Row],[Horas Planificadas]]+Planning[[#This Row],[Horas ajustadas adicionales]]</f>
        <v>0</v>
      </c>
      <c r="X4567" s="142"/>
    </row>
    <row r="4568" spans="1:24" x14ac:dyDescent="0.2">
      <c r="A4568" s="9" t="s">
        <v>435</v>
      </c>
      <c r="B4568" s="9" t="s">
        <v>178</v>
      </c>
      <c r="C4568" s="3"/>
      <c r="D4568" s="3" t="s">
        <v>775</v>
      </c>
      <c r="E4568" s="4"/>
      <c r="F4568" s="3" t="s">
        <v>123</v>
      </c>
      <c r="G4568" s="9"/>
      <c r="H4568" s="9">
        <v>0</v>
      </c>
      <c r="I4568" s="12"/>
      <c r="J4568" s="5" t="e">
        <f>SUM(SUMIFS(#REF!,#REF!,Planning[[#This Row],[Tipo de Tarea y especialidad]],#REF!,Planning[[#This Row],[Proyectos Reiwa]]),SUMIFS(#REF!,#REF!,Planning[[#This Row],[Tipo de Tarea y especialidad]],#REF!,Planning[[#This Row],[Proyectos]]))</f>
        <v>#REF!</v>
      </c>
      <c r="K4568" s="5" t="e">
        <f>+Planning[[#This Row],[Horas Planificadas]]+Planning[[#This Row],[Horas ajustadas adicionales]]-Planning[[#This Row],[Horas utilizadas]]</f>
        <v>#REF!</v>
      </c>
      <c r="L4568" s="7">
        <v>0</v>
      </c>
      <c r="M4568" s="19" t="e">
        <f>Planning[[#This Row],[Saldo]]-Planning[[#This Row],[Saldo estimado]]</f>
        <v>#REF!</v>
      </c>
      <c r="N4568" s="60" t="e">
        <f>+SUMIFS(#REF!,#REF!,Planning[[#This Row],[Proyectos]],#REF!,Planning[[#This Row],[Tipo de Tarea y especialidad]])</f>
        <v>#REF!</v>
      </c>
      <c r="O4568" s="19">
        <f t="shared" si="143"/>
        <v>10</v>
      </c>
      <c r="P4568" s="19">
        <f t="shared" si="144"/>
        <v>2024</v>
      </c>
      <c r="Q45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68" s="19" t="str">
        <f>TEXT(Planning[[#This Row],[Mes]]*29,"mmmm")</f>
        <v>October</v>
      </c>
      <c r="S45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68" s="210"/>
      <c r="U4568" s="43">
        <f>IF(Planning[[#This Row],[Horas Planificadas]]&lt;&gt;0,+K4568/Planning[[#This Row],[Horas Planificadas]],0)</f>
        <v>0</v>
      </c>
      <c r="V4568" s="43">
        <f>IF(Planning[[#This Row],[Horas Planificadas]]&lt;&gt;0,Planning[[#This Row],[Horas utilizadas]]/Planning[[#This Row],[Horas Planificadas]],0)</f>
        <v>0</v>
      </c>
      <c r="W4568" s="44">
        <f>Planning[[#This Row],[Horas Planificadas]]+Planning[[#This Row],[Horas ajustadas adicionales]]</f>
        <v>0</v>
      </c>
      <c r="X4568" s="142"/>
    </row>
    <row r="4569" spans="1:24" x14ac:dyDescent="0.2">
      <c r="A4569" s="9" t="s">
        <v>435</v>
      </c>
      <c r="B4569" s="9" t="s">
        <v>178</v>
      </c>
      <c r="C4569" s="3"/>
      <c r="D4569" s="3" t="s">
        <v>775</v>
      </c>
      <c r="E4569" s="4"/>
      <c r="F4569" s="3" t="s">
        <v>124</v>
      </c>
      <c r="G4569" s="9"/>
      <c r="H4569" s="9">
        <v>0</v>
      </c>
      <c r="I4569" s="12"/>
      <c r="J4569" s="5" t="e">
        <f>SUM(SUMIFS(#REF!,#REF!,Planning[[#This Row],[Tipo de Tarea y especialidad]],#REF!,Planning[[#This Row],[Proyectos Reiwa]]),SUMIFS(#REF!,#REF!,Planning[[#This Row],[Tipo de Tarea y especialidad]],#REF!,Planning[[#This Row],[Proyectos]]))</f>
        <v>#REF!</v>
      </c>
      <c r="K4569" s="5" t="e">
        <f>+Planning[[#This Row],[Horas Planificadas]]+Planning[[#This Row],[Horas ajustadas adicionales]]-Planning[[#This Row],[Horas utilizadas]]</f>
        <v>#REF!</v>
      </c>
      <c r="L4569" s="7">
        <v>0</v>
      </c>
      <c r="M4569" s="19" t="e">
        <f>Planning[[#This Row],[Saldo]]-Planning[[#This Row],[Saldo estimado]]</f>
        <v>#REF!</v>
      </c>
      <c r="N4569" s="60" t="e">
        <f>+SUMIFS(#REF!,#REF!,Planning[[#This Row],[Proyectos]],#REF!,Planning[[#This Row],[Tipo de Tarea y especialidad]])</f>
        <v>#REF!</v>
      </c>
      <c r="O4569" s="19">
        <f t="shared" si="143"/>
        <v>10</v>
      </c>
      <c r="P4569" s="19">
        <f t="shared" si="144"/>
        <v>2024</v>
      </c>
      <c r="Q45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69" s="19" t="str">
        <f>TEXT(Planning[[#This Row],[Mes]]*29,"mmmm")</f>
        <v>October</v>
      </c>
      <c r="S45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69" s="210"/>
      <c r="U4569" s="43">
        <f>IF(Planning[[#This Row],[Horas Planificadas]]&lt;&gt;0,+K4569/Planning[[#This Row],[Horas Planificadas]],0)</f>
        <v>0</v>
      </c>
      <c r="V4569" s="43">
        <f>IF(Planning[[#This Row],[Horas Planificadas]]&lt;&gt;0,Planning[[#This Row],[Horas utilizadas]]/Planning[[#This Row],[Horas Planificadas]],0)</f>
        <v>0</v>
      </c>
      <c r="W4569" s="44">
        <f>Planning[[#This Row],[Horas Planificadas]]+Planning[[#This Row],[Horas ajustadas adicionales]]</f>
        <v>0</v>
      </c>
      <c r="X4569" s="142"/>
    </row>
    <row r="4570" spans="1:24" x14ac:dyDescent="0.2">
      <c r="A4570" s="9" t="s">
        <v>435</v>
      </c>
      <c r="B4570" s="9" t="s">
        <v>178</v>
      </c>
      <c r="C4570" s="3"/>
      <c r="D4570" s="3" t="s">
        <v>775</v>
      </c>
      <c r="E4570" s="4"/>
      <c r="F4570" s="3" t="s">
        <v>125</v>
      </c>
      <c r="G4570" s="9"/>
      <c r="H4570" s="9">
        <v>9</v>
      </c>
      <c r="I4570" s="12"/>
      <c r="J4570" s="5" t="e">
        <f>SUM(SUMIFS(#REF!,#REF!,Planning[[#This Row],[Tipo de Tarea y especialidad]],#REF!,Planning[[#This Row],[Proyectos Reiwa]]),SUMIFS(#REF!,#REF!,Planning[[#This Row],[Tipo de Tarea y especialidad]],#REF!,Planning[[#This Row],[Proyectos]]))</f>
        <v>#REF!</v>
      </c>
      <c r="K4570" s="5" t="e">
        <f>+Planning[[#This Row],[Horas Planificadas]]+Planning[[#This Row],[Horas ajustadas adicionales]]-Planning[[#This Row],[Horas utilizadas]]</f>
        <v>#REF!</v>
      </c>
      <c r="L4570" s="7">
        <v>0</v>
      </c>
      <c r="M4570" s="19" t="e">
        <f>Planning[[#This Row],[Saldo]]-Planning[[#This Row],[Saldo estimado]]</f>
        <v>#REF!</v>
      </c>
      <c r="N4570" s="60" t="e">
        <f>+SUMIFS(#REF!,#REF!,Planning[[#This Row],[Proyectos]],#REF!,Planning[[#This Row],[Tipo de Tarea y especialidad]])</f>
        <v>#REF!</v>
      </c>
      <c r="O4570" s="19">
        <f t="shared" si="143"/>
        <v>10</v>
      </c>
      <c r="P4570" s="19">
        <f t="shared" si="144"/>
        <v>2024</v>
      </c>
      <c r="Q45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70" s="19" t="str">
        <f>TEXT(Planning[[#This Row],[Mes]]*29,"mmmm")</f>
        <v>October</v>
      </c>
      <c r="S45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70" s="210"/>
      <c r="U4570" s="43" t="e">
        <f>IF(Planning[[#This Row],[Horas Planificadas]]&lt;&gt;0,+K4570/Planning[[#This Row],[Horas Planificadas]],0)</f>
        <v>#REF!</v>
      </c>
      <c r="V4570" s="43" t="e">
        <f>IF(Planning[[#This Row],[Horas Planificadas]]&lt;&gt;0,Planning[[#This Row],[Horas utilizadas]]/Planning[[#This Row],[Horas Planificadas]],0)</f>
        <v>#REF!</v>
      </c>
      <c r="W4570" s="44">
        <f>Planning[[#This Row],[Horas Planificadas]]+Planning[[#This Row],[Horas ajustadas adicionales]]</f>
        <v>9</v>
      </c>
      <c r="X4570" s="142"/>
    </row>
    <row r="4571" spans="1:24" x14ac:dyDescent="0.2">
      <c r="A4571" s="9" t="s">
        <v>435</v>
      </c>
      <c r="B4571" s="9" t="s">
        <v>178</v>
      </c>
      <c r="C4571" s="3"/>
      <c r="D4571" s="3" t="s">
        <v>775</v>
      </c>
      <c r="E4571" s="4"/>
      <c r="F4571" s="3" t="s">
        <v>126</v>
      </c>
      <c r="G4571" s="9"/>
      <c r="H4571" s="9">
        <v>0</v>
      </c>
      <c r="I4571" s="12"/>
      <c r="J4571" s="5" t="e">
        <f>SUM(SUMIFS(#REF!,#REF!,Planning[[#This Row],[Tipo de Tarea y especialidad]],#REF!,Planning[[#This Row],[Proyectos Reiwa]]),SUMIFS(#REF!,#REF!,Planning[[#This Row],[Tipo de Tarea y especialidad]],#REF!,Planning[[#This Row],[Proyectos]]))</f>
        <v>#REF!</v>
      </c>
      <c r="K4571" s="5" t="e">
        <f>+Planning[[#This Row],[Horas Planificadas]]+Planning[[#This Row],[Horas ajustadas adicionales]]-Planning[[#This Row],[Horas utilizadas]]</f>
        <v>#REF!</v>
      </c>
      <c r="L4571" s="7">
        <v>0</v>
      </c>
      <c r="M4571" s="19" t="e">
        <f>Planning[[#This Row],[Saldo]]-Planning[[#This Row],[Saldo estimado]]</f>
        <v>#REF!</v>
      </c>
      <c r="N4571" s="60" t="e">
        <f>+SUMIFS(#REF!,#REF!,Planning[[#This Row],[Proyectos]],#REF!,Planning[[#This Row],[Tipo de Tarea y especialidad]])</f>
        <v>#REF!</v>
      </c>
      <c r="O4571" s="19">
        <f t="shared" si="143"/>
        <v>10</v>
      </c>
      <c r="P4571" s="19">
        <f t="shared" si="144"/>
        <v>2024</v>
      </c>
      <c r="Q45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71" s="19" t="str">
        <f>TEXT(Planning[[#This Row],[Mes]]*29,"mmmm")</f>
        <v>October</v>
      </c>
      <c r="S45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71" s="210"/>
      <c r="U4571" s="43">
        <f>IF(Planning[[#This Row],[Horas Planificadas]]&lt;&gt;0,+K4571/Planning[[#This Row],[Horas Planificadas]],0)</f>
        <v>0</v>
      </c>
      <c r="V4571" s="43">
        <f>IF(Planning[[#This Row],[Horas Planificadas]]&lt;&gt;0,Planning[[#This Row],[Horas utilizadas]]/Planning[[#This Row],[Horas Planificadas]],0)</f>
        <v>0</v>
      </c>
      <c r="W4571" s="44">
        <f>Planning[[#This Row],[Horas Planificadas]]+Planning[[#This Row],[Horas ajustadas adicionales]]</f>
        <v>0</v>
      </c>
      <c r="X4571" s="142"/>
    </row>
    <row r="4572" spans="1:24" x14ac:dyDescent="0.2">
      <c r="A4572" s="9" t="s">
        <v>435</v>
      </c>
      <c r="B4572" s="9" t="s">
        <v>178</v>
      </c>
      <c r="C4572" s="3"/>
      <c r="D4572" s="3" t="s">
        <v>775</v>
      </c>
      <c r="E4572" s="4"/>
      <c r="F4572" s="3" t="s">
        <v>127</v>
      </c>
      <c r="G4572" s="9"/>
      <c r="H4572" s="9">
        <v>37</v>
      </c>
      <c r="I4572" s="12"/>
      <c r="J4572" s="5" t="e">
        <f>SUM(SUMIFS(#REF!,#REF!,Planning[[#This Row],[Tipo de Tarea y especialidad]],#REF!,Planning[[#This Row],[Proyectos Reiwa]]),SUMIFS(#REF!,#REF!,Planning[[#This Row],[Tipo de Tarea y especialidad]],#REF!,Planning[[#This Row],[Proyectos]]))</f>
        <v>#REF!</v>
      </c>
      <c r="K4572" s="5" t="e">
        <f>+Planning[[#This Row],[Horas Planificadas]]+Planning[[#This Row],[Horas ajustadas adicionales]]-Planning[[#This Row],[Horas utilizadas]]</f>
        <v>#REF!</v>
      </c>
      <c r="L4572" s="7">
        <v>0</v>
      </c>
      <c r="M4572" s="19" t="e">
        <f>Planning[[#This Row],[Saldo]]-Planning[[#This Row],[Saldo estimado]]</f>
        <v>#REF!</v>
      </c>
      <c r="N4572" s="60" t="e">
        <f>+SUMIFS(#REF!,#REF!,Planning[[#This Row],[Proyectos]],#REF!,Planning[[#This Row],[Tipo de Tarea y especialidad]])</f>
        <v>#REF!</v>
      </c>
      <c r="O4572" s="19">
        <f t="shared" si="143"/>
        <v>10</v>
      </c>
      <c r="P4572" s="19">
        <f t="shared" si="144"/>
        <v>2024</v>
      </c>
      <c r="Q45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72" s="19" t="str">
        <f>TEXT(Planning[[#This Row],[Mes]]*29,"mmmm")</f>
        <v>October</v>
      </c>
      <c r="S45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72" s="210"/>
      <c r="U4572" s="43" t="e">
        <f>IF(Planning[[#This Row],[Horas Planificadas]]&lt;&gt;0,+K4572/Planning[[#This Row],[Horas Planificadas]],0)</f>
        <v>#REF!</v>
      </c>
      <c r="V4572" s="43" t="e">
        <f>IF(Planning[[#This Row],[Horas Planificadas]]&lt;&gt;0,Planning[[#This Row],[Horas utilizadas]]/Planning[[#This Row],[Horas Planificadas]],0)</f>
        <v>#REF!</v>
      </c>
      <c r="W4572" s="44">
        <f>Planning[[#This Row],[Horas Planificadas]]+Planning[[#This Row],[Horas ajustadas adicionales]]</f>
        <v>37</v>
      </c>
      <c r="X4572" s="142"/>
    </row>
    <row r="4573" spans="1:24" x14ac:dyDescent="0.2">
      <c r="A4573" s="9" t="s">
        <v>435</v>
      </c>
      <c r="B4573" s="9" t="s">
        <v>178</v>
      </c>
      <c r="C4573" s="3"/>
      <c r="D4573" s="3" t="s">
        <v>775</v>
      </c>
      <c r="E4573" s="4"/>
      <c r="F4573" s="3" t="s">
        <v>128</v>
      </c>
      <c r="G4573" s="9"/>
      <c r="H4573" s="9">
        <v>0</v>
      </c>
      <c r="I4573" s="12"/>
      <c r="J4573" s="5" t="e">
        <f>SUM(SUMIFS(#REF!,#REF!,Planning[[#This Row],[Tipo de Tarea y especialidad]],#REF!,Planning[[#This Row],[Proyectos Reiwa]]),SUMIFS(#REF!,#REF!,Planning[[#This Row],[Tipo de Tarea y especialidad]],#REF!,Planning[[#This Row],[Proyectos]]))</f>
        <v>#REF!</v>
      </c>
      <c r="K4573" s="5" t="e">
        <f>+Planning[[#This Row],[Horas Planificadas]]+Planning[[#This Row],[Horas ajustadas adicionales]]-Planning[[#This Row],[Horas utilizadas]]</f>
        <v>#REF!</v>
      </c>
      <c r="L4573" s="7">
        <v>0</v>
      </c>
      <c r="M4573" s="19" t="e">
        <f>Planning[[#This Row],[Saldo]]-Planning[[#This Row],[Saldo estimado]]</f>
        <v>#REF!</v>
      </c>
      <c r="N4573" s="60" t="e">
        <f>+SUMIFS(#REF!,#REF!,Planning[[#This Row],[Proyectos]],#REF!,Planning[[#This Row],[Tipo de Tarea y especialidad]])</f>
        <v>#REF!</v>
      </c>
      <c r="O4573" s="19">
        <f t="shared" si="143"/>
        <v>10</v>
      </c>
      <c r="P4573" s="19">
        <f t="shared" si="144"/>
        <v>2024</v>
      </c>
      <c r="Q45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73" s="19" t="str">
        <f>TEXT(Planning[[#This Row],[Mes]]*29,"mmmm")</f>
        <v>October</v>
      </c>
      <c r="S45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73" s="210"/>
      <c r="U4573" s="43">
        <f>IF(Planning[[#This Row],[Horas Planificadas]]&lt;&gt;0,+K4573/Planning[[#This Row],[Horas Planificadas]],0)</f>
        <v>0</v>
      </c>
      <c r="V4573" s="43">
        <f>IF(Planning[[#This Row],[Horas Planificadas]]&lt;&gt;0,Planning[[#This Row],[Horas utilizadas]]/Planning[[#This Row],[Horas Planificadas]],0)</f>
        <v>0</v>
      </c>
      <c r="W4573" s="44">
        <f>Planning[[#This Row],[Horas Planificadas]]+Planning[[#This Row],[Horas ajustadas adicionales]]</f>
        <v>0</v>
      </c>
      <c r="X4573" s="142"/>
    </row>
    <row r="4574" spans="1:24" x14ac:dyDescent="0.2">
      <c r="A4574" s="9" t="s">
        <v>435</v>
      </c>
      <c r="B4574" s="9" t="s">
        <v>178</v>
      </c>
      <c r="C4574" s="3"/>
      <c r="D4574" s="3" t="s">
        <v>775</v>
      </c>
      <c r="E4574" s="4" t="s">
        <v>31</v>
      </c>
      <c r="F4574" s="3" t="s">
        <v>31</v>
      </c>
      <c r="G4574" s="9">
        <v>7</v>
      </c>
      <c r="H4574" s="17">
        <v>7</v>
      </c>
      <c r="I4574" s="18"/>
      <c r="J4574" s="14" t="e">
        <f>+SUMIFS(#REF!,#REF!,Planning[[#This Row],[Tarifa]],#REF!,Planning[[#This Row],[Proyectos]])</f>
        <v>#REF!</v>
      </c>
      <c r="K4574" s="14" t="e">
        <f>+Planning[[#This Row],[Horas Planificadas]]+Planning[[#This Row],[Horas ajustadas adicionales]]-Planning[[#This Row],[Horas utilizadas]]</f>
        <v>#REF!</v>
      </c>
      <c r="L4574" s="15">
        <v>0</v>
      </c>
      <c r="M4574" s="16" t="e">
        <f>Planning[[#This Row],[Saldo]]-Planning[[#This Row],[Saldo estimado]]</f>
        <v>#REF!</v>
      </c>
      <c r="N4574" s="60"/>
      <c r="O4574" s="16">
        <f t="shared" si="143"/>
        <v>10</v>
      </c>
      <c r="P4574" s="16">
        <f t="shared" si="144"/>
        <v>2024</v>
      </c>
      <c r="Q4574" s="16" t="e">
        <f>+SUMIFS(#REF!,#REF!,Planning[[#This Row],[Tarifa]],#REF!,Planning[[#This Row],[Proyectos]],#REF!,Planning[[#This Row],[Mes]],#REF!,Planning[[#This Row],[Año]])</f>
        <v>#REF!</v>
      </c>
      <c r="R4574" s="16" t="str">
        <f>TEXT(Planning[[#This Row],[Mes]]*29,"mmmm")</f>
        <v>October</v>
      </c>
      <c r="S45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74" s="210"/>
      <c r="U4574" s="43" t="e">
        <f>IF(Planning[[#This Row],[Horas Planificadas]]&lt;&gt;0,+K4574/Planning[[#This Row],[Horas Planificadas]],0)</f>
        <v>#REF!</v>
      </c>
      <c r="V4574" s="43" t="e">
        <f>IF(Planning[[#This Row],[Horas Planificadas]]&lt;&gt;0,Planning[[#This Row],[Horas utilizadas]]/Planning[[#This Row],[Horas Planificadas]],0)</f>
        <v>#REF!</v>
      </c>
      <c r="W4574" s="44">
        <f>Planning[[#This Row],[Horas Planificadas]]+Planning[[#This Row],[Horas ajustadas adicionales]]</f>
        <v>7</v>
      </c>
      <c r="X4574" s="142"/>
    </row>
    <row r="4575" spans="1:24" ht="22.5" x14ac:dyDescent="0.2">
      <c r="A4575" s="9" t="s">
        <v>435</v>
      </c>
      <c r="B4575" s="9" t="s">
        <v>178</v>
      </c>
      <c r="C4575" s="3"/>
      <c r="D4575" s="3" t="s">
        <v>775</v>
      </c>
      <c r="E4575" s="4" t="s">
        <v>32</v>
      </c>
      <c r="F4575" s="3"/>
      <c r="G4575" s="9">
        <v>20</v>
      </c>
      <c r="H4575" s="14">
        <f>SUM(H4576:H4578)</f>
        <v>20</v>
      </c>
      <c r="I4575" s="14"/>
      <c r="J4575" s="14" t="e">
        <f>SUM(J4576:J4578)</f>
        <v>#REF!</v>
      </c>
      <c r="K4575" s="14" t="e">
        <f>+Planning[[#This Row],[Horas Planificadas]]+Planning[[#This Row],[Horas ajustadas adicionales]]-Planning[[#This Row],[Horas utilizadas]]</f>
        <v>#REF!</v>
      </c>
      <c r="L4575" s="15">
        <f>SUM(L4576:L4578)</f>
        <v>0</v>
      </c>
      <c r="M4575" s="16" t="e">
        <f>SUM(M4576:M4578)</f>
        <v>#REF!</v>
      </c>
      <c r="N4575" s="60"/>
      <c r="O4575" s="16">
        <f t="shared" si="143"/>
        <v>10</v>
      </c>
      <c r="P4575" s="16">
        <f t="shared" si="144"/>
        <v>2024</v>
      </c>
      <c r="Q4575" s="16" t="e">
        <f>SUM(Q4576:Q4578)</f>
        <v>#REF!</v>
      </c>
      <c r="R4575" s="16" t="str">
        <f>TEXT(Planning[[#This Row],[Mes]]*29,"mmmm")</f>
        <v>October</v>
      </c>
      <c r="S45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75" s="210"/>
      <c r="U4575" s="43" t="e">
        <f>IF(Planning[[#This Row],[Horas Planificadas]]&lt;&gt;0,+K4575/Planning[[#This Row],[Horas Planificadas]],0)</f>
        <v>#REF!</v>
      </c>
      <c r="V4575" s="43" t="e">
        <f>IF(Planning[[#This Row],[Horas Planificadas]]&lt;&gt;0,Planning[[#This Row],[Horas utilizadas]]/Planning[[#This Row],[Horas Planificadas]],0)</f>
        <v>#REF!</v>
      </c>
      <c r="W4575" s="44">
        <f>Planning[[#This Row],[Horas Planificadas]]+Planning[[#This Row],[Horas ajustadas adicionales]]</f>
        <v>20</v>
      </c>
      <c r="X4575" s="142"/>
    </row>
    <row r="4576" spans="1:24" x14ac:dyDescent="0.2">
      <c r="A4576" s="9" t="s">
        <v>435</v>
      </c>
      <c r="B4576" s="9" t="s">
        <v>178</v>
      </c>
      <c r="C4576" s="3"/>
      <c r="D4576" s="3" t="s">
        <v>775</v>
      </c>
      <c r="E4576" s="4"/>
      <c r="F4576" s="3" t="s">
        <v>129</v>
      </c>
      <c r="G4576" s="9"/>
      <c r="H4576" s="9">
        <v>0</v>
      </c>
      <c r="I4576" s="12"/>
      <c r="J4576" s="5" t="e">
        <f>SUM(SUMIFS(#REF!,#REF!,Planning[[#This Row],[Tipo de Tarea y especialidad]],#REF!,Planning[[#This Row],[Proyectos Reiwa]]),SUMIFS(#REF!,#REF!,Planning[[#This Row],[Tipo de Tarea y especialidad]],#REF!,Planning[[#This Row],[Proyectos]]))</f>
        <v>#REF!</v>
      </c>
      <c r="K4576" s="5" t="e">
        <f>+Planning[[#This Row],[Horas Planificadas]]+Planning[[#This Row],[Horas ajustadas adicionales]]-Planning[[#This Row],[Horas utilizadas]]</f>
        <v>#REF!</v>
      </c>
      <c r="L4576" s="7">
        <v>0</v>
      </c>
      <c r="M4576" s="19" t="e">
        <f>Planning[[#This Row],[Saldo]]-Planning[[#This Row],[Saldo estimado]]</f>
        <v>#REF!</v>
      </c>
      <c r="N4576" s="60" t="e">
        <f>+SUMIFS(#REF!,#REF!,Planning[[#This Row],[Proyectos]],#REF!,Planning[[#This Row],[Tipo de Tarea y especialidad]])</f>
        <v>#REF!</v>
      </c>
      <c r="O4576" s="19">
        <f t="shared" si="143"/>
        <v>10</v>
      </c>
      <c r="P4576" s="19">
        <f t="shared" si="144"/>
        <v>2024</v>
      </c>
      <c r="Q45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76" s="19" t="str">
        <f>TEXT(Planning[[#This Row],[Mes]]*29,"mmmm")</f>
        <v>October</v>
      </c>
      <c r="S45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76" s="210"/>
      <c r="U4576" s="43">
        <f>IF(Planning[[#This Row],[Horas Planificadas]]&lt;&gt;0,+K4576/Planning[[#This Row],[Horas Planificadas]],0)</f>
        <v>0</v>
      </c>
      <c r="V4576" s="43">
        <f>IF(Planning[[#This Row],[Horas Planificadas]]&lt;&gt;0,Planning[[#This Row],[Horas utilizadas]]/Planning[[#This Row],[Horas Planificadas]],0)</f>
        <v>0</v>
      </c>
      <c r="W4576" s="44">
        <f>Planning[[#This Row],[Horas Planificadas]]+Planning[[#This Row],[Horas ajustadas adicionales]]</f>
        <v>0</v>
      </c>
      <c r="X4576" s="142"/>
    </row>
    <row r="4577" spans="1:24" x14ac:dyDescent="0.2">
      <c r="A4577" s="9" t="s">
        <v>435</v>
      </c>
      <c r="B4577" s="9" t="s">
        <v>178</v>
      </c>
      <c r="C4577" s="3"/>
      <c r="D4577" s="3" t="s">
        <v>775</v>
      </c>
      <c r="E4577" s="4"/>
      <c r="F4577" s="3" t="s">
        <v>130</v>
      </c>
      <c r="G4577" s="9"/>
      <c r="H4577" s="9">
        <v>20</v>
      </c>
      <c r="I4577" s="12"/>
      <c r="J4577" s="5" t="e">
        <f>SUM(SUMIFS(#REF!,#REF!,Planning[[#This Row],[Tipo de Tarea y especialidad]],#REF!,Planning[[#This Row],[Proyectos Reiwa]]),SUMIFS(#REF!,#REF!,Planning[[#This Row],[Tipo de Tarea y especialidad]],#REF!,Planning[[#This Row],[Proyectos]]))</f>
        <v>#REF!</v>
      </c>
      <c r="K4577" s="5" t="e">
        <f>+Planning[[#This Row],[Horas Planificadas]]+Planning[[#This Row],[Horas ajustadas adicionales]]-Planning[[#This Row],[Horas utilizadas]]</f>
        <v>#REF!</v>
      </c>
      <c r="L4577" s="7">
        <v>0</v>
      </c>
      <c r="M4577" s="19" t="e">
        <f>Planning[[#This Row],[Saldo]]-Planning[[#This Row],[Saldo estimado]]</f>
        <v>#REF!</v>
      </c>
      <c r="N4577" s="60" t="e">
        <f>+SUMIFS(#REF!,#REF!,Planning[[#This Row],[Proyectos]],#REF!,Planning[[#This Row],[Tipo de Tarea y especialidad]])</f>
        <v>#REF!</v>
      </c>
      <c r="O4577" s="19">
        <f t="shared" si="143"/>
        <v>10</v>
      </c>
      <c r="P4577" s="19">
        <f t="shared" si="144"/>
        <v>2024</v>
      </c>
      <c r="Q45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77" s="19" t="str">
        <f>TEXT(Planning[[#This Row],[Mes]]*29,"mmmm")</f>
        <v>October</v>
      </c>
      <c r="S45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77" s="210"/>
      <c r="U4577" s="43" t="e">
        <f>IF(Planning[[#This Row],[Horas Planificadas]]&lt;&gt;0,+K4577/Planning[[#This Row],[Horas Planificadas]],0)</f>
        <v>#REF!</v>
      </c>
      <c r="V4577" s="43" t="e">
        <f>IF(Planning[[#This Row],[Horas Planificadas]]&lt;&gt;0,Planning[[#This Row],[Horas utilizadas]]/Planning[[#This Row],[Horas Planificadas]],0)</f>
        <v>#REF!</v>
      </c>
      <c r="W4577" s="44">
        <f>Planning[[#This Row],[Horas Planificadas]]+Planning[[#This Row],[Horas ajustadas adicionales]]</f>
        <v>20</v>
      </c>
      <c r="X4577" s="142"/>
    </row>
    <row r="4578" spans="1:24" x14ac:dyDescent="0.2">
      <c r="A4578" s="9" t="s">
        <v>435</v>
      </c>
      <c r="B4578" s="9" t="s">
        <v>178</v>
      </c>
      <c r="C4578" s="3"/>
      <c r="D4578" s="3" t="s">
        <v>775</v>
      </c>
      <c r="E4578" s="4"/>
      <c r="F4578" s="3" t="s">
        <v>131</v>
      </c>
      <c r="G4578" s="9"/>
      <c r="H4578" s="9">
        <v>0</v>
      </c>
      <c r="I4578" s="12"/>
      <c r="J4578" s="5" t="e">
        <f>SUM(SUMIFS(#REF!,#REF!,Planning[[#This Row],[Tipo de Tarea y especialidad]],#REF!,Planning[[#This Row],[Proyectos Reiwa]]),SUMIFS(#REF!,#REF!,Planning[[#This Row],[Tipo de Tarea y especialidad]],#REF!,Planning[[#This Row],[Proyectos]]))</f>
        <v>#REF!</v>
      </c>
      <c r="K4578" s="5" t="e">
        <f>+Planning[[#This Row],[Horas Planificadas]]+Planning[[#This Row],[Horas ajustadas adicionales]]-Planning[[#This Row],[Horas utilizadas]]</f>
        <v>#REF!</v>
      </c>
      <c r="L4578" s="7">
        <v>0</v>
      </c>
      <c r="M4578" s="19" t="e">
        <f>Planning[[#This Row],[Saldo]]-Planning[[#This Row],[Saldo estimado]]</f>
        <v>#REF!</v>
      </c>
      <c r="N4578" s="60" t="e">
        <f>+SUMIFS(#REF!,#REF!,Planning[[#This Row],[Proyectos]],#REF!,Planning[[#This Row],[Tipo de Tarea y especialidad]])</f>
        <v>#REF!</v>
      </c>
      <c r="O4578" s="19">
        <f t="shared" si="143"/>
        <v>10</v>
      </c>
      <c r="P4578" s="19">
        <f t="shared" si="144"/>
        <v>2024</v>
      </c>
      <c r="Q45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78" s="19" t="str">
        <f>TEXT(Planning[[#This Row],[Mes]]*29,"mmmm")</f>
        <v>October</v>
      </c>
      <c r="S45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78" s="210"/>
      <c r="U4578" s="43">
        <f>IF(Planning[[#This Row],[Horas Planificadas]]&lt;&gt;0,+K4578/Planning[[#This Row],[Horas Planificadas]],0)</f>
        <v>0</v>
      </c>
      <c r="V4578" s="43">
        <f>IF(Planning[[#This Row],[Horas Planificadas]]&lt;&gt;0,Planning[[#This Row],[Horas utilizadas]]/Planning[[#This Row],[Horas Planificadas]],0)</f>
        <v>0</v>
      </c>
      <c r="W4578" s="44">
        <f>Planning[[#This Row],[Horas Planificadas]]+Planning[[#This Row],[Horas ajustadas adicionales]]</f>
        <v>0</v>
      </c>
      <c r="X4578" s="142"/>
    </row>
    <row r="4579" spans="1:24" ht="22.5" x14ac:dyDescent="0.2">
      <c r="A4579" s="9" t="s">
        <v>435</v>
      </c>
      <c r="B4579" s="9" t="s">
        <v>118</v>
      </c>
      <c r="C4579" s="3"/>
      <c r="D4579" s="3" t="s">
        <v>777</v>
      </c>
      <c r="E4579" s="4" t="s">
        <v>28</v>
      </c>
      <c r="F4579" s="3"/>
      <c r="G4579" s="9"/>
      <c r="H4579" s="14">
        <f>SUM(H4580:H4581)</f>
        <v>1170</v>
      </c>
      <c r="I4579" s="14"/>
      <c r="J4579" s="14" t="e">
        <f>SUM(J4580:J4581)</f>
        <v>#REF!</v>
      </c>
      <c r="K4579" s="14" t="e">
        <f>+Planning[[#This Row],[Horas Planificadas]]+Planning[[#This Row],[Horas ajustadas adicionales]]-Planning[[#This Row],[Horas utilizadas]]</f>
        <v>#REF!</v>
      </c>
      <c r="L4579" s="15">
        <f>SUM(L4580:L4581)</f>
        <v>0</v>
      </c>
      <c r="M4579" s="14" t="e">
        <f>SUM(M4580:M4581)</f>
        <v>#REF!</v>
      </c>
      <c r="N4579" s="66"/>
      <c r="O4579" s="14">
        <f t="shared" si="143"/>
        <v>10</v>
      </c>
      <c r="P4579" s="14">
        <f t="shared" si="144"/>
        <v>2024</v>
      </c>
      <c r="Q4579" s="28" t="e">
        <f>SUM(Q4580:Q4581)</f>
        <v>#REF!</v>
      </c>
      <c r="R4579" s="28" t="str">
        <f>TEXT(Planning[[#This Row],[Mes]]*29,"mmmm")</f>
        <v>October</v>
      </c>
      <c r="S45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79" s="215" t="s">
        <v>778</v>
      </c>
      <c r="U4579" s="43"/>
      <c r="V4579" s="43"/>
      <c r="W4579" s="44"/>
      <c r="X4579" s="142"/>
    </row>
    <row r="4580" spans="1:24" x14ac:dyDescent="0.2">
      <c r="A4580" s="9" t="s">
        <v>435</v>
      </c>
      <c r="B4580" s="9" t="s">
        <v>118</v>
      </c>
      <c r="C4580" s="3"/>
      <c r="D4580" s="3" t="s">
        <v>777</v>
      </c>
      <c r="E4580" s="4"/>
      <c r="F4580" s="3" t="s">
        <v>120</v>
      </c>
      <c r="G4580" s="9">
        <v>720</v>
      </c>
      <c r="H4580" s="9">
        <v>720</v>
      </c>
      <c r="I4580" s="12"/>
      <c r="J4580" s="5" t="e">
        <f>SUM(SUMIFS(#REF!,#REF!,Planning[[#This Row],[Tipo de Tarea y especialidad]],#REF!,Planning[[#This Row],[Proyectos Reiwa]]),SUMIFS(#REF!,#REF!,Planning[[#This Row],[Tipo de Tarea y especialidad]],#REF!,Planning[[#This Row],[Proyectos]]))</f>
        <v>#REF!</v>
      </c>
      <c r="K4580" s="5">
        <v>45</v>
      </c>
      <c r="L4580" s="7">
        <v>0</v>
      </c>
      <c r="M4580" s="19">
        <f>Planning[[#This Row],[Saldo]]-Planning[[#This Row],[Saldo estimado]]</f>
        <v>45</v>
      </c>
      <c r="N4580" s="60" t="e">
        <f>+SUMIFS(#REF!,#REF!,Planning[[#This Row],[Proyectos]],#REF!,Planning[[#This Row],[Tipo de Tarea y especialidad]])</f>
        <v>#REF!</v>
      </c>
      <c r="O4580" s="19">
        <f t="shared" si="143"/>
        <v>10</v>
      </c>
      <c r="P4580" s="19">
        <f t="shared" si="144"/>
        <v>2024</v>
      </c>
      <c r="Q45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80" s="19" t="str">
        <f>TEXT(Planning[[#This Row],[Mes]]*29,"mmmm")</f>
        <v>October</v>
      </c>
      <c r="S45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80" s="193"/>
      <c r="U4580" s="43"/>
      <c r="V4580" s="43"/>
      <c r="W4580" s="44"/>
      <c r="X4580" s="142"/>
    </row>
    <row r="4581" spans="1:24" x14ac:dyDescent="0.2">
      <c r="A4581" s="9" t="s">
        <v>435</v>
      </c>
      <c r="B4581" s="9" t="s">
        <v>118</v>
      </c>
      <c r="C4581" s="3"/>
      <c r="D4581" s="3" t="s">
        <v>777</v>
      </c>
      <c r="E4581" s="4"/>
      <c r="F4581" s="3" t="s">
        <v>121</v>
      </c>
      <c r="G4581" s="9">
        <v>383</v>
      </c>
      <c r="H4581" s="9">
        <v>450</v>
      </c>
      <c r="I4581" s="12">
        <v>150</v>
      </c>
      <c r="J4581" s="5" t="e">
        <f>SUM(SUMIFS(#REF!,#REF!,Planning[[#This Row],[Tipo de Tarea y especialidad]],#REF!,Planning[[#This Row],[Proyectos Reiwa]]),SUMIFS(#REF!,#REF!,Planning[[#This Row],[Tipo de Tarea y especialidad]],#REF!,Planning[[#This Row],[Proyectos]]))</f>
        <v>#REF!</v>
      </c>
      <c r="K4581" s="5" t="e">
        <f>+Planning[[#This Row],[Horas Planificadas]]+Planning[[#This Row],[Horas ajustadas adicionales]]-Planning[[#This Row],[Horas utilizadas]]</f>
        <v>#REF!</v>
      </c>
      <c r="L4581" s="7">
        <v>0</v>
      </c>
      <c r="M4581" s="19" t="e">
        <f>Planning[[#This Row],[Saldo]]-Planning[[#This Row],[Saldo estimado]]</f>
        <v>#REF!</v>
      </c>
      <c r="N4581" s="60" t="e">
        <f>+SUMIFS(#REF!,#REF!,Planning[[#This Row],[Proyectos]],#REF!,Planning[[#This Row],[Tipo de Tarea y especialidad]])</f>
        <v>#REF!</v>
      </c>
      <c r="O4581" s="19">
        <f t="shared" si="143"/>
        <v>10</v>
      </c>
      <c r="P4581" s="19">
        <f t="shared" si="144"/>
        <v>2024</v>
      </c>
      <c r="Q45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81" s="19" t="str">
        <f>TEXT(Planning[[#This Row],[Mes]]*29,"mmmm")</f>
        <v>October</v>
      </c>
      <c r="S45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81" s="193"/>
      <c r="U4581" s="43"/>
      <c r="V4581" s="43"/>
      <c r="W4581" s="44"/>
      <c r="X4581" s="142"/>
    </row>
    <row r="4582" spans="1:24" x14ac:dyDescent="0.2">
      <c r="A4582" s="9" t="s">
        <v>435</v>
      </c>
      <c r="B4582" s="9" t="s">
        <v>118</v>
      </c>
      <c r="C4582" s="3"/>
      <c r="D4582" s="3" t="s">
        <v>777</v>
      </c>
      <c r="E4582" s="4" t="s">
        <v>30</v>
      </c>
      <c r="F4582" s="3"/>
      <c r="G4582" s="9"/>
      <c r="H4582" s="14">
        <f>SUM(H4583:H4589)</f>
        <v>1620</v>
      </c>
      <c r="I4582" s="14"/>
      <c r="J4582" s="14" t="e">
        <f>SUM(J4583:J4589)</f>
        <v>#REF!</v>
      </c>
      <c r="K4582" s="14" t="e">
        <f>+Planning[[#This Row],[Horas Planificadas]]+Planning[[#This Row],[Horas ajustadas adicionales]]-Planning[[#This Row],[Horas utilizadas]]</f>
        <v>#REF!</v>
      </c>
      <c r="L4582" s="15">
        <f>SUM(L4583:L4589)</f>
        <v>27</v>
      </c>
      <c r="M4582" s="16" t="e">
        <f>SUM(M4583:M4589)</f>
        <v>#REF!</v>
      </c>
      <c r="N4582" s="60"/>
      <c r="O4582" s="16">
        <f t="shared" si="143"/>
        <v>10</v>
      </c>
      <c r="P4582" s="16">
        <f t="shared" si="144"/>
        <v>2024</v>
      </c>
      <c r="Q4582" s="16" t="e">
        <f>SUM(Q4583:Q4589)</f>
        <v>#REF!</v>
      </c>
      <c r="R4582" s="16" t="str">
        <f>TEXT(Planning[[#This Row],[Mes]]*29,"mmmm")</f>
        <v>October</v>
      </c>
      <c r="S45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82" s="193"/>
      <c r="U4582" s="43"/>
      <c r="V4582" s="43"/>
      <c r="W4582" s="44"/>
      <c r="X4582" s="142"/>
    </row>
    <row r="4583" spans="1:24" x14ac:dyDescent="0.2">
      <c r="A4583" s="9" t="s">
        <v>435</v>
      </c>
      <c r="B4583" s="9" t="s">
        <v>118</v>
      </c>
      <c r="C4583" s="3"/>
      <c r="D4583" s="3" t="s">
        <v>777</v>
      </c>
      <c r="E4583" s="4"/>
      <c r="F4583" s="3" t="s">
        <v>122</v>
      </c>
      <c r="G4583" s="9">
        <v>370</v>
      </c>
      <c r="H4583" s="9">
        <v>420</v>
      </c>
      <c r="I4583" s="12"/>
      <c r="J4583" s="5" t="e">
        <f>SUM(SUMIFS(#REF!,#REF!,Planning[[#This Row],[Tipo de Tarea y especialidad]],#REF!,Planning[[#This Row],[Proyectos Reiwa]]),SUMIFS(#REF!,#REF!,Planning[[#This Row],[Tipo de Tarea y especialidad]],#REF!,Planning[[#This Row],[Proyectos]]))</f>
        <v>#REF!</v>
      </c>
      <c r="K4583" s="5" t="e">
        <f>+Planning[[#This Row],[Horas Planificadas]]+Planning[[#This Row],[Horas ajustadas adicionales]]-Planning[[#This Row],[Horas utilizadas]]</f>
        <v>#REF!</v>
      </c>
      <c r="L4583" s="7">
        <v>0</v>
      </c>
      <c r="M4583" s="19" t="e">
        <f>Planning[[#This Row],[Saldo]]-Planning[[#This Row],[Saldo estimado]]</f>
        <v>#REF!</v>
      </c>
      <c r="N4583" s="60" t="e">
        <f>+SUMIFS(#REF!,#REF!,Planning[[#This Row],[Proyectos]],#REF!,Planning[[#This Row],[Tipo de Tarea y especialidad]])</f>
        <v>#REF!</v>
      </c>
      <c r="O4583" s="19">
        <f t="shared" si="143"/>
        <v>10</v>
      </c>
      <c r="P4583" s="19">
        <f t="shared" si="144"/>
        <v>2024</v>
      </c>
      <c r="Q45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83" s="19" t="str">
        <f>TEXT(Planning[[#This Row],[Mes]]*29,"mmmm")</f>
        <v>October</v>
      </c>
      <c r="S45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83" s="193"/>
      <c r="U4583" s="43"/>
      <c r="V4583" s="43"/>
      <c r="W4583" s="44"/>
      <c r="X4583" s="142"/>
    </row>
    <row r="4584" spans="1:24" x14ac:dyDescent="0.2">
      <c r="A4584" s="9" t="s">
        <v>435</v>
      </c>
      <c r="B4584" s="9" t="s">
        <v>118</v>
      </c>
      <c r="C4584" s="3"/>
      <c r="D4584" s="3" t="s">
        <v>777</v>
      </c>
      <c r="E4584" s="4"/>
      <c r="F4584" s="3" t="s">
        <v>123</v>
      </c>
      <c r="G4584" s="9">
        <v>344</v>
      </c>
      <c r="H4584" s="9">
        <v>300</v>
      </c>
      <c r="I4584" s="12"/>
      <c r="J4584" s="5" t="e">
        <f>SUM(SUMIFS(#REF!,#REF!,Planning[[#This Row],[Tipo de Tarea y especialidad]],#REF!,Planning[[#This Row],[Proyectos Reiwa]]),SUMIFS(#REF!,#REF!,Planning[[#This Row],[Tipo de Tarea y especialidad]],#REF!,Planning[[#This Row],[Proyectos]]))</f>
        <v>#REF!</v>
      </c>
      <c r="K4584" s="5" t="e">
        <f>+Planning[[#This Row],[Horas Planificadas]]+Planning[[#This Row],[Horas ajustadas adicionales]]-Planning[[#This Row],[Horas utilizadas]]</f>
        <v>#REF!</v>
      </c>
      <c r="L4584" s="7">
        <v>0</v>
      </c>
      <c r="M4584" s="19" t="e">
        <f>Planning[[#This Row],[Saldo]]-Planning[[#This Row],[Saldo estimado]]</f>
        <v>#REF!</v>
      </c>
      <c r="N4584" s="60" t="e">
        <f>+SUMIFS(#REF!,#REF!,Planning[[#This Row],[Proyectos]],#REF!,Planning[[#This Row],[Tipo de Tarea y especialidad]])</f>
        <v>#REF!</v>
      </c>
      <c r="O4584" s="19">
        <f t="shared" si="143"/>
        <v>10</v>
      </c>
      <c r="P4584" s="19">
        <f t="shared" si="144"/>
        <v>2024</v>
      </c>
      <c r="Q45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84" s="19" t="str">
        <f>TEXT(Planning[[#This Row],[Mes]]*29,"mmmm")</f>
        <v>October</v>
      </c>
      <c r="S45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84" s="193"/>
      <c r="U4584" s="43"/>
      <c r="V4584" s="43"/>
      <c r="W4584" s="44"/>
      <c r="X4584" s="142"/>
    </row>
    <row r="4585" spans="1:24" x14ac:dyDescent="0.2">
      <c r="A4585" s="9" t="s">
        <v>435</v>
      </c>
      <c r="B4585" s="9" t="s">
        <v>118</v>
      </c>
      <c r="C4585" s="3"/>
      <c r="D4585" s="3" t="s">
        <v>777</v>
      </c>
      <c r="E4585" s="4"/>
      <c r="F4585" s="3" t="s">
        <v>124</v>
      </c>
      <c r="G4585" s="9"/>
      <c r="H4585" s="9"/>
      <c r="I4585" s="12"/>
      <c r="J4585" s="5" t="e">
        <f>SUM(SUMIFS(#REF!,#REF!,Planning[[#This Row],[Tipo de Tarea y especialidad]],#REF!,Planning[[#This Row],[Proyectos Reiwa]]),SUMIFS(#REF!,#REF!,Planning[[#This Row],[Tipo de Tarea y especialidad]],#REF!,Planning[[#This Row],[Proyectos]]))</f>
        <v>#REF!</v>
      </c>
      <c r="K4585" s="5" t="e">
        <f>+Planning[[#This Row],[Horas Planificadas]]+Planning[[#This Row],[Horas ajustadas adicionales]]-Planning[[#This Row],[Horas utilizadas]]</f>
        <v>#REF!</v>
      </c>
      <c r="L4585" s="7">
        <v>0</v>
      </c>
      <c r="M4585" s="19" t="e">
        <f>Planning[[#This Row],[Saldo]]-Planning[[#This Row],[Saldo estimado]]</f>
        <v>#REF!</v>
      </c>
      <c r="N4585" s="60" t="e">
        <f>+SUMIFS(#REF!,#REF!,Planning[[#This Row],[Proyectos]],#REF!,Planning[[#This Row],[Tipo de Tarea y especialidad]])</f>
        <v>#REF!</v>
      </c>
      <c r="O4585" s="19">
        <f t="shared" si="143"/>
        <v>10</v>
      </c>
      <c r="P4585" s="19">
        <f t="shared" si="144"/>
        <v>2024</v>
      </c>
      <c r="Q45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85" s="19" t="str">
        <f>TEXT(Planning[[#This Row],[Mes]]*29,"mmmm")</f>
        <v>October</v>
      </c>
      <c r="S45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85" s="193"/>
      <c r="U4585" s="43"/>
      <c r="V4585" s="43"/>
      <c r="W4585" s="44"/>
      <c r="X4585" s="142"/>
    </row>
    <row r="4586" spans="1:24" x14ac:dyDescent="0.2">
      <c r="A4586" s="9" t="s">
        <v>435</v>
      </c>
      <c r="B4586" s="9" t="s">
        <v>118</v>
      </c>
      <c r="C4586" s="3"/>
      <c r="D4586" s="3" t="s">
        <v>777</v>
      </c>
      <c r="E4586" s="4"/>
      <c r="F4586" s="3" t="s">
        <v>125</v>
      </c>
      <c r="G4586" s="9">
        <v>290</v>
      </c>
      <c r="H4586" s="9">
        <v>360</v>
      </c>
      <c r="I4586" s="12"/>
      <c r="J4586" s="5" t="e">
        <f>SUM(SUMIFS(#REF!,#REF!,Planning[[#This Row],[Tipo de Tarea y especialidad]],#REF!,Planning[[#This Row],[Proyectos Reiwa]]),SUMIFS(#REF!,#REF!,Planning[[#This Row],[Tipo de Tarea y especialidad]],#REF!,Planning[[#This Row],[Proyectos]]))</f>
        <v>#REF!</v>
      </c>
      <c r="K4586" s="5" t="e">
        <f>+Planning[[#This Row],[Horas Planificadas]]+Planning[[#This Row],[Horas ajustadas adicionales]]-Planning[[#This Row],[Horas utilizadas]]</f>
        <v>#REF!</v>
      </c>
      <c r="L4586" s="7">
        <v>27</v>
      </c>
      <c r="M4586" s="19" t="e">
        <f>Planning[[#This Row],[Saldo]]-Planning[[#This Row],[Saldo estimado]]</f>
        <v>#REF!</v>
      </c>
      <c r="N4586" s="60" t="e">
        <f>+SUMIFS(#REF!,#REF!,Planning[[#This Row],[Proyectos]],#REF!,Planning[[#This Row],[Tipo de Tarea y especialidad]])</f>
        <v>#REF!</v>
      </c>
      <c r="O4586" s="19">
        <f t="shared" si="143"/>
        <v>10</v>
      </c>
      <c r="P4586" s="19">
        <f t="shared" si="144"/>
        <v>2024</v>
      </c>
      <c r="Q45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86" s="19" t="str">
        <f>TEXT(Planning[[#This Row],[Mes]]*29,"mmmm")</f>
        <v>October</v>
      </c>
      <c r="S45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86" s="193"/>
      <c r="U4586" s="43"/>
      <c r="V4586" s="43"/>
      <c r="W4586" s="44"/>
      <c r="X4586" s="142"/>
    </row>
    <row r="4587" spans="1:24" x14ac:dyDescent="0.2">
      <c r="A4587" s="9" t="s">
        <v>435</v>
      </c>
      <c r="B4587" s="9" t="s">
        <v>118</v>
      </c>
      <c r="C4587" s="3"/>
      <c r="D4587" s="3" t="s">
        <v>777</v>
      </c>
      <c r="E4587" s="4"/>
      <c r="F4587" s="3" t="s">
        <v>126</v>
      </c>
      <c r="G4587" s="9">
        <v>270</v>
      </c>
      <c r="H4587" s="9">
        <v>290</v>
      </c>
      <c r="I4587" s="12"/>
      <c r="J4587" s="5" t="e">
        <f>SUM(SUMIFS(#REF!,#REF!,Planning[[#This Row],[Tipo de Tarea y especialidad]],#REF!,Planning[[#This Row],[Proyectos Reiwa]]),SUMIFS(#REF!,#REF!,Planning[[#This Row],[Tipo de Tarea y especialidad]],#REF!,Planning[[#This Row],[Proyectos]]))</f>
        <v>#REF!</v>
      </c>
      <c r="K4587" s="5" t="e">
        <f>+Planning[[#This Row],[Horas Planificadas]]+Planning[[#This Row],[Horas ajustadas adicionales]]-Planning[[#This Row],[Horas utilizadas]]</f>
        <v>#REF!</v>
      </c>
      <c r="L4587" s="7">
        <v>0</v>
      </c>
      <c r="M4587" s="19" t="e">
        <f>Planning[[#This Row],[Saldo]]-Planning[[#This Row],[Saldo estimado]]</f>
        <v>#REF!</v>
      </c>
      <c r="N4587" s="60" t="e">
        <f>+SUMIFS(#REF!,#REF!,Planning[[#This Row],[Proyectos]],#REF!,Planning[[#This Row],[Tipo de Tarea y especialidad]])</f>
        <v>#REF!</v>
      </c>
      <c r="O4587" s="19">
        <f t="shared" si="143"/>
        <v>10</v>
      </c>
      <c r="P4587" s="19">
        <f t="shared" si="144"/>
        <v>2024</v>
      </c>
      <c r="Q45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87" s="19" t="str">
        <f>TEXT(Planning[[#This Row],[Mes]]*29,"mmmm")</f>
        <v>October</v>
      </c>
      <c r="S45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87" s="193"/>
      <c r="U4587" s="43"/>
      <c r="V4587" s="43"/>
      <c r="W4587" s="44"/>
      <c r="X4587" s="142"/>
    </row>
    <row r="4588" spans="1:24" x14ac:dyDescent="0.2">
      <c r="A4588" s="9" t="s">
        <v>435</v>
      </c>
      <c r="B4588" s="9" t="s">
        <v>118</v>
      </c>
      <c r="C4588" s="3"/>
      <c r="D4588" s="3" t="s">
        <v>777</v>
      </c>
      <c r="E4588" s="4"/>
      <c r="F4588" s="3" t="s">
        <v>127</v>
      </c>
      <c r="G4588" s="9">
        <v>235</v>
      </c>
      <c r="H4588" s="9">
        <v>250</v>
      </c>
      <c r="I4588" s="12"/>
      <c r="J4588" s="5" t="e">
        <f>SUM(SUMIFS(#REF!,#REF!,Planning[[#This Row],[Tipo de Tarea y especialidad]],#REF!,Planning[[#This Row],[Proyectos Reiwa]]),SUMIFS(#REF!,#REF!,Planning[[#This Row],[Tipo de Tarea y especialidad]],#REF!,Planning[[#This Row],[Proyectos]]))</f>
        <v>#REF!</v>
      </c>
      <c r="K4588" s="5" t="e">
        <f>+Planning[[#This Row],[Horas Planificadas]]+Planning[[#This Row],[Horas ajustadas adicionales]]-Planning[[#This Row],[Horas utilizadas]]</f>
        <v>#REF!</v>
      </c>
      <c r="L4588" s="7">
        <v>0</v>
      </c>
      <c r="M4588" s="19" t="e">
        <f>Planning[[#This Row],[Saldo]]-Planning[[#This Row],[Saldo estimado]]</f>
        <v>#REF!</v>
      </c>
      <c r="N4588" s="60" t="e">
        <f>+SUMIFS(#REF!,#REF!,Planning[[#This Row],[Proyectos]],#REF!,Planning[[#This Row],[Tipo de Tarea y especialidad]])</f>
        <v>#REF!</v>
      </c>
      <c r="O4588" s="19">
        <f t="shared" si="143"/>
        <v>10</v>
      </c>
      <c r="P4588" s="19">
        <f t="shared" si="144"/>
        <v>2024</v>
      </c>
      <c r="Q45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88" s="19" t="str">
        <f>TEXT(Planning[[#This Row],[Mes]]*29,"mmmm")</f>
        <v>October</v>
      </c>
      <c r="S45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88" s="193"/>
      <c r="U4588" s="43"/>
      <c r="V4588" s="43"/>
      <c r="W4588" s="44"/>
      <c r="X4588" s="142"/>
    </row>
    <row r="4589" spans="1:24" x14ac:dyDescent="0.2">
      <c r="A4589" s="9" t="s">
        <v>435</v>
      </c>
      <c r="B4589" s="9" t="s">
        <v>118</v>
      </c>
      <c r="C4589" s="3"/>
      <c r="D4589" s="3" t="s">
        <v>777</v>
      </c>
      <c r="E4589" s="4"/>
      <c r="F4589" s="3" t="s">
        <v>128</v>
      </c>
      <c r="G4589" s="9"/>
      <c r="H4589" s="9"/>
      <c r="I4589" s="12"/>
      <c r="J4589" s="5" t="e">
        <f>SUM(SUMIFS(#REF!,#REF!,Planning[[#This Row],[Tipo de Tarea y especialidad]],#REF!,Planning[[#This Row],[Proyectos Reiwa]]),SUMIFS(#REF!,#REF!,Planning[[#This Row],[Tipo de Tarea y especialidad]],#REF!,Planning[[#This Row],[Proyectos]]))</f>
        <v>#REF!</v>
      </c>
      <c r="K4589" s="5" t="e">
        <f>+Planning[[#This Row],[Horas Planificadas]]+Planning[[#This Row],[Horas ajustadas adicionales]]-Planning[[#This Row],[Horas utilizadas]]</f>
        <v>#REF!</v>
      </c>
      <c r="L4589" s="7">
        <v>0</v>
      </c>
      <c r="M4589" s="19" t="e">
        <f>Planning[[#This Row],[Saldo]]-Planning[[#This Row],[Saldo estimado]]</f>
        <v>#REF!</v>
      </c>
      <c r="N4589" s="60" t="e">
        <f>+SUMIFS(#REF!,#REF!,Planning[[#This Row],[Proyectos]],#REF!,Planning[[#This Row],[Tipo de Tarea y especialidad]])</f>
        <v>#REF!</v>
      </c>
      <c r="O4589" s="19">
        <f t="shared" si="143"/>
        <v>10</v>
      </c>
      <c r="P4589" s="19">
        <f t="shared" si="144"/>
        <v>2024</v>
      </c>
      <c r="Q45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89" s="19" t="str">
        <f>TEXT(Planning[[#This Row],[Mes]]*29,"mmmm")</f>
        <v>October</v>
      </c>
      <c r="S45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89" s="193"/>
      <c r="U4589" s="43"/>
      <c r="V4589" s="43"/>
      <c r="W4589" s="44"/>
      <c r="X4589" s="142"/>
    </row>
    <row r="4590" spans="1:24" x14ac:dyDescent="0.2">
      <c r="A4590" s="9" t="s">
        <v>435</v>
      </c>
      <c r="B4590" s="9" t="s">
        <v>118</v>
      </c>
      <c r="C4590" s="3"/>
      <c r="D4590" s="3" t="s">
        <v>777</v>
      </c>
      <c r="E4590" s="4" t="s">
        <v>31</v>
      </c>
      <c r="F4590" s="3" t="s">
        <v>31</v>
      </c>
      <c r="G4590" s="9"/>
      <c r="H4590" s="17"/>
      <c r="I4590" s="18"/>
      <c r="J4590" s="14" t="e">
        <f>+SUMIFS(#REF!,#REF!,Planning[[#This Row],[Tarifa]],#REF!,Planning[[#This Row],[Proyectos]])</f>
        <v>#REF!</v>
      </c>
      <c r="K4590" s="14" t="e">
        <f>+Planning[[#This Row],[Horas Planificadas]]+Planning[[#This Row],[Horas ajustadas adicionales]]-Planning[[#This Row],[Horas utilizadas]]</f>
        <v>#REF!</v>
      </c>
      <c r="L4590" s="15" t="e">
        <f>Planning[[#This Row],[Saldo]]</f>
        <v>#REF!</v>
      </c>
      <c r="M4590" s="16" t="e">
        <f>Planning[[#This Row],[Saldo]]-Planning[[#This Row],[Saldo estimado]]</f>
        <v>#REF!</v>
      </c>
      <c r="N4590" s="60"/>
      <c r="O4590" s="16">
        <f t="shared" si="143"/>
        <v>10</v>
      </c>
      <c r="P4590" s="16">
        <f t="shared" si="144"/>
        <v>2024</v>
      </c>
      <c r="Q4590" s="16" t="e">
        <f>+SUMIFS(#REF!,#REF!,Planning[[#This Row],[Tarifa]],#REF!,Planning[[#This Row],[Proyectos]],#REF!,Planning[[#This Row],[Mes]],#REF!,Planning[[#This Row],[Año]])</f>
        <v>#REF!</v>
      </c>
      <c r="R4590" s="16" t="str">
        <f>TEXT(Planning[[#This Row],[Mes]]*29,"mmmm")</f>
        <v>October</v>
      </c>
      <c r="S45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90" s="193"/>
      <c r="U4590" s="43"/>
      <c r="V4590" s="43"/>
      <c r="W4590" s="44"/>
      <c r="X4590" s="142"/>
    </row>
    <row r="4591" spans="1:24" ht="22.5" x14ac:dyDescent="0.2">
      <c r="A4591" s="9" t="s">
        <v>435</v>
      </c>
      <c r="B4591" s="9" t="s">
        <v>118</v>
      </c>
      <c r="C4591" s="3"/>
      <c r="D4591" s="3" t="s">
        <v>777</v>
      </c>
      <c r="E4591" s="4" t="s">
        <v>32</v>
      </c>
      <c r="F4591" s="3"/>
      <c r="G4591" s="9"/>
      <c r="H4591" s="14">
        <f>SUM(H4592:H4593)</f>
        <v>807</v>
      </c>
      <c r="I4591" s="14"/>
      <c r="J4591" s="14" t="e">
        <f>SUM(J4592:J4594)</f>
        <v>#REF!</v>
      </c>
      <c r="K4591" s="14" t="e">
        <f>+Planning[[#This Row],[Horas Planificadas]]+Planning[[#This Row],[Horas ajustadas adicionales]]-Planning[[#This Row],[Horas utilizadas]]</f>
        <v>#REF!</v>
      </c>
      <c r="L4591" s="15">
        <f>SUM(L4592:L4594)</f>
        <v>90</v>
      </c>
      <c r="M4591" s="16" t="e">
        <f>SUM(M4592:M4594)</f>
        <v>#REF!</v>
      </c>
      <c r="N4591" s="60"/>
      <c r="O4591" s="16">
        <f t="shared" si="143"/>
        <v>10</v>
      </c>
      <c r="P4591" s="16">
        <f t="shared" si="144"/>
        <v>2024</v>
      </c>
      <c r="Q4591" s="16" t="e">
        <f>SUM(Q4592:Q4594)</f>
        <v>#REF!</v>
      </c>
      <c r="R4591" s="16" t="str">
        <f>TEXT(Planning[[#This Row],[Mes]]*29,"mmmm")</f>
        <v>October</v>
      </c>
      <c r="S45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91" s="193"/>
      <c r="U4591" s="43"/>
      <c r="V4591" s="43"/>
      <c r="W4591" s="44"/>
      <c r="X4591" s="142"/>
    </row>
    <row r="4592" spans="1:24" x14ac:dyDescent="0.2">
      <c r="A4592" s="9" t="s">
        <v>435</v>
      </c>
      <c r="B4592" s="9" t="s">
        <v>118</v>
      </c>
      <c r="C4592" s="3"/>
      <c r="D4592" s="3" t="s">
        <v>777</v>
      </c>
      <c r="E4592" s="4"/>
      <c r="F4592" s="3" t="s">
        <v>129</v>
      </c>
      <c r="G4592" s="9">
        <v>397</v>
      </c>
      <c r="H4592" s="9">
        <v>427</v>
      </c>
      <c r="I4592" s="12"/>
      <c r="J4592" s="5" t="e">
        <f>SUM(SUMIFS(#REF!,#REF!,Planning[[#This Row],[Tipo de Tarea y especialidad]],#REF!,Planning[[#This Row],[Proyectos Reiwa]]),SUMIFS(#REF!,#REF!,Planning[[#This Row],[Tipo de Tarea y especialidad]],#REF!,Planning[[#This Row],[Proyectos]]))</f>
        <v>#REF!</v>
      </c>
      <c r="K4592" s="5" t="e">
        <f>+Planning[[#This Row],[Horas Planificadas]]+Planning[[#This Row],[Horas ajustadas adicionales]]-Planning[[#This Row],[Horas utilizadas]]</f>
        <v>#REF!</v>
      </c>
      <c r="L4592" s="7">
        <v>54</v>
      </c>
      <c r="M4592" s="19" t="e">
        <f>Planning[[#This Row],[Saldo]]-Planning[[#This Row],[Saldo estimado]]</f>
        <v>#REF!</v>
      </c>
      <c r="N4592" s="60" t="e">
        <f>+SUMIFS(#REF!,#REF!,Planning[[#This Row],[Proyectos]],#REF!,Planning[[#This Row],[Tipo de Tarea y especialidad]])</f>
        <v>#REF!</v>
      </c>
      <c r="O4592" s="19">
        <f t="shared" si="143"/>
        <v>10</v>
      </c>
      <c r="P4592" s="19">
        <f t="shared" si="144"/>
        <v>2024</v>
      </c>
      <c r="Q45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92" s="19" t="str">
        <f>TEXT(Planning[[#This Row],[Mes]]*29,"mmmm")</f>
        <v>October</v>
      </c>
      <c r="S45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92" s="193"/>
      <c r="U4592" s="43"/>
      <c r="V4592" s="43"/>
      <c r="W4592" s="44"/>
      <c r="X4592" s="142"/>
    </row>
    <row r="4593" spans="1:24" x14ac:dyDescent="0.2">
      <c r="A4593" s="9" t="s">
        <v>435</v>
      </c>
      <c r="B4593" s="9" t="s">
        <v>118</v>
      </c>
      <c r="C4593" s="3"/>
      <c r="D4593" s="3" t="s">
        <v>777</v>
      </c>
      <c r="E4593" s="4"/>
      <c r="F4593" s="3" t="s">
        <v>130</v>
      </c>
      <c r="G4593" s="9">
        <v>330</v>
      </c>
      <c r="H4593" s="20">
        <v>380</v>
      </c>
      <c r="I4593" s="12"/>
      <c r="J4593" s="5" t="e">
        <f>SUM(SUMIFS(#REF!,#REF!,Planning[[#This Row],[Tipo de Tarea y especialidad]],#REF!,Planning[[#This Row],[Proyectos Reiwa]]),SUMIFS(#REF!,#REF!,Planning[[#This Row],[Tipo de Tarea y especialidad]],#REF!,Planning[[#This Row],[Proyectos]]))</f>
        <v>#REF!</v>
      </c>
      <c r="K4593" s="5" t="e">
        <f>+Planning[[#This Row],[Horas Planificadas]]+Planning[[#This Row],[Horas ajustadas adicionales]]-Planning[[#This Row],[Horas utilizadas]]</f>
        <v>#REF!</v>
      </c>
      <c r="L4593" s="7">
        <v>36</v>
      </c>
      <c r="M4593" s="19" t="e">
        <f>Planning[[#This Row],[Saldo]]-Planning[[#This Row],[Saldo estimado]]</f>
        <v>#REF!</v>
      </c>
      <c r="N4593" s="60" t="e">
        <f>+SUMIFS(#REF!,#REF!,Planning[[#This Row],[Proyectos]],#REF!,Planning[[#This Row],[Tipo de Tarea y especialidad]])</f>
        <v>#REF!</v>
      </c>
      <c r="O4593" s="19">
        <f t="shared" si="143"/>
        <v>10</v>
      </c>
      <c r="P4593" s="19">
        <f t="shared" si="144"/>
        <v>2024</v>
      </c>
      <c r="Q45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93" s="19" t="str">
        <f>TEXT(Planning[[#This Row],[Mes]]*29,"mmmm")</f>
        <v>October</v>
      </c>
      <c r="S45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93" s="193"/>
      <c r="U4593" s="43"/>
      <c r="V4593" s="43"/>
      <c r="W4593" s="44"/>
      <c r="X4593" s="142"/>
    </row>
    <row r="4594" spans="1:24" x14ac:dyDescent="0.2">
      <c r="A4594" s="9" t="s">
        <v>435</v>
      </c>
      <c r="B4594" s="9" t="s">
        <v>118</v>
      </c>
      <c r="C4594" s="3"/>
      <c r="D4594" s="3" t="s">
        <v>777</v>
      </c>
      <c r="E4594" s="4"/>
      <c r="F4594" s="3" t="s">
        <v>131</v>
      </c>
      <c r="G4594" s="11"/>
      <c r="H4594" s="20"/>
      <c r="I4594" s="12"/>
      <c r="J4594" s="5" t="e">
        <f>SUM(SUMIFS(#REF!,#REF!,Planning[[#This Row],[Tipo de Tarea y especialidad]],#REF!,Planning[[#This Row],[Proyectos Reiwa]]),SUMIFS(#REF!,#REF!,Planning[[#This Row],[Tipo de Tarea y especialidad]],#REF!,Planning[[#This Row],[Proyectos]]))</f>
        <v>#REF!</v>
      </c>
      <c r="K4594" s="5" t="e">
        <f>+Planning[[#This Row],[Horas Planificadas]]+Planning[[#This Row],[Horas ajustadas adicionales]]-Planning[[#This Row],[Horas utilizadas]]</f>
        <v>#REF!</v>
      </c>
      <c r="L4594" s="7">
        <v>0</v>
      </c>
      <c r="M4594" s="19" t="e">
        <f>Planning[[#This Row],[Saldo]]-Planning[[#This Row],[Saldo estimado]]</f>
        <v>#REF!</v>
      </c>
      <c r="N4594" s="60" t="e">
        <f>+SUMIFS(#REF!,#REF!,Planning[[#This Row],[Proyectos]],#REF!,Planning[[#This Row],[Tipo de Tarea y especialidad]])</f>
        <v>#REF!</v>
      </c>
      <c r="O4594" s="19">
        <f t="shared" si="143"/>
        <v>10</v>
      </c>
      <c r="P4594" s="19">
        <f t="shared" si="144"/>
        <v>2024</v>
      </c>
      <c r="Q45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94" s="19" t="str">
        <f>TEXT(Planning[[#This Row],[Mes]]*29,"mmmm")</f>
        <v>October</v>
      </c>
      <c r="S45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94" s="193"/>
      <c r="U4594" s="43"/>
      <c r="V4594" s="43"/>
      <c r="W4594" s="44"/>
      <c r="X4594" s="142"/>
    </row>
    <row r="4595" spans="1:24" ht="12.75" customHeight="1" x14ac:dyDescent="0.2">
      <c r="A4595" s="9" t="s">
        <v>626</v>
      </c>
      <c r="B4595" s="9" t="s">
        <v>779</v>
      </c>
      <c r="C4595" s="3">
        <v>116998</v>
      </c>
      <c r="D4595" s="3" t="s">
        <v>780</v>
      </c>
      <c r="E4595" s="4" t="s">
        <v>28</v>
      </c>
      <c r="F4595" s="3"/>
      <c r="G4595" s="9">
        <v>0</v>
      </c>
      <c r="H4595" s="14">
        <f>SUM(H4596:H4597)</f>
        <v>0</v>
      </c>
      <c r="I4595" s="14"/>
      <c r="J4595" s="14" t="e">
        <f>SUM(J4596:J4597)</f>
        <v>#REF!</v>
      </c>
      <c r="K4595" s="14" t="e">
        <f>+Planning[[#This Row],[Horas Planificadas]]+Planning[[#This Row],[Horas ajustadas adicionales]]-Planning[[#This Row],[Horas utilizadas]]</f>
        <v>#REF!</v>
      </c>
      <c r="L4595" s="15" t="e">
        <f>Planning[[#This Row],[Saldo]]</f>
        <v>#REF!</v>
      </c>
      <c r="M4595" s="14" t="e">
        <f>SUM(M4596:M4597)</f>
        <v>#REF!</v>
      </c>
      <c r="N4595" s="66"/>
      <c r="O4595" s="14">
        <f t="shared" ref="O4595:O4658" si="145">$L$4</f>
        <v>10</v>
      </c>
      <c r="P4595" s="14">
        <f t="shared" ref="P4595:P4658" si="146">$M$4</f>
        <v>2024</v>
      </c>
      <c r="Q4595" s="28" t="e">
        <f>SUM(Q4596:Q4597)</f>
        <v>#REF!</v>
      </c>
      <c r="R4595" s="24" t="str">
        <f>TEXT(Planning[[#This Row],[Mes]]*29,"mmmm")</f>
        <v>October</v>
      </c>
      <c r="S4595"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95" s="225" t="s">
        <v>781</v>
      </c>
      <c r="U4595" s="43">
        <f>IF(Planning[[#This Row],[Horas Planificadas]]&lt;&gt;0,+K4595/Planning[[#This Row],[Horas Planificadas]],0)</f>
        <v>0</v>
      </c>
      <c r="V4595" s="43">
        <f>IF(Planning[[#This Row],[Horas Planificadas]]&lt;&gt;0,Planning[[#This Row],[Horas utilizadas]]/Planning[[#This Row],[Horas Planificadas]],0)</f>
        <v>0</v>
      </c>
      <c r="W4595" s="44">
        <f>Planning[[#This Row],[Horas Planificadas]]+Planning[[#This Row],[Horas ajustadas adicionales]]</f>
        <v>0</v>
      </c>
      <c r="X4595" s="142"/>
    </row>
    <row r="4596" spans="1:24" x14ac:dyDescent="0.2">
      <c r="A4596" s="9" t="s">
        <v>626</v>
      </c>
      <c r="B4596" s="9" t="s">
        <v>779</v>
      </c>
      <c r="C4596" s="131">
        <v>116998</v>
      </c>
      <c r="D4596" s="3" t="s">
        <v>780</v>
      </c>
      <c r="E4596" s="4"/>
      <c r="F4596" s="3" t="s">
        <v>120</v>
      </c>
      <c r="G4596" s="9"/>
      <c r="H4596" s="9">
        <v>0</v>
      </c>
      <c r="I4596" s="12"/>
      <c r="J4596" s="5" t="e">
        <f>SUM(SUMIFS(#REF!,#REF!,Planning[[#This Row],[Tipo de Tarea y especialidad]],#REF!,Planning[[#This Row],[Proyectos Reiwa]]),SUMIFS(#REF!,#REF!,Planning[[#This Row],[Tipo de Tarea y especialidad]],#REF!,Planning[[#This Row],[Proyectos]]))</f>
        <v>#REF!</v>
      </c>
      <c r="K4596" s="5" t="e">
        <f>+Planning[[#This Row],[Horas Planificadas]]+Planning[[#This Row],[Horas ajustadas adicionales]]-Planning[[#This Row],[Horas utilizadas]]</f>
        <v>#REF!</v>
      </c>
      <c r="L4596" s="15" t="e">
        <f>Planning[[#This Row],[Saldo]]</f>
        <v>#REF!</v>
      </c>
      <c r="M4596" s="19" t="e">
        <f>Planning[[#This Row],[Saldo]]-Planning[[#This Row],[Saldo estimado]]</f>
        <v>#REF!</v>
      </c>
      <c r="N4596" s="60" t="e">
        <f>+SUMIFS(#REF!,#REF!,Planning[[#This Row],[Proyectos]],#REF!,Planning[[#This Row],[Tipo de Tarea y especialidad]])</f>
        <v>#REF!</v>
      </c>
      <c r="O4596" s="19">
        <f t="shared" si="145"/>
        <v>10</v>
      </c>
      <c r="P4596" s="19">
        <f t="shared" si="146"/>
        <v>2024</v>
      </c>
      <c r="Q45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96" s="49" t="str">
        <f>TEXT(Planning[[#This Row],[Mes]]*29,"mmmm")</f>
        <v>October</v>
      </c>
      <c r="S459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96" s="226"/>
      <c r="U4596" s="43">
        <f>IF(Planning[[#This Row],[Horas Planificadas]]&lt;&gt;0,+K4596/Planning[[#This Row],[Horas Planificadas]],0)</f>
        <v>0</v>
      </c>
      <c r="V4596" s="43">
        <f>IF(Planning[[#This Row],[Horas Planificadas]]&lt;&gt;0,Planning[[#This Row],[Horas utilizadas]]/Planning[[#This Row],[Horas Planificadas]],0)</f>
        <v>0</v>
      </c>
      <c r="W4596" s="44">
        <f>Planning[[#This Row],[Horas Planificadas]]+Planning[[#This Row],[Horas ajustadas adicionales]]</f>
        <v>0</v>
      </c>
      <c r="X4596" s="142"/>
    </row>
    <row r="4597" spans="1:24" x14ac:dyDescent="0.2">
      <c r="A4597" s="9" t="s">
        <v>626</v>
      </c>
      <c r="B4597" s="9" t="s">
        <v>779</v>
      </c>
      <c r="C4597" s="120">
        <v>116998</v>
      </c>
      <c r="D4597" s="3" t="s">
        <v>780</v>
      </c>
      <c r="E4597" s="4"/>
      <c r="F4597" s="3" t="s">
        <v>121</v>
      </c>
      <c r="G4597" s="9"/>
      <c r="H4597" s="9">
        <v>0</v>
      </c>
      <c r="I4597" s="12"/>
      <c r="J4597" s="5" t="e">
        <f>SUM(SUMIFS(#REF!,#REF!,Planning[[#This Row],[Tipo de Tarea y especialidad]],#REF!,Planning[[#This Row],[Proyectos Reiwa]]),SUMIFS(#REF!,#REF!,Planning[[#This Row],[Tipo de Tarea y especialidad]],#REF!,Planning[[#This Row],[Proyectos]]))</f>
        <v>#REF!</v>
      </c>
      <c r="K4597" s="5" t="e">
        <f>+Planning[[#This Row],[Horas Planificadas]]+Planning[[#This Row],[Horas ajustadas adicionales]]-Planning[[#This Row],[Horas utilizadas]]</f>
        <v>#REF!</v>
      </c>
      <c r="L4597" s="15" t="e">
        <f>Planning[[#This Row],[Saldo]]</f>
        <v>#REF!</v>
      </c>
      <c r="M4597" s="19" t="e">
        <f>Planning[[#This Row],[Saldo]]-Planning[[#This Row],[Saldo estimado]]</f>
        <v>#REF!</v>
      </c>
      <c r="N4597" s="60" t="e">
        <f>+SUMIFS(#REF!,#REF!,Planning[[#This Row],[Proyectos]],#REF!,Planning[[#This Row],[Tipo de Tarea y especialidad]])</f>
        <v>#REF!</v>
      </c>
      <c r="O4597" s="19">
        <f t="shared" si="145"/>
        <v>10</v>
      </c>
      <c r="P4597" s="19">
        <f t="shared" si="146"/>
        <v>2024</v>
      </c>
      <c r="Q45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97" s="49" t="str">
        <f>TEXT(Planning[[#This Row],[Mes]]*29,"mmmm")</f>
        <v>October</v>
      </c>
      <c r="S459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97" s="226"/>
      <c r="U4597" s="43">
        <f>IF(Planning[[#This Row],[Horas Planificadas]]&lt;&gt;0,+K4597/Planning[[#This Row],[Horas Planificadas]],0)</f>
        <v>0</v>
      </c>
      <c r="V4597" s="43">
        <f>IF(Planning[[#This Row],[Horas Planificadas]]&lt;&gt;0,Planning[[#This Row],[Horas utilizadas]]/Planning[[#This Row],[Horas Planificadas]],0)</f>
        <v>0</v>
      </c>
      <c r="W4597" s="44">
        <f>Planning[[#This Row],[Horas Planificadas]]+Planning[[#This Row],[Horas ajustadas adicionales]]</f>
        <v>0</v>
      </c>
      <c r="X4597" s="142"/>
    </row>
    <row r="4598" spans="1:24" x14ac:dyDescent="0.2">
      <c r="A4598" s="9" t="s">
        <v>626</v>
      </c>
      <c r="B4598" s="9" t="s">
        <v>779</v>
      </c>
      <c r="C4598" s="120">
        <v>116998</v>
      </c>
      <c r="D4598" s="3" t="s">
        <v>780</v>
      </c>
      <c r="E4598" s="4" t="s">
        <v>30</v>
      </c>
      <c r="F4598" s="3"/>
      <c r="G4598" s="9">
        <v>120</v>
      </c>
      <c r="H4598" s="14">
        <f>SUM(H4599:H4605)</f>
        <v>120</v>
      </c>
      <c r="I4598" s="14">
        <f>SUM(I4599:I4605)</f>
        <v>365</v>
      </c>
      <c r="J4598" s="14" t="e">
        <f>SUM(J4599:J4605)</f>
        <v>#REF!</v>
      </c>
      <c r="K4598" s="14" t="e">
        <f>+Planning[[#This Row],[Horas Planificadas]]+Planning[[#This Row],[Horas ajustadas adicionales]]-Planning[[#This Row],[Horas utilizadas]]</f>
        <v>#REF!</v>
      </c>
      <c r="L4598" s="15">
        <v>120</v>
      </c>
      <c r="M4598" s="16" t="e">
        <f>Planning[[#This Row],[Saldo]]-Planning[[#This Row],[Saldo estimado]]</f>
        <v>#REF!</v>
      </c>
      <c r="N4598" s="60"/>
      <c r="O4598" s="16">
        <f t="shared" si="145"/>
        <v>10</v>
      </c>
      <c r="P4598" s="16">
        <f t="shared" si="146"/>
        <v>2024</v>
      </c>
      <c r="Q4598" s="16" t="e">
        <f>SUM(Q4599:Q4605)</f>
        <v>#REF!</v>
      </c>
      <c r="R4598" s="50" t="str">
        <f>TEXT(Planning[[#This Row],[Mes]]*29,"mmmm")</f>
        <v>October</v>
      </c>
      <c r="S459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98" s="226"/>
      <c r="U4598" s="43" t="e">
        <f>IF(Planning[[#This Row],[Horas Planificadas]]&lt;&gt;0,+K4598/Planning[[#This Row],[Horas Planificadas]],0)</f>
        <v>#REF!</v>
      </c>
      <c r="V4598" s="43" t="e">
        <f>IF(Planning[[#This Row],[Horas Planificadas]]&lt;&gt;0,Planning[[#This Row],[Horas utilizadas]]/Planning[[#This Row],[Horas Planificadas]],0)</f>
        <v>#REF!</v>
      </c>
      <c r="W4598" s="44">
        <f>Planning[[#This Row],[Horas Planificadas]]+Planning[[#This Row],[Horas ajustadas adicionales]]</f>
        <v>485</v>
      </c>
      <c r="X4598" s="142"/>
    </row>
    <row r="4599" spans="1:24" x14ac:dyDescent="0.2">
      <c r="A4599" s="9" t="s">
        <v>626</v>
      </c>
      <c r="B4599" s="9" t="s">
        <v>779</v>
      </c>
      <c r="C4599" s="120">
        <v>116998</v>
      </c>
      <c r="D4599" s="3" t="s">
        <v>780</v>
      </c>
      <c r="E4599" s="4"/>
      <c r="F4599" s="3" t="s">
        <v>122</v>
      </c>
      <c r="G4599" s="9"/>
      <c r="H4599" s="9">
        <v>0</v>
      </c>
      <c r="I4599" s="12"/>
      <c r="J4599" s="5" t="e">
        <f>SUM(SUMIFS(#REF!,#REF!,Planning[[#This Row],[Tipo de Tarea y especialidad]],#REF!,Planning[[#This Row],[Proyectos Reiwa]]),SUMIFS(#REF!,#REF!,Planning[[#This Row],[Tipo de Tarea y especialidad]],#REF!,Planning[[#This Row],[Proyectos]]))</f>
        <v>#REF!</v>
      </c>
      <c r="K4599" s="5" t="e">
        <f>+Planning[[#This Row],[Horas Planificadas]]+Planning[[#This Row],[Horas ajustadas adicionales]]-Planning[[#This Row],[Horas utilizadas]]</f>
        <v>#REF!</v>
      </c>
      <c r="L4599" s="15" t="e">
        <f>Planning[[#This Row],[Saldo]]</f>
        <v>#REF!</v>
      </c>
      <c r="M4599" s="19" t="e">
        <f>Planning[[#This Row],[Saldo]]-Planning[[#This Row],[Saldo estimado]]</f>
        <v>#REF!</v>
      </c>
      <c r="N4599" s="60" t="e">
        <f>+SUMIFS(#REF!,#REF!,Planning[[#This Row],[Proyectos]],#REF!,Planning[[#This Row],[Tipo de Tarea y especialidad]])</f>
        <v>#REF!</v>
      </c>
      <c r="O4599" s="19">
        <f t="shared" si="145"/>
        <v>10</v>
      </c>
      <c r="P4599" s="19">
        <f t="shared" si="146"/>
        <v>2024</v>
      </c>
      <c r="Q45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599" s="49" t="str">
        <f>TEXT(Planning[[#This Row],[Mes]]*29,"mmmm")</f>
        <v>October</v>
      </c>
      <c r="S459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599" s="226"/>
      <c r="U4599" s="43">
        <f>IF(Planning[[#This Row],[Horas Planificadas]]&lt;&gt;0,+K4599/Planning[[#This Row],[Horas Planificadas]],0)</f>
        <v>0</v>
      </c>
      <c r="V4599" s="43">
        <f>IF(Planning[[#This Row],[Horas Planificadas]]&lt;&gt;0,Planning[[#This Row],[Horas utilizadas]]/Planning[[#This Row],[Horas Planificadas]],0)</f>
        <v>0</v>
      </c>
      <c r="W4599" s="44">
        <f>Planning[[#This Row],[Horas Planificadas]]+Planning[[#This Row],[Horas ajustadas adicionales]]</f>
        <v>0</v>
      </c>
      <c r="X4599" s="142"/>
    </row>
    <row r="4600" spans="1:24" x14ac:dyDescent="0.2">
      <c r="A4600" s="9" t="s">
        <v>626</v>
      </c>
      <c r="B4600" s="9" t="s">
        <v>779</v>
      </c>
      <c r="C4600" s="120">
        <v>116998</v>
      </c>
      <c r="D4600" s="3" t="s">
        <v>780</v>
      </c>
      <c r="E4600" s="4"/>
      <c r="F4600" s="3" t="s">
        <v>123</v>
      </c>
      <c r="G4600" s="9"/>
      <c r="H4600" s="9">
        <v>0</v>
      </c>
      <c r="I4600" s="12">
        <f>5+9+20+100+54</f>
        <v>188</v>
      </c>
      <c r="J4600" s="5" t="e">
        <f>SUM(SUMIFS(#REF!,#REF!,Planning[[#This Row],[Tipo de Tarea y especialidad]],#REF!,Planning[[#This Row],[Proyectos Reiwa]]),SUMIFS(#REF!,#REF!,Planning[[#This Row],[Tipo de Tarea y especialidad]],#REF!,Planning[[#This Row],[Proyectos]]))</f>
        <v>#REF!</v>
      </c>
      <c r="K4600" s="5" t="e">
        <f>+Planning[[#This Row],[Horas Planificadas]]+Planning[[#This Row],[Horas ajustadas adicionales]]-Planning[[#This Row],[Horas utilizadas]]</f>
        <v>#REF!</v>
      </c>
      <c r="L4600" s="15" t="e">
        <f>Planning[[#This Row],[Saldo]]</f>
        <v>#REF!</v>
      </c>
      <c r="M4600" s="19" t="e">
        <f>Planning[[#This Row],[Saldo]]-Planning[[#This Row],[Saldo estimado]]</f>
        <v>#REF!</v>
      </c>
      <c r="N4600" s="60" t="e">
        <f>+SUMIFS(#REF!,#REF!,Planning[[#This Row],[Proyectos]],#REF!,Planning[[#This Row],[Tipo de Tarea y especialidad]])</f>
        <v>#REF!</v>
      </c>
      <c r="O4600" s="19">
        <f t="shared" si="145"/>
        <v>10</v>
      </c>
      <c r="P4600" s="19">
        <f t="shared" si="146"/>
        <v>2024</v>
      </c>
      <c r="Q46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00" s="49" t="str">
        <f>TEXT(Planning[[#This Row],[Mes]]*29,"mmmm")</f>
        <v>October</v>
      </c>
      <c r="S460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00" s="226"/>
      <c r="U4600" s="43">
        <f>IF(Planning[[#This Row],[Horas Planificadas]]&lt;&gt;0,+K4600/Planning[[#This Row],[Horas Planificadas]],0)</f>
        <v>0</v>
      </c>
      <c r="V4600" s="43">
        <f>IF(Planning[[#This Row],[Horas Planificadas]]&lt;&gt;0,Planning[[#This Row],[Horas utilizadas]]/Planning[[#This Row],[Horas Planificadas]],0)</f>
        <v>0</v>
      </c>
      <c r="W4600" s="44">
        <f>Planning[[#This Row],[Horas Planificadas]]+Planning[[#This Row],[Horas ajustadas adicionales]]</f>
        <v>188</v>
      </c>
      <c r="X4600" s="142"/>
    </row>
    <row r="4601" spans="1:24" x14ac:dyDescent="0.2">
      <c r="A4601" s="9" t="s">
        <v>626</v>
      </c>
      <c r="B4601" s="9" t="s">
        <v>779</v>
      </c>
      <c r="C4601" s="120">
        <v>116998</v>
      </c>
      <c r="D4601" s="3" t="s">
        <v>780</v>
      </c>
      <c r="E4601" s="4"/>
      <c r="F4601" s="3" t="s">
        <v>124</v>
      </c>
      <c r="G4601" s="9"/>
      <c r="H4601" s="9">
        <v>0</v>
      </c>
      <c r="I4601" s="12"/>
      <c r="J4601" s="5" t="e">
        <f>SUM(SUMIFS(#REF!,#REF!,Planning[[#This Row],[Tipo de Tarea y especialidad]],#REF!,Planning[[#This Row],[Proyectos Reiwa]]),SUMIFS(#REF!,#REF!,Planning[[#This Row],[Tipo de Tarea y especialidad]],#REF!,Planning[[#This Row],[Proyectos]]))</f>
        <v>#REF!</v>
      </c>
      <c r="K4601" s="5" t="e">
        <f>+Planning[[#This Row],[Horas Planificadas]]+Planning[[#This Row],[Horas ajustadas adicionales]]-Planning[[#This Row],[Horas utilizadas]]</f>
        <v>#REF!</v>
      </c>
      <c r="L4601" s="15" t="e">
        <f>Planning[[#This Row],[Saldo]]</f>
        <v>#REF!</v>
      </c>
      <c r="M4601" s="19" t="e">
        <f>Planning[[#This Row],[Saldo]]-Planning[[#This Row],[Saldo estimado]]</f>
        <v>#REF!</v>
      </c>
      <c r="N4601" s="60" t="e">
        <f>+SUMIFS(#REF!,#REF!,Planning[[#This Row],[Proyectos]],#REF!,Planning[[#This Row],[Tipo de Tarea y especialidad]])</f>
        <v>#REF!</v>
      </c>
      <c r="O4601" s="19">
        <f t="shared" si="145"/>
        <v>10</v>
      </c>
      <c r="P4601" s="19">
        <f t="shared" si="146"/>
        <v>2024</v>
      </c>
      <c r="Q46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01" s="49" t="str">
        <f>TEXT(Planning[[#This Row],[Mes]]*29,"mmmm")</f>
        <v>October</v>
      </c>
      <c r="S460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01" s="226"/>
      <c r="U4601" s="43">
        <f>IF(Planning[[#This Row],[Horas Planificadas]]&lt;&gt;0,+K4601/Planning[[#This Row],[Horas Planificadas]],0)</f>
        <v>0</v>
      </c>
      <c r="V4601" s="43">
        <f>IF(Planning[[#This Row],[Horas Planificadas]]&lt;&gt;0,Planning[[#This Row],[Horas utilizadas]]/Planning[[#This Row],[Horas Planificadas]],0)</f>
        <v>0</v>
      </c>
      <c r="W4601" s="44">
        <f>Planning[[#This Row],[Horas Planificadas]]+Planning[[#This Row],[Horas ajustadas adicionales]]</f>
        <v>0</v>
      </c>
      <c r="X4601" s="142"/>
    </row>
    <row r="4602" spans="1:24" x14ac:dyDescent="0.2">
      <c r="A4602" s="9" t="s">
        <v>626</v>
      </c>
      <c r="B4602" s="9" t="s">
        <v>779</v>
      </c>
      <c r="C4602" s="120">
        <v>116998</v>
      </c>
      <c r="D4602" s="3" t="s">
        <v>780</v>
      </c>
      <c r="E4602" s="4"/>
      <c r="F4602" s="3" t="s">
        <v>125</v>
      </c>
      <c r="G4602" s="9"/>
      <c r="H4602" s="9">
        <v>0</v>
      </c>
      <c r="I4602" s="12">
        <v>27</v>
      </c>
      <c r="J4602" s="5" t="e">
        <f>SUM(SUMIFS(#REF!,#REF!,Planning[[#This Row],[Tipo de Tarea y especialidad]],#REF!,Planning[[#This Row],[Proyectos Reiwa]]),SUMIFS(#REF!,#REF!,Planning[[#This Row],[Tipo de Tarea y especialidad]],#REF!,Planning[[#This Row],[Proyectos]]))</f>
        <v>#REF!</v>
      </c>
      <c r="K4602" s="5" t="e">
        <f>+Planning[[#This Row],[Horas Planificadas]]+Planning[[#This Row],[Horas ajustadas adicionales]]-Planning[[#This Row],[Horas utilizadas]]</f>
        <v>#REF!</v>
      </c>
      <c r="L4602" s="15" t="e">
        <f>Planning[[#This Row],[Saldo]]</f>
        <v>#REF!</v>
      </c>
      <c r="M4602" s="19" t="e">
        <f>Planning[[#This Row],[Saldo]]-Planning[[#This Row],[Saldo estimado]]</f>
        <v>#REF!</v>
      </c>
      <c r="N4602" s="60" t="e">
        <f>+SUMIFS(#REF!,#REF!,Planning[[#This Row],[Proyectos]],#REF!,Planning[[#This Row],[Tipo de Tarea y especialidad]])</f>
        <v>#REF!</v>
      </c>
      <c r="O4602" s="19">
        <f t="shared" si="145"/>
        <v>10</v>
      </c>
      <c r="P4602" s="19">
        <f t="shared" si="146"/>
        <v>2024</v>
      </c>
      <c r="Q46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02" s="49" t="str">
        <f>TEXT(Planning[[#This Row],[Mes]]*29,"mmmm")</f>
        <v>October</v>
      </c>
      <c r="S460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02" s="226"/>
      <c r="U4602" s="43">
        <f>IF(Planning[[#This Row],[Horas Planificadas]]&lt;&gt;0,+K4602/Planning[[#This Row],[Horas Planificadas]],0)</f>
        <v>0</v>
      </c>
      <c r="V4602" s="43">
        <f>IF(Planning[[#This Row],[Horas Planificadas]]&lt;&gt;0,Planning[[#This Row],[Horas utilizadas]]/Planning[[#This Row],[Horas Planificadas]],0)</f>
        <v>0</v>
      </c>
      <c r="W4602" s="44">
        <f>Planning[[#This Row],[Horas Planificadas]]+Planning[[#This Row],[Horas ajustadas adicionales]]</f>
        <v>27</v>
      </c>
      <c r="X4602" s="142"/>
    </row>
    <row r="4603" spans="1:24" x14ac:dyDescent="0.2">
      <c r="A4603" s="9" t="s">
        <v>626</v>
      </c>
      <c r="B4603" s="9" t="s">
        <v>779</v>
      </c>
      <c r="C4603" s="120">
        <v>116998</v>
      </c>
      <c r="D4603" s="3" t="s">
        <v>780</v>
      </c>
      <c r="E4603" s="4"/>
      <c r="F4603" s="3" t="s">
        <v>126</v>
      </c>
      <c r="G4603" s="9"/>
      <c r="H4603" s="9">
        <v>40</v>
      </c>
      <c r="I4603" s="12">
        <f>20+71+46+13</f>
        <v>150</v>
      </c>
      <c r="J4603" s="5" t="e">
        <f>SUM(SUMIFS(#REF!,#REF!,Planning[[#This Row],[Tipo de Tarea y especialidad]],#REF!,Planning[[#This Row],[Proyectos Reiwa]]),SUMIFS(#REF!,#REF!,Planning[[#This Row],[Tipo de Tarea y especialidad]],#REF!,Planning[[#This Row],[Proyectos]]))</f>
        <v>#REF!</v>
      </c>
      <c r="K4603" s="5" t="e">
        <f>+Planning[[#This Row],[Horas Planificadas]]+Planning[[#This Row],[Horas ajustadas adicionales]]-Planning[[#This Row],[Horas utilizadas]]</f>
        <v>#REF!</v>
      </c>
      <c r="L4603" s="15" t="e">
        <f>Planning[[#This Row],[Saldo]]</f>
        <v>#REF!</v>
      </c>
      <c r="M4603" s="19" t="e">
        <f>Planning[[#This Row],[Saldo]]-Planning[[#This Row],[Saldo estimado]]</f>
        <v>#REF!</v>
      </c>
      <c r="N4603" s="60" t="e">
        <f>+SUMIFS(#REF!,#REF!,Planning[[#This Row],[Proyectos]],#REF!,Planning[[#This Row],[Tipo de Tarea y especialidad]])</f>
        <v>#REF!</v>
      </c>
      <c r="O4603" s="19">
        <f t="shared" si="145"/>
        <v>10</v>
      </c>
      <c r="P4603" s="19">
        <f t="shared" si="146"/>
        <v>2024</v>
      </c>
      <c r="Q46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03" s="49" t="str">
        <f>TEXT(Planning[[#This Row],[Mes]]*29,"mmmm")</f>
        <v>October</v>
      </c>
      <c r="S460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03" s="226"/>
      <c r="U4603" s="43" t="e">
        <f>IF(Planning[[#This Row],[Horas Planificadas]]&lt;&gt;0,+K4603/Planning[[#This Row],[Horas Planificadas]],0)</f>
        <v>#REF!</v>
      </c>
      <c r="V4603" s="43" t="e">
        <f>IF(Planning[[#This Row],[Horas Planificadas]]&lt;&gt;0,Planning[[#This Row],[Horas utilizadas]]/Planning[[#This Row],[Horas Planificadas]],0)</f>
        <v>#REF!</v>
      </c>
      <c r="W4603" s="44">
        <f>Planning[[#This Row],[Horas Planificadas]]+Planning[[#This Row],[Horas ajustadas adicionales]]</f>
        <v>190</v>
      </c>
      <c r="X4603" s="142"/>
    </row>
    <row r="4604" spans="1:24" x14ac:dyDescent="0.2">
      <c r="A4604" s="9" t="s">
        <v>626</v>
      </c>
      <c r="B4604" s="9" t="s">
        <v>779</v>
      </c>
      <c r="C4604" s="120">
        <v>116998</v>
      </c>
      <c r="D4604" s="3" t="s">
        <v>780</v>
      </c>
      <c r="E4604" s="4"/>
      <c r="F4604" s="3" t="s">
        <v>127</v>
      </c>
      <c r="G4604" s="9"/>
      <c r="H4604" s="9">
        <v>80</v>
      </c>
      <c r="I4604" s="12"/>
      <c r="J4604" s="5" t="e">
        <f>SUM(SUMIFS(#REF!,#REF!,Planning[[#This Row],[Tipo de Tarea y especialidad]],#REF!,Planning[[#This Row],[Proyectos Reiwa]]),SUMIFS(#REF!,#REF!,Planning[[#This Row],[Tipo de Tarea y especialidad]],#REF!,Planning[[#This Row],[Proyectos]]))</f>
        <v>#REF!</v>
      </c>
      <c r="K4604" s="5" t="e">
        <f>+Planning[[#This Row],[Horas Planificadas]]+Planning[[#This Row],[Horas ajustadas adicionales]]-Planning[[#This Row],[Horas utilizadas]]</f>
        <v>#REF!</v>
      </c>
      <c r="L4604" s="15" t="e">
        <f>Planning[[#This Row],[Saldo]]</f>
        <v>#REF!</v>
      </c>
      <c r="M4604" s="19" t="e">
        <f>Planning[[#This Row],[Saldo]]-Planning[[#This Row],[Saldo estimado]]</f>
        <v>#REF!</v>
      </c>
      <c r="N4604" s="60" t="e">
        <f>+SUMIFS(#REF!,#REF!,Planning[[#This Row],[Proyectos]],#REF!,Planning[[#This Row],[Tipo de Tarea y especialidad]])</f>
        <v>#REF!</v>
      </c>
      <c r="O4604" s="19">
        <f t="shared" si="145"/>
        <v>10</v>
      </c>
      <c r="P4604" s="19">
        <f t="shared" si="146"/>
        <v>2024</v>
      </c>
      <c r="Q46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04" s="49" t="str">
        <f>TEXT(Planning[[#This Row],[Mes]]*29,"mmmm")</f>
        <v>October</v>
      </c>
      <c r="S460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04" s="226"/>
      <c r="U4604" s="43" t="e">
        <f>IF(Planning[[#This Row],[Horas Planificadas]]&lt;&gt;0,+K4604/Planning[[#This Row],[Horas Planificadas]],0)</f>
        <v>#REF!</v>
      </c>
      <c r="V4604" s="43" t="e">
        <f>IF(Planning[[#This Row],[Horas Planificadas]]&lt;&gt;0,Planning[[#This Row],[Horas utilizadas]]/Planning[[#This Row],[Horas Planificadas]],0)</f>
        <v>#REF!</v>
      </c>
      <c r="W4604" s="44">
        <f>Planning[[#This Row],[Horas Planificadas]]+Planning[[#This Row],[Horas ajustadas adicionales]]</f>
        <v>80</v>
      </c>
      <c r="X4604" s="142"/>
    </row>
    <row r="4605" spans="1:24" x14ac:dyDescent="0.2">
      <c r="A4605" s="9" t="s">
        <v>626</v>
      </c>
      <c r="B4605" s="9" t="s">
        <v>779</v>
      </c>
      <c r="C4605" s="120">
        <v>116998</v>
      </c>
      <c r="D4605" s="3" t="s">
        <v>780</v>
      </c>
      <c r="E4605" s="4"/>
      <c r="F4605" s="3" t="s">
        <v>128</v>
      </c>
      <c r="G4605" s="9"/>
      <c r="H4605" s="9">
        <v>0</v>
      </c>
      <c r="I4605" s="12"/>
      <c r="J4605" s="5" t="e">
        <f>SUM(SUMIFS(#REF!,#REF!,Planning[[#This Row],[Tipo de Tarea y especialidad]],#REF!,Planning[[#This Row],[Proyectos Reiwa]]),SUMIFS(#REF!,#REF!,Planning[[#This Row],[Tipo de Tarea y especialidad]],#REF!,Planning[[#This Row],[Proyectos]]))</f>
        <v>#REF!</v>
      </c>
      <c r="K4605" s="5" t="e">
        <f>+Planning[[#This Row],[Horas Planificadas]]+Planning[[#This Row],[Horas ajustadas adicionales]]-Planning[[#This Row],[Horas utilizadas]]</f>
        <v>#REF!</v>
      </c>
      <c r="L4605" s="15" t="e">
        <f>Planning[[#This Row],[Saldo]]</f>
        <v>#REF!</v>
      </c>
      <c r="M4605" s="19" t="e">
        <f>Planning[[#This Row],[Saldo]]-Planning[[#This Row],[Saldo estimado]]</f>
        <v>#REF!</v>
      </c>
      <c r="N4605" s="60" t="e">
        <f>+SUMIFS(#REF!,#REF!,Planning[[#This Row],[Proyectos]],#REF!,Planning[[#This Row],[Tipo de Tarea y especialidad]])</f>
        <v>#REF!</v>
      </c>
      <c r="O4605" s="19">
        <f t="shared" si="145"/>
        <v>10</v>
      </c>
      <c r="P4605" s="19">
        <f t="shared" si="146"/>
        <v>2024</v>
      </c>
      <c r="Q46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05" s="49" t="str">
        <f>TEXT(Planning[[#This Row],[Mes]]*29,"mmmm")</f>
        <v>October</v>
      </c>
      <c r="S460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05" s="226"/>
      <c r="U4605" s="43">
        <f>IF(Planning[[#This Row],[Horas Planificadas]]&lt;&gt;0,+K4605/Planning[[#This Row],[Horas Planificadas]],0)</f>
        <v>0</v>
      </c>
      <c r="V4605" s="43">
        <f>IF(Planning[[#This Row],[Horas Planificadas]]&lt;&gt;0,Planning[[#This Row],[Horas utilizadas]]/Planning[[#This Row],[Horas Planificadas]],0)</f>
        <v>0</v>
      </c>
      <c r="W4605" s="44">
        <f>Planning[[#This Row],[Horas Planificadas]]+Planning[[#This Row],[Horas ajustadas adicionales]]</f>
        <v>0</v>
      </c>
      <c r="X4605" s="142"/>
    </row>
    <row r="4606" spans="1:24" x14ac:dyDescent="0.2">
      <c r="A4606" s="9" t="s">
        <v>626</v>
      </c>
      <c r="B4606" s="9" t="s">
        <v>779</v>
      </c>
      <c r="C4606" s="120">
        <v>116998</v>
      </c>
      <c r="D4606" s="3" t="s">
        <v>780</v>
      </c>
      <c r="E4606" s="4" t="s">
        <v>31</v>
      </c>
      <c r="F4606" s="3" t="s">
        <v>31</v>
      </c>
      <c r="G4606" s="9">
        <v>27</v>
      </c>
      <c r="H4606" s="17">
        <v>27</v>
      </c>
      <c r="I4606" s="18">
        <f>1.5+1.5+16+11*1.5</f>
        <v>35.5</v>
      </c>
      <c r="J4606" s="14" t="e">
        <f>+SUMIFS(#REF!,#REF!,Planning[[#This Row],[Tarifa]],#REF!,Planning[[#This Row],[Proyectos]])</f>
        <v>#REF!</v>
      </c>
      <c r="K4606" s="14" t="e">
        <f>+Planning[[#This Row],[Horas Planificadas]]+Planning[[#This Row],[Horas ajustadas adicionales]]-Planning[[#This Row],[Horas utilizadas]]</f>
        <v>#REF!</v>
      </c>
      <c r="L4606" s="15" t="e">
        <f>Planning[[#This Row],[Saldo]]</f>
        <v>#REF!</v>
      </c>
      <c r="M4606" s="16" t="e">
        <f>Planning[[#This Row],[Saldo]]-Planning[[#This Row],[Saldo estimado]]</f>
        <v>#REF!</v>
      </c>
      <c r="N4606" s="60"/>
      <c r="O4606" s="16">
        <f t="shared" si="145"/>
        <v>10</v>
      </c>
      <c r="P4606" s="16">
        <f t="shared" si="146"/>
        <v>2024</v>
      </c>
      <c r="Q4606" s="16" t="e">
        <f>+SUMIFS(#REF!,#REF!,Planning[[#This Row],[Tarifa]],#REF!,Planning[[#This Row],[Proyectos]],#REF!,Planning[[#This Row],[Mes]],#REF!,Planning[[#This Row],[Año]])</f>
        <v>#REF!</v>
      </c>
      <c r="R4606" s="50" t="str">
        <f>TEXT(Planning[[#This Row],[Mes]]*29,"mmmm")</f>
        <v>October</v>
      </c>
      <c r="S460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06" s="226"/>
      <c r="U4606" s="43" t="e">
        <f>IF(Planning[[#This Row],[Horas Planificadas]]&lt;&gt;0,+K4606/Planning[[#This Row],[Horas Planificadas]],0)</f>
        <v>#REF!</v>
      </c>
      <c r="V4606" s="43" t="e">
        <f>IF(Planning[[#This Row],[Horas Planificadas]]&lt;&gt;0,Planning[[#This Row],[Horas utilizadas]]/Planning[[#This Row],[Horas Planificadas]],0)</f>
        <v>#REF!</v>
      </c>
      <c r="W4606" s="44">
        <f>Planning[[#This Row],[Horas Planificadas]]+Planning[[#This Row],[Horas ajustadas adicionales]]</f>
        <v>62.5</v>
      </c>
      <c r="X4606" s="142"/>
    </row>
    <row r="4607" spans="1:24" ht="22.5" x14ac:dyDescent="0.2">
      <c r="A4607" s="9" t="s">
        <v>626</v>
      </c>
      <c r="B4607" s="9" t="s">
        <v>779</v>
      </c>
      <c r="C4607" s="120">
        <v>116998</v>
      </c>
      <c r="D4607" s="3" t="s">
        <v>780</v>
      </c>
      <c r="E4607" s="4" t="s">
        <v>32</v>
      </c>
      <c r="F4607" s="3"/>
      <c r="G4607" s="9">
        <f>60+54+54+10</f>
        <v>178</v>
      </c>
      <c r="H4607" s="14">
        <f>SUM(H4608:H4610)</f>
        <v>190</v>
      </c>
      <c r="I4607" s="14">
        <f>SUM(I4608:I4610)</f>
        <v>231</v>
      </c>
      <c r="J4607" s="14" t="e">
        <f>SUM(J4608:J4610)</f>
        <v>#REF!</v>
      </c>
      <c r="K4607" s="14" t="e">
        <f>+Planning[[#This Row],[Horas Planificadas]]+Planning[[#This Row],[Horas ajustadas adicionales]]-Planning[[#This Row],[Horas utilizadas]]</f>
        <v>#REF!</v>
      </c>
      <c r="L4607" s="15" t="e">
        <f>Planning[[#This Row],[Saldo]]</f>
        <v>#REF!</v>
      </c>
      <c r="M4607" s="16" t="e">
        <f>SUM(M4608:M4610)</f>
        <v>#REF!</v>
      </c>
      <c r="N4607" s="60"/>
      <c r="O4607" s="16">
        <f t="shared" si="145"/>
        <v>10</v>
      </c>
      <c r="P4607" s="16">
        <f t="shared" si="146"/>
        <v>2024</v>
      </c>
      <c r="Q4607" s="16" t="e">
        <f>SUM(Q4608:Q4610)</f>
        <v>#REF!</v>
      </c>
      <c r="R4607" s="50" t="str">
        <f>TEXT(Planning[[#This Row],[Mes]]*29,"mmmm")</f>
        <v>October</v>
      </c>
      <c r="S460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07" s="226"/>
      <c r="U4607" s="43" t="e">
        <f>IF(Planning[[#This Row],[Horas Planificadas]]&lt;&gt;0,+K4607/Planning[[#This Row],[Horas Planificadas]],0)</f>
        <v>#REF!</v>
      </c>
      <c r="V4607" s="43" t="e">
        <f>IF(Planning[[#This Row],[Horas Planificadas]]&lt;&gt;0,Planning[[#This Row],[Horas utilizadas]]/Planning[[#This Row],[Horas Planificadas]],0)</f>
        <v>#REF!</v>
      </c>
      <c r="W4607" s="44">
        <f>Planning[[#This Row],[Horas Planificadas]]+Planning[[#This Row],[Horas ajustadas adicionales]]</f>
        <v>421</v>
      </c>
      <c r="X4607" s="142"/>
    </row>
    <row r="4608" spans="1:24" x14ac:dyDescent="0.2">
      <c r="A4608" s="9" t="s">
        <v>626</v>
      </c>
      <c r="B4608" s="9" t="s">
        <v>779</v>
      </c>
      <c r="C4608" s="120">
        <v>116998</v>
      </c>
      <c r="D4608" s="3" t="s">
        <v>780</v>
      </c>
      <c r="E4608" s="4"/>
      <c r="F4608" s="3" t="s">
        <v>129</v>
      </c>
      <c r="G4608" s="9"/>
      <c r="H4608" s="9">
        <v>60</v>
      </c>
      <c r="I4608" s="12">
        <f>44+11*11</f>
        <v>165</v>
      </c>
      <c r="J4608" s="5" t="e">
        <f>SUM(SUMIFS(#REF!,#REF!,Planning[[#This Row],[Tipo de Tarea y especialidad]],#REF!,Planning[[#This Row],[Proyectos Reiwa]]),SUMIFS(#REF!,#REF!,Planning[[#This Row],[Tipo de Tarea y especialidad]],#REF!,Planning[[#This Row],[Proyectos]]))</f>
        <v>#REF!</v>
      </c>
      <c r="K4608" s="5" t="e">
        <f>+Planning[[#This Row],[Horas Planificadas]]+Planning[[#This Row],[Horas ajustadas adicionales]]-Planning[[#This Row],[Horas utilizadas]]</f>
        <v>#REF!</v>
      </c>
      <c r="L4608" s="15" t="e">
        <f>Planning[[#This Row],[Saldo]]</f>
        <v>#REF!</v>
      </c>
      <c r="M4608" s="19" t="e">
        <f>Planning[[#This Row],[Saldo]]-Planning[[#This Row],[Saldo estimado]]</f>
        <v>#REF!</v>
      </c>
      <c r="N4608" s="60" t="e">
        <f>+SUMIFS(#REF!,#REF!,Planning[[#This Row],[Proyectos]],#REF!,Planning[[#This Row],[Tipo de Tarea y especialidad]])</f>
        <v>#REF!</v>
      </c>
      <c r="O4608" s="19">
        <f t="shared" si="145"/>
        <v>10</v>
      </c>
      <c r="P4608" s="19">
        <f t="shared" si="146"/>
        <v>2024</v>
      </c>
      <c r="Q46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08" s="49" t="str">
        <f>TEXT(Planning[[#This Row],[Mes]]*29,"mmmm")</f>
        <v>October</v>
      </c>
      <c r="S460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08" s="226"/>
      <c r="U4608" s="43" t="e">
        <f>IF(Planning[[#This Row],[Horas Planificadas]]&lt;&gt;0,+K4608/Planning[[#This Row],[Horas Planificadas]],0)</f>
        <v>#REF!</v>
      </c>
      <c r="V4608" s="43" t="e">
        <f>IF(Planning[[#This Row],[Horas Planificadas]]&lt;&gt;0,Planning[[#This Row],[Horas utilizadas]]/Planning[[#This Row],[Horas Planificadas]],0)</f>
        <v>#REF!</v>
      </c>
      <c r="W4608" s="44">
        <f>Planning[[#This Row],[Horas Planificadas]]+Planning[[#This Row],[Horas ajustadas adicionales]]</f>
        <v>225</v>
      </c>
      <c r="X4608" s="142"/>
    </row>
    <row r="4609" spans="1:24" x14ac:dyDescent="0.2">
      <c r="A4609" s="9" t="s">
        <v>626</v>
      </c>
      <c r="B4609" s="9" t="s">
        <v>779</v>
      </c>
      <c r="C4609" s="120">
        <v>116998</v>
      </c>
      <c r="D4609" s="3" t="s">
        <v>780</v>
      </c>
      <c r="E4609" s="4"/>
      <c r="F4609" s="3" t="s">
        <v>130</v>
      </c>
      <c r="G4609" s="9"/>
      <c r="H4609" s="9">
        <v>70</v>
      </c>
      <c r="I4609" s="12">
        <f>11+11+44</f>
        <v>66</v>
      </c>
      <c r="J4609" s="5" t="e">
        <f>SUM(SUMIFS(#REF!,#REF!,Planning[[#This Row],[Tipo de Tarea y especialidad]],#REF!,Planning[[#This Row],[Proyectos Reiwa]]),SUMIFS(#REF!,#REF!,Planning[[#This Row],[Tipo de Tarea y especialidad]],#REF!,Planning[[#This Row],[Proyectos]]))</f>
        <v>#REF!</v>
      </c>
      <c r="K4609" s="5" t="e">
        <f>+Planning[[#This Row],[Horas Planificadas]]+Planning[[#This Row],[Horas ajustadas adicionales]]-Planning[[#This Row],[Horas utilizadas]]</f>
        <v>#REF!</v>
      </c>
      <c r="L4609" s="15" t="e">
        <f>Planning[[#This Row],[Saldo]]</f>
        <v>#REF!</v>
      </c>
      <c r="M4609" s="19" t="e">
        <f>Planning[[#This Row],[Saldo]]-Planning[[#This Row],[Saldo estimado]]</f>
        <v>#REF!</v>
      </c>
      <c r="N4609" s="60" t="e">
        <f>+SUMIFS(#REF!,#REF!,Planning[[#This Row],[Proyectos]],#REF!,Planning[[#This Row],[Tipo de Tarea y especialidad]])</f>
        <v>#REF!</v>
      </c>
      <c r="O4609" s="19">
        <f t="shared" si="145"/>
        <v>10</v>
      </c>
      <c r="P4609" s="19">
        <f t="shared" si="146"/>
        <v>2024</v>
      </c>
      <c r="Q46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09" s="49" t="str">
        <f>TEXT(Planning[[#This Row],[Mes]]*29,"mmmm")</f>
        <v>October</v>
      </c>
      <c r="S460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09" s="226"/>
      <c r="U4609" s="43" t="e">
        <f>IF(Planning[[#This Row],[Horas Planificadas]]&lt;&gt;0,+K4609/Planning[[#This Row],[Horas Planificadas]],0)</f>
        <v>#REF!</v>
      </c>
      <c r="V4609" s="43" t="e">
        <f>IF(Planning[[#This Row],[Horas Planificadas]]&lt;&gt;0,Planning[[#This Row],[Horas utilizadas]]/Planning[[#This Row],[Horas Planificadas]],0)</f>
        <v>#REF!</v>
      </c>
      <c r="W4609" s="44">
        <f>Planning[[#This Row],[Horas Planificadas]]+Planning[[#This Row],[Horas ajustadas adicionales]]</f>
        <v>136</v>
      </c>
      <c r="X4609" s="142"/>
    </row>
    <row r="4610" spans="1:24" x14ac:dyDescent="0.2">
      <c r="A4610" s="9" t="s">
        <v>626</v>
      </c>
      <c r="B4610" s="9" t="s">
        <v>779</v>
      </c>
      <c r="C4610" s="120">
        <v>116998</v>
      </c>
      <c r="D4610" s="3" t="s">
        <v>780</v>
      </c>
      <c r="E4610" s="4"/>
      <c r="F4610" s="3" t="s">
        <v>131</v>
      </c>
      <c r="G4610" s="9"/>
      <c r="H4610" s="9">
        <v>60</v>
      </c>
      <c r="I4610" s="12"/>
      <c r="J4610" s="5" t="e">
        <f>SUM(SUMIFS(#REF!,#REF!,Planning[[#This Row],[Tipo de Tarea y especialidad]],#REF!,Planning[[#This Row],[Proyectos Reiwa]]),SUMIFS(#REF!,#REF!,Planning[[#This Row],[Tipo de Tarea y especialidad]],#REF!,Planning[[#This Row],[Proyectos]]))</f>
        <v>#REF!</v>
      </c>
      <c r="K4610" s="5" t="e">
        <f>+Planning[[#This Row],[Horas Planificadas]]+Planning[[#This Row],[Horas ajustadas adicionales]]-Planning[[#This Row],[Horas utilizadas]]</f>
        <v>#REF!</v>
      </c>
      <c r="L4610" s="15" t="e">
        <f>Planning[[#This Row],[Saldo]]</f>
        <v>#REF!</v>
      </c>
      <c r="M4610" s="19" t="e">
        <f>Planning[[#This Row],[Saldo]]-Planning[[#This Row],[Saldo estimado]]</f>
        <v>#REF!</v>
      </c>
      <c r="N4610" s="60" t="e">
        <f>+SUMIFS(#REF!,#REF!,Planning[[#This Row],[Proyectos]],#REF!,Planning[[#This Row],[Tipo de Tarea y especialidad]])</f>
        <v>#REF!</v>
      </c>
      <c r="O4610" s="19">
        <f t="shared" si="145"/>
        <v>10</v>
      </c>
      <c r="P4610" s="19">
        <f t="shared" si="146"/>
        <v>2024</v>
      </c>
      <c r="Q46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10" s="51" t="str">
        <f>TEXT(Planning[[#This Row],[Mes]]*29,"mmmm")</f>
        <v>October</v>
      </c>
      <c r="S4610"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10" s="227"/>
      <c r="U4610" s="43" t="e">
        <f>IF(Planning[[#This Row],[Horas Planificadas]]&lt;&gt;0,+K4610/Planning[[#This Row],[Horas Planificadas]],0)</f>
        <v>#REF!</v>
      </c>
      <c r="V4610" s="43" t="e">
        <f>IF(Planning[[#This Row],[Horas Planificadas]]&lt;&gt;0,Planning[[#This Row],[Horas utilizadas]]/Planning[[#This Row],[Horas Planificadas]],0)</f>
        <v>#REF!</v>
      </c>
      <c r="W4610" s="44">
        <f>Planning[[#This Row],[Horas Planificadas]]+Planning[[#This Row],[Horas ajustadas adicionales]]</f>
        <v>60</v>
      </c>
      <c r="X4610" s="142"/>
    </row>
    <row r="4611" spans="1:24" ht="13.35" customHeight="1" x14ac:dyDescent="0.2">
      <c r="A4611" s="9" t="s">
        <v>435</v>
      </c>
      <c r="B4611" s="9" t="s">
        <v>178</v>
      </c>
      <c r="C4611" s="3"/>
      <c r="D4611" s="3" t="s">
        <v>782</v>
      </c>
      <c r="E4611" s="4" t="s">
        <v>28</v>
      </c>
      <c r="F4611" s="3"/>
      <c r="G4611" s="9">
        <v>192</v>
      </c>
      <c r="H4611" s="14">
        <f>SUM(H4612:H4613)</f>
        <v>192</v>
      </c>
      <c r="I4611" s="14"/>
      <c r="J4611" s="14" t="e">
        <f>SUM(J4612:J4613)</f>
        <v>#REF!</v>
      </c>
      <c r="K4611" s="14" t="e">
        <f>+Planning[[#This Row],[Horas Planificadas]]+Planning[[#This Row],[Horas ajustadas adicionales]]-Planning[[#This Row],[Horas utilizadas]]</f>
        <v>#REF!</v>
      </c>
      <c r="L4611" s="15">
        <f>SUM(L4612:L4613)</f>
        <v>0</v>
      </c>
      <c r="M4611" s="14" t="e">
        <f>SUM(M4612:M4613)</f>
        <v>#REF!</v>
      </c>
      <c r="N4611" s="66"/>
      <c r="O4611" s="14">
        <f t="shared" si="145"/>
        <v>10</v>
      </c>
      <c r="P4611" s="14">
        <f t="shared" si="146"/>
        <v>2024</v>
      </c>
      <c r="Q4611" s="28" t="e">
        <f>SUM(Q4612:Q4613)</f>
        <v>#REF!</v>
      </c>
      <c r="R4611" s="24" t="str">
        <f>TEXT(Planning[[#This Row],[Mes]]*29,"mmmm")</f>
        <v>October</v>
      </c>
      <c r="S4611"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11" s="204" t="s">
        <v>783</v>
      </c>
      <c r="U4611" s="43" t="e">
        <f>IF(Planning[[#This Row],[Horas Planificadas]]&lt;&gt;0,+K4611/Planning[[#This Row],[Horas Planificadas]],0)</f>
        <v>#REF!</v>
      </c>
      <c r="V4611" s="43" t="e">
        <f>IF(Planning[[#This Row],[Horas Planificadas]]&lt;&gt;0,Planning[[#This Row],[Horas utilizadas]]/Planning[[#This Row],[Horas Planificadas]],0)</f>
        <v>#REF!</v>
      </c>
      <c r="W4611" s="44">
        <f>Planning[[#This Row],[Horas Planificadas]]+Planning[[#This Row],[Horas ajustadas adicionales]]</f>
        <v>192</v>
      </c>
      <c r="X4611" s="142"/>
    </row>
    <row r="4612" spans="1:24" x14ac:dyDescent="0.2">
      <c r="A4612" s="9" t="s">
        <v>435</v>
      </c>
      <c r="B4612" s="9" t="s">
        <v>178</v>
      </c>
      <c r="C4612" s="3"/>
      <c r="D4612" s="3" t="s">
        <v>782</v>
      </c>
      <c r="E4612" s="4"/>
      <c r="F4612" s="3" t="s">
        <v>120</v>
      </c>
      <c r="G4612" s="9"/>
      <c r="H4612" s="9">
        <v>120</v>
      </c>
      <c r="I4612" s="12"/>
      <c r="J4612" s="5" t="e">
        <f>SUM(SUMIFS(#REF!,#REF!,Planning[[#This Row],[Tipo de Tarea y especialidad]],#REF!,Planning[[#This Row],[Proyectos Reiwa]]),SUMIFS(#REF!,#REF!,Planning[[#This Row],[Tipo de Tarea y especialidad]],#REF!,Planning[[#This Row],[Proyectos]]))</f>
        <v>#REF!</v>
      </c>
      <c r="K4612" s="5" t="e">
        <f>+Planning[[#This Row],[Horas Planificadas]]+Planning[[#This Row],[Horas ajustadas adicionales]]-Planning[[#This Row],[Horas utilizadas]]</f>
        <v>#REF!</v>
      </c>
      <c r="L4612" s="7">
        <v>0</v>
      </c>
      <c r="M4612" s="19" t="e">
        <f>Planning[[#This Row],[Saldo]]-Planning[[#This Row],[Saldo estimado]]</f>
        <v>#REF!</v>
      </c>
      <c r="N4612" s="60" t="e">
        <f>+SUMIFS(#REF!,#REF!,Planning[[#This Row],[Proyectos]],#REF!,Planning[[#This Row],[Tipo de Tarea y especialidad]])</f>
        <v>#REF!</v>
      </c>
      <c r="O4612" s="19">
        <f t="shared" si="145"/>
        <v>10</v>
      </c>
      <c r="P4612" s="19">
        <f t="shared" si="146"/>
        <v>2024</v>
      </c>
      <c r="Q46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12" s="49" t="str">
        <f>TEXT(Planning[[#This Row],[Mes]]*29,"mmmm")</f>
        <v>October</v>
      </c>
      <c r="S461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12" s="205"/>
      <c r="U4612" s="43" t="e">
        <f>IF(Planning[[#This Row],[Horas Planificadas]]&lt;&gt;0,+K4612/Planning[[#This Row],[Horas Planificadas]],0)</f>
        <v>#REF!</v>
      </c>
      <c r="V4612" s="43" t="e">
        <f>IF(Planning[[#This Row],[Horas Planificadas]]&lt;&gt;0,Planning[[#This Row],[Horas utilizadas]]/Planning[[#This Row],[Horas Planificadas]],0)</f>
        <v>#REF!</v>
      </c>
      <c r="W4612" s="44">
        <f>Planning[[#This Row],[Horas Planificadas]]+Planning[[#This Row],[Horas ajustadas adicionales]]</f>
        <v>120</v>
      </c>
      <c r="X4612" s="142"/>
    </row>
    <row r="4613" spans="1:24" x14ac:dyDescent="0.2">
      <c r="A4613" s="9" t="s">
        <v>435</v>
      </c>
      <c r="B4613" s="9" t="s">
        <v>178</v>
      </c>
      <c r="C4613" s="3"/>
      <c r="D4613" s="3" t="s">
        <v>782</v>
      </c>
      <c r="E4613" s="4"/>
      <c r="F4613" s="3" t="s">
        <v>121</v>
      </c>
      <c r="G4613" s="9"/>
      <c r="H4613" s="9">
        <v>72</v>
      </c>
      <c r="I4613" s="12"/>
      <c r="J4613" s="5" t="e">
        <f>SUM(SUMIFS(#REF!,#REF!,Planning[[#This Row],[Tipo de Tarea y especialidad]],#REF!,Planning[[#This Row],[Proyectos Reiwa]]),SUMIFS(#REF!,#REF!,Planning[[#This Row],[Tipo de Tarea y especialidad]],#REF!,Planning[[#This Row],[Proyectos]]))</f>
        <v>#REF!</v>
      </c>
      <c r="K4613" s="5" t="e">
        <f>+Planning[[#This Row],[Horas Planificadas]]+Planning[[#This Row],[Horas ajustadas adicionales]]-Planning[[#This Row],[Horas utilizadas]]</f>
        <v>#REF!</v>
      </c>
      <c r="L4613" s="7">
        <v>0</v>
      </c>
      <c r="M4613" s="19" t="e">
        <f>Planning[[#This Row],[Saldo]]-Planning[[#This Row],[Saldo estimado]]</f>
        <v>#REF!</v>
      </c>
      <c r="N4613" s="60" t="e">
        <f>+SUMIFS(#REF!,#REF!,Planning[[#This Row],[Proyectos]],#REF!,Planning[[#This Row],[Tipo de Tarea y especialidad]])</f>
        <v>#REF!</v>
      </c>
      <c r="O4613" s="19">
        <f t="shared" si="145"/>
        <v>10</v>
      </c>
      <c r="P4613" s="19">
        <f t="shared" si="146"/>
        <v>2024</v>
      </c>
      <c r="Q46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13" s="49" t="str">
        <f>TEXT(Planning[[#This Row],[Mes]]*29,"mmmm")</f>
        <v>October</v>
      </c>
      <c r="S461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13" s="205"/>
      <c r="U4613" s="43" t="e">
        <f>IF(Planning[[#This Row],[Horas Planificadas]]&lt;&gt;0,+K4613/Planning[[#This Row],[Horas Planificadas]],0)</f>
        <v>#REF!</v>
      </c>
      <c r="V4613" s="43" t="e">
        <f>IF(Planning[[#This Row],[Horas Planificadas]]&lt;&gt;0,Planning[[#This Row],[Horas utilizadas]]/Planning[[#This Row],[Horas Planificadas]],0)</f>
        <v>#REF!</v>
      </c>
      <c r="W4613" s="44">
        <f>Planning[[#This Row],[Horas Planificadas]]+Planning[[#This Row],[Horas ajustadas adicionales]]</f>
        <v>72</v>
      </c>
      <c r="X4613" s="142"/>
    </row>
    <row r="4614" spans="1:24" x14ac:dyDescent="0.2">
      <c r="A4614" s="9" t="s">
        <v>435</v>
      </c>
      <c r="B4614" s="9" t="s">
        <v>178</v>
      </c>
      <c r="C4614" s="3"/>
      <c r="D4614" s="3" t="s">
        <v>782</v>
      </c>
      <c r="E4614" s="4" t="s">
        <v>30</v>
      </c>
      <c r="F4614" s="3"/>
      <c r="G4614" s="9">
        <v>342</v>
      </c>
      <c r="H4614" s="14">
        <f>SUM(H4615:H4621)</f>
        <v>342</v>
      </c>
      <c r="I4614" s="14"/>
      <c r="J4614" s="14" t="e">
        <f>SUM(J4615:J4621)</f>
        <v>#REF!</v>
      </c>
      <c r="K4614" s="14" t="e">
        <f>+Planning[[#This Row],[Horas Planificadas]]+Planning[[#This Row],[Horas ajustadas adicionales]]-Planning[[#This Row],[Horas utilizadas]]</f>
        <v>#REF!</v>
      </c>
      <c r="L4614" s="15">
        <f>SUM(L4615:L4621)</f>
        <v>0</v>
      </c>
      <c r="M4614" s="16" t="e">
        <f>SUM(M4615:M4621)</f>
        <v>#REF!</v>
      </c>
      <c r="N4614" s="60"/>
      <c r="O4614" s="16">
        <f t="shared" si="145"/>
        <v>10</v>
      </c>
      <c r="P4614" s="16">
        <f t="shared" si="146"/>
        <v>2024</v>
      </c>
      <c r="Q4614" s="16" t="e">
        <f>SUM(Q4615:Q4621)</f>
        <v>#REF!</v>
      </c>
      <c r="R4614" s="50" t="str">
        <f>TEXT(Planning[[#This Row],[Mes]]*29,"mmmm")</f>
        <v>October</v>
      </c>
      <c r="S461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14" s="205"/>
      <c r="U4614" s="43" t="e">
        <f>IF(Planning[[#This Row],[Horas Planificadas]]&lt;&gt;0,+K4614/Planning[[#This Row],[Horas Planificadas]],0)</f>
        <v>#REF!</v>
      </c>
      <c r="V4614" s="43" t="e">
        <f>IF(Planning[[#This Row],[Horas Planificadas]]&lt;&gt;0,Planning[[#This Row],[Horas utilizadas]]/Planning[[#This Row],[Horas Planificadas]],0)</f>
        <v>#REF!</v>
      </c>
      <c r="W4614" s="44">
        <f>Planning[[#This Row],[Horas Planificadas]]+Planning[[#This Row],[Horas ajustadas adicionales]]</f>
        <v>342</v>
      </c>
      <c r="X4614" s="142"/>
    </row>
    <row r="4615" spans="1:24" x14ac:dyDescent="0.2">
      <c r="A4615" s="9" t="s">
        <v>435</v>
      </c>
      <c r="B4615" s="9" t="s">
        <v>178</v>
      </c>
      <c r="C4615" s="3"/>
      <c r="D4615" s="3" t="s">
        <v>782</v>
      </c>
      <c r="E4615" s="4"/>
      <c r="F4615" s="3" t="s">
        <v>122</v>
      </c>
      <c r="G4615" s="9"/>
      <c r="H4615" s="9">
        <v>0</v>
      </c>
      <c r="I4615" s="12"/>
      <c r="J4615" s="5" t="e">
        <f>SUM(SUMIFS(#REF!,#REF!,Planning[[#This Row],[Tipo de Tarea y especialidad]],#REF!,Planning[[#This Row],[Proyectos Reiwa]]),SUMIFS(#REF!,#REF!,Planning[[#This Row],[Tipo de Tarea y especialidad]],#REF!,Planning[[#This Row],[Proyectos]]))</f>
        <v>#REF!</v>
      </c>
      <c r="K4615" s="5" t="e">
        <f>+Planning[[#This Row],[Horas Planificadas]]+Planning[[#This Row],[Horas ajustadas adicionales]]-Planning[[#This Row],[Horas utilizadas]]</f>
        <v>#REF!</v>
      </c>
      <c r="L4615" s="7">
        <v>0</v>
      </c>
      <c r="M4615" s="19" t="e">
        <f>Planning[[#This Row],[Saldo]]-Planning[[#This Row],[Saldo estimado]]</f>
        <v>#REF!</v>
      </c>
      <c r="N4615" s="60" t="e">
        <f>+SUMIFS(#REF!,#REF!,Planning[[#This Row],[Proyectos]],#REF!,Planning[[#This Row],[Tipo de Tarea y especialidad]])</f>
        <v>#REF!</v>
      </c>
      <c r="O4615" s="19">
        <f t="shared" si="145"/>
        <v>10</v>
      </c>
      <c r="P4615" s="19">
        <f t="shared" si="146"/>
        <v>2024</v>
      </c>
      <c r="Q46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15" s="49" t="str">
        <f>TEXT(Planning[[#This Row],[Mes]]*29,"mmmm")</f>
        <v>October</v>
      </c>
      <c r="S461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15" s="205"/>
      <c r="U4615" s="43">
        <f>IF(Planning[[#This Row],[Horas Planificadas]]&lt;&gt;0,+K4615/Planning[[#This Row],[Horas Planificadas]],0)</f>
        <v>0</v>
      </c>
      <c r="V4615" s="43">
        <f>IF(Planning[[#This Row],[Horas Planificadas]]&lt;&gt;0,Planning[[#This Row],[Horas utilizadas]]/Planning[[#This Row],[Horas Planificadas]],0)</f>
        <v>0</v>
      </c>
      <c r="W4615" s="44">
        <f>Planning[[#This Row],[Horas Planificadas]]+Planning[[#This Row],[Horas ajustadas adicionales]]</f>
        <v>0</v>
      </c>
      <c r="X4615" s="142"/>
    </row>
    <row r="4616" spans="1:24" x14ac:dyDescent="0.2">
      <c r="A4616" s="9" t="s">
        <v>435</v>
      </c>
      <c r="B4616" s="9" t="s">
        <v>178</v>
      </c>
      <c r="C4616" s="3"/>
      <c r="D4616" s="3" t="s">
        <v>782</v>
      </c>
      <c r="E4616" s="4"/>
      <c r="F4616" s="3" t="s">
        <v>123</v>
      </c>
      <c r="G4616" s="9"/>
      <c r="H4616" s="9">
        <v>162</v>
      </c>
      <c r="I4616" s="12"/>
      <c r="J4616" s="5" t="e">
        <f>SUM(SUMIFS(#REF!,#REF!,Planning[[#This Row],[Tipo de Tarea y especialidad]],#REF!,Planning[[#This Row],[Proyectos Reiwa]]),SUMIFS(#REF!,#REF!,Planning[[#This Row],[Tipo de Tarea y especialidad]],#REF!,Planning[[#This Row],[Proyectos]]))</f>
        <v>#REF!</v>
      </c>
      <c r="K4616" s="5" t="e">
        <f>+Planning[[#This Row],[Horas Planificadas]]+Planning[[#This Row],[Horas ajustadas adicionales]]-Planning[[#This Row],[Horas utilizadas]]</f>
        <v>#REF!</v>
      </c>
      <c r="L4616" s="7">
        <v>0</v>
      </c>
      <c r="M4616" s="19" t="e">
        <f>Planning[[#This Row],[Saldo]]-Planning[[#This Row],[Saldo estimado]]</f>
        <v>#REF!</v>
      </c>
      <c r="N4616" s="60" t="e">
        <f>+SUMIFS(#REF!,#REF!,Planning[[#This Row],[Proyectos]],#REF!,Planning[[#This Row],[Tipo de Tarea y especialidad]])</f>
        <v>#REF!</v>
      </c>
      <c r="O4616" s="19">
        <f t="shared" si="145"/>
        <v>10</v>
      </c>
      <c r="P4616" s="19">
        <f t="shared" si="146"/>
        <v>2024</v>
      </c>
      <c r="Q46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16" s="49" t="str">
        <f>TEXT(Planning[[#This Row],[Mes]]*29,"mmmm")</f>
        <v>October</v>
      </c>
      <c r="S461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16" s="205"/>
      <c r="U4616" s="43" t="e">
        <f>IF(Planning[[#This Row],[Horas Planificadas]]&lt;&gt;0,+K4616/Planning[[#This Row],[Horas Planificadas]],0)</f>
        <v>#REF!</v>
      </c>
      <c r="V4616" s="43" t="e">
        <f>IF(Planning[[#This Row],[Horas Planificadas]]&lt;&gt;0,Planning[[#This Row],[Horas utilizadas]]/Planning[[#This Row],[Horas Planificadas]],0)</f>
        <v>#REF!</v>
      </c>
      <c r="W4616" s="44">
        <f>Planning[[#This Row],[Horas Planificadas]]+Planning[[#This Row],[Horas ajustadas adicionales]]</f>
        <v>162</v>
      </c>
      <c r="X4616" s="142"/>
    </row>
    <row r="4617" spans="1:24" x14ac:dyDescent="0.2">
      <c r="A4617" s="9" t="s">
        <v>435</v>
      </c>
      <c r="B4617" s="9" t="s">
        <v>178</v>
      </c>
      <c r="C4617" s="3"/>
      <c r="D4617" s="3" t="s">
        <v>782</v>
      </c>
      <c r="E4617" s="4"/>
      <c r="F4617" s="3" t="s">
        <v>124</v>
      </c>
      <c r="G4617" s="9"/>
      <c r="H4617" s="9">
        <v>0</v>
      </c>
      <c r="I4617" s="12"/>
      <c r="J4617" s="5" t="e">
        <f>SUM(SUMIFS(#REF!,#REF!,Planning[[#This Row],[Tipo de Tarea y especialidad]],#REF!,Planning[[#This Row],[Proyectos Reiwa]]),SUMIFS(#REF!,#REF!,Planning[[#This Row],[Tipo de Tarea y especialidad]],#REF!,Planning[[#This Row],[Proyectos]]))</f>
        <v>#REF!</v>
      </c>
      <c r="K4617" s="5" t="e">
        <f>+Planning[[#This Row],[Horas Planificadas]]+Planning[[#This Row],[Horas ajustadas adicionales]]-Planning[[#This Row],[Horas utilizadas]]</f>
        <v>#REF!</v>
      </c>
      <c r="L4617" s="7">
        <v>0</v>
      </c>
      <c r="M4617" s="19" t="e">
        <f>Planning[[#This Row],[Saldo]]-Planning[[#This Row],[Saldo estimado]]</f>
        <v>#REF!</v>
      </c>
      <c r="N4617" s="60" t="e">
        <f>+SUMIFS(#REF!,#REF!,Planning[[#This Row],[Proyectos]],#REF!,Planning[[#This Row],[Tipo de Tarea y especialidad]])</f>
        <v>#REF!</v>
      </c>
      <c r="O4617" s="19">
        <f t="shared" si="145"/>
        <v>10</v>
      </c>
      <c r="P4617" s="19">
        <f t="shared" si="146"/>
        <v>2024</v>
      </c>
      <c r="Q46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17" s="49" t="str">
        <f>TEXT(Planning[[#This Row],[Mes]]*29,"mmmm")</f>
        <v>October</v>
      </c>
      <c r="S461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17" s="205"/>
      <c r="U4617" s="43">
        <f>IF(Planning[[#This Row],[Horas Planificadas]]&lt;&gt;0,+K4617/Planning[[#This Row],[Horas Planificadas]],0)</f>
        <v>0</v>
      </c>
      <c r="V4617" s="43">
        <f>IF(Planning[[#This Row],[Horas Planificadas]]&lt;&gt;0,Planning[[#This Row],[Horas utilizadas]]/Planning[[#This Row],[Horas Planificadas]],0)</f>
        <v>0</v>
      </c>
      <c r="W4617" s="44">
        <f>Planning[[#This Row],[Horas Planificadas]]+Planning[[#This Row],[Horas ajustadas adicionales]]</f>
        <v>0</v>
      </c>
      <c r="X4617" s="142"/>
    </row>
    <row r="4618" spans="1:24" x14ac:dyDescent="0.2">
      <c r="A4618" s="9" t="s">
        <v>435</v>
      </c>
      <c r="B4618" s="9" t="s">
        <v>178</v>
      </c>
      <c r="C4618" s="3"/>
      <c r="D4618" s="3" t="s">
        <v>782</v>
      </c>
      <c r="E4618" s="4"/>
      <c r="F4618" s="3" t="s">
        <v>125</v>
      </c>
      <c r="G4618" s="9"/>
      <c r="H4618" s="9">
        <v>90</v>
      </c>
      <c r="I4618" s="12"/>
      <c r="J4618" s="5" t="e">
        <f>SUM(SUMIFS(#REF!,#REF!,Planning[[#This Row],[Tipo de Tarea y especialidad]],#REF!,Planning[[#This Row],[Proyectos Reiwa]]),SUMIFS(#REF!,#REF!,Planning[[#This Row],[Tipo de Tarea y especialidad]],#REF!,Planning[[#This Row],[Proyectos]]))</f>
        <v>#REF!</v>
      </c>
      <c r="K4618" s="5" t="e">
        <f>+Planning[[#This Row],[Horas Planificadas]]+Planning[[#This Row],[Horas ajustadas adicionales]]-Planning[[#This Row],[Horas utilizadas]]</f>
        <v>#REF!</v>
      </c>
      <c r="L4618" s="7">
        <v>0</v>
      </c>
      <c r="M4618" s="19" t="e">
        <f>Planning[[#This Row],[Saldo]]-Planning[[#This Row],[Saldo estimado]]</f>
        <v>#REF!</v>
      </c>
      <c r="N4618" s="60" t="e">
        <f>+SUMIFS(#REF!,#REF!,Planning[[#This Row],[Proyectos]],#REF!,Planning[[#This Row],[Tipo de Tarea y especialidad]])</f>
        <v>#REF!</v>
      </c>
      <c r="O4618" s="19">
        <f t="shared" si="145"/>
        <v>10</v>
      </c>
      <c r="P4618" s="19">
        <f t="shared" si="146"/>
        <v>2024</v>
      </c>
      <c r="Q46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18" s="49" t="str">
        <f>TEXT(Planning[[#This Row],[Mes]]*29,"mmmm")</f>
        <v>October</v>
      </c>
      <c r="S461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18" s="205"/>
      <c r="U4618" s="43" t="e">
        <f>IF(Planning[[#This Row],[Horas Planificadas]]&lt;&gt;0,+K4618/Planning[[#This Row],[Horas Planificadas]],0)</f>
        <v>#REF!</v>
      </c>
      <c r="V4618" s="43" t="e">
        <f>IF(Planning[[#This Row],[Horas Planificadas]]&lt;&gt;0,Planning[[#This Row],[Horas utilizadas]]/Planning[[#This Row],[Horas Planificadas]],0)</f>
        <v>#REF!</v>
      </c>
      <c r="W4618" s="44">
        <f>Planning[[#This Row],[Horas Planificadas]]+Planning[[#This Row],[Horas ajustadas adicionales]]</f>
        <v>90</v>
      </c>
      <c r="X4618" s="142"/>
    </row>
    <row r="4619" spans="1:24" x14ac:dyDescent="0.2">
      <c r="A4619" s="9" t="s">
        <v>435</v>
      </c>
      <c r="B4619" s="9" t="s">
        <v>178</v>
      </c>
      <c r="C4619" s="3"/>
      <c r="D4619" s="3" t="s">
        <v>782</v>
      </c>
      <c r="E4619" s="4"/>
      <c r="F4619" s="3" t="s">
        <v>126</v>
      </c>
      <c r="G4619" s="9"/>
      <c r="H4619" s="9">
        <v>0</v>
      </c>
      <c r="I4619" s="12"/>
      <c r="J4619" s="5" t="e">
        <f>SUM(SUMIFS(#REF!,#REF!,Planning[[#This Row],[Tipo de Tarea y especialidad]],#REF!,Planning[[#This Row],[Proyectos Reiwa]]),SUMIFS(#REF!,#REF!,Planning[[#This Row],[Tipo de Tarea y especialidad]],#REF!,Planning[[#This Row],[Proyectos]]))</f>
        <v>#REF!</v>
      </c>
      <c r="K4619" s="5" t="e">
        <f>+Planning[[#This Row],[Horas Planificadas]]+Planning[[#This Row],[Horas ajustadas adicionales]]-Planning[[#This Row],[Horas utilizadas]]</f>
        <v>#REF!</v>
      </c>
      <c r="L4619" s="7">
        <v>0</v>
      </c>
      <c r="M4619" s="19" t="e">
        <f>Planning[[#This Row],[Saldo]]-Planning[[#This Row],[Saldo estimado]]</f>
        <v>#REF!</v>
      </c>
      <c r="N4619" s="60" t="e">
        <f>+SUMIFS(#REF!,#REF!,Planning[[#This Row],[Proyectos]],#REF!,Planning[[#This Row],[Tipo de Tarea y especialidad]])</f>
        <v>#REF!</v>
      </c>
      <c r="O4619" s="19">
        <f t="shared" si="145"/>
        <v>10</v>
      </c>
      <c r="P4619" s="19">
        <f t="shared" si="146"/>
        <v>2024</v>
      </c>
      <c r="Q46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19" s="49" t="str">
        <f>TEXT(Planning[[#This Row],[Mes]]*29,"mmmm")</f>
        <v>October</v>
      </c>
      <c r="S461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19" s="205"/>
      <c r="U4619" s="43">
        <f>IF(Planning[[#This Row],[Horas Planificadas]]&lt;&gt;0,+K4619/Planning[[#This Row],[Horas Planificadas]],0)</f>
        <v>0</v>
      </c>
      <c r="V4619" s="43">
        <f>IF(Planning[[#This Row],[Horas Planificadas]]&lt;&gt;0,Planning[[#This Row],[Horas utilizadas]]/Planning[[#This Row],[Horas Planificadas]],0)</f>
        <v>0</v>
      </c>
      <c r="W4619" s="44">
        <f>Planning[[#This Row],[Horas Planificadas]]+Planning[[#This Row],[Horas ajustadas adicionales]]</f>
        <v>0</v>
      </c>
      <c r="X4619" s="142"/>
    </row>
    <row r="4620" spans="1:24" x14ac:dyDescent="0.2">
      <c r="A4620" s="9" t="s">
        <v>435</v>
      </c>
      <c r="B4620" s="9" t="s">
        <v>178</v>
      </c>
      <c r="C4620" s="3"/>
      <c r="D4620" s="3" t="s">
        <v>782</v>
      </c>
      <c r="E4620" s="4"/>
      <c r="F4620" s="3" t="s">
        <v>127</v>
      </c>
      <c r="G4620" s="9"/>
      <c r="H4620" s="9">
        <v>90</v>
      </c>
      <c r="I4620" s="12"/>
      <c r="J4620" s="5" t="e">
        <f>SUM(SUMIFS(#REF!,#REF!,Planning[[#This Row],[Tipo de Tarea y especialidad]],#REF!,Planning[[#This Row],[Proyectos Reiwa]]),SUMIFS(#REF!,#REF!,Planning[[#This Row],[Tipo de Tarea y especialidad]],#REF!,Planning[[#This Row],[Proyectos]]))</f>
        <v>#REF!</v>
      </c>
      <c r="K4620" s="5" t="e">
        <f>+Planning[[#This Row],[Horas Planificadas]]+Planning[[#This Row],[Horas ajustadas adicionales]]-Planning[[#This Row],[Horas utilizadas]]</f>
        <v>#REF!</v>
      </c>
      <c r="L4620" s="7">
        <v>0</v>
      </c>
      <c r="M4620" s="19" t="e">
        <f>Planning[[#This Row],[Saldo]]-Planning[[#This Row],[Saldo estimado]]</f>
        <v>#REF!</v>
      </c>
      <c r="N4620" s="60" t="e">
        <f>+SUMIFS(#REF!,#REF!,Planning[[#This Row],[Proyectos]],#REF!,Planning[[#This Row],[Tipo de Tarea y especialidad]])</f>
        <v>#REF!</v>
      </c>
      <c r="O4620" s="19">
        <f t="shared" si="145"/>
        <v>10</v>
      </c>
      <c r="P4620" s="19">
        <f t="shared" si="146"/>
        <v>2024</v>
      </c>
      <c r="Q46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20" s="49" t="str">
        <f>TEXT(Planning[[#This Row],[Mes]]*29,"mmmm")</f>
        <v>October</v>
      </c>
      <c r="S462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20" s="205"/>
      <c r="U4620" s="43" t="e">
        <f>IF(Planning[[#This Row],[Horas Planificadas]]&lt;&gt;0,+K4620/Planning[[#This Row],[Horas Planificadas]],0)</f>
        <v>#REF!</v>
      </c>
      <c r="V4620" s="43" t="e">
        <f>IF(Planning[[#This Row],[Horas Planificadas]]&lt;&gt;0,Planning[[#This Row],[Horas utilizadas]]/Planning[[#This Row],[Horas Planificadas]],0)</f>
        <v>#REF!</v>
      </c>
      <c r="W4620" s="44">
        <f>Planning[[#This Row],[Horas Planificadas]]+Planning[[#This Row],[Horas ajustadas adicionales]]</f>
        <v>90</v>
      </c>
      <c r="X4620" s="142"/>
    </row>
    <row r="4621" spans="1:24" x14ac:dyDescent="0.2">
      <c r="A4621" s="9" t="s">
        <v>435</v>
      </c>
      <c r="B4621" s="9" t="s">
        <v>178</v>
      </c>
      <c r="C4621" s="3"/>
      <c r="D4621" s="3" t="s">
        <v>782</v>
      </c>
      <c r="E4621" s="4"/>
      <c r="F4621" s="3" t="s">
        <v>128</v>
      </c>
      <c r="G4621" s="9"/>
      <c r="H4621" s="9">
        <v>0</v>
      </c>
      <c r="I4621" s="12"/>
      <c r="J4621" s="5" t="e">
        <f>SUM(SUMIFS(#REF!,#REF!,Planning[[#This Row],[Tipo de Tarea y especialidad]],#REF!,Planning[[#This Row],[Proyectos Reiwa]]),SUMIFS(#REF!,#REF!,Planning[[#This Row],[Tipo de Tarea y especialidad]],#REF!,Planning[[#This Row],[Proyectos]]))</f>
        <v>#REF!</v>
      </c>
      <c r="K4621" s="5" t="e">
        <f>+Planning[[#This Row],[Horas Planificadas]]+Planning[[#This Row],[Horas ajustadas adicionales]]-Planning[[#This Row],[Horas utilizadas]]</f>
        <v>#REF!</v>
      </c>
      <c r="L4621" s="7">
        <v>0</v>
      </c>
      <c r="M4621" s="19" t="e">
        <f>Planning[[#This Row],[Saldo]]-Planning[[#This Row],[Saldo estimado]]</f>
        <v>#REF!</v>
      </c>
      <c r="N4621" s="60" t="e">
        <f>+SUMIFS(#REF!,#REF!,Planning[[#This Row],[Proyectos]],#REF!,Planning[[#This Row],[Tipo de Tarea y especialidad]])</f>
        <v>#REF!</v>
      </c>
      <c r="O4621" s="19">
        <f t="shared" si="145"/>
        <v>10</v>
      </c>
      <c r="P4621" s="19">
        <f t="shared" si="146"/>
        <v>2024</v>
      </c>
      <c r="Q46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21" s="49" t="str">
        <f>TEXT(Planning[[#This Row],[Mes]]*29,"mmmm")</f>
        <v>October</v>
      </c>
      <c r="S462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21" s="205"/>
      <c r="U4621" s="43">
        <f>IF(Planning[[#This Row],[Horas Planificadas]]&lt;&gt;0,+K4621/Planning[[#This Row],[Horas Planificadas]],0)</f>
        <v>0</v>
      </c>
      <c r="V4621" s="43">
        <f>IF(Planning[[#This Row],[Horas Planificadas]]&lt;&gt;0,Planning[[#This Row],[Horas utilizadas]]/Planning[[#This Row],[Horas Planificadas]],0)</f>
        <v>0</v>
      </c>
      <c r="W4621" s="44">
        <f>Planning[[#This Row],[Horas Planificadas]]+Planning[[#This Row],[Horas ajustadas adicionales]]</f>
        <v>0</v>
      </c>
      <c r="X4621" s="142"/>
    </row>
    <row r="4622" spans="1:24" x14ac:dyDescent="0.2">
      <c r="A4622" s="9" t="s">
        <v>435</v>
      </c>
      <c r="B4622" s="9" t="s">
        <v>178</v>
      </c>
      <c r="C4622" s="3"/>
      <c r="D4622" s="3" t="s">
        <v>782</v>
      </c>
      <c r="E4622" s="4" t="s">
        <v>31</v>
      </c>
      <c r="F4622" s="3" t="s">
        <v>31</v>
      </c>
      <c r="G4622" s="9">
        <v>90</v>
      </c>
      <c r="H4622" s="17">
        <v>90</v>
      </c>
      <c r="I4622" s="18"/>
      <c r="J4622" s="14" t="e">
        <f>+SUMIFS(#REF!,#REF!,Planning[[#This Row],[Tarifa]],#REF!,Planning[[#This Row],[Proyectos]])</f>
        <v>#REF!</v>
      </c>
      <c r="K4622" s="14" t="e">
        <f>+Planning[[#This Row],[Horas Planificadas]]+Planning[[#This Row],[Horas ajustadas adicionales]]-Planning[[#This Row],[Horas utilizadas]]</f>
        <v>#REF!</v>
      </c>
      <c r="L4622" s="15">
        <v>0</v>
      </c>
      <c r="M4622" s="16" t="e">
        <f>Planning[[#This Row],[Saldo]]-Planning[[#This Row],[Saldo estimado]]</f>
        <v>#REF!</v>
      </c>
      <c r="N4622" s="60"/>
      <c r="O4622" s="16">
        <f t="shared" si="145"/>
        <v>10</v>
      </c>
      <c r="P4622" s="16">
        <f t="shared" si="146"/>
        <v>2024</v>
      </c>
      <c r="Q4622" s="16" t="e">
        <f>+SUMIFS(#REF!,#REF!,Planning[[#This Row],[Tarifa]],#REF!,Planning[[#This Row],[Proyectos]],#REF!,Planning[[#This Row],[Mes]],#REF!,Planning[[#This Row],[Año]])</f>
        <v>#REF!</v>
      </c>
      <c r="R4622" s="50" t="str">
        <f>TEXT(Planning[[#This Row],[Mes]]*29,"mmmm")</f>
        <v>October</v>
      </c>
      <c r="S462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22" s="205"/>
      <c r="U4622" s="43" t="e">
        <f>IF(Planning[[#This Row],[Horas Planificadas]]&lt;&gt;0,+K4622/Planning[[#This Row],[Horas Planificadas]],0)</f>
        <v>#REF!</v>
      </c>
      <c r="V4622" s="43" t="e">
        <f>IF(Planning[[#This Row],[Horas Planificadas]]&lt;&gt;0,Planning[[#This Row],[Horas utilizadas]]/Planning[[#This Row],[Horas Planificadas]],0)</f>
        <v>#REF!</v>
      </c>
      <c r="W4622" s="44">
        <f>Planning[[#This Row],[Horas Planificadas]]+Planning[[#This Row],[Horas ajustadas adicionales]]</f>
        <v>90</v>
      </c>
      <c r="X4622" s="142"/>
    </row>
    <row r="4623" spans="1:24" ht="22.5" x14ac:dyDescent="0.2">
      <c r="A4623" s="9" t="s">
        <v>435</v>
      </c>
      <c r="B4623" s="9" t="s">
        <v>178</v>
      </c>
      <c r="C4623" s="3"/>
      <c r="D4623" s="3" t="s">
        <v>782</v>
      </c>
      <c r="E4623" s="4" t="s">
        <v>32</v>
      </c>
      <c r="F4623" s="3"/>
      <c r="G4623" s="9">
        <v>50</v>
      </c>
      <c r="H4623" s="14">
        <f>SUM(H4624:H4626)</f>
        <v>50</v>
      </c>
      <c r="I4623" s="14"/>
      <c r="J4623" s="14" t="e">
        <f>SUM(J4624:J4626)</f>
        <v>#REF!</v>
      </c>
      <c r="K4623" s="14" t="e">
        <f>+Planning[[#This Row],[Horas Planificadas]]+Planning[[#This Row],[Horas ajustadas adicionales]]-Planning[[#This Row],[Horas utilizadas]]</f>
        <v>#REF!</v>
      </c>
      <c r="L4623" s="15">
        <f>SUM(L4624:L4626)</f>
        <v>0</v>
      </c>
      <c r="M4623" s="16" t="e">
        <f>SUM(M4624:M4626)</f>
        <v>#REF!</v>
      </c>
      <c r="N4623" s="60"/>
      <c r="O4623" s="16">
        <f t="shared" si="145"/>
        <v>10</v>
      </c>
      <c r="P4623" s="16">
        <f t="shared" si="146"/>
        <v>2024</v>
      </c>
      <c r="Q4623" s="16" t="e">
        <f>SUM(Q4624:Q4626)</f>
        <v>#REF!</v>
      </c>
      <c r="R4623" s="50" t="str">
        <f>TEXT(Planning[[#This Row],[Mes]]*29,"mmmm")</f>
        <v>October</v>
      </c>
      <c r="S462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23" s="205"/>
      <c r="U4623" s="43" t="e">
        <f>IF(Planning[[#This Row],[Horas Planificadas]]&lt;&gt;0,+K4623/Planning[[#This Row],[Horas Planificadas]],0)</f>
        <v>#REF!</v>
      </c>
      <c r="V4623" s="43" t="e">
        <f>IF(Planning[[#This Row],[Horas Planificadas]]&lt;&gt;0,Planning[[#This Row],[Horas utilizadas]]/Planning[[#This Row],[Horas Planificadas]],0)</f>
        <v>#REF!</v>
      </c>
      <c r="W4623" s="44">
        <f>Planning[[#This Row],[Horas Planificadas]]+Planning[[#This Row],[Horas ajustadas adicionales]]</f>
        <v>50</v>
      </c>
      <c r="X4623" s="142"/>
    </row>
    <row r="4624" spans="1:24" x14ac:dyDescent="0.2">
      <c r="A4624" s="9" t="s">
        <v>435</v>
      </c>
      <c r="B4624" s="9" t="s">
        <v>178</v>
      </c>
      <c r="C4624" s="3"/>
      <c r="D4624" s="3" t="s">
        <v>782</v>
      </c>
      <c r="E4624" s="4"/>
      <c r="F4624" s="3" t="s">
        <v>129</v>
      </c>
      <c r="G4624" s="9"/>
      <c r="H4624" s="9">
        <v>0</v>
      </c>
      <c r="I4624" s="12"/>
      <c r="J4624" s="5" t="e">
        <f>SUM(SUMIFS(#REF!,#REF!,Planning[[#This Row],[Tipo de Tarea y especialidad]],#REF!,Planning[[#This Row],[Proyectos Reiwa]]),SUMIFS(#REF!,#REF!,Planning[[#This Row],[Tipo de Tarea y especialidad]],#REF!,Planning[[#This Row],[Proyectos]]))</f>
        <v>#REF!</v>
      </c>
      <c r="K4624" s="5" t="e">
        <f>+Planning[[#This Row],[Horas Planificadas]]+Planning[[#This Row],[Horas ajustadas adicionales]]-Planning[[#This Row],[Horas utilizadas]]</f>
        <v>#REF!</v>
      </c>
      <c r="L4624" s="7">
        <v>0</v>
      </c>
      <c r="M4624" s="19" t="e">
        <f>Planning[[#This Row],[Saldo]]-Planning[[#This Row],[Saldo estimado]]</f>
        <v>#REF!</v>
      </c>
      <c r="N4624" s="60" t="e">
        <f>+SUMIFS(#REF!,#REF!,Planning[[#This Row],[Proyectos]],#REF!,Planning[[#This Row],[Tipo de Tarea y especialidad]])</f>
        <v>#REF!</v>
      </c>
      <c r="O4624" s="19">
        <f t="shared" si="145"/>
        <v>10</v>
      </c>
      <c r="P4624" s="19">
        <f t="shared" si="146"/>
        <v>2024</v>
      </c>
      <c r="Q46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24" s="49" t="str">
        <f>TEXT(Planning[[#This Row],[Mes]]*29,"mmmm")</f>
        <v>October</v>
      </c>
      <c r="S462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24" s="205"/>
      <c r="U4624" s="43">
        <f>IF(Planning[[#This Row],[Horas Planificadas]]&lt;&gt;0,+K4624/Planning[[#This Row],[Horas Planificadas]],0)</f>
        <v>0</v>
      </c>
      <c r="V4624" s="43">
        <f>IF(Planning[[#This Row],[Horas Planificadas]]&lt;&gt;0,Planning[[#This Row],[Horas utilizadas]]/Planning[[#This Row],[Horas Planificadas]],0)</f>
        <v>0</v>
      </c>
      <c r="W4624" s="44">
        <f>Planning[[#This Row],[Horas Planificadas]]+Planning[[#This Row],[Horas ajustadas adicionales]]</f>
        <v>0</v>
      </c>
      <c r="X4624" s="142"/>
    </row>
    <row r="4625" spans="1:24" x14ac:dyDescent="0.2">
      <c r="A4625" s="9" t="s">
        <v>435</v>
      </c>
      <c r="B4625" s="9" t="s">
        <v>178</v>
      </c>
      <c r="C4625" s="3"/>
      <c r="D4625" s="3" t="s">
        <v>782</v>
      </c>
      <c r="E4625" s="4"/>
      <c r="F4625" s="3" t="s">
        <v>130</v>
      </c>
      <c r="G4625" s="9"/>
      <c r="H4625" s="9">
        <v>50</v>
      </c>
      <c r="I4625" s="12">
        <v>20</v>
      </c>
      <c r="J4625" s="5" t="e">
        <f>SUM(SUMIFS(#REF!,#REF!,Planning[[#This Row],[Tipo de Tarea y especialidad]],#REF!,Planning[[#This Row],[Proyectos Reiwa]]),SUMIFS(#REF!,#REF!,Planning[[#This Row],[Tipo de Tarea y especialidad]],#REF!,Planning[[#This Row],[Proyectos]]))</f>
        <v>#REF!</v>
      </c>
      <c r="K4625" s="5" t="e">
        <f>+Planning[[#This Row],[Horas Planificadas]]+Planning[[#This Row],[Horas ajustadas adicionales]]-Planning[[#This Row],[Horas utilizadas]]</f>
        <v>#REF!</v>
      </c>
      <c r="L4625" s="7">
        <v>0</v>
      </c>
      <c r="M4625" s="19" t="e">
        <f>Planning[[#This Row],[Saldo]]-Planning[[#This Row],[Saldo estimado]]</f>
        <v>#REF!</v>
      </c>
      <c r="N4625" s="60" t="e">
        <f>+SUMIFS(#REF!,#REF!,Planning[[#This Row],[Proyectos]],#REF!,Planning[[#This Row],[Tipo de Tarea y especialidad]])</f>
        <v>#REF!</v>
      </c>
      <c r="O4625" s="19">
        <f t="shared" si="145"/>
        <v>10</v>
      </c>
      <c r="P4625" s="19">
        <f t="shared" si="146"/>
        <v>2024</v>
      </c>
      <c r="Q46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25" s="49" t="str">
        <f>TEXT(Planning[[#This Row],[Mes]]*29,"mmmm")</f>
        <v>October</v>
      </c>
      <c r="S462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25" s="205"/>
      <c r="U4625" s="43" t="e">
        <f>IF(Planning[[#This Row],[Horas Planificadas]]&lt;&gt;0,+K4625/Planning[[#This Row],[Horas Planificadas]],0)</f>
        <v>#REF!</v>
      </c>
      <c r="V4625" s="43" t="e">
        <f>IF(Planning[[#This Row],[Horas Planificadas]]&lt;&gt;0,Planning[[#This Row],[Horas utilizadas]]/Planning[[#This Row],[Horas Planificadas]],0)</f>
        <v>#REF!</v>
      </c>
      <c r="W4625" s="44">
        <f>Planning[[#This Row],[Horas Planificadas]]+Planning[[#This Row],[Horas ajustadas adicionales]]</f>
        <v>70</v>
      </c>
      <c r="X4625" s="142"/>
    </row>
    <row r="4626" spans="1:24" x14ac:dyDescent="0.2">
      <c r="A4626" s="9" t="s">
        <v>435</v>
      </c>
      <c r="B4626" s="9" t="s">
        <v>178</v>
      </c>
      <c r="C4626" s="3"/>
      <c r="D4626" s="3" t="s">
        <v>782</v>
      </c>
      <c r="E4626" s="4"/>
      <c r="F4626" s="3" t="s">
        <v>131</v>
      </c>
      <c r="G4626" s="9"/>
      <c r="H4626" s="9">
        <v>0</v>
      </c>
      <c r="I4626" s="12"/>
      <c r="J4626" s="5" t="e">
        <f>SUM(SUMIFS(#REF!,#REF!,Planning[[#This Row],[Tipo de Tarea y especialidad]],#REF!,Planning[[#This Row],[Proyectos Reiwa]]),SUMIFS(#REF!,#REF!,Planning[[#This Row],[Tipo de Tarea y especialidad]],#REF!,Planning[[#This Row],[Proyectos]]))</f>
        <v>#REF!</v>
      </c>
      <c r="K4626" s="5" t="e">
        <f>+Planning[[#This Row],[Horas Planificadas]]+Planning[[#This Row],[Horas ajustadas adicionales]]-Planning[[#This Row],[Horas utilizadas]]</f>
        <v>#REF!</v>
      </c>
      <c r="L4626" s="7">
        <v>0</v>
      </c>
      <c r="M4626" s="19" t="e">
        <f>Planning[[#This Row],[Saldo]]-Planning[[#This Row],[Saldo estimado]]</f>
        <v>#REF!</v>
      </c>
      <c r="N4626" s="60" t="e">
        <f>+SUMIFS(#REF!,#REF!,Planning[[#This Row],[Proyectos]],#REF!,Planning[[#This Row],[Tipo de Tarea y especialidad]])</f>
        <v>#REF!</v>
      </c>
      <c r="O4626" s="19">
        <f t="shared" si="145"/>
        <v>10</v>
      </c>
      <c r="P4626" s="19">
        <f t="shared" si="146"/>
        <v>2024</v>
      </c>
      <c r="Q46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26" s="51" t="str">
        <f>TEXT(Planning[[#This Row],[Mes]]*29,"mmmm")</f>
        <v>October</v>
      </c>
      <c r="S4626"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26" s="206"/>
      <c r="U4626" s="43">
        <f>IF(Planning[[#This Row],[Horas Planificadas]]&lt;&gt;0,+K4626/Planning[[#This Row],[Horas Planificadas]],0)</f>
        <v>0</v>
      </c>
      <c r="V4626" s="43">
        <f>IF(Planning[[#This Row],[Horas Planificadas]]&lt;&gt;0,Planning[[#This Row],[Horas utilizadas]]/Planning[[#This Row],[Horas Planificadas]],0)</f>
        <v>0</v>
      </c>
      <c r="W4626" s="44">
        <f>Planning[[#This Row],[Horas Planificadas]]+Planning[[#This Row],[Horas ajustadas adicionales]]</f>
        <v>0</v>
      </c>
      <c r="X4626" s="142"/>
    </row>
    <row r="4627" spans="1:24" ht="13.35" customHeight="1" x14ac:dyDescent="0.2">
      <c r="A4627" s="9" t="s">
        <v>626</v>
      </c>
      <c r="B4627" s="9" t="s">
        <v>288</v>
      </c>
      <c r="C4627" s="3"/>
      <c r="D4627" s="3" t="s">
        <v>784</v>
      </c>
      <c r="E4627" s="4" t="s">
        <v>28</v>
      </c>
      <c r="F4627" s="3"/>
      <c r="G4627" s="11"/>
      <c r="H4627" s="20">
        <f>SUM(H4628:H4629)</f>
        <v>107</v>
      </c>
      <c r="I4627" s="12"/>
      <c r="J4627" s="14" t="e">
        <f>SUM(J4628:J4629)</f>
        <v>#REF!</v>
      </c>
      <c r="K4627" s="5" t="e">
        <f>+Planning[[#This Row],[Horas Planificadas]]+Planning[[#This Row],[Horas ajustadas adicionales]]-Planning[[#This Row],[Horas utilizadas]]</f>
        <v>#REF!</v>
      </c>
      <c r="L4627" s="9">
        <f>SUM(L4628:L4629)</f>
        <v>0</v>
      </c>
      <c r="M4627" s="19" t="e">
        <f>SUM(M4628:M4629)</f>
        <v>#REF!</v>
      </c>
      <c r="N4627" s="62" t="e">
        <f>+SUMIFS(#REF!,#REF!,Planning[[#This Row],[Proyectos]],#REF!,Planning[[#This Row],[Tipo de Tarea y especialidad]])</f>
        <v>#REF!</v>
      </c>
      <c r="O4627" s="34">
        <f t="shared" si="145"/>
        <v>10</v>
      </c>
      <c r="P4627" s="34">
        <f t="shared" si="146"/>
        <v>2024</v>
      </c>
      <c r="Q4627" s="28" t="e">
        <f>SUM(Q4628:Q4629)</f>
        <v>#REF!</v>
      </c>
      <c r="R4627" s="28" t="str">
        <f>TEXT(Planning[[#This Row],[Mes]]*29,"mmmm")</f>
        <v>October</v>
      </c>
      <c r="S46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27" s="207" t="s">
        <v>785</v>
      </c>
      <c r="U4627" s="43"/>
      <c r="V4627" s="43"/>
      <c r="W4627" s="44"/>
      <c r="X4627" s="142"/>
    </row>
    <row r="4628" spans="1:24" x14ac:dyDescent="0.2">
      <c r="A4628" s="9" t="s">
        <v>626</v>
      </c>
      <c r="B4628" s="9" t="s">
        <v>288</v>
      </c>
      <c r="C4628" s="3"/>
      <c r="D4628" s="3" t="s">
        <v>784</v>
      </c>
      <c r="E4628" s="4"/>
      <c r="F4628" s="3" t="s">
        <v>120</v>
      </c>
      <c r="G4628" s="53">
        <v>80</v>
      </c>
      <c r="H4628" s="20">
        <v>80</v>
      </c>
      <c r="I4628" s="12"/>
      <c r="J4628" s="5" t="e">
        <f>SUM(SUMIFS(#REF!,#REF!,Planning[[#This Row],[Tipo de Tarea y especialidad]],#REF!,Planning[[#This Row],[Proyectos Reiwa]]),SUMIFS(#REF!,#REF!,Planning[[#This Row],[Tipo de Tarea y especialidad]],#REF!,Planning[[#This Row],[Proyectos]]))</f>
        <v>#REF!</v>
      </c>
      <c r="K4628" s="5" t="e">
        <f>+Planning[[#This Row],[Horas Planificadas]]+Planning[[#This Row],[Horas ajustadas adicionales]]-Planning[[#This Row],[Horas utilizadas]]</f>
        <v>#REF!</v>
      </c>
      <c r="L4628" s="9">
        <v>0</v>
      </c>
      <c r="M4628" s="19" t="e">
        <f>Planning[[#This Row],[Saldo]]-Planning[[#This Row],[Saldo estimado]]</f>
        <v>#REF!</v>
      </c>
      <c r="N4628" s="62" t="e">
        <f>+SUMIFS(#REF!,#REF!,Planning[[#This Row],[Proyectos]],#REF!,Planning[[#This Row],[Tipo de Tarea y especialidad]])</f>
        <v>#REF!</v>
      </c>
      <c r="O4628" s="34">
        <f t="shared" si="145"/>
        <v>10</v>
      </c>
      <c r="P4628" s="34">
        <f t="shared" si="146"/>
        <v>2024</v>
      </c>
      <c r="Q46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28" s="19" t="str">
        <f>TEXT(Planning[[#This Row],[Mes]]*29,"mmmm")</f>
        <v>October</v>
      </c>
      <c r="S46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28" s="208"/>
      <c r="U4628" s="43"/>
      <c r="V4628" s="43"/>
      <c r="W4628" s="44"/>
      <c r="X4628" s="142"/>
    </row>
    <row r="4629" spans="1:24" x14ac:dyDescent="0.2">
      <c r="A4629" s="9" t="s">
        <v>626</v>
      </c>
      <c r="B4629" s="9" t="s">
        <v>288</v>
      </c>
      <c r="C4629" s="3"/>
      <c r="D4629" s="3" t="s">
        <v>784</v>
      </c>
      <c r="E4629" s="4"/>
      <c r="F4629" s="3" t="s">
        <v>121</v>
      </c>
      <c r="G4629" s="53">
        <v>27</v>
      </c>
      <c r="H4629" s="20">
        <v>27</v>
      </c>
      <c r="I4629" s="12"/>
      <c r="J4629" s="5" t="e">
        <f>SUM(SUMIFS(#REF!,#REF!,Planning[[#This Row],[Tipo de Tarea y especialidad]],#REF!,Planning[[#This Row],[Proyectos Reiwa]]),SUMIFS(#REF!,#REF!,Planning[[#This Row],[Tipo de Tarea y especialidad]],#REF!,Planning[[#This Row],[Proyectos]]))</f>
        <v>#REF!</v>
      </c>
      <c r="K4629" s="5" t="e">
        <f>+Planning[[#This Row],[Horas Planificadas]]+Planning[[#This Row],[Horas ajustadas adicionales]]-Planning[[#This Row],[Horas utilizadas]]</f>
        <v>#REF!</v>
      </c>
      <c r="L4629" s="9">
        <v>0</v>
      </c>
      <c r="M4629" s="19" t="e">
        <f>Planning[[#This Row],[Saldo]]-Planning[[#This Row],[Saldo estimado]]</f>
        <v>#REF!</v>
      </c>
      <c r="N4629" s="62" t="e">
        <f>+SUMIFS(#REF!,#REF!,Planning[[#This Row],[Proyectos]],#REF!,Planning[[#This Row],[Tipo de Tarea y especialidad]])</f>
        <v>#REF!</v>
      </c>
      <c r="O4629" s="34">
        <f t="shared" si="145"/>
        <v>10</v>
      </c>
      <c r="P4629" s="34">
        <f t="shared" si="146"/>
        <v>2024</v>
      </c>
      <c r="Q46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29" s="19" t="str">
        <f>TEXT(Planning[[#This Row],[Mes]]*29,"mmmm")</f>
        <v>October</v>
      </c>
      <c r="S46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29" s="208"/>
      <c r="U4629" s="43"/>
      <c r="V4629" s="43"/>
      <c r="W4629" s="44"/>
      <c r="X4629" s="142"/>
    </row>
    <row r="4630" spans="1:24" x14ac:dyDescent="0.2">
      <c r="A4630" s="9" t="s">
        <v>626</v>
      </c>
      <c r="B4630" s="9" t="s">
        <v>288</v>
      </c>
      <c r="C4630" s="3"/>
      <c r="D4630" s="3" t="s">
        <v>784</v>
      </c>
      <c r="E4630" s="4" t="s">
        <v>30</v>
      </c>
      <c r="F4630" s="3"/>
      <c r="G4630" s="53"/>
      <c r="H4630" s="20">
        <f>SUM(H4631:H4637)</f>
        <v>189</v>
      </c>
      <c r="I4630" s="12"/>
      <c r="J4630" s="14" t="e">
        <f>SUM(J4631:J4637)</f>
        <v>#REF!</v>
      </c>
      <c r="K4630" s="5" t="e">
        <f>+Planning[[#This Row],[Horas Planificadas]]+Planning[[#This Row],[Horas ajustadas adicionales]]-Planning[[#This Row],[Horas utilizadas]]</f>
        <v>#REF!</v>
      </c>
      <c r="L4630" s="9">
        <f>SUM(L4631:L4637)</f>
        <v>0</v>
      </c>
      <c r="M4630" s="19" t="e">
        <f>SUM(M4631:M4637)</f>
        <v>#REF!</v>
      </c>
      <c r="N4630" s="62" t="e">
        <f>+SUMIFS(#REF!,#REF!,Planning[[#This Row],[Proyectos]],#REF!,Planning[[#This Row],[Tipo de Tarea y especialidad]])</f>
        <v>#REF!</v>
      </c>
      <c r="O4630" s="34">
        <f t="shared" si="145"/>
        <v>10</v>
      </c>
      <c r="P4630" s="34">
        <f t="shared" si="146"/>
        <v>2024</v>
      </c>
      <c r="Q4630" s="16" t="e">
        <f>SUM(Q4631:Q4637)</f>
        <v>#REF!</v>
      </c>
      <c r="R4630" s="16" t="str">
        <f>TEXT(Planning[[#This Row],[Mes]]*29,"mmmm")</f>
        <v>October</v>
      </c>
      <c r="S46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30" s="208"/>
      <c r="U4630" s="43"/>
      <c r="V4630" s="43"/>
      <c r="W4630" s="44"/>
      <c r="X4630" s="142"/>
    </row>
    <row r="4631" spans="1:24" x14ac:dyDescent="0.2">
      <c r="A4631" s="9" t="s">
        <v>626</v>
      </c>
      <c r="B4631" s="9" t="s">
        <v>288</v>
      </c>
      <c r="C4631" s="3"/>
      <c r="D4631" s="3" t="s">
        <v>784</v>
      </c>
      <c r="E4631" s="4"/>
      <c r="F4631" s="3" t="s">
        <v>122</v>
      </c>
      <c r="G4631" s="53"/>
      <c r="H4631" s="20"/>
      <c r="I4631" s="12"/>
      <c r="J4631" s="5" t="e">
        <f>SUM(SUMIFS(#REF!,#REF!,Planning[[#This Row],[Tipo de Tarea y especialidad]],#REF!,Planning[[#This Row],[Proyectos Reiwa]]),SUMIFS(#REF!,#REF!,Planning[[#This Row],[Tipo de Tarea y especialidad]],#REF!,Planning[[#This Row],[Proyectos]]))</f>
        <v>#REF!</v>
      </c>
      <c r="K4631" s="5" t="e">
        <f>+Planning[[#This Row],[Horas Planificadas]]+Planning[[#This Row],[Horas ajustadas adicionales]]-Planning[[#This Row],[Horas utilizadas]]</f>
        <v>#REF!</v>
      </c>
      <c r="L4631" s="9"/>
      <c r="M4631" s="19" t="e">
        <f>Planning[[#This Row],[Saldo]]-Planning[[#This Row],[Saldo estimado]]</f>
        <v>#REF!</v>
      </c>
      <c r="N4631" s="62" t="e">
        <f>+SUMIFS(#REF!,#REF!,Planning[[#This Row],[Proyectos]],#REF!,Planning[[#This Row],[Tipo de Tarea y especialidad]])</f>
        <v>#REF!</v>
      </c>
      <c r="O4631" s="34">
        <f t="shared" si="145"/>
        <v>10</v>
      </c>
      <c r="P4631" s="34">
        <f t="shared" si="146"/>
        <v>2024</v>
      </c>
      <c r="Q46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31" s="19" t="str">
        <f>TEXT(Planning[[#This Row],[Mes]]*29,"mmmm")</f>
        <v>October</v>
      </c>
      <c r="S46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31" s="208"/>
      <c r="U4631" s="43"/>
      <c r="V4631" s="43"/>
      <c r="W4631" s="44"/>
      <c r="X4631" s="142"/>
    </row>
    <row r="4632" spans="1:24" x14ac:dyDescent="0.2">
      <c r="A4632" s="9" t="s">
        <v>626</v>
      </c>
      <c r="B4632" s="9" t="s">
        <v>288</v>
      </c>
      <c r="C4632" s="3"/>
      <c r="D4632" s="3" t="s">
        <v>784</v>
      </c>
      <c r="E4632" s="4"/>
      <c r="F4632" s="3" t="s">
        <v>123</v>
      </c>
      <c r="G4632" s="53"/>
      <c r="H4632" s="20"/>
      <c r="I4632" s="12"/>
      <c r="J4632" s="5" t="e">
        <f>SUM(SUMIFS(#REF!,#REF!,Planning[[#This Row],[Tipo de Tarea y especialidad]],#REF!,Planning[[#This Row],[Proyectos Reiwa]]),SUMIFS(#REF!,#REF!,Planning[[#This Row],[Tipo de Tarea y especialidad]],#REF!,Planning[[#This Row],[Proyectos]]))</f>
        <v>#REF!</v>
      </c>
      <c r="K4632" s="5" t="e">
        <f>+Planning[[#This Row],[Horas Planificadas]]+Planning[[#This Row],[Horas ajustadas adicionales]]-Planning[[#This Row],[Horas utilizadas]]</f>
        <v>#REF!</v>
      </c>
      <c r="L4632" s="9"/>
      <c r="M4632" s="19" t="e">
        <f>Planning[[#This Row],[Saldo]]-Planning[[#This Row],[Saldo estimado]]</f>
        <v>#REF!</v>
      </c>
      <c r="N4632" s="62" t="e">
        <f>+SUMIFS(#REF!,#REF!,Planning[[#This Row],[Proyectos]],#REF!,Planning[[#This Row],[Tipo de Tarea y especialidad]])</f>
        <v>#REF!</v>
      </c>
      <c r="O4632" s="34">
        <f t="shared" si="145"/>
        <v>10</v>
      </c>
      <c r="P4632" s="34">
        <f t="shared" si="146"/>
        <v>2024</v>
      </c>
      <c r="Q46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32" s="19" t="str">
        <f>TEXT(Planning[[#This Row],[Mes]]*29,"mmmm")</f>
        <v>October</v>
      </c>
      <c r="S46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32" s="208"/>
      <c r="U4632" s="43"/>
      <c r="V4632" s="43"/>
      <c r="W4632" s="44"/>
      <c r="X4632" s="142"/>
    </row>
    <row r="4633" spans="1:24" x14ac:dyDescent="0.2">
      <c r="A4633" s="9" t="s">
        <v>626</v>
      </c>
      <c r="B4633" s="9" t="s">
        <v>288</v>
      </c>
      <c r="C4633" s="3"/>
      <c r="D4633" s="3" t="s">
        <v>784</v>
      </c>
      <c r="E4633" s="4"/>
      <c r="F4633" s="3" t="s">
        <v>124</v>
      </c>
      <c r="G4633" s="53">
        <v>117</v>
      </c>
      <c r="H4633" s="20">
        <v>117</v>
      </c>
      <c r="I4633" s="12"/>
      <c r="J4633" s="5" t="e">
        <f>SUM(SUMIFS(#REF!,#REF!,Planning[[#This Row],[Tipo de Tarea y especialidad]],#REF!,Planning[[#This Row],[Proyectos Reiwa]]),SUMIFS(#REF!,#REF!,Planning[[#This Row],[Tipo de Tarea y especialidad]],#REF!,Planning[[#This Row],[Proyectos]]))</f>
        <v>#REF!</v>
      </c>
      <c r="K4633" s="5" t="e">
        <f>+Planning[[#This Row],[Horas Planificadas]]+Planning[[#This Row],[Horas ajustadas adicionales]]-Planning[[#This Row],[Horas utilizadas]]</f>
        <v>#REF!</v>
      </c>
      <c r="L4633" s="9">
        <v>0</v>
      </c>
      <c r="M4633" s="19" t="e">
        <f>Planning[[#This Row],[Saldo]]-Planning[[#This Row],[Saldo estimado]]</f>
        <v>#REF!</v>
      </c>
      <c r="N4633" s="62" t="e">
        <f>+SUMIFS(#REF!,#REF!,Planning[[#This Row],[Proyectos]],#REF!,Planning[[#This Row],[Tipo de Tarea y especialidad]])</f>
        <v>#REF!</v>
      </c>
      <c r="O4633" s="34">
        <f t="shared" si="145"/>
        <v>10</v>
      </c>
      <c r="P4633" s="34">
        <f t="shared" si="146"/>
        <v>2024</v>
      </c>
      <c r="Q46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33" s="19" t="str">
        <f>TEXT(Planning[[#This Row],[Mes]]*29,"mmmm")</f>
        <v>October</v>
      </c>
      <c r="S46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33" s="208"/>
      <c r="U4633" s="43"/>
      <c r="V4633" s="43"/>
      <c r="W4633" s="44"/>
      <c r="X4633" s="142"/>
    </row>
    <row r="4634" spans="1:24" x14ac:dyDescent="0.2">
      <c r="A4634" s="9" t="s">
        <v>626</v>
      </c>
      <c r="B4634" s="9" t="s">
        <v>288</v>
      </c>
      <c r="C4634" s="3"/>
      <c r="D4634" s="3" t="s">
        <v>784</v>
      </c>
      <c r="E4634" s="4"/>
      <c r="F4634" s="3" t="s">
        <v>125</v>
      </c>
      <c r="G4634" s="53"/>
      <c r="H4634" s="20"/>
      <c r="I4634" s="12"/>
      <c r="J4634" s="5" t="e">
        <f>SUM(SUMIFS(#REF!,#REF!,Planning[[#This Row],[Tipo de Tarea y especialidad]],#REF!,Planning[[#This Row],[Proyectos Reiwa]]),SUMIFS(#REF!,#REF!,Planning[[#This Row],[Tipo de Tarea y especialidad]],#REF!,Planning[[#This Row],[Proyectos]]))</f>
        <v>#REF!</v>
      </c>
      <c r="K4634" s="5" t="e">
        <f>+Planning[[#This Row],[Horas Planificadas]]+Planning[[#This Row],[Horas ajustadas adicionales]]-Planning[[#This Row],[Horas utilizadas]]</f>
        <v>#REF!</v>
      </c>
      <c r="L4634" s="9"/>
      <c r="M4634" s="19" t="e">
        <f>Planning[[#This Row],[Saldo]]-Planning[[#This Row],[Saldo estimado]]</f>
        <v>#REF!</v>
      </c>
      <c r="N4634" s="62" t="e">
        <f>+SUMIFS(#REF!,#REF!,Planning[[#This Row],[Proyectos]],#REF!,Planning[[#This Row],[Tipo de Tarea y especialidad]])</f>
        <v>#REF!</v>
      </c>
      <c r="O4634" s="34">
        <f t="shared" si="145"/>
        <v>10</v>
      </c>
      <c r="P4634" s="34">
        <f t="shared" si="146"/>
        <v>2024</v>
      </c>
      <c r="Q46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34" s="19" t="str">
        <f>TEXT(Planning[[#This Row],[Mes]]*29,"mmmm")</f>
        <v>October</v>
      </c>
      <c r="S46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34" s="208"/>
      <c r="U4634" s="43"/>
      <c r="V4634" s="43"/>
      <c r="W4634" s="44"/>
      <c r="X4634" s="142"/>
    </row>
    <row r="4635" spans="1:24" x14ac:dyDescent="0.2">
      <c r="A4635" s="9" t="s">
        <v>626</v>
      </c>
      <c r="B4635" s="9" t="s">
        <v>288</v>
      </c>
      <c r="C4635" s="3"/>
      <c r="D4635" s="3" t="s">
        <v>784</v>
      </c>
      <c r="E4635" s="4"/>
      <c r="F4635" s="3" t="s">
        <v>126</v>
      </c>
      <c r="G4635" s="53"/>
      <c r="H4635" s="20"/>
      <c r="I4635" s="12"/>
      <c r="J4635" s="5" t="e">
        <f>SUM(SUMIFS(#REF!,#REF!,Planning[[#This Row],[Tipo de Tarea y especialidad]],#REF!,Planning[[#This Row],[Proyectos Reiwa]]),SUMIFS(#REF!,#REF!,Planning[[#This Row],[Tipo de Tarea y especialidad]],#REF!,Planning[[#This Row],[Proyectos]]))</f>
        <v>#REF!</v>
      </c>
      <c r="K4635" s="5" t="e">
        <f>+Planning[[#This Row],[Horas Planificadas]]+Planning[[#This Row],[Horas ajustadas adicionales]]-Planning[[#This Row],[Horas utilizadas]]</f>
        <v>#REF!</v>
      </c>
      <c r="L4635" s="9"/>
      <c r="M4635" s="19" t="e">
        <f>Planning[[#This Row],[Saldo]]-Planning[[#This Row],[Saldo estimado]]</f>
        <v>#REF!</v>
      </c>
      <c r="N4635" s="62" t="e">
        <f>+SUMIFS(#REF!,#REF!,Planning[[#This Row],[Proyectos]],#REF!,Planning[[#This Row],[Tipo de Tarea y especialidad]])</f>
        <v>#REF!</v>
      </c>
      <c r="O4635" s="34">
        <f t="shared" si="145"/>
        <v>10</v>
      </c>
      <c r="P4635" s="34">
        <f t="shared" si="146"/>
        <v>2024</v>
      </c>
      <c r="Q46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35" s="19" t="str">
        <f>TEXT(Planning[[#This Row],[Mes]]*29,"mmmm")</f>
        <v>October</v>
      </c>
      <c r="S46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35" s="208"/>
      <c r="U4635" s="43"/>
      <c r="V4635" s="43"/>
      <c r="W4635" s="44"/>
      <c r="X4635" s="142"/>
    </row>
    <row r="4636" spans="1:24" x14ac:dyDescent="0.2">
      <c r="A4636" s="9" t="s">
        <v>626</v>
      </c>
      <c r="B4636" s="9" t="s">
        <v>288</v>
      </c>
      <c r="C4636" s="3"/>
      <c r="D4636" s="3" t="s">
        <v>784</v>
      </c>
      <c r="E4636" s="4"/>
      <c r="F4636" s="3" t="s">
        <v>127</v>
      </c>
      <c r="G4636" s="53"/>
      <c r="H4636" s="20"/>
      <c r="I4636" s="12"/>
      <c r="J4636" s="5" t="e">
        <f>SUM(SUMIFS(#REF!,#REF!,Planning[[#This Row],[Tipo de Tarea y especialidad]],#REF!,Planning[[#This Row],[Proyectos Reiwa]]),SUMIFS(#REF!,#REF!,Planning[[#This Row],[Tipo de Tarea y especialidad]],#REF!,Planning[[#This Row],[Proyectos]]))</f>
        <v>#REF!</v>
      </c>
      <c r="K4636" s="5" t="e">
        <f>+Planning[[#This Row],[Horas Planificadas]]+Planning[[#This Row],[Horas ajustadas adicionales]]-Planning[[#This Row],[Horas utilizadas]]</f>
        <v>#REF!</v>
      </c>
      <c r="L4636" s="9"/>
      <c r="M4636" s="19" t="e">
        <f>Planning[[#This Row],[Saldo]]-Planning[[#This Row],[Saldo estimado]]</f>
        <v>#REF!</v>
      </c>
      <c r="N4636" s="62" t="e">
        <f>+SUMIFS(#REF!,#REF!,Planning[[#This Row],[Proyectos]],#REF!,Planning[[#This Row],[Tipo de Tarea y especialidad]])</f>
        <v>#REF!</v>
      </c>
      <c r="O4636" s="34">
        <f t="shared" si="145"/>
        <v>10</v>
      </c>
      <c r="P4636" s="34">
        <f t="shared" si="146"/>
        <v>2024</v>
      </c>
      <c r="Q46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36" s="19" t="str">
        <f>TEXT(Planning[[#This Row],[Mes]]*29,"mmmm")</f>
        <v>October</v>
      </c>
      <c r="S46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36" s="208"/>
      <c r="U4636" s="43"/>
      <c r="V4636" s="43"/>
      <c r="W4636" s="44"/>
      <c r="X4636" s="142"/>
    </row>
    <row r="4637" spans="1:24" x14ac:dyDescent="0.2">
      <c r="A4637" s="9" t="s">
        <v>626</v>
      </c>
      <c r="B4637" s="9" t="s">
        <v>288</v>
      </c>
      <c r="C4637" s="3"/>
      <c r="D4637" s="3" t="s">
        <v>784</v>
      </c>
      <c r="E4637" s="4"/>
      <c r="F4637" s="3" t="s">
        <v>128</v>
      </c>
      <c r="G4637" s="53">
        <v>72</v>
      </c>
      <c r="H4637" s="20">
        <v>72</v>
      </c>
      <c r="I4637" s="12"/>
      <c r="J4637" s="5" t="e">
        <f>SUM(SUMIFS(#REF!,#REF!,Planning[[#This Row],[Tipo de Tarea y especialidad]],#REF!,Planning[[#This Row],[Proyectos Reiwa]]),SUMIFS(#REF!,#REF!,Planning[[#This Row],[Tipo de Tarea y especialidad]],#REF!,Planning[[#This Row],[Proyectos]]))</f>
        <v>#REF!</v>
      </c>
      <c r="K4637" s="5" t="e">
        <f>+Planning[[#This Row],[Horas Planificadas]]+Planning[[#This Row],[Horas ajustadas adicionales]]-Planning[[#This Row],[Horas utilizadas]]</f>
        <v>#REF!</v>
      </c>
      <c r="L4637" s="9">
        <v>0</v>
      </c>
      <c r="M4637" s="19" t="e">
        <f>Planning[[#This Row],[Saldo]]-Planning[[#This Row],[Saldo estimado]]</f>
        <v>#REF!</v>
      </c>
      <c r="N4637" s="62" t="e">
        <f>+SUMIFS(#REF!,#REF!,Planning[[#This Row],[Proyectos]],#REF!,Planning[[#This Row],[Tipo de Tarea y especialidad]])</f>
        <v>#REF!</v>
      </c>
      <c r="O4637" s="34">
        <f t="shared" si="145"/>
        <v>10</v>
      </c>
      <c r="P4637" s="34">
        <f t="shared" si="146"/>
        <v>2024</v>
      </c>
      <c r="Q46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37" s="19" t="str">
        <f>TEXT(Planning[[#This Row],[Mes]]*29,"mmmm")</f>
        <v>October</v>
      </c>
      <c r="S46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37" s="208"/>
      <c r="U4637" s="43"/>
      <c r="V4637" s="43"/>
      <c r="W4637" s="44"/>
      <c r="X4637" s="142"/>
    </row>
    <row r="4638" spans="1:24" x14ac:dyDescent="0.2">
      <c r="A4638" s="9" t="s">
        <v>626</v>
      </c>
      <c r="B4638" s="9" t="s">
        <v>288</v>
      </c>
      <c r="C4638" s="3"/>
      <c r="D4638" s="3" t="s">
        <v>784</v>
      </c>
      <c r="E4638" s="4" t="s">
        <v>31</v>
      </c>
      <c r="F4638" s="3" t="s">
        <v>31</v>
      </c>
      <c r="G4638" s="53">
        <v>80</v>
      </c>
      <c r="H4638" s="20">
        <v>80</v>
      </c>
      <c r="I4638" s="12"/>
      <c r="J4638" s="14" t="e">
        <f>+SUMIFS(#REF!,#REF!,Planning[[#This Row],[Tarifa]],#REF!,Planning[[#This Row],[Proyectos]])</f>
        <v>#REF!</v>
      </c>
      <c r="K4638" s="5" t="e">
        <f>+Planning[[#This Row],[Horas Planificadas]]+Planning[[#This Row],[Horas ajustadas adicionales]]-Planning[[#This Row],[Horas utilizadas]]</f>
        <v>#REF!</v>
      </c>
      <c r="L4638" s="9">
        <v>0</v>
      </c>
      <c r="M4638" s="19" t="e">
        <f>Planning[[#This Row],[Saldo]]-Planning[[#This Row],[Saldo estimado]]</f>
        <v>#REF!</v>
      </c>
      <c r="N4638" s="62" t="e">
        <f>+SUMIFS(#REF!,#REF!,Planning[[#This Row],[Proyectos]],#REF!,Planning[[#This Row],[Tipo de Tarea y especialidad]])</f>
        <v>#REF!</v>
      </c>
      <c r="O4638" s="34">
        <f t="shared" si="145"/>
        <v>10</v>
      </c>
      <c r="P4638" s="34">
        <f t="shared" si="146"/>
        <v>2024</v>
      </c>
      <c r="Q4638" s="16" t="e">
        <f>+SUMIFS(#REF!,#REF!,Planning[[#This Row],[Tarifa]],#REF!,Planning[[#This Row],[Proyectos]],#REF!,Planning[[#This Row],[Mes]],#REF!,Planning[[#This Row],[Año]])</f>
        <v>#REF!</v>
      </c>
      <c r="R4638" s="16" t="str">
        <f>TEXT(Planning[[#This Row],[Mes]]*29,"mmmm")</f>
        <v>October</v>
      </c>
      <c r="S46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38" s="208"/>
      <c r="U4638" s="43"/>
      <c r="V4638" s="43"/>
      <c r="W4638" s="44"/>
      <c r="X4638" s="142"/>
    </row>
    <row r="4639" spans="1:24" ht="22.5" x14ac:dyDescent="0.2">
      <c r="A4639" s="9" t="s">
        <v>626</v>
      </c>
      <c r="B4639" s="9" t="s">
        <v>288</v>
      </c>
      <c r="C4639" s="3"/>
      <c r="D4639" s="3" t="s">
        <v>784</v>
      </c>
      <c r="E4639" s="4" t="s">
        <v>32</v>
      </c>
      <c r="F4639" s="3"/>
      <c r="G4639" s="53"/>
      <c r="H4639" s="20">
        <f>SUM(H4640:H4642)</f>
        <v>160</v>
      </c>
      <c r="I4639" s="12"/>
      <c r="J4639" s="14" t="e">
        <f>SUM(J4640:J4642)</f>
        <v>#REF!</v>
      </c>
      <c r="K4639" s="5" t="e">
        <f>+Planning[[#This Row],[Horas Planificadas]]+Planning[[#This Row],[Horas ajustadas adicionales]]-Planning[[#This Row],[Horas utilizadas]]</f>
        <v>#REF!</v>
      </c>
      <c r="L4639" s="9">
        <f>SUM(L4640:L4642)</f>
        <v>0</v>
      </c>
      <c r="M4639" s="19" t="e">
        <f>SUM(M4640:M4642)</f>
        <v>#REF!</v>
      </c>
      <c r="N4639" s="62" t="e">
        <f>+SUMIFS(#REF!,#REF!,Planning[[#This Row],[Proyectos]],#REF!,Planning[[#This Row],[Tipo de Tarea y especialidad]])</f>
        <v>#REF!</v>
      </c>
      <c r="O4639" s="34">
        <f t="shared" si="145"/>
        <v>10</v>
      </c>
      <c r="P4639" s="34">
        <f t="shared" si="146"/>
        <v>2024</v>
      </c>
      <c r="Q4639" s="16" t="e">
        <f>SUM(Q4640:Q4642)</f>
        <v>#REF!</v>
      </c>
      <c r="R4639" s="16" t="str">
        <f>TEXT(Planning[[#This Row],[Mes]]*29,"mmmm")</f>
        <v>October</v>
      </c>
      <c r="S46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39" s="208"/>
      <c r="U4639" s="43"/>
      <c r="V4639" s="43"/>
      <c r="W4639" s="44"/>
      <c r="X4639" s="142"/>
    </row>
    <row r="4640" spans="1:24" x14ac:dyDescent="0.2">
      <c r="A4640" s="9" t="s">
        <v>626</v>
      </c>
      <c r="B4640" s="9" t="s">
        <v>288</v>
      </c>
      <c r="C4640" s="3"/>
      <c r="D4640" s="3" t="s">
        <v>784</v>
      </c>
      <c r="E4640" s="4"/>
      <c r="F4640" s="3" t="s">
        <v>129</v>
      </c>
      <c r="G4640" s="53"/>
      <c r="H4640" s="20"/>
      <c r="I4640" s="12"/>
      <c r="J4640" s="5" t="e">
        <f>SUM(SUMIFS(#REF!,#REF!,Planning[[#This Row],[Tipo de Tarea y especialidad]],#REF!,Planning[[#This Row],[Proyectos Reiwa]]),SUMIFS(#REF!,#REF!,Planning[[#This Row],[Tipo de Tarea y especialidad]],#REF!,Planning[[#This Row],[Proyectos]]))</f>
        <v>#REF!</v>
      </c>
      <c r="K4640" s="5" t="e">
        <f>+Planning[[#This Row],[Horas Planificadas]]+Planning[[#This Row],[Horas ajustadas adicionales]]-Planning[[#This Row],[Horas utilizadas]]</f>
        <v>#REF!</v>
      </c>
      <c r="L4640" s="9"/>
      <c r="M4640" s="19" t="e">
        <f>Planning[[#This Row],[Saldo]]-Planning[[#This Row],[Saldo estimado]]</f>
        <v>#REF!</v>
      </c>
      <c r="N4640" s="62" t="e">
        <f>+SUMIFS(#REF!,#REF!,Planning[[#This Row],[Proyectos]],#REF!,Planning[[#This Row],[Tipo de Tarea y especialidad]])</f>
        <v>#REF!</v>
      </c>
      <c r="O4640" s="34">
        <f t="shared" si="145"/>
        <v>10</v>
      </c>
      <c r="P4640" s="34">
        <f t="shared" si="146"/>
        <v>2024</v>
      </c>
      <c r="Q46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40" s="19" t="str">
        <f>TEXT(Planning[[#This Row],[Mes]]*29,"mmmm")</f>
        <v>October</v>
      </c>
      <c r="S46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40" s="208"/>
      <c r="U4640" s="43"/>
      <c r="V4640" s="43"/>
      <c r="W4640" s="44"/>
      <c r="X4640" s="142"/>
    </row>
    <row r="4641" spans="1:24" x14ac:dyDescent="0.2">
      <c r="A4641" s="9" t="s">
        <v>626</v>
      </c>
      <c r="B4641" s="9" t="s">
        <v>288</v>
      </c>
      <c r="C4641" s="3"/>
      <c r="D4641" s="3" t="s">
        <v>784</v>
      </c>
      <c r="E4641" s="4"/>
      <c r="F4641" s="3" t="s">
        <v>130</v>
      </c>
      <c r="G4641" s="53"/>
      <c r="H4641" s="20"/>
      <c r="I4641" s="12"/>
      <c r="J4641" s="5" t="e">
        <f>SUM(SUMIFS(#REF!,#REF!,Planning[[#This Row],[Tipo de Tarea y especialidad]],#REF!,Planning[[#This Row],[Proyectos Reiwa]]),SUMIFS(#REF!,#REF!,Planning[[#This Row],[Tipo de Tarea y especialidad]],#REF!,Planning[[#This Row],[Proyectos]]))</f>
        <v>#REF!</v>
      </c>
      <c r="K4641" s="5" t="e">
        <f>+Planning[[#This Row],[Horas Planificadas]]+Planning[[#This Row],[Horas ajustadas adicionales]]-Planning[[#This Row],[Horas utilizadas]]</f>
        <v>#REF!</v>
      </c>
      <c r="L4641" s="9"/>
      <c r="M4641" s="19" t="e">
        <f>Planning[[#This Row],[Saldo]]-Planning[[#This Row],[Saldo estimado]]</f>
        <v>#REF!</v>
      </c>
      <c r="N4641" s="62" t="e">
        <f>+SUMIFS(#REF!,#REF!,Planning[[#This Row],[Proyectos]],#REF!,Planning[[#This Row],[Tipo de Tarea y especialidad]])</f>
        <v>#REF!</v>
      </c>
      <c r="O4641" s="34">
        <f t="shared" si="145"/>
        <v>10</v>
      </c>
      <c r="P4641" s="34">
        <f t="shared" si="146"/>
        <v>2024</v>
      </c>
      <c r="Q46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41" s="19" t="str">
        <f>TEXT(Planning[[#This Row],[Mes]]*29,"mmmm")</f>
        <v>October</v>
      </c>
      <c r="S46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41" s="208"/>
      <c r="U4641" s="43"/>
      <c r="V4641" s="43"/>
      <c r="W4641" s="44"/>
      <c r="X4641" s="142"/>
    </row>
    <row r="4642" spans="1:24" x14ac:dyDescent="0.2">
      <c r="A4642" s="9" t="s">
        <v>626</v>
      </c>
      <c r="B4642" s="9" t="s">
        <v>288</v>
      </c>
      <c r="C4642" s="3"/>
      <c r="D4642" s="3" t="s">
        <v>784</v>
      </c>
      <c r="E4642" s="4"/>
      <c r="F4642" s="3" t="s">
        <v>131</v>
      </c>
      <c r="G4642" s="53">
        <v>160</v>
      </c>
      <c r="H4642" s="20">
        <v>160</v>
      </c>
      <c r="I4642" s="12"/>
      <c r="J4642" s="5" t="e">
        <f>SUM(SUMIFS(#REF!,#REF!,Planning[[#This Row],[Tipo de Tarea y especialidad]],#REF!,Planning[[#This Row],[Proyectos Reiwa]]),SUMIFS(#REF!,#REF!,Planning[[#This Row],[Tipo de Tarea y especialidad]],#REF!,Planning[[#This Row],[Proyectos]]))</f>
        <v>#REF!</v>
      </c>
      <c r="K4642" s="5" t="e">
        <f>+Planning[[#This Row],[Horas Planificadas]]+Planning[[#This Row],[Horas ajustadas adicionales]]-Planning[[#This Row],[Horas utilizadas]]</f>
        <v>#REF!</v>
      </c>
      <c r="L4642" s="9">
        <v>0</v>
      </c>
      <c r="M4642" s="19" t="e">
        <f>Planning[[#This Row],[Saldo]]-Planning[[#This Row],[Saldo estimado]]</f>
        <v>#REF!</v>
      </c>
      <c r="N4642" s="62" t="e">
        <f>+SUMIFS(#REF!,#REF!,Planning[[#This Row],[Proyectos]],#REF!,Planning[[#This Row],[Tipo de Tarea y especialidad]])</f>
        <v>#REF!</v>
      </c>
      <c r="O4642" s="34">
        <f t="shared" si="145"/>
        <v>10</v>
      </c>
      <c r="P4642" s="34">
        <f t="shared" si="146"/>
        <v>2024</v>
      </c>
      <c r="Q46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42" s="19" t="str">
        <f>TEXT(Planning[[#This Row],[Mes]]*29,"mmmm")</f>
        <v>October</v>
      </c>
      <c r="S46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42" s="208"/>
      <c r="U4642" s="43"/>
      <c r="V4642" s="43"/>
      <c r="W4642" s="44"/>
      <c r="X4642" s="142"/>
    </row>
    <row r="4643" spans="1:24" ht="13.35" customHeight="1" x14ac:dyDescent="0.2">
      <c r="A4643" s="9" t="s">
        <v>626</v>
      </c>
      <c r="B4643" s="9" t="s">
        <v>288</v>
      </c>
      <c r="C4643" s="3">
        <v>117000</v>
      </c>
      <c r="D4643" s="3" t="s">
        <v>786</v>
      </c>
      <c r="E4643" s="4" t="s">
        <v>28</v>
      </c>
      <c r="F4643" s="3"/>
      <c r="G4643" s="11"/>
      <c r="H4643" s="20">
        <f>SUM(H4644:H4645)</f>
        <v>95</v>
      </c>
      <c r="I4643" s="12"/>
      <c r="J4643" s="14" t="e">
        <f>SUM(J4644:J4645)</f>
        <v>#REF!</v>
      </c>
      <c r="K4643" s="5" t="e">
        <f>+Planning[[#This Row],[Horas Planificadas]]+Planning[[#This Row],[Horas ajustadas adicionales]]-Planning[[#This Row],[Horas utilizadas]]</f>
        <v>#REF!</v>
      </c>
      <c r="L4643" s="9">
        <f>SUM(L4644:L4645)</f>
        <v>0</v>
      </c>
      <c r="M4643" s="19" t="e">
        <f>SUM(M4644:M4645)</f>
        <v>#REF!</v>
      </c>
      <c r="N4643" s="62" t="e">
        <f>+SUMIFS(#REF!,#REF!,Planning[[#This Row],[Proyectos]],#REF!,Planning[[#This Row],[Tipo de Tarea y especialidad]])</f>
        <v>#REF!</v>
      </c>
      <c r="O4643" s="34">
        <f t="shared" si="145"/>
        <v>10</v>
      </c>
      <c r="P4643" s="34">
        <f t="shared" si="146"/>
        <v>2024</v>
      </c>
      <c r="Q4643" s="28" t="e">
        <f>SUM(Q4644:Q4645)</f>
        <v>#REF!</v>
      </c>
      <c r="R4643" s="24" t="str">
        <f>TEXT(Planning[[#This Row],[Mes]]*29,"mmmm")</f>
        <v>October</v>
      </c>
      <c r="S4643"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43" s="221" t="s">
        <v>787</v>
      </c>
      <c r="U4643" s="43"/>
      <c r="V4643" s="43"/>
      <c r="W4643" s="44"/>
      <c r="X4643" s="142"/>
    </row>
    <row r="4644" spans="1:24" x14ac:dyDescent="0.2">
      <c r="A4644" s="9" t="s">
        <v>626</v>
      </c>
      <c r="B4644" s="9" t="s">
        <v>288</v>
      </c>
      <c r="C4644" s="3">
        <v>117000</v>
      </c>
      <c r="D4644" s="3" t="s">
        <v>786</v>
      </c>
      <c r="E4644" s="4"/>
      <c r="F4644" s="3" t="s">
        <v>120</v>
      </c>
      <c r="G4644" s="53">
        <v>80</v>
      </c>
      <c r="H4644" s="20">
        <v>80</v>
      </c>
      <c r="I4644" s="12"/>
      <c r="J4644" s="5" t="e">
        <f>SUM(SUMIFS(#REF!,#REF!,Planning[[#This Row],[Tipo de Tarea y especialidad]],#REF!,Planning[[#This Row],[Proyectos Reiwa]]),SUMIFS(#REF!,#REF!,Planning[[#This Row],[Tipo de Tarea y especialidad]],#REF!,Planning[[#This Row],[Proyectos]]))</f>
        <v>#REF!</v>
      </c>
      <c r="K4644" s="5" t="e">
        <f>+Planning[[#This Row],[Horas Planificadas]]+Planning[[#This Row],[Horas ajustadas adicionales]]-Planning[[#This Row],[Horas utilizadas]]</f>
        <v>#REF!</v>
      </c>
      <c r="L4644" s="9">
        <v>0</v>
      </c>
      <c r="M4644" s="19" t="e">
        <f>Planning[[#This Row],[Saldo]]-Planning[[#This Row],[Saldo estimado]]</f>
        <v>#REF!</v>
      </c>
      <c r="N4644" s="62" t="e">
        <f>+SUMIFS(#REF!,#REF!,Planning[[#This Row],[Proyectos]],#REF!,Planning[[#This Row],[Tipo de Tarea y especialidad]])</f>
        <v>#REF!</v>
      </c>
      <c r="O4644" s="34">
        <f t="shared" si="145"/>
        <v>10</v>
      </c>
      <c r="P4644" s="34">
        <f t="shared" si="146"/>
        <v>2024</v>
      </c>
      <c r="Q46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44" s="49" t="str">
        <f>TEXT(Planning[[#This Row],[Mes]]*29,"mmmm")</f>
        <v>October</v>
      </c>
      <c r="S464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44" s="222"/>
      <c r="U4644" s="43"/>
      <c r="V4644" s="43"/>
      <c r="W4644" s="44"/>
      <c r="X4644" s="142"/>
    </row>
    <row r="4645" spans="1:24" x14ac:dyDescent="0.2">
      <c r="A4645" s="9" t="s">
        <v>626</v>
      </c>
      <c r="B4645" s="9" t="s">
        <v>288</v>
      </c>
      <c r="C4645" s="3">
        <v>117000</v>
      </c>
      <c r="D4645" s="3" t="s">
        <v>786</v>
      </c>
      <c r="E4645" s="4"/>
      <c r="F4645" s="3" t="s">
        <v>121</v>
      </c>
      <c r="G4645" s="53">
        <v>15</v>
      </c>
      <c r="H4645" s="20">
        <v>15</v>
      </c>
      <c r="I4645" s="12"/>
      <c r="J4645" s="5" t="e">
        <f>SUM(SUMIFS(#REF!,#REF!,Planning[[#This Row],[Tipo de Tarea y especialidad]],#REF!,Planning[[#This Row],[Proyectos Reiwa]]),SUMIFS(#REF!,#REF!,Planning[[#This Row],[Tipo de Tarea y especialidad]],#REF!,Planning[[#This Row],[Proyectos]]))</f>
        <v>#REF!</v>
      </c>
      <c r="K4645" s="5" t="e">
        <f>+Planning[[#This Row],[Horas Planificadas]]+Planning[[#This Row],[Horas ajustadas adicionales]]-Planning[[#This Row],[Horas utilizadas]]</f>
        <v>#REF!</v>
      </c>
      <c r="L4645" s="9">
        <v>0</v>
      </c>
      <c r="M4645" s="19" t="e">
        <f>Planning[[#This Row],[Saldo]]-Planning[[#This Row],[Saldo estimado]]</f>
        <v>#REF!</v>
      </c>
      <c r="N4645" s="62" t="e">
        <f>+SUMIFS(#REF!,#REF!,Planning[[#This Row],[Proyectos]],#REF!,Planning[[#This Row],[Tipo de Tarea y especialidad]])</f>
        <v>#REF!</v>
      </c>
      <c r="O4645" s="34">
        <f t="shared" si="145"/>
        <v>10</v>
      </c>
      <c r="P4645" s="34">
        <f t="shared" si="146"/>
        <v>2024</v>
      </c>
      <c r="Q46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45" s="49" t="str">
        <f>TEXT(Planning[[#This Row],[Mes]]*29,"mmmm")</f>
        <v>October</v>
      </c>
      <c r="S464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45" s="222"/>
      <c r="U4645" s="43"/>
      <c r="V4645" s="43"/>
      <c r="W4645" s="44"/>
      <c r="X4645" s="142"/>
    </row>
    <row r="4646" spans="1:24" x14ac:dyDescent="0.2">
      <c r="A4646" s="9" t="s">
        <v>626</v>
      </c>
      <c r="B4646" s="9" t="s">
        <v>288</v>
      </c>
      <c r="C4646" s="3">
        <v>117000</v>
      </c>
      <c r="D4646" s="3" t="s">
        <v>786</v>
      </c>
      <c r="E4646" s="4" t="s">
        <v>30</v>
      </c>
      <c r="F4646" s="3"/>
      <c r="G4646" s="53"/>
      <c r="H4646" s="20">
        <f>SUM(H4647:H4653)</f>
        <v>90</v>
      </c>
      <c r="I4646" s="12"/>
      <c r="J4646" s="14" t="e">
        <f>SUM(J4647:J4653)</f>
        <v>#REF!</v>
      </c>
      <c r="K4646" s="5" t="e">
        <f>+Planning[[#This Row],[Horas Planificadas]]+Planning[[#This Row],[Horas ajustadas adicionales]]-Planning[[#This Row],[Horas utilizadas]]</f>
        <v>#REF!</v>
      </c>
      <c r="L4646" s="9">
        <v>0</v>
      </c>
      <c r="M4646" s="19" t="e">
        <f>SUM(M4647:M4653)</f>
        <v>#REF!</v>
      </c>
      <c r="N4646" s="62" t="e">
        <f>+SUMIFS(#REF!,#REF!,Planning[[#This Row],[Proyectos]],#REF!,Planning[[#This Row],[Tipo de Tarea y especialidad]])</f>
        <v>#REF!</v>
      </c>
      <c r="O4646" s="34">
        <f t="shared" si="145"/>
        <v>10</v>
      </c>
      <c r="P4646" s="34">
        <f t="shared" si="146"/>
        <v>2024</v>
      </c>
      <c r="Q4646" s="16" t="e">
        <f>SUM(Q4647:Q4653)</f>
        <v>#REF!</v>
      </c>
      <c r="R4646" s="50" t="str">
        <f>TEXT(Planning[[#This Row],[Mes]]*29,"mmmm")</f>
        <v>October</v>
      </c>
      <c r="S464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46" s="222"/>
      <c r="U4646" s="43"/>
      <c r="V4646" s="43"/>
      <c r="W4646" s="44"/>
      <c r="X4646" s="142"/>
    </row>
    <row r="4647" spans="1:24" x14ac:dyDescent="0.2">
      <c r="A4647" s="9" t="s">
        <v>626</v>
      </c>
      <c r="B4647" s="9" t="s">
        <v>288</v>
      </c>
      <c r="C4647" s="3">
        <v>117000</v>
      </c>
      <c r="D4647" s="3" t="s">
        <v>786</v>
      </c>
      <c r="E4647" s="4"/>
      <c r="F4647" s="3" t="s">
        <v>122</v>
      </c>
      <c r="G4647" s="53"/>
      <c r="H4647" s="20"/>
      <c r="I4647" s="12"/>
      <c r="J4647" s="5" t="e">
        <f>SUM(SUMIFS(#REF!,#REF!,Planning[[#This Row],[Tipo de Tarea y especialidad]],#REF!,Planning[[#This Row],[Proyectos Reiwa]]),SUMIFS(#REF!,#REF!,Planning[[#This Row],[Tipo de Tarea y especialidad]],#REF!,Planning[[#This Row],[Proyectos]]))</f>
        <v>#REF!</v>
      </c>
      <c r="K4647" s="5" t="e">
        <f>+Planning[[#This Row],[Horas Planificadas]]+Planning[[#This Row],[Horas ajustadas adicionales]]-Planning[[#This Row],[Horas utilizadas]]</f>
        <v>#REF!</v>
      </c>
      <c r="L4647" s="9"/>
      <c r="M4647" s="19" t="e">
        <f>Planning[[#This Row],[Saldo]]-Planning[[#This Row],[Saldo estimado]]</f>
        <v>#REF!</v>
      </c>
      <c r="N4647" s="62" t="e">
        <f>+SUMIFS(#REF!,#REF!,Planning[[#This Row],[Proyectos]],#REF!,Planning[[#This Row],[Tipo de Tarea y especialidad]])</f>
        <v>#REF!</v>
      </c>
      <c r="O4647" s="34">
        <f t="shared" si="145"/>
        <v>10</v>
      </c>
      <c r="P4647" s="34">
        <f t="shared" si="146"/>
        <v>2024</v>
      </c>
      <c r="Q46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47" s="49" t="str">
        <f>TEXT(Planning[[#This Row],[Mes]]*29,"mmmm")</f>
        <v>October</v>
      </c>
      <c r="S464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47" s="222"/>
      <c r="U4647" s="43"/>
      <c r="V4647" s="43"/>
      <c r="W4647" s="44"/>
      <c r="X4647" s="142"/>
    </row>
    <row r="4648" spans="1:24" x14ac:dyDescent="0.2">
      <c r="A4648" s="9" t="s">
        <v>626</v>
      </c>
      <c r="B4648" s="9" t="s">
        <v>288</v>
      </c>
      <c r="C4648" s="3">
        <v>117000</v>
      </c>
      <c r="D4648" s="3" t="s">
        <v>786</v>
      </c>
      <c r="E4648" s="4"/>
      <c r="F4648" s="3" t="s">
        <v>123</v>
      </c>
      <c r="G4648" s="53"/>
      <c r="H4648" s="20"/>
      <c r="I4648" s="12"/>
      <c r="J4648" s="5" t="e">
        <f>SUM(SUMIFS(#REF!,#REF!,Planning[[#This Row],[Tipo de Tarea y especialidad]],#REF!,Planning[[#This Row],[Proyectos Reiwa]]),SUMIFS(#REF!,#REF!,Planning[[#This Row],[Tipo de Tarea y especialidad]],#REF!,Planning[[#This Row],[Proyectos]]))</f>
        <v>#REF!</v>
      </c>
      <c r="K4648" s="5" t="e">
        <f>+Planning[[#This Row],[Horas Planificadas]]+Planning[[#This Row],[Horas ajustadas adicionales]]-Planning[[#This Row],[Horas utilizadas]]</f>
        <v>#REF!</v>
      </c>
      <c r="L4648" s="9"/>
      <c r="M4648" s="19" t="e">
        <f>Planning[[#This Row],[Saldo]]-Planning[[#This Row],[Saldo estimado]]</f>
        <v>#REF!</v>
      </c>
      <c r="N4648" s="62" t="e">
        <f>+SUMIFS(#REF!,#REF!,Planning[[#This Row],[Proyectos]],#REF!,Planning[[#This Row],[Tipo de Tarea y especialidad]])</f>
        <v>#REF!</v>
      </c>
      <c r="O4648" s="34">
        <f t="shared" si="145"/>
        <v>10</v>
      </c>
      <c r="P4648" s="34">
        <f t="shared" si="146"/>
        <v>2024</v>
      </c>
      <c r="Q46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48" s="49" t="str">
        <f>TEXT(Planning[[#This Row],[Mes]]*29,"mmmm")</f>
        <v>October</v>
      </c>
      <c r="S464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48" s="222"/>
      <c r="U4648" s="43"/>
      <c r="V4648" s="43"/>
      <c r="W4648" s="44"/>
      <c r="X4648" s="142"/>
    </row>
    <row r="4649" spans="1:24" x14ac:dyDescent="0.2">
      <c r="A4649" s="9" t="s">
        <v>626</v>
      </c>
      <c r="B4649" s="9" t="s">
        <v>288</v>
      </c>
      <c r="C4649" s="3">
        <v>117000</v>
      </c>
      <c r="D4649" s="3" t="s">
        <v>786</v>
      </c>
      <c r="E4649" s="4"/>
      <c r="F4649" s="3" t="s">
        <v>124</v>
      </c>
      <c r="G4649" s="53">
        <v>40</v>
      </c>
      <c r="H4649" s="20">
        <v>40</v>
      </c>
      <c r="I4649" s="12"/>
      <c r="J4649" s="5" t="e">
        <f>SUM(SUMIFS(#REF!,#REF!,Planning[[#This Row],[Tipo de Tarea y especialidad]],#REF!,Planning[[#This Row],[Proyectos Reiwa]]),SUMIFS(#REF!,#REF!,Planning[[#This Row],[Tipo de Tarea y especialidad]],#REF!,Planning[[#This Row],[Proyectos]]))</f>
        <v>#REF!</v>
      </c>
      <c r="K4649" s="5" t="e">
        <f>+Planning[[#This Row],[Horas Planificadas]]+Planning[[#This Row],[Horas ajustadas adicionales]]-Planning[[#This Row],[Horas utilizadas]]</f>
        <v>#REF!</v>
      </c>
      <c r="L4649" s="9">
        <v>0</v>
      </c>
      <c r="M4649" s="19" t="e">
        <f>Planning[[#This Row],[Saldo]]-Planning[[#This Row],[Saldo estimado]]</f>
        <v>#REF!</v>
      </c>
      <c r="N4649" s="62" t="e">
        <f>+SUMIFS(#REF!,#REF!,Planning[[#This Row],[Proyectos]],#REF!,Planning[[#This Row],[Tipo de Tarea y especialidad]])</f>
        <v>#REF!</v>
      </c>
      <c r="O4649" s="34">
        <f t="shared" si="145"/>
        <v>10</v>
      </c>
      <c r="P4649" s="34">
        <f t="shared" si="146"/>
        <v>2024</v>
      </c>
      <c r="Q46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49" s="49" t="str">
        <f>TEXT(Planning[[#This Row],[Mes]]*29,"mmmm")</f>
        <v>October</v>
      </c>
      <c r="S464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49" s="222"/>
      <c r="U4649" s="43"/>
      <c r="V4649" s="43"/>
      <c r="W4649" s="44"/>
      <c r="X4649" s="142"/>
    </row>
    <row r="4650" spans="1:24" x14ac:dyDescent="0.2">
      <c r="A4650" s="9" t="s">
        <v>626</v>
      </c>
      <c r="B4650" s="9" t="s">
        <v>288</v>
      </c>
      <c r="C4650" s="3">
        <v>117000</v>
      </c>
      <c r="D4650" s="3" t="s">
        <v>786</v>
      </c>
      <c r="E4650" s="4"/>
      <c r="F4650" s="3" t="s">
        <v>125</v>
      </c>
      <c r="G4650" s="53"/>
      <c r="H4650" s="20"/>
      <c r="I4650" s="12"/>
      <c r="J4650" s="5" t="e">
        <f>SUM(SUMIFS(#REF!,#REF!,Planning[[#This Row],[Tipo de Tarea y especialidad]],#REF!,Planning[[#This Row],[Proyectos Reiwa]]),SUMIFS(#REF!,#REF!,Planning[[#This Row],[Tipo de Tarea y especialidad]],#REF!,Planning[[#This Row],[Proyectos]]))</f>
        <v>#REF!</v>
      </c>
      <c r="K4650" s="5" t="e">
        <f>+Planning[[#This Row],[Horas Planificadas]]+Planning[[#This Row],[Horas ajustadas adicionales]]-Planning[[#This Row],[Horas utilizadas]]</f>
        <v>#REF!</v>
      </c>
      <c r="L4650" s="9"/>
      <c r="M4650" s="19" t="e">
        <f>Planning[[#This Row],[Saldo]]-Planning[[#This Row],[Saldo estimado]]</f>
        <v>#REF!</v>
      </c>
      <c r="N4650" s="62" t="e">
        <f>+SUMIFS(#REF!,#REF!,Planning[[#This Row],[Proyectos]],#REF!,Planning[[#This Row],[Tipo de Tarea y especialidad]])</f>
        <v>#REF!</v>
      </c>
      <c r="O4650" s="34">
        <f t="shared" si="145"/>
        <v>10</v>
      </c>
      <c r="P4650" s="34">
        <f t="shared" si="146"/>
        <v>2024</v>
      </c>
      <c r="Q46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50" s="49" t="str">
        <f>TEXT(Planning[[#This Row],[Mes]]*29,"mmmm")</f>
        <v>October</v>
      </c>
      <c r="S465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50" s="222"/>
      <c r="U4650" s="43"/>
      <c r="V4650" s="43"/>
      <c r="W4650" s="44"/>
      <c r="X4650" s="142"/>
    </row>
    <row r="4651" spans="1:24" x14ac:dyDescent="0.2">
      <c r="A4651" s="9" t="s">
        <v>626</v>
      </c>
      <c r="B4651" s="9" t="s">
        <v>288</v>
      </c>
      <c r="C4651" s="3">
        <v>117000</v>
      </c>
      <c r="D4651" s="3" t="s">
        <v>786</v>
      </c>
      <c r="E4651" s="4"/>
      <c r="F4651" s="3" t="s">
        <v>126</v>
      </c>
      <c r="G4651" s="53"/>
      <c r="H4651" s="20"/>
      <c r="I4651" s="12"/>
      <c r="J4651" s="5" t="e">
        <f>SUM(SUMIFS(#REF!,#REF!,Planning[[#This Row],[Tipo de Tarea y especialidad]],#REF!,Planning[[#This Row],[Proyectos Reiwa]]),SUMIFS(#REF!,#REF!,Planning[[#This Row],[Tipo de Tarea y especialidad]],#REF!,Planning[[#This Row],[Proyectos]]))</f>
        <v>#REF!</v>
      </c>
      <c r="K4651" s="5" t="e">
        <f>+Planning[[#This Row],[Horas Planificadas]]+Planning[[#This Row],[Horas ajustadas adicionales]]-Planning[[#This Row],[Horas utilizadas]]</f>
        <v>#REF!</v>
      </c>
      <c r="L4651" s="9"/>
      <c r="M4651" s="19" t="e">
        <f>Planning[[#This Row],[Saldo]]-Planning[[#This Row],[Saldo estimado]]</f>
        <v>#REF!</v>
      </c>
      <c r="N4651" s="62" t="e">
        <f>+SUMIFS(#REF!,#REF!,Planning[[#This Row],[Proyectos]],#REF!,Planning[[#This Row],[Tipo de Tarea y especialidad]])</f>
        <v>#REF!</v>
      </c>
      <c r="O4651" s="34">
        <f t="shared" si="145"/>
        <v>10</v>
      </c>
      <c r="P4651" s="34">
        <f t="shared" si="146"/>
        <v>2024</v>
      </c>
      <c r="Q46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51" s="49" t="str">
        <f>TEXT(Planning[[#This Row],[Mes]]*29,"mmmm")</f>
        <v>October</v>
      </c>
      <c r="S465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51" s="222"/>
      <c r="U4651" s="43"/>
      <c r="V4651" s="43"/>
      <c r="W4651" s="44"/>
      <c r="X4651" s="142"/>
    </row>
    <row r="4652" spans="1:24" x14ac:dyDescent="0.2">
      <c r="A4652" s="9" t="s">
        <v>626</v>
      </c>
      <c r="B4652" s="9" t="s">
        <v>288</v>
      </c>
      <c r="C4652" s="3">
        <v>117000</v>
      </c>
      <c r="D4652" s="3" t="s">
        <v>786</v>
      </c>
      <c r="E4652" s="4"/>
      <c r="F4652" s="3" t="s">
        <v>127</v>
      </c>
      <c r="G4652" s="53"/>
      <c r="H4652" s="20"/>
      <c r="I4652" s="12"/>
      <c r="J4652" s="5" t="e">
        <f>SUM(SUMIFS(#REF!,#REF!,Planning[[#This Row],[Tipo de Tarea y especialidad]],#REF!,Planning[[#This Row],[Proyectos Reiwa]]),SUMIFS(#REF!,#REF!,Planning[[#This Row],[Tipo de Tarea y especialidad]],#REF!,Planning[[#This Row],[Proyectos]]))</f>
        <v>#REF!</v>
      </c>
      <c r="K4652" s="5" t="e">
        <f>+Planning[[#This Row],[Horas Planificadas]]+Planning[[#This Row],[Horas ajustadas adicionales]]-Planning[[#This Row],[Horas utilizadas]]</f>
        <v>#REF!</v>
      </c>
      <c r="L4652" s="9"/>
      <c r="M4652" s="19" t="e">
        <f>Planning[[#This Row],[Saldo]]-Planning[[#This Row],[Saldo estimado]]</f>
        <v>#REF!</v>
      </c>
      <c r="N4652" s="62" t="e">
        <f>+SUMIFS(#REF!,#REF!,Planning[[#This Row],[Proyectos]],#REF!,Planning[[#This Row],[Tipo de Tarea y especialidad]])</f>
        <v>#REF!</v>
      </c>
      <c r="O4652" s="34">
        <f t="shared" si="145"/>
        <v>10</v>
      </c>
      <c r="P4652" s="34">
        <f t="shared" si="146"/>
        <v>2024</v>
      </c>
      <c r="Q46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52" s="49" t="str">
        <f>TEXT(Planning[[#This Row],[Mes]]*29,"mmmm")</f>
        <v>October</v>
      </c>
      <c r="S465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52" s="222"/>
      <c r="U4652" s="43"/>
      <c r="V4652" s="43"/>
      <c r="W4652" s="44"/>
      <c r="X4652" s="142"/>
    </row>
    <row r="4653" spans="1:24" x14ac:dyDescent="0.2">
      <c r="A4653" s="9" t="s">
        <v>626</v>
      </c>
      <c r="B4653" s="9" t="s">
        <v>288</v>
      </c>
      <c r="C4653" s="3">
        <v>117000</v>
      </c>
      <c r="D4653" s="3" t="s">
        <v>786</v>
      </c>
      <c r="E4653" s="4"/>
      <c r="F4653" s="3" t="s">
        <v>128</v>
      </c>
      <c r="G4653" s="53">
        <v>50</v>
      </c>
      <c r="H4653" s="20">
        <v>50</v>
      </c>
      <c r="I4653" s="12"/>
      <c r="J4653" s="5" t="e">
        <f>SUM(SUMIFS(#REF!,#REF!,Planning[[#This Row],[Tipo de Tarea y especialidad]],#REF!,Planning[[#This Row],[Proyectos Reiwa]]),SUMIFS(#REF!,#REF!,Planning[[#This Row],[Tipo de Tarea y especialidad]],#REF!,Planning[[#This Row],[Proyectos]]))</f>
        <v>#REF!</v>
      </c>
      <c r="K4653" s="5" t="e">
        <f>+Planning[[#This Row],[Horas Planificadas]]+Planning[[#This Row],[Horas ajustadas adicionales]]-Planning[[#This Row],[Horas utilizadas]]</f>
        <v>#REF!</v>
      </c>
      <c r="L4653" s="9">
        <v>0</v>
      </c>
      <c r="M4653" s="19" t="e">
        <f>Planning[[#This Row],[Saldo]]-Planning[[#This Row],[Saldo estimado]]</f>
        <v>#REF!</v>
      </c>
      <c r="N4653" s="62" t="e">
        <f>+SUMIFS(#REF!,#REF!,Planning[[#This Row],[Proyectos]],#REF!,Planning[[#This Row],[Tipo de Tarea y especialidad]])</f>
        <v>#REF!</v>
      </c>
      <c r="O4653" s="34">
        <f t="shared" si="145"/>
        <v>10</v>
      </c>
      <c r="P4653" s="34">
        <f t="shared" si="146"/>
        <v>2024</v>
      </c>
      <c r="Q46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53" s="49" t="str">
        <f>TEXT(Planning[[#This Row],[Mes]]*29,"mmmm")</f>
        <v>October</v>
      </c>
      <c r="S465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53" s="222"/>
      <c r="U4653" s="43"/>
      <c r="V4653" s="43"/>
      <c r="W4653" s="44"/>
      <c r="X4653" s="142"/>
    </row>
    <row r="4654" spans="1:24" x14ac:dyDescent="0.2">
      <c r="A4654" s="9" t="s">
        <v>626</v>
      </c>
      <c r="B4654" s="9" t="s">
        <v>288</v>
      </c>
      <c r="C4654" s="3">
        <v>117000</v>
      </c>
      <c r="D4654" s="3" t="s">
        <v>786</v>
      </c>
      <c r="E4654" s="4" t="s">
        <v>31</v>
      </c>
      <c r="F4654" s="3" t="s">
        <v>31</v>
      </c>
      <c r="G4654" s="53">
        <v>60</v>
      </c>
      <c r="H4654" s="20">
        <v>60</v>
      </c>
      <c r="I4654" s="12"/>
      <c r="J4654" s="14" t="e">
        <f>+SUMIFS(#REF!,#REF!,Planning[[#This Row],[Tarifa]],#REF!,Planning[[#This Row],[Proyectos]])</f>
        <v>#REF!</v>
      </c>
      <c r="K4654" s="5" t="e">
        <f>+Planning[[#This Row],[Horas Planificadas]]+Planning[[#This Row],[Horas ajustadas adicionales]]-Planning[[#This Row],[Horas utilizadas]]</f>
        <v>#REF!</v>
      </c>
      <c r="L4654" s="9" t="e">
        <f>Planning[[#This Row],[Saldo]]</f>
        <v>#REF!</v>
      </c>
      <c r="M4654" s="19" t="e">
        <f>Planning[[#This Row],[Saldo]]-Planning[[#This Row],[Saldo estimado]]</f>
        <v>#REF!</v>
      </c>
      <c r="N4654" s="62" t="e">
        <f>+SUMIFS(#REF!,#REF!,Planning[[#This Row],[Proyectos]],#REF!,Planning[[#This Row],[Tipo de Tarea y especialidad]])</f>
        <v>#REF!</v>
      </c>
      <c r="O4654" s="34">
        <f t="shared" si="145"/>
        <v>10</v>
      </c>
      <c r="P4654" s="34">
        <f t="shared" si="146"/>
        <v>2024</v>
      </c>
      <c r="Q4654" s="16" t="e">
        <f>+SUMIFS(#REF!,#REF!,Planning[[#This Row],[Tarifa]],#REF!,Planning[[#This Row],[Proyectos]],#REF!,Planning[[#This Row],[Mes]],#REF!,Planning[[#This Row],[Año]])</f>
        <v>#REF!</v>
      </c>
      <c r="R4654" s="50" t="str">
        <f>TEXT(Planning[[#This Row],[Mes]]*29,"mmmm")</f>
        <v>October</v>
      </c>
      <c r="S465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54" s="222"/>
      <c r="U4654" s="43"/>
      <c r="V4654" s="43"/>
      <c r="W4654" s="44"/>
      <c r="X4654" s="142"/>
    </row>
    <row r="4655" spans="1:24" ht="22.5" x14ac:dyDescent="0.2">
      <c r="A4655" s="9" t="s">
        <v>626</v>
      </c>
      <c r="B4655" s="9" t="s">
        <v>288</v>
      </c>
      <c r="C4655" s="3">
        <v>117000</v>
      </c>
      <c r="D4655" s="3" t="s">
        <v>786</v>
      </c>
      <c r="E4655" s="4" t="s">
        <v>32</v>
      </c>
      <c r="F4655" s="3"/>
      <c r="G4655" s="53"/>
      <c r="H4655" s="20">
        <f>SUM(H4656:H4658)</f>
        <v>105</v>
      </c>
      <c r="I4655" s="12"/>
      <c r="J4655" s="14" t="e">
        <f>SUM(J4656:J4658)</f>
        <v>#REF!</v>
      </c>
      <c r="K4655" s="5" t="e">
        <f>+Planning[[#This Row],[Horas Planificadas]]+Planning[[#This Row],[Horas ajustadas adicionales]]-Planning[[#This Row],[Horas utilizadas]]</f>
        <v>#REF!</v>
      </c>
      <c r="L4655" s="9">
        <f>SUM(L4656:L4658)</f>
        <v>105</v>
      </c>
      <c r="M4655" s="19" t="e">
        <f>SUM(M4656:M4658)</f>
        <v>#REF!</v>
      </c>
      <c r="N4655" s="62" t="e">
        <f>+SUMIFS(#REF!,#REF!,Planning[[#This Row],[Proyectos]],#REF!,Planning[[#This Row],[Tipo de Tarea y especialidad]])</f>
        <v>#REF!</v>
      </c>
      <c r="O4655" s="34">
        <f t="shared" si="145"/>
        <v>10</v>
      </c>
      <c r="P4655" s="34">
        <f t="shared" si="146"/>
        <v>2024</v>
      </c>
      <c r="Q4655" s="16" t="e">
        <f>SUM(Q4656:Q4658)</f>
        <v>#REF!</v>
      </c>
      <c r="R4655" s="50" t="str">
        <f>TEXT(Planning[[#This Row],[Mes]]*29,"mmmm")</f>
        <v>October</v>
      </c>
      <c r="S465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55" s="222"/>
      <c r="U4655" s="43"/>
      <c r="V4655" s="43"/>
      <c r="W4655" s="44"/>
      <c r="X4655" s="142"/>
    </row>
    <row r="4656" spans="1:24" x14ac:dyDescent="0.2">
      <c r="A4656" s="9" t="s">
        <v>626</v>
      </c>
      <c r="B4656" s="9" t="s">
        <v>288</v>
      </c>
      <c r="C4656" s="3">
        <v>117000</v>
      </c>
      <c r="D4656" s="3" t="s">
        <v>786</v>
      </c>
      <c r="E4656" s="4"/>
      <c r="F4656" s="3" t="s">
        <v>129</v>
      </c>
      <c r="G4656" s="53"/>
      <c r="H4656" s="20"/>
      <c r="I4656" s="12"/>
      <c r="J4656" s="5" t="e">
        <f>SUM(SUMIFS(#REF!,#REF!,Planning[[#This Row],[Tipo de Tarea y especialidad]],#REF!,Planning[[#This Row],[Proyectos Reiwa]]),SUMIFS(#REF!,#REF!,Planning[[#This Row],[Tipo de Tarea y especialidad]],#REF!,Planning[[#This Row],[Proyectos]]))</f>
        <v>#REF!</v>
      </c>
      <c r="K4656" s="5" t="e">
        <f>+Planning[[#This Row],[Horas Planificadas]]+Planning[[#This Row],[Horas ajustadas adicionales]]-Planning[[#This Row],[Horas utilizadas]]</f>
        <v>#REF!</v>
      </c>
      <c r="L4656" s="9"/>
      <c r="M4656" s="19" t="e">
        <f>Planning[[#This Row],[Saldo]]-Planning[[#This Row],[Saldo estimado]]</f>
        <v>#REF!</v>
      </c>
      <c r="N4656" s="62" t="e">
        <f>+SUMIFS(#REF!,#REF!,Planning[[#This Row],[Proyectos]],#REF!,Planning[[#This Row],[Tipo de Tarea y especialidad]])</f>
        <v>#REF!</v>
      </c>
      <c r="O4656" s="34">
        <f t="shared" si="145"/>
        <v>10</v>
      </c>
      <c r="P4656" s="34">
        <f t="shared" si="146"/>
        <v>2024</v>
      </c>
      <c r="Q46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56" s="49" t="str">
        <f>TEXT(Planning[[#This Row],[Mes]]*29,"mmmm")</f>
        <v>October</v>
      </c>
      <c r="S465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56" s="222"/>
      <c r="U4656" s="43"/>
      <c r="V4656" s="43"/>
      <c r="W4656" s="44"/>
      <c r="X4656" s="142"/>
    </row>
    <row r="4657" spans="1:24" x14ac:dyDescent="0.2">
      <c r="A4657" s="9" t="s">
        <v>626</v>
      </c>
      <c r="B4657" s="9" t="s">
        <v>288</v>
      </c>
      <c r="C4657" s="3">
        <v>117000</v>
      </c>
      <c r="D4657" s="3" t="s">
        <v>786</v>
      </c>
      <c r="E4657" s="4"/>
      <c r="F4657" s="3" t="s">
        <v>130</v>
      </c>
      <c r="G4657" s="53"/>
      <c r="H4657" s="20"/>
      <c r="I4657" s="12"/>
      <c r="J4657" s="5" t="e">
        <f>SUM(SUMIFS(#REF!,#REF!,Planning[[#This Row],[Tipo de Tarea y especialidad]],#REF!,Planning[[#This Row],[Proyectos Reiwa]]),SUMIFS(#REF!,#REF!,Planning[[#This Row],[Tipo de Tarea y especialidad]],#REF!,Planning[[#This Row],[Proyectos]]))</f>
        <v>#REF!</v>
      </c>
      <c r="K4657" s="5" t="e">
        <f>+Planning[[#This Row],[Horas Planificadas]]+Planning[[#This Row],[Horas ajustadas adicionales]]-Planning[[#This Row],[Horas utilizadas]]</f>
        <v>#REF!</v>
      </c>
      <c r="L4657" s="9"/>
      <c r="M4657" s="19" t="e">
        <f>Planning[[#This Row],[Saldo]]-Planning[[#This Row],[Saldo estimado]]</f>
        <v>#REF!</v>
      </c>
      <c r="N4657" s="62" t="e">
        <f>+SUMIFS(#REF!,#REF!,Planning[[#This Row],[Proyectos]],#REF!,Planning[[#This Row],[Tipo de Tarea y especialidad]])</f>
        <v>#REF!</v>
      </c>
      <c r="O4657" s="34">
        <f t="shared" si="145"/>
        <v>10</v>
      </c>
      <c r="P4657" s="34">
        <f t="shared" si="146"/>
        <v>2024</v>
      </c>
      <c r="Q46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57" s="49" t="str">
        <f>TEXT(Planning[[#This Row],[Mes]]*29,"mmmm")</f>
        <v>October</v>
      </c>
      <c r="S465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57" s="222"/>
      <c r="U4657" s="43"/>
      <c r="V4657" s="43"/>
      <c r="W4657" s="44"/>
      <c r="X4657" s="142"/>
    </row>
    <row r="4658" spans="1:24" x14ac:dyDescent="0.2">
      <c r="A4658" s="9" t="s">
        <v>626</v>
      </c>
      <c r="B4658" s="9" t="s">
        <v>288</v>
      </c>
      <c r="C4658" s="3">
        <v>117000</v>
      </c>
      <c r="D4658" s="3" t="s">
        <v>786</v>
      </c>
      <c r="E4658" s="4"/>
      <c r="F4658" s="3" t="s">
        <v>131</v>
      </c>
      <c r="G4658" s="53">
        <v>105</v>
      </c>
      <c r="H4658" s="20">
        <v>105</v>
      </c>
      <c r="I4658" s="12"/>
      <c r="J4658" s="5" t="e">
        <f>SUM(SUMIFS(#REF!,#REF!,Planning[[#This Row],[Tipo de Tarea y especialidad]],#REF!,Planning[[#This Row],[Proyectos Reiwa]]),SUMIFS(#REF!,#REF!,Planning[[#This Row],[Tipo de Tarea y especialidad]],#REF!,Planning[[#This Row],[Proyectos]]))</f>
        <v>#REF!</v>
      </c>
      <c r="K4658" s="5" t="e">
        <f>+Planning[[#This Row],[Horas Planificadas]]+Planning[[#This Row],[Horas ajustadas adicionales]]-Planning[[#This Row],[Horas utilizadas]]</f>
        <v>#REF!</v>
      </c>
      <c r="L4658" s="9">
        <v>105</v>
      </c>
      <c r="M4658" s="19" t="e">
        <f>Planning[[#This Row],[Saldo]]-Planning[[#This Row],[Saldo estimado]]</f>
        <v>#REF!</v>
      </c>
      <c r="N4658" s="62" t="e">
        <f>+SUMIFS(#REF!,#REF!,Planning[[#This Row],[Proyectos]],#REF!,Planning[[#This Row],[Tipo de Tarea y especialidad]])</f>
        <v>#REF!</v>
      </c>
      <c r="O4658" s="34">
        <f t="shared" si="145"/>
        <v>10</v>
      </c>
      <c r="P4658" s="34">
        <f t="shared" si="146"/>
        <v>2024</v>
      </c>
      <c r="Q46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58" s="51" t="str">
        <f>TEXT(Planning[[#This Row],[Mes]]*29,"mmmm")</f>
        <v>October</v>
      </c>
      <c r="S4658"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58" s="223"/>
      <c r="U4658" s="43"/>
      <c r="V4658" s="43"/>
      <c r="W4658" s="44"/>
      <c r="X4658" s="142"/>
    </row>
    <row r="4659" spans="1:24" ht="12.75" customHeight="1" x14ac:dyDescent="0.2">
      <c r="A4659" s="9" t="s">
        <v>168</v>
      </c>
      <c r="B4659" s="9" t="s">
        <v>220</v>
      </c>
      <c r="C4659" s="3">
        <v>117002</v>
      </c>
      <c r="D4659" s="3" t="s">
        <v>788</v>
      </c>
      <c r="E4659" s="4" t="s">
        <v>28</v>
      </c>
      <c r="F4659" s="3"/>
      <c r="G4659" s="20">
        <f>SUM(G4660:G4673)</f>
        <v>36970</v>
      </c>
      <c r="H4659" s="20">
        <f>SUM(H4660:H4661)</f>
        <v>21841</v>
      </c>
      <c r="I4659" s="18"/>
      <c r="J4659" s="14" t="e">
        <f>SUM(J4660:J4661)</f>
        <v>#REF!</v>
      </c>
      <c r="K4659" s="18" t="e">
        <f>+Planning[[#This Row],[Horas Planificadas]]+Planning[[#This Row],[Horas ajustadas adicionales]]-Planning[[#This Row],[Horas utilizadas]]</f>
        <v>#REF!</v>
      </c>
      <c r="L4659" s="18">
        <f>SUM(L4660:L4661)</f>
        <v>6427.25</v>
      </c>
      <c r="M4659" s="15" t="e">
        <f>SUM(M4660:M4661)</f>
        <v>#REF!</v>
      </c>
      <c r="N4659" s="62" t="e">
        <f>+SUMIFS(#REF!,#REF!,Planning[[#This Row],[Proyectos]],#REF!,Planning[[#This Row],[Tipo de Tarea y especialidad]])</f>
        <v>#REF!</v>
      </c>
      <c r="O4659" s="34">
        <f t="shared" ref="O4659:O4722" si="147">$L$4</f>
        <v>10</v>
      </c>
      <c r="P4659" s="34">
        <f t="shared" ref="P4659:P4722" si="148">$M$4</f>
        <v>2024</v>
      </c>
      <c r="Q4659" s="28" t="e">
        <f>SUM(Q4660:Q4661)</f>
        <v>#REF!</v>
      </c>
      <c r="R4659" s="28" t="str">
        <f>TEXT(Planning[[#This Row],[Mes]]*29,"mmmm")</f>
        <v>October</v>
      </c>
      <c r="S46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59" s="209" t="s">
        <v>789</v>
      </c>
      <c r="U4659" s="43" t="e">
        <f>IF(Planning[[#This Row],[Horas Planificadas]]&lt;&gt;0,+K4659/Planning[[#This Row],[Horas Planificadas]],0)</f>
        <v>#REF!</v>
      </c>
      <c r="V4659" s="43" t="e">
        <f>IF(Planning[[#This Row],[Horas Planificadas]]&lt;&gt;0,Planning[[#This Row],[Horas utilizadas]]/Planning[[#This Row],[Horas Planificadas]],0)</f>
        <v>#REF!</v>
      </c>
      <c r="W4659" s="44">
        <f>Planning[[#This Row],[Horas Planificadas]]+Planning[[#This Row],[Horas ajustadas adicionales]]</f>
        <v>21841</v>
      </c>
      <c r="X4659" s="142" t="s">
        <v>790</v>
      </c>
    </row>
    <row r="4660" spans="1:24" x14ac:dyDescent="0.2">
      <c r="A4660" s="9" t="s">
        <v>168</v>
      </c>
      <c r="B4660" s="9" t="s">
        <v>220</v>
      </c>
      <c r="C4660" s="3">
        <v>117002</v>
      </c>
      <c r="D4660" s="3" t="s">
        <v>788</v>
      </c>
      <c r="E4660" s="4"/>
      <c r="F4660" s="3" t="s">
        <v>120</v>
      </c>
      <c r="G4660" s="55">
        <v>14378</v>
      </c>
      <c r="H4660" s="20">
        <v>14978</v>
      </c>
      <c r="I4660" s="74">
        <f>200+389+2131</f>
        <v>2720</v>
      </c>
      <c r="J4660" s="5" t="e">
        <f>SUM(SUMIFS(#REF!,#REF!,Planning[[#This Row],[Tipo de Tarea y especialidad]],#REF!,Planning[[#This Row],[Proyectos Reiwa]]),SUMIFS(#REF!,#REF!,Planning[[#This Row],[Tipo de Tarea y especialidad]],#REF!,Planning[[#This Row],[Proyectos]]))</f>
        <v>#REF!</v>
      </c>
      <c r="K4660" s="5" t="e">
        <f>+Planning[[#This Row],[Horas Planificadas]]+Planning[[#This Row],[Horas ajustadas adicionales]]-Planning[[#This Row],[Horas utilizadas]]</f>
        <v>#REF!</v>
      </c>
      <c r="L4660" s="9">
        <v>3997.75</v>
      </c>
      <c r="M4660" s="19" t="e">
        <f>Planning[[#This Row],[Saldo]]-Planning[[#This Row],[Saldo estimado]]</f>
        <v>#REF!</v>
      </c>
      <c r="N4660" s="62" t="e">
        <f>+SUMIFS(#REF!,#REF!,Planning[[#This Row],[Proyectos]],#REF!,Planning[[#This Row],[Tipo de Tarea y especialidad]])</f>
        <v>#REF!</v>
      </c>
      <c r="O4660" s="34">
        <f t="shared" si="147"/>
        <v>10</v>
      </c>
      <c r="P4660" s="34">
        <f t="shared" si="148"/>
        <v>2024</v>
      </c>
      <c r="Q46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60" s="19" t="str">
        <f>TEXT(Planning[[#This Row],[Mes]]*29,"mmmm")</f>
        <v>October</v>
      </c>
      <c r="S46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60" s="210"/>
      <c r="U4660" s="43" t="e">
        <f>IF(Planning[[#This Row],[Horas Planificadas]]&lt;&gt;0,+K4660/Planning[[#This Row],[Horas Planificadas]],0)</f>
        <v>#REF!</v>
      </c>
      <c r="V4660" s="43" t="e">
        <f>IF(Planning[[#This Row],[Horas Planificadas]]&lt;&gt;0,Planning[[#This Row],[Horas utilizadas]]/Planning[[#This Row],[Horas Planificadas]],0)</f>
        <v>#REF!</v>
      </c>
      <c r="W4660" s="44">
        <f>Planning[[#This Row],[Horas Planificadas]]+Planning[[#This Row],[Horas ajustadas adicionales]]</f>
        <v>17698</v>
      </c>
      <c r="X4660" s="142" t="s">
        <v>791</v>
      </c>
    </row>
    <row r="4661" spans="1:24" x14ac:dyDescent="0.2">
      <c r="A4661" s="9" t="s">
        <v>168</v>
      </c>
      <c r="B4661" s="9" t="s">
        <v>220</v>
      </c>
      <c r="C4661" s="3">
        <v>117002</v>
      </c>
      <c r="D4661" s="3" t="s">
        <v>788</v>
      </c>
      <c r="E4661" s="4"/>
      <c r="F4661" s="3" t="s">
        <v>121</v>
      </c>
      <c r="G4661" s="53">
        <v>6424</v>
      </c>
      <c r="H4661" s="20">
        <v>6863</v>
      </c>
      <c r="I4661" s="74">
        <f>36+1254</f>
        <v>1290</v>
      </c>
      <c r="J4661" s="5" t="e">
        <f>SUM(SUMIFS(#REF!,#REF!,Planning[[#This Row],[Tipo de Tarea y especialidad]],#REF!,Planning[[#This Row],[Proyectos Reiwa]]),SUMIFS(#REF!,#REF!,Planning[[#This Row],[Tipo de Tarea y especialidad]],#REF!,Planning[[#This Row],[Proyectos]]))</f>
        <v>#REF!</v>
      </c>
      <c r="K4661" s="5" t="e">
        <f>+Planning[[#This Row],[Horas Planificadas]]+Planning[[#This Row],[Horas ajustadas adicionales]]-Planning[[#This Row],[Horas utilizadas]]</f>
        <v>#REF!</v>
      </c>
      <c r="L4661" s="9">
        <v>2429.5</v>
      </c>
      <c r="M4661" s="19" t="e">
        <f>Planning[[#This Row],[Saldo]]-Planning[[#This Row],[Saldo estimado]]</f>
        <v>#REF!</v>
      </c>
      <c r="N4661" s="62" t="e">
        <f>+SUMIFS(#REF!,#REF!,Planning[[#This Row],[Proyectos]],#REF!,Planning[[#This Row],[Tipo de Tarea y especialidad]])</f>
        <v>#REF!</v>
      </c>
      <c r="O4661" s="34">
        <f t="shared" si="147"/>
        <v>10</v>
      </c>
      <c r="P4661" s="34">
        <f t="shared" si="148"/>
        <v>2024</v>
      </c>
      <c r="Q46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61" s="19" t="str">
        <f>TEXT(Planning[[#This Row],[Mes]]*29,"mmmm")</f>
        <v>October</v>
      </c>
      <c r="S46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61" s="210"/>
      <c r="U4661" s="43" t="e">
        <f>IF(Planning[[#This Row],[Horas Planificadas]]&lt;&gt;0,+K4661/Planning[[#This Row],[Horas Planificadas]],0)</f>
        <v>#REF!</v>
      </c>
      <c r="V4661" s="43" t="e">
        <f>IF(Planning[[#This Row],[Horas Planificadas]]&lt;&gt;0,Planning[[#This Row],[Horas utilizadas]]/Planning[[#This Row],[Horas Planificadas]],0)</f>
        <v>#REF!</v>
      </c>
      <c r="W4661" s="44">
        <f>Planning[[#This Row],[Horas Planificadas]]+Planning[[#This Row],[Horas ajustadas adicionales]]</f>
        <v>8153</v>
      </c>
      <c r="X4661" s="142" t="s">
        <v>792</v>
      </c>
    </row>
    <row r="4662" spans="1:24" x14ac:dyDescent="0.2">
      <c r="A4662" s="9" t="s">
        <v>168</v>
      </c>
      <c r="B4662" s="9" t="s">
        <v>220</v>
      </c>
      <c r="C4662" s="3">
        <v>117002</v>
      </c>
      <c r="D4662" s="3" t="s">
        <v>788</v>
      </c>
      <c r="E4662" s="4" t="s">
        <v>30</v>
      </c>
      <c r="F4662" s="3"/>
      <c r="G4662" s="53"/>
      <c r="H4662" s="20">
        <f>SUM(H4663:H4669)</f>
        <v>9470</v>
      </c>
      <c r="I4662" s="18"/>
      <c r="J4662" s="14" t="e">
        <f>SUM(J4663:J4669)</f>
        <v>#REF!</v>
      </c>
      <c r="K4662" s="18" t="e">
        <f>+Planning[[#This Row],[Horas Planificadas]]+Planning[[#This Row],[Horas ajustadas adicionales]]-Planning[[#This Row],[Horas utilizadas]]</f>
        <v>#REF!</v>
      </c>
      <c r="L4662" s="18">
        <f>SUM(L4663:L4669)</f>
        <v>3768</v>
      </c>
      <c r="M4662" s="18" t="e">
        <f>SUM(M4663:M4669)</f>
        <v>#REF!</v>
      </c>
      <c r="N4662" s="62" t="e">
        <f>+SUMIFS(#REF!,#REF!,Planning[[#This Row],[Proyectos]],#REF!,Planning[[#This Row],[Tipo de Tarea y especialidad]])</f>
        <v>#REF!</v>
      </c>
      <c r="O4662" s="34">
        <f t="shared" si="147"/>
        <v>10</v>
      </c>
      <c r="P4662" s="34">
        <f t="shared" si="148"/>
        <v>2024</v>
      </c>
      <c r="Q4662" s="16" t="e">
        <f>SUM(Q4663:Q4669)</f>
        <v>#REF!</v>
      </c>
      <c r="R4662" s="16" t="str">
        <f>TEXT(Planning[[#This Row],[Mes]]*29,"mmmm")</f>
        <v>October</v>
      </c>
      <c r="S46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62" s="210"/>
      <c r="U4662" s="43" t="e">
        <f>IF(Planning[[#This Row],[Horas Planificadas]]&lt;&gt;0,+K4662/Planning[[#This Row],[Horas Planificadas]],0)</f>
        <v>#REF!</v>
      </c>
      <c r="V4662" s="43" t="e">
        <f>IF(Planning[[#This Row],[Horas Planificadas]]&lt;&gt;0,Planning[[#This Row],[Horas utilizadas]]/Planning[[#This Row],[Horas Planificadas]],0)</f>
        <v>#REF!</v>
      </c>
      <c r="W4662" s="44">
        <f>Planning[[#This Row],[Horas Planificadas]]+Planning[[#This Row],[Horas ajustadas adicionales]]</f>
        <v>9470</v>
      </c>
      <c r="X4662" s="142" t="s">
        <v>793</v>
      </c>
    </row>
    <row r="4663" spans="1:24" x14ac:dyDescent="0.2">
      <c r="A4663" s="9" t="s">
        <v>168</v>
      </c>
      <c r="B4663" s="9" t="s">
        <v>220</v>
      </c>
      <c r="C4663" s="3">
        <v>117002</v>
      </c>
      <c r="D4663" s="3" t="s">
        <v>788</v>
      </c>
      <c r="E4663" s="4"/>
      <c r="F4663" s="3" t="s">
        <v>122</v>
      </c>
      <c r="G4663" s="53">
        <f>3791-974</f>
        <v>2817</v>
      </c>
      <c r="H4663" s="20">
        <v>2817</v>
      </c>
      <c r="I4663" s="12">
        <f>342-402+540</f>
        <v>480</v>
      </c>
      <c r="J4663" s="5" t="e">
        <f>SUM(SUMIFS(#REF!,#REF!,Planning[[#This Row],[Tipo de Tarea y especialidad]],#REF!,Planning[[#This Row],[Proyectos Reiwa]]),SUMIFS(#REF!,#REF!,Planning[[#This Row],[Tipo de Tarea y especialidad]],#REF!,Planning[[#This Row],[Proyectos]]))</f>
        <v>#REF!</v>
      </c>
      <c r="K4663" s="5" t="e">
        <f>+Planning[[#This Row],[Horas Planificadas]]+Planning[[#This Row],[Horas ajustadas adicionales]]-Planning[[#This Row],[Horas utilizadas]]</f>
        <v>#REF!</v>
      </c>
      <c r="L4663" s="9">
        <v>257</v>
      </c>
      <c r="M4663" s="19" t="e">
        <f>Planning[[#This Row],[Saldo]]-Planning[[#This Row],[Saldo estimado]]</f>
        <v>#REF!</v>
      </c>
      <c r="N4663" s="62" t="e">
        <f>+SUMIFS(#REF!,#REF!,Planning[[#This Row],[Proyectos]],#REF!,Planning[[#This Row],[Tipo de Tarea y especialidad]])</f>
        <v>#REF!</v>
      </c>
      <c r="O4663" s="34">
        <f t="shared" si="147"/>
        <v>10</v>
      </c>
      <c r="P4663" s="34">
        <f t="shared" si="148"/>
        <v>2024</v>
      </c>
      <c r="Q46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63" s="19" t="str">
        <f>TEXT(Planning[[#This Row],[Mes]]*29,"mmmm")</f>
        <v>October</v>
      </c>
      <c r="S46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63" s="210"/>
      <c r="U4663" s="43" t="e">
        <f>IF(Planning[[#This Row],[Horas Planificadas]]&lt;&gt;0,+K4663/Planning[[#This Row],[Horas Planificadas]],0)</f>
        <v>#REF!</v>
      </c>
      <c r="V4663" s="43" t="e">
        <f>IF(Planning[[#This Row],[Horas Planificadas]]&lt;&gt;0,Planning[[#This Row],[Horas utilizadas]]/Planning[[#This Row],[Horas Planificadas]],0)</f>
        <v>#REF!</v>
      </c>
      <c r="W4663" s="44">
        <f>Planning[[#This Row],[Horas Planificadas]]+Planning[[#This Row],[Horas ajustadas adicionales]]</f>
        <v>3297</v>
      </c>
      <c r="X4663" s="142" t="s">
        <v>794</v>
      </c>
    </row>
    <row r="4664" spans="1:24" x14ac:dyDescent="0.2">
      <c r="A4664" s="9" t="s">
        <v>168</v>
      </c>
      <c r="B4664" s="9" t="s">
        <v>220</v>
      </c>
      <c r="C4664" s="3">
        <v>117002</v>
      </c>
      <c r="D4664" s="3" t="s">
        <v>788</v>
      </c>
      <c r="E4664" s="4"/>
      <c r="F4664" s="3" t="s">
        <v>123</v>
      </c>
      <c r="G4664" s="53">
        <v>0</v>
      </c>
      <c r="H4664" s="20">
        <v>0</v>
      </c>
      <c r="I4664" s="12">
        <v>342</v>
      </c>
      <c r="J4664" s="5" t="e">
        <f>SUM(SUMIFS(#REF!,#REF!,Planning[[#This Row],[Tipo de Tarea y especialidad]],#REF!,Planning[[#This Row],[Proyectos Reiwa]]),SUMIFS(#REF!,#REF!,Planning[[#This Row],[Tipo de Tarea y especialidad]],#REF!,Planning[[#This Row],[Proyectos]]))</f>
        <v>#REF!</v>
      </c>
      <c r="K4664" s="5" t="e">
        <f>+Planning[[#This Row],[Horas Planificadas]]+Planning[[#This Row],[Horas ajustadas adicionales]]-Planning[[#This Row],[Horas utilizadas]]</f>
        <v>#REF!</v>
      </c>
      <c r="L4664" s="9">
        <v>110</v>
      </c>
      <c r="M4664" s="19" t="e">
        <f>Planning[[#This Row],[Saldo]]-Planning[[#This Row],[Saldo estimado]]</f>
        <v>#REF!</v>
      </c>
      <c r="N4664" s="62" t="e">
        <f>+SUMIFS(#REF!,#REF!,Planning[[#This Row],[Proyectos]],#REF!,Planning[[#This Row],[Tipo de Tarea y especialidad]])</f>
        <v>#REF!</v>
      </c>
      <c r="O4664" s="34">
        <f t="shared" si="147"/>
        <v>10</v>
      </c>
      <c r="P4664" s="34">
        <f t="shared" si="148"/>
        <v>2024</v>
      </c>
      <c r="Q46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64" s="19" t="str">
        <f>TEXT(Planning[[#This Row],[Mes]]*29,"mmmm")</f>
        <v>October</v>
      </c>
      <c r="S46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64" s="210"/>
      <c r="U4664" s="43">
        <f>IF(Planning[[#This Row],[Horas Planificadas]]&lt;&gt;0,+K4664/Planning[[#This Row],[Horas Planificadas]],0)</f>
        <v>0</v>
      </c>
      <c r="V4664" s="43">
        <f>IF(Planning[[#This Row],[Horas Planificadas]]&lt;&gt;0,Planning[[#This Row],[Horas utilizadas]]/Planning[[#This Row],[Horas Planificadas]],0)</f>
        <v>0</v>
      </c>
      <c r="W4664" s="44">
        <f>Planning[[#This Row],[Horas Planificadas]]+Planning[[#This Row],[Horas ajustadas adicionales]]</f>
        <v>342</v>
      </c>
      <c r="X4664" s="142" t="s">
        <v>795</v>
      </c>
    </row>
    <row r="4665" spans="1:24" x14ac:dyDescent="0.2">
      <c r="A4665" s="9" t="s">
        <v>168</v>
      </c>
      <c r="B4665" s="9" t="s">
        <v>220</v>
      </c>
      <c r="C4665" s="3">
        <v>117002</v>
      </c>
      <c r="D4665" s="3" t="s">
        <v>788</v>
      </c>
      <c r="E4665" s="4"/>
      <c r="F4665" s="3" t="s">
        <v>124</v>
      </c>
      <c r="G4665" s="53"/>
      <c r="H4665" s="20">
        <v>0</v>
      </c>
      <c r="I4665" s="74">
        <v>320</v>
      </c>
      <c r="J4665" s="5" t="e">
        <f>SUM(SUMIFS(#REF!,#REF!,Planning[[#This Row],[Tipo de Tarea y especialidad]],#REF!,Planning[[#This Row],[Proyectos Reiwa]]),SUMIFS(#REF!,#REF!,Planning[[#This Row],[Tipo de Tarea y especialidad]],#REF!,Planning[[#This Row],[Proyectos]]))</f>
        <v>#REF!</v>
      </c>
      <c r="K4665" s="5" t="e">
        <f>+Planning[[#This Row],[Horas Planificadas]]+Planning[[#This Row],[Horas ajustadas adicionales]]-Planning[[#This Row],[Horas utilizadas]]</f>
        <v>#REF!</v>
      </c>
      <c r="L4665" s="9">
        <v>196</v>
      </c>
      <c r="M4665" s="19" t="e">
        <f>Planning[[#This Row],[Saldo]]-Planning[[#This Row],[Saldo estimado]]</f>
        <v>#REF!</v>
      </c>
      <c r="N4665" s="62" t="e">
        <f>+SUMIFS(#REF!,#REF!,Planning[[#This Row],[Proyectos]],#REF!,Planning[[#This Row],[Tipo de Tarea y especialidad]])</f>
        <v>#REF!</v>
      </c>
      <c r="O4665" s="34">
        <f t="shared" si="147"/>
        <v>10</v>
      </c>
      <c r="P4665" s="34">
        <f t="shared" si="148"/>
        <v>2024</v>
      </c>
      <c r="Q46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65" s="19" t="str">
        <f>TEXT(Planning[[#This Row],[Mes]]*29,"mmmm")</f>
        <v>October</v>
      </c>
      <c r="S46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65" s="210"/>
      <c r="U4665" s="43">
        <f>IF(Planning[[#This Row],[Horas Planificadas]]&lt;&gt;0,+K4665/Planning[[#This Row],[Horas Planificadas]],0)</f>
        <v>0</v>
      </c>
      <c r="V4665" s="43">
        <f>IF(Planning[[#This Row],[Horas Planificadas]]&lt;&gt;0,Planning[[#This Row],[Horas utilizadas]]/Planning[[#This Row],[Horas Planificadas]],0)</f>
        <v>0</v>
      </c>
      <c r="W4665" s="44">
        <f>Planning[[#This Row],[Horas Planificadas]]+Planning[[#This Row],[Horas ajustadas adicionales]]</f>
        <v>320</v>
      </c>
      <c r="X4665" s="142" t="s">
        <v>796</v>
      </c>
    </row>
    <row r="4666" spans="1:24" x14ac:dyDescent="0.2">
      <c r="A4666" s="9" t="s">
        <v>168</v>
      </c>
      <c r="B4666" s="9" t="s">
        <v>220</v>
      </c>
      <c r="C4666" s="3">
        <v>117002</v>
      </c>
      <c r="D4666" s="3" t="s">
        <v>788</v>
      </c>
      <c r="E4666" s="4"/>
      <c r="F4666" s="3" t="s">
        <v>125</v>
      </c>
      <c r="G4666" s="53">
        <v>974</v>
      </c>
      <c r="H4666" s="20">
        <v>974</v>
      </c>
      <c r="I4666" s="12">
        <f>974+170</f>
        <v>1144</v>
      </c>
      <c r="J4666" s="5" t="e">
        <f>SUM(SUMIFS(#REF!,#REF!,Planning[[#This Row],[Tipo de Tarea y especialidad]],#REF!,Planning[[#This Row],[Proyectos Reiwa]]),SUMIFS(#REF!,#REF!,Planning[[#This Row],[Tipo de Tarea y especialidad]],#REF!,Planning[[#This Row],[Proyectos]]))</f>
        <v>#REF!</v>
      </c>
      <c r="K4666" s="5" t="e">
        <f>+Planning[[#This Row],[Horas Planificadas]]+Planning[[#This Row],[Horas ajustadas adicionales]]-Planning[[#This Row],[Horas utilizadas]]</f>
        <v>#REF!</v>
      </c>
      <c r="L4666" s="9">
        <v>837</v>
      </c>
      <c r="M4666" s="19" t="e">
        <f>Planning[[#This Row],[Saldo]]-Planning[[#This Row],[Saldo estimado]]</f>
        <v>#REF!</v>
      </c>
      <c r="N4666" s="62" t="e">
        <f>+SUMIFS(#REF!,#REF!,Planning[[#This Row],[Proyectos]],#REF!,Planning[[#This Row],[Tipo de Tarea y especialidad]])</f>
        <v>#REF!</v>
      </c>
      <c r="O4666" s="34">
        <f t="shared" si="147"/>
        <v>10</v>
      </c>
      <c r="P4666" s="34">
        <f t="shared" si="148"/>
        <v>2024</v>
      </c>
      <c r="Q46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66" s="19" t="str">
        <f>TEXT(Planning[[#This Row],[Mes]]*29,"mmmm")</f>
        <v>October</v>
      </c>
      <c r="S46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66" s="210"/>
      <c r="U4666" s="43" t="e">
        <f>IF(Planning[[#This Row],[Horas Planificadas]]&lt;&gt;0,+K4666/Planning[[#This Row],[Horas Planificadas]],0)</f>
        <v>#REF!</v>
      </c>
      <c r="V4666" s="43" t="e">
        <f>IF(Planning[[#This Row],[Horas Planificadas]]&lt;&gt;0,Planning[[#This Row],[Horas utilizadas]]/Planning[[#This Row],[Horas Planificadas]],0)</f>
        <v>#REF!</v>
      </c>
      <c r="W4666" s="44">
        <f>Planning[[#This Row],[Horas Planificadas]]+Planning[[#This Row],[Horas ajustadas adicionales]]</f>
        <v>2118</v>
      </c>
      <c r="X4666" s="142" t="s">
        <v>797</v>
      </c>
    </row>
    <row r="4667" spans="1:24" x14ac:dyDescent="0.2">
      <c r="A4667" s="9" t="s">
        <v>168</v>
      </c>
      <c r="B4667" s="9" t="s">
        <v>220</v>
      </c>
      <c r="C4667" s="3">
        <v>117002</v>
      </c>
      <c r="D4667" s="3" t="s">
        <v>788</v>
      </c>
      <c r="E4667" s="4"/>
      <c r="F4667" s="3" t="s">
        <v>126</v>
      </c>
      <c r="G4667" s="53">
        <v>5679</v>
      </c>
      <c r="H4667" s="20">
        <v>5679</v>
      </c>
      <c r="I4667" s="12">
        <f>-246-540+543</f>
        <v>-243</v>
      </c>
      <c r="J4667" s="5" t="e">
        <f>SUM(SUMIFS(#REF!,#REF!,Planning[[#This Row],[Tipo de Tarea y especialidad]],#REF!,Planning[[#This Row],[Proyectos Reiwa]]),SUMIFS(#REF!,#REF!,Planning[[#This Row],[Tipo de Tarea y especialidad]],#REF!,Planning[[#This Row],[Proyectos]]))</f>
        <v>#REF!</v>
      </c>
      <c r="K4667" s="5" t="e">
        <f>+Planning[[#This Row],[Horas Planificadas]]+Planning[[#This Row],[Horas ajustadas adicionales]]-Planning[[#This Row],[Horas utilizadas]]</f>
        <v>#REF!</v>
      </c>
      <c r="L4667" s="9">
        <v>2066</v>
      </c>
      <c r="M4667" s="19" t="e">
        <f>Planning[[#This Row],[Saldo]]-Planning[[#This Row],[Saldo estimado]]</f>
        <v>#REF!</v>
      </c>
      <c r="N4667" s="62" t="e">
        <f>+SUMIFS(#REF!,#REF!,Planning[[#This Row],[Proyectos]],#REF!,Planning[[#This Row],[Tipo de Tarea y especialidad]])</f>
        <v>#REF!</v>
      </c>
      <c r="O4667" s="34">
        <f t="shared" si="147"/>
        <v>10</v>
      </c>
      <c r="P4667" s="34">
        <f t="shared" si="148"/>
        <v>2024</v>
      </c>
      <c r="Q46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67" s="19" t="str">
        <f>TEXT(Planning[[#This Row],[Mes]]*29,"mmmm")</f>
        <v>October</v>
      </c>
      <c r="S46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67" s="210"/>
      <c r="U4667" s="43" t="e">
        <f>IF(Planning[[#This Row],[Horas Planificadas]]&lt;&gt;0,+K4667/Planning[[#This Row],[Horas Planificadas]],0)</f>
        <v>#REF!</v>
      </c>
      <c r="V4667" s="43" t="e">
        <f>IF(Planning[[#This Row],[Horas Planificadas]]&lt;&gt;0,Planning[[#This Row],[Horas utilizadas]]/Planning[[#This Row],[Horas Planificadas]],0)</f>
        <v>#REF!</v>
      </c>
      <c r="W4667" s="44">
        <f>Planning[[#This Row],[Horas Planificadas]]+Planning[[#This Row],[Horas ajustadas adicionales]]</f>
        <v>5436</v>
      </c>
      <c r="X4667" s="142" t="s">
        <v>798</v>
      </c>
    </row>
    <row r="4668" spans="1:24" x14ac:dyDescent="0.2">
      <c r="A4668" s="9" t="s">
        <v>168</v>
      </c>
      <c r="B4668" s="9" t="s">
        <v>220</v>
      </c>
      <c r="C4668" s="3">
        <v>117002</v>
      </c>
      <c r="D4668" s="3" t="s">
        <v>788</v>
      </c>
      <c r="E4668" s="4"/>
      <c r="F4668" s="3" t="s">
        <v>127</v>
      </c>
      <c r="G4668" s="53">
        <v>0</v>
      </c>
      <c r="H4668" s="20">
        <v>0</v>
      </c>
      <c r="I4668" s="12"/>
      <c r="J4668" s="5" t="e">
        <f>SUM(SUMIFS(#REF!,#REF!,Planning[[#This Row],[Tipo de Tarea y especialidad]],#REF!,Planning[[#This Row],[Proyectos Reiwa]]),SUMIFS(#REF!,#REF!,Planning[[#This Row],[Tipo de Tarea y especialidad]],#REF!,Planning[[#This Row],[Proyectos]]))</f>
        <v>#REF!</v>
      </c>
      <c r="K4668" s="5" t="e">
        <f>+Planning[[#This Row],[Horas Planificadas]]+Planning[[#This Row],[Horas ajustadas adicionales]]-Planning[[#This Row],[Horas utilizadas]]</f>
        <v>#REF!</v>
      </c>
      <c r="L4668" s="9">
        <v>0</v>
      </c>
      <c r="M4668" s="19" t="e">
        <f>Planning[[#This Row],[Saldo]]-Planning[[#This Row],[Saldo estimado]]</f>
        <v>#REF!</v>
      </c>
      <c r="N4668" s="62" t="e">
        <f>+SUMIFS(#REF!,#REF!,Planning[[#This Row],[Proyectos]],#REF!,Planning[[#This Row],[Tipo de Tarea y especialidad]])</f>
        <v>#REF!</v>
      </c>
      <c r="O4668" s="34">
        <f t="shared" si="147"/>
        <v>10</v>
      </c>
      <c r="P4668" s="34">
        <f t="shared" si="148"/>
        <v>2024</v>
      </c>
      <c r="Q46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68" s="19" t="str">
        <f>TEXT(Planning[[#This Row],[Mes]]*29,"mmmm")</f>
        <v>October</v>
      </c>
      <c r="S46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68" s="210"/>
      <c r="U4668" s="43">
        <f>IF(Planning[[#This Row],[Horas Planificadas]]&lt;&gt;0,+K4668/Planning[[#This Row],[Horas Planificadas]],0)</f>
        <v>0</v>
      </c>
      <c r="V4668" s="43">
        <f>IF(Planning[[#This Row],[Horas Planificadas]]&lt;&gt;0,Planning[[#This Row],[Horas utilizadas]]/Planning[[#This Row],[Horas Planificadas]],0)</f>
        <v>0</v>
      </c>
      <c r="W4668" s="44">
        <f>Planning[[#This Row],[Horas Planificadas]]+Planning[[#This Row],[Horas ajustadas adicionales]]</f>
        <v>0</v>
      </c>
      <c r="X4668" s="142" t="s">
        <v>799</v>
      </c>
    </row>
    <row r="4669" spans="1:24" x14ac:dyDescent="0.2">
      <c r="A4669" s="9" t="s">
        <v>168</v>
      </c>
      <c r="B4669" s="9" t="s">
        <v>220</v>
      </c>
      <c r="C4669" s="3">
        <v>117002</v>
      </c>
      <c r="D4669" s="3" t="s">
        <v>788</v>
      </c>
      <c r="E4669" s="4"/>
      <c r="F4669" s="3" t="s">
        <v>128</v>
      </c>
      <c r="G4669" s="53"/>
      <c r="H4669" s="20">
        <v>0</v>
      </c>
      <c r="I4669" s="74">
        <v>250</v>
      </c>
      <c r="J4669" s="5" t="e">
        <f>SUM(SUMIFS(#REF!,#REF!,Planning[[#This Row],[Tipo de Tarea y especialidad]],#REF!,Planning[[#This Row],[Proyectos Reiwa]]),SUMIFS(#REF!,#REF!,Planning[[#This Row],[Tipo de Tarea y especialidad]],#REF!,Planning[[#This Row],[Proyectos]]))</f>
        <v>#REF!</v>
      </c>
      <c r="K4669" s="5" t="e">
        <f>+Planning[[#This Row],[Horas Planificadas]]+Planning[[#This Row],[Horas ajustadas adicionales]]-Planning[[#This Row],[Horas utilizadas]]</f>
        <v>#REF!</v>
      </c>
      <c r="L4669" s="9">
        <v>302</v>
      </c>
      <c r="M4669" s="19" t="e">
        <f>Planning[[#This Row],[Saldo]]-Planning[[#This Row],[Saldo estimado]]</f>
        <v>#REF!</v>
      </c>
      <c r="N4669" s="62" t="e">
        <f>+SUMIFS(#REF!,#REF!,Planning[[#This Row],[Proyectos]],#REF!,Planning[[#This Row],[Tipo de Tarea y especialidad]])</f>
        <v>#REF!</v>
      </c>
      <c r="O4669" s="34">
        <f t="shared" si="147"/>
        <v>10</v>
      </c>
      <c r="P4669" s="34">
        <f t="shared" si="148"/>
        <v>2024</v>
      </c>
      <c r="Q46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69" s="19" t="str">
        <f>TEXT(Planning[[#This Row],[Mes]]*29,"mmmm")</f>
        <v>October</v>
      </c>
      <c r="S46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69" s="210"/>
      <c r="U4669" s="43">
        <f>IF(Planning[[#This Row],[Horas Planificadas]]&lt;&gt;0,+K4669/Planning[[#This Row],[Horas Planificadas]],0)</f>
        <v>0</v>
      </c>
      <c r="V4669" s="43">
        <f>IF(Planning[[#This Row],[Horas Planificadas]]&lt;&gt;0,Planning[[#This Row],[Horas utilizadas]]/Planning[[#This Row],[Horas Planificadas]],0)</f>
        <v>0</v>
      </c>
      <c r="W4669" s="44">
        <f>Planning[[#This Row],[Horas Planificadas]]+Planning[[#This Row],[Horas ajustadas adicionales]]</f>
        <v>250</v>
      </c>
      <c r="X4669" s="142"/>
    </row>
    <row r="4670" spans="1:24" x14ac:dyDescent="0.2">
      <c r="A4670" s="9" t="s">
        <v>168</v>
      </c>
      <c r="B4670" s="9" t="s">
        <v>220</v>
      </c>
      <c r="C4670" s="3">
        <v>117002</v>
      </c>
      <c r="D4670" s="3" t="s">
        <v>788</v>
      </c>
      <c r="E4670" s="4" t="s">
        <v>31</v>
      </c>
      <c r="F4670" s="3" t="s">
        <v>31</v>
      </c>
      <c r="G4670" s="53">
        <v>974</v>
      </c>
      <c r="H4670" s="20">
        <v>0</v>
      </c>
      <c r="I4670" s="18"/>
      <c r="J4670" s="14" t="e">
        <f>+SUMIFS(#REF!,#REF!,Planning[[#This Row],[Tarifa]],#REF!,Planning[[#This Row],[Proyectos]])</f>
        <v>#REF!</v>
      </c>
      <c r="K4670" s="18" t="e">
        <f>+Planning[[#This Row],[Horas Planificadas]]+Planning[[#This Row],[Horas ajustadas adicionales]]-Planning[[#This Row],[Horas utilizadas]]</f>
        <v>#REF!</v>
      </c>
      <c r="L4670" s="18" t="e">
        <f>Planning[[#This Row],[Saldo]]</f>
        <v>#REF!</v>
      </c>
      <c r="M4670" s="18" t="e">
        <f>Planning[[#This Row],[Saldo]]-Planning[[#This Row],[Saldo estimado]]</f>
        <v>#REF!</v>
      </c>
      <c r="N4670" s="62" t="e">
        <f>+SUMIFS(#REF!,#REF!,Planning[[#This Row],[Proyectos]],#REF!,Planning[[#This Row],[Tipo de Tarea y especialidad]])</f>
        <v>#REF!</v>
      </c>
      <c r="O4670" s="34">
        <f t="shared" si="147"/>
        <v>10</v>
      </c>
      <c r="P4670" s="34">
        <f t="shared" si="148"/>
        <v>2024</v>
      </c>
      <c r="Q4670" s="16" t="e">
        <f>+SUMIFS(#REF!,#REF!,Planning[[#This Row],[Tarifa]],#REF!,Planning[[#This Row],[Proyectos]],#REF!,Planning[[#This Row],[Mes]],#REF!,Planning[[#This Row],[Año]])</f>
        <v>#REF!</v>
      </c>
      <c r="R4670" s="16" t="str">
        <f>TEXT(Planning[[#This Row],[Mes]]*29,"mmmm")</f>
        <v>October</v>
      </c>
      <c r="S46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70" s="210"/>
      <c r="U4670" s="43">
        <f>IF(Planning[[#This Row],[Horas Planificadas]]&lt;&gt;0,+K4670/Planning[[#This Row],[Horas Planificadas]],0)</f>
        <v>0</v>
      </c>
      <c r="V4670" s="43">
        <f>IF(Planning[[#This Row],[Horas Planificadas]]&lt;&gt;0,Planning[[#This Row],[Horas utilizadas]]/Planning[[#This Row],[Horas Planificadas]],0)</f>
        <v>0</v>
      </c>
      <c r="W4670" s="44">
        <f>Planning[[#This Row],[Horas Planificadas]]+Planning[[#This Row],[Horas ajustadas adicionales]]</f>
        <v>0</v>
      </c>
      <c r="X4670" s="142"/>
    </row>
    <row r="4671" spans="1:24" ht="22.5" x14ac:dyDescent="0.2">
      <c r="A4671" s="9" t="s">
        <v>168</v>
      </c>
      <c r="B4671" s="9" t="s">
        <v>220</v>
      </c>
      <c r="C4671" s="3">
        <v>117002</v>
      </c>
      <c r="D4671" s="3" t="s">
        <v>788</v>
      </c>
      <c r="E4671" s="4" t="s">
        <v>32</v>
      </c>
      <c r="F4671" s="3"/>
      <c r="G4671" s="53"/>
      <c r="H4671" s="20">
        <f>SUM(H4672:H4674)</f>
        <v>5724</v>
      </c>
      <c r="I4671" s="18"/>
      <c r="J4671" s="14" t="e">
        <f>SUM(J4672:J4674)</f>
        <v>#REF!</v>
      </c>
      <c r="K4671" s="18" t="e">
        <f>+Planning[[#This Row],[Horas Planificadas]]+Planning[[#This Row],[Horas ajustadas adicionales]]-Planning[[#This Row],[Horas utilizadas]]</f>
        <v>#REF!</v>
      </c>
      <c r="L4671" s="18"/>
      <c r="M4671" s="18" t="e">
        <f>SUM(M4672:M4674)</f>
        <v>#REF!</v>
      </c>
      <c r="N4671" s="62" t="e">
        <f>+SUMIFS(#REF!,#REF!,Planning[[#This Row],[Proyectos]],#REF!,Planning[[#This Row],[Tipo de Tarea y especialidad]])</f>
        <v>#REF!</v>
      </c>
      <c r="O4671" s="34">
        <f t="shared" si="147"/>
        <v>10</v>
      </c>
      <c r="P4671" s="34">
        <f t="shared" si="148"/>
        <v>2024</v>
      </c>
      <c r="Q4671" s="16" t="e">
        <f>SUM(Q4672:Q4674)</f>
        <v>#REF!</v>
      </c>
      <c r="R4671" s="16" t="str">
        <f>TEXT(Planning[[#This Row],[Mes]]*29,"mmmm")</f>
        <v>October</v>
      </c>
      <c r="S46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71" s="210"/>
      <c r="U4671" s="43" t="e">
        <f>IF(Planning[[#This Row],[Horas Planificadas]]&lt;&gt;0,+K4671/Planning[[#This Row],[Horas Planificadas]],0)</f>
        <v>#REF!</v>
      </c>
      <c r="V4671" s="43" t="e">
        <f>IF(Planning[[#This Row],[Horas Planificadas]]&lt;&gt;0,Planning[[#This Row],[Horas utilizadas]]/Planning[[#This Row],[Horas Planificadas]],0)</f>
        <v>#REF!</v>
      </c>
      <c r="W4671" s="44">
        <f>Planning[[#This Row],[Horas Planificadas]]+Planning[[#This Row],[Horas ajustadas adicionales]]</f>
        <v>5724</v>
      </c>
      <c r="X4671" s="142"/>
    </row>
    <row r="4672" spans="1:24" x14ac:dyDescent="0.2">
      <c r="A4672" s="9" t="s">
        <v>168</v>
      </c>
      <c r="B4672" s="9" t="s">
        <v>220</v>
      </c>
      <c r="C4672" s="3">
        <v>117002</v>
      </c>
      <c r="D4672" s="3" t="s">
        <v>788</v>
      </c>
      <c r="E4672" s="4"/>
      <c r="F4672" s="3" t="s">
        <v>129</v>
      </c>
      <c r="G4672" s="53">
        <v>5724</v>
      </c>
      <c r="H4672" s="20">
        <v>5724</v>
      </c>
      <c r="I4672" s="12">
        <v>828</v>
      </c>
      <c r="J4672" s="5" t="e">
        <f>SUM(SUMIFS(#REF!,#REF!,Planning[[#This Row],[Tipo de Tarea y especialidad]],#REF!,Planning[[#This Row],[Proyectos Reiwa]]),SUMIFS(#REF!,#REF!,Planning[[#This Row],[Tipo de Tarea y especialidad]],#REF!,Planning[[#This Row],[Proyectos]]))</f>
        <v>#REF!</v>
      </c>
      <c r="K4672" s="5" t="e">
        <f>+Planning[[#This Row],[Horas Planificadas]]+Planning[[#This Row],[Horas ajustadas adicionales]]-Planning[[#This Row],[Horas utilizadas]]</f>
        <v>#REF!</v>
      </c>
      <c r="L4672" s="9">
        <v>9440</v>
      </c>
      <c r="M4672" s="19" t="e">
        <f>Planning[[#This Row],[Saldo]]-Planning[[#This Row],[Saldo estimado]]</f>
        <v>#REF!</v>
      </c>
      <c r="N4672" s="62" t="e">
        <f>+SUMIFS(#REF!,#REF!,Planning[[#This Row],[Proyectos]],#REF!,Planning[[#This Row],[Tipo de Tarea y especialidad]])</f>
        <v>#REF!</v>
      </c>
      <c r="O4672" s="34">
        <f t="shared" si="147"/>
        <v>10</v>
      </c>
      <c r="P4672" s="34">
        <f t="shared" si="148"/>
        <v>2024</v>
      </c>
      <c r="Q46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72" s="19" t="str">
        <f>TEXT(Planning[[#This Row],[Mes]]*29,"mmmm")</f>
        <v>October</v>
      </c>
      <c r="S46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72" s="210"/>
      <c r="U4672" s="43" t="e">
        <f>IF(Planning[[#This Row],[Horas Planificadas]]&lt;&gt;0,+K4672/Planning[[#This Row],[Horas Planificadas]],0)</f>
        <v>#REF!</v>
      </c>
      <c r="V4672" s="43" t="e">
        <f>IF(Planning[[#This Row],[Horas Planificadas]]&lt;&gt;0,Planning[[#This Row],[Horas utilizadas]]/Planning[[#This Row],[Horas Planificadas]],0)</f>
        <v>#REF!</v>
      </c>
      <c r="W4672" s="44">
        <f>Planning[[#This Row],[Horas Planificadas]]+Planning[[#This Row],[Horas ajustadas adicionales]]</f>
        <v>6552</v>
      </c>
      <c r="X4672" s="142"/>
    </row>
    <row r="4673" spans="1:24" x14ac:dyDescent="0.2">
      <c r="A4673" s="9" t="s">
        <v>168</v>
      </c>
      <c r="B4673" s="9" t="s">
        <v>220</v>
      </c>
      <c r="C4673" s="3">
        <v>117002</v>
      </c>
      <c r="D4673" s="3" t="s">
        <v>788</v>
      </c>
      <c r="E4673" s="4"/>
      <c r="F4673" s="3" t="s">
        <v>130</v>
      </c>
      <c r="G4673" s="53">
        <v>0</v>
      </c>
      <c r="H4673" s="20">
        <v>0</v>
      </c>
      <c r="I4673" s="12"/>
      <c r="J4673" s="5" t="e">
        <f>SUM(SUMIFS(#REF!,#REF!,Planning[[#This Row],[Tipo de Tarea y especialidad]],#REF!,Planning[[#This Row],[Proyectos Reiwa]]),SUMIFS(#REF!,#REF!,Planning[[#This Row],[Tipo de Tarea y especialidad]],#REF!,Planning[[#This Row],[Proyectos]]))</f>
        <v>#REF!</v>
      </c>
      <c r="K4673" s="5" t="e">
        <f>+Planning[[#This Row],[Horas Planificadas]]+Planning[[#This Row],[Horas ajustadas adicionales]]-Planning[[#This Row],[Horas utilizadas]]</f>
        <v>#REF!</v>
      </c>
      <c r="L4673" s="9" t="e">
        <f>Planning[[#This Row],[Saldo]]</f>
        <v>#REF!</v>
      </c>
      <c r="M4673" s="19" t="e">
        <f>Planning[[#This Row],[Saldo]]-Planning[[#This Row],[Saldo estimado]]</f>
        <v>#REF!</v>
      </c>
      <c r="N4673" s="62" t="e">
        <f>+SUMIFS(#REF!,#REF!,Planning[[#This Row],[Proyectos]],#REF!,Planning[[#This Row],[Tipo de Tarea y especialidad]])</f>
        <v>#REF!</v>
      </c>
      <c r="O4673" s="34">
        <f t="shared" si="147"/>
        <v>10</v>
      </c>
      <c r="P4673" s="34">
        <f t="shared" si="148"/>
        <v>2024</v>
      </c>
      <c r="Q46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73" s="19" t="str">
        <f>TEXT(Planning[[#This Row],[Mes]]*29,"mmmm")</f>
        <v>October</v>
      </c>
      <c r="S46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73" s="210"/>
      <c r="U4673" s="43">
        <f>IF(Planning[[#This Row],[Horas Planificadas]]&lt;&gt;0,+K4673/Planning[[#This Row],[Horas Planificadas]],0)</f>
        <v>0</v>
      </c>
      <c r="V4673" s="43">
        <f>IF(Planning[[#This Row],[Horas Planificadas]]&lt;&gt;0,Planning[[#This Row],[Horas utilizadas]]/Planning[[#This Row],[Horas Planificadas]],0)</f>
        <v>0</v>
      </c>
      <c r="W4673" s="44">
        <f>Planning[[#This Row],[Horas Planificadas]]+Planning[[#This Row],[Horas ajustadas adicionales]]</f>
        <v>0</v>
      </c>
      <c r="X4673" s="142"/>
    </row>
    <row r="4674" spans="1:24" ht="24.6" customHeight="1" x14ac:dyDescent="0.2">
      <c r="A4674" s="9" t="s">
        <v>168</v>
      </c>
      <c r="B4674" s="9" t="s">
        <v>220</v>
      </c>
      <c r="C4674" s="3">
        <v>117002</v>
      </c>
      <c r="D4674" s="3" t="s">
        <v>788</v>
      </c>
      <c r="E4674" s="4"/>
      <c r="F4674" s="3" t="s">
        <v>131</v>
      </c>
      <c r="G4674" s="53"/>
      <c r="H4674" s="20">
        <v>0</v>
      </c>
      <c r="I4674" s="74">
        <v>470</v>
      </c>
      <c r="J4674" s="5" t="e">
        <f>SUM(SUMIFS(#REF!,#REF!,Planning[[#This Row],[Tipo de Tarea y especialidad]],#REF!,Planning[[#This Row],[Proyectos Reiwa]]),SUMIFS(#REF!,#REF!,Planning[[#This Row],[Tipo de Tarea y especialidad]],#REF!,Planning[[#This Row],[Proyectos]]))</f>
        <v>#REF!</v>
      </c>
      <c r="K4674" s="5" t="e">
        <f>+Planning[[#This Row],[Horas Planificadas]]+Planning[[#This Row],[Horas ajustadas adicionales]]-Planning[[#This Row],[Horas utilizadas]]</f>
        <v>#REF!</v>
      </c>
      <c r="L4674" s="9" t="e">
        <f>Planning[[#This Row],[Saldo]]</f>
        <v>#REF!</v>
      </c>
      <c r="M4674" s="19" t="e">
        <f>Planning[[#This Row],[Saldo]]-Planning[[#This Row],[Saldo estimado]]</f>
        <v>#REF!</v>
      </c>
      <c r="N4674" s="62" t="e">
        <f>+SUMIFS(#REF!,#REF!,Planning[[#This Row],[Proyectos]],#REF!,Planning[[#This Row],[Tipo de Tarea y especialidad]])</f>
        <v>#REF!</v>
      </c>
      <c r="O4674" s="34">
        <f t="shared" si="147"/>
        <v>10</v>
      </c>
      <c r="P4674" s="34">
        <f t="shared" si="148"/>
        <v>2024</v>
      </c>
      <c r="Q46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74" s="19" t="str">
        <f>TEXT(Planning[[#This Row],[Mes]]*29,"mmmm")</f>
        <v>October</v>
      </c>
      <c r="S46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74" s="210"/>
      <c r="U4674" s="43">
        <f>IF(Planning[[#This Row],[Horas Planificadas]]&lt;&gt;0,+K4674/Planning[[#This Row],[Horas Planificadas]],0)</f>
        <v>0</v>
      </c>
      <c r="V4674" s="43">
        <f>IF(Planning[[#This Row],[Horas Planificadas]]&lt;&gt;0,Planning[[#This Row],[Horas utilizadas]]/Planning[[#This Row],[Horas Planificadas]],0)</f>
        <v>0</v>
      </c>
      <c r="W4674" s="44">
        <f>Planning[[#This Row],[Horas Planificadas]]+Planning[[#This Row],[Horas ajustadas adicionales]]</f>
        <v>470</v>
      </c>
      <c r="X4674" s="142"/>
    </row>
    <row r="4675" spans="1:24" ht="22.5" x14ac:dyDescent="0.2">
      <c r="A4675" s="9" t="s">
        <v>626</v>
      </c>
      <c r="B4675" s="9" t="s">
        <v>779</v>
      </c>
      <c r="C4675" s="3">
        <v>116893</v>
      </c>
      <c r="D4675" s="3" t="s">
        <v>800</v>
      </c>
      <c r="E4675" s="4" t="s">
        <v>28</v>
      </c>
      <c r="F4675" s="3"/>
      <c r="G4675" s="56">
        <f>SUM(G4676:G4677)</f>
        <v>100</v>
      </c>
      <c r="H4675" s="56">
        <f>SUM(H4676:H4677)</f>
        <v>94</v>
      </c>
      <c r="I4675" s="12"/>
      <c r="J4675" s="14" t="e">
        <f>SUM(J4676:J4677)</f>
        <v>#REF!</v>
      </c>
      <c r="K4675" s="5" t="e">
        <f>+Planning[[#This Row],[Horas Planificadas]]+Planning[[#This Row],[Horas ajustadas adicionales]]-Planning[[#This Row],[Horas utilizadas]]</f>
        <v>#REF!</v>
      </c>
      <c r="L4675" s="9" t="e">
        <f>SUM(L4676:L4677)</f>
        <v>#REF!</v>
      </c>
      <c r="M4675" s="19">
        <v>0</v>
      </c>
      <c r="N4675" s="62" t="e">
        <f>+SUMIFS(#REF!,#REF!,Planning[[#This Row],[Proyectos]],#REF!,Planning[[#This Row],[Tipo de Tarea y especialidad]])</f>
        <v>#REF!</v>
      </c>
      <c r="O4675" s="34">
        <f t="shared" si="147"/>
        <v>10</v>
      </c>
      <c r="P4675" s="34">
        <f t="shared" si="148"/>
        <v>2024</v>
      </c>
      <c r="Q4675" s="28" t="e">
        <f>SUM(Q4676:Q4677)</f>
        <v>#REF!</v>
      </c>
      <c r="R4675" s="28" t="str">
        <f>TEXT(Planning[[#This Row],[Mes]]*29,"mmmm")</f>
        <v>October</v>
      </c>
      <c r="S46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75" s="209" t="s">
        <v>801</v>
      </c>
      <c r="U4675" s="43">
        <v>0</v>
      </c>
      <c r="V4675" s="43">
        <v>0</v>
      </c>
      <c r="W4675" s="44">
        <v>0</v>
      </c>
    </row>
    <row r="4676" spans="1:24" x14ac:dyDescent="0.2">
      <c r="A4676" s="9" t="s">
        <v>626</v>
      </c>
      <c r="B4676" s="9" t="s">
        <v>779</v>
      </c>
      <c r="C4676" s="3">
        <v>116893</v>
      </c>
      <c r="D4676" s="3" t="s">
        <v>800</v>
      </c>
      <c r="E4676" s="4"/>
      <c r="F4676" s="3" t="s">
        <v>120</v>
      </c>
      <c r="G4676" s="56"/>
      <c r="H4676" s="20">
        <v>4</v>
      </c>
      <c r="I4676" s="12"/>
      <c r="J4676" s="5" t="e">
        <f>SUM(SUMIFS(#REF!,#REF!,Planning[[#This Row],[Tipo de Tarea y especialidad]],#REF!,Planning[[#This Row],[Proyectos Reiwa]]),SUMIFS(#REF!,#REF!,Planning[[#This Row],[Tipo de Tarea y especialidad]],#REF!,Planning[[#This Row],[Proyectos]]))</f>
        <v>#REF!</v>
      </c>
      <c r="K4676" s="5" t="e">
        <f>+Planning[[#This Row],[Horas Planificadas]]+Planning[[#This Row],[Horas ajustadas adicionales]]-Planning[[#This Row],[Horas utilizadas]]</f>
        <v>#REF!</v>
      </c>
      <c r="L4676" s="9" t="e">
        <f>Planning[[#This Row],[Saldo]]</f>
        <v>#REF!</v>
      </c>
      <c r="M4676" s="19">
        <v>0</v>
      </c>
      <c r="N4676" s="62" t="e">
        <f>+SUMIFS(#REF!,#REF!,Planning[[#This Row],[Proyectos]],#REF!,Planning[[#This Row],[Tipo de Tarea y especialidad]])</f>
        <v>#REF!</v>
      </c>
      <c r="O4676" s="34">
        <f t="shared" si="147"/>
        <v>10</v>
      </c>
      <c r="P4676" s="34">
        <f t="shared" si="148"/>
        <v>2024</v>
      </c>
      <c r="Q46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76" s="19" t="str">
        <f>TEXT(Planning[[#This Row],[Mes]]*29,"mmmm")</f>
        <v>October</v>
      </c>
      <c r="S46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76" s="210"/>
      <c r="U4676" s="43">
        <v>0</v>
      </c>
      <c r="V4676" s="43">
        <v>0</v>
      </c>
      <c r="W4676" s="44">
        <v>0</v>
      </c>
    </row>
    <row r="4677" spans="1:24" x14ac:dyDescent="0.2">
      <c r="A4677" s="9" t="s">
        <v>626</v>
      </c>
      <c r="B4677" s="9" t="s">
        <v>779</v>
      </c>
      <c r="C4677" s="3">
        <v>116893</v>
      </c>
      <c r="D4677" s="3" t="s">
        <v>800</v>
      </c>
      <c r="E4677" s="4"/>
      <c r="F4677" s="3" t="s">
        <v>121</v>
      </c>
      <c r="G4677" s="56">
        <v>100</v>
      </c>
      <c r="H4677" s="20">
        <v>90</v>
      </c>
      <c r="I4677" s="12"/>
      <c r="J4677" s="5" t="e">
        <f>SUM(SUMIFS(#REF!,#REF!,Planning[[#This Row],[Tipo de Tarea y especialidad]],#REF!,Planning[[#This Row],[Proyectos Reiwa]]),SUMIFS(#REF!,#REF!,Planning[[#This Row],[Tipo de Tarea y especialidad]],#REF!,Planning[[#This Row],[Proyectos]]))</f>
        <v>#REF!</v>
      </c>
      <c r="K4677" s="5" t="e">
        <f>+Planning[[#This Row],[Horas Planificadas]]+Planning[[#This Row],[Horas ajustadas adicionales]]-Planning[[#This Row],[Horas utilizadas]]</f>
        <v>#REF!</v>
      </c>
      <c r="L4677" s="9" t="e">
        <f>Planning[[#This Row],[Saldo]]</f>
        <v>#REF!</v>
      </c>
      <c r="M4677" s="19">
        <v>0</v>
      </c>
      <c r="N4677" s="62" t="e">
        <f>+SUMIFS(#REF!,#REF!,Planning[[#This Row],[Proyectos]],#REF!,Planning[[#This Row],[Tipo de Tarea y especialidad]])</f>
        <v>#REF!</v>
      </c>
      <c r="O4677" s="34">
        <f t="shared" si="147"/>
        <v>10</v>
      </c>
      <c r="P4677" s="34">
        <f t="shared" si="148"/>
        <v>2024</v>
      </c>
      <c r="Q46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77" s="19" t="str">
        <f>TEXT(Planning[[#This Row],[Mes]]*29,"mmmm")</f>
        <v>October</v>
      </c>
      <c r="S46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77" s="210"/>
      <c r="U4677" s="43">
        <v>0</v>
      </c>
      <c r="V4677" s="43">
        <v>0</v>
      </c>
      <c r="W4677" s="44">
        <v>0</v>
      </c>
    </row>
    <row r="4678" spans="1:24" x14ac:dyDescent="0.2">
      <c r="A4678" s="9" t="s">
        <v>626</v>
      </c>
      <c r="B4678" s="9" t="s">
        <v>779</v>
      </c>
      <c r="C4678" s="3">
        <v>116893</v>
      </c>
      <c r="D4678" s="3" t="s">
        <v>800</v>
      </c>
      <c r="E4678" s="4" t="s">
        <v>30</v>
      </c>
      <c r="F4678" s="3"/>
      <c r="G4678" s="56">
        <f>SUM(G4679:G4685)</f>
        <v>387</v>
      </c>
      <c r="H4678" s="20">
        <f>SUM(H4679:H4685)</f>
        <v>576</v>
      </c>
      <c r="I4678" s="12"/>
      <c r="J4678" s="14" t="e">
        <f>SUM(J4679:J4685)</f>
        <v>#REF!</v>
      </c>
      <c r="K4678" s="5" t="e">
        <f>+Planning[[#This Row],[Horas Planificadas]]+Planning[[#This Row],[Horas ajustadas adicionales]]-Planning[[#This Row],[Horas utilizadas]]</f>
        <v>#REF!</v>
      </c>
      <c r="L4678" s="9" t="e">
        <f>SUM(L4679:L4685)</f>
        <v>#REF!</v>
      </c>
      <c r="M4678" s="19">
        <v>0</v>
      </c>
      <c r="N4678" s="62" t="e">
        <f>+SUMIFS(#REF!,#REF!,Planning[[#This Row],[Proyectos]],#REF!,Planning[[#This Row],[Tipo de Tarea y especialidad]])</f>
        <v>#REF!</v>
      </c>
      <c r="O4678" s="34">
        <f t="shared" si="147"/>
        <v>10</v>
      </c>
      <c r="P4678" s="34">
        <f t="shared" si="148"/>
        <v>2024</v>
      </c>
      <c r="Q4678" s="16" t="e">
        <f>SUM(Q4679:Q4685)</f>
        <v>#REF!</v>
      </c>
      <c r="R4678" s="16" t="str">
        <f>TEXT(Planning[[#This Row],[Mes]]*29,"mmmm")</f>
        <v>October</v>
      </c>
      <c r="S46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78" s="210"/>
      <c r="U4678" s="43">
        <v>0</v>
      </c>
      <c r="V4678" s="43">
        <v>0</v>
      </c>
      <c r="W4678" s="44">
        <v>0</v>
      </c>
    </row>
    <row r="4679" spans="1:24" x14ac:dyDescent="0.2">
      <c r="A4679" s="9" t="s">
        <v>626</v>
      </c>
      <c r="B4679" s="9" t="s">
        <v>779</v>
      </c>
      <c r="C4679" s="3">
        <v>116893</v>
      </c>
      <c r="D4679" s="3" t="s">
        <v>800</v>
      </c>
      <c r="E4679" s="4"/>
      <c r="F4679" s="3" t="s">
        <v>122</v>
      </c>
      <c r="G4679" s="56"/>
      <c r="H4679" s="20"/>
      <c r="I4679" s="12"/>
      <c r="J4679" s="5" t="e">
        <f>SUM(SUMIFS(#REF!,#REF!,Planning[[#This Row],[Tipo de Tarea y especialidad]],#REF!,Planning[[#This Row],[Proyectos Reiwa]]),SUMIFS(#REF!,#REF!,Planning[[#This Row],[Tipo de Tarea y especialidad]],#REF!,Planning[[#This Row],[Proyectos]]))</f>
        <v>#REF!</v>
      </c>
      <c r="K4679" s="5" t="e">
        <f>+Planning[[#This Row],[Horas Planificadas]]+Planning[[#This Row],[Horas ajustadas adicionales]]-Planning[[#This Row],[Horas utilizadas]]</f>
        <v>#REF!</v>
      </c>
      <c r="L4679" s="9" t="e">
        <f>Planning[[#This Row],[Saldo]]</f>
        <v>#REF!</v>
      </c>
      <c r="M4679" s="19">
        <v>0</v>
      </c>
      <c r="N4679" s="62" t="e">
        <f>+SUMIFS(#REF!,#REF!,Planning[[#This Row],[Proyectos]],#REF!,Planning[[#This Row],[Tipo de Tarea y especialidad]])</f>
        <v>#REF!</v>
      </c>
      <c r="O4679" s="34">
        <f t="shared" si="147"/>
        <v>10</v>
      </c>
      <c r="P4679" s="34">
        <f t="shared" si="148"/>
        <v>2024</v>
      </c>
      <c r="Q46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79" s="19" t="str">
        <f>TEXT(Planning[[#This Row],[Mes]]*29,"mmmm")</f>
        <v>October</v>
      </c>
      <c r="S46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79" s="210"/>
      <c r="U4679" s="43">
        <v>0</v>
      </c>
      <c r="V4679" s="43">
        <v>0</v>
      </c>
      <c r="W4679" s="44">
        <v>0</v>
      </c>
    </row>
    <row r="4680" spans="1:24" x14ac:dyDescent="0.2">
      <c r="A4680" s="9" t="s">
        <v>626</v>
      </c>
      <c r="B4680" s="9" t="s">
        <v>779</v>
      </c>
      <c r="C4680" s="3">
        <v>116893</v>
      </c>
      <c r="D4680" s="3" t="s">
        <v>800</v>
      </c>
      <c r="E4680" s="4"/>
      <c r="F4680" s="3" t="s">
        <v>123</v>
      </c>
      <c r="G4680" s="56">
        <v>180</v>
      </c>
      <c r="H4680" s="20">
        <v>180</v>
      </c>
      <c r="I4680" s="12"/>
      <c r="J4680" s="5" t="e">
        <f>SUM(SUMIFS(#REF!,#REF!,Planning[[#This Row],[Tipo de Tarea y especialidad]],#REF!,Planning[[#This Row],[Proyectos Reiwa]]),SUMIFS(#REF!,#REF!,Planning[[#This Row],[Tipo de Tarea y especialidad]],#REF!,Planning[[#This Row],[Proyectos]]))</f>
        <v>#REF!</v>
      </c>
      <c r="K4680" s="5" t="e">
        <f>+Planning[[#This Row],[Horas Planificadas]]+Planning[[#This Row],[Horas ajustadas adicionales]]-Planning[[#This Row],[Horas utilizadas]]</f>
        <v>#REF!</v>
      </c>
      <c r="L4680" s="9" t="e">
        <f>Planning[[#This Row],[Saldo]]</f>
        <v>#REF!</v>
      </c>
      <c r="M4680" s="19">
        <v>0</v>
      </c>
      <c r="N4680" s="62" t="e">
        <f>+SUMIFS(#REF!,#REF!,Planning[[#This Row],[Proyectos]],#REF!,Planning[[#This Row],[Tipo de Tarea y especialidad]])</f>
        <v>#REF!</v>
      </c>
      <c r="O4680" s="34">
        <f t="shared" si="147"/>
        <v>10</v>
      </c>
      <c r="P4680" s="34">
        <f t="shared" si="148"/>
        <v>2024</v>
      </c>
      <c r="Q46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80" s="19" t="str">
        <f>TEXT(Planning[[#This Row],[Mes]]*29,"mmmm")</f>
        <v>October</v>
      </c>
      <c r="S46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80" s="210"/>
      <c r="U4680" s="43">
        <v>0</v>
      </c>
      <c r="V4680" s="43">
        <v>0</v>
      </c>
      <c r="W4680" s="44">
        <v>0</v>
      </c>
    </row>
    <row r="4681" spans="1:24" x14ac:dyDescent="0.2">
      <c r="A4681" s="9" t="s">
        <v>626</v>
      </c>
      <c r="B4681" s="9" t="s">
        <v>779</v>
      </c>
      <c r="C4681" s="3">
        <v>116893</v>
      </c>
      <c r="D4681" s="3" t="s">
        <v>800</v>
      </c>
      <c r="E4681" s="4"/>
      <c r="F4681" s="3" t="s">
        <v>124</v>
      </c>
      <c r="G4681" s="56"/>
      <c r="H4681" s="20"/>
      <c r="I4681" s="12"/>
      <c r="J4681" s="5" t="e">
        <f>SUM(SUMIFS(#REF!,#REF!,Planning[[#This Row],[Tipo de Tarea y especialidad]],#REF!,Planning[[#This Row],[Proyectos Reiwa]]),SUMIFS(#REF!,#REF!,Planning[[#This Row],[Tipo de Tarea y especialidad]],#REF!,Planning[[#This Row],[Proyectos]]))</f>
        <v>#REF!</v>
      </c>
      <c r="K4681" s="5" t="e">
        <f>+Planning[[#This Row],[Horas Planificadas]]+Planning[[#This Row],[Horas ajustadas adicionales]]-Planning[[#This Row],[Horas utilizadas]]</f>
        <v>#REF!</v>
      </c>
      <c r="L4681" s="9" t="e">
        <f>Planning[[#This Row],[Saldo]]</f>
        <v>#REF!</v>
      </c>
      <c r="M4681" s="19">
        <v>0</v>
      </c>
      <c r="N4681" s="62" t="e">
        <f>+SUMIFS(#REF!,#REF!,Planning[[#This Row],[Proyectos]],#REF!,Planning[[#This Row],[Tipo de Tarea y especialidad]])</f>
        <v>#REF!</v>
      </c>
      <c r="O4681" s="34">
        <f t="shared" si="147"/>
        <v>10</v>
      </c>
      <c r="P4681" s="34">
        <f t="shared" si="148"/>
        <v>2024</v>
      </c>
      <c r="Q46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81" s="19" t="str">
        <f>TEXT(Planning[[#This Row],[Mes]]*29,"mmmm")</f>
        <v>October</v>
      </c>
      <c r="S46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81" s="210"/>
      <c r="U4681" s="43">
        <v>0</v>
      </c>
      <c r="V4681" s="43">
        <v>0</v>
      </c>
      <c r="W4681" s="44">
        <v>0</v>
      </c>
    </row>
    <row r="4682" spans="1:24" x14ac:dyDescent="0.2">
      <c r="A4682" s="9" t="s">
        <v>626</v>
      </c>
      <c r="B4682" s="9" t="s">
        <v>779</v>
      </c>
      <c r="C4682" s="3">
        <v>116893</v>
      </c>
      <c r="D4682" s="3" t="s">
        <v>800</v>
      </c>
      <c r="E4682" s="4"/>
      <c r="F4682" s="3" t="s">
        <v>125</v>
      </c>
      <c r="G4682" s="56">
        <v>0</v>
      </c>
      <c r="H4682" s="20">
        <f>7*27</f>
        <v>189</v>
      </c>
      <c r="I4682" s="12"/>
      <c r="J4682" s="5" t="e">
        <f>SUM(SUMIFS(#REF!,#REF!,Planning[[#This Row],[Tipo de Tarea y especialidad]],#REF!,Planning[[#This Row],[Proyectos Reiwa]]),SUMIFS(#REF!,#REF!,Planning[[#This Row],[Tipo de Tarea y especialidad]],#REF!,Planning[[#This Row],[Proyectos]]))</f>
        <v>#REF!</v>
      </c>
      <c r="K4682" s="5" t="e">
        <f>+Planning[[#This Row],[Horas Planificadas]]+Planning[[#This Row],[Horas ajustadas adicionales]]-Planning[[#This Row],[Horas utilizadas]]</f>
        <v>#REF!</v>
      </c>
      <c r="L4682" s="9" t="e">
        <f>Planning[[#This Row],[Saldo]]</f>
        <v>#REF!</v>
      </c>
      <c r="M4682" s="19">
        <v>0</v>
      </c>
      <c r="N4682" s="62" t="e">
        <f>+SUMIFS(#REF!,#REF!,Planning[[#This Row],[Proyectos]],#REF!,Planning[[#This Row],[Tipo de Tarea y especialidad]])</f>
        <v>#REF!</v>
      </c>
      <c r="O4682" s="34">
        <f t="shared" si="147"/>
        <v>10</v>
      </c>
      <c r="P4682" s="34">
        <f t="shared" si="148"/>
        <v>2024</v>
      </c>
      <c r="Q46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82" s="19" t="str">
        <f>TEXT(Planning[[#This Row],[Mes]]*29,"mmmm")</f>
        <v>October</v>
      </c>
      <c r="S46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82" s="210"/>
      <c r="U4682" s="43">
        <v>0</v>
      </c>
      <c r="V4682" s="43">
        <v>0</v>
      </c>
      <c r="W4682" s="44">
        <v>0</v>
      </c>
    </row>
    <row r="4683" spans="1:24" x14ac:dyDescent="0.2">
      <c r="A4683" s="9" t="s">
        <v>626</v>
      </c>
      <c r="B4683" s="9" t="s">
        <v>779</v>
      </c>
      <c r="C4683" s="3">
        <v>116893</v>
      </c>
      <c r="D4683" s="3" t="s">
        <v>800</v>
      </c>
      <c r="E4683" s="4"/>
      <c r="F4683" s="3" t="s">
        <v>126</v>
      </c>
      <c r="G4683" s="56"/>
      <c r="H4683" s="20"/>
      <c r="I4683" s="12"/>
      <c r="J4683" s="5" t="e">
        <f>SUM(SUMIFS(#REF!,#REF!,Planning[[#This Row],[Tipo de Tarea y especialidad]],#REF!,Planning[[#This Row],[Proyectos Reiwa]]),SUMIFS(#REF!,#REF!,Planning[[#This Row],[Tipo de Tarea y especialidad]],#REF!,Planning[[#This Row],[Proyectos]]))</f>
        <v>#REF!</v>
      </c>
      <c r="K4683" s="5" t="e">
        <f>+Planning[[#This Row],[Horas Planificadas]]+Planning[[#This Row],[Horas ajustadas adicionales]]-Planning[[#This Row],[Horas utilizadas]]</f>
        <v>#REF!</v>
      </c>
      <c r="L4683" s="9" t="e">
        <f>Planning[[#This Row],[Saldo]]</f>
        <v>#REF!</v>
      </c>
      <c r="M4683" s="19">
        <v>0</v>
      </c>
      <c r="N4683" s="62" t="e">
        <f>+SUMIFS(#REF!,#REF!,Planning[[#This Row],[Proyectos]],#REF!,Planning[[#This Row],[Tipo de Tarea y especialidad]])</f>
        <v>#REF!</v>
      </c>
      <c r="O4683" s="34">
        <f t="shared" si="147"/>
        <v>10</v>
      </c>
      <c r="P4683" s="34">
        <f t="shared" si="148"/>
        <v>2024</v>
      </c>
      <c r="Q46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83" s="19" t="str">
        <f>TEXT(Planning[[#This Row],[Mes]]*29,"mmmm")</f>
        <v>October</v>
      </c>
      <c r="S46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83" s="210"/>
      <c r="U4683" s="43">
        <v>0</v>
      </c>
      <c r="V4683" s="43">
        <v>0</v>
      </c>
      <c r="W4683" s="44">
        <v>0</v>
      </c>
    </row>
    <row r="4684" spans="1:24" x14ac:dyDescent="0.2">
      <c r="A4684" s="9" t="s">
        <v>626</v>
      </c>
      <c r="B4684" s="9" t="s">
        <v>779</v>
      </c>
      <c r="C4684" s="3">
        <v>116893</v>
      </c>
      <c r="D4684" s="3" t="s">
        <v>800</v>
      </c>
      <c r="E4684" s="4"/>
      <c r="F4684" s="3" t="s">
        <v>127</v>
      </c>
      <c r="G4684" s="56">
        <f>45+54+108</f>
        <v>207</v>
      </c>
      <c r="H4684" s="20">
        <v>207</v>
      </c>
      <c r="I4684" s="12"/>
      <c r="J4684" s="5" t="e">
        <f>SUM(SUMIFS(#REF!,#REF!,Planning[[#This Row],[Tipo de Tarea y especialidad]],#REF!,Planning[[#This Row],[Proyectos Reiwa]]),SUMIFS(#REF!,#REF!,Planning[[#This Row],[Tipo de Tarea y especialidad]],#REF!,Planning[[#This Row],[Proyectos]]))</f>
        <v>#REF!</v>
      </c>
      <c r="K4684" s="5" t="e">
        <f>+Planning[[#This Row],[Horas Planificadas]]+Planning[[#This Row],[Horas ajustadas adicionales]]-Planning[[#This Row],[Horas utilizadas]]</f>
        <v>#REF!</v>
      </c>
      <c r="L4684" s="9" t="e">
        <f>Planning[[#This Row],[Saldo]]</f>
        <v>#REF!</v>
      </c>
      <c r="M4684" s="19">
        <v>0</v>
      </c>
      <c r="N4684" s="62" t="e">
        <f>+SUMIFS(#REF!,#REF!,Planning[[#This Row],[Proyectos]],#REF!,Planning[[#This Row],[Tipo de Tarea y especialidad]])</f>
        <v>#REF!</v>
      </c>
      <c r="O4684" s="34">
        <f t="shared" si="147"/>
        <v>10</v>
      </c>
      <c r="P4684" s="34">
        <f t="shared" si="148"/>
        <v>2024</v>
      </c>
      <c r="Q46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84" s="19" t="str">
        <f>TEXT(Planning[[#This Row],[Mes]]*29,"mmmm")</f>
        <v>October</v>
      </c>
      <c r="S46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84" s="210"/>
      <c r="U4684" s="43">
        <v>0</v>
      </c>
      <c r="V4684" s="43">
        <v>0</v>
      </c>
      <c r="W4684" s="44">
        <v>0</v>
      </c>
    </row>
    <row r="4685" spans="1:24" x14ac:dyDescent="0.2">
      <c r="A4685" s="9" t="s">
        <v>626</v>
      </c>
      <c r="B4685" s="9" t="s">
        <v>779</v>
      </c>
      <c r="C4685" s="3">
        <v>116893</v>
      </c>
      <c r="D4685" s="3" t="s">
        <v>800</v>
      </c>
      <c r="E4685" s="4"/>
      <c r="F4685" s="3" t="s">
        <v>128</v>
      </c>
      <c r="G4685" s="56"/>
      <c r="H4685" s="20"/>
      <c r="I4685" s="12"/>
      <c r="J4685" s="5" t="e">
        <f>SUM(SUMIFS(#REF!,#REF!,Planning[[#This Row],[Tipo de Tarea y especialidad]],#REF!,Planning[[#This Row],[Proyectos Reiwa]]),SUMIFS(#REF!,#REF!,Planning[[#This Row],[Tipo de Tarea y especialidad]],#REF!,Planning[[#This Row],[Proyectos]]))</f>
        <v>#REF!</v>
      </c>
      <c r="K4685" s="5" t="e">
        <f>+Planning[[#This Row],[Horas Planificadas]]+Planning[[#This Row],[Horas ajustadas adicionales]]-Planning[[#This Row],[Horas utilizadas]]</f>
        <v>#REF!</v>
      </c>
      <c r="L4685" s="9" t="e">
        <f>Planning[[#This Row],[Saldo]]</f>
        <v>#REF!</v>
      </c>
      <c r="M4685" s="19">
        <v>0</v>
      </c>
      <c r="N4685" s="62" t="e">
        <f>+SUMIFS(#REF!,#REF!,Planning[[#This Row],[Proyectos]],#REF!,Planning[[#This Row],[Tipo de Tarea y especialidad]])</f>
        <v>#REF!</v>
      </c>
      <c r="O4685" s="34">
        <f t="shared" si="147"/>
        <v>10</v>
      </c>
      <c r="P4685" s="34">
        <f t="shared" si="148"/>
        <v>2024</v>
      </c>
      <c r="Q46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85" s="19" t="str">
        <f>TEXT(Planning[[#This Row],[Mes]]*29,"mmmm")</f>
        <v>October</v>
      </c>
      <c r="S46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85" s="210"/>
      <c r="U4685" s="43">
        <v>0</v>
      </c>
      <c r="V4685" s="43">
        <v>0</v>
      </c>
      <c r="W4685" s="44">
        <v>0</v>
      </c>
    </row>
    <row r="4686" spans="1:24" x14ac:dyDescent="0.2">
      <c r="A4686" s="9" t="s">
        <v>626</v>
      </c>
      <c r="B4686" s="9" t="s">
        <v>779</v>
      </c>
      <c r="C4686" s="3">
        <v>116893</v>
      </c>
      <c r="D4686" s="3" t="s">
        <v>800</v>
      </c>
      <c r="E4686" s="4" t="s">
        <v>31</v>
      </c>
      <c r="F4686" s="3" t="s">
        <v>31</v>
      </c>
      <c r="G4686" s="56">
        <v>120</v>
      </c>
      <c r="H4686" s="20">
        <v>120</v>
      </c>
      <c r="I4686" s="12"/>
      <c r="J4686" s="14" t="e">
        <f>+SUMIFS(#REF!,#REF!,Planning[[#This Row],[Tarifa]],#REF!,Planning[[#This Row],[Proyectos]])</f>
        <v>#REF!</v>
      </c>
      <c r="K4686" s="5" t="e">
        <f>+Planning[[#This Row],[Horas Planificadas]]+Planning[[#This Row],[Horas ajustadas adicionales]]-Planning[[#This Row],[Horas utilizadas]]</f>
        <v>#REF!</v>
      </c>
      <c r="L4686" s="9" t="e">
        <f>Planning[[#This Row],[Saldo]]</f>
        <v>#REF!</v>
      </c>
      <c r="M4686" s="19">
        <v>0</v>
      </c>
      <c r="N4686" s="62" t="e">
        <f>+SUMIFS(#REF!,#REF!,Planning[[#This Row],[Proyectos]],#REF!,Planning[[#This Row],[Tipo de Tarea y especialidad]])</f>
        <v>#REF!</v>
      </c>
      <c r="O4686" s="34">
        <f t="shared" si="147"/>
        <v>10</v>
      </c>
      <c r="P4686" s="34">
        <f t="shared" si="148"/>
        <v>2024</v>
      </c>
      <c r="Q4686" s="16" t="e">
        <f>+SUMIFS(#REF!,#REF!,Planning[[#This Row],[Tarifa]],#REF!,Planning[[#This Row],[Proyectos]],#REF!,Planning[[#This Row],[Mes]],#REF!,Planning[[#This Row],[Año]])</f>
        <v>#REF!</v>
      </c>
      <c r="R4686" s="16" t="str">
        <f>TEXT(Planning[[#This Row],[Mes]]*29,"mmmm")</f>
        <v>October</v>
      </c>
      <c r="S46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86" s="210"/>
      <c r="U4686" s="43">
        <v>0</v>
      </c>
      <c r="V4686" s="43">
        <v>0</v>
      </c>
      <c r="W4686" s="44">
        <v>0</v>
      </c>
    </row>
    <row r="4687" spans="1:24" ht="22.5" x14ac:dyDescent="0.2">
      <c r="A4687" s="9" t="s">
        <v>626</v>
      </c>
      <c r="B4687" s="9" t="s">
        <v>779</v>
      </c>
      <c r="C4687" s="3">
        <v>116893</v>
      </c>
      <c r="D4687" s="3" t="s">
        <v>800</v>
      </c>
      <c r="E4687" s="4" t="s">
        <v>32</v>
      </c>
      <c r="F4687" s="3"/>
      <c r="G4687" s="56">
        <v>60</v>
      </c>
      <c r="H4687" s="20">
        <v>70</v>
      </c>
      <c r="I4687" s="12"/>
      <c r="J4687" s="14" t="e">
        <f>SUM(J4688:J4690)</f>
        <v>#REF!</v>
      </c>
      <c r="K4687" s="5" t="e">
        <f>+Planning[[#This Row],[Horas Planificadas]]+Planning[[#This Row],[Horas ajustadas adicionales]]-Planning[[#This Row],[Horas utilizadas]]</f>
        <v>#REF!</v>
      </c>
      <c r="L4687" s="9" t="e">
        <f>SUM(L4688:L4690)</f>
        <v>#REF!</v>
      </c>
      <c r="M4687" s="19">
        <v>0</v>
      </c>
      <c r="N4687" s="62" t="e">
        <f>+SUMIFS(#REF!,#REF!,Planning[[#This Row],[Proyectos]],#REF!,Planning[[#This Row],[Tipo de Tarea y especialidad]])</f>
        <v>#REF!</v>
      </c>
      <c r="O4687" s="34">
        <f t="shared" si="147"/>
        <v>10</v>
      </c>
      <c r="P4687" s="34">
        <f t="shared" si="148"/>
        <v>2024</v>
      </c>
      <c r="Q4687" s="16" t="e">
        <f>SUM(Q4688:Q4690)</f>
        <v>#REF!</v>
      </c>
      <c r="R4687" s="16" t="str">
        <f>TEXT(Planning[[#This Row],[Mes]]*29,"mmmm")</f>
        <v>October</v>
      </c>
      <c r="S46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87" s="210"/>
      <c r="U4687" s="43">
        <v>0</v>
      </c>
      <c r="V4687" s="43">
        <v>0</v>
      </c>
      <c r="W4687" s="44">
        <v>0</v>
      </c>
    </row>
    <row r="4688" spans="1:24" x14ac:dyDescent="0.2">
      <c r="A4688" s="9" t="s">
        <v>626</v>
      </c>
      <c r="B4688" s="9" t="s">
        <v>779</v>
      </c>
      <c r="C4688" s="3">
        <v>116893</v>
      </c>
      <c r="D4688" s="3" t="s">
        <v>800</v>
      </c>
      <c r="E4688" s="4"/>
      <c r="F4688" s="3" t="s">
        <v>129</v>
      </c>
      <c r="G4688" s="56"/>
      <c r="H4688" s="20"/>
      <c r="I4688" s="12"/>
      <c r="J4688" s="5" t="e">
        <f>SUM(SUMIFS(#REF!,#REF!,Planning[[#This Row],[Tipo de Tarea y especialidad]],#REF!,Planning[[#This Row],[Proyectos Reiwa]]),SUMIFS(#REF!,#REF!,Planning[[#This Row],[Tipo de Tarea y especialidad]],#REF!,Planning[[#This Row],[Proyectos]]))</f>
        <v>#REF!</v>
      </c>
      <c r="K4688" s="5" t="e">
        <f>+Planning[[#This Row],[Horas Planificadas]]+Planning[[#This Row],[Horas ajustadas adicionales]]-Planning[[#This Row],[Horas utilizadas]]</f>
        <v>#REF!</v>
      </c>
      <c r="L4688" s="9" t="e">
        <f>Planning[[#This Row],[Saldo]]</f>
        <v>#REF!</v>
      </c>
      <c r="M4688" s="19">
        <v>0</v>
      </c>
      <c r="N4688" s="62" t="e">
        <f>+SUMIFS(#REF!,#REF!,Planning[[#This Row],[Proyectos]],#REF!,Planning[[#This Row],[Tipo de Tarea y especialidad]])</f>
        <v>#REF!</v>
      </c>
      <c r="O4688" s="34">
        <f t="shared" si="147"/>
        <v>10</v>
      </c>
      <c r="P4688" s="34">
        <f t="shared" si="148"/>
        <v>2024</v>
      </c>
      <c r="Q46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88" s="19" t="str">
        <f>TEXT(Planning[[#This Row],[Mes]]*29,"mmmm")</f>
        <v>October</v>
      </c>
      <c r="S46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88" s="210"/>
      <c r="U4688" s="43">
        <v>0</v>
      </c>
      <c r="V4688" s="43">
        <v>0</v>
      </c>
      <c r="W4688" s="44">
        <v>0</v>
      </c>
    </row>
    <row r="4689" spans="1:23" x14ac:dyDescent="0.2">
      <c r="A4689" s="9" t="s">
        <v>626</v>
      </c>
      <c r="B4689" s="9" t="s">
        <v>779</v>
      </c>
      <c r="C4689" s="3">
        <v>116893</v>
      </c>
      <c r="D4689" s="3" t="s">
        <v>800</v>
      </c>
      <c r="E4689" s="4"/>
      <c r="F4689" s="3" t="s">
        <v>130</v>
      </c>
      <c r="G4689" s="56">
        <v>80</v>
      </c>
      <c r="H4689" s="20">
        <v>90</v>
      </c>
      <c r="I4689" s="12"/>
      <c r="J4689" s="5" t="e">
        <f>SUM(SUMIFS(#REF!,#REF!,Planning[[#This Row],[Tipo de Tarea y especialidad]],#REF!,Planning[[#This Row],[Proyectos Reiwa]]),SUMIFS(#REF!,#REF!,Planning[[#This Row],[Tipo de Tarea y especialidad]],#REF!,Planning[[#This Row],[Proyectos]]))</f>
        <v>#REF!</v>
      </c>
      <c r="K4689" s="5" t="e">
        <f>+Planning[[#This Row],[Horas Planificadas]]+Planning[[#This Row],[Horas ajustadas adicionales]]-Planning[[#This Row],[Horas utilizadas]]</f>
        <v>#REF!</v>
      </c>
      <c r="L4689" s="9" t="e">
        <f>Planning[[#This Row],[Saldo]]</f>
        <v>#REF!</v>
      </c>
      <c r="M4689" s="19">
        <v>0</v>
      </c>
      <c r="N4689" s="62" t="e">
        <f>+SUMIFS(#REF!,#REF!,Planning[[#This Row],[Proyectos]],#REF!,Planning[[#This Row],[Tipo de Tarea y especialidad]])</f>
        <v>#REF!</v>
      </c>
      <c r="O4689" s="34">
        <f t="shared" si="147"/>
        <v>10</v>
      </c>
      <c r="P4689" s="34">
        <f t="shared" si="148"/>
        <v>2024</v>
      </c>
      <c r="Q46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89" s="19" t="str">
        <f>TEXT(Planning[[#This Row],[Mes]]*29,"mmmm")</f>
        <v>October</v>
      </c>
      <c r="S46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89" s="210"/>
      <c r="U4689" s="43">
        <v>0</v>
      </c>
      <c r="V4689" s="43">
        <v>0</v>
      </c>
      <c r="W4689" s="44">
        <v>0</v>
      </c>
    </row>
    <row r="4690" spans="1:23" x14ac:dyDescent="0.2">
      <c r="A4690" s="9" t="s">
        <v>626</v>
      </c>
      <c r="B4690" s="9" t="s">
        <v>779</v>
      </c>
      <c r="C4690" s="3">
        <v>116893</v>
      </c>
      <c r="D4690" s="3" t="s">
        <v>800</v>
      </c>
      <c r="E4690" s="4"/>
      <c r="F4690" s="3" t="s">
        <v>131</v>
      </c>
      <c r="G4690" s="56"/>
      <c r="H4690" s="20"/>
      <c r="I4690" s="12"/>
      <c r="J4690" s="5" t="e">
        <f>SUM(SUMIFS(#REF!,#REF!,Planning[[#This Row],[Tipo de Tarea y especialidad]],#REF!,Planning[[#This Row],[Proyectos Reiwa]]),SUMIFS(#REF!,#REF!,Planning[[#This Row],[Tipo de Tarea y especialidad]],#REF!,Planning[[#This Row],[Proyectos]]))</f>
        <v>#REF!</v>
      </c>
      <c r="K4690" s="5" t="e">
        <f>+Planning[[#This Row],[Horas Planificadas]]+Planning[[#This Row],[Horas ajustadas adicionales]]-Planning[[#This Row],[Horas utilizadas]]</f>
        <v>#REF!</v>
      </c>
      <c r="L4690" s="9" t="e">
        <f>Planning[[#This Row],[Saldo]]</f>
        <v>#REF!</v>
      </c>
      <c r="M4690" s="19">
        <v>0</v>
      </c>
      <c r="N4690" s="62" t="e">
        <f>+SUMIFS(#REF!,#REF!,Planning[[#This Row],[Proyectos]],#REF!,Planning[[#This Row],[Tipo de Tarea y especialidad]])</f>
        <v>#REF!</v>
      </c>
      <c r="O4690" s="34">
        <f t="shared" si="147"/>
        <v>10</v>
      </c>
      <c r="P4690" s="34">
        <f t="shared" si="148"/>
        <v>2024</v>
      </c>
      <c r="Q46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90" s="19" t="str">
        <f>TEXT(Planning[[#This Row],[Mes]]*29,"mmmm")</f>
        <v>October</v>
      </c>
      <c r="S46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90" s="210"/>
      <c r="U4690" s="43">
        <v>0</v>
      </c>
      <c r="V4690" s="43">
        <v>0</v>
      </c>
      <c r="W4690" s="44">
        <v>0</v>
      </c>
    </row>
    <row r="4691" spans="1:23" ht="13.35" customHeight="1" x14ac:dyDescent="0.2">
      <c r="A4691" s="9" t="s">
        <v>483</v>
      </c>
      <c r="B4691" s="9" t="s">
        <v>288</v>
      </c>
      <c r="C4691" s="3"/>
      <c r="D4691" s="3" t="s">
        <v>802</v>
      </c>
      <c r="E4691" s="4" t="s">
        <v>28</v>
      </c>
      <c r="F4691" s="3"/>
      <c r="G4691" s="11"/>
      <c r="H4691" s="20">
        <f>SUM(H4692:H4693)</f>
        <v>30</v>
      </c>
      <c r="I4691" s="12"/>
      <c r="J4691" s="14" t="e">
        <f>SUM(J4692:J4693)</f>
        <v>#REF!</v>
      </c>
      <c r="K4691" s="5" t="e">
        <f>+Planning[[#This Row],[Horas Planificadas]]+Planning[[#This Row],[Horas ajustadas adicionales]]-Planning[[#This Row],[Horas utilizadas]]</f>
        <v>#REF!</v>
      </c>
      <c r="L4691" s="9">
        <f>SUM(L4692:L4693)</f>
        <v>0</v>
      </c>
      <c r="M4691" s="19" t="e">
        <f>SUM(M4692:M4693)</f>
        <v>#REF!</v>
      </c>
      <c r="N4691" s="62" t="e">
        <f>+SUMIFS(#REF!,#REF!,Planning[[#This Row],[Proyectos]],#REF!,Planning[[#This Row],[Tipo de Tarea y especialidad]])</f>
        <v>#REF!</v>
      </c>
      <c r="O4691" s="34">
        <f t="shared" si="147"/>
        <v>10</v>
      </c>
      <c r="P4691" s="34">
        <f t="shared" si="148"/>
        <v>2024</v>
      </c>
      <c r="Q4691" s="28" t="e">
        <f>SUM(Q4692:Q4693)</f>
        <v>#REF!</v>
      </c>
      <c r="R4691" s="28" t="str">
        <f>TEXT(Planning[[#This Row],[Mes]]*29,"mmmm")</f>
        <v>October</v>
      </c>
      <c r="S46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91" s="207" t="s">
        <v>803</v>
      </c>
      <c r="U4691" s="43"/>
      <c r="V4691" s="43"/>
      <c r="W4691" s="44"/>
    </row>
    <row r="4692" spans="1:23" x14ac:dyDescent="0.2">
      <c r="A4692" s="9" t="s">
        <v>483</v>
      </c>
      <c r="B4692" s="9" t="s">
        <v>288</v>
      </c>
      <c r="C4692" s="3"/>
      <c r="D4692" s="3" t="s">
        <v>802</v>
      </c>
      <c r="E4692" s="4"/>
      <c r="F4692" s="3" t="s">
        <v>120</v>
      </c>
      <c r="G4692" s="53">
        <v>20</v>
      </c>
      <c r="H4692" s="20">
        <v>20</v>
      </c>
      <c r="I4692" s="12"/>
      <c r="J4692" s="5" t="e">
        <f>SUM(SUMIFS(#REF!,#REF!,Planning[[#This Row],[Tipo de Tarea y especialidad]],#REF!,Planning[[#This Row],[Proyectos Reiwa]]),SUMIFS(#REF!,#REF!,Planning[[#This Row],[Tipo de Tarea y especialidad]],#REF!,Planning[[#This Row],[Proyectos]]))</f>
        <v>#REF!</v>
      </c>
      <c r="K4692" s="5" t="e">
        <f>+Planning[[#This Row],[Horas Planificadas]]+Planning[[#This Row],[Horas ajustadas adicionales]]-Planning[[#This Row],[Horas utilizadas]]</f>
        <v>#REF!</v>
      </c>
      <c r="L4692" s="9">
        <v>0</v>
      </c>
      <c r="M4692" s="19" t="e">
        <f>Planning[[#This Row],[Saldo]]-Planning[[#This Row],[Saldo estimado]]</f>
        <v>#REF!</v>
      </c>
      <c r="N4692" s="62" t="e">
        <f>+SUMIFS(#REF!,#REF!,Planning[[#This Row],[Proyectos]],#REF!,Planning[[#This Row],[Tipo de Tarea y especialidad]])</f>
        <v>#REF!</v>
      </c>
      <c r="O4692" s="34">
        <f t="shared" si="147"/>
        <v>10</v>
      </c>
      <c r="P4692" s="34">
        <f t="shared" si="148"/>
        <v>2024</v>
      </c>
      <c r="Q46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92" s="19" t="str">
        <f>TEXT(Planning[[#This Row],[Mes]]*29,"mmmm")</f>
        <v>October</v>
      </c>
      <c r="S46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92" s="208"/>
      <c r="U4692" s="43"/>
      <c r="V4692" s="43"/>
      <c r="W4692" s="44"/>
    </row>
    <row r="4693" spans="1:23" x14ac:dyDescent="0.2">
      <c r="A4693" s="9" t="s">
        <v>483</v>
      </c>
      <c r="B4693" s="9" t="s">
        <v>288</v>
      </c>
      <c r="C4693" s="3"/>
      <c r="D4693" s="3" t="s">
        <v>802</v>
      </c>
      <c r="E4693" s="4"/>
      <c r="F4693" s="3" t="s">
        <v>121</v>
      </c>
      <c r="G4693" s="53">
        <v>10</v>
      </c>
      <c r="H4693" s="20">
        <v>10</v>
      </c>
      <c r="I4693" s="12"/>
      <c r="J4693" s="5" t="e">
        <f>SUM(SUMIFS(#REF!,#REF!,Planning[[#This Row],[Tipo de Tarea y especialidad]],#REF!,Planning[[#This Row],[Proyectos Reiwa]]),SUMIFS(#REF!,#REF!,Planning[[#This Row],[Tipo de Tarea y especialidad]],#REF!,Planning[[#This Row],[Proyectos]]))</f>
        <v>#REF!</v>
      </c>
      <c r="K4693" s="5" t="e">
        <f>+Planning[[#This Row],[Horas Planificadas]]+Planning[[#This Row],[Horas ajustadas adicionales]]-Planning[[#This Row],[Horas utilizadas]]</f>
        <v>#REF!</v>
      </c>
      <c r="L4693" s="9">
        <v>0</v>
      </c>
      <c r="M4693" s="19" t="e">
        <f>Planning[[#This Row],[Saldo]]-Planning[[#This Row],[Saldo estimado]]</f>
        <v>#REF!</v>
      </c>
      <c r="N4693" s="62" t="e">
        <f>+SUMIFS(#REF!,#REF!,Planning[[#This Row],[Proyectos]],#REF!,Planning[[#This Row],[Tipo de Tarea y especialidad]])</f>
        <v>#REF!</v>
      </c>
      <c r="O4693" s="34">
        <f t="shared" si="147"/>
        <v>10</v>
      </c>
      <c r="P4693" s="34">
        <f t="shared" si="148"/>
        <v>2024</v>
      </c>
      <c r="Q46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93" s="19" t="str">
        <f>TEXT(Planning[[#This Row],[Mes]]*29,"mmmm")</f>
        <v>October</v>
      </c>
      <c r="S46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93" s="208"/>
      <c r="U4693" s="43"/>
      <c r="V4693" s="43"/>
      <c r="W4693" s="44"/>
    </row>
    <row r="4694" spans="1:23" x14ac:dyDescent="0.2">
      <c r="A4694" s="9" t="s">
        <v>483</v>
      </c>
      <c r="B4694" s="9" t="s">
        <v>288</v>
      </c>
      <c r="C4694" s="3"/>
      <c r="D4694" s="3" t="s">
        <v>802</v>
      </c>
      <c r="E4694" s="4" t="s">
        <v>30</v>
      </c>
      <c r="F4694" s="3"/>
      <c r="G4694" s="53"/>
      <c r="H4694" s="20">
        <f>SUM(H4695:H4701)</f>
        <v>50</v>
      </c>
      <c r="I4694" s="12"/>
      <c r="J4694" s="14" t="e">
        <f>SUM(J4695:J4701)</f>
        <v>#REF!</v>
      </c>
      <c r="K4694" s="5" t="e">
        <f>+Planning[[#This Row],[Horas Planificadas]]+Planning[[#This Row],[Horas ajustadas adicionales]]-Planning[[#This Row],[Horas utilizadas]]</f>
        <v>#REF!</v>
      </c>
      <c r="L4694" s="9">
        <f>SUM(L4695:L4701)</f>
        <v>0</v>
      </c>
      <c r="M4694" s="19" t="e">
        <f>SUM(M4695:M4701)</f>
        <v>#REF!</v>
      </c>
      <c r="N4694" s="62" t="e">
        <f>+SUMIFS(#REF!,#REF!,Planning[[#This Row],[Proyectos]],#REF!,Planning[[#This Row],[Tipo de Tarea y especialidad]])</f>
        <v>#REF!</v>
      </c>
      <c r="O4694" s="34">
        <f t="shared" si="147"/>
        <v>10</v>
      </c>
      <c r="P4694" s="34">
        <f t="shared" si="148"/>
        <v>2024</v>
      </c>
      <c r="Q4694" s="16" t="e">
        <f>SUM(Q4695:Q4701)</f>
        <v>#REF!</v>
      </c>
      <c r="R4694" s="16" t="str">
        <f>TEXT(Planning[[#This Row],[Mes]]*29,"mmmm")</f>
        <v>October</v>
      </c>
      <c r="S46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94" s="208"/>
      <c r="U4694" s="43"/>
      <c r="V4694" s="43"/>
      <c r="W4694" s="44"/>
    </row>
    <row r="4695" spans="1:23" x14ac:dyDescent="0.2">
      <c r="A4695" s="9" t="s">
        <v>483</v>
      </c>
      <c r="B4695" s="9" t="s">
        <v>288</v>
      </c>
      <c r="C4695" s="3"/>
      <c r="D4695" s="3" t="s">
        <v>802</v>
      </c>
      <c r="E4695" s="4"/>
      <c r="F4695" s="3" t="s">
        <v>122</v>
      </c>
      <c r="G4695" s="53"/>
      <c r="H4695" s="20"/>
      <c r="I4695" s="12"/>
      <c r="J4695" s="5" t="e">
        <f>SUM(SUMIFS(#REF!,#REF!,Planning[[#This Row],[Tipo de Tarea y especialidad]],#REF!,Planning[[#This Row],[Proyectos Reiwa]]),SUMIFS(#REF!,#REF!,Planning[[#This Row],[Tipo de Tarea y especialidad]],#REF!,Planning[[#This Row],[Proyectos]]))</f>
        <v>#REF!</v>
      </c>
      <c r="K4695" s="5" t="e">
        <f>+Planning[[#This Row],[Horas Planificadas]]+Planning[[#This Row],[Horas ajustadas adicionales]]-Planning[[#This Row],[Horas utilizadas]]</f>
        <v>#REF!</v>
      </c>
      <c r="L4695" s="9"/>
      <c r="M4695" s="19" t="e">
        <f>Planning[[#This Row],[Saldo]]-Planning[[#This Row],[Saldo estimado]]</f>
        <v>#REF!</v>
      </c>
      <c r="N4695" s="62" t="e">
        <f>+SUMIFS(#REF!,#REF!,Planning[[#This Row],[Proyectos]],#REF!,Planning[[#This Row],[Tipo de Tarea y especialidad]])</f>
        <v>#REF!</v>
      </c>
      <c r="O4695" s="34">
        <f t="shared" si="147"/>
        <v>10</v>
      </c>
      <c r="P4695" s="34">
        <f t="shared" si="148"/>
        <v>2024</v>
      </c>
      <c r="Q46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95" s="19" t="str">
        <f>TEXT(Planning[[#This Row],[Mes]]*29,"mmmm")</f>
        <v>October</v>
      </c>
      <c r="S46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95" s="208"/>
      <c r="U4695" s="43"/>
      <c r="V4695" s="43"/>
      <c r="W4695" s="44"/>
    </row>
    <row r="4696" spans="1:23" x14ac:dyDescent="0.2">
      <c r="A4696" s="9" t="s">
        <v>483</v>
      </c>
      <c r="B4696" s="9" t="s">
        <v>288</v>
      </c>
      <c r="C4696" s="3"/>
      <c r="D4696" s="3" t="s">
        <v>802</v>
      </c>
      <c r="E4696" s="4"/>
      <c r="F4696" s="3" t="s">
        <v>123</v>
      </c>
      <c r="G4696" s="53"/>
      <c r="H4696" s="20"/>
      <c r="I4696" s="12"/>
      <c r="J4696" s="5" t="e">
        <f>SUM(SUMIFS(#REF!,#REF!,Planning[[#This Row],[Tipo de Tarea y especialidad]],#REF!,Planning[[#This Row],[Proyectos Reiwa]]),SUMIFS(#REF!,#REF!,Planning[[#This Row],[Tipo de Tarea y especialidad]],#REF!,Planning[[#This Row],[Proyectos]]))</f>
        <v>#REF!</v>
      </c>
      <c r="K4696" s="5" t="e">
        <f>+Planning[[#This Row],[Horas Planificadas]]+Planning[[#This Row],[Horas ajustadas adicionales]]-Planning[[#This Row],[Horas utilizadas]]</f>
        <v>#REF!</v>
      </c>
      <c r="L4696" s="9"/>
      <c r="M4696" s="19" t="e">
        <f>Planning[[#This Row],[Saldo]]-Planning[[#This Row],[Saldo estimado]]</f>
        <v>#REF!</v>
      </c>
      <c r="N4696" s="62" t="e">
        <f>+SUMIFS(#REF!,#REF!,Planning[[#This Row],[Proyectos]],#REF!,Planning[[#This Row],[Tipo de Tarea y especialidad]])</f>
        <v>#REF!</v>
      </c>
      <c r="O4696" s="34">
        <f t="shared" si="147"/>
        <v>10</v>
      </c>
      <c r="P4696" s="34">
        <f t="shared" si="148"/>
        <v>2024</v>
      </c>
      <c r="Q46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96" s="19" t="str">
        <f>TEXT(Planning[[#This Row],[Mes]]*29,"mmmm")</f>
        <v>October</v>
      </c>
      <c r="S46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96" s="208"/>
      <c r="U4696" s="43"/>
      <c r="V4696" s="43"/>
      <c r="W4696" s="44"/>
    </row>
    <row r="4697" spans="1:23" x14ac:dyDescent="0.2">
      <c r="A4697" s="9" t="s">
        <v>483</v>
      </c>
      <c r="B4697" s="9" t="s">
        <v>288</v>
      </c>
      <c r="C4697" s="3"/>
      <c r="D4697" s="3" t="s">
        <v>802</v>
      </c>
      <c r="E4697" s="4"/>
      <c r="F4697" s="3" t="s">
        <v>124</v>
      </c>
      <c r="G4697" s="53">
        <v>30</v>
      </c>
      <c r="H4697" s="20">
        <v>30</v>
      </c>
      <c r="I4697" s="12"/>
      <c r="J4697" s="5" t="e">
        <f>SUM(SUMIFS(#REF!,#REF!,Planning[[#This Row],[Tipo de Tarea y especialidad]],#REF!,Planning[[#This Row],[Proyectos Reiwa]]),SUMIFS(#REF!,#REF!,Planning[[#This Row],[Tipo de Tarea y especialidad]],#REF!,Planning[[#This Row],[Proyectos]]))</f>
        <v>#REF!</v>
      </c>
      <c r="K4697" s="5" t="e">
        <f>+Planning[[#This Row],[Horas Planificadas]]+Planning[[#This Row],[Horas ajustadas adicionales]]-Planning[[#This Row],[Horas utilizadas]]</f>
        <v>#REF!</v>
      </c>
      <c r="L4697" s="9">
        <v>0</v>
      </c>
      <c r="M4697" s="19" t="e">
        <f>Planning[[#This Row],[Saldo]]-Planning[[#This Row],[Saldo estimado]]</f>
        <v>#REF!</v>
      </c>
      <c r="N4697" s="62" t="e">
        <f>+SUMIFS(#REF!,#REF!,Planning[[#This Row],[Proyectos]],#REF!,Planning[[#This Row],[Tipo de Tarea y especialidad]])</f>
        <v>#REF!</v>
      </c>
      <c r="O4697" s="34">
        <f t="shared" si="147"/>
        <v>10</v>
      </c>
      <c r="P4697" s="34">
        <f t="shared" si="148"/>
        <v>2024</v>
      </c>
      <c r="Q46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97" s="19" t="str">
        <f>TEXT(Planning[[#This Row],[Mes]]*29,"mmmm")</f>
        <v>October</v>
      </c>
      <c r="S46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97" s="208"/>
      <c r="U4697" s="43"/>
      <c r="V4697" s="43"/>
      <c r="W4697" s="44"/>
    </row>
    <row r="4698" spans="1:23" x14ac:dyDescent="0.2">
      <c r="A4698" s="9" t="s">
        <v>483</v>
      </c>
      <c r="B4698" s="9" t="s">
        <v>288</v>
      </c>
      <c r="C4698" s="3"/>
      <c r="D4698" s="3" t="s">
        <v>802</v>
      </c>
      <c r="E4698" s="4"/>
      <c r="F4698" s="3" t="s">
        <v>125</v>
      </c>
      <c r="G4698" s="53"/>
      <c r="H4698" s="20"/>
      <c r="I4698" s="12"/>
      <c r="J4698" s="5" t="e">
        <f>SUM(SUMIFS(#REF!,#REF!,Planning[[#This Row],[Tipo de Tarea y especialidad]],#REF!,Planning[[#This Row],[Proyectos Reiwa]]),SUMIFS(#REF!,#REF!,Planning[[#This Row],[Tipo de Tarea y especialidad]],#REF!,Planning[[#This Row],[Proyectos]]))</f>
        <v>#REF!</v>
      </c>
      <c r="K4698" s="5" t="e">
        <f>+Planning[[#This Row],[Horas Planificadas]]+Planning[[#This Row],[Horas ajustadas adicionales]]-Planning[[#This Row],[Horas utilizadas]]</f>
        <v>#REF!</v>
      </c>
      <c r="L4698" s="9"/>
      <c r="M4698" s="19" t="e">
        <f>Planning[[#This Row],[Saldo]]-Planning[[#This Row],[Saldo estimado]]</f>
        <v>#REF!</v>
      </c>
      <c r="N4698" s="62" t="e">
        <f>+SUMIFS(#REF!,#REF!,Planning[[#This Row],[Proyectos]],#REF!,Planning[[#This Row],[Tipo de Tarea y especialidad]])</f>
        <v>#REF!</v>
      </c>
      <c r="O4698" s="34">
        <f t="shared" si="147"/>
        <v>10</v>
      </c>
      <c r="P4698" s="34">
        <f t="shared" si="148"/>
        <v>2024</v>
      </c>
      <c r="Q46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98" s="19" t="str">
        <f>TEXT(Planning[[#This Row],[Mes]]*29,"mmmm")</f>
        <v>October</v>
      </c>
      <c r="S46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98" s="208"/>
      <c r="U4698" s="43"/>
      <c r="V4698" s="43"/>
      <c r="W4698" s="44"/>
    </row>
    <row r="4699" spans="1:23" x14ac:dyDescent="0.2">
      <c r="A4699" s="9" t="s">
        <v>483</v>
      </c>
      <c r="B4699" s="9" t="s">
        <v>288</v>
      </c>
      <c r="C4699" s="3"/>
      <c r="D4699" s="3" t="s">
        <v>802</v>
      </c>
      <c r="E4699" s="4"/>
      <c r="F4699" s="3" t="s">
        <v>126</v>
      </c>
      <c r="G4699" s="53"/>
      <c r="H4699" s="20"/>
      <c r="I4699" s="12"/>
      <c r="J4699" s="5" t="e">
        <f>SUM(SUMIFS(#REF!,#REF!,Planning[[#This Row],[Tipo de Tarea y especialidad]],#REF!,Planning[[#This Row],[Proyectos Reiwa]]),SUMIFS(#REF!,#REF!,Planning[[#This Row],[Tipo de Tarea y especialidad]],#REF!,Planning[[#This Row],[Proyectos]]))</f>
        <v>#REF!</v>
      </c>
      <c r="K4699" s="5" t="e">
        <f>+Planning[[#This Row],[Horas Planificadas]]+Planning[[#This Row],[Horas ajustadas adicionales]]-Planning[[#This Row],[Horas utilizadas]]</f>
        <v>#REF!</v>
      </c>
      <c r="L4699" s="9"/>
      <c r="M4699" s="19" t="e">
        <f>Planning[[#This Row],[Saldo]]-Planning[[#This Row],[Saldo estimado]]</f>
        <v>#REF!</v>
      </c>
      <c r="N4699" s="62" t="e">
        <f>+SUMIFS(#REF!,#REF!,Planning[[#This Row],[Proyectos]],#REF!,Planning[[#This Row],[Tipo de Tarea y especialidad]])</f>
        <v>#REF!</v>
      </c>
      <c r="O4699" s="34">
        <f t="shared" si="147"/>
        <v>10</v>
      </c>
      <c r="P4699" s="34">
        <f t="shared" si="148"/>
        <v>2024</v>
      </c>
      <c r="Q46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699" s="19" t="str">
        <f>TEXT(Planning[[#This Row],[Mes]]*29,"mmmm")</f>
        <v>October</v>
      </c>
      <c r="S46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699" s="208"/>
      <c r="U4699" s="43"/>
      <c r="V4699" s="43"/>
      <c r="W4699" s="44"/>
    </row>
    <row r="4700" spans="1:23" x14ac:dyDescent="0.2">
      <c r="A4700" s="9" t="s">
        <v>483</v>
      </c>
      <c r="B4700" s="9" t="s">
        <v>288</v>
      </c>
      <c r="C4700" s="3"/>
      <c r="D4700" s="3" t="s">
        <v>802</v>
      </c>
      <c r="E4700" s="4"/>
      <c r="F4700" s="3" t="s">
        <v>127</v>
      </c>
      <c r="G4700" s="53"/>
      <c r="H4700" s="20"/>
      <c r="I4700" s="12"/>
      <c r="J4700" s="5" t="e">
        <f>SUM(SUMIFS(#REF!,#REF!,Planning[[#This Row],[Tipo de Tarea y especialidad]],#REF!,Planning[[#This Row],[Proyectos Reiwa]]),SUMIFS(#REF!,#REF!,Planning[[#This Row],[Tipo de Tarea y especialidad]],#REF!,Planning[[#This Row],[Proyectos]]))</f>
        <v>#REF!</v>
      </c>
      <c r="K4700" s="5" t="e">
        <f>+Planning[[#This Row],[Horas Planificadas]]+Planning[[#This Row],[Horas ajustadas adicionales]]-Planning[[#This Row],[Horas utilizadas]]</f>
        <v>#REF!</v>
      </c>
      <c r="L4700" s="9"/>
      <c r="M4700" s="19" t="e">
        <f>Planning[[#This Row],[Saldo]]-Planning[[#This Row],[Saldo estimado]]</f>
        <v>#REF!</v>
      </c>
      <c r="N4700" s="62" t="e">
        <f>+SUMIFS(#REF!,#REF!,Planning[[#This Row],[Proyectos]],#REF!,Planning[[#This Row],[Tipo de Tarea y especialidad]])</f>
        <v>#REF!</v>
      </c>
      <c r="O4700" s="34">
        <f t="shared" si="147"/>
        <v>10</v>
      </c>
      <c r="P4700" s="34">
        <f t="shared" si="148"/>
        <v>2024</v>
      </c>
      <c r="Q47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00" s="19" t="str">
        <f>TEXT(Planning[[#This Row],[Mes]]*29,"mmmm")</f>
        <v>October</v>
      </c>
      <c r="S47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00" s="208"/>
      <c r="U4700" s="43"/>
      <c r="V4700" s="43"/>
      <c r="W4700" s="44"/>
    </row>
    <row r="4701" spans="1:23" x14ac:dyDescent="0.2">
      <c r="A4701" s="9" t="s">
        <v>483</v>
      </c>
      <c r="B4701" s="9" t="s">
        <v>288</v>
      </c>
      <c r="C4701" s="3"/>
      <c r="D4701" s="3" t="s">
        <v>802</v>
      </c>
      <c r="E4701" s="4"/>
      <c r="F4701" s="3" t="s">
        <v>128</v>
      </c>
      <c r="G4701" s="53">
        <v>20</v>
      </c>
      <c r="H4701" s="20">
        <v>20</v>
      </c>
      <c r="I4701" s="12"/>
      <c r="J4701" s="5" t="e">
        <f>SUM(SUMIFS(#REF!,#REF!,Planning[[#This Row],[Tipo de Tarea y especialidad]],#REF!,Planning[[#This Row],[Proyectos Reiwa]]),SUMIFS(#REF!,#REF!,Planning[[#This Row],[Tipo de Tarea y especialidad]],#REF!,Planning[[#This Row],[Proyectos]]))</f>
        <v>#REF!</v>
      </c>
      <c r="K4701" s="5" t="e">
        <f>+Planning[[#This Row],[Horas Planificadas]]+Planning[[#This Row],[Horas ajustadas adicionales]]-Planning[[#This Row],[Horas utilizadas]]</f>
        <v>#REF!</v>
      </c>
      <c r="L4701" s="9">
        <v>0</v>
      </c>
      <c r="M4701" s="19" t="e">
        <f>Planning[[#This Row],[Saldo]]-Planning[[#This Row],[Saldo estimado]]</f>
        <v>#REF!</v>
      </c>
      <c r="N4701" s="62" t="e">
        <f>+SUMIFS(#REF!,#REF!,Planning[[#This Row],[Proyectos]],#REF!,Planning[[#This Row],[Tipo de Tarea y especialidad]])</f>
        <v>#REF!</v>
      </c>
      <c r="O4701" s="34">
        <f t="shared" si="147"/>
        <v>10</v>
      </c>
      <c r="P4701" s="34">
        <f t="shared" si="148"/>
        <v>2024</v>
      </c>
      <c r="Q47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01" s="19" t="str">
        <f>TEXT(Planning[[#This Row],[Mes]]*29,"mmmm")</f>
        <v>October</v>
      </c>
      <c r="S47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01" s="208"/>
      <c r="U4701" s="43"/>
      <c r="V4701" s="43"/>
      <c r="W4701" s="44"/>
    </row>
    <row r="4702" spans="1:23" x14ac:dyDescent="0.2">
      <c r="A4702" s="9" t="s">
        <v>483</v>
      </c>
      <c r="B4702" s="9" t="s">
        <v>288</v>
      </c>
      <c r="C4702" s="3"/>
      <c r="D4702" s="3" t="s">
        <v>802</v>
      </c>
      <c r="E4702" s="4" t="s">
        <v>31</v>
      </c>
      <c r="F4702" s="3" t="s">
        <v>31</v>
      </c>
      <c r="G4702" s="53">
        <v>60</v>
      </c>
      <c r="H4702" s="20">
        <v>60</v>
      </c>
      <c r="I4702" s="12"/>
      <c r="J4702" s="14" t="e">
        <f>+SUMIFS(#REF!,#REF!,Planning[[#This Row],[Tarifa]],#REF!,Planning[[#This Row],[Proyectos]])</f>
        <v>#REF!</v>
      </c>
      <c r="K4702" s="5" t="e">
        <f>+Planning[[#This Row],[Horas Planificadas]]+Planning[[#This Row],[Horas ajustadas adicionales]]-Planning[[#This Row],[Horas utilizadas]]</f>
        <v>#REF!</v>
      </c>
      <c r="L4702" s="9">
        <v>0</v>
      </c>
      <c r="M4702" s="19" t="e">
        <f>Planning[[#This Row],[Saldo]]-Planning[[#This Row],[Saldo estimado]]</f>
        <v>#REF!</v>
      </c>
      <c r="N4702" s="62" t="e">
        <f>+SUMIFS(#REF!,#REF!,Planning[[#This Row],[Proyectos]],#REF!,Planning[[#This Row],[Tipo de Tarea y especialidad]])</f>
        <v>#REF!</v>
      </c>
      <c r="O4702" s="34">
        <f t="shared" si="147"/>
        <v>10</v>
      </c>
      <c r="P4702" s="34">
        <f t="shared" si="148"/>
        <v>2024</v>
      </c>
      <c r="Q4702" s="16" t="e">
        <f>+SUMIFS(#REF!,#REF!,Planning[[#This Row],[Tarifa]],#REF!,Planning[[#This Row],[Proyectos]],#REF!,Planning[[#This Row],[Mes]],#REF!,Planning[[#This Row],[Año]])</f>
        <v>#REF!</v>
      </c>
      <c r="R4702" s="16" t="str">
        <f>TEXT(Planning[[#This Row],[Mes]]*29,"mmmm")</f>
        <v>October</v>
      </c>
      <c r="S47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02" s="208"/>
      <c r="U4702" s="43"/>
      <c r="V4702" s="43"/>
      <c r="W4702" s="44"/>
    </row>
    <row r="4703" spans="1:23" ht="22.5" x14ac:dyDescent="0.2">
      <c r="A4703" s="9" t="s">
        <v>483</v>
      </c>
      <c r="B4703" s="9" t="s">
        <v>288</v>
      </c>
      <c r="C4703" s="3"/>
      <c r="D4703" s="3" t="s">
        <v>802</v>
      </c>
      <c r="E4703" s="4" t="s">
        <v>32</v>
      </c>
      <c r="F4703" s="3"/>
      <c r="G4703" s="53"/>
      <c r="H4703" s="20">
        <f>SUM(H4704:H4706)</f>
        <v>80</v>
      </c>
      <c r="I4703" s="12"/>
      <c r="J4703" s="14" t="e">
        <f>SUM(J4704:J4706)</f>
        <v>#REF!</v>
      </c>
      <c r="K4703" s="5" t="e">
        <f>+Planning[[#This Row],[Horas Planificadas]]+Planning[[#This Row],[Horas ajustadas adicionales]]-Planning[[#This Row],[Horas utilizadas]]</f>
        <v>#REF!</v>
      </c>
      <c r="L4703" s="9">
        <f>SUM(L4704:L4706)</f>
        <v>0</v>
      </c>
      <c r="M4703" s="19" t="e">
        <f>SUM(M4704:M4706)</f>
        <v>#REF!</v>
      </c>
      <c r="N4703" s="62" t="e">
        <f>+SUMIFS(#REF!,#REF!,Planning[[#This Row],[Proyectos]],#REF!,Planning[[#This Row],[Tipo de Tarea y especialidad]])</f>
        <v>#REF!</v>
      </c>
      <c r="O4703" s="34">
        <f t="shared" si="147"/>
        <v>10</v>
      </c>
      <c r="P4703" s="34">
        <f t="shared" si="148"/>
        <v>2024</v>
      </c>
      <c r="Q4703" s="16" t="e">
        <f>SUM(Q4704:Q4706)</f>
        <v>#REF!</v>
      </c>
      <c r="R4703" s="16" t="str">
        <f>TEXT(Planning[[#This Row],[Mes]]*29,"mmmm")</f>
        <v>October</v>
      </c>
      <c r="S47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03" s="208"/>
      <c r="U4703" s="43"/>
      <c r="V4703" s="43"/>
      <c r="W4703" s="44"/>
    </row>
    <row r="4704" spans="1:23" x14ac:dyDescent="0.2">
      <c r="A4704" s="9" t="s">
        <v>483</v>
      </c>
      <c r="B4704" s="9" t="s">
        <v>288</v>
      </c>
      <c r="C4704" s="3"/>
      <c r="D4704" s="3" t="s">
        <v>802</v>
      </c>
      <c r="E4704" s="4"/>
      <c r="F4704" s="3" t="s">
        <v>129</v>
      </c>
      <c r="G4704" s="53"/>
      <c r="H4704" s="20"/>
      <c r="I4704" s="12"/>
      <c r="J4704" s="5" t="e">
        <f>SUM(SUMIFS(#REF!,#REF!,Planning[[#This Row],[Tipo de Tarea y especialidad]],#REF!,Planning[[#This Row],[Proyectos Reiwa]]),SUMIFS(#REF!,#REF!,Planning[[#This Row],[Tipo de Tarea y especialidad]],#REF!,Planning[[#This Row],[Proyectos]]))</f>
        <v>#REF!</v>
      </c>
      <c r="K4704" s="5" t="e">
        <f>+Planning[[#This Row],[Horas Planificadas]]+Planning[[#This Row],[Horas ajustadas adicionales]]-Planning[[#This Row],[Horas utilizadas]]</f>
        <v>#REF!</v>
      </c>
      <c r="L4704" s="9"/>
      <c r="M4704" s="19" t="e">
        <f>Planning[[#This Row],[Saldo]]-Planning[[#This Row],[Saldo estimado]]</f>
        <v>#REF!</v>
      </c>
      <c r="N4704" s="62" t="e">
        <f>+SUMIFS(#REF!,#REF!,Planning[[#This Row],[Proyectos]],#REF!,Planning[[#This Row],[Tipo de Tarea y especialidad]])</f>
        <v>#REF!</v>
      </c>
      <c r="O4704" s="34">
        <f t="shared" si="147"/>
        <v>10</v>
      </c>
      <c r="P4704" s="34">
        <f t="shared" si="148"/>
        <v>2024</v>
      </c>
      <c r="Q47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04" s="19" t="str">
        <f>TEXT(Planning[[#This Row],[Mes]]*29,"mmmm")</f>
        <v>October</v>
      </c>
      <c r="S47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04" s="208"/>
      <c r="U4704" s="43"/>
      <c r="V4704" s="43"/>
      <c r="W4704" s="44"/>
    </row>
    <row r="4705" spans="1:23" x14ac:dyDescent="0.2">
      <c r="A4705" s="9" t="s">
        <v>483</v>
      </c>
      <c r="B4705" s="9" t="s">
        <v>288</v>
      </c>
      <c r="C4705" s="3"/>
      <c r="D4705" s="3" t="s">
        <v>802</v>
      </c>
      <c r="E4705" s="4"/>
      <c r="F4705" s="3" t="s">
        <v>130</v>
      </c>
      <c r="G4705" s="53"/>
      <c r="H4705" s="20"/>
      <c r="I4705" s="12"/>
      <c r="J4705" s="5" t="e">
        <f>SUM(SUMIFS(#REF!,#REF!,Planning[[#This Row],[Tipo de Tarea y especialidad]],#REF!,Planning[[#This Row],[Proyectos Reiwa]]),SUMIFS(#REF!,#REF!,Planning[[#This Row],[Tipo de Tarea y especialidad]],#REF!,Planning[[#This Row],[Proyectos]]))</f>
        <v>#REF!</v>
      </c>
      <c r="K4705" s="5" t="e">
        <f>+Planning[[#This Row],[Horas Planificadas]]+Planning[[#This Row],[Horas ajustadas adicionales]]-Planning[[#This Row],[Horas utilizadas]]</f>
        <v>#REF!</v>
      </c>
      <c r="L4705" s="9"/>
      <c r="M4705" s="19" t="e">
        <f>Planning[[#This Row],[Saldo]]-Planning[[#This Row],[Saldo estimado]]</f>
        <v>#REF!</v>
      </c>
      <c r="N4705" s="62" t="e">
        <f>+SUMIFS(#REF!,#REF!,Planning[[#This Row],[Proyectos]],#REF!,Planning[[#This Row],[Tipo de Tarea y especialidad]])</f>
        <v>#REF!</v>
      </c>
      <c r="O4705" s="34">
        <f t="shared" si="147"/>
        <v>10</v>
      </c>
      <c r="P4705" s="34">
        <f t="shared" si="148"/>
        <v>2024</v>
      </c>
      <c r="Q47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05" s="19" t="str">
        <f>TEXT(Planning[[#This Row],[Mes]]*29,"mmmm")</f>
        <v>October</v>
      </c>
      <c r="S47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05" s="208"/>
      <c r="U4705" s="43"/>
      <c r="V4705" s="43"/>
      <c r="W4705" s="44"/>
    </row>
    <row r="4706" spans="1:23" x14ac:dyDescent="0.2">
      <c r="A4706" s="9" t="s">
        <v>483</v>
      </c>
      <c r="B4706" s="9" t="s">
        <v>288</v>
      </c>
      <c r="C4706" s="3"/>
      <c r="D4706" s="3" t="s">
        <v>802</v>
      </c>
      <c r="E4706" s="4"/>
      <c r="F4706" s="3" t="s">
        <v>131</v>
      </c>
      <c r="G4706" s="53">
        <v>80</v>
      </c>
      <c r="H4706" s="20">
        <v>80</v>
      </c>
      <c r="I4706" s="12"/>
      <c r="J4706" s="5" t="e">
        <f>SUM(SUMIFS(#REF!,#REF!,Planning[[#This Row],[Tipo de Tarea y especialidad]],#REF!,Planning[[#This Row],[Proyectos Reiwa]]),SUMIFS(#REF!,#REF!,Planning[[#This Row],[Tipo de Tarea y especialidad]],#REF!,Planning[[#This Row],[Proyectos]]))</f>
        <v>#REF!</v>
      </c>
      <c r="K4706" s="5" t="e">
        <f>+Planning[[#This Row],[Horas Planificadas]]+Planning[[#This Row],[Horas ajustadas adicionales]]-Planning[[#This Row],[Horas utilizadas]]</f>
        <v>#REF!</v>
      </c>
      <c r="L4706" s="9">
        <v>0</v>
      </c>
      <c r="M4706" s="19" t="e">
        <f>Planning[[#This Row],[Saldo]]-Planning[[#This Row],[Saldo estimado]]</f>
        <v>#REF!</v>
      </c>
      <c r="N4706" s="62" t="e">
        <f>+SUMIFS(#REF!,#REF!,Planning[[#This Row],[Proyectos]],#REF!,Planning[[#This Row],[Tipo de Tarea y especialidad]])</f>
        <v>#REF!</v>
      </c>
      <c r="O4706" s="34">
        <f t="shared" si="147"/>
        <v>10</v>
      </c>
      <c r="P4706" s="34">
        <f t="shared" si="148"/>
        <v>2024</v>
      </c>
      <c r="Q47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06" s="19" t="str">
        <f>TEXT(Planning[[#This Row],[Mes]]*29,"mmmm")</f>
        <v>October</v>
      </c>
      <c r="S47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06" s="208"/>
      <c r="U4706" s="43"/>
      <c r="V4706" s="43"/>
      <c r="W4706" s="44"/>
    </row>
    <row r="4707" spans="1:23" ht="13.35" customHeight="1" x14ac:dyDescent="0.2">
      <c r="A4707" s="9" t="s">
        <v>722</v>
      </c>
      <c r="B4707" s="9" t="s">
        <v>288</v>
      </c>
      <c r="C4707" s="3"/>
      <c r="D4707" s="3" t="s">
        <v>804</v>
      </c>
      <c r="E4707" s="4" t="s">
        <v>28</v>
      </c>
      <c r="F4707" s="3"/>
      <c r="G4707" s="11"/>
      <c r="H4707" s="20">
        <f>SUM(H4708:H4709)</f>
        <v>0</v>
      </c>
      <c r="I4707" s="12"/>
      <c r="J4707" s="14" t="e">
        <f>SUM(J4708:J4709)</f>
        <v>#REF!</v>
      </c>
      <c r="K4707" s="5" t="e">
        <f>+Planning[[#This Row],[Horas Planificadas]]+Planning[[#This Row],[Horas ajustadas adicionales]]-Planning[[#This Row],[Horas utilizadas]]</f>
        <v>#REF!</v>
      </c>
      <c r="L4707" s="9">
        <f>SUM(L4708:L4709)</f>
        <v>0</v>
      </c>
      <c r="M4707" s="19" t="e">
        <f>SUM(M4708:M4709)</f>
        <v>#REF!</v>
      </c>
      <c r="N4707" s="62" t="e">
        <f>+SUMIFS(#REF!,#REF!,Planning[[#This Row],[Proyectos]],#REF!,Planning[[#This Row],[Tipo de Tarea y especialidad]])</f>
        <v>#REF!</v>
      </c>
      <c r="O4707" s="34">
        <f t="shared" si="147"/>
        <v>10</v>
      </c>
      <c r="P4707" s="34">
        <f t="shared" si="148"/>
        <v>2024</v>
      </c>
      <c r="Q4707" s="28" t="e">
        <f>SUM(Q4708:Q4709)</f>
        <v>#REF!</v>
      </c>
      <c r="R4707" s="28" t="str">
        <f>TEXT(Planning[[#This Row],[Mes]]*29,"mmmm")</f>
        <v>October</v>
      </c>
      <c r="S47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07" s="207" t="s">
        <v>805</v>
      </c>
      <c r="U4707" s="43"/>
      <c r="V4707" s="43"/>
      <c r="W4707" s="44"/>
    </row>
    <row r="4708" spans="1:23" x14ac:dyDescent="0.2">
      <c r="A4708" s="9" t="s">
        <v>722</v>
      </c>
      <c r="B4708" s="9" t="s">
        <v>288</v>
      </c>
      <c r="C4708" s="3"/>
      <c r="D4708" s="3" t="s">
        <v>804</v>
      </c>
      <c r="E4708" s="4"/>
      <c r="F4708" s="3" t="s">
        <v>120</v>
      </c>
      <c r="G4708" s="53">
        <v>0</v>
      </c>
      <c r="H4708" s="20">
        <v>0</v>
      </c>
      <c r="I4708" s="12"/>
      <c r="J4708" s="5" t="e">
        <f>SUM(SUMIFS(#REF!,#REF!,Planning[[#This Row],[Tipo de Tarea y especialidad]],#REF!,Planning[[#This Row],[Proyectos Reiwa]]),SUMIFS(#REF!,#REF!,Planning[[#This Row],[Tipo de Tarea y especialidad]],#REF!,Planning[[#This Row],[Proyectos]]))</f>
        <v>#REF!</v>
      </c>
      <c r="K4708" s="5" t="e">
        <f>+Planning[[#This Row],[Horas Planificadas]]+Planning[[#This Row],[Horas ajustadas adicionales]]-Planning[[#This Row],[Horas utilizadas]]</f>
        <v>#REF!</v>
      </c>
      <c r="L4708" s="9">
        <v>0</v>
      </c>
      <c r="M4708" s="19" t="e">
        <f>Planning[[#This Row],[Saldo]]-Planning[[#This Row],[Saldo estimado]]</f>
        <v>#REF!</v>
      </c>
      <c r="N4708" s="62" t="e">
        <f>+SUMIFS(#REF!,#REF!,Planning[[#This Row],[Proyectos]],#REF!,Planning[[#This Row],[Tipo de Tarea y especialidad]])</f>
        <v>#REF!</v>
      </c>
      <c r="O4708" s="34">
        <f t="shared" si="147"/>
        <v>10</v>
      </c>
      <c r="P4708" s="34">
        <f t="shared" si="148"/>
        <v>2024</v>
      </c>
      <c r="Q47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08" s="19" t="str">
        <f>TEXT(Planning[[#This Row],[Mes]]*29,"mmmm")</f>
        <v>October</v>
      </c>
      <c r="S47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08" s="208"/>
      <c r="U4708" s="43"/>
      <c r="V4708" s="43"/>
      <c r="W4708" s="44"/>
    </row>
    <row r="4709" spans="1:23" x14ac:dyDescent="0.2">
      <c r="A4709" s="9" t="s">
        <v>722</v>
      </c>
      <c r="B4709" s="9" t="s">
        <v>288</v>
      </c>
      <c r="C4709" s="3"/>
      <c r="D4709" s="3" t="s">
        <v>804</v>
      </c>
      <c r="E4709" s="4"/>
      <c r="F4709" s="3" t="s">
        <v>121</v>
      </c>
      <c r="G4709" s="53">
        <v>0</v>
      </c>
      <c r="H4709" s="20">
        <v>0</v>
      </c>
      <c r="I4709" s="12"/>
      <c r="J4709" s="5" t="e">
        <f>SUM(SUMIFS(#REF!,#REF!,Planning[[#This Row],[Tipo de Tarea y especialidad]],#REF!,Planning[[#This Row],[Proyectos Reiwa]]),SUMIFS(#REF!,#REF!,Planning[[#This Row],[Tipo de Tarea y especialidad]],#REF!,Planning[[#This Row],[Proyectos]]))</f>
        <v>#REF!</v>
      </c>
      <c r="K4709" s="5" t="e">
        <f>+Planning[[#This Row],[Horas Planificadas]]+Planning[[#This Row],[Horas ajustadas adicionales]]-Planning[[#This Row],[Horas utilizadas]]</f>
        <v>#REF!</v>
      </c>
      <c r="L4709" s="9">
        <v>0</v>
      </c>
      <c r="M4709" s="19" t="e">
        <f>Planning[[#This Row],[Saldo]]-Planning[[#This Row],[Saldo estimado]]</f>
        <v>#REF!</v>
      </c>
      <c r="N4709" s="62" t="e">
        <f>+SUMIFS(#REF!,#REF!,Planning[[#This Row],[Proyectos]],#REF!,Planning[[#This Row],[Tipo de Tarea y especialidad]])</f>
        <v>#REF!</v>
      </c>
      <c r="O4709" s="34">
        <f t="shared" si="147"/>
        <v>10</v>
      </c>
      <c r="P4709" s="34">
        <f t="shared" si="148"/>
        <v>2024</v>
      </c>
      <c r="Q47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09" s="19" t="str">
        <f>TEXT(Planning[[#This Row],[Mes]]*29,"mmmm")</f>
        <v>October</v>
      </c>
      <c r="S47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09" s="208"/>
      <c r="U4709" s="43"/>
      <c r="V4709" s="43"/>
      <c r="W4709" s="44"/>
    </row>
    <row r="4710" spans="1:23" x14ac:dyDescent="0.2">
      <c r="A4710" s="9" t="s">
        <v>722</v>
      </c>
      <c r="B4710" s="9" t="s">
        <v>288</v>
      </c>
      <c r="C4710" s="3"/>
      <c r="D4710" s="3" t="s">
        <v>804</v>
      </c>
      <c r="E4710" s="4" t="s">
        <v>30</v>
      </c>
      <c r="F4710" s="3"/>
      <c r="G4710" s="53"/>
      <c r="H4710" s="20">
        <f>SUM(H4711:H4717)</f>
        <v>38</v>
      </c>
      <c r="I4710" s="12"/>
      <c r="J4710" s="14" t="e">
        <f>SUM(J4711:J4717)</f>
        <v>#REF!</v>
      </c>
      <c r="K4710" s="5" t="e">
        <f>+Planning[[#This Row],[Horas Planificadas]]+Planning[[#This Row],[Horas ajustadas adicionales]]-Planning[[#This Row],[Horas utilizadas]]</f>
        <v>#REF!</v>
      </c>
      <c r="L4710" s="9">
        <f>SUM(L4711:L4717)</f>
        <v>0</v>
      </c>
      <c r="M4710" s="19" t="e">
        <f>SUM(M4711:M4717)</f>
        <v>#REF!</v>
      </c>
      <c r="N4710" s="62" t="e">
        <f>+SUMIFS(#REF!,#REF!,Planning[[#This Row],[Proyectos]],#REF!,Planning[[#This Row],[Tipo de Tarea y especialidad]])</f>
        <v>#REF!</v>
      </c>
      <c r="O4710" s="34">
        <f t="shared" si="147"/>
        <v>10</v>
      </c>
      <c r="P4710" s="34">
        <f t="shared" si="148"/>
        <v>2024</v>
      </c>
      <c r="Q4710" s="16" t="e">
        <f>SUM(Q4711:Q4717)</f>
        <v>#REF!</v>
      </c>
      <c r="R4710" s="16" t="str">
        <f>TEXT(Planning[[#This Row],[Mes]]*29,"mmmm")</f>
        <v>October</v>
      </c>
      <c r="S47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10" s="208"/>
      <c r="U4710" s="43"/>
      <c r="V4710" s="43"/>
      <c r="W4710" s="44"/>
    </row>
    <row r="4711" spans="1:23" x14ac:dyDescent="0.2">
      <c r="A4711" s="9" t="s">
        <v>722</v>
      </c>
      <c r="B4711" s="9" t="s">
        <v>288</v>
      </c>
      <c r="C4711" s="3"/>
      <c r="D4711" s="3" t="s">
        <v>804</v>
      </c>
      <c r="E4711" s="4"/>
      <c r="F4711" s="3" t="s">
        <v>122</v>
      </c>
      <c r="G4711" s="53"/>
      <c r="H4711" s="20"/>
      <c r="I4711" s="12"/>
      <c r="J4711" s="5" t="e">
        <f>SUM(SUMIFS(#REF!,#REF!,Planning[[#This Row],[Tipo de Tarea y especialidad]],#REF!,Planning[[#This Row],[Proyectos Reiwa]]),SUMIFS(#REF!,#REF!,Planning[[#This Row],[Tipo de Tarea y especialidad]],#REF!,Planning[[#This Row],[Proyectos]]))</f>
        <v>#REF!</v>
      </c>
      <c r="K4711" s="5" t="e">
        <f>+Planning[[#This Row],[Horas Planificadas]]+Planning[[#This Row],[Horas ajustadas adicionales]]-Planning[[#This Row],[Horas utilizadas]]</f>
        <v>#REF!</v>
      </c>
      <c r="L4711" s="9"/>
      <c r="M4711" s="19" t="e">
        <f>Planning[[#This Row],[Saldo]]-Planning[[#This Row],[Saldo estimado]]</f>
        <v>#REF!</v>
      </c>
      <c r="N4711" s="62" t="e">
        <f>+SUMIFS(#REF!,#REF!,Planning[[#This Row],[Proyectos]],#REF!,Planning[[#This Row],[Tipo de Tarea y especialidad]])</f>
        <v>#REF!</v>
      </c>
      <c r="O4711" s="34">
        <f t="shared" si="147"/>
        <v>10</v>
      </c>
      <c r="P4711" s="34">
        <f t="shared" si="148"/>
        <v>2024</v>
      </c>
      <c r="Q47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11" s="19" t="str">
        <f>TEXT(Planning[[#This Row],[Mes]]*29,"mmmm")</f>
        <v>October</v>
      </c>
      <c r="S47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11" s="208"/>
      <c r="U4711" s="43"/>
      <c r="V4711" s="43"/>
      <c r="W4711" s="44"/>
    </row>
    <row r="4712" spans="1:23" x14ac:dyDescent="0.2">
      <c r="A4712" s="9" t="s">
        <v>722</v>
      </c>
      <c r="B4712" s="9" t="s">
        <v>288</v>
      </c>
      <c r="C4712" s="3"/>
      <c r="D4712" s="3" t="s">
        <v>804</v>
      </c>
      <c r="E4712" s="4"/>
      <c r="F4712" s="3" t="s">
        <v>123</v>
      </c>
      <c r="G4712" s="53"/>
      <c r="H4712" s="20"/>
      <c r="I4712" s="12"/>
      <c r="J4712" s="5" t="e">
        <f>SUM(SUMIFS(#REF!,#REF!,Planning[[#This Row],[Tipo de Tarea y especialidad]],#REF!,Planning[[#This Row],[Proyectos Reiwa]]),SUMIFS(#REF!,#REF!,Planning[[#This Row],[Tipo de Tarea y especialidad]],#REF!,Planning[[#This Row],[Proyectos]]))</f>
        <v>#REF!</v>
      </c>
      <c r="K4712" s="5" t="e">
        <f>+Planning[[#This Row],[Horas Planificadas]]+Planning[[#This Row],[Horas ajustadas adicionales]]-Planning[[#This Row],[Horas utilizadas]]</f>
        <v>#REF!</v>
      </c>
      <c r="L4712" s="9"/>
      <c r="M4712" s="19" t="e">
        <f>Planning[[#This Row],[Saldo]]-Planning[[#This Row],[Saldo estimado]]</f>
        <v>#REF!</v>
      </c>
      <c r="N4712" s="62" t="e">
        <f>+SUMIFS(#REF!,#REF!,Planning[[#This Row],[Proyectos]],#REF!,Planning[[#This Row],[Tipo de Tarea y especialidad]])</f>
        <v>#REF!</v>
      </c>
      <c r="O4712" s="34">
        <f t="shared" si="147"/>
        <v>10</v>
      </c>
      <c r="P4712" s="34">
        <f t="shared" si="148"/>
        <v>2024</v>
      </c>
      <c r="Q47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12" s="19" t="str">
        <f>TEXT(Planning[[#This Row],[Mes]]*29,"mmmm")</f>
        <v>October</v>
      </c>
      <c r="S47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12" s="208"/>
      <c r="U4712" s="43"/>
      <c r="V4712" s="43"/>
      <c r="W4712" s="44"/>
    </row>
    <row r="4713" spans="1:23" x14ac:dyDescent="0.2">
      <c r="A4713" s="9" t="s">
        <v>722</v>
      </c>
      <c r="B4713" s="9" t="s">
        <v>288</v>
      </c>
      <c r="C4713" s="3"/>
      <c r="D4713" s="3" t="s">
        <v>804</v>
      </c>
      <c r="E4713" s="4"/>
      <c r="F4713" s="3" t="s">
        <v>124</v>
      </c>
      <c r="G4713" s="53">
        <v>38</v>
      </c>
      <c r="H4713" s="20">
        <v>38</v>
      </c>
      <c r="I4713" s="12"/>
      <c r="J4713" s="5" t="e">
        <f>SUM(SUMIFS(#REF!,#REF!,Planning[[#This Row],[Tipo de Tarea y especialidad]],#REF!,Planning[[#This Row],[Proyectos Reiwa]]),SUMIFS(#REF!,#REF!,Planning[[#This Row],[Tipo de Tarea y especialidad]],#REF!,Planning[[#This Row],[Proyectos]]))</f>
        <v>#REF!</v>
      </c>
      <c r="K4713" s="5" t="e">
        <f>+Planning[[#This Row],[Horas Planificadas]]+Planning[[#This Row],[Horas ajustadas adicionales]]-Planning[[#This Row],[Horas utilizadas]]</f>
        <v>#REF!</v>
      </c>
      <c r="L4713" s="9">
        <v>0</v>
      </c>
      <c r="M4713" s="19" t="e">
        <f>Planning[[#This Row],[Saldo]]-Planning[[#This Row],[Saldo estimado]]</f>
        <v>#REF!</v>
      </c>
      <c r="N4713" s="62" t="e">
        <f>+SUMIFS(#REF!,#REF!,Planning[[#This Row],[Proyectos]],#REF!,Planning[[#This Row],[Tipo de Tarea y especialidad]])</f>
        <v>#REF!</v>
      </c>
      <c r="O4713" s="34">
        <f t="shared" si="147"/>
        <v>10</v>
      </c>
      <c r="P4713" s="34">
        <f t="shared" si="148"/>
        <v>2024</v>
      </c>
      <c r="Q47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13" s="19" t="str">
        <f>TEXT(Planning[[#This Row],[Mes]]*29,"mmmm")</f>
        <v>October</v>
      </c>
      <c r="S47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13" s="208"/>
      <c r="U4713" s="43"/>
      <c r="V4713" s="43"/>
      <c r="W4713" s="44"/>
    </row>
    <row r="4714" spans="1:23" x14ac:dyDescent="0.2">
      <c r="A4714" s="9" t="s">
        <v>722</v>
      </c>
      <c r="B4714" s="9" t="s">
        <v>288</v>
      </c>
      <c r="C4714" s="3"/>
      <c r="D4714" s="3" t="s">
        <v>804</v>
      </c>
      <c r="E4714" s="4"/>
      <c r="F4714" s="3" t="s">
        <v>125</v>
      </c>
      <c r="G4714" s="53"/>
      <c r="H4714" s="20"/>
      <c r="I4714" s="12"/>
      <c r="J4714" s="5" t="e">
        <f>SUM(SUMIFS(#REF!,#REF!,Planning[[#This Row],[Tipo de Tarea y especialidad]],#REF!,Planning[[#This Row],[Proyectos Reiwa]]),SUMIFS(#REF!,#REF!,Planning[[#This Row],[Tipo de Tarea y especialidad]],#REF!,Planning[[#This Row],[Proyectos]]))</f>
        <v>#REF!</v>
      </c>
      <c r="K4714" s="5" t="e">
        <f>+Planning[[#This Row],[Horas Planificadas]]+Planning[[#This Row],[Horas ajustadas adicionales]]-Planning[[#This Row],[Horas utilizadas]]</f>
        <v>#REF!</v>
      </c>
      <c r="L4714" s="9"/>
      <c r="M4714" s="19" t="e">
        <f>Planning[[#This Row],[Saldo]]-Planning[[#This Row],[Saldo estimado]]</f>
        <v>#REF!</v>
      </c>
      <c r="N4714" s="62" t="e">
        <f>+SUMIFS(#REF!,#REF!,Planning[[#This Row],[Proyectos]],#REF!,Planning[[#This Row],[Tipo de Tarea y especialidad]])</f>
        <v>#REF!</v>
      </c>
      <c r="O4714" s="34">
        <f t="shared" si="147"/>
        <v>10</v>
      </c>
      <c r="P4714" s="34">
        <f t="shared" si="148"/>
        <v>2024</v>
      </c>
      <c r="Q47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14" s="19" t="str">
        <f>TEXT(Planning[[#This Row],[Mes]]*29,"mmmm")</f>
        <v>October</v>
      </c>
      <c r="S47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14" s="208"/>
      <c r="U4714" s="43"/>
      <c r="V4714" s="43"/>
      <c r="W4714" s="44"/>
    </row>
    <row r="4715" spans="1:23" x14ac:dyDescent="0.2">
      <c r="A4715" s="9" t="s">
        <v>722</v>
      </c>
      <c r="B4715" s="9" t="s">
        <v>288</v>
      </c>
      <c r="C4715" s="3"/>
      <c r="D4715" s="3" t="s">
        <v>804</v>
      </c>
      <c r="E4715" s="4"/>
      <c r="F4715" s="3" t="s">
        <v>126</v>
      </c>
      <c r="G4715" s="53"/>
      <c r="H4715" s="20"/>
      <c r="I4715" s="12"/>
      <c r="J4715" s="5" t="e">
        <f>SUM(SUMIFS(#REF!,#REF!,Planning[[#This Row],[Tipo de Tarea y especialidad]],#REF!,Planning[[#This Row],[Proyectos Reiwa]]),SUMIFS(#REF!,#REF!,Planning[[#This Row],[Tipo de Tarea y especialidad]],#REF!,Planning[[#This Row],[Proyectos]]))</f>
        <v>#REF!</v>
      </c>
      <c r="K4715" s="5" t="e">
        <f>+Planning[[#This Row],[Horas Planificadas]]+Planning[[#This Row],[Horas ajustadas adicionales]]-Planning[[#This Row],[Horas utilizadas]]</f>
        <v>#REF!</v>
      </c>
      <c r="L4715" s="9"/>
      <c r="M4715" s="19" t="e">
        <f>Planning[[#This Row],[Saldo]]-Planning[[#This Row],[Saldo estimado]]</f>
        <v>#REF!</v>
      </c>
      <c r="N4715" s="62" t="e">
        <f>+SUMIFS(#REF!,#REF!,Planning[[#This Row],[Proyectos]],#REF!,Planning[[#This Row],[Tipo de Tarea y especialidad]])</f>
        <v>#REF!</v>
      </c>
      <c r="O4715" s="34">
        <f t="shared" si="147"/>
        <v>10</v>
      </c>
      <c r="P4715" s="34">
        <f t="shared" si="148"/>
        <v>2024</v>
      </c>
      <c r="Q47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15" s="19" t="str">
        <f>TEXT(Planning[[#This Row],[Mes]]*29,"mmmm")</f>
        <v>October</v>
      </c>
      <c r="S47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15" s="208"/>
      <c r="U4715" s="43"/>
      <c r="V4715" s="43"/>
      <c r="W4715" s="44"/>
    </row>
    <row r="4716" spans="1:23" x14ac:dyDescent="0.2">
      <c r="A4716" s="9" t="s">
        <v>722</v>
      </c>
      <c r="B4716" s="9" t="s">
        <v>288</v>
      </c>
      <c r="C4716" s="3"/>
      <c r="D4716" s="3" t="s">
        <v>804</v>
      </c>
      <c r="E4716" s="4"/>
      <c r="F4716" s="3" t="s">
        <v>127</v>
      </c>
      <c r="G4716" s="53"/>
      <c r="H4716" s="20"/>
      <c r="I4716" s="12"/>
      <c r="J4716" s="5" t="e">
        <f>SUM(SUMIFS(#REF!,#REF!,Planning[[#This Row],[Tipo de Tarea y especialidad]],#REF!,Planning[[#This Row],[Proyectos Reiwa]]),SUMIFS(#REF!,#REF!,Planning[[#This Row],[Tipo de Tarea y especialidad]],#REF!,Planning[[#This Row],[Proyectos]]))</f>
        <v>#REF!</v>
      </c>
      <c r="K4716" s="5" t="e">
        <f>+Planning[[#This Row],[Horas Planificadas]]+Planning[[#This Row],[Horas ajustadas adicionales]]-Planning[[#This Row],[Horas utilizadas]]</f>
        <v>#REF!</v>
      </c>
      <c r="L4716" s="9"/>
      <c r="M4716" s="19" t="e">
        <f>Planning[[#This Row],[Saldo]]-Planning[[#This Row],[Saldo estimado]]</f>
        <v>#REF!</v>
      </c>
      <c r="N4716" s="62" t="e">
        <f>+SUMIFS(#REF!,#REF!,Planning[[#This Row],[Proyectos]],#REF!,Planning[[#This Row],[Tipo de Tarea y especialidad]])</f>
        <v>#REF!</v>
      </c>
      <c r="O4716" s="34">
        <f t="shared" si="147"/>
        <v>10</v>
      </c>
      <c r="P4716" s="34">
        <f t="shared" si="148"/>
        <v>2024</v>
      </c>
      <c r="Q47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16" s="19" t="str">
        <f>TEXT(Planning[[#This Row],[Mes]]*29,"mmmm")</f>
        <v>October</v>
      </c>
      <c r="S47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16" s="208"/>
      <c r="U4716" s="43"/>
      <c r="V4716" s="43"/>
      <c r="W4716" s="44"/>
    </row>
    <row r="4717" spans="1:23" x14ac:dyDescent="0.2">
      <c r="A4717" s="9" t="s">
        <v>722</v>
      </c>
      <c r="B4717" s="9" t="s">
        <v>288</v>
      </c>
      <c r="C4717" s="3"/>
      <c r="D4717" s="3" t="s">
        <v>804</v>
      </c>
      <c r="E4717" s="4"/>
      <c r="F4717" s="3" t="s">
        <v>128</v>
      </c>
      <c r="G4717" s="53">
        <v>0</v>
      </c>
      <c r="H4717" s="20">
        <v>0</v>
      </c>
      <c r="I4717" s="12"/>
      <c r="J4717" s="5" t="e">
        <f>SUM(SUMIFS(#REF!,#REF!,Planning[[#This Row],[Tipo de Tarea y especialidad]],#REF!,Planning[[#This Row],[Proyectos Reiwa]]),SUMIFS(#REF!,#REF!,Planning[[#This Row],[Tipo de Tarea y especialidad]],#REF!,Planning[[#This Row],[Proyectos]]))</f>
        <v>#REF!</v>
      </c>
      <c r="K4717" s="5" t="e">
        <f>+Planning[[#This Row],[Horas Planificadas]]+Planning[[#This Row],[Horas ajustadas adicionales]]-Planning[[#This Row],[Horas utilizadas]]</f>
        <v>#REF!</v>
      </c>
      <c r="L4717" s="9">
        <v>0</v>
      </c>
      <c r="M4717" s="19" t="e">
        <f>Planning[[#This Row],[Saldo]]-Planning[[#This Row],[Saldo estimado]]</f>
        <v>#REF!</v>
      </c>
      <c r="N4717" s="62" t="e">
        <f>+SUMIFS(#REF!,#REF!,Planning[[#This Row],[Proyectos]],#REF!,Planning[[#This Row],[Tipo de Tarea y especialidad]])</f>
        <v>#REF!</v>
      </c>
      <c r="O4717" s="34">
        <f t="shared" si="147"/>
        <v>10</v>
      </c>
      <c r="P4717" s="34">
        <f t="shared" si="148"/>
        <v>2024</v>
      </c>
      <c r="Q47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17" s="19" t="str">
        <f>TEXT(Planning[[#This Row],[Mes]]*29,"mmmm")</f>
        <v>October</v>
      </c>
      <c r="S47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17" s="208"/>
      <c r="U4717" s="43"/>
      <c r="V4717" s="43"/>
      <c r="W4717" s="44"/>
    </row>
    <row r="4718" spans="1:23" x14ac:dyDescent="0.2">
      <c r="A4718" s="9" t="s">
        <v>722</v>
      </c>
      <c r="B4718" s="9" t="s">
        <v>288</v>
      </c>
      <c r="C4718" s="3"/>
      <c r="D4718" s="3" t="s">
        <v>804</v>
      </c>
      <c r="E4718" s="4" t="s">
        <v>31</v>
      </c>
      <c r="F4718" s="3" t="s">
        <v>31</v>
      </c>
      <c r="G4718" s="53">
        <v>18</v>
      </c>
      <c r="H4718" s="20">
        <v>18</v>
      </c>
      <c r="I4718" s="12"/>
      <c r="J4718" s="14" t="e">
        <f>+SUMIFS(#REF!,#REF!,Planning[[#This Row],[Tarifa]],#REF!,Planning[[#This Row],[Proyectos]])</f>
        <v>#REF!</v>
      </c>
      <c r="K4718" s="5" t="e">
        <f>+Planning[[#This Row],[Horas Planificadas]]+Planning[[#This Row],[Horas ajustadas adicionales]]-Planning[[#This Row],[Horas utilizadas]]</f>
        <v>#REF!</v>
      </c>
      <c r="L4718" s="9" t="e">
        <f>Planning[[#This Row],[Saldo]]</f>
        <v>#REF!</v>
      </c>
      <c r="M4718" s="19" t="e">
        <f>Planning[[#This Row],[Saldo]]-Planning[[#This Row],[Saldo estimado]]</f>
        <v>#REF!</v>
      </c>
      <c r="N4718" s="62" t="e">
        <f>+SUMIFS(#REF!,#REF!,Planning[[#This Row],[Proyectos]],#REF!,Planning[[#This Row],[Tipo de Tarea y especialidad]])</f>
        <v>#REF!</v>
      </c>
      <c r="O4718" s="34">
        <f t="shared" si="147"/>
        <v>10</v>
      </c>
      <c r="P4718" s="34">
        <f t="shared" si="148"/>
        <v>2024</v>
      </c>
      <c r="Q4718" s="16" t="e">
        <f>+SUMIFS(#REF!,#REF!,Planning[[#This Row],[Tarifa]],#REF!,Planning[[#This Row],[Proyectos]],#REF!,Planning[[#This Row],[Mes]],#REF!,Planning[[#This Row],[Año]])</f>
        <v>#REF!</v>
      </c>
      <c r="R4718" s="16" t="str">
        <f>TEXT(Planning[[#This Row],[Mes]]*29,"mmmm")</f>
        <v>October</v>
      </c>
      <c r="S47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18" s="208"/>
      <c r="U4718" s="43"/>
      <c r="V4718" s="43"/>
      <c r="W4718" s="44"/>
    </row>
    <row r="4719" spans="1:23" ht="22.5" x14ac:dyDescent="0.2">
      <c r="A4719" s="9" t="s">
        <v>722</v>
      </c>
      <c r="B4719" s="9" t="s">
        <v>288</v>
      </c>
      <c r="C4719" s="3"/>
      <c r="D4719" s="3" t="s">
        <v>804</v>
      </c>
      <c r="E4719" s="4" t="s">
        <v>32</v>
      </c>
      <c r="F4719" s="3"/>
      <c r="G4719" s="53"/>
      <c r="H4719" s="20">
        <f>SUM(H4720:H4722)</f>
        <v>130</v>
      </c>
      <c r="I4719" s="12"/>
      <c r="J4719" s="14" t="e">
        <f>SUM(J4720:J4722)</f>
        <v>#REF!</v>
      </c>
      <c r="K4719" s="5" t="e">
        <f>+Planning[[#This Row],[Horas Planificadas]]+Planning[[#This Row],[Horas ajustadas adicionales]]-Planning[[#This Row],[Horas utilizadas]]</f>
        <v>#REF!</v>
      </c>
      <c r="L4719" s="9">
        <f>SUM(L4720:L4722)</f>
        <v>0</v>
      </c>
      <c r="M4719" s="19" t="e">
        <f>SUM(M4720:M4722)</f>
        <v>#REF!</v>
      </c>
      <c r="N4719" s="62" t="e">
        <f>+SUMIFS(#REF!,#REF!,Planning[[#This Row],[Proyectos]],#REF!,Planning[[#This Row],[Tipo de Tarea y especialidad]])</f>
        <v>#REF!</v>
      </c>
      <c r="O4719" s="34">
        <f t="shared" si="147"/>
        <v>10</v>
      </c>
      <c r="P4719" s="34">
        <f t="shared" si="148"/>
        <v>2024</v>
      </c>
      <c r="Q4719" s="16" t="e">
        <f>SUM(Q4720:Q4722)</f>
        <v>#REF!</v>
      </c>
      <c r="R4719" s="16" t="str">
        <f>TEXT(Planning[[#This Row],[Mes]]*29,"mmmm")</f>
        <v>October</v>
      </c>
      <c r="S47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19" s="208"/>
      <c r="U4719" s="43"/>
      <c r="V4719" s="43"/>
      <c r="W4719" s="44"/>
    </row>
    <row r="4720" spans="1:23" x14ac:dyDescent="0.2">
      <c r="A4720" s="9" t="s">
        <v>722</v>
      </c>
      <c r="B4720" s="9" t="s">
        <v>288</v>
      </c>
      <c r="C4720" s="3"/>
      <c r="D4720" s="3" t="s">
        <v>804</v>
      </c>
      <c r="E4720" s="4"/>
      <c r="F4720" s="3" t="s">
        <v>129</v>
      </c>
      <c r="G4720" s="53"/>
      <c r="H4720" s="20"/>
      <c r="I4720" s="12"/>
      <c r="J4720" s="5" t="e">
        <f>SUM(SUMIFS(#REF!,#REF!,Planning[[#This Row],[Tipo de Tarea y especialidad]],#REF!,Planning[[#This Row],[Proyectos Reiwa]]),SUMIFS(#REF!,#REF!,Planning[[#This Row],[Tipo de Tarea y especialidad]],#REF!,Planning[[#This Row],[Proyectos]]))</f>
        <v>#REF!</v>
      </c>
      <c r="K4720" s="5" t="e">
        <f>+Planning[[#This Row],[Horas Planificadas]]+Planning[[#This Row],[Horas ajustadas adicionales]]-Planning[[#This Row],[Horas utilizadas]]</f>
        <v>#REF!</v>
      </c>
      <c r="L4720" s="9"/>
      <c r="M4720" s="19" t="e">
        <f>Planning[[#This Row],[Saldo]]-Planning[[#This Row],[Saldo estimado]]</f>
        <v>#REF!</v>
      </c>
      <c r="N4720" s="62" t="e">
        <f>+SUMIFS(#REF!,#REF!,Planning[[#This Row],[Proyectos]],#REF!,Planning[[#This Row],[Tipo de Tarea y especialidad]])</f>
        <v>#REF!</v>
      </c>
      <c r="O4720" s="34">
        <f t="shared" si="147"/>
        <v>10</v>
      </c>
      <c r="P4720" s="34">
        <f t="shared" si="148"/>
        <v>2024</v>
      </c>
      <c r="Q47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20" s="19" t="str">
        <f>TEXT(Planning[[#This Row],[Mes]]*29,"mmmm")</f>
        <v>October</v>
      </c>
      <c r="S47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20" s="208"/>
      <c r="U4720" s="43"/>
      <c r="V4720" s="43"/>
      <c r="W4720" s="44"/>
    </row>
    <row r="4721" spans="1:23" x14ac:dyDescent="0.2">
      <c r="A4721" s="9" t="s">
        <v>722</v>
      </c>
      <c r="B4721" s="9" t="s">
        <v>288</v>
      </c>
      <c r="C4721" s="3"/>
      <c r="D4721" s="3" t="s">
        <v>804</v>
      </c>
      <c r="E4721" s="4"/>
      <c r="F4721" s="3" t="s">
        <v>130</v>
      </c>
      <c r="G4721" s="53"/>
      <c r="H4721" s="20"/>
      <c r="I4721" s="12"/>
      <c r="J4721" s="5" t="e">
        <f>SUM(SUMIFS(#REF!,#REF!,Planning[[#This Row],[Tipo de Tarea y especialidad]],#REF!,Planning[[#This Row],[Proyectos Reiwa]]),SUMIFS(#REF!,#REF!,Planning[[#This Row],[Tipo de Tarea y especialidad]],#REF!,Planning[[#This Row],[Proyectos]]))</f>
        <v>#REF!</v>
      </c>
      <c r="K4721" s="5" t="e">
        <f>+Planning[[#This Row],[Horas Planificadas]]+Planning[[#This Row],[Horas ajustadas adicionales]]-Planning[[#This Row],[Horas utilizadas]]</f>
        <v>#REF!</v>
      </c>
      <c r="L4721" s="9"/>
      <c r="M4721" s="19" t="e">
        <f>Planning[[#This Row],[Saldo]]-Planning[[#This Row],[Saldo estimado]]</f>
        <v>#REF!</v>
      </c>
      <c r="N4721" s="62" t="e">
        <f>+SUMIFS(#REF!,#REF!,Planning[[#This Row],[Proyectos]],#REF!,Planning[[#This Row],[Tipo de Tarea y especialidad]])</f>
        <v>#REF!</v>
      </c>
      <c r="O4721" s="34">
        <f t="shared" si="147"/>
        <v>10</v>
      </c>
      <c r="P4721" s="34">
        <f t="shared" si="148"/>
        <v>2024</v>
      </c>
      <c r="Q47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21" s="19" t="str">
        <f>TEXT(Planning[[#This Row],[Mes]]*29,"mmmm")</f>
        <v>October</v>
      </c>
      <c r="S47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21" s="208"/>
      <c r="U4721" s="43"/>
      <c r="V4721" s="43"/>
      <c r="W4721" s="44"/>
    </row>
    <row r="4722" spans="1:23" x14ac:dyDescent="0.2">
      <c r="A4722" s="9" t="s">
        <v>722</v>
      </c>
      <c r="B4722" s="9" t="s">
        <v>288</v>
      </c>
      <c r="C4722" s="3"/>
      <c r="D4722" s="3" t="s">
        <v>804</v>
      </c>
      <c r="E4722" s="4"/>
      <c r="F4722" s="3" t="s">
        <v>131</v>
      </c>
      <c r="G4722" s="53">
        <v>130</v>
      </c>
      <c r="H4722" s="20">
        <v>130</v>
      </c>
      <c r="I4722" s="12"/>
      <c r="J4722" s="5" t="e">
        <f>SUM(SUMIFS(#REF!,#REF!,Planning[[#This Row],[Tipo de Tarea y especialidad]],#REF!,Planning[[#This Row],[Proyectos Reiwa]]),SUMIFS(#REF!,#REF!,Planning[[#This Row],[Tipo de Tarea y especialidad]],#REF!,Planning[[#This Row],[Proyectos]]))</f>
        <v>#REF!</v>
      </c>
      <c r="K4722" s="5" t="e">
        <f>+Planning[[#This Row],[Horas Planificadas]]+Planning[[#This Row],[Horas ajustadas adicionales]]-Planning[[#This Row],[Horas utilizadas]]</f>
        <v>#REF!</v>
      </c>
      <c r="L4722" s="9">
        <v>0</v>
      </c>
      <c r="M4722" s="19" t="e">
        <f>Planning[[#This Row],[Saldo]]-Planning[[#This Row],[Saldo estimado]]</f>
        <v>#REF!</v>
      </c>
      <c r="N4722" s="62" t="e">
        <f>+SUMIFS(#REF!,#REF!,Planning[[#This Row],[Proyectos]],#REF!,Planning[[#This Row],[Tipo de Tarea y especialidad]])</f>
        <v>#REF!</v>
      </c>
      <c r="O4722" s="34">
        <f t="shared" si="147"/>
        <v>10</v>
      </c>
      <c r="P4722" s="34">
        <f t="shared" si="148"/>
        <v>2024</v>
      </c>
      <c r="Q47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22" s="19" t="str">
        <f>TEXT(Planning[[#This Row],[Mes]]*29,"mmmm")</f>
        <v>October</v>
      </c>
      <c r="S47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22" s="208"/>
      <c r="U4722" s="43"/>
      <c r="V4722" s="43"/>
      <c r="W4722" s="44"/>
    </row>
    <row r="4723" spans="1:23" ht="12.6" customHeight="1" x14ac:dyDescent="0.2">
      <c r="A4723" s="7" t="s">
        <v>722</v>
      </c>
      <c r="B4723" s="7" t="s">
        <v>118</v>
      </c>
      <c r="C4723" s="3"/>
      <c r="D4723" s="3" t="s">
        <v>806</v>
      </c>
      <c r="E4723" s="4" t="s">
        <v>28</v>
      </c>
      <c r="F4723" s="3"/>
      <c r="G4723" s="14">
        <f>SUM(G4724:G4730)</f>
        <v>687</v>
      </c>
      <c r="H4723" s="14">
        <f>SUM(H4724:H4725)</f>
        <v>0</v>
      </c>
      <c r="I4723" s="14"/>
      <c r="J4723" s="14" t="e">
        <f>SUM(J4724:J4725)</f>
        <v>#REF!</v>
      </c>
      <c r="K4723" s="14" t="e">
        <f>+Planning[[#This Row],[Horas Planificadas]]+Planning[[#This Row],[Horas ajustadas adicionales]]-Planning[[#This Row],[Horas utilizadas]]</f>
        <v>#REF!</v>
      </c>
      <c r="L4723" s="15">
        <f>SUM(L4724:L4725)</f>
        <v>0</v>
      </c>
      <c r="M4723" s="14" t="e">
        <f>SUM(M4724:M4725)</f>
        <v>#REF!</v>
      </c>
      <c r="N4723" s="66"/>
      <c r="O4723" s="14">
        <f t="shared" ref="O4723:O4786" si="149">$L$4</f>
        <v>10</v>
      </c>
      <c r="P4723" s="14">
        <f t="shared" ref="P4723:P4786" si="150">$M$4</f>
        <v>2024</v>
      </c>
      <c r="Q4723" s="28" t="e">
        <f>SUM(Q4724:Q4725)</f>
        <v>#REF!</v>
      </c>
      <c r="R4723" s="28" t="str">
        <f>TEXT(Planning[[#This Row],[Mes]]*29,"mmmm")</f>
        <v>October</v>
      </c>
      <c r="S47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23" s="192" t="s">
        <v>807</v>
      </c>
      <c r="U4723" s="43"/>
      <c r="V4723" s="43"/>
      <c r="W4723" s="44"/>
    </row>
    <row r="4724" spans="1:23" x14ac:dyDescent="0.2">
      <c r="A4724" s="7" t="s">
        <v>722</v>
      </c>
      <c r="B4724" s="7" t="s">
        <v>118</v>
      </c>
      <c r="C4724" s="3"/>
      <c r="D4724" s="3" t="s">
        <v>806</v>
      </c>
      <c r="E4724" s="4"/>
      <c r="F4724" s="3" t="s">
        <v>120</v>
      </c>
      <c r="G4724" s="9"/>
      <c r="H4724" s="9"/>
      <c r="I4724" s="12"/>
      <c r="J4724" s="5" t="e">
        <f>SUM(SUMIFS(#REF!,#REF!,Planning[[#This Row],[Tipo de Tarea y especialidad]],#REF!,Planning[[#This Row],[Proyectos Reiwa]]),SUMIFS(#REF!,#REF!,Planning[[#This Row],[Tipo de Tarea y especialidad]],#REF!,Planning[[#This Row],[Proyectos]]))</f>
        <v>#REF!</v>
      </c>
      <c r="K4724" s="5" t="e">
        <f>+Planning[[#This Row],[Horas Planificadas]]+Planning[[#This Row],[Horas ajustadas adicionales]]-Planning[[#This Row],[Horas utilizadas]]</f>
        <v>#REF!</v>
      </c>
      <c r="L4724" s="7"/>
      <c r="M4724" s="19" t="e">
        <f>Planning[[#This Row],[Saldo]]-Planning[[#This Row],[Saldo estimado]]</f>
        <v>#REF!</v>
      </c>
      <c r="N4724" s="60" t="e">
        <f>+SUMIFS(#REF!,#REF!,Planning[[#This Row],[Proyectos]],#REF!,Planning[[#This Row],[Tipo de Tarea y especialidad]])</f>
        <v>#REF!</v>
      </c>
      <c r="O4724" s="19">
        <f t="shared" si="149"/>
        <v>10</v>
      </c>
      <c r="P4724" s="19">
        <f t="shared" si="150"/>
        <v>2024</v>
      </c>
      <c r="Q47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24" s="19" t="str">
        <f>TEXT(Planning[[#This Row],[Mes]]*29,"mmmm")</f>
        <v>October</v>
      </c>
      <c r="S47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24" s="193"/>
      <c r="U4724" s="43"/>
      <c r="V4724" s="43"/>
      <c r="W4724" s="44"/>
    </row>
    <row r="4725" spans="1:23" x14ac:dyDescent="0.2">
      <c r="A4725" s="7" t="s">
        <v>722</v>
      </c>
      <c r="B4725" s="7" t="s">
        <v>118</v>
      </c>
      <c r="C4725" s="3"/>
      <c r="D4725" s="3" t="s">
        <v>806</v>
      </c>
      <c r="E4725" s="4"/>
      <c r="F4725" s="3" t="s">
        <v>121</v>
      </c>
      <c r="G4725" s="9"/>
      <c r="H4725" s="9"/>
      <c r="I4725" s="12"/>
      <c r="J4725" s="5" t="e">
        <f>SUM(SUMIFS(#REF!,#REF!,Planning[[#This Row],[Tipo de Tarea y especialidad]],#REF!,Planning[[#This Row],[Proyectos Reiwa]]),SUMIFS(#REF!,#REF!,Planning[[#This Row],[Tipo de Tarea y especialidad]],#REF!,Planning[[#This Row],[Proyectos]]))</f>
        <v>#REF!</v>
      </c>
      <c r="K4725" s="5" t="e">
        <f>+Planning[[#This Row],[Horas Planificadas]]+Planning[[#This Row],[Horas ajustadas adicionales]]-Planning[[#This Row],[Horas utilizadas]]</f>
        <v>#REF!</v>
      </c>
      <c r="L4725" s="7"/>
      <c r="M4725" s="19" t="e">
        <f>Planning[[#This Row],[Saldo]]-Planning[[#This Row],[Saldo estimado]]</f>
        <v>#REF!</v>
      </c>
      <c r="N4725" s="60" t="e">
        <f>+SUMIFS(#REF!,#REF!,Planning[[#This Row],[Proyectos]],#REF!,Planning[[#This Row],[Tipo de Tarea y especialidad]])</f>
        <v>#REF!</v>
      </c>
      <c r="O4725" s="19">
        <f t="shared" si="149"/>
        <v>10</v>
      </c>
      <c r="P4725" s="19">
        <f t="shared" si="150"/>
        <v>2024</v>
      </c>
      <c r="Q47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25" s="19" t="str">
        <f>TEXT(Planning[[#This Row],[Mes]]*29,"mmmm")</f>
        <v>October</v>
      </c>
      <c r="S47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25" s="193"/>
      <c r="U4725" s="43"/>
      <c r="V4725" s="43"/>
      <c r="W4725" s="44"/>
    </row>
    <row r="4726" spans="1:23" x14ac:dyDescent="0.2">
      <c r="A4726" s="7" t="s">
        <v>722</v>
      </c>
      <c r="B4726" s="7" t="s">
        <v>118</v>
      </c>
      <c r="C4726" s="3"/>
      <c r="D4726" s="3" t="s">
        <v>806</v>
      </c>
      <c r="E4726" s="4" t="s">
        <v>30</v>
      </c>
      <c r="F4726" s="3"/>
      <c r="G4726" s="14">
        <f>SUM(G4727:G4733)</f>
        <v>408</v>
      </c>
      <c r="H4726" s="14">
        <f>SUM(H4727:H4733)</f>
        <v>523</v>
      </c>
      <c r="I4726" s="14"/>
      <c r="J4726" s="14" t="e">
        <f>SUM(J4727:J4733)</f>
        <v>#REF!</v>
      </c>
      <c r="K4726" s="14" t="e">
        <f>+Planning[[#This Row],[Horas Planificadas]]+Planning[[#This Row],[Horas ajustadas adicionales]]-Planning[[#This Row],[Horas utilizadas]]</f>
        <v>#REF!</v>
      </c>
      <c r="L4726" s="15">
        <f>SUM(L4727:L4733)</f>
        <v>162</v>
      </c>
      <c r="M4726" s="16" t="e">
        <f>SUM(M4727:M4733)</f>
        <v>#REF!</v>
      </c>
      <c r="N4726" s="60"/>
      <c r="O4726" s="16">
        <f t="shared" si="149"/>
        <v>10</v>
      </c>
      <c r="P4726" s="16">
        <f t="shared" si="150"/>
        <v>2024</v>
      </c>
      <c r="Q4726" s="16" t="e">
        <f>SUM(Q4727:Q4733)</f>
        <v>#REF!</v>
      </c>
      <c r="R4726" s="16" t="str">
        <f>TEXT(Planning[[#This Row],[Mes]]*29,"mmmm")</f>
        <v>October</v>
      </c>
      <c r="S47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26" s="193"/>
      <c r="U4726" s="43"/>
      <c r="V4726" s="43"/>
      <c r="W4726" s="44"/>
    </row>
    <row r="4727" spans="1:23" x14ac:dyDescent="0.2">
      <c r="A4727" s="7" t="s">
        <v>722</v>
      </c>
      <c r="B4727" s="7" t="s">
        <v>118</v>
      </c>
      <c r="C4727" s="3"/>
      <c r="D4727" s="3" t="s">
        <v>806</v>
      </c>
      <c r="E4727" s="4"/>
      <c r="F4727" s="3" t="s">
        <v>122</v>
      </c>
      <c r="G4727" s="9">
        <v>180</v>
      </c>
      <c r="H4727" s="9">
        <v>304</v>
      </c>
      <c r="I4727" s="12"/>
      <c r="J4727" s="5" t="e">
        <f>SUM(SUMIFS(#REF!,#REF!,Planning[[#This Row],[Tipo de Tarea y especialidad]],#REF!,Planning[[#This Row],[Proyectos Reiwa]]),SUMIFS(#REF!,#REF!,Planning[[#This Row],[Tipo de Tarea y especialidad]],#REF!,Planning[[#This Row],[Proyectos]]))</f>
        <v>#REF!</v>
      </c>
      <c r="K4727" s="5" t="e">
        <f>+Planning[[#This Row],[Horas Planificadas]]+Planning[[#This Row],[Horas ajustadas adicionales]]-Planning[[#This Row],[Horas utilizadas]]</f>
        <v>#REF!</v>
      </c>
      <c r="L4727" s="7">
        <v>18</v>
      </c>
      <c r="M4727" s="19" t="e">
        <f>Planning[[#This Row],[Saldo]]-Planning[[#This Row],[Saldo estimado]]</f>
        <v>#REF!</v>
      </c>
      <c r="N4727" s="60" t="e">
        <f>+SUMIFS(#REF!,#REF!,Planning[[#This Row],[Proyectos]],#REF!,Planning[[#This Row],[Tipo de Tarea y especialidad]])</f>
        <v>#REF!</v>
      </c>
      <c r="O4727" s="19">
        <f t="shared" si="149"/>
        <v>10</v>
      </c>
      <c r="P4727" s="19">
        <f t="shared" si="150"/>
        <v>2024</v>
      </c>
      <c r="Q47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27" s="19" t="str">
        <f>TEXT(Planning[[#This Row],[Mes]]*29,"mmmm")</f>
        <v>October</v>
      </c>
      <c r="S47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27" s="193"/>
      <c r="U4727" s="43"/>
      <c r="V4727" s="43"/>
      <c r="W4727" s="44"/>
    </row>
    <row r="4728" spans="1:23" x14ac:dyDescent="0.2">
      <c r="A4728" s="7" t="s">
        <v>722</v>
      </c>
      <c r="B4728" s="7" t="s">
        <v>118</v>
      </c>
      <c r="C4728" s="3"/>
      <c r="D4728" s="3" t="s">
        <v>806</v>
      </c>
      <c r="E4728" s="4"/>
      <c r="F4728" s="3" t="s">
        <v>123</v>
      </c>
      <c r="G4728" s="9"/>
      <c r="H4728" s="9"/>
      <c r="I4728" s="12"/>
      <c r="J4728" s="5" t="e">
        <f>SUM(SUMIFS(#REF!,#REF!,Planning[[#This Row],[Tipo de Tarea y especialidad]],#REF!,Planning[[#This Row],[Proyectos Reiwa]]),SUMIFS(#REF!,#REF!,Planning[[#This Row],[Tipo de Tarea y especialidad]],#REF!,Planning[[#This Row],[Proyectos]]))</f>
        <v>#REF!</v>
      </c>
      <c r="K4728" s="5" t="e">
        <f>+Planning[[#This Row],[Horas Planificadas]]+Planning[[#This Row],[Horas ajustadas adicionales]]-Planning[[#This Row],[Horas utilizadas]]</f>
        <v>#REF!</v>
      </c>
      <c r="L4728" s="7"/>
      <c r="M4728" s="19" t="e">
        <f>Planning[[#This Row],[Saldo]]-Planning[[#This Row],[Saldo estimado]]</f>
        <v>#REF!</v>
      </c>
      <c r="N4728" s="60" t="e">
        <f>+SUMIFS(#REF!,#REF!,Planning[[#This Row],[Proyectos]],#REF!,Planning[[#This Row],[Tipo de Tarea y especialidad]])</f>
        <v>#REF!</v>
      </c>
      <c r="O4728" s="19">
        <f t="shared" si="149"/>
        <v>10</v>
      </c>
      <c r="P4728" s="19">
        <f t="shared" si="150"/>
        <v>2024</v>
      </c>
      <c r="Q47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28" s="19" t="str">
        <f>TEXT(Planning[[#This Row],[Mes]]*29,"mmmm")</f>
        <v>October</v>
      </c>
      <c r="S47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28" s="193"/>
      <c r="U4728" s="43"/>
      <c r="V4728" s="43"/>
      <c r="W4728" s="44"/>
    </row>
    <row r="4729" spans="1:23" x14ac:dyDescent="0.2">
      <c r="A4729" s="7" t="s">
        <v>722</v>
      </c>
      <c r="B4729" s="7" t="s">
        <v>118</v>
      </c>
      <c r="C4729" s="3"/>
      <c r="D4729" s="3" t="s">
        <v>806</v>
      </c>
      <c r="E4729" s="4"/>
      <c r="F4729" s="3" t="s">
        <v>124</v>
      </c>
      <c r="G4729" s="9"/>
      <c r="H4729" s="9"/>
      <c r="I4729" s="12"/>
      <c r="J4729" s="5" t="e">
        <f>SUM(SUMIFS(#REF!,#REF!,Planning[[#This Row],[Tipo de Tarea y especialidad]],#REF!,Planning[[#This Row],[Proyectos Reiwa]]),SUMIFS(#REF!,#REF!,Planning[[#This Row],[Tipo de Tarea y especialidad]],#REF!,Planning[[#This Row],[Proyectos]]))</f>
        <v>#REF!</v>
      </c>
      <c r="K4729" s="5" t="e">
        <f>+Planning[[#This Row],[Horas Planificadas]]+Planning[[#This Row],[Horas ajustadas adicionales]]-Planning[[#This Row],[Horas utilizadas]]</f>
        <v>#REF!</v>
      </c>
      <c r="L4729" s="7"/>
      <c r="M4729" s="19" t="e">
        <f>Planning[[#This Row],[Saldo]]-Planning[[#This Row],[Saldo estimado]]</f>
        <v>#REF!</v>
      </c>
      <c r="N4729" s="60" t="e">
        <f>+SUMIFS(#REF!,#REF!,Planning[[#This Row],[Proyectos]],#REF!,Planning[[#This Row],[Tipo de Tarea y especialidad]])</f>
        <v>#REF!</v>
      </c>
      <c r="O4729" s="19">
        <f t="shared" si="149"/>
        <v>10</v>
      </c>
      <c r="P4729" s="19">
        <f t="shared" si="150"/>
        <v>2024</v>
      </c>
      <c r="Q47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29" s="19" t="str">
        <f>TEXT(Planning[[#This Row],[Mes]]*29,"mmmm")</f>
        <v>October</v>
      </c>
      <c r="S47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29" s="193"/>
      <c r="U4729" s="43"/>
      <c r="V4729" s="43"/>
      <c r="W4729" s="44"/>
    </row>
    <row r="4730" spans="1:23" x14ac:dyDescent="0.2">
      <c r="A4730" s="7" t="s">
        <v>722</v>
      </c>
      <c r="B4730" s="7" t="s">
        <v>118</v>
      </c>
      <c r="C4730" s="3"/>
      <c r="D4730" s="3" t="s">
        <v>806</v>
      </c>
      <c r="E4730" s="4"/>
      <c r="F4730" s="3" t="s">
        <v>125</v>
      </c>
      <c r="G4730" s="9">
        <v>99</v>
      </c>
      <c r="H4730" s="9">
        <v>90</v>
      </c>
      <c r="I4730" s="12"/>
      <c r="J4730" s="5" t="e">
        <f>SUM(SUMIFS(#REF!,#REF!,Planning[[#This Row],[Tipo de Tarea y especialidad]],#REF!,Planning[[#This Row],[Proyectos Reiwa]]),SUMIFS(#REF!,#REF!,Planning[[#This Row],[Tipo de Tarea y especialidad]],#REF!,Planning[[#This Row],[Proyectos]]))</f>
        <v>#REF!</v>
      </c>
      <c r="K4730" s="5" t="e">
        <f>+Planning[[#This Row],[Horas Planificadas]]+Planning[[#This Row],[Horas ajustadas adicionales]]-Planning[[#This Row],[Horas utilizadas]]</f>
        <v>#REF!</v>
      </c>
      <c r="L4730" s="7">
        <v>45</v>
      </c>
      <c r="M4730" s="19" t="e">
        <f>Planning[[#This Row],[Saldo]]-Planning[[#This Row],[Saldo estimado]]</f>
        <v>#REF!</v>
      </c>
      <c r="N4730" s="60" t="e">
        <f>+SUMIFS(#REF!,#REF!,Planning[[#This Row],[Proyectos]],#REF!,Planning[[#This Row],[Tipo de Tarea y especialidad]])</f>
        <v>#REF!</v>
      </c>
      <c r="O4730" s="19">
        <f t="shared" si="149"/>
        <v>10</v>
      </c>
      <c r="P4730" s="19">
        <f t="shared" si="150"/>
        <v>2024</v>
      </c>
      <c r="Q47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30" s="19" t="str">
        <f>TEXT(Planning[[#This Row],[Mes]]*29,"mmmm")</f>
        <v>October</v>
      </c>
      <c r="S47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30" s="193"/>
      <c r="U4730" s="43"/>
      <c r="V4730" s="43"/>
      <c r="W4730" s="44"/>
    </row>
    <row r="4731" spans="1:23" x14ac:dyDescent="0.2">
      <c r="A4731" s="7" t="s">
        <v>722</v>
      </c>
      <c r="B4731" s="7" t="s">
        <v>118</v>
      </c>
      <c r="C4731" s="3"/>
      <c r="D4731" s="3" t="s">
        <v>806</v>
      </c>
      <c r="E4731" s="4"/>
      <c r="F4731" s="3" t="s">
        <v>126</v>
      </c>
      <c r="G4731" s="9">
        <v>129</v>
      </c>
      <c r="H4731" s="9">
        <v>129</v>
      </c>
      <c r="I4731" s="12"/>
      <c r="J4731" s="5" t="e">
        <f>SUM(SUMIFS(#REF!,#REF!,Planning[[#This Row],[Tipo de Tarea y especialidad]],#REF!,Planning[[#This Row],[Proyectos Reiwa]]),SUMIFS(#REF!,#REF!,Planning[[#This Row],[Tipo de Tarea y especialidad]],#REF!,Planning[[#This Row],[Proyectos]]))</f>
        <v>#REF!</v>
      </c>
      <c r="K4731" s="5" t="e">
        <f>+Planning[[#This Row],[Horas Planificadas]]+Planning[[#This Row],[Horas ajustadas adicionales]]-Planning[[#This Row],[Horas utilizadas]]</f>
        <v>#REF!</v>
      </c>
      <c r="L4731" s="7">
        <v>99</v>
      </c>
      <c r="M4731" s="19" t="e">
        <f>Planning[[#This Row],[Saldo]]-Planning[[#This Row],[Saldo estimado]]</f>
        <v>#REF!</v>
      </c>
      <c r="N4731" s="60" t="e">
        <f>+SUMIFS(#REF!,#REF!,Planning[[#This Row],[Proyectos]],#REF!,Planning[[#This Row],[Tipo de Tarea y especialidad]])</f>
        <v>#REF!</v>
      </c>
      <c r="O4731" s="19">
        <f t="shared" si="149"/>
        <v>10</v>
      </c>
      <c r="P4731" s="19">
        <f t="shared" si="150"/>
        <v>2024</v>
      </c>
      <c r="Q47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31" s="19" t="str">
        <f>TEXT(Planning[[#This Row],[Mes]]*29,"mmmm")</f>
        <v>October</v>
      </c>
      <c r="S47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31" s="193"/>
      <c r="U4731" s="43"/>
      <c r="V4731" s="43"/>
      <c r="W4731" s="44"/>
    </row>
    <row r="4732" spans="1:23" x14ac:dyDescent="0.2">
      <c r="A4732" s="7" t="s">
        <v>722</v>
      </c>
      <c r="B4732" s="7" t="s">
        <v>118</v>
      </c>
      <c r="C4732" s="3"/>
      <c r="D4732" s="3" t="s">
        <v>806</v>
      </c>
      <c r="E4732" s="4"/>
      <c r="F4732" s="3" t="s">
        <v>127</v>
      </c>
      <c r="G4732" s="9"/>
      <c r="H4732" s="9"/>
      <c r="I4732" s="12"/>
      <c r="J4732" s="5" t="e">
        <f>SUM(SUMIFS(#REF!,#REF!,Planning[[#This Row],[Tipo de Tarea y especialidad]],#REF!,Planning[[#This Row],[Proyectos Reiwa]]),SUMIFS(#REF!,#REF!,Planning[[#This Row],[Tipo de Tarea y especialidad]],#REF!,Planning[[#This Row],[Proyectos]]))</f>
        <v>#REF!</v>
      </c>
      <c r="K4732" s="5" t="e">
        <f>+Planning[[#This Row],[Horas Planificadas]]+Planning[[#This Row],[Horas ajustadas adicionales]]-Planning[[#This Row],[Horas utilizadas]]</f>
        <v>#REF!</v>
      </c>
      <c r="L4732" s="7"/>
      <c r="M4732" s="19" t="e">
        <f>Planning[[#This Row],[Saldo]]-Planning[[#This Row],[Saldo estimado]]</f>
        <v>#REF!</v>
      </c>
      <c r="N4732" s="60" t="e">
        <f>+SUMIFS(#REF!,#REF!,Planning[[#This Row],[Proyectos]],#REF!,Planning[[#This Row],[Tipo de Tarea y especialidad]])</f>
        <v>#REF!</v>
      </c>
      <c r="O4732" s="19">
        <f t="shared" si="149"/>
        <v>10</v>
      </c>
      <c r="P4732" s="19">
        <f t="shared" si="150"/>
        <v>2024</v>
      </c>
      <c r="Q47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32" s="19" t="str">
        <f>TEXT(Planning[[#This Row],[Mes]]*29,"mmmm")</f>
        <v>October</v>
      </c>
      <c r="S47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32" s="193"/>
      <c r="U4732" s="43"/>
      <c r="V4732" s="43"/>
      <c r="W4732" s="44"/>
    </row>
    <row r="4733" spans="1:23" x14ac:dyDescent="0.2">
      <c r="A4733" s="7" t="s">
        <v>722</v>
      </c>
      <c r="B4733" s="7" t="s">
        <v>118</v>
      </c>
      <c r="C4733" s="3"/>
      <c r="D4733" s="3" t="s">
        <v>806</v>
      </c>
      <c r="E4733" s="4"/>
      <c r="F4733" s="3" t="s">
        <v>128</v>
      </c>
      <c r="G4733" s="9"/>
      <c r="H4733" s="9"/>
      <c r="I4733" s="12"/>
      <c r="J4733" s="5" t="e">
        <f>SUM(SUMIFS(#REF!,#REF!,Planning[[#This Row],[Tipo de Tarea y especialidad]],#REF!,Planning[[#This Row],[Proyectos Reiwa]]),SUMIFS(#REF!,#REF!,Planning[[#This Row],[Tipo de Tarea y especialidad]],#REF!,Planning[[#This Row],[Proyectos]]))</f>
        <v>#REF!</v>
      </c>
      <c r="K4733" s="5" t="e">
        <f>+Planning[[#This Row],[Horas Planificadas]]+Planning[[#This Row],[Horas ajustadas adicionales]]-Planning[[#This Row],[Horas utilizadas]]</f>
        <v>#REF!</v>
      </c>
      <c r="L4733" s="7"/>
      <c r="M4733" s="19" t="e">
        <f>Planning[[#This Row],[Saldo]]-Planning[[#This Row],[Saldo estimado]]</f>
        <v>#REF!</v>
      </c>
      <c r="N4733" s="60" t="e">
        <f>+SUMIFS(#REF!,#REF!,Planning[[#This Row],[Proyectos]],#REF!,Planning[[#This Row],[Tipo de Tarea y especialidad]])</f>
        <v>#REF!</v>
      </c>
      <c r="O4733" s="19">
        <f t="shared" si="149"/>
        <v>10</v>
      </c>
      <c r="P4733" s="19">
        <f t="shared" si="150"/>
        <v>2024</v>
      </c>
      <c r="Q47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33" s="19" t="str">
        <f>TEXT(Planning[[#This Row],[Mes]]*29,"mmmm")</f>
        <v>October</v>
      </c>
      <c r="S47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33" s="193"/>
      <c r="U4733" s="43"/>
      <c r="V4733" s="43"/>
      <c r="W4733" s="44"/>
    </row>
    <row r="4734" spans="1:23" x14ac:dyDescent="0.2">
      <c r="A4734" s="7" t="s">
        <v>722</v>
      </c>
      <c r="B4734" s="7" t="s">
        <v>118</v>
      </c>
      <c r="C4734" s="3"/>
      <c r="D4734" s="3" t="s">
        <v>806</v>
      </c>
      <c r="E4734" s="4" t="s">
        <v>31</v>
      </c>
      <c r="F4734" s="3" t="s">
        <v>31</v>
      </c>
      <c r="G4734" s="9"/>
      <c r="H4734" s="17"/>
      <c r="I4734" s="18"/>
      <c r="J4734" s="14" t="e">
        <f>+SUMIFS(#REF!,#REF!,Planning[[#This Row],[Tarifa]],#REF!,Planning[[#This Row],[Proyectos]])</f>
        <v>#REF!</v>
      </c>
      <c r="K4734" s="14" t="e">
        <f>+Planning[[#This Row],[Horas Planificadas]]+Planning[[#This Row],[Horas ajustadas adicionales]]-Planning[[#This Row],[Horas utilizadas]]</f>
        <v>#REF!</v>
      </c>
      <c r="L4734" s="15" t="e">
        <f>Planning[[#This Row],[Saldo]]</f>
        <v>#REF!</v>
      </c>
      <c r="M4734" s="16" t="e">
        <f>Planning[[#This Row],[Saldo]]-Planning[[#This Row],[Saldo estimado]]</f>
        <v>#REF!</v>
      </c>
      <c r="N4734" s="60"/>
      <c r="O4734" s="16">
        <f t="shared" si="149"/>
        <v>10</v>
      </c>
      <c r="P4734" s="16">
        <f t="shared" si="150"/>
        <v>2024</v>
      </c>
      <c r="Q4734" s="16" t="e">
        <f>+SUMIFS(#REF!,#REF!,Planning[[#This Row],[Tarifa]],#REF!,Planning[[#This Row],[Proyectos]],#REF!,Planning[[#This Row],[Mes]],#REF!,Planning[[#This Row],[Año]])</f>
        <v>#REF!</v>
      </c>
      <c r="R4734" s="16" t="str">
        <f>TEXT(Planning[[#This Row],[Mes]]*29,"mmmm")</f>
        <v>October</v>
      </c>
      <c r="S47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34" s="193"/>
      <c r="U4734" s="43"/>
      <c r="V4734" s="43"/>
      <c r="W4734" s="44"/>
    </row>
    <row r="4735" spans="1:23" ht="22.5" x14ac:dyDescent="0.2">
      <c r="A4735" s="7" t="s">
        <v>722</v>
      </c>
      <c r="B4735" s="7" t="s">
        <v>118</v>
      </c>
      <c r="C4735" s="3"/>
      <c r="D4735" s="3" t="s">
        <v>806</v>
      </c>
      <c r="E4735" s="4" t="s">
        <v>32</v>
      </c>
      <c r="F4735" s="3"/>
      <c r="G4735" s="14">
        <f>SUM(G4736:G4742)</f>
        <v>420</v>
      </c>
      <c r="H4735" s="14">
        <v>320</v>
      </c>
      <c r="I4735" s="14"/>
      <c r="J4735" s="14" t="e">
        <f>SUM(J4736:J4738)</f>
        <v>#REF!</v>
      </c>
      <c r="K4735" s="14" t="e">
        <f>+Planning[[#This Row],[Horas Planificadas]]+Planning[[#This Row],[Horas ajustadas adicionales]]-Planning[[#This Row],[Horas utilizadas]]</f>
        <v>#REF!</v>
      </c>
      <c r="L4735" s="15">
        <f>SUM(L4736:L4738)</f>
        <v>320</v>
      </c>
      <c r="M4735" s="16" t="e">
        <f>SUM(M4736:M4738)</f>
        <v>#REF!</v>
      </c>
      <c r="N4735" s="60"/>
      <c r="O4735" s="16">
        <f t="shared" si="149"/>
        <v>10</v>
      </c>
      <c r="P4735" s="16">
        <f t="shared" si="150"/>
        <v>2024</v>
      </c>
      <c r="Q4735" s="16" t="e">
        <f>SUM(Q4736:Q4738)</f>
        <v>#REF!</v>
      </c>
      <c r="R4735" s="16" t="str">
        <f>TEXT(Planning[[#This Row],[Mes]]*29,"mmmm")</f>
        <v>October</v>
      </c>
      <c r="S47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35" s="193"/>
      <c r="U4735" s="43"/>
      <c r="V4735" s="43"/>
      <c r="W4735" s="44"/>
    </row>
    <row r="4736" spans="1:23" x14ac:dyDescent="0.2">
      <c r="A4736" s="7" t="s">
        <v>722</v>
      </c>
      <c r="B4736" s="7" t="s">
        <v>118</v>
      </c>
      <c r="C4736" s="3"/>
      <c r="D4736" s="3" t="s">
        <v>806</v>
      </c>
      <c r="E4736" s="4"/>
      <c r="F4736" s="3" t="s">
        <v>129</v>
      </c>
      <c r="G4736" s="9">
        <v>320</v>
      </c>
      <c r="H4736" s="9">
        <v>320</v>
      </c>
      <c r="I4736" s="12"/>
      <c r="J4736" s="5" t="e">
        <f>SUM(SUMIFS(#REF!,#REF!,Planning[[#This Row],[Tipo de Tarea y especialidad]],#REF!,Planning[[#This Row],[Proyectos Reiwa]]),SUMIFS(#REF!,#REF!,Planning[[#This Row],[Tipo de Tarea y especialidad]],#REF!,Planning[[#This Row],[Proyectos]]))</f>
        <v>#REF!</v>
      </c>
      <c r="K4736" s="5" t="e">
        <f>+Planning[[#This Row],[Horas Planificadas]]+Planning[[#This Row],[Horas ajustadas adicionales]]-Planning[[#This Row],[Horas utilizadas]]</f>
        <v>#REF!</v>
      </c>
      <c r="L4736" s="7">
        <v>320</v>
      </c>
      <c r="M4736" s="19" t="e">
        <f>Planning[[#This Row],[Saldo]]-Planning[[#This Row],[Saldo estimado]]</f>
        <v>#REF!</v>
      </c>
      <c r="N4736" s="60" t="e">
        <f>+SUMIFS(#REF!,#REF!,Planning[[#This Row],[Proyectos]],#REF!,Planning[[#This Row],[Tipo de Tarea y especialidad]])</f>
        <v>#REF!</v>
      </c>
      <c r="O4736" s="19">
        <f t="shared" si="149"/>
        <v>10</v>
      </c>
      <c r="P4736" s="19">
        <f t="shared" si="150"/>
        <v>2024</v>
      </c>
      <c r="Q47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36" s="19" t="str">
        <f>TEXT(Planning[[#This Row],[Mes]]*29,"mmmm")</f>
        <v>October</v>
      </c>
      <c r="S47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36" s="193"/>
      <c r="U4736" s="43"/>
      <c r="V4736" s="43"/>
      <c r="W4736" s="44"/>
    </row>
    <row r="4737" spans="1:23" x14ac:dyDescent="0.2">
      <c r="A4737" s="7" t="s">
        <v>722</v>
      </c>
      <c r="B4737" s="7" t="s">
        <v>118</v>
      </c>
      <c r="C4737" s="3"/>
      <c r="D4737" s="3" t="s">
        <v>806</v>
      </c>
      <c r="E4737" s="4"/>
      <c r="F4737" s="3" t="s">
        <v>130</v>
      </c>
      <c r="G4737" s="9"/>
      <c r="H4737" s="9"/>
      <c r="I4737" s="12"/>
      <c r="J4737" s="5" t="e">
        <f>SUM(SUMIFS(#REF!,#REF!,Planning[[#This Row],[Tipo de Tarea y especialidad]],#REF!,Planning[[#This Row],[Proyectos Reiwa]]),SUMIFS(#REF!,#REF!,Planning[[#This Row],[Tipo de Tarea y especialidad]],#REF!,Planning[[#This Row],[Proyectos]]))</f>
        <v>#REF!</v>
      </c>
      <c r="K4737" s="5" t="e">
        <f>+Planning[[#This Row],[Horas Planificadas]]+Planning[[#This Row],[Horas ajustadas adicionales]]-Planning[[#This Row],[Horas utilizadas]]</f>
        <v>#REF!</v>
      </c>
      <c r="L4737" s="7"/>
      <c r="M4737" s="19" t="e">
        <f>Planning[[#This Row],[Saldo]]-Planning[[#This Row],[Saldo estimado]]</f>
        <v>#REF!</v>
      </c>
      <c r="N4737" s="60" t="e">
        <f>+SUMIFS(#REF!,#REF!,Planning[[#This Row],[Proyectos]],#REF!,Planning[[#This Row],[Tipo de Tarea y especialidad]])</f>
        <v>#REF!</v>
      </c>
      <c r="O4737" s="19">
        <f t="shared" si="149"/>
        <v>10</v>
      </c>
      <c r="P4737" s="19">
        <f t="shared" si="150"/>
        <v>2024</v>
      </c>
      <c r="Q47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37" s="19" t="str">
        <f>TEXT(Planning[[#This Row],[Mes]]*29,"mmmm")</f>
        <v>October</v>
      </c>
      <c r="S47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37" s="193"/>
      <c r="U4737" s="43"/>
      <c r="V4737" s="43"/>
      <c r="W4737" s="44"/>
    </row>
    <row r="4738" spans="1:23" x14ac:dyDescent="0.2">
      <c r="A4738" s="7" t="s">
        <v>722</v>
      </c>
      <c r="B4738" s="7" t="s">
        <v>118</v>
      </c>
      <c r="C4738" s="3"/>
      <c r="D4738" s="3" t="s">
        <v>806</v>
      </c>
      <c r="E4738" s="4"/>
      <c r="F4738" s="3" t="s">
        <v>131</v>
      </c>
      <c r="G4738" s="9"/>
      <c r="H4738" s="9"/>
      <c r="I4738" s="12"/>
      <c r="J4738" s="5" t="e">
        <f>SUM(SUMIFS(#REF!,#REF!,Planning[[#This Row],[Tipo de Tarea y especialidad]],#REF!,Planning[[#This Row],[Proyectos Reiwa]]),SUMIFS(#REF!,#REF!,Planning[[#This Row],[Tipo de Tarea y especialidad]],#REF!,Planning[[#This Row],[Proyectos]]))</f>
        <v>#REF!</v>
      </c>
      <c r="K4738" s="5" t="e">
        <f>+Planning[[#This Row],[Horas Planificadas]]+Planning[[#This Row],[Horas ajustadas adicionales]]-Planning[[#This Row],[Horas utilizadas]]</f>
        <v>#REF!</v>
      </c>
      <c r="L4738" s="7"/>
      <c r="M4738" s="19" t="e">
        <f>Planning[[#This Row],[Saldo]]-Planning[[#This Row],[Saldo estimado]]</f>
        <v>#REF!</v>
      </c>
      <c r="N4738" s="60" t="e">
        <f>+SUMIFS(#REF!,#REF!,Planning[[#This Row],[Proyectos]],#REF!,Planning[[#This Row],[Tipo de Tarea y especialidad]])</f>
        <v>#REF!</v>
      </c>
      <c r="O4738" s="19">
        <f t="shared" si="149"/>
        <v>10</v>
      </c>
      <c r="P4738" s="19">
        <f t="shared" si="150"/>
        <v>2024</v>
      </c>
      <c r="Q47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38" s="83" t="str">
        <f>TEXT(Planning[[#This Row],[Mes]]*29,"mmmm")</f>
        <v>October</v>
      </c>
      <c r="S4738"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38" s="211"/>
      <c r="U4738" s="43"/>
      <c r="V4738" s="43"/>
      <c r="W4738" s="44"/>
    </row>
    <row r="4739" spans="1:23" ht="13.35" customHeight="1" x14ac:dyDescent="0.2">
      <c r="A4739" s="9" t="s">
        <v>483</v>
      </c>
      <c r="B4739" s="9" t="s">
        <v>808</v>
      </c>
      <c r="C4739" s="3"/>
      <c r="D4739" s="3" t="s">
        <v>809</v>
      </c>
      <c r="E4739" s="4" t="s">
        <v>28</v>
      </c>
      <c r="F4739" s="3"/>
      <c r="G4739" s="11"/>
      <c r="H4739" s="69">
        <f>SUM(H4740:H4741)</f>
        <v>100</v>
      </c>
      <c r="I4739" s="70"/>
      <c r="J4739" s="14" t="e">
        <f>SUM(J4740:J4741)</f>
        <v>#REF!</v>
      </c>
      <c r="K4739" s="71" t="e">
        <f>+Planning[[#This Row],[Horas Planificadas]]+Planning[[#This Row],[Horas ajustadas adicionales]]-Planning[[#This Row],[Horas utilizadas]]</f>
        <v>#REF!</v>
      </c>
      <c r="L4739" s="72">
        <f>SUM(L4740:L4741)</f>
        <v>0</v>
      </c>
      <c r="M4739" s="19" t="e">
        <f>SUM(M4740:M4741)</f>
        <v>#REF!</v>
      </c>
      <c r="N4739" s="62" t="e">
        <f>+SUMIFS(#REF!,#REF!,Planning[[#This Row],[Proyectos]],#REF!,Planning[[#This Row],[Tipo de Tarea y especialidad]])</f>
        <v>#REF!</v>
      </c>
      <c r="O4739" s="34">
        <f t="shared" si="149"/>
        <v>10</v>
      </c>
      <c r="P4739" s="34">
        <f t="shared" si="150"/>
        <v>2024</v>
      </c>
      <c r="Q4739" s="28" t="e">
        <f>SUM(Q4740:Q4741)</f>
        <v>#REF!</v>
      </c>
      <c r="R4739" s="14" t="str">
        <f>TEXT(Planning[[#This Row],[Mes]]*29,"mmmm")</f>
        <v>October</v>
      </c>
      <c r="S473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39" s="113" t="s">
        <v>810</v>
      </c>
      <c r="U4739" s="107"/>
      <c r="V4739" s="43"/>
      <c r="W4739" s="44"/>
    </row>
    <row r="4740" spans="1:23" x14ac:dyDescent="0.2">
      <c r="A4740" s="9" t="s">
        <v>483</v>
      </c>
      <c r="B4740" s="9" t="s">
        <v>808</v>
      </c>
      <c r="C4740" s="3"/>
      <c r="D4740" s="3" t="s">
        <v>809</v>
      </c>
      <c r="E4740" s="4"/>
      <c r="F4740" s="3" t="s">
        <v>120</v>
      </c>
      <c r="G4740" s="53">
        <v>70</v>
      </c>
      <c r="H4740" s="20">
        <v>70</v>
      </c>
      <c r="I4740" s="12"/>
      <c r="J4740" s="5" t="e">
        <f>SUM(SUMIFS(#REF!,#REF!,Planning[[#This Row],[Tipo de Tarea y especialidad]],#REF!,Planning[[#This Row],[Proyectos Reiwa]]),SUMIFS(#REF!,#REF!,Planning[[#This Row],[Tipo de Tarea y especialidad]],#REF!,Planning[[#This Row],[Proyectos]]))</f>
        <v>#REF!</v>
      </c>
      <c r="K4740" s="5" t="e">
        <f>+Planning[[#This Row],[Horas Planificadas]]+Planning[[#This Row],[Horas ajustadas adicionales]]-Planning[[#This Row],[Horas utilizadas]]</f>
        <v>#REF!</v>
      </c>
      <c r="L4740" s="9">
        <v>0</v>
      </c>
      <c r="M4740" s="19" t="e">
        <f>Planning[[#This Row],[Saldo]]-Planning[[#This Row],[Saldo estimado]]</f>
        <v>#REF!</v>
      </c>
      <c r="N4740" s="62" t="e">
        <f>+SUMIFS(#REF!,#REF!,Planning[[#This Row],[Proyectos]],#REF!,Planning[[#This Row],[Tipo de Tarea y especialidad]])</f>
        <v>#REF!</v>
      </c>
      <c r="O4740" s="34">
        <f t="shared" si="149"/>
        <v>10</v>
      </c>
      <c r="P4740" s="34">
        <f t="shared" si="150"/>
        <v>2024</v>
      </c>
      <c r="Q47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40" s="146" t="str">
        <f>TEXT(Planning[[#This Row],[Mes]]*29,"mmmm")</f>
        <v>October</v>
      </c>
      <c r="S4740"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40" s="110" t="s">
        <v>811</v>
      </c>
      <c r="U4740" s="107"/>
      <c r="V4740" s="43"/>
      <c r="W4740" s="44"/>
    </row>
    <row r="4741" spans="1:23" x14ac:dyDescent="0.2">
      <c r="A4741" s="9" t="s">
        <v>483</v>
      </c>
      <c r="B4741" s="9" t="s">
        <v>808</v>
      </c>
      <c r="C4741" s="3"/>
      <c r="D4741" s="3" t="s">
        <v>809</v>
      </c>
      <c r="E4741" s="4"/>
      <c r="F4741" s="3" t="s">
        <v>121</v>
      </c>
      <c r="G4741" s="53">
        <v>30</v>
      </c>
      <c r="H4741" s="20">
        <v>30</v>
      </c>
      <c r="I4741" s="12"/>
      <c r="J4741" s="5" t="e">
        <f>SUM(SUMIFS(#REF!,#REF!,Planning[[#This Row],[Tipo de Tarea y especialidad]],#REF!,Planning[[#This Row],[Proyectos Reiwa]]),SUMIFS(#REF!,#REF!,Planning[[#This Row],[Tipo de Tarea y especialidad]],#REF!,Planning[[#This Row],[Proyectos]]))</f>
        <v>#REF!</v>
      </c>
      <c r="K4741" s="5" t="e">
        <f>+Planning[[#This Row],[Horas Planificadas]]+Planning[[#This Row],[Horas ajustadas adicionales]]-Planning[[#This Row],[Horas utilizadas]]</f>
        <v>#REF!</v>
      </c>
      <c r="L4741" s="9">
        <v>0</v>
      </c>
      <c r="M4741" s="19" t="e">
        <f>Planning[[#This Row],[Saldo]]-Planning[[#This Row],[Saldo estimado]]</f>
        <v>#REF!</v>
      </c>
      <c r="N4741" s="62" t="e">
        <f>+SUMIFS(#REF!,#REF!,Planning[[#This Row],[Proyectos]],#REF!,Planning[[#This Row],[Tipo de Tarea y especialidad]])</f>
        <v>#REF!</v>
      </c>
      <c r="O4741" s="34">
        <f t="shared" si="149"/>
        <v>10</v>
      </c>
      <c r="P4741" s="34">
        <f t="shared" si="150"/>
        <v>2024</v>
      </c>
      <c r="Q47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41" s="146" t="str">
        <f>TEXT(Planning[[#This Row],[Mes]]*29,"mmmm")</f>
        <v>October</v>
      </c>
      <c r="S4741"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41" s="110" t="s">
        <v>812</v>
      </c>
      <c r="U4741" s="107"/>
      <c r="V4741" s="43"/>
      <c r="W4741" s="44"/>
    </row>
    <row r="4742" spans="1:23" x14ac:dyDescent="0.2">
      <c r="A4742" s="9" t="s">
        <v>483</v>
      </c>
      <c r="B4742" s="9" t="s">
        <v>808</v>
      </c>
      <c r="C4742" s="3"/>
      <c r="D4742" s="3" t="s">
        <v>809</v>
      </c>
      <c r="E4742" s="4" t="s">
        <v>30</v>
      </c>
      <c r="F4742" s="3"/>
      <c r="G4742" s="53"/>
      <c r="H4742" s="69">
        <f>SUM(H4743:H4749)</f>
        <v>190</v>
      </c>
      <c r="I4742" s="70"/>
      <c r="J4742" s="14" t="e">
        <f>SUM(J4743:J4749)</f>
        <v>#REF!</v>
      </c>
      <c r="K4742" s="71" t="e">
        <f>+Planning[[#This Row],[Horas Planificadas]]+Planning[[#This Row],[Horas ajustadas adicionales]]-Planning[[#This Row],[Horas utilizadas]]</f>
        <v>#REF!</v>
      </c>
      <c r="L4742" s="72">
        <f>+SUM(L4743:L4749)</f>
        <v>45</v>
      </c>
      <c r="M4742" s="19" t="e">
        <f>SUM(M4743:M4749)</f>
        <v>#REF!</v>
      </c>
      <c r="N4742" s="62" t="e">
        <f>+SUMIFS(#REF!,#REF!,Planning[[#This Row],[Proyectos]],#REF!,Planning[[#This Row],[Tipo de Tarea y especialidad]])</f>
        <v>#REF!</v>
      </c>
      <c r="O4742" s="34">
        <f t="shared" si="149"/>
        <v>10</v>
      </c>
      <c r="P4742" s="34">
        <f t="shared" si="150"/>
        <v>2024</v>
      </c>
      <c r="Q4742" s="16" t="e">
        <f>SUM(Q4743:Q4749)</f>
        <v>#REF!</v>
      </c>
      <c r="R4742" s="149" t="str">
        <f>TEXT(Planning[[#This Row],[Mes]]*29,"mmmm")</f>
        <v>October</v>
      </c>
      <c r="S4742"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42" s="110" t="s">
        <v>813</v>
      </c>
      <c r="U4742" s="107"/>
      <c r="V4742" s="43"/>
      <c r="W4742" s="44"/>
    </row>
    <row r="4743" spans="1:23" x14ac:dyDescent="0.2">
      <c r="A4743" s="9" t="s">
        <v>483</v>
      </c>
      <c r="B4743" s="9" t="s">
        <v>808</v>
      </c>
      <c r="C4743" s="3"/>
      <c r="D4743" s="3" t="s">
        <v>809</v>
      </c>
      <c r="E4743" s="4"/>
      <c r="F4743" s="3" t="s">
        <v>122</v>
      </c>
      <c r="G4743" s="53"/>
      <c r="H4743" s="20"/>
      <c r="I4743" s="12"/>
      <c r="J4743" s="5" t="e">
        <f>SUM(SUMIFS(#REF!,#REF!,Planning[[#This Row],[Tipo de Tarea y especialidad]],#REF!,Planning[[#This Row],[Proyectos Reiwa]]),SUMIFS(#REF!,#REF!,Planning[[#This Row],[Tipo de Tarea y especialidad]],#REF!,Planning[[#This Row],[Proyectos]]))</f>
        <v>#REF!</v>
      </c>
      <c r="K4743" s="5" t="e">
        <f>+Planning[[#This Row],[Horas Planificadas]]+Planning[[#This Row],[Horas ajustadas adicionales]]-Planning[[#This Row],[Horas utilizadas]]</f>
        <v>#REF!</v>
      </c>
      <c r="L4743" s="9"/>
      <c r="M4743" s="19" t="e">
        <f>Planning[[#This Row],[Saldo]]-Planning[[#This Row],[Saldo estimado]]</f>
        <v>#REF!</v>
      </c>
      <c r="N4743" s="62" t="e">
        <f>+SUMIFS(#REF!,#REF!,Planning[[#This Row],[Proyectos]],#REF!,Planning[[#This Row],[Tipo de Tarea y especialidad]])</f>
        <v>#REF!</v>
      </c>
      <c r="O4743" s="34">
        <f t="shared" si="149"/>
        <v>10</v>
      </c>
      <c r="P4743" s="34">
        <f t="shared" si="150"/>
        <v>2024</v>
      </c>
      <c r="Q47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43" s="146" t="str">
        <f>TEXT(Planning[[#This Row],[Mes]]*29,"mmmm")</f>
        <v>October</v>
      </c>
      <c r="S4743"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43" s="110" t="s">
        <v>814</v>
      </c>
      <c r="U4743" s="107"/>
      <c r="V4743" s="43"/>
      <c r="W4743" s="44"/>
    </row>
    <row r="4744" spans="1:23" x14ac:dyDescent="0.2">
      <c r="A4744" s="9" t="s">
        <v>483</v>
      </c>
      <c r="B4744" s="9" t="s">
        <v>808</v>
      </c>
      <c r="C4744" s="3"/>
      <c r="D4744" s="3" t="s">
        <v>809</v>
      </c>
      <c r="E4744" s="4"/>
      <c r="F4744" s="3" t="s">
        <v>123</v>
      </c>
      <c r="G4744" s="53"/>
      <c r="H4744" s="20"/>
      <c r="I4744" s="12"/>
      <c r="J4744" s="5" t="e">
        <f>SUM(SUMIFS(#REF!,#REF!,Planning[[#This Row],[Tipo de Tarea y especialidad]],#REF!,Planning[[#This Row],[Proyectos Reiwa]]),SUMIFS(#REF!,#REF!,Planning[[#This Row],[Tipo de Tarea y especialidad]],#REF!,Planning[[#This Row],[Proyectos]]))</f>
        <v>#REF!</v>
      </c>
      <c r="K4744" s="5" t="e">
        <f>+Planning[[#This Row],[Horas Planificadas]]+Planning[[#This Row],[Horas ajustadas adicionales]]-Planning[[#This Row],[Horas utilizadas]]</f>
        <v>#REF!</v>
      </c>
      <c r="L4744" s="9"/>
      <c r="M4744" s="19" t="e">
        <f>Planning[[#This Row],[Saldo]]-Planning[[#This Row],[Saldo estimado]]</f>
        <v>#REF!</v>
      </c>
      <c r="N4744" s="62" t="e">
        <f>+SUMIFS(#REF!,#REF!,Planning[[#This Row],[Proyectos]],#REF!,Planning[[#This Row],[Tipo de Tarea y especialidad]])</f>
        <v>#REF!</v>
      </c>
      <c r="O4744" s="34">
        <f t="shared" si="149"/>
        <v>10</v>
      </c>
      <c r="P4744" s="34">
        <f t="shared" si="150"/>
        <v>2024</v>
      </c>
      <c r="Q47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44" s="146" t="str">
        <f>TEXT(Planning[[#This Row],[Mes]]*29,"mmmm")</f>
        <v>October</v>
      </c>
      <c r="S4744"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44" s="110"/>
      <c r="U4744" s="107"/>
      <c r="V4744" s="43"/>
      <c r="W4744" s="44"/>
    </row>
    <row r="4745" spans="1:23" x14ac:dyDescent="0.2">
      <c r="A4745" s="9" t="s">
        <v>483</v>
      </c>
      <c r="B4745" s="9" t="s">
        <v>808</v>
      </c>
      <c r="C4745" s="3"/>
      <c r="D4745" s="3" t="s">
        <v>809</v>
      </c>
      <c r="E4745" s="4"/>
      <c r="F4745" s="3" t="s">
        <v>124</v>
      </c>
      <c r="G4745" s="53">
        <v>140</v>
      </c>
      <c r="H4745" s="20">
        <v>140</v>
      </c>
      <c r="I4745" s="12"/>
      <c r="J4745" s="5" t="e">
        <f>SUM(SUMIFS(#REF!,#REF!,Planning[[#This Row],[Tipo de Tarea y especialidad]],#REF!,Planning[[#This Row],[Proyectos Reiwa]]),SUMIFS(#REF!,#REF!,Planning[[#This Row],[Tipo de Tarea y especialidad]],#REF!,Planning[[#This Row],[Proyectos]]))</f>
        <v>#REF!</v>
      </c>
      <c r="K4745" s="5" t="e">
        <f>+Planning[[#This Row],[Horas Planificadas]]+Planning[[#This Row],[Horas ajustadas adicionales]]-Planning[[#This Row],[Horas utilizadas]]</f>
        <v>#REF!</v>
      </c>
      <c r="L4745" s="9">
        <v>45</v>
      </c>
      <c r="M4745" s="19" t="e">
        <f>Planning[[#This Row],[Saldo]]-Planning[[#This Row],[Saldo estimado]]</f>
        <v>#REF!</v>
      </c>
      <c r="N4745" s="62" t="e">
        <f>+SUMIFS(#REF!,#REF!,Planning[[#This Row],[Proyectos]],#REF!,Planning[[#This Row],[Tipo de Tarea y especialidad]])</f>
        <v>#REF!</v>
      </c>
      <c r="O4745" s="34">
        <f t="shared" si="149"/>
        <v>10</v>
      </c>
      <c r="P4745" s="34">
        <f t="shared" si="150"/>
        <v>2024</v>
      </c>
      <c r="Q47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45" s="146" t="str">
        <f>TEXT(Planning[[#This Row],[Mes]]*29,"mmmm")</f>
        <v>October</v>
      </c>
      <c r="S4745"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45" s="110" t="s">
        <v>815</v>
      </c>
      <c r="U4745" s="107"/>
      <c r="V4745" s="43"/>
      <c r="W4745" s="44"/>
    </row>
    <row r="4746" spans="1:23" x14ac:dyDescent="0.2">
      <c r="A4746" s="9" t="s">
        <v>483</v>
      </c>
      <c r="B4746" s="9" t="s">
        <v>808</v>
      </c>
      <c r="C4746" s="3"/>
      <c r="D4746" s="3" t="s">
        <v>809</v>
      </c>
      <c r="E4746" s="4"/>
      <c r="F4746" s="3" t="s">
        <v>125</v>
      </c>
      <c r="G4746" s="53"/>
      <c r="H4746" s="20"/>
      <c r="I4746" s="12"/>
      <c r="J4746" s="5" t="e">
        <f>SUM(SUMIFS(#REF!,#REF!,Planning[[#This Row],[Tipo de Tarea y especialidad]],#REF!,Planning[[#This Row],[Proyectos Reiwa]]),SUMIFS(#REF!,#REF!,Planning[[#This Row],[Tipo de Tarea y especialidad]],#REF!,Planning[[#This Row],[Proyectos]]))</f>
        <v>#REF!</v>
      </c>
      <c r="K4746" s="5" t="e">
        <f>+Planning[[#This Row],[Horas Planificadas]]+Planning[[#This Row],[Horas ajustadas adicionales]]-Planning[[#This Row],[Horas utilizadas]]</f>
        <v>#REF!</v>
      </c>
      <c r="L4746" s="9">
        <v>0</v>
      </c>
      <c r="M4746" s="19" t="e">
        <f>Planning[[#This Row],[Saldo]]-Planning[[#This Row],[Saldo estimado]]</f>
        <v>#REF!</v>
      </c>
      <c r="N4746" s="62" t="e">
        <f>+SUMIFS(#REF!,#REF!,Planning[[#This Row],[Proyectos]],#REF!,Planning[[#This Row],[Tipo de Tarea y especialidad]])</f>
        <v>#REF!</v>
      </c>
      <c r="O4746" s="34">
        <f t="shared" si="149"/>
        <v>10</v>
      </c>
      <c r="P4746" s="34">
        <f t="shared" si="150"/>
        <v>2024</v>
      </c>
      <c r="Q47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46" s="146" t="str">
        <f>TEXT(Planning[[#This Row],[Mes]]*29,"mmmm")</f>
        <v>October</v>
      </c>
      <c r="S4746"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46" s="110"/>
      <c r="U4746" s="107"/>
      <c r="V4746" s="43"/>
      <c r="W4746" s="44"/>
    </row>
    <row r="4747" spans="1:23" x14ac:dyDescent="0.2">
      <c r="A4747" s="9" t="s">
        <v>483</v>
      </c>
      <c r="B4747" s="9" t="s">
        <v>808</v>
      </c>
      <c r="C4747" s="3"/>
      <c r="D4747" s="3" t="s">
        <v>809</v>
      </c>
      <c r="E4747" s="4"/>
      <c r="F4747" s="3" t="s">
        <v>126</v>
      </c>
      <c r="G4747" s="53"/>
      <c r="H4747" s="20"/>
      <c r="I4747" s="12"/>
      <c r="J4747" s="5" t="e">
        <f>SUM(SUMIFS(#REF!,#REF!,Planning[[#This Row],[Tipo de Tarea y especialidad]],#REF!,Planning[[#This Row],[Proyectos Reiwa]]),SUMIFS(#REF!,#REF!,Planning[[#This Row],[Tipo de Tarea y especialidad]],#REF!,Planning[[#This Row],[Proyectos]]))</f>
        <v>#REF!</v>
      </c>
      <c r="K4747" s="5" t="e">
        <f>+Planning[[#This Row],[Horas Planificadas]]+Planning[[#This Row],[Horas ajustadas adicionales]]-Planning[[#This Row],[Horas utilizadas]]</f>
        <v>#REF!</v>
      </c>
      <c r="L4747" s="9"/>
      <c r="M4747" s="19" t="e">
        <f>Planning[[#This Row],[Saldo]]-Planning[[#This Row],[Saldo estimado]]</f>
        <v>#REF!</v>
      </c>
      <c r="N4747" s="62" t="e">
        <f>+SUMIFS(#REF!,#REF!,Planning[[#This Row],[Proyectos]],#REF!,Planning[[#This Row],[Tipo de Tarea y especialidad]])</f>
        <v>#REF!</v>
      </c>
      <c r="O4747" s="34">
        <f t="shared" si="149"/>
        <v>10</v>
      </c>
      <c r="P4747" s="34">
        <f t="shared" si="150"/>
        <v>2024</v>
      </c>
      <c r="Q47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47" s="146" t="str">
        <f>TEXT(Planning[[#This Row],[Mes]]*29,"mmmm")</f>
        <v>October</v>
      </c>
      <c r="S4747"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47" s="110" t="s">
        <v>816</v>
      </c>
      <c r="U4747" s="107"/>
      <c r="V4747" s="43"/>
      <c r="W4747" s="44"/>
    </row>
    <row r="4748" spans="1:23" x14ac:dyDescent="0.2">
      <c r="A4748" s="9" t="s">
        <v>483</v>
      </c>
      <c r="B4748" s="9" t="s">
        <v>808</v>
      </c>
      <c r="C4748" s="3"/>
      <c r="D4748" s="3" t="s">
        <v>809</v>
      </c>
      <c r="E4748" s="4"/>
      <c r="F4748" s="3" t="s">
        <v>127</v>
      </c>
      <c r="G4748" s="53"/>
      <c r="H4748" s="20"/>
      <c r="I4748" s="12"/>
      <c r="J4748" s="5" t="e">
        <f>SUM(SUMIFS(#REF!,#REF!,Planning[[#This Row],[Tipo de Tarea y especialidad]],#REF!,Planning[[#This Row],[Proyectos Reiwa]]),SUMIFS(#REF!,#REF!,Planning[[#This Row],[Tipo de Tarea y especialidad]],#REF!,Planning[[#This Row],[Proyectos]]))</f>
        <v>#REF!</v>
      </c>
      <c r="K4748" s="5" t="e">
        <f>+Planning[[#This Row],[Horas Planificadas]]+Planning[[#This Row],[Horas ajustadas adicionales]]-Planning[[#This Row],[Horas utilizadas]]</f>
        <v>#REF!</v>
      </c>
      <c r="L4748" s="9"/>
      <c r="M4748" s="19" t="e">
        <f>Planning[[#This Row],[Saldo]]-Planning[[#This Row],[Saldo estimado]]</f>
        <v>#REF!</v>
      </c>
      <c r="N4748" s="62" t="e">
        <f>+SUMIFS(#REF!,#REF!,Planning[[#This Row],[Proyectos]],#REF!,Planning[[#This Row],[Tipo de Tarea y especialidad]])</f>
        <v>#REF!</v>
      </c>
      <c r="O4748" s="34">
        <f t="shared" si="149"/>
        <v>10</v>
      </c>
      <c r="P4748" s="34">
        <f t="shared" si="150"/>
        <v>2024</v>
      </c>
      <c r="Q47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48" s="146" t="str">
        <f>TEXT(Planning[[#This Row],[Mes]]*29,"mmmm")</f>
        <v>October</v>
      </c>
      <c r="S4748"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48" s="110" t="s">
        <v>817</v>
      </c>
      <c r="U4748" s="107"/>
      <c r="V4748" s="43"/>
      <c r="W4748" s="44"/>
    </row>
    <row r="4749" spans="1:23" x14ac:dyDescent="0.2">
      <c r="A4749" s="9" t="s">
        <v>483</v>
      </c>
      <c r="B4749" s="9" t="s">
        <v>808</v>
      </c>
      <c r="C4749" s="3"/>
      <c r="D4749" s="3" t="s">
        <v>809</v>
      </c>
      <c r="E4749" s="4"/>
      <c r="F4749" s="3" t="s">
        <v>128</v>
      </c>
      <c r="G4749" s="53">
        <v>50</v>
      </c>
      <c r="H4749" s="20">
        <v>50</v>
      </c>
      <c r="I4749" s="12"/>
      <c r="J4749" s="5" t="e">
        <f>SUM(SUMIFS(#REF!,#REF!,Planning[[#This Row],[Tipo de Tarea y especialidad]],#REF!,Planning[[#This Row],[Proyectos Reiwa]]),SUMIFS(#REF!,#REF!,Planning[[#This Row],[Tipo de Tarea y especialidad]],#REF!,Planning[[#This Row],[Proyectos]]))</f>
        <v>#REF!</v>
      </c>
      <c r="K4749" s="5" t="e">
        <f>+Planning[[#This Row],[Horas Planificadas]]+Planning[[#This Row],[Horas ajustadas adicionales]]-Planning[[#This Row],[Horas utilizadas]]</f>
        <v>#REF!</v>
      </c>
      <c r="L4749" s="9">
        <v>0</v>
      </c>
      <c r="M4749" s="19" t="e">
        <f>Planning[[#This Row],[Saldo]]-Planning[[#This Row],[Saldo estimado]]</f>
        <v>#REF!</v>
      </c>
      <c r="N4749" s="62" t="e">
        <f>+SUMIFS(#REF!,#REF!,Planning[[#This Row],[Proyectos]],#REF!,Planning[[#This Row],[Tipo de Tarea y especialidad]])</f>
        <v>#REF!</v>
      </c>
      <c r="O4749" s="34">
        <f t="shared" si="149"/>
        <v>10</v>
      </c>
      <c r="P4749" s="34">
        <f t="shared" si="150"/>
        <v>2024</v>
      </c>
      <c r="Q47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49" s="146" t="str">
        <f>TEXT(Planning[[#This Row],[Mes]]*29,"mmmm")</f>
        <v>October</v>
      </c>
      <c r="S4749"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49" s="110"/>
      <c r="U4749" s="107"/>
      <c r="V4749" s="43"/>
      <c r="W4749" s="44"/>
    </row>
    <row r="4750" spans="1:23" x14ac:dyDescent="0.2">
      <c r="A4750" s="9" t="s">
        <v>483</v>
      </c>
      <c r="B4750" s="9" t="s">
        <v>808</v>
      </c>
      <c r="C4750" s="3"/>
      <c r="D4750" s="3" t="s">
        <v>809</v>
      </c>
      <c r="E4750" s="4" t="s">
        <v>31</v>
      </c>
      <c r="F4750" s="3" t="s">
        <v>31</v>
      </c>
      <c r="G4750" s="53">
        <v>70</v>
      </c>
      <c r="H4750" s="69">
        <v>70</v>
      </c>
      <c r="I4750" s="70"/>
      <c r="J4750" s="14" t="e">
        <f>+SUMIFS(#REF!,#REF!,Planning[[#This Row],[Tarifa]],#REF!,Planning[[#This Row],[Proyectos]])</f>
        <v>#REF!</v>
      </c>
      <c r="K4750" s="71" t="e">
        <f>+Planning[[#This Row],[Horas Planificadas]]+Planning[[#This Row],[Horas ajustadas adicionales]]-Planning[[#This Row],[Horas utilizadas]]</f>
        <v>#REF!</v>
      </c>
      <c r="L4750" s="72">
        <v>0</v>
      </c>
      <c r="M4750" s="19" t="e">
        <f>Planning[[#This Row],[Saldo]]-Planning[[#This Row],[Saldo estimado]]</f>
        <v>#REF!</v>
      </c>
      <c r="N4750" s="62" t="e">
        <f>+SUMIFS(#REF!,#REF!,Planning[[#This Row],[Proyectos]],#REF!,Planning[[#This Row],[Tipo de Tarea y especialidad]])</f>
        <v>#REF!</v>
      </c>
      <c r="O4750" s="34">
        <f t="shared" si="149"/>
        <v>10</v>
      </c>
      <c r="P4750" s="34">
        <f t="shared" si="150"/>
        <v>2024</v>
      </c>
      <c r="Q4750" s="16" t="e">
        <f>+SUMIFS(#REF!,#REF!,Planning[[#This Row],[Tarifa]],#REF!,Planning[[#This Row],[Proyectos]],#REF!,Planning[[#This Row],[Mes]],#REF!,Planning[[#This Row],[Año]])</f>
        <v>#REF!</v>
      </c>
      <c r="R4750" s="149" t="str">
        <f>TEXT(Planning[[#This Row],[Mes]]*29,"mmmm")</f>
        <v>October</v>
      </c>
      <c r="S4750"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50" s="110"/>
      <c r="U4750" s="107"/>
      <c r="V4750" s="43"/>
      <c r="W4750" s="44"/>
    </row>
    <row r="4751" spans="1:23" ht="22.5" x14ac:dyDescent="0.2">
      <c r="A4751" s="9" t="s">
        <v>483</v>
      </c>
      <c r="B4751" s="9" t="s">
        <v>808</v>
      </c>
      <c r="C4751" s="3"/>
      <c r="D4751" s="3" t="s">
        <v>809</v>
      </c>
      <c r="E4751" s="4" t="s">
        <v>32</v>
      </c>
      <c r="F4751" s="3"/>
      <c r="G4751" s="53"/>
      <c r="H4751" s="69">
        <f>SUM(H4752:H4754)</f>
        <v>100</v>
      </c>
      <c r="I4751" s="70"/>
      <c r="J4751" s="14" t="e">
        <f>SUM(J4752:J4754)</f>
        <v>#REF!</v>
      </c>
      <c r="K4751" s="71" t="e">
        <f>+Planning[[#This Row],[Horas Planificadas]]+Planning[[#This Row],[Horas ajustadas adicionales]]-Planning[[#This Row],[Horas utilizadas]]</f>
        <v>#REF!</v>
      </c>
      <c r="L4751" s="72">
        <f>SUM(L4752:L4754)</f>
        <v>0</v>
      </c>
      <c r="M4751" s="19" t="e">
        <f>SUM(M4752:M4754)</f>
        <v>#REF!</v>
      </c>
      <c r="N4751" s="62" t="e">
        <f>+SUMIFS(#REF!,#REF!,Planning[[#This Row],[Proyectos]],#REF!,Planning[[#This Row],[Tipo de Tarea y especialidad]])</f>
        <v>#REF!</v>
      </c>
      <c r="O4751" s="34">
        <f t="shared" si="149"/>
        <v>10</v>
      </c>
      <c r="P4751" s="34">
        <f t="shared" si="150"/>
        <v>2024</v>
      </c>
      <c r="Q4751" s="16" t="e">
        <f>SUM(Q4752:Q4754)</f>
        <v>#REF!</v>
      </c>
      <c r="R4751" s="149" t="str">
        <f>TEXT(Planning[[#This Row],[Mes]]*29,"mmmm")</f>
        <v>October</v>
      </c>
      <c r="S4751"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51" s="110"/>
      <c r="U4751" s="107"/>
      <c r="V4751" s="43"/>
      <c r="W4751" s="44"/>
    </row>
    <row r="4752" spans="1:23" x14ac:dyDescent="0.2">
      <c r="A4752" s="9" t="s">
        <v>483</v>
      </c>
      <c r="B4752" s="9" t="s">
        <v>808</v>
      </c>
      <c r="C4752" s="3"/>
      <c r="D4752" s="3" t="s">
        <v>809</v>
      </c>
      <c r="E4752" s="4"/>
      <c r="F4752" s="3" t="s">
        <v>129</v>
      </c>
      <c r="G4752" s="53"/>
      <c r="H4752" s="20"/>
      <c r="I4752" s="12"/>
      <c r="J4752" s="5" t="e">
        <f>SUM(SUMIFS(#REF!,#REF!,Planning[[#This Row],[Tipo de Tarea y especialidad]],#REF!,Planning[[#This Row],[Proyectos Reiwa]]),SUMIFS(#REF!,#REF!,Planning[[#This Row],[Tipo de Tarea y especialidad]],#REF!,Planning[[#This Row],[Proyectos]]))</f>
        <v>#REF!</v>
      </c>
      <c r="K4752" s="5" t="e">
        <f>+Planning[[#This Row],[Horas Planificadas]]+Planning[[#This Row],[Horas ajustadas adicionales]]-Planning[[#This Row],[Horas utilizadas]]</f>
        <v>#REF!</v>
      </c>
      <c r="L4752" s="9"/>
      <c r="M4752" s="19" t="e">
        <f>Planning[[#This Row],[Saldo]]-Planning[[#This Row],[Saldo estimado]]</f>
        <v>#REF!</v>
      </c>
      <c r="N4752" s="62" t="e">
        <f>+SUMIFS(#REF!,#REF!,Planning[[#This Row],[Proyectos]],#REF!,Planning[[#This Row],[Tipo de Tarea y especialidad]])</f>
        <v>#REF!</v>
      </c>
      <c r="O4752" s="34">
        <f t="shared" si="149"/>
        <v>10</v>
      </c>
      <c r="P4752" s="34">
        <f t="shared" si="150"/>
        <v>2024</v>
      </c>
      <c r="Q47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52" s="146" t="str">
        <f>TEXT(Planning[[#This Row],[Mes]]*29,"mmmm")</f>
        <v>October</v>
      </c>
      <c r="S4752"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52" s="110"/>
      <c r="U4752" s="107"/>
      <c r="V4752" s="43"/>
      <c r="W4752" s="44"/>
    </row>
    <row r="4753" spans="1:23" x14ac:dyDescent="0.2">
      <c r="A4753" s="9" t="s">
        <v>483</v>
      </c>
      <c r="B4753" s="9" t="s">
        <v>808</v>
      </c>
      <c r="C4753" s="3"/>
      <c r="D4753" s="3" t="s">
        <v>809</v>
      </c>
      <c r="E4753" s="4"/>
      <c r="F4753" s="3" t="s">
        <v>130</v>
      </c>
      <c r="G4753" s="53"/>
      <c r="H4753" s="20"/>
      <c r="I4753" s="12"/>
      <c r="J4753" s="5" t="e">
        <f>SUM(SUMIFS(#REF!,#REF!,Planning[[#This Row],[Tipo de Tarea y especialidad]],#REF!,Planning[[#This Row],[Proyectos Reiwa]]),SUMIFS(#REF!,#REF!,Planning[[#This Row],[Tipo de Tarea y especialidad]],#REF!,Planning[[#This Row],[Proyectos]]))</f>
        <v>#REF!</v>
      </c>
      <c r="K4753" s="5" t="e">
        <f>+Planning[[#This Row],[Horas Planificadas]]+Planning[[#This Row],[Horas ajustadas adicionales]]-Planning[[#This Row],[Horas utilizadas]]</f>
        <v>#REF!</v>
      </c>
      <c r="L4753" s="9"/>
      <c r="M4753" s="19" t="e">
        <f>Planning[[#This Row],[Saldo]]-Planning[[#This Row],[Saldo estimado]]</f>
        <v>#REF!</v>
      </c>
      <c r="N4753" s="62" t="e">
        <f>+SUMIFS(#REF!,#REF!,Planning[[#This Row],[Proyectos]],#REF!,Planning[[#This Row],[Tipo de Tarea y especialidad]])</f>
        <v>#REF!</v>
      </c>
      <c r="O4753" s="34">
        <f t="shared" si="149"/>
        <v>10</v>
      </c>
      <c r="P4753" s="34">
        <f t="shared" si="150"/>
        <v>2024</v>
      </c>
      <c r="Q47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53" s="146" t="str">
        <f>TEXT(Planning[[#This Row],[Mes]]*29,"mmmm")</f>
        <v>October</v>
      </c>
      <c r="S4753"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53" s="110"/>
      <c r="U4753" s="107"/>
      <c r="V4753" s="43"/>
      <c r="W4753" s="44"/>
    </row>
    <row r="4754" spans="1:23" x14ac:dyDescent="0.2">
      <c r="A4754" s="9" t="s">
        <v>483</v>
      </c>
      <c r="B4754" s="9" t="s">
        <v>808</v>
      </c>
      <c r="C4754" s="3"/>
      <c r="D4754" s="3" t="s">
        <v>809</v>
      </c>
      <c r="E4754" s="4"/>
      <c r="F4754" s="3" t="s">
        <v>131</v>
      </c>
      <c r="G4754" s="53">
        <v>100</v>
      </c>
      <c r="H4754" s="20">
        <v>100</v>
      </c>
      <c r="I4754" s="12"/>
      <c r="J4754" s="5" t="e">
        <f>SUM(SUMIFS(#REF!,#REF!,Planning[[#This Row],[Tipo de Tarea y especialidad]],#REF!,Planning[[#This Row],[Proyectos Reiwa]]),SUMIFS(#REF!,#REF!,Planning[[#This Row],[Tipo de Tarea y especialidad]],#REF!,Planning[[#This Row],[Proyectos]]))</f>
        <v>#REF!</v>
      </c>
      <c r="K4754" s="5" t="e">
        <f>+Planning[[#This Row],[Horas Planificadas]]+Planning[[#This Row],[Horas ajustadas adicionales]]-Planning[[#This Row],[Horas utilizadas]]</f>
        <v>#REF!</v>
      </c>
      <c r="L4754" s="9">
        <v>0</v>
      </c>
      <c r="M4754" s="19" t="e">
        <f>Planning[[#This Row],[Saldo]]-Planning[[#This Row],[Saldo estimado]]</f>
        <v>#REF!</v>
      </c>
      <c r="N4754" s="62" t="e">
        <f>+SUMIFS(#REF!,#REF!,Planning[[#This Row],[Proyectos]],#REF!,Planning[[#This Row],[Tipo de Tarea y especialidad]])</f>
        <v>#REF!</v>
      </c>
      <c r="O4754" s="34">
        <f t="shared" si="149"/>
        <v>10</v>
      </c>
      <c r="P4754" s="34">
        <f t="shared" si="150"/>
        <v>2024</v>
      </c>
      <c r="Q47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54" s="147" t="str">
        <f>TEXT(Planning[[#This Row],[Mes]]*29,"mmmm")</f>
        <v>October</v>
      </c>
      <c r="S4754" s="147"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54" s="112"/>
      <c r="U4754" s="107"/>
      <c r="V4754" s="43"/>
      <c r="W4754" s="44"/>
    </row>
    <row r="4755" spans="1:23" ht="13.35" customHeight="1" x14ac:dyDescent="0.2">
      <c r="A4755" s="9" t="s">
        <v>626</v>
      </c>
      <c r="B4755" s="9" t="s">
        <v>582</v>
      </c>
      <c r="C4755" s="129">
        <v>116999</v>
      </c>
      <c r="D4755" s="3" t="s">
        <v>818</v>
      </c>
      <c r="E4755" s="4" t="s">
        <v>28</v>
      </c>
      <c r="F4755" s="3"/>
      <c r="G4755" s="9">
        <v>0</v>
      </c>
      <c r="H4755" s="14">
        <f>SUM(H4756:H4757)</f>
        <v>0</v>
      </c>
      <c r="I4755" s="14"/>
      <c r="J4755" s="14" t="e">
        <f>SUM(J4756:J4757)</f>
        <v>#REF!</v>
      </c>
      <c r="K4755" s="14" t="e">
        <f>+Planning[[#This Row],[Horas Planificadas]]+Planning[[#This Row],[Horas ajustadas adicionales]]-Planning[[#This Row],[Horas utilizadas]]</f>
        <v>#REF!</v>
      </c>
      <c r="L4755" s="15">
        <f>SUM(L4756:L4757)</f>
        <v>0</v>
      </c>
      <c r="M4755" s="14" t="e">
        <f>SUM(M4756:M4757)</f>
        <v>#REF!</v>
      </c>
      <c r="N4755" s="66"/>
      <c r="O4755" s="14">
        <f t="shared" si="149"/>
        <v>10</v>
      </c>
      <c r="P4755" s="14">
        <f t="shared" si="150"/>
        <v>2024</v>
      </c>
      <c r="Q4755" s="28" t="e">
        <f>SUM(Q4756:Q4757)</f>
        <v>#REF!</v>
      </c>
      <c r="R4755" s="25" t="str">
        <f>TEXT(Planning[[#This Row],[Mes]]*29,"mmmm")</f>
        <v>October</v>
      </c>
      <c r="S475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55" s="152" t="s">
        <v>819</v>
      </c>
      <c r="U4755" s="43">
        <f>IF(Planning[[#This Row],[Horas Planificadas]]&lt;&gt;0,+K4755/Planning[[#This Row],[Horas Planificadas]],0)</f>
        <v>0</v>
      </c>
      <c r="V4755" s="43">
        <f>IF(Planning[[#This Row],[Horas Planificadas]]&lt;&gt;0,Planning[[#This Row],[Horas utilizadas]]/Planning[[#This Row],[Horas Planificadas]],0)</f>
        <v>0</v>
      </c>
      <c r="W4755" s="44">
        <f>Planning[[#This Row],[Horas Planificadas]]+Planning[[#This Row],[Horas ajustadas adicionales]]</f>
        <v>0</v>
      </c>
    </row>
    <row r="4756" spans="1:23" x14ac:dyDescent="0.2">
      <c r="A4756" s="9" t="s">
        <v>626</v>
      </c>
      <c r="B4756" s="9" t="s">
        <v>582</v>
      </c>
      <c r="C4756" s="128">
        <v>116999</v>
      </c>
      <c r="D4756" s="3" t="s">
        <v>818</v>
      </c>
      <c r="E4756" s="4"/>
      <c r="F4756" s="3" t="s">
        <v>120</v>
      </c>
      <c r="G4756" s="9"/>
      <c r="H4756" s="9">
        <v>0</v>
      </c>
      <c r="I4756" s="12"/>
      <c r="J4756" s="5" t="e">
        <f>SUM(SUMIFS(#REF!,#REF!,Planning[[#This Row],[Tipo de Tarea y especialidad]],#REF!,Planning[[#This Row],[Proyectos Reiwa]]),SUMIFS(#REF!,#REF!,Planning[[#This Row],[Tipo de Tarea y especialidad]],#REF!,Planning[[#This Row],[Proyectos]]))</f>
        <v>#REF!</v>
      </c>
      <c r="K4756" s="5" t="e">
        <f>+Planning[[#This Row],[Horas Planificadas]]+Planning[[#This Row],[Horas ajustadas adicionales]]-Planning[[#This Row],[Horas utilizadas]]</f>
        <v>#REF!</v>
      </c>
      <c r="L4756" s="7">
        <v>0</v>
      </c>
      <c r="M4756" s="19" t="e">
        <f>Planning[[#This Row],[Saldo]]-Planning[[#This Row],[Saldo estimado]]</f>
        <v>#REF!</v>
      </c>
      <c r="N4756" s="60" t="e">
        <f>+SUMIFS(#REF!,#REF!,Planning[[#This Row],[Proyectos]],#REF!,Planning[[#This Row],[Tipo de Tarea y especialidad]])</f>
        <v>#REF!</v>
      </c>
      <c r="O4756" s="19">
        <f t="shared" si="149"/>
        <v>10</v>
      </c>
      <c r="P4756" s="19">
        <f t="shared" si="150"/>
        <v>2024</v>
      </c>
      <c r="Q47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56" s="49" t="str">
        <f>TEXT(Planning[[#This Row],[Mes]]*29,"mmmm")</f>
        <v>October</v>
      </c>
      <c r="S475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56" s="156"/>
      <c r="U4756" s="43">
        <f>IF(Planning[[#This Row],[Horas Planificadas]]&lt;&gt;0,+K4756/Planning[[#This Row],[Horas Planificadas]],0)</f>
        <v>0</v>
      </c>
      <c r="V4756" s="43">
        <f>IF(Planning[[#This Row],[Horas Planificadas]]&lt;&gt;0,Planning[[#This Row],[Horas utilizadas]]/Planning[[#This Row],[Horas Planificadas]],0)</f>
        <v>0</v>
      </c>
      <c r="W4756" s="44">
        <f>Planning[[#This Row],[Horas Planificadas]]+Planning[[#This Row],[Horas ajustadas adicionales]]</f>
        <v>0</v>
      </c>
    </row>
    <row r="4757" spans="1:23" x14ac:dyDescent="0.2">
      <c r="A4757" s="9" t="s">
        <v>626</v>
      </c>
      <c r="B4757" s="9" t="s">
        <v>582</v>
      </c>
      <c r="C4757" s="129">
        <v>116999</v>
      </c>
      <c r="D4757" s="3" t="s">
        <v>818</v>
      </c>
      <c r="E4757" s="4"/>
      <c r="F4757" s="3" t="s">
        <v>121</v>
      </c>
      <c r="G4757" s="9"/>
      <c r="H4757" s="9">
        <v>0</v>
      </c>
      <c r="I4757" s="12"/>
      <c r="J4757" s="5" t="e">
        <f>SUM(SUMIFS(#REF!,#REF!,Planning[[#This Row],[Tipo de Tarea y especialidad]],#REF!,Planning[[#This Row],[Proyectos Reiwa]]),SUMIFS(#REF!,#REF!,Planning[[#This Row],[Tipo de Tarea y especialidad]],#REF!,Planning[[#This Row],[Proyectos]]))</f>
        <v>#REF!</v>
      </c>
      <c r="K4757" s="5" t="e">
        <f>+Planning[[#This Row],[Horas Planificadas]]+Planning[[#This Row],[Horas ajustadas adicionales]]-Planning[[#This Row],[Horas utilizadas]]</f>
        <v>#REF!</v>
      </c>
      <c r="L4757" s="7">
        <v>0</v>
      </c>
      <c r="M4757" s="19" t="e">
        <f>Planning[[#This Row],[Saldo]]-Planning[[#This Row],[Saldo estimado]]</f>
        <v>#REF!</v>
      </c>
      <c r="N4757" s="60" t="e">
        <f>+SUMIFS(#REF!,#REF!,Planning[[#This Row],[Proyectos]],#REF!,Planning[[#This Row],[Tipo de Tarea y especialidad]])</f>
        <v>#REF!</v>
      </c>
      <c r="O4757" s="19">
        <f t="shared" si="149"/>
        <v>10</v>
      </c>
      <c r="P4757" s="19">
        <f t="shared" si="150"/>
        <v>2024</v>
      </c>
      <c r="Q47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57" s="49" t="str">
        <f>TEXT(Planning[[#This Row],[Mes]]*29,"mmmm")</f>
        <v>October</v>
      </c>
      <c r="S475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57" s="156"/>
      <c r="U4757" s="43">
        <f>IF(Planning[[#This Row],[Horas Planificadas]]&lt;&gt;0,+K4757/Planning[[#This Row],[Horas Planificadas]],0)</f>
        <v>0</v>
      </c>
      <c r="V4757" s="43">
        <f>IF(Planning[[#This Row],[Horas Planificadas]]&lt;&gt;0,Planning[[#This Row],[Horas utilizadas]]/Planning[[#This Row],[Horas Planificadas]],0)</f>
        <v>0</v>
      </c>
      <c r="W4757" s="44">
        <f>Planning[[#This Row],[Horas Planificadas]]+Planning[[#This Row],[Horas ajustadas adicionales]]</f>
        <v>0</v>
      </c>
    </row>
    <row r="4758" spans="1:23" x14ac:dyDescent="0.2">
      <c r="A4758" s="9" t="s">
        <v>626</v>
      </c>
      <c r="B4758" s="9" t="s">
        <v>582</v>
      </c>
      <c r="C4758" s="128">
        <v>116999</v>
      </c>
      <c r="D4758" s="3" t="s">
        <v>818</v>
      </c>
      <c r="E4758" s="4" t="s">
        <v>30</v>
      </c>
      <c r="F4758" s="3"/>
      <c r="G4758" s="9">
        <v>777</v>
      </c>
      <c r="H4758" s="14">
        <f>SUM(H4759:H4765)</f>
        <v>777</v>
      </c>
      <c r="I4758" s="14"/>
      <c r="J4758" s="14" t="e">
        <f>SUM(J4759:J4765)</f>
        <v>#REF!</v>
      </c>
      <c r="K4758" s="14" t="e">
        <f>+Planning[[#This Row],[Horas Planificadas]]+Planning[[#This Row],[Horas ajustadas adicionales]]-Planning[[#This Row],[Horas utilizadas]]</f>
        <v>#REF!</v>
      </c>
      <c r="L4758" s="15">
        <f>SUM(L4759:L4765)</f>
        <v>169</v>
      </c>
      <c r="M4758" s="16" t="e">
        <f>SUM(M4759:M4765)</f>
        <v>#REF!</v>
      </c>
      <c r="N4758" s="60"/>
      <c r="O4758" s="16">
        <f t="shared" si="149"/>
        <v>10</v>
      </c>
      <c r="P4758" s="16">
        <f t="shared" si="150"/>
        <v>2024</v>
      </c>
      <c r="Q4758" s="16" t="e">
        <f>SUM(Q4759:Q4765)</f>
        <v>#REF!</v>
      </c>
      <c r="R4758" s="50" t="str">
        <f>TEXT(Planning[[#This Row],[Mes]]*29,"mmmm")</f>
        <v>October</v>
      </c>
      <c r="S475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58" s="156"/>
      <c r="U4758" s="43" t="e">
        <f>IF(Planning[[#This Row],[Horas Planificadas]]&lt;&gt;0,+K4758/Planning[[#This Row],[Horas Planificadas]],0)</f>
        <v>#REF!</v>
      </c>
      <c r="V4758" s="43" t="e">
        <f>IF(Planning[[#This Row],[Horas Planificadas]]&lt;&gt;0,Planning[[#This Row],[Horas utilizadas]]/Planning[[#This Row],[Horas Planificadas]],0)</f>
        <v>#REF!</v>
      </c>
      <c r="W4758" s="44">
        <f>Planning[[#This Row],[Horas Planificadas]]+Planning[[#This Row],[Horas ajustadas adicionales]]</f>
        <v>777</v>
      </c>
    </row>
    <row r="4759" spans="1:23" x14ac:dyDescent="0.2">
      <c r="A4759" s="9" t="s">
        <v>626</v>
      </c>
      <c r="B4759" s="9" t="s">
        <v>582</v>
      </c>
      <c r="C4759" s="129">
        <v>116999</v>
      </c>
      <c r="D4759" s="3" t="s">
        <v>818</v>
      </c>
      <c r="E4759" s="4"/>
      <c r="F4759" s="3" t="s">
        <v>122</v>
      </c>
      <c r="G4759" s="9"/>
      <c r="H4759" s="9">
        <v>0</v>
      </c>
      <c r="I4759" s="12"/>
      <c r="J4759" s="5" t="e">
        <f>SUM(SUMIFS(#REF!,#REF!,Planning[[#This Row],[Tipo de Tarea y especialidad]],#REF!,Planning[[#This Row],[Proyectos Reiwa]]),SUMIFS(#REF!,#REF!,Planning[[#This Row],[Tipo de Tarea y especialidad]],#REF!,Planning[[#This Row],[Proyectos]]))</f>
        <v>#REF!</v>
      </c>
      <c r="K4759" s="5" t="e">
        <f>+Planning[[#This Row],[Horas Planificadas]]+Planning[[#This Row],[Horas ajustadas adicionales]]-Planning[[#This Row],[Horas utilizadas]]</f>
        <v>#REF!</v>
      </c>
      <c r="L4759" s="7">
        <v>0</v>
      </c>
      <c r="M4759" s="19" t="e">
        <f>Planning[[#This Row],[Saldo]]-Planning[[#This Row],[Saldo estimado]]</f>
        <v>#REF!</v>
      </c>
      <c r="N4759" s="60" t="e">
        <f>+SUMIFS(#REF!,#REF!,Planning[[#This Row],[Proyectos]],#REF!,Planning[[#This Row],[Tipo de Tarea y especialidad]])</f>
        <v>#REF!</v>
      </c>
      <c r="O4759" s="19">
        <f t="shared" si="149"/>
        <v>10</v>
      </c>
      <c r="P4759" s="19">
        <f t="shared" si="150"/>
        <v>2024</v>
      </c>
      <c r="Q47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59" s="49" t="str">
        <f>TEXT(Planning[[#This Row],[Mes]]*29,"mmmm")</f>
        <v>October</v>
      </c>
      <c r="S475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59" s="156"/>
      <c r="U4759" s="43">
        <f>IF(Planning[[#This Row],[Horas Planificadas]]&lt;&gt;0,+K4759/Planning[[#This Row],[Horas Planificadas]],0)</f>
        <v>0</v>
      </c>
      <c r="V4759" s="43">
        <f>IF(Planning[[#This Row],[Horas Planificadas]]&lt;&gt;0,Planning[[#This Row],[Horas utilizadas]]/Planning[[#This Row],[Horas Planificadas]],0)</f>
        <v>0</v>
      </c>
      <c r="W4759" s="44">
        <f>Planning[[#This Row],[Horas Planificadas]]+Planning[[#This Row],[Horas ajustadas adicionales]]</f>
        <v>0</v>
      </c>
    </row>
    <row r="4760" spans="1:23" x14ac:dyDescent="0.2">
      <c r="A4760" s="9" t="s">
        <v>626</v>
      </c>
      <c r="B4760" s="9" t="s">
        <v>582</v>
      </c>
      <c r="C4760" s="128">
        <v>116999</v>
      </c>
      <c r="D4760" s="3" t="s">
        <v>818</v>
      </c>
      <c r="E4760" s="4"/>
      <c r="F4760" s="3" t="s">
        <v>123</v>
      </c>
      <c r="G4760" s="9"/>
      <c r="H4760" s="9">
        <v>576</v>
      </c>
      <c r="I4760" s="12"/>
      <c r="J4760" s="5" t="e">
        <f>SUM(SUMIFS(#REF!,#REF!,Planning[[#This Row],[Tipo de Tarea y especialidad]],#REF!,Planning[[#This Row],[Proyectos Reiwa]]),SUMIFS(#REF!,#REF!,Planning[[#This Row],[Tipo de Tarea y especialidad]],#REF!,Planning[[#This Row],[Proyectos]]))</f>
        <v>#REF!</v>
      </c>
      <c r="K4760" s="5" t="e">
        <f>+Planning[[#This Row],[Horas Planificadas]]+Planning[[#This Row],[Horas ajustadas adicionales]]-Planning[[#This Row],[Horas utilizadas]]</f>
        <v>#REF!</v>
      </c>
      <c r="L4760" s="7">
        <v>111</v>
      </c>
      <c r="M4760" s="19" t="e">
        <f>Planning[[#This Row],[Saldo]]-Planning[[#This Row],[Saldo estimado]]</f>
        <v>#REF!</v>
      </c>
      <c r="N4760" s="60" t="e">
        <f>+SUMIFS(#REF!,#REF!,Planning[[#This Row],[Proyectos]],#REF!,Planning[[#This Row],[Tipo de Tarea y especialidad]])</f>
        <v>#REF!</v>
      </c>
      <c r="O4760" s="19">
        <f t="shared" si="149"/>
        <v>10</v>
      </c>
      <c r="P4760" s="19">
        <f t="shared" si="150"/>
        <v>2024</v>
      </c>
      <c r="Q47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60" s="49" t="str">
        <f>TEXT(Planning[[#This Row],[Mes]]*29,"mmmm")</f>
        <v>October</v>
      </c>
      <c r="S476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60" s="156"/>
      <c r="U4760" s="43" t="e">
        <f>IF(Planning[[#This Row],[Horas Planificadas]]&lt;&gt;0,+K4760/Planning[[#This Row],[Horas Planificadas]],0)</f>
        <v>#REF!</v>
      </c>
      <c r="V4760" s="43" t="e">
        <f>IF(Planning[[#This Row],[Horas Planificadas]]&lt;&gt;0,Planning[[#This Row],[Horas utilizadas]]/Planning[[#This Row],[Horas Planificadas]],0)</f>
        <v>#REF!</v>
      </c>
      <c r="W4760" s="44">
        <f>Planning[[#This Row],[Horas Planificadas]]+Planning[[#This Row],[Horas ajustadas adicionales]]</f>
        <v>576</v>
      </c>
    </row>
    <row r="4761" spans="1:23" x14ac:dyDescent="0.2">
      <c r="A4761" s="9" t="s">
        <v>626</v>
      </c>
      <c r="B4761" s="9" t="s">
        <v>582</v>
      </c>
      <c r="C4761" s="129">
        <v>116999</v>
      </c>
      <c r="D4761" s="3" t="s">
        <v>818</v>
      </c>
      <c r="E4761" s="4"/>
      <c r="F4761" s="3" t="s">
        <v>124</v>
      </c>
      <c r="G4761" s="9"/>
      <c r="H4761" s="9">
        <v>120</v>
      </c>
      <c r="I4761" s="12"/>
      <c r="J4761" s="5" t="e">
        <f>SUM(SUMIFS(#REF!,#REF!,Planning[[#This Row],[Tipo de Tarea y especialidad]],#REF!,Planning[[#This Row],[Proyectos Reiwa]]),SUMIFS(#REF!,#REF!,Planning[[#This Row],[Tipo de Tarea y especialidad]],#REF!,Planning[[#This Row],[Proyectos]]))</f>
        <v>#REF!</v>
      </c>
      <c r="K4761" s="5" t="e">
        <f>+Planning[[#This Row],[Horas Planificadas]]+Planning[[#This Row],[Horas ajustadas adicionales]]-Planning[[#This Row],[Horas utilizadas]]</f>
        <v>#REF!</v>
      </c>
      <c r="L4761" s="7">
        <v>40</v>
      </c>
      <c r="M4761" s="19" t="e">
        <f>Planning[[#This Row],[Saldo]]-Planning[[#This Row],[Saldo estimado]]</f>
        <v>#REF!</v>
      </c>
      <c r="N4761" s="60" t="e">
        <f>+SUMIFS(#REF!,#REF!,Planning[[#This Row],[Proyectos]],#REF!,Planning[[#This Row],[Tipo de Tarea y especialidad]])</f>
        <v>#REF!</v>
      </c>
      <c r="O4761" s="19">
        <f t="shared" si="149"/>
        <v>10</v>
      </c>
      <c r="P4761" s="19">
        <f t="shared" si="150"/>
        <v>2024</v>
      </c>
      <c r="Q47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61" s="49" t="str">
        <f>TEXT(Planning[[#This Row],[Mes]]*29,"mmmm")</f>
        <v>October</v>
      </c>
      <c r="S476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61" s="156"/>
      <c r="U4761" s="43" t="e">
        <f>IF(Planning[[#This Row],[Horas Planificadas]]&lt;&gt;0,+K4761/Planning[[#This Row],[Horas Planificadas]],0)</f>
        <v>#REF!</v>
      </c>
      <c r="V4761" s="43" t="e">
        <f>IF(Planning[[#This Row],[Horas Planificadas]]&lt;&gt;0,Planning[[#This Row],[Horas utilizadas]]/Planning[[#This Row],[Horas Planificadas]],0)</f>
        <v>#REF!</v>
      </c>
      <c r="W4761" s="44">
        <f>Planning[[#This Row],[Horas Planificadas]]+Planning[[#This Row],[Horas ajustadas adicionales]]</f>
        <v>120</v>
      </c>
    </row>
    <row r="4762" spans="1:23" x14ac:dyDescent="0.2">
      <c r="A4762" s="9" t="s">
        <v>626</v>
      </c>
      <c r="B4762" s="9" t="s">
        <v>582</v>
      </c>
      <c r="C4762" s="128">
        <v>116999</v>
      </c>
      <c r="D4762" s="3" t="s">
        <v>818</v>
      </c>
      <c r="E4762" s="4"/>
      <c r="F4762" s="3" t="s">
        <v>125</v>
      </c>
      <c r="G4762" s="9"/>
      <c r="H4762" s="9">
        <v>0</v>
      </c>
      <c r="I4762" s="12"/>
      <c r="J4762" s="5" t="e">
        <f>SUM(SUMIFS(#REF!,#REF!,Planning[[#This Row],[Tipo de Tarea y especialidad]],#REF!,Planning[[#This Row],[Proyectos Reiwa]]),SUMIFS(#REF!,#REF!,Planning[[#This Row],[Tipo de Tarea y especialidad]],#REF!,Planning[[#This Row],[Proyectos]]))</f>
        <v>#REF!</v>
      </c>
      <c r="K4762" s="5" t="e">
        <f>+Planning[[#This Row],[Horas Planificadas]]+Planning[[#This Row],[Horas ajustadas adicionales]]-Planning[[#This Row],[Horas utilizadas]]</f>
        <v>#REF!</v>
      </c>
      <c r="L4762" s="7">
        <v>18</v>
      </c>
      <c r="M4762" s="19" t="e">
        <f>Planning[[#This Row],[Saldo]]-Planning[[#This Row],[Saldo estimado]]</f>
        <v>#REF!</v>
      </c>
      <c r="N4762" s="60" t="e">
        <f>+SUMIFS(#REF!,#REF!,Planning[[#This Row],[Proyectos]],#REF!,Planning[[#This Row],[Tipo de Tarea y especialidad]])</f>
        <v>#REF!</v>
      </c>
      <c r="O4762" s="19">
        <f t="shared" si="149"/>
        <v>10</v>
      </c>
      <c r="P4762" s="19">
        <f t="shared" si="150"/>
        <v>2024</v>
      </c>
      <c r="Q47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62" s="49" t="str">
        <f>TEXT(Planning[[#This Row],[Mes]]*29,"mmmm")</f>
        <v>October</v>
      </c>
      <c r="S476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62" s="156"/>
      <c r="U4762" s="43">
        <f>IF(Planning[[#This Row],[Horas Planificadas]]&lt;&gt;0,+K4762/Planning[[#This Row],[Horas Planificadas]],0)</f>
        <v>0</v>
      </c>
      <c r="V4762" s="43">
        <f>IF(Planning[[#This Row],[Horas Planificadas]]&lt;&gt;0,Planning[[#This Row],[Horas utilizadas]]/Planning[[#This Row],[Horas Planificadas]],0)</f>
        <v>0</v>
      </c>
      <c r="W4762" s="44">
        <f>Planning[[#This Row],[Horas Planificadas]]+Planning[[#This Row],[Horas ajustadas adicionales]]</f>
        <v>0</v>
      </c>
    </row>
    <row r="4763" spans="1:23" x14ac:dyDescent="0.2">
      <c r="A4763" s="9" t="s">
        <v>626</v>
      </c>
      <c r="B4763" s="9" t="s">
        <v>582</v>
      </c>
      <c r="C4763" s="129">
        <v>116999</v>
      </c>
      <c r="D4763" s="3" t="s">
        <v>818</v>
      </c>
      <c r="E4763" s="4"/>
      <c r="F4763" s="3" t="s">
        <v>126</v>
      </c>
      <c r="G4763" s="9"/>
      <c r="H4763" s="9">
        <v>0</v>
      </c>
      <c r="I4763" s="12"/>
      <c r="J4763" s="5" t="e">
        <f>SUM(SUMIFS(#REF!,#REF!,Planning[[#This Row],[Tipo de Tarea y especialidad]],#REF!,Planning[[#This Row],[Proyectos Reiwa]]),SUMIFS(#REF!,#REF!,Planning[[#This Row],[Tipo de Tarea y especialidad]],#REF!,Planning[[#This Row],[Proyectos]]))</f>
        <v>#REF!</v>
      </c>
      <c r="K4763" s="5" t="e">
        <f>+Planning[[#This Row],[Horas Planificadas]]+Planning[[#This Row],[Horas ajustadas adicionales]]-Planning[[#This Row],[Horas utilizadas]]</f>
        <v>#REF!</v>
      </c>
      <c r="L4763" s="7">
        <v>0</v>
      </c>
      <c r="M4763" s="19" t="e">
        <f>Planning[[#This Row],[Saldo]]-Planning[[#This Row],[Saldo estimado]]</f>
        <v>#REF!</v>
      </c>
      <c r="N4763" s="60" t="e">
        <f>+SUMIFS(#REF!,#REF!,Planning[[#This Row],[Proyectos]],#REF!,Planning[[#This Row],[Tipo de Tarea y especialidad]])</f>
        <v>#REF!</v>
      </c>
      <c r="O4763" s="19">
        <f t="shared" si="149"/>
        <v>10</v>
      </c>
      <c r="P4763" s="19">
        <f t="shared" si="150"/>
        <v>2024</v>
      </c>
      <c r="Q47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63" s="49" t="str">
        <f>TEXT(Planning[[#This Row],[Mes]]*29,"mmmm")</f>
        <v>October</v>
      </c>
      <c r="S476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63" s="156"/>
      <c r="U4763" s="43">
        <f>IF(Planning[[#This Row],[Horas Planificadas]]&lt;&gt;0,+K4763/Planning[[#This Row],[Horas Planificadas]],0)</f>
        <v>0</v>
      </c>
      <c r="V4763" s="43">
        <f>IF(Planning[[#This Row],[Horas Planificadas]]&lt;&gt;0,Planning[[#This Row],[Horas utilizadas]]/Planning[[#This Row],[Horas Planificadas]],0)</f>
        <v>0</v>
      </c>
      <c r="W4763" s="44">
        <f>Planning[[#This Row],[Horas Planificadas]]+Planning[[#This Row],[Horas ajustadas adicionales]]</f>
        <v>0</v>
      </c>
    </row>
    <row r="4764" spans="1:23" x14ac:dyDescent="0.2">
      <c r="A4764" s="9" t="s">
        <v>626</v>
      </c>
      <c r="B4764" s="9" t="s">
        <v>582</v>
      </c>
      <c r="C4764" s="128">
        <v>116999</v>
      </c>
      <c r="D4764" s="3" t="s">
        <v>818</v>
      </c>
      <c r="E4764" s="4"/>
      <c r="F4764" s="3" t="s">
        <v>127</v>
      </c>
      <c r="G4764" s="9"/>
      <c r="H4764" s="9">
        <v>54</v>
      </c>
      <c r="I4764" s="12"/>
      <c r="J4764" s="5" t="e">
        <f>SUM(SUMIFS(#REF!,#REF!,Planning[[#This Row],[Tipo de Tarea y especialidad]],#REF!,Planning[[#This Row],[Proyectos Reiwa]]),SUMIFS(#REF!,#REF!,Planning[[#This Row],[Tipo de Tarea y especialidad]],#REF!,Planning[[#This Row],[Proyectos]]))</f>
        <v>#REF!</v>
      </c>
      <c r="K4764" s="5" t="e">
        <f>+Planning[[#This Row],[Horas Planificadas]]+Planning[[#This Row],[Horas ajustadas adicionales]]-Planning[[#This Row],[Horas utilizadas]]</f>
        <v>#REF!</v>
      </c>
      <c r="L4764" s="7">
        <v>0</v>
      </c>
      <c r="M4764" s="19" t="e">
        <f>Planning[[#This Row],[Saldo]]-Planning[[#This Row],[Saldo estimado]]</f>
        <v>#REF!</v>
      </c>
      <c r="N4764" s="60" t="e">
        <f>+SUMIFS(#REF!,#REF!,Planning[[#This Row],[Proyectos]],#REF!,Planning[[#This Row],[Tipo de Tarea y especialidad]])</f>
        <v>#REF!</v>
      </c>
      <c r="O4764" s="19">
        <f t="shared" si="149"/>
        <v>10</v>
      </c>
      <c r="P4764" s="19">
        <f t="shared" si="150"/>
        <v>2024</v>
      </c>
      <c r="Q47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64" s="49" t="str">
        <f>TEXT(Planning[[#This Row],[Mes]]*29,"mmmm")</f>
        <v>October</v>
      </c>
      <c r="S476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64" s="156"/>
      <c r="U4764" s="43" t="e">
        <f>IF(Planning[[#This Row],[Horas Planificadas]]&lt;&gt;0,+K4764/Planning[[#This Row],[Horas Planificadas]],0)</f>
        <v>#REF!</v>
      </c>
      <c r="V4764" s="43" t="e">
        <f>IF(Planning[[#This Row],[Horas Planificadas]]&lt;&gt;0,Planning[[#This Row],[Horas utilizadas]]/Planning[[#This Row],[Horas Planificadas]],0)</f>
        <v>#REF!</v>
      </c>
      <c r="W4764" s="44">
        <f>Planning[[#This Row],[Horas Planificadas]]+Planning[[#This Row],[Horas ajustadas adicionales]]</f>
        <v>54</v>
      </c>
    </row>
    <row r="4765" spans="1:23" x14ac:dyDescent="0.2">
      <c r="A4765" s="9" t="s">
        <v>626</v>
      </c>
      <c r="B4765" s="9" t="s">
        <v>582</v>
      </c>
      <c r="C4765" s="129">
        <v>116999</v>
      </c>
      <c r="D4765" s="3" t="s">
        <v>818</v>
      </c>
      <c r="E4765" s="4"/>
      <c r="F4765" s="3" t="s">
        <v>128</v>
      </c>
      <c r="G4765" s="9"/>
      <c r="H4765" s="9">
        <v>27</v>
      </c>
      <c r="I4765" s="12"/>
      <c r="J4765" s="5" t="e">
        <f>SUM(SUMIFS(#REF!,#REF!,Planning[[#This Row],[Tipo de Tarea y especialidad]],#REF!,Planning[[#This Row],[Proyectos Reiwa]]),SUMIFS(#REF!,#REF!,Planning[[#This Row],[Tipo de Tarea y especialidad]],#REF!,Planning[[#This Row],[Proyectos]]))</f>
        <v>#REF!</v>
      </c>
      <c r="K4765" s="5" t="e">
        <f>+Planning[[#This Row],[Horas Planificadas]]+Planning[[#This Row],[Horas ajustadas adicionales]]-Planning[[#This Row],[Horas utilizadas]]</f>
        <v>#REF!</v>
      </c>
      <c r="L4765" s="7">
        <v>0</v>
      </c>
      <c r="M4765" s="19" t="e">
        <f>Planning[[#This Row],[Saldo]]-Planning[[#This Row],[Saldo estimado]]</f>
        <v>#REF!</v>
      </c>
      <c r="N4765" s="60" t="e">
        <f>+SUMIFS(#REF!,#REF!,Planning[[#This Row],[Proyectos]],#REF!,Planning[[#This Row],[Tipo de Tarea y especialidad]])</f>
        <v>#REF!</v>
      </c>
      <c r="O4765" s="19">
        <f t="shared" si="149"/>
        <v>10</v>
      </c>
      <c r="P4765" s="19">
        <f t="shared" si="150"/>
        <v>2024</v>
      </c>
      <c r="Q47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65" s="49" t="str">
        <f>TEXT(Planning[[#This Row],[Mes]]*29,"mmmm")</f>
        <v>October</v>
      </c>
      <c r="S476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65" s="156"/>
      <c r="U4765" s="43" t="e">
        <f>IF(Planning[[#This Row],[Horas Planificadas]]&lt;&gt;0,+K4765/Planning[[#This Row],[Horas Planificadas]],0)</f>
        <v>#REF!</v>
      </c>
      <c r="V4765" s="43" t="e">
        <f>IF(Planning[[#This Row],[Horas Planificadas]]&lt;&gt;0,Planning[[#This Row],[Horas utilizadas]]/Planning[[#This Row],[Horas Planificadas]],0)</f>
        <v>#REF!</v>
      </c>
      <c r="W4765" s="44">
        <f>Planning[[#This Row],[Horas Planificadas]]+Planning[[#This Row],[Horas ajustadas adicionales]]</f>
        <v>27</v>
      </c>
    </row>
    <row r="4766" spans="1:23" x14ac:dyDescent="0.2">
      <c r="A4766" s="9" t="s">
        <v>626</v>
      </c>
      <c r="B4766" s="9" t="s">
        <v>582</v>
      </c>
      <c r="C4766" s="128">
        <v>116999</v>
      </c>
      <c r="D4766" s="3" t="s">
        <v>818</v>
      </c>
      <c r="E4766" s="4" t="s">
        <v>31</v>
      </c>
      <c r="F4766" s="3" t="s">
        <v>31</v>
      </c>
      <c r="G4766" s="9">
        <v>135</v>
      </c>
      <c r="H4766" s="17">
        <v>135</v>
      </c>
      <c r="I4766" s="18"/>
      <c r="J4766" s="14" t="e">
        <f>+SUMIFS(#REF!,#REF!,Planning[[#This Row],[Tarifa]],#REF!,Planning[[#This Row],[Proyectos]])</f>
        <v>#REF!</v>
      </c>
      <c r="K4766" s="14" t="e">
        <f>+Planning[[#This Row],[Horas Planificadas]]+Planning[[#This Row],[Horas ajustadas adicionales]]-Planning[[#This Row],[Horas utilizadas]]</f>
        <v>#REF!</v>
      </c>
      <c r="L4766" s="15">
        <v>27</v>
      </c>
      <c r="M4766" s="16" t="e">
        <f>Planning[[#This Row],[Saldo]]-Planning[[#This Row],[Saldo estimado]]</f>
        <v>#REF!</v>
      </c>
      <c r="N4766" s="60"/>
      <c r="O4766" s="16">
        <f t="shared" si="149"/>
        <v>10</v>
      </c>
      <c r="P4766" s="16">
        <f t="shared" si="150"/>
        <v>2024</v>
      </c>
      <c r="Q4766" s="16" t="e">
        <f>+SUMIFS(#REF!,#REF!,Planning[[#This Row],[Tarifa]],#REF!,Planning[[#This Row],[Proyectos]],#REF!,Planning[[#This Row],[Mes]],#REF!,Planning[[#This Row],[Año]])</f>
        <v>#REF!</v>
      </c>
      <c r="R4766" s="50" t="str">
        <f>TEXT(Planning[[#This Row],[Mes]]*29,"mmmm")</f>
        <v>October</v>
      </c>
      <c r="S476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66" s="156"/>
      <c r="U4766" s="43" t="e">
        <f>IF(Planning[[#This Row],[Horas Planificadas]]&lt;&gt;0,+K4766/Planning[[#This Row],[Horas Planificadas]],0)</f>
        <v>#REF!</v>
      </c>
      <c r="V4766" s="43" t="e">
        <f>IF(Planning[[#This Row],[Horas Planificadas]]&lt;&gt;0,Planning[[#This Row],[Horas utilizadas]]/Planning[[#This Row],[Horas Planificadas]],0)</f>
        <v>#REF!</v>
      </c>
      <c r="W4766" s="44">
        <f>Planning[[#This Row],[Horas Planificadas]]+Planning[[#This Row],[Horas ajustadas adicionales]]</f>
        <v>135</v>
      </c>
    </row>
    <row r="4767" spans="1:23" ht="22.5" x14ac:dyDescent="0.2">
      <c r="A4767" s="9" t="s">
        <v>626</v>
      </c>
      <c r="B4767" s="9" t="s">
        <v>582</v>
      </c>
      <c r="C4767" s="129">
        <v>116999</v>
      </c>
      <c r="D4767" s="3" t="s">
        <v>818</v>
      </c>
      <c r="E4767" s="4" t="s">
        <v>32</v>
      </c>
      <c r="F4767" s="3"/>
      <c r="G4767" s="9">
        <v>330</v>
      </c>
      <c r="H4767" s="14">
        <f>SUM(H4768:H4770)</f>
        <v>330</v>
      </c>
      <c r="I4767" s="14"/>
      <c r="J4767" s="14" t="e">
        <f>SUM(J4768:J4770)</f>
        <v>#REF!</v>
      </c>
      <c r="K4767" s="14" t="e">
        <f>+Planning[[#This Row],[Horas Planificadas]]+Planning[[#This Row],[Horas ajustadas adicionales]]-Planning[[#This Row],[Horas utilizadas]]</f>
        <v>#REF!</v>
      </c>
      <c r="L4767" s="15">
        <f>SUM(L4768:L4770)</f>
        <v>100</v>
      </c>
      <c r="M4767" s="16" t="e">
        <f>SUM(M4768:M4770)</f>
        <v>#REF!</v>
      </c>
      <c r="N4767" s="60"/>
      <c r="O4767" s="16">
        <f t="shared" si="149"/>
        <v>10</v>
      </c>
      <c r="P4767" s="16">
        <f t="shared" si="150"/>
        <v>2024</v>
      </c>
      <c r="Q4767" s="16" t="e">
        <f>SUM(Q4768:Q4770)</f>
        <v>#REF!</v>
      </c>
      <c r="R4767" s="50" t="str">
        <f>TEXT(Planning[[#This Row],[Mes]]*29,"mmmm")</f>
        <v>October</v>
      </c>
      <c r="S476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67" s="156"/>
      <c r="U4767" s="43" t="e">
        <f>IF(Planning[[#This Row],[Horas Planificadas]]&lt;&gt;0,+K4767/Planning[[#This Row],[Horas Planificadas]],0)</f>
        <v>#REF!</v>
      </c>
      <c r="V4767" s="43" t="e">
        <f>IF(Planning[[#This Row],[Horas Planificadas]]&lt;&gt;0,Planning[[#This Row],[Horas utilizadas]]/Planning[[#This Row],[Horas Planificadas]],0)</f>
        <v>#REF!</v>
      </c>
      <c r="W4767" s="44">
        <f>Planning[[#This Row],[Horas Planificadas]]+Planning[[#This Row],[Horas ajustadas adicionales]]</f>
        <v>330</v>
      </c>
    </row>
    <row r="4768" spans="1:23" x14ac:dyDescent="0.2">
      <c r="A4768" s="9" t="s">
        <v>626</v>
      </c>
      <c r="B4768" s="9" t="s">
        <v>582</v>
      </c>
      <c r="C4768" s="128">
        <v>116999</v>
      </c>
      <c r="D4768" s="3" t="s">
        <v>818</v>
      </c>
      <c r="E4768" s="4"/>
      <c r="F4768" s="3" t="s">
        <v>129</v>
      </c>
      <c r="G4768" s="9"/>
      <c r="H4768" s="9">
        <v>0</v>
      </c>
      <c r="I4768" s="12"/>
      <c r="J4768" s="5" t="e">
        <f>SUM(SUMIFS(#REF!,#REF!,Planning[[#This Row],[Tipo de Tarea y especialidad]],#REF!,Planning[[#This Row],[Proyectos Reiwa]]),SUMIFS(#REF!,#REF!,Planning[[#This Row],[Tipo de Tarea y especialidad]],#REF!,Planning[[#This Row],[Proyectos]]))</f>
        <v>#REF!</v>
      </c>
      <c r="K4768" s="5" t="e">
        <f>+Planning[[#This Row],[Horas Planificadas]]+Planning[[#This Row],[Horas ajustadas adicionales]]-Planning[[#This Row],[Horas utilizadas]]</f>
        <v>#REF!</v>
      </c>
      <c r="L4768" s="7">
        <v>0</v>
      </c>
      <c r="M4768" s="19" t="e">
        <f>Planning[[#This Row],[Saldo]]-Planning[[#This Row],[Saldo estimado]]</f>
        <v>#REF!</v>
      </c>
      <c r="N4768" s="60" t="e">
        <f>+SUMIFS(#REF!,#REF!,Planning[[#This Row],[Proyectos]],#REF!,Planning[[#This Row],[Tipo de Tarea y especialidad]])</f>
        <v>#REF!</v>
      </c>
      <c r="O4768" s="19">
        <f t="shared" si="149"/>
        <v>10</v>
      </c>
      <c r="P4768" s="19">
        <f t="shared" si="150"/>
        <v>2024</v>
      </c>
      <c r="Q47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68" s="49" t="str">
        <f>TEXT(Planning[[#This Row],[Mes]]*29,"mmmm")</f>
        <v>October</v>
      </c>
      <c r="S476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68" s="156"/>
      <c r="U4768" s="43">
        <f>IF(Planning[[#This Row],[Horas Planificadas]]&lt;&gt;0,+K4768/Planning[[#This Row],[Horas Planificadas]],0)</f>
        <v>0</v>
      </c>
      <c r="V4768" s="43">
        <f>IF(Planning[[#This Row],[Horas Planificadas]]&lt;&gt;0,Planning[[#This Row],[Horas utilizadas]]/Planning[[#This Row],[Horas Planificadas]],0)</f>
        <v>0</v>
      </c>
      <c r="W4768" s="44">
        <f>Planning[[#This Row],[Horas Planificadas]]+Planning[[#This Row],[Horas ajustadas adicionales]]</f>
        <v>0</v>
      </c>
    </row>
    <row r="4769" spans="1:23" x14ac:dyDescent="0.2">
      <c r="A4769" s="9" t="s">
        <v>626</v>
      </c>
      <c r="B4769" s="9" t="s">
        <v>582</v>
      </c>
      <c r="C4769" s="129">
        <v>116999</v>
      </c>
      <c r="D4769" s="3" t="s">
        <v>818</v>
      </c>
      <c r="E4769" s="4"/>
      <c r="F4769" s="3" t="s">
        <v>130</v>
      </c>
      <c r="G4769" s="9"/>
      <c r="H4769" s="9">
        <v>330</v>
      </c>
      <c r="I4769" s="12"/>
      <c r="J4769" s="5" t="e">
        <f>SUM(SUMIFS(#REF!,#REF!,Planning[[#This Row],[Tipo de Tarea y especialidad]],#REF!,Planning[[#This Row],[Proyectos Reiwa]]),SUMIFS(#REF!,#REF!,Planning[[#This Row],[Tipo de Tarea y especialidad]],#REF!,Planning[[#This Row],[Proyectos]]))</f>
        <v>#REF!</v>
      </c>
      <c r="K4769" s="5" t="e">
        <f>+Planning[[#This Row],[Horas Planificadas]]+Planning[[#This Row],[Horas ajustadas adicionales]]-Planning[[#This Row],[Horas utilizadas]]</f>
        <v>#REF!</v>
      </c>
      <c r="L4769" s="7">
        <v>100</v>
      </c>
      <c r="M4769" s="19" t="e">
        <f>Planning[[#This Row],[Saldo]]-Planning[[#This Row],[Saldo estimado]]</f>
        <v>#REF!</v>
      </c>
      <c r="N4769" s="60" t="e">
        <f>+SUMIFS(#REF!,#REF!,Planning[[#This Row],[Proyectos]],#REF!,Planning[[#This Row],[Tipo de Tarea y especialidad]])</f>
        <v>#REF!</v>
      </c>
      <c r="O4769" s="19">
        <f t="shared" si="149"/>
        <v>10</v>
      </c>
      <c r="P4769" s="19">
        <f t="shared" si="150"/>
        <v>2024</v>
      </c>
      <c r="Q47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69" s="49" t="str">
        <f>TEXT(Planning[[#This Row],[Mes]]*29,"mmmm")</f>
        <v>October</v>
      </c>
      <c r="S476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69" s="156"/>
      <c r="U4769" s="43" t="e">
        <f>IF(Planning[[#This Row],[Horas Planificadas]]&lt;&gt;0,+K4769/Planning[[#This Row],[Horas Planificadas]],0)</f>
        <v>#REF!</v>
      </c>
      <c r="V4769" s="43" t="e">
        <f>IF(Planning[[#This Row],[Horas Planificadas]]&lt;&gt;0,Planning[[#This Row],[Horas utilizadas]]/Planning[[#This Row],[Horas Planificadas]],0)</f>
        <v>#REF!</v>
      </c>
      <c r="W4769" s="44">
        <f>Planning[[#This Row],[Horas Planificadas]]+Planning[[#This Row],[Horas ajustadas adicionales]]</f>
        <v>330</v>
      </c>
    </row>
    <row r="4770" spans="1:23" x14ac:dyDescent="0.2">
      <c r="A4770" s="9" t="s">
        <v>626</v>
      </c>
      <c r="B4770" s="9" t="s">
        <v>582</v>
      </c>
      <c r="C4770" s="128">
        <v>116999</v>
      </c>
      <c r="D4770" s="3" t="s">
        <v>818</v>
      </c>
      <c r="E4770" s="4"/>
      <c r="F4770" s="3" t="s">
        <v>131</v>
      </c>
      <c r="G4770" s="9"/>
      <c r="H4770" s="9">
        <v>0</v>
      </c>
      <c r="I4770" s="12"/>
      <c r="J4770" s="5" t="e">
        <f>SUM(SUMIFS(#REF!,#REF!,Planning[[#This Row],[Tipo de Tarea y especialidad]],#REF!,Planning[[#This Row],[Proyectos Reiwa]]),SUMIFS(#REF!,#REF!,Planning[[#This Row],[Tipo de Tarea y especialidad]],#REF!,Planning[[#This Row],[Proyectos]]))</f>
        <v>#REF!</v>
      </c>
      <c r="K4770" s="5" t="e">
        <f>+Planning[[#This Row],[Horas Planificadas]]+Planning[[#This Row],[Horas ajustadas adicionales]]-Planning[[#This Row],[Horas utilizadas]]</f>
        <v>#REF!</v>
      </c>
      <c r="L4770" s="7">
        <v>0</v>
      </c>
      <c r="M4770" s="19" t="e">
        <f>Planning[[#This Row],[Saldo]]-Planning[[#This Row],[Saldo estimado]]</f>
        <v>#REF!</v>
      </c>
      <c r="N4770" s="60" t="e">
        <f>+SUMIFS(#REF!,#REF!,Planning[[#This Row],[Proyectos]],#REF!,Planning[[#This Row],[Tipo de Tarea y especialidad]])</f>
        <v>#REF!</v>
      </c>
      <c r="O4770" s="19">
        <f t="shared" si="149"/>
        <v>10</v>
      </c>
      <c r="P4770" s="19">
        <f t="shared" si="150"/>
        <v>2024</v>
      </c>
      <c r="Q47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70" s="51" t="str">
        <f>TEXT(Planning[[#This Row],[Mes]]*29,"mmmm")</f>
        <v>October</v>
      </c>
      <c r="S4770"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70" s="157"/>
      <c r="U4770" s="43">
        <f>IF(Planning[[#This Row],[Horas Planificadas]]&lt;&gt;0,+K4770/Planning[[#This Row],[Horas Planificadas]],0)</f>
        <v>0</v>
      </c>
      <c r="V4770" s="43">
        <f>IF(Planning[[#This Row],[Horas Planificadas]]&lt;&gt;0,Planning[[#This Row],[Horas utilizadas]]/Planning[[#This Row],[Horas Planificadas]],0)</f>
        <v>0</v>
      </c>
      <c r="W4770" s="44">
        <f>Planning[[#This Row],[Horas Planificadas]]+Planning[[#This Row],[Horas ajustadas adicionales]]</f>
        <v>0</v>
      </c>
    </row>
    <row r="4771" spans="1:23" ht="13.35" customHeight="1" x14ac:dyDescent="0.2">
      <c r="A4771" s="9" t="s">
        <v>684</v>
      </c>
      <c r="B4771" s="9" t="s">
        <v>582</v>
      </c>
      <c r="C4771" s="129">
        <v>116896</v>
      </c>
      <c r="D4771" s="3" t="s">
        <v>820</v>
      </c>
      <c r="E4771" s="4" t="s">
        <v>28</v>
      </c>
      <c r="F4771" s="3"/>
      <c r="G4771" s="9">
        <v>12100</v>
      </c>
      <c r="H4771" s="14">
        <f>SUM(H4772:H4773)</f>
        <v>13018</v>
      </c>
      <c r="I4771" s="14"/>
      <c r="J4771" s="14" t="e">
        <f>SUM(J4772:J4773)</f>
        <v>#REF!</v>
      </c>
      <c r="K4771" s="14" t="e">
        <f>+Planning[[#This Row],[Horas Planificadas]]+Planning[[#This Row],[Horas ajustadas adicionales]]-Planning[[#This Row],[Horas utilizadas]]</f>
        <v>#REF!</v>
      </c>
      <c r="L4771" s="15">
        <f>SUM(L4772:L4773)</f>
        <v>135</v>
      </c>
      <c r="M4771" s="14" t="e">
        <f>SUM(M4772:M4773)</f>
        <v>#REF!</v>
      </c>
      <c r="N4771" s="66"/>
      <c r="O4771" s="14">
        <f t="shared" si="149"/>
        <v>10</v>
      </c>
      <c r="P4771" s="14">
        <f t="shared" si="150"/>
        <v>2024</v>
      </c>
      <c r="Q4771" s="28" t="e">
        <f>SUM(Q4772:Q4773)</f>
        <v>#REF!</v>
      </c>
      <c r="R4771" s="24" t="str">
        <f>TEXT(Planning[[#This Row],[Mes]]*29,"mmmm")</f>
        <v>October</v>
      </c>
      <c r="S4771"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71" s="151" t="s">
        <v>821</v>
      </c>
      <c r="U4771" s="43" t="e">
        <f>IF(Planning[[#This Row],[Horas Planificadas]]&lt;&gt;0,+K4771/Planning[[#This Row],[Horas Planificadas]],0)</f>
        <v>#REF!</v>
      </c>
      <c r="V4771" s="43" t="e">
        <f>IF(Planning[[#This Row],[Horas Planificadas]]&lt;&gt;0,Planning[[#This Row],[Horas utilizadas]]/Planning[[#This Row],[Horas Planificadas]],0)</f>
        <v>#REF!</v>
      </c>
      <c r="W4771" s="44">
        <f>Planning[[#This Row],[Horas Planificadas]]+Planning[[#This Row],[Horas ajustadas adicionales]]</f>
        <v>13018</v>
      </c>
    </row>
    <row r="4772" spans="1:23" x14ac:dyDescent="0.2">
      <c r="A4772" s="9" t="s">
        <v>684</v>
      </c>
      <c r="B4772" s="9" t="s">
        <v>582</v>
      </c>
      <c r="C4772" s="128">
        <v>116896</v>
      </c>
      <c r="D4772" s="3" t="s">
        <v>820</v>
      </c>
      <c r="E4772" s="4"/>
      <c r="F4772" s="3" t="s">
        <v>120</v>
      </c>
      <c r="G4772" s="9"/>
      <c r="H4772" s="9">
        <v>9544</v>
      </c>
      <c r="I4772" s="12">
        <v>0</v>
      </c>
      <c r="J4772" s="5" t="e">
        <f>SUM(SUMIFS(#REF!,#REF!,Planning[[#This Row],[Tipo de Tarea y especialidad]],#REF!,Planning[[#This Row],[Proyectos Reiwa]]),SUMIFS(#REF!,#REF!,Planning[[#This Row],[Tipo de Tarea y especialidad]],#REF!,Planning[[#This Row],[Proyectos]]))</f>
        <v>#REF!</v>
      </c>
      <c r="K4772" s="5" t="e">
        <f>+Planning[[#This Row],[Horas Planificadas]]+Planning[[#This Row],[Horas ajustadas adicionales]]-Planning[[#This Row],[Horas utilizadas]]</f>
        <v>#REF!</v>
      </c>
      <c r="L4772" s="7">
        <v>0</v>
      </c>
      <c r="M4772" s="19" t="e">
        <f>Planning[[#This Row],[Saldo]]-Planning[[#This Row],[Saldo estimado]]</f>
        <v>#REF!</v>
      </c>
      <c r="N4772" s="60" t="e">
        <f>+SUMIFS(#REF!,#REF!,Planning[[#This Row],[Proyectos]],#REF!,Planning[[#This Row],[Tipo de Tarea y especialidad]])</f>
        <v>#REF!</v>
      </c>
      <c r="O4772" s="19">
        <f t="shared" si="149"/>
        <v>10</v>
      </c>
      <c r="P4772" s="19">
        <f t="shared" si="150"/>
        <v>2024</v>
      </c>
      <c r="Q47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72" s="49" t="str">
        <f>TEXT(Planning[[#This Row],[Mes]]*29,"mmmm")</f>
        <v>October</v>
      </c>
      <c r="S477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72" s="156"/>
      <c r="U4772" s="43" t="e">
        <f>IF(Planning[[#This Row],[Horas Planificadas]]&lt;&gt;0,+K4772/Planning[[#This Row],[Horas Planificadas]],0)</f>
        <v>#REF!</v>
      </c>
      <c r="V4772" s="43" t="e">
        <f>IF(Planning[[#This Row],[Horas Planificadas]]&lt;&gt;0,Planning[[#This Row],[Horas utilizadas]]/Planning[[#This Row],[Horas Planificadas]],0)</f>
        <v>#REF!</v>
      </c>
      <c r="W4772" s="44">
        <f>Planning[[#This Row],[Horas Planificadas]]+Planning[[#This Row],[Horas ajustadas adicionales]]</f>
        <v>9544</v>
      </c>
    </row>
    <row r="4773" spans="1:23" x14ac:dyDescent="0.2">
      <c r="A4773" s="9" t="s">
        <v>684</v>
      </c>
      <c r="B4773" s="9" t="s">
        <v>582</v>
      </c>
      <c r="C4773" s="129">
        <v>116896</v>
      </c>
      <c r="D4773" s="3" t="s">
        <v>820</v>
      </c>
      <c r="E4773" s="4"/>
      <c r="F4773" s="3" t="s">
        <v>121</v>
      </c>
      <c r="G4773" s="9"/>
      <c r="H4773" s="9">
        <v>3474</v>
      </c>
      <c r="I4773" s="12">
        <v>736</v>
      </c>
      <c r="J4773" s="5" t="e">
        <f>SUM(SUMIFS(#REF!,#REF!,Planning[[#This Row],[Tipo de Tarea y especialidad]],#REF!,Planning[[#This Row],[Proyectos Reiwa]]),SUMIFS(#REF!,#REF!,Planning[[#This Row],[Tipo de Tarea y especialidad]],#REF!,Planning[[#This Row],[Proyectos]]))</f>
        <v>#REF!</v>
      </c>
      <c r="K4773" s="5" t="e">
        <f>+Planning[[#This Row],[Horas Planificadas]]+Planning[[#This Row],[Horas ajustadas adicionales]]-Planning[[#This Row],[Horas utilizadas]]</f>
        <v>#REF!</v>
      </c>
      <c r="L4773" s="7">
        <v>135</v>
      </c>
      <c r="M4773" s="19" t="e">
        <f>Planning[[#This Row],[Saldo]]-Planning[[#This Row],[Saldo estimado]]</f>
        <v>#REF!</v>
      </c>
      <c r="N4773" s="60" t="e">
        <f>+SUMIFS(#REF!,#REF!,Planning[[#This Row],[Proyectos]],#REF!,Planning[[#This Row],[Tipo de Tarea y especialidad]])</f>
        <v>#REF!</v>
      </c>
      <c r="O4773" s="19">
        <f t="shared" si="149"/>
        <v>10</v>
      </c>
      <c r="P4773" s="19">
        <f t="shared" si="150"/>
        <v>2024</v>
      </c>
      <c r="Q47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73" s="49" t="str">
        <f>TEXT(Planning[[#This Row],[Mes]]*29,"mmmm")</f>
        <v>October</v>
      </c>
      <c r="S477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73" s="156"/>
      <c r="U4773" s="43" t="e">
        <f>IF(Planning[[#This Row],[Horas Planificadas]]&lt;&gt;0,+K4773/Planning[[#This Row],[Horas Planificadas]],0)</f>
        <v>#REF!</v>
      </c>
      <c r="V4773" s="43" t="e">
        <f>IF(Planning[[#This Row],[Horas Planificadas]]&lt;&gt;0,Planning[[#This Row],[Horas utilizadas]]/Planning[[#This Row],[Horas Planificadas]],0)</f>
        <v>#REF!</v>
      </c>
      <c r="W4773" s="44">
        <f>Planning[[#This Row],[Horas Planificadas]]+Planning[[#This Row],[Horas ajustadas adicionales]]</f>
        <v>4210</v>
      </c>
    </row>
    <row r="4774" spans="1:23" x14ac:dyDescent="0.2">
      <c r="A4774" s="9" t="s">
        <v>684</v>
      </c>
      <c r="B4774" s="9" t="s">
        <v>582</v>
      </c>
      <c r="C4774" s="128">
        <v>116896</v>
      </c>
      <c r="D4774" s="3" t="s">
        <v>820</v>
      </c>
      <c r="E4774" s="4" t="s">
        <v>30</v>
      </c>
      <c r="F4774" s="3"/>
      <c r="G4774" s="9">
        <v>6019</v>
      </c>
      <c r="H4774" s="14">
        <f>SUM(H4775:H4781)</f>
        <v>6915</v>
      </c>
      <c r="I4774" s="14"/>
      <c r="J4774" s="14" t="e">
        <f>SUM(J4775:J4781)</f>
        <v>#REF!</v>
      </c>
      <c r="K4774" s="14" t="e">
        <f>+Planning[[#This Row],[Horas Planificadas]]+Planning[[#This Row],[Horas ajustadas adicionales]]-Planning[[#This Row],[Horas utilizadas]]</f>
        <v>#REF!</v>
      </c>
      <c r="L4774" s="15">
        <f>SUM(L4775:L4781)</f>
        <v>576</v>
      </c>
      <c r="M4774" s="16" t="e">
        <f>SUM(M4775:M4781)</f>
        <v>#REF!</v>
      </c>
      <c r="N4774" s="60"/>
      <c r="O4774" s="16">
        <f t="shared" si="149"/>
        <v>10</v>
      </c>
      <c r="P4774" s="16">
        <f t="shared" si="150"/>
        <v>2024</v>
      </c>
      <c r="Q4774" s="16" t="e">
        <f>SUM(Q4775:Q4781)</f>
        <v>#REF!</v>
      </c>
      <c r="R4774" s="50" t="str">
        <f>TEXT(Planning[[#This Row],[Mes]]*29,"mmmm")</f>
        <v>October</v>
      </c>
      <c r="S477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74" s="156"/>
      <c r="U4774" s="43" t="e">
        <f>IF(Planning[[#This Row],[Horas Planificadas]]&lt;&gt;0,+K4774/Planning[[#This Row],[Horas Planificadas]],0)</f>
        <v>#REF!</v>
      </c>
      <c r="V4774" s="43" t="e">
        <f>IF(Planning[[#This Row],[Horas Planificadas]]&lt;&gt;0,Planning[[#This Row],[Horas utilizadas]]/Planning[[#This Row],[Horas Planificadas]],0)</f>
        <v>#REF!</v>
      </c>
      <c r="W4774" s="44">
        <f>Planning[[#This Row],[Horas Planificadas]]+Planning[[#This Row],[Horas ajustadas adicionales]]</f>
        <v>6915</v>
      </c>
    </row>
    <row r="4775" spans="1:23" x14ac:dyDescent="0.2">
      <c r="A4775" s="9" t="s">
        <v>684</v>
      </c>
      <c r="B4775" s="9" t="s">
        <v>582</v>
      </c>
      <c r="C4775" s="129">
        <v>116896</v>
      </c>
      <c r="D4775" s="3" t="s">
        <v>820</v>
      </c>
      <c r="E4775" s="4"/>
      <c r="F4775" s="3" t="s">
        <v>122</v>
      </c>
      <c r="G4775" s="9"/>
      <c r="H4775" s="9">
        <v>1549</v>
      </c>
      <c r="I4775" s="12">
        <v>170</v>
      </c>
      <c r="J4775" s="5" t="e">
        <f>SUM(SUMIFS(#REF!,#REF!,Planning[[#This Row],[Tipo de Tarea y especialidad]],#REF!,Planning[[#This Row],[Proyectos Reiwa]]),SUMIFS(#REF!,#REF!,Planning[[#This Row],[Tipo de Tarea y especialidad]],#REF!,Planning[[#This Row],[Proyectos]]))</f>
        <v>#REF!</v>
      </c>
      <c r="K4775" s="5" t="e">
        <f>+Planning[[#This Row],[Horas Planificadas]]+Planning[[#This Row],[Horas ajustadas adicionales]]-Planning[[#This Row],[Horas utilizadas]]</f>
        <v>#REF!</v>
      </c>
      <c r="L4775" s="7">
        <v>108</v>
      </c>
      <c r="M4775" s="19" t="e">
        <f>Planning[[#This Row],[Saldo]]-Planning[[#This Row],[Saldo estimado]]</f>
        <v>#REF!</v>
      </c>
      <c r="N4775" s="60" t="e">
        <f>+SUMIFS(#REF!,#REF!,Planning[[#This Row],[Proyectos]],#REF!,Planning[[#This Row],[Tipo de Tarea y especialidad]])</f>
        <v>#REF!</v>
      </c>
      <c r="O4775" s="19">
        <f t="shared" si="149"/>
        <v>10</v>
      </c>
      <c r="P4775" s="19">
        <f t="shared" si="150"/>
        <v>2024</v>
      </c>
      <c r="Q47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75" s="49" t="str">
        <f>TEXT(Planning[[#This Row],[Mes]]*29,"mmmm")</f>
        <v>October</v>
      </c>
      <c r="S477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75" s="156"/>
      <c r="U4775" s="43" t="e">
        <f>IF(Planning[[#This Row],[Horas Planificadas]]&lt;&gt;0,+K4775/Planning[[#This Row],[Horas Planificadas]],0)</f>
        <v>#REF!</v>
      </c>
      <c r="V4775" s="43" t="e">
        <f>IF(Planning[[#This Row],[Horas Planificadas]]&lt;&gt;0,Planning[[#This Row],[Horas utilizadas]]/Planning[[#This Row],[Horas Planificadas]],0)</f>
        <v>#REF!</v>
      </c>
      <c r="W4775" s="44">
        <f>Planning[[#This Row],[Horas Planificadas]]+Planning[[#This Row],[Horas ajustadas adicionales]]</f>
        <v>1719</v>
      </c>
    </row>
    <row r="4776" spans="1:23" x14ac:dyDescent="0.2">
      <c r="A4776" s="9" t="s">
        <v>684</v>
      </c>
      <c r="B4776" s="9" t="s">
        <v>582</v>
      </c>
      <c r="C4776" s="128">
        <v>116896</v>
      </c>
      <c r="D4776" s="3" t="s">
        <v>820</v>
      </c>
      <c r="E4776" s="4"/>
      <c r="F4776" s="3" t="s">
        <v>123</v>
      </c>
      <c r="G4776" s="9"/>
      <c r="H4776" s="9">
        <v>918</v>
      </c>
      <c r="I4776" s="12">
        <v>188</v>
      </c>
      <c r="J4776" s="5" t="e">
        <f>SUM(SUMIFS(#REF!,#REF!,Planning[[#This Row],[Tipo de Tarea y especialidad]],#REF!,Planning[[#This Row],[Proyectos Reiwa]]),SUMIFS(#REF!,#REF!,Planning[[#This Row],[Tipo de Tarea y especialidad]],#REF!,Planning[[#This Row],[Proyectos]]))</f>
        <v>#REF!</v>
      </c>
      <c r="K4776" s="5" t="e">
        <f>+Planning[[#This Row],[Horas Planificadas]]+Planning[[#This Row],[Horas ajustadas adicionales]]-Planning[[#This Row],[Horas utilizadas]]</f>
        <v>#REF!</v>
      </c>
      <c r="L4776" s="7">
        <v>180</v>
      </c>
      <c r="M4776" s="19" t="e">
        <f>Planning[[#This Row],[Saldo]]-Planning[[#This Row],[Saldo estimado]]</f>
        <v>#REF!</v>
      </c>
      <c r="N4776" s="60" t="e">
        <f>+SUMIFS(#REF!,#REF!,Planning[[#This Row],[Proyectos]],#REF!,Planning[[#This Row],[Tipo de Tarea y especialidad]])</f>
        <v>#REF!</v>
      </c>
      <c r="O4776" s="19">
        <f t="shared" si="149"/>
        <v>10</v>
      </c>
      <c r="P4776" s="19">
        <f t="shared" si="150"/>
        <v>2024</v>
      </c>
      <c r="Q47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76" s="49" t="str">
        <f>TEXT(Planning[[#This Row],[Mes]]*29,"mmmm")</f>
        <v>October</v>
      </c>
      <c r="S477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76" s="156"/>
      <c r="U4776" s="43" t="e">
        <f>IF(Planning[[#This Row],[Horas Planificadas]]&lt;&gt;0,+K4776/Planning[[#This Row],[Horas Planificadas]],0)</f>
        <v>#REF!</v>
      </c>
      <c r="V4776" s="43" t="e">
        <f>IF(Planning[[#This Row],[Horas Planificadas]]&lt;&gt;0,Planning[[#This Row],[Horas utilizadas]]/Planning[[#This Row],[Horas Planificadas]],0)</f>
        <v>#REF!</v>
      </c>
      <c r="W4776" s="44">
        <f>Planning[[#This Row],[Horas Planificadas]]+Planning[[#This Row],[Horas ajustadas adicionales]]</f>
        <v>1106</v>
      </c>
    </row>
    <row r="4777" spans="1:23" x14ac:dyDescent="0.2">
      <c r="A4777" s="9" t="s">
        <v>684</v>
      </c>
      <c r="B4777" s="9" t="s">
        <v>582</v>
      </c>
      <c r="C4777" s="129">
        <v>116896</v>
      </c>
      <c r="D4777" s="3" t="s">
        <v>820</v>
      </c>
      <c r="E4777" s="4"/>
      <c r="F4777" s="3" t="s">
        <v>124</v>
      </c>
      <c r="G4777" s="9"/>
      <c r="H4777" s="9">
        <v>320</v>
      </c>
      <c r="I4777" s="12">
        <v>0</v>
      </c>
      <c r="J4777" s="5" t="e">
        <f>SUM(SUMIFS(#REF!,#REF!,Planning[[#This Row],[Tipo de Tarea y especialidad]],#REF!,Planning[[#This Row],[Proyectos Reiwa]]),SUMIFS(#REF!,#REF!,Planning[[#This Row],[Tipo de Tarea y especialidad]],#REF!,Planning[[#This Row],[Proyectos]]))</f>
        <v>#REF!</v>
      </c>
      <c r="K4777" s="5" t="e">
        <f>+Planning[[#This Row],[Horas Planificadas]]+Planning[[#This Row],[Horas ajustadas adicionales]]-Planning[[#This Row],[Horas utilizadas]]</f>
        <v>#REF!</v>
      </c>
      <c r="L4777" s="7">
        <v>0</v>
      </c>
      <c r="M4777" s="19" t="e">
        <f>Planning[[#This Row],[Saldo]]-Planning[[#This Row],[Saldo estimado]]</f>
        <v>#REF!</v>
      </c>
      <c r="N4777" s="60" t="e">
        <f>+SUMIFS(#REF!,#REF!,Planning[[#This Row],[Proyectos]],#REF!,Planning[[#This Row],[Tipo de Tarea y especialidad]])</f>
        <v>#REF!</v>
      </c>
      <c r="O4777" s="19">
        <f t="shared" si="149"/>
        <v>10</v>
      </c>
      <c r="P4777" s="19">
        <f t="shared" si="150"/>
        <v>2024</v>
      </c>
      <c r="Q47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77" s="49" t="str">
        <f>TEXT(Planning[[#This Row],[Mes]]*29,"mmmm")</f>
        <v>October</v>
      </c>
      <c r="S477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77" s="156"/>
      <c r="U4777" s="43" t="e">
        <f>IF(Planning[[#This Row],[Horas Planificadas]]&lt;&gt;0,+K4777/Planning[[#This Row],[Horas Planificadas]],0)</f>
        <v>#REF!</v>
      </c>
      <c r="V4777" s="43" t="e">
        <f>IF(Planning[[#This Row],[Horas Planificadas]]&lt;&gt;0,Planning[[#This Row],[Horas utilizadas]]/Planning[[#This Row],[Horas Planificadas]],0)</f>
        <v>#REF!</v>
      </c>
      <c r="W4777" s="44">
        <f>Planning[[#This Row],[Horas Planificadas]]+Planning[[#This Row],[Horas ajustadas adicionales]]</f>
        <v>320</v>
      </c>
    </row>
    <row r="4778" spans="1:23" x14ac:dyDescent="0.2">
      <c r="A4778" s="9" t="s">
        <v>684</v>
      </c>
      <c r="B4778" s="9" t="s">
        <v>582</v>
      </c>
      <c r="C4778" s="128">
        <v>116896</v>
      </c>
      <c r="D4778" s="3" t="s">
        <v>820</v>
      </c>
      <c r="E4778" s="4"/>
      <c r="F4778" s="3" t="s">
        <v>125</v>
      </c>
      <c r="G4778" s="9"/>
      <c r="H4778" s="9">
        <v>648</v>
      </c>
      <c r="I4778" s="12">
        <v>233</v>
      </c>
      <c r="J4778" s="5" t="e">
        <f>SUM(SUMIFS(#REF!,#REF!,Planning[[#This Row],[Tipo de Tarea y especialidad]],#REF!,Planning[[#This Row],[Proyectos Reiwa]]),SUMIFS(#REF!,#REF!,Planning[[#This Row],[Tipo de Tarea y especialidad]],#REF!,Planning[[#This Row],[Proyectos]]))</f>
        <v>#REF!</v>
      </c>
      <c r="K4778" s="5" t="e">
        <f>+Planning[[#This Row],[Horas Planificadas]]+Planning[[#This Row],[Horas ajustadas adicionales]]-Planning[[#This Row],[Horas utilizadas]]</f>
        <v>#REF!</v>
      </c>
      <c r="L4778" s="7">
        <v>126</v>
      </c>
      <c r="M4778" s="19" t="e">
        <f>Planning[[#This Row],[Saldo]]-Planning[[#This Row],[Saldo estimado]]</f>
        <v>#REF!</v>
      </c>
      <c r="N4778" s="60" t="e">
        <f>+SUMIFS(#REF!,#REF!,Planning[[#This Row],[Proyectos]],#REF!,Planning[[#This Row],[Tipo de Tarea y especialidad]])</f>
        <v>#REF!</v>
      </c>
      <c r="O4778" s="19">
        <f t="shared" si="149"/>
        <v>10</v>
      </c>
      <c r="P4778" s="19">
        <f t="shared" si="150"/>
        <v>2024</v>
      </c>
      <c r="Q47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78" s="49" t="str">
        <f>TEXT(Planning[[#This Row],[Mes]]*29,"mmmm")</f>
        <v>October</v>
      </c>
      <c r="S477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78" s="156"/>
      <c r="U4778" s="43" t="e">
        <f>IF(Planning[[#This Row],[Horas Planificadas]]&lt;&gt;0,+K4778/Planning[[#This Row],[Horas Planificadas]],0)</f>
        <v>#REF!</v>
      </c>
      <c r="V4778" s="43" t="e">
        <f>IF(Planning[[#This Row],[Horas Planificadas]]&lt;&gt;0,Planning[[#This Row],[Horas utilizadas]]/Planning[[#This Row],[Horas Planificadas]],0)</f>
        <v>#REF!</v>
      </c>
      <c r="W4778" s="44">
        <f>Planning[[#This Row],[Horas Planificadas]]+Planning[[#This Row],[Horas ajustadas adicionales]]</f>
        <v>881</v>
      </c>
    </row>
    <row r="4779" spans="1:23" x14ac:dyDescent="0.2">
      <c r="A4779" s="9" t="s">
        <v>684</v>
      </c>
      <c r="B4779" s="9" t="s">
        <v>582</v>
      </c>
      <c r="C4779" s="129">
        <v>116896</v>
      </c>
      <c r="D4779" s="3" t="s">
        <v>820</v>
      </c>
      <c r="E4779" s="4"/>
      <c r="F4779" s="3" t="s">
        <v>126</v>
      </c>
      <c r="G4779" s="9"/>
      <c r="H4779" s="9">
        <v>2192</v>
      </c>
      <c r="I4779" s="12">
        <v>192</v>
      </c>
      <c r="J4779" s="5" t="e">
        <f>SUM(SUMIFS(#REF!,#REF!,Planning[[#This Row],[Tipo de Tarea y especialidad]],#REF!,Planning[[#This Row],[Proyectos Reiwa]]),SUMIFS(#REF!,#REF!,Planning[[#This Row],[Tipo de Tarea y especialidad]],#REF!,Planning[[#This Row],[Proyectos]]))</f>
        <v>#REF!</v>
      </c>
      <c r="K4779" s="5" t="e">
        <f>+Planning[[#This Row],[Horas Planificadas]]+Planning[[#This Row],[Horas ajustadas adicionales]]-Planning[[#This Row],[Horas utilizadas]]</f>
        <v>#REF!</v>
      </c>
      <c r="L4779" s="7">
        <v>45</v>
      </c>
      <c r="M4779" s="19" t="e">
        <f>Planning[[#This Row],[Saldo]]-Planning[[#This Row],[Saldo estimado]]</f>
        <v>#REF!</v>
      </c>
      <c r="N4779" s="60" t="e">
        <f>+SUMIFS(#REF!,#REF!,Planning[[#This Row],[Proyectos]],#REF!,Planning[[#This Row],[Tipo de Tarea y especialidad]])</f>
        <v>#REF!</v>
      </c>
      <c r="O4779" s="19">
        <f t="shared" si="149"/>
        <v>10</v>
      </c>
      <c r="P4779" s="19">
        <f t="shared" si="150"/>
        <v>2024</v>
      </c>
      <c r="Q47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79" s="49" t="str">
        <f>TEXT(Planning[[#This Row],[Mes]]*29,"mmmm")</f>
        <v>October</v>
      </c>
      <c r="S477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79" s="156"/>
      <c r="U4779" s="43" t="e">
        <f>IF(Planning[[#This Row],[Horas Planificadas]]&lt;&gt;0,+K4779/Planning[[#This Row],[Horas Planificadas]],0)</f>
        <v>#REF!</v>
      </c>
      <c r="V4779" s="43" t="e">
        <f>IF(Planning[[#This Row],[Horas Planificadas]]&lt;&gt;0,Planning[[#This Row],[Horas utilizadas]]/Planning[[#This Row],[Horas Planificadas]],0)</f>
        <v>#REF!</v>
      </c>
      <c r="W4779" s="44">
        <f>Planning[[#This Row],[Horas Planificadas]]+Planning[[#This Row],[Horas ajustadas adicionales]]</f>
        <v>2384</v>
      </c>
    </row>
    <row r="4780" spans="1:23" x14ac:dyDescent="0.2">
      <c r="A4780" s="9" t="s">
        <v>684</v>
      </c>
      <c r="B4780" s="9" t="s">
        <v>582</v>
      </c>
      <c r="C4780" s="128">
        <v>116896</v>
      </c>
      <c r="D4780" s="3" t="s">
        <v>820</v>
      </c>
      <c r="E4780" s="4"/>
      <c r="F4780" s="3" t="s">
        <v>127</v>
      </c>
      <c r="G4780" s="9"/>
      <c r="H4780" s="9">
        <v>892</v>
      </c>
      <c r="I4780" s="12">
        <v>0</v>
      </c>
      <c r="J4780" s="5" t="e">
        <f>SUM(SUMIFS(#REF!,#REF!,Planning[[#This Row],[Tipo de Tarea y especialidad]],#REF!,Planning[[#This Row],[Proyectos Reiwa]]),SUMIFS(#REF!,#REF!,Planning[[#This Row],[Tipo de Tarea y especialidad]],#REF!,Planning[[#This Row],[Proyectos]]))</f>
        <v>#REF!</v>
      </c>
      <c r="K4780" s="5" t="e">
        <f>+Planning[[#This Row],[Horas Planificadas]]+Planning[[#This Row],[Horas ajustadas adicionales]]-Planning[[#This Row],[Horas utilizadas]]</f>
        <v>#REF!</v>
      </c>
      <c r="L4780" s="7">
        <v>45</v>
      </c>
      <c r="M4780" s="19" t="e">
        <f>Planning[[#This Row],[Saldo]]-Planning[[#This Row],[Saldo estimado]]</f>
        <v>#REF!</v>
      </c>
      <c r="N4780" s="60" t="e">
        <f>+SUMIFS(#REF!,#REF!,Planning[[#This Row],[Proyectos]],#REF!,Planning[[#This Row],[Tipo de Tarea y especialidad]])</f>
        <v>#REF!</v>
      </c>
      <c r="O4780" s="19">
        <f t="shared" si="149"/>
        <v>10</v>
      </c>
      <c r="P4780" s="19">
        <f t="shared" si="150"/>
        <v>2024</v>
      </c>
      <c r="Q47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80" s="49" t="str">
        <f>TEXT(Planning[[#This Row],[Mes]]*29,"mmmm")</f>
        <v>October</v>
      </c>
      <c r="S478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80" s="156"/>
      <c r="U4780" s="43" t="e">
        <f>IF(Planning[[#This Row],[Horas Planificadas]]&lt;&gt;0,+K4780/Planning[[#This Row],[Horas Planificadas]],0)</f>
        <v>#REF!</v>
      </c>
      <c r="V4780" s="43" t="e">
        <f>IF(Planning[[#This Row],[Horas Planificadas]]&lt;&gt;0,Planning[[#This Row],[Horas utilizadas]]/Planning[[#This Row],[Horas Planificadas]],0)</f>
        <v>#REF!</v>
      </c>
      <c r="W4780" s="44">
        <f>Planning[[#This Row],[Horas Planificadas]]+Planning[[#This Row],[Horas ajustadas adicionales]]</f>
        <v>892</v>
      </c>
    </row>
    <row r="4781" spans="1:23" x14ac:dyDescent="0.2">
      <c r="A4781" s="9" t="s">
        <v>684</v>
      </c>
      <c r="B4781" s="9" t="s">
        <v>582</v>
      </c>
      <c r="C4781" s="129">
        <v>116896</v>
      </c>
      <c r="D4781" s="3" t="s">
        <v>820</v>
      </c>
      <c r="E4781" s="4"/>
      <c r="F4781" s="3" t="s">
        <v>128</v>
      </c>
      <c r="G4781" s="9"/>
      <c r="H4781" s="9">
        <v>396</v>
      </c>
      <c r="I4781" s="12">
        <v>0</v>
      </c>
      <c r="J4781" s="5" t="e">
        <f>SUM(SUMIFS(#REF!,#REF!,Planning[[#This Row],[Tipo de Tarea y especialidad]],#REF!,Planning[[#This Row],[Proyectos Reiwa]]),SUMIFS(#REF!,#REF!,Planning[[#This Row],[Tipo de Tarea y especialidad]],#REF!,Planning[[#This Row],[Proyectos]]))</f>
        <v>#REF!</v>
      </c>
      <c r="K4781" s="5" t="e">
        <f>+Planning[[#This Row],[Horas Planificadas]]+Planning[[#This Row],[Horas ajustadas adicionales]]-Planning[[#This Row],[Horas utilizadas]]</f>
        <v>#REF!</v>
      </c>
      <c r="L4781" s="7">
        <v>72</v>
      </c>
      <c r="M4781" s="19" t="e">
        <f>Planning[[#This Row],[Saldo]]-Planning[[#This Row],[Saldo estimado]]</f>
        <v>#REF!</v>
      </c>
      <c r="N4781" s="60" t="e">
        <f>+SUMIFS(#REF!,#REF!,Planning[[#This Row],[Proyectos]],#REF!,Planning[[#This Row],[Tipo de Tarea y especialidad]])</f>
        <v>#REF!</v>
      </c>
      <c r="O4781" s="19">
        <f t="shared" si="149"/>
        <v>10</v>
      </c>
      <c r="P4781" s="19">
        <f t="shared" si="150"/>
        <v>2024</v>
      </c>
      <c r="Q47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81" s="49" t="str">
        <f>TEXT(Planning[[#This Row],[Mes]]*29,"mmmm")</f>
        <v>October</v>
      </c>
      <c r="S478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81" s="156"/>
      <c r="U4781" s="43" t="e">
        <f>IF(Planning[[#This Row],[Horas Planificadas]]&lt;&gt;0,+K4781/Planning[[#This Row],[Horas Planificadas]],0)</f>
        <v>#REF!</v>
      </c>
      <c r="V4781" s="43" t="e">
        <f>IF(Planning[[#This Row],[Horas Planificadas]]&lt;&gt;0,Planning[[#This Row],[Horas utilizadas]]/Planning[[#This Row],[Horas Planificadas]],0)</f>
        <v>#REF!</v>
      </c>
      <c r="W4781" s="44">
        <f>Planning[[#This Row],[Horas Planificadas]]+Planning[[#This Row],[Horas ajustadas adicionales]]</f>
        <v>396</v>
      </c>
    </row>
    <row r="4782" spans="1:23" x14ac:dyDescent="0.2">
      <c r="A4782" s="9" t="s">
        <v>684</v>
      </c>
      <c r="B4782" s="9" t="s">
        <v>582</v>
      </c>
      <c r="C4782" s="128">
        <v>116896</v>
      </c>
      <c r="D4782" s="3" t="s">
        <v>820</v>
      </c>
      <c r="E4782" s="4" t="s">
        <v>31</v>
      </c>
      <c r="F4782" s="3" t="s">
        <v>31</v>
      </c>
      <c r="G4782" s="9">
        <v>630</v>
      </c>
      <c r="H4782" s="17">
        <v>630</v>
      </c>
      <c r="I4782" s="18">
        <v>50</v>
      </c>
      <c r="J4782" s="14" t="e">
        <f>+SUMIFS(#REF!,#REF!,Planning[[#This Row],[Tarifa]],#REF!,Planning[[#This Row],[Proyectos]])</f>
        <v>#REF!</v>
      </c>
      <c r="K4782" s="14" t="e">
        <f>+Planning[[#This Row],[Horas Planificadas]]+Planning[[#This Row],[Horas ajustadas adicionales]]-Planning[[#This Row],[Horas utilizadas]]</f>
        <v>#REF!</v>
      </c>
      <c r="L4782" s="15">
        <v>122</v>
      </c>
      <c r="M4782" s="16" t="e">
        <f>Planning[[#This Row],[Saldo]]-Planning[[#This Row],[Saldo estimado]]</f>
        <v>#REF!</v>
      </c>
      <c r="N4782" s="60"/>
      <c r="O4782" s="16">
        <f t="shared" si="149"/>
        <v>10</v>
      </c>
      <c r="P4782" s="16">
        <f t="shared" si="150"/>
        <v>2024</v>
      </c>
      <c r="Q4782" s="16" t="e">
        <f>+SUMIFS(#REF!,#REF!,Planning[[#This Row],[Tarifa]],#REF!,Planning[[#This Row],[Proyectos]],#REF!,Planning[[#This Row],[Mes]],#REF!,Planning[[#This Row],[Año]])</f>
        <v>#REF!</v>
      </c>
      <c r="R4782" s="50" t="str">
        <f>TEXT(Planning[[#This Row],[Mes]]*29,"mmmm")</f>
        <v>October</v>
      </c>
      <c r="S478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82" s="156"/>
      <c r="U4782" s="43" t="e">
        <f>IF(Planning[[#This Row],[Horas Planificadas]]&lt;&gt;0,+K4782/Planning[[#This Row],[Horas Planificadas]],0)</f>
        <v>#REF!</v>
      </c>
      <c r="V4782" s="43" t="e">
        <f>IF(Planning[[#This Row],[Horas Planificadas]]&lt;&gt;0,Planning[[#This Row],[Horas utilizadas]]/Planning[[#This Row],[Horas Planificadas]],0)</f>
        <v>#REF!</v>
      </c>
      <c r="W4782" s="44">
        <f>Planning[[#This Row],[Horas Planificadas]]+Planning[[#This Row],[Horas ajustadas adicionales]]</f>
        <v>680</v>
      </c>
    </row>
    <row r="4783" spans="1:23" ht="22.5" x14ac:dyDescent="0.2">
      <c r="A4783" s="9" t="s">
        <v>684</v>
      </c>
      <c r="B4783" s="9" t="s">
        <v>582</v>
      </c>
      <c r="C4783" s="129">
        <v>116896</v>
      </c>
      <c r="D4783" s="3" t="s">
        <v>820</v>
      </c>
      <c r="E4783" s="4" t="s">
        <v>32</v>
      </c>
      <c r="F4783" s="3"/>
      <c r="G4783" s="9">
        <v>3490</v>
      </c>
      <c r="H4783" s="14">
        <f>SUM(H4784:H4786)</f>
        <v>3315</v>
      </c>
      <c r="I4783" s="14"/>
      <c r="J4783" s="14" t="e">
        <f>SUM(J4784:J4786)</f>
        <v>#REF!</v>
      </c>
      <c r="K4783" s="14" t="e">
        <f>+Planning[[#This Row],[Horas Planificadas]]+Planning[[#This Row],[Horas ajustadas adicionales]]-Planning[[#This Row],[Horas utilizadas]]</f>
        <v>#REF!</v>
      </c>
      <c r="L4783" s="15">
        <f>SUM(L4784:L4786)</f>
        <v>2770</v>
      </c>
      <c r="M4783" s="16" t="e">
        <f>SUM(M4784:M4786)</f>
        <v>#REF!</v>
      </c>
      <c r="N4783" s="60"/>
      <c r="O4783" s="16">
        <f t="shared" si="149"/>
        <v>10</v>
      </c>
      <c r="P4783" s="16">
        <f t="shared" si="150"/>
        <v>2024</v>
      </c>
      <c r="Q4783" s="16" t="e">
        <f>SUM(Q4784:Q4786)</f>
        <v>#REF!</v>
      </c>
      <c r="R4783" s="50" t="str">
        <f>TEXT(Planning[[#This Row],[Mes]]*29,"mmmm")</f>
        <v>October</v>
      </c>
      <c r="S478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83" s="156"/>
      <c r="U4783" s="43" t="e">
        <f>IF(Planning[[#This Row],[Horas Planificadas]]&lt;&gt;0,+K4783/Planning[[#This Row],[Horas Planificadas]],0)</f>
        <v>#REF!</v>
      </c>
      <c r="V4783" s="43" t="e">
        <f>IF(Planning[[#This Row],[Horas Planificadas]]&lt;&gt;0,Planning[[#This Row],[Horas utilizadas]]/Planning[[#This Row],[Horas Planificadas]],0)</f>
        <v>#REF!</v>
      </c>
      <c r="W4783" s="44">
        <f>Planning[[#This Row],[Horas Planificadas]]+Planning[[#This Row],[Horas ajustadas adicionales]]</f>
        <v>3315</v>
      </c>
    </row>
    <row r="4784" spans="1:23" x14ac:dyDescent="0.2">
      <c r="A4784" s="9" t="s">
        <v>684</v>
      </c>
      <c r="B4784" s="9" t="s">
        <v>582</v>
      </c>
      <c r="C4784" s="128">
        <v>116896</v>
      </c>
      <c r="D4784" s="3" t="s">
        <v>820</v>
      </c>
      <c r="E4784" s="4"/>
      <c r="F4784" s="3" t="s">
        <v>129</v>
      </c>
      <c r="G4784" s="9"/>
      <c r="H4784" s="9">
        <v>1560</v>
      </c>
      <c r="I4784" s="12">
        <v>35</v>
      </c>
      <c r="J4784" s="5" t="e">
        <f>SUM(SUMIFS(#REF!,#REF!,Planning[[#This Row],[Tipo de Tarea y especialidad]],#REF!,Planning[[#This Row],[Proyectos Reiwa]]),SUMIFS(#REF!,#REF!,Planning[[#This Row],[Tipo de Tarea y especialidad]],#REF!,Planning[[#This Row],[Proyectos]]))</f>
        <v>#REF!</v>
      </c>
      <c r="K4784" s="5" t="e">
        <f>+Planning[[#This Row],[Horas Planificadas]]+Planning[[#This Row],[Horas ajustadas adicionales]]-Planning[[#This Row],[Horas utilizadas]]</f>
        <v>#REF!</v>
      </c>
      <c r="L4784" s="7">
        <v>1250</v>
      </c>
      <c r="M4784" s="19" t="e">
        <f>Planning[[#This Row],[Saldo]]-Planning[[#This Row],[Saldo estimado]]</f>
        <v>#REF!</v>
      </c>
      <c r="N4784" s="60" t="e">
        <f>+SUMIFS(#REF!,#REF!,Planning[[#This Row],[Proyectos]],#REF!,Planning[[#This Row],[Tipo de Tarea y especialidad]])</f>
        <v>#REF!</v>
      </c>
      <c r="O4784" s="19">
        <f t="shared" si="149"/>
        <v>10</v>
      </c>
      <c r="P4784" s="19">
        <f t="shared" si="150"/>
        <v>2024</v>
      </c>
      <c r="Q47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84" s="49" t="str">
        <f>TEXT(Planning[[#This Row],[Mes]]*29,"mmmm")</f>
        <v>October</v>
      </c>
      <c r="S478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84" s="156"/>
      <c r="U4784" s="43" t="e">
        <f>IF(Planning[[#This Row],[Horas Planificadas]]&lt;&gt;0,+K4784/Planning[[#This Row],[Horas Planificadas]],0)</f>
        <v>#REF!</v>
      </c>
      <c r="V4784" s="43" t="e">
        <f>IF(Planning[[#This Row],[Horas Planificadas]]&lt;&gt;0,Planning[[#This Row],[Horas utilizadas]]/Planning[[#This Row],[Horas Planificadas]],0)</f>
        <v>#REF!</v>
      </c>
      <c r="W4784" s="44">
        <f>Planning[[#This Row],[Horas Planificadas]]+Planning[[#This Row],[Horas ajustadas adicionales]]</f>
        <v>1595</v>
      </c>
    </row>
    <row r="4785" spans="1:23" x14ac:dyDescent="0.2">
      <c r="A4785" s="9" t="s">
        <v>684</v>
      </c>
      <c r="B4785" s="9" t="s">
        <v>582</v>
      </c>
      <c r="C4785" s="129">
        <v>116896</v>
      </c>
      <c r="D4785" s="3" t="s">
        <v>820</v>
      </c>
      <c r="E4785" s="4"/>
      <c r="F4785" s="3" t="s">
        <v>130</v>
      </c>
      <c r="G4785" s="9"/>
      <c r="H4785" s="9">
        <v>1215</v>
      </c>
      <c r="I4785" s="12">
        <v>-35</v>
      </c>
      <c r="J4785" s="5" t="e">
        <f>SUM(SUMIFS(#REF!,#REF!,Planning[[#This Row],[Tipo de Tarea y especialidad]],#REF!,Planning[[#This Row],[Proyectos Reiwa]]),SUMIFS(#REF!,#REF!,Planning[[#This Row],[Tipo de Tarea y especialidad]],#REF!,Planning[[#This Row],[Proyectos]]))</f>
        <v>#REF!</v>
      </c>
      <c r="K4785" s="5" t="e">
        <f>+Planning[[#This Row],[Horas Planificadas]]+Planning[[#This Row],[Horas ajustadas adicionales]]-Planning[[#This Row],[Horas utilizadas]]</f>
        <v>#REF!</v>
      </c>
      <c r="L4785" s="7">
        <v>1020</v>
      </c>
      <c r="M4785" s="19" t="e">
        <f>Planning[[#This Row],[Saldo]]-Planning[[#This Row],[Saldo estimado]]</f>
        <v>#REF!</v>
      </c>
      <c r="N4785" s="60" t="e">
        <f>+SUMIFS(#REF!,#REF!,Planning[[#This Row],[Proyectos]],#REF!,Planning[[#This Row],[Tipo de Tarea y especialidad]])</f>
        <v>#REF!</v>
      </c>
      <c r="O4785" s="19">
        <f t="shared" si="149"/>
        <v>10</v>
      </c>
      <c r="P4785" s="19">
        <f t="shared" si="150"/>
        <v>2024</v>
      </c>
      <c r="Q47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85" s="49" t="str">
        <f>TEXT(Planning[[#This Row],[Mes]]*29,"mmmm")</f>
        <v>October</v>
      </c>
      <c r="S478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85" s="156"/>
      <c r="U4785" s="43" t="e">
        <f>IF(Planning[[#This Row],[Horas Planificadas]]&lt;&gt;0,+K4785/Planning[[#This Row],[Horas Planificadas]],0)</f>
        <v>#REF!</v>
      </c>
      <c r="V4785" s="43" t="e">
        <f>IF(Planning[[#This Row],[Horas Planificadas]]&lt;&gt;0,Planning[[#This Row],[Horas utilizadas]]/Planning[[#This Row],[Horas Planificadas]],0)</f>
        <v>#REF!</v>
      </c>
      <c r="W4785" s="44">
        <f>Planning[[#This Row],[Horas Planificadas]]+Planning[[#This Row],[Horas ajustadas adicionales]]</f>
        <v>1180</v>
      </c>
    </row>
    <row r="4786" spans="1:23" x14ac:dyDescent="0.2">
      <c r="A4786" s="9" t="s">
        <v>684</v>
      </c>
      <c r="B4786" s="9" t="s">
        <v>582</v>
      </c>
      <c r="C4786" s="128">
        <v>116896</v>
      </c>
      <c r="D4786" s="3" t="s">
        <v>820</v>
      </c>
      <c r="E4786" s="4"/>
      <c r="F4786" s="3" t="s">
        <v>131</v>
      </c>
      <c r="G4786" s="9"/>
      <c r="H4786" s="9">
        <v>540</v>
      </c>
      <c r="I4786" s="12">
        <v>0</v>
      </c>
      <c r="J4786" s="5" t="e">
        <f>SUM(SUMIFS(#REF!,#REF!,Planning[[#This Row],[Tipo de Tarea y especialidad]],#REF!,Planning[[#This Row],[Proyectos Reiwa]]),SUMIFS(#REF!,#REF!,Planning[[#This Row],[Tipo de Tarea y especialidad]],#REF!,Planning[[#This Row],[Proyectos]]))</f>
        <v>#REF!</v>
      </c>
      <c r="K4786" s="5" t="e">
        <f>+Planning[[#This Row],[Horas Planificadas]]+Planning[[#This Row],[Horas ajustadas adicionales]]-Planning[[#This Row],[Horas utilizadas]]</f>
        <v>#REF!</v>
      </c>
      <c r="L4786" s="7">
        <v>500</v>
      </c>
      <c r="M4786" s="19" t="e">
        <f>Planning[[#This Row],[Saldo]]-Planning[[#This Row],[Saldo estimado]]</f>
        <v>#REF!</v>
      </c>
      <c r="N4786" s="60" t="e">
        <f>+SUMIFS(#REF!,#REF!,Planning[[#This Row],[Proyectos]],#REF!,Planning[[#This Row],[Tipo de Tarea y especialidad]])</f>
        <v>#REF!</v>
      </c>
      <c r="O4786" s="19">
        <f t="shared" si="149"/>
        <v>10</v>
      </c>
      <c r="P4786" s="19">
        <f t="shared" si="150"/>
        <v>2024</v>
      </c>
      <c r="Q47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86" s="51" t="str">
        <f>TEXT(Planning[[#This Row],[Mes]]*29,"mmmm")</f>
        <v>October</v>
      </c>
      <c r="S4786"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86" s="157"/>
      <c r="U4786" s="43" t="e">
        <f>IF(Planning[[#This Row],[Horas Planificadas]]&lt;&gt;0,+K4786/Planning[[#This Row],[Horas Planificadas]],0)</f>
        <v>#REF!</v>
      </c>
      <c r="V4786" s="43" t="e">
        <f>IF(Planning[[#This Row],[Horas Planificadas]]&lt;&gt;0,Planning[[#This Row],[Horas utilizadas]]/Planning[[#This Row],[Horas Planificadas]],0)</f>
        <v>#REF!</v>
      </c>
      <c r="W4786" s="44">
        <f>Planning[[#This Row],[Horas Planificadas]]+Planning[[#This Row],[Horas ajustadas adicionales]]</f>
        <v>540</v>
      </c>
    </row>
    <row r="4787" spans="1:23" ht="22.5" x14ac:dyDescent="0.2">
      <c r="A4787" s="9" t="s">
        <v>204</v>
      </c>
      <c r="B4787" s="9" t="s">
        <v>463</v>
      </c>
      <c r="C4787" s="3">
        <v>116897</v>
      </c>
      <c r="D4787" s="3" t="s">
        <v>822</v>
      </c>
      <c r="E4787" s="4" t="s">
        <v>28</v>
      </c>
      <c r="F4787" s="3"/>
      <c r="G4787" s="9">
        <v>48</v>
      </c>
      <c r="H4787" s="14">
        <f>SUM(H4788:H4789)</f>
        <v>48</v>
      </c>
      <c r="I4787" s="14"/>
      <c r="J4787" s="14" t="e">
        <f>SUM(J4788:J4789)</f>
        <v>#REF!</v>
      </c>
      <c r="K4787" s="14" t="e">
        <f>+Planning[[#This Row],[Horas Planificadas]]+Planning[[#This Row],[Horas ajustadas adicionales]]-Planning[[#This Row],[Horas utilizadas]]</f>
        <v>#REF!</v>
      </c>
      <c r="L4787" s="15">
        <f>SUM(L4788:L4789)</f>
        <v>0</v>
      </c>
      <c r="M4787" s="14" t="e">
        <f>SUM(M4788:M4789)</f>
        <v>#REF!</v>
      </c>
      <c r="N4787" s="66"/>
      <c r="O4787" s="14">
        <f t="shared" ref="O4787:O4850" si="151">$L$4</f>
        <v>10</v>
      </c>
      <c r="P4787" s="14">
        <f t="shared" ref="P4787:P4850" si="152">$M$4</f>
        <v>2024</v>
      </c>
      <c r="Q4787" s="28" t="e">
        <f>SUM(Q4788:Q4789)</f>
        <v>#REF!</v>
      </c>
      <c r="R4787" s="24" t="str">
        <f>TEXT(Planning[[#This Row],[Mes]]*29,"mmmm")</f>
        <v>October</v>
      </c>
      <c r="S478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87" s="176" t="s">
        <v>823</v>
      </c>
      <c r="U4787" s="43"/>
      <c r="V4787" s="43"/>
      <c r="W4787" s="44"/>
    </row>
    <row r="4788" spans="1:23" x14ac:dyDescent="0.2">
      <c r="A4788" s="9" t="s">
        <v>204</v>
      </c>
      <c r="B4788" s="9" t="s">
        <v>463</v>
      </c>
      <c r="C4788" s="3">
        <v>116897</v>
      </c>
      <c r="D4788" s="3" t="s">
        <v>822</v>
      </c>
      <c r="E4788" s="4"/>
      <c r="F4788" s="3" t="s">
        <v>120</v>
      </c>
      <c r="G4788" s="9"/>
      <c r="H4788" s="9">
        <v>30</v>
      </c>
      <c r="I4788" s="12"/>
      <c r="J4788" s="5" t="e">
        <f>SUM(SUMIFS(#REF!,#REF!,Planning[[#This Row],[Tipo de Tarea y especialidad]],#REF!,Planning[[#This Row],[Proyectos Reiwa]]),SUMIFS(#REF!,#REF!,Planning[[#This Row],[Tipo de Tarea y especialidad]],#REF!,Planning[[#This Row],[Proyectos]]))</f>
        <v>#REF!</v>
      </c>
      <c r="K4788" s="5" t="e">
        <f>+Planning[[#This Row],[Horas Planificadas]]+Planning[[#This Row],[Horas ajustadas adicionales]]-Planning[[#This Row],[Horas utilizadas]]</f>
        <v>#REF!</v>
      </c>
      <c r="L4788" s="7">
        <v>0</v>
      </c>
      <c r="M4788" s="19" t="e">
        <f>Planning[[#This Row],[Saldo]]-Planning[[#This Row],[Saldo estimado]]</f>
        <v>#REF!</v>
      </c>
      <c r="N4788" s="60" t="e">
        <f>+SUMIFS(#REF!,#REF!,Planning[[#This Row],[Proyectos]],#REF!,Planning[[#This Row],[Tipo de Tarea y especialidad]])</f>
        <v>#REF!</v>
      </c>
      <c r="O4788" s="19">
        <f t="shared" si="151"/>
        <v>10</v>
      </c>
      <c r="P4788" s="19">
        <f t="shared" si="152"/>
        <v>2024</v>
      </c>
      <c r="Q47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88" s="49" t="str">
        <f>TEXT(Planning[[#This Row],[Mes]]*29,"mmmm")</f>
        <v>October</v>
      </c>
      <c r="S478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88" s="156"/>
      <c r="U4788" s="43"/>
      <c r="V4788" s="43"/>
      <c r="W4788" s="44"/>
    </row>
    <row r="4789" spans="1:23" x14ac:dyDescent="0.2">
      <c r="A4789" s="9" t="s">
        <v>204</v>
      </c>
      <c r="B4789" s="9" t="s">
        <v>463</v>
      </c>
      <c r="C4789" s="3">
        <v>116897</v>
      </c>
      <c r="D4789" s="3" t="s">
        <v>822</v>
      </c>
      <c r="E4789" s="4"/>
      <c r="F4789" s="3" t="s">
        <v>121</v>
      </c>
      <c r="G4789" s="9"/>
      <c r="H4789" s="9">
        <v>18</v>
      </c>
      <c r="I4789" s="12"/>
      <c r="J4789" s="5" t="e">
        <f>SUM(SUMIFS(#REF!,#REF!,Planning[[#This Row],[Tipo de Tarea y especialidad]],#REF!,Planning[[#This Row],[Proyectos Reiwa]]),SUMIFS(#REF!,#REF!,Planning[[#This Row],[Tipo de Tarea y especialidad]],#REF!,Planning[[#This Row],[Proyectos]]))</f>
        <v>#REF!</v>
      </c>
      <c r="K4789" s="5" t="e">
        <f>+Planning[[#This Row],[Horas Planificadas]]+Planning[[#This Row],[Horas ajustadas adicionales]]-Planning[[#This Row],[Horas utilizadas]]</f>
        <v>#REF!</v>
      </c>
      <c r="L4789" s="7">
        <v>0</v>
      </c>
      <c r="M4789" s="19" t="e">
        <f>Planning[[#This Row],[Saldo]]-Planning[[#This Row],[Saldo estimado]]</f>
        <v>#REF!</v>
      </c>
      <c r="N4789" s="60" t="e">
        <f>+SUMIFS(#REF!,#REF!,Planning[[#This Row],[Proyectos]],#REF!,Planning[[#This Row],[Tipo de Tarea y especialidad]])</f>
        <v>#REF!</v>
      </c>
      <c r="O4789" s="19">
        <f t="shared" si="151"/>
        <v>10</v>
      </c>
      <c r="P4789" s="19">
        <f t="shared" si="152"/>
        <v>2024</v>
      </c>
      <c r="Q47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89" s="49" t="str">
        <f>TEXT(Planning[[#This Row],[Mes]]*29,"mmmm")</f>
        <v>October</v>
      </c>
      <c r="S478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89" s="156"/>
      <c r="U4789" s="43"/>
      <c r="V4789" s="43"/>
      <c r="W4789" s="44"/>
    </row>
    <row r="4790" spans="1:23" x14ac:dyDescent="0.2">
      <c r="A4790" s="9" t="s">
        <v>204</v>
      </c>
      <c r="B4790" s="9" t="s">
        <v>463</v>
      </c>
      <c r="C4790" s="3">
        <v>116897</v>
      </c>
      <c r="D4790" s="3" t="s">
        <v>822</v>
      </c>
      <c r="E4790" s="4" t="s">
        <v>30</v>
      </c>
      <c r="F4790" s="3"/>
      <c r="G4790" s="9">
        <v>153</v>
      </c>
      <c r="H4790" s="14">
        <f>SUM(H4791:H4797)</f>
        <v>153</v>
      </c>
      <c r="I4790" s="14"/>
      <c r="J4790" s="14" t="e">
        <f>SUM(J4791:J4797)</f>
        <v>#REF!</v>
      </c>
      <c r="K4790" s="14" t="e">
        <f>+Planning[[#This Row],[Horas Planificadas]]+Planning[[#This Row],[Horas ajustadas adicionales]]-Planning[[#This Row],[Horas utilizadas]]</f>
        <v>#REF!</v>
      </c>
      <c r="L4790" s="15" t="e">
        <f>SUM(L4791:L4797)</f>
        <v>#REF!</v>
      </c>
      <c r="M4790" s="16" t="e">
        <f>SUM(M4791:M4797)</f>
        <v>#REF!</v>
      </c>
      <c r="N4790" s="60"/>
      <c r="O4790" s="16">
        <f t="shared" si="151"/>
        <v>10</v>
      </c>
      <c r="P4790" s="16">
        <f t="shared" si="152"/>
        <v>2024</v>
      </c>
      <c r="Q4790" s="16" t="e">
        <f>SUM(Q4791:Q4797)</f>
        <v>#REF!</v>
      </c>
      <c r="R4790" s="50" t="str">
        <f>TEXT(Planning[[#This Row],[Mes]]*29,"mmmm")</f>
        <v>October</v>
      </c>
      <c r="S479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90" s="156"/>
      <c r="U4790" s="43"/>
      <c r="V4790" s="43"/>
      <c r="W4790" s="44"/>
    </row>
    <row r="4791" spans="1:23" x14ac:dyDescent="0.2">
      <c r="A4791" s="9" t="s">
        <v>204</v>
      </c>
      <c r="B4791" s="9" t="s">
        <v>463</v>
      </c>
      <c r="C4791" s="3">
        <v>116897</v>
      </c>
      <c r="D4791" s="3" t="s">
        <v>822</v>
      </c>
      <c r="E4791" s="4"/>
      <c r="F4791" s="3" t="s">
        <v>122</v>
      </c>
      <c r="G4791" s="9"/>
      <c r="H4791" s="9">
        <v>0</v>
      </c>
      <c r="I4791" s="12"/>
      <c r="J4791" s="5" t="e">
        <f>SUM(SUMIFS(#REF!,#REF!,Planning[[#This Row],[Tipo de Tarea y especialidad]],#REF!,Planning[[#This Row],[Proyectos Reiwa]]),SUMIFS(#REF!,#REF!,Planning[[#This Row],[Tipo de Tarea y especialidad]],#REF!,Planning[[#This Row],[Proyectos]]))</f>
        <v>#REF!</v>
      </c>
      <c r="K4791" s="5" t="e">
        <f>+Planning[[#This Row],[Horas Planificadas]]+Planning[[#This Row],[Horas ajustadas adicionales]]-Planning[[#This Row],[Horas utilizadas]]</f>
        <v>#REF!</v>
      </c>
      <c r="L4791" s="7" t="e">
        <f>Planning[[#This Row],[Saldo]]</f>
        <v>#REF!</v>
      </c>
      <c r="M4791" s="19" t="e">
        <f>Planning[[#This Row],[Saldo]]-Planning[[#This Row],[Saldo estimado]]</f>
        <v>#REF!</v>
      </c>
      <c r="N4791" s="60" t="e">
        <f>+SUMIFS(#REF!,#REF!,Planning[[#This Row],[Proyectos]],#REF!,Planning[[#This Row],[Tipo de Tarea y especialidad]])</f>
        <v>#REF!</v>
      </c>
      <c r="O4791" s="19">
        <f t="shared" si="151"/>
        <v>10</v>
      </c>
      <c r="P4791" s="19">
        <f t="shared" si="152"/>
        <v>2024</v>
      </c>
      <c r="Q47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91" s="49" t="str">
        <f>TEXT(Planning[[#This Row],[Mes]]*29,"mmmm")</f>
        <v>October</v>
      </c>
      <c r="S479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91" s="156"/>
      <c r="U4791" s="43"/>
      <c r="V4791" s="43"/>
      <c r="W4791" s="44"/>
    </row>
    <row r="4792" spans="1:23" x14ac:dyDescent="0.2">
      <c r="A4792" s="9" t="s">
        <v>204</v>
      </c>
      <c r="B4792" s="9" t="s">
        <v>463</v>
      </c>
      <c r="C4792" s="3">
        <v>116897</v>
      </c>
      <c r="D4792" s="3" t="s">
        <v>822</v>
      </c>
      <c r="E4792" s="4"/>
      <c r="F4792" s="3" t="s">
        <v>123</v>
      </c>
      <c r="G4792" s="9"/>
      <c r="H4792" s="9">
        <v>75</v>
      </c>
      <c r="I4792" s="12"/>
      <c r="J4792" s="5" t="e">
        <f>SUM(SUMIFS(#REF!,#REF!,Planning[[#This Row],[Tipo de Tarea y especialidad]],#REF!,Planning[[#This Row],[Proyectos Reiwa]]),SUMIFS(#REF!,#REF!,Planning[[#This Row],[Tipo de Tarea y especialidad]],#REF!,Planning[[#This Row],[Proyectos]]))</f>
        <v>#REF!</v>
      </c>
      <c r="K4792" s="5" t="e">
        <f>+Planning[[#This Row],[Horas Planificadas]]+Planning[[#This Row],[Horas ajustadas adicionales]]-Planning[[#This Row],[Horas utilizadas]]</f>
        <v>#REF!</v>
      </c>
      <c r="L4792" s="7">
        <v>0</v>
      </c>
      <c r="M4792" s="19" t="e">
        <f>Planning[[#This Row],[Saldo]]-Planning[[#This Row],[Saldo estimado]]</f>
        <v>#REF!</v>
      </c>
      <c r="N4792" s="60" t="e">
        <f>+SUMIFS(#REF!,#REF!,Planning[[#This Row],[Proyectos]],#REF!,Planning[[#This Row],[Tipo de Tarea y especialidad]])</f>
        <v>#REF!</v>
      </c>
      <c r="O4792" s="19">
        <f t="shared" si="151"/>
        <v>10</v>
      </c>
      <c r="P4792" s="19">
        <f t="shared" si="152"/>
        <v>2024</v>
      </c>
      <c r="Q47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92" s="49" t="str">
        <f>TEXT(Planning[[#This Row],[Mes]]*29,"mmmm")</f>
        <v>October</v>
      </c>
      <c r="S479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92" s="156"/>
      <c r="U4792" s="43"/>
      <c r="V4792" s="43"/>
      <c r="W4792" s="44"/>
    </row>
    <row r="4793" spans="1:23" x14ac:dyDescent="0.2">
      <c r="A4793" s="9" t="s">
        <v>204</v>
      </c>
      <c r="B4793" s="9" t="s">
        <v>463</v>
      </c>
      <c r="C4793" s="3">
        <v>116897</v>
      </c>
      <c r="D4793" s="3" t="s">
        <v>822</v>
      </c>
      <c r="E4793" s="4"/>
      <c r="F4793" s="3" t="s">
        <v>124</v>
      </c>
      <c r="G4793" s="9"/>
      <c r="H4793" s="9">
        <v>0</v>
      </c>
      <c r="I4793" s="12"/>
      <c r="J4793" s="5" t="e">
        <f>SUM(SUMIFS(#REF!,#REF!,Planning[[#This Row],[Tipo de Tarea y especialidad]],#REF!,Planning[[#This Row],[Proyectos Reiwa]]),SUMIFS(#REF!,#REF!,Planning[[#This Row],[Tipo de Tarea y especialidad]],#REF!,Planning[[#This Row],[Proyectos]]))</f>
        <v>#REF!</v>
      </c>
      <c r="K4793" s="5" t="e">
        <f>+Planning[[#This Row],[Horas Planificadas]]+Planning[[#This Row],[Horas ajustadas adicionales]]-Planning[[#This Row],[Horas utilizadas]]</f>
        <v>#REF!</v>
      </c>
      <c r="L4793" s="7" t="e">
        <f>Planning[[#This Row],[Saldo]]</f>
        <v>#REF!</v>
      </c>
      <c r="M4793" s="19" t="e">
        <f>Planning[[#This Row],[Saldo]]-Planning[[#This Row],[Saldo estimado]]</f>
        <v>#REF!</v>
      </c>
      <c r="N4793" s="60" t="e">
        <f>+SUMIFS(#REF!,#REF!,Planning[[#This Row],[Proyectos]],#REF!,Planning[[#This Row],[Tipo de Tarea y especialidad]])</f>
        <v>#REF!</v>
      </c>
      <c r="O4793" s="19">
        <f t="shared" si="151"/>
        <v>10</v>
      </c>
      <c r="P4793" s="19">
        <f t="shared" si="152"/>
        <v>2024</v>
      </c>
      <c r="Q47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93" s="49" t="str">
        <f>TEXT(Planning[[#This Row],[Mes]]*29,"mmmm")</f>
        <v>October</v>
      </c>
      <c r="S479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93" s="156"/>
      <c r="U4793" s="43"/>
      <c r="V4793" s="43"/>
      <c r="W4793" s="44"/>
    </row>
    <row r="4794" spans="1:23" x14ac:dyDescent="0.2">
      <c r="A4794" s="9" t="s">
        <v>204</v>
      </c>
      <c r="B4794" s="9" t="s">
        <v>463</v>
      </c>
      <c r="C4794" s="3">
        <v>116897</v>
      </c>
      <c r="D4794" s="3" t="s">
        <v>822</v>
      </c>
      <c r="E4794" s="4"/>
      <c r="F4794" s="3" t="s">
        <v>125</v>
      </c>
      <c r="G4794" s="9"/>
      <c r="H4794" s="9">
        <v>33</v>
      </c>
      <c r="I4794" s="12"/>
      <c r="J4794" s="5" t="e">
        <f>SUM(SUMIFS(#REF!,#REF!,Planning[[#This Row],[Tipo de Tarea y especialidad]],#REF!,Planning[[#This Row],[Proyectos Reiwa]]),SUMIFS(#REF!,#REF!,Planning[[#This Row],[Tipo de Tarea y especialidad]],#REF!,Planning[[#This Row],[Proyectos]]))</f>
        <v>#REF!</v>
      </c>
      <c r="K4794" s="5" t="e">
        <f>+Planning[[#This Row],[Horas Planificadas]]+Planning[[#This Row],[Horas ajustadas adicionales]]-Planning[[#This Row],[Horas utilizadas]]</f>
        <v>#REF!</v>
      </c>
      <c r="L4794" s="7">
        <v>9</v>
      </c>
      <c r="M4794" s="19" t="e">
        <f>Planning[[#This Row],[Saldo]]-Planning[[#This Row],[Saldo estimado]]</f>
        <v>#REF!</v>
      </c>
      <c r="N4794" s="60" t="e">
        <f>+SUMIFS(#REF!,#REF!,Planning[[#This Row],[Proyectos]],#REF!,Planning[[#This Row],[Tipo de Tarea y especialidad]])</f>
        <v>#REF!</v>
      </c>
      <c r="O4794" s="19">
        <f t="shared" si="151"/>
        <v>10</v>
      </c>
      <c r="P4794" s="19">
        <f t="shared" si="152"/>
        <v>2024</v>
      </c>
      <c r="Q47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94" s="49" t="str">
        <f>TEXT(Planning[[#This Row],[Mes]]*29,"mmmm")</f>
        <v>October</v>
      </c>
      <c r="S479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94" s="156"/>
      <c r="U4794" s="43"/>
      <c r="V4794" s="43"/>
      <c r="W4794" s="44"/>
    </row>
    <row r="4795" spans="1:23" x14ac:dyDescent="0.2">
      <c r="A4795" s="9" t="s">
        <v>204</v>
      </c>
      <c r="B4795" s="9" t="s">
        <v>463</v>
      </c>
      <c r="C4795" s="3">
        <v>116897</v>
      </c>
      <c r="D4795" s="3" t="s">
        <v>822</v>
      </c>
      <c r="E4795" s="4"/>
      <c r="F4795" s="3" t="s">
        <v>126</v>
      </c>
      <c r="G4795" s="9"/>
      <c r="H4795" s="9">
        <v>0</v>
      </c>
      <c r="I4795" s="12"/>
      <c r="J4795" s="5" t="e">
        <f>SUM(SUMIFS(#REF!,#REF!,Planning[[#This Row],[Tipo de Tarea y especialidad]],#REF!,Planning[[#This Row],[Proyectos Reiwa]]),SUMIFS(#REF!,#REF!,Planning[[#This Row],[Tipo de Tarea y especialidad]],#REF!,Planning[[#This Row],[Proyectos]]))</f>
        <v>#REF!</v>
      </c>
      <c r="K4795" s="5" t="e">
        <f>+Planning[[#This Row],[Horas Planificadas]]+Planning[[#This Row],[Horas ajustadas adicionales]]-Planning[[#This Row],[Horas utilizadas]]</f>
        <v>#REF!</v>
      </c>
      <c r="L4795" s="7">
        <v>0</v>
      </c>
      <c r="M4795" s="19" t="e">
        <f>Planning[[#This Row],[Saldo]]-Planning[[#This Row],[Saldo estimado]]</f>
        <v>#REF!</v>
      </c>
      <c r="N4795" s="60" t="e">
        <f>+SUMIFS(#REF!,#REF!,Planning[[#This Row],[Proyectos]],#REF!,Planning[[#This Row],[Tipo de Tarea y especialidad]])</f>
        <v>#REF!</v>
      </c>
      <c r="O4795" s="19">
        <f t="shared" si="151"/>
        <v>10</v>
      </c>
      <c r="P4795" s="19">
        <f t="shared" si="152"/>
        <v>2024</v>
      </c>
      <c r="Q47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95" s="49" t="str">
        <f>TEXT(Planning[[#This Row],[Mes]]*29,"mmmm")</f>
        <v>October</v>
      </c>
      <c r="S479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95" s="156"/>
      <c r="U4795" s="43"/>
      <c r="V4795" s="43"/>
      <c r="W4795" s="44"/>
    </row>
    <row r="4796" spans="1:23" x14ac:dyDescent="0.2">
      <c r="A4796" s="9" t="s">
        <v>204</v>
      </c>
      <c r="B4796" s="9" t="s">
        <v>463</v>
      </c>
      <c r="C4796" s="3">
        <v>116897</v>
      </c>
      <c r="D4796" s="3" t="s">
        <v>822</v>
      </c>
      <c r="E4796" s="4"/>
      <c r="F4796" s="3" t="s">
        <v>127</v>
      </c>
      <c r="G4796" s="9"/>
      <c r="H4796" s="9">
        <v>45</v>
      </c>
      <c r="I4796" s="12"/>
      <c r="J4796" s="5" t="e">
        <f>SUM(SUMIFS(#REF!,#REF!,Planning[[#This Row],[Tipo de Tarea y especialidad]],#REF!,Planning[[#This Row],[Proyectos Reiwa]]),SUMIFS(#REF!,#REF!,Planning[[#This Row],[Tipo de Tarea y especialidad]],#REF!,Planning[[#This Row],[Proyectos]]))</f>
        <v>#REF!</v>
      </c>
      <c r="K4796" s="5" t="e">
        <f>+Planning[[#This Row],[Horas Planificadas]]+Planning[[#This Row],[Horas ajustadas adicionales]]-Planning[[#This Row],[Horas utilizadas]]</f>
        <v>#REF!</v>
      </c>
      <c r="L4796" s="7">
        <v>0</v>
      </c>
      <c r="M4796" s="19" t="e">
        <f>Planning[[#This Row],[Saldo]]-Planning[[#This Row],[Saldo estimado]]</f>
        <v>#REF!</v>
      </c>
      <c r="N4796" s="60" t="e">
        <f>+SUMIFS(#REF!,#REF!,Planning[[#This Row],[Proyectos]],#REF!,Planning[[#This Row],[Tipo de Tarea y especialidad]])</f>
        <v>#REF!</v>
      </c>
      <c r="O4796" s="19">
        <f t="shared" si="151"/>
        <v>10</v>
      </c>
      <c r="P4796" s="19">
        <f t="shared" si="152"/>
        <v>2024</v>
      </c>
      <c r="Q47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96" s="49" t="str">
        <f>TEXT(Planning[[#This Row],[Mes]]*29,"mmmm")</f>
        <v>October</v>
      </c>
      <c r="S479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96" s="156"/>
      <c r="U4796" s="43"/>
      <c r="V4796" s="43"/>
      <c r="W4796" s="44"/>
    </row>
    <row r="4797" spans="1:23" x14ac:dyDescent="0.2">
      <c r="A4797" s="9" t="s">
        <v>204</v>
      </c>
      <c r="B4797" s="9" t="s">
        <v>463</v>
      </c>
      <c r="C4797" s="3">
        <v>116897</v>
      </c>
      <c r="D4797" s="3" t="s">
        <v>822</v>
      </c>
      <c r="E4797" s="4"/>
      <c r="F4797" s="3" t="s">
        <v>128</v>
      </c>
      <c r="G4797" s="9"/>
      <c r="H4797" s="9">
        <v>0</v>
      </c>
      <c r="I4797" s="12"/>
      <c r="J4797" s="5" t="e">
        <f>SUM(SUMIFS(#REF!,#REF!,Planning[[#This Row],[Tipo de Tarea y especialidad]],#REF!,Planning[[#This Row],[Proyectos Reiwa]]),SUMIFS(#REF!,#REF!,Planning[[#This Row],[Tipo de Tarea y especialidad]],#REF!,Planning[[#This Row],[Proyectos]]))</f>
        <v>#REF!</v>
      </c>
      <c r="K4797" s="5" t="e">
        <f>+Planning[[#This Row],[Horas Planificadas]]+Planning[[#This Row],[Horas ajustadas adicionales]]-Planning[[#This Row],[Horas utilizadas]]</f>
        <v>#REF!</v>
      </c>
      <c r="L4797" s="7" t="e">
        <f>Planning[[#This Row],[Saldo]]</f>
        <v>#REF!</v>
      </c>
      <c r="M4797" s="19" t="e">
        <f>Planning[[#This Row],[Saldo]]-Planning[[#This Row],[Saldo estimado]]</f>
        <v>#REF!</v>
      </c>
      <c r="N4797" s="60" t="e">
        <f>+SUMIFS(#REF!,#REF!,Planning[[#This Row],[Proyectos]],#REF!,Planning[[#This Row],[Tipo de Tarea y especialidad]])</f>
        <v>#REF!</v>
      </c>
      <c r="O4797" s="19">
        <f t="shared" si="151"/>
        <v>10</v>
      </c>
      <c r="P4797" s="19">
        <f t="shared" si="152"/>
        <v>2024</v>
      </c>
      <c r="Q47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797" s="49" t="str">
        <f>TEXT(Planning[[#This Row],[Mes]]*29,"mmmm")</f>
        <v>October</v>
      </c>
      <c r="S479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97" s="156"/>
      <c r="U4797" s="43"/>
      <c r="V4797" s="43"/>
      <c r="W4797" s="44"/>
    </row>
    <row r="4798" spans="1:23" x14ac:dyDescent="0.2">
      <c r="A4798" s="9" t="s">
        <v>204</v>
      </c>
      <c r="B4798" s="9" t="s">
        <v>463</v>
      </c>
      <c r="C4798" s="3">
        <v>116897</v>
      </c>
      <c r="D4798" s="3" t="s">
        <v>822</v>
      </c>
      <c r="E4798" s="4" t="s">
        <v>31</v>
      </c>
      <c r="F4798" s="3" t="s">
        <v>31</v>
      </c>
      <c r="G4798" s="9">
        <v>27</v>
      </c>
      <c r="H4798" s="17">
        <v>27</v>
      </c>
      <c r="I4798" s="18"/>
      <c r="J4798" s="14" t="e">
        <f>+SUMIFS(#REF!,#REF!,Planning[[#This Row],[Tarifa]],#REF!,Planning[[#This Row],[Proyectos]])</f>
        <v>#REF!</v>
      </c>
      <c r="K4798" s="14" t="e">
        <f>+Planning[[#This Row],[Horas Planificadas]]+Planning[[#This Row],[Horas ajustadas adicionales]]-Planning[[#This Row],[Horas utilizadas]]</f>
        <v>#REF!</v>
      </c>
      <c r="L4798" s="15">
        <v>0</v>
      </c>
      <c r="M4798" s="16" t="e">
        <f>Planning[[#This Row],[Saldo]]-Planning[[#This Row],[Saldo estimado]]</f>
        <v>#REF!</v>
      </c>
      <c r="N4798" s="60"/>
      <c r="O4798" s="16">
        <f t="shared" si="151"/>
        <v>10</v>
      </c>
      <c r="P4798" s="16">
        <f t="shared" si="152"/>
        <v>2024</v>
      </c>
      <c r="Q4798" s="16" t="e">
        <f>+SUMIFS(#REF!,#REF!,Planning[[#This Row],[Tarifa]],#REF!,Planning[[#This Row],[Proyectos]],#REF!,Planning[[#This Row],[Mes]],#REF!,Planning[[#This Row],[Año]])</f>
        <v>#REF!</v>
      </c>
      <c r="R4798" s="50" t="str">
        <f>TEXT(Planning[[#This Row],[Mes]]*29,"mmmm")</f>
        <v>October</v>
      </c>
      <c r="S479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98" s="156"/>
      <c r="U4798" s="43"/>
      <c r="V4798" s="43"/>
      <c r="W4798" s="44"/>
    </row>
    <row r="4799" spans="1:23" ht="22.5" x14ac:dyDescent="0.2">
      <c r="A4799" s="9" t="s">
        <v>204</v>
      </c>
      <c r="B4799" s="9" t="s">
        <v>463</v>
      </c>
      <c r="C4799" s="3">
        <v>116897</v>
      </c>
      <c r="D4799" s="3" t="s">
        <v>822</v>
      </c>
      <c r="E4799" s="4" t="s">
        <v>32</v>
      </c>
      <c r="F4799" s="3"/>
      <c r="G4799" s="9">
        <v>70</v>
      </c>
      <c r="H4799" s="14">
        <f>SUM(H4800:H4802)</f>
        <v>70</v>
      </c>
      <c r="I4799" s="14"/>
      <c r="J4799" s="14" t="e">
        <f>SUM(J4800:J4802)</f>
        <v>#REF!</v>
      </c>
      <c r="K4799" s="14" t="e">
        <f>+Planning[[#This Row],[Horas Planificadas]]+Planning[[#This Row],[Horas ajustadas adicionales]]-Planning[[#This Row],[Horas utilizadas]]</f>
        <v>#REF!</v>
      </c>
      <c r="L4799" s="15" t="e">
        <f>SUM(L4800:L4802)</f>
        <v>#REF!</v>
      </c>
      <c r="M4799" s="16" t="e">
        <f>SUM(M4800:M4802)</f>
        <v>#REF!</v>
      </c>
      <c r="N4799" s="60"/>
      <c r="O4799" s="16">
        <f t="shared" si="151"/>
        <v>10</v>
      </c>
      <c r="P4799" s="16">
        <f t="shared" si="152"/>
        <v>2024</v>
      </c>
      <c r="Q4799" s="16" t="e">
        <f>SUM(Q4800:Q4802)</f>
        <v>#REF!</v>
      </c>
      <c r="R4799" s="50" t="str">
        <f>TEXT(Planning[[#This Row],[Mes]]*29,"mmmm")</f>
        <v>October</v>
      </c>
      <c r="S479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799" s="156"/>
      <c r="U4799" s="43"/>
      <c r="V4799" s="43"/>
      <c r="W4799" s="44"/>
    </row>
    <row r="4800" spans="1:23" x14ac:dyDescent="0.2">
      <c r="A4800" s="9" t="s">
        <v>204</v>
      </c>
      <c r="B4800" s="9" t="s">
        <v>463</v>
      </c>
      <c r="C4800" s="3">
        <v>116897</v>
      </c>
      <c r="D4800" s="3" t="s">
        <v>822</v>
      </c>
      <c r="E4800" s="4"/>
      <c r="F4800" s="3" t="s">
        <v>129</v>
      </c>
      <c r="G4800" s="9"/>
      <c r="H4800" s="9">
        <v>0</v>
      </c>
      <c r="I4800" s="12"/>
      <c r="J4800" s="5" t="e">
        <f>SUM(SUMIFS(#REF!,#REF!,Planning[[#This Row],[Tipo de Tarea y especialidad]],#REF!,Planning[[#This Row],[Proyectos Reiwa]]),SUMIFS(#REF!,#REF!,Planning[[#This Row],[Tipo de Tarea y especialidad]],#REF!,Planning[[#This Row],[Proyectos]]))</f>
        <v>#REF!</v>
      </c>
      <c r="K4800" s="5" t="e">
        <f>+Planning[[#This Row],[Horas Planificadas]]+Planning[[#This Row],[Horas ajustadas adicionales]]-Planning[[#This Row],[Horas utilizadas]]</f>
        <v>#REF!</v>
      </c>
      <c r="L4800" s="7" t="e">
        <f>Planning[[#This Row],[Saldo]]</f>
        <v>#REF!</v>
      </c>
      <c r="M4800" s="19" t="e">
        <f>Planning[[#This Row],[Saldo]]-Planning[[#This Row],[Saldo estimado]]</f>
        <v>#REF!</v>
      </c>
      <c r="N4800" s="60" t="e">
        <f>+SUMIFS(#REF!,#REF!,Planning[[#This Row],[Proyectos]],#REF!,Planning[[#This Row],[Tipo de Tarea y especialidad]])</f>
        <v>#REF!</v>
      </c>
      <c r="O4800" s="19">
        <f t="shared" si="151"/>
        <v>10</v>
      </c>
      <c r="P4800" s="19">
        <f t="shared" si="152"/>
        <v>2024</v>
      </c>
      <c r="Q48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00" s="49" t="str">
        <f>TEXT(Planning[[#This Row],[Mes]]*29,"mmmm")</f>
        <v>October</v>
      </c>
      <c r="S480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00" s="156"/>
      <c r="U4800" s="43"/>
      <c r="V4800" s="43"/>
      <c r="W4800" s="44"/>
    </row>
    <row r="4801" spans="1:23" x14ac:dyDescent="0.2">
      <c r="A4801" s="9" t="s">
        <v>204</v>
      </c>
      <c r="B4801" s="9" t="s">
        <v>463</v>
      </c>
      <c r="C4801" s="3">
        <v>116897</v>
      </c>
      <c r="D4801" s="3" t="s">
        <v>822</v>
      </c>
      <c r="E4801" s="4"/>
      <c r="F4801" s="3" t="s">
        <v>130</v>
      </c>
      <c r="G4801" s="9"/>
      <c r="H4801" s="9">
        <v>70</v>
      </c>
      <c r="I4801" s="12"/>
      <c r="J4801" s="5" t="e">
        <f>SUM(SUMIFS(#REF!,#REF!,Planning[[#This Row],[Tipo de Tarea y especialidad]],#REF!,Planning[[#This Row],[Proyectos Reiwa]]),SUMIFS(#REF!,#REF!,Planning[[#This Row],[Tipo de Tarea y especialidad]],#REF!,Planning[[#This Row],[Proyectos]]))</f>
        <v>#REF!</v>
      </c>
      <c r="K4801" s="5" t="e">
        <f>+Planning[[#This Row],[Horas Planificadas]]+Planning[[#This Row],[Horas ajustadas adicionales]]-Planning[[#This Row],[Horas utilizadas]]</f>
        <v>#REF!</v>
      </c>
      <c r="L4801" s="7" t="e">
        <f>Planning[[#This Row],[Saldo]]</f>
        <v>#REF!</v>
      </c>
      <c r="M4801" s="19" t="e">
        <f>Planning[[#This Row],[Saldo]]-Planning[[#This Row],[Saldo estimado]]</f>
        <v>#REF!</v>
      </c>
      <c r="N4801" s="60" t="e">
        <f>+SUMIFS(#REF!,#REF!,Planning[[#This Row],[Proyectos]],#REF!,Planning[[#This Row],[Tipo de Tarea y especialidad]])</f>
        <v>#REF!</v>
      </c>
      <c r="O4801" s="19">
        <f t="shared" si="151"/>
        <v>10</v>
      </c>
      <c r="P4801" s="19">
        <f t="shared" si="152"/>
        <v>2024</v>
      </c>
      <c r="Q48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01" s="49" t="str">
        <f>TEXT(Planning[[#This Row],[Mes]]*29,"mmmm")</f>
        <v>October</v>
      </c>
      <c r="S480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01" s="156"/>
      <c r="U4801" s="43"/>
      <c r="V4801" s="43"/>
      <c r="W4801" s="44"/>
    </row>
    <row r="4802" spans="1:23" x14ac:dyDescent="0.2">
      <c r="A4802" s="9" t="s">
        <v>204</v>
      </c>
      <c r="B4802" s="9" t="s">
        <v>463</v>
      </c>
      <c r="C4802" s="3">
        <v>116897</v>
      </c>
      <c r="D4802" s="3" t="s">
        <v>822</v>
      </c>
      <c r="E4802" s="4"/>
      <c r="F4802" s="3" t="s">
        <v>131</v>
      </c>
      <c r="G4802" s="9"/>
      <c r="H4802" s="9">
        <v>0</v>
      </c>
      <c r="I4802" s="12"/>
      <c r="J4802" s="5" t="e">
        <f>SUM(SUMIFS(#REF!,#REF!,Planning[[#This Row],[Tipo de Tarea y especialidad]],#REF!,Planning[[#This Row],[Proyectos Reiwa]]),SUMIFS(#REF!,#REF!,Planning[[#This Row],[Tipo de Tarea y especialidad]],#REF!,Planning[[#This Row],[Proyectos]]))</f>
        <v>#REF!</v>
      </c>
      <c r="K4802" s="5" t="e">
        <f>+Planning[[#This Row],[Horas Planificadas]]+Planning[[#This Row],[Horas ajustadas adicionales]]-Planning[[#This Row],[Horas utilizadas]]</f>
        <v>#REF!</v>
      </c>
      <c r="L4802" s="7" t="e">
        <f>Planning[[#This Row],[Saldo]]</f>
        <v>#REF!</v>
      </c>
      <c r="M4802" s="19" t="e">
        <f>Planning[[#This Row],[Saldo]]-Planning[[#This Row],[Saldo estimado]]</f>
        <v>#REF!</v>
      </c>
      <c r="N4802" s="60" t="e">
        <f>+SUMIFS(#REF!,#REF!,Planning[[#This Row],[Proyectos]],#REF!,Planning[[#This Row],[Tipo de Tarea y especialidad]])</f>
        <v>#REF!</v>
      </c>
      <c r="O4802" s="19">
        <f t="shared" si="151"/>
        <v>10</v>
      </c>
      <c r="P4802" s="19">
        <f t="shared" si="152"/>
        <v>2024</v>
      </c>
      <c r="Q48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02" s="51" t="str">
        <f>TEXT(Planning[[#This Row],[Mes]]*29,"mmmm")</f>
        <v>October</v>
      </c>
      <c r="S480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02" s="157"/>
      <c r="U4802" s="43"/>
      <c r="V4802" s="43"/>
      <c r="W4802" s="44"/>
    </row>
    <row r="4803" spans="1:23" ht="13.35" customHeight="1" x14ac:dyDescent="0.2">
      <c r="A4803" s="9" t="s">
        <v>626</v>
      </c>
      <c r="B4803" s="9" t="s">
        <v>178</v>
      </c>
      <c r="C4803" s="3"/>
      <c r="D4803" s="3" t="s">
        <v>824</v>
      </c>
      <c r="E4803" s="4" t="s">
        <v>28</v>
      </c>
      <c r="F4803" s="3"/>
      <c r="G4803" s="9">
        <v>0</v>
      </c>
      <c r="H4803" s="14">
        <f>SUM(H4804:H4805)</f>
        <v>0</v>
      </c>
      <c r="I4803" s="14"/>
      <c r="J4803" s="14" t="e">
        <f>SUM(J4804:J4805)</f>
        <v>#REF!</v>
      </c>
      <c r="K4803" s="14" t="e">
        <f>+Planning[[#This Row],[Horas Planificadas]]+Planning[[#This Row],[Horas ajustadas adicionales]]-Planning[[#This Row],[Horas utilizadas]]</f>
        <v>#REF!</v>
      </c>
      <c r="L4803" s="15">
        <f>SUM(L4804:L4805)</f>
        <v>0</v>
      </c>
      <c r="M4803" s="14" t="e">
        <f>SUM(M4804:M4805)</f>
        <v>#REF!</v>
      </c>
      <c r="N4803" s="66"/>
      <c r="O4803" s="14">
        <f t="shared" si="151"/>
        <v>10</v>
      </c>
      <c r="P4803" s="14">
        <f t="shared" si="152"/>
        <v>2024</v>
      </c>
      <c r="Q4803" s="28" t="e">
        <f>SUM(Q4804:Q4805)</f>
        <v>#REF!</v>
      </c>
      <c r="R4803" s="24" t="str">
        <f>TEXT(Planning[[#This Row],[Mes]]*29,"mmmm")</f>
        <v>October</v>
      </c>
      <c r="S4803"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03" s="175" t="s">
        <v>825</v>
      </c>
      <c r="U4803" s="43">
        <f>IF(Planning[[#This Row],[Horas Planificadas]]&lt;&gt;0,+K4803/Planning[[#This Row],[Horas Planificadas]],0)</f>
        <v>0</v>
      </c>
      <c r="V4803" s="43">
        <f>IF(Planning[[#This Row],[Horas Planificadas]]&lt;&gt;0,Planning[[#This Row],[Horas utilizadas]]/Planning[[#This Row],[Horas Planificadas]],0)</f>
        <v>0</v>
      </c>
      <c r="W4803" s="44">
        <f>Planning[[#This Row],[Horas Planificadas]]+Planning[[#This Row],[Horas ajustadas adicionales]]</f>
        <v>0</v>
      </c>
    </row>
    <row r="4804" spans="1:23" x14ac:dyDescent="0.2">
      <c r="A4804" s="9" t="s">
        <v>626</v>
      </c>
      <c r="B4804" s="9" t="s">
        <v>178</v>
      </c>
      <c r="C4804" s="3"/>
      <c r="D4804" s="3" t="s">
        <v>824</v>
      </c>
      <c r="E4804" s="4"/>
      <c r="F4804" s="3" t="s">
        <v>120</v>
      </c>
      <c r="G4804" s="9"/>
      <c r="H4804" s="9">
        <v>0</v>
      </c>
      <c r="I4804" s="12"/>
      <c r="J4804" s="5" t="e">
        <f>SUM(SUMIFS(#REF!,#REF!,Planning[[#This Row],[Tipo de Tarea y especialidad]],#REF!,Planning[[#This Row],[Proyectos Reiwa]]),SUMIFS(#REF!,#REF!,Planning[[#This Row],[Tipo de Tarea y especialidad]],#REF!,Planning[[#This Row],[Proyectos]]))</f>
        <v>#REF!</v>
      </c>
      <c r="K4804" s="5" t="e">
        <f>+Planning[[#This Row],[Horas Planificadas]]+Planning[[#This Row],[Horas ajustadas adicionales]]-Planning[[#This Row],[Horas utilizadas]]</f>
        <v>#REF!</v>
      </c>
      <c r="L4804" s="7">
        <v>0</v>
      </c>
      <c r="M4804" s="19" t="e">
        <f>Planning[[#This Row],[Saldo]]-Planning[[#This Row],[Saldo estimado]]</f>
        <v>#REF!</v>
      </c>
      <c r="N4804" s="60" t="e">
        <f>+SUMIFS(#REF!,#REF!,Planning[[#This Row],[Proyectos]],#REF!,Planning[[#This Row],[Tipo de Tarea y especialidad]])</f>
        <v>#REF!</v>
      </c>
      <c r="O4804" s="19">
        <f t="shared" si="151"/>
        <v>10</v>
      </c>
      <c r="P4804" s="19">
        <f t="shared" si="152"/>
        <v>2024</v>
      </c>
      <c r="Q48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04" s="49" t="str">
        <f>TEXT(Planning[[#This Row],[Mes]]*29,"mmmm")</f>
        <v>October</v>
      </c>
      <c r="S480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04" s="156"/>
      <c r="U4804" s="43">
        <f>IF(Planning[[#This Row],[Horas Planificadas]]&lt;&gt;0,+K4804/Planning[[#This Row],[Horas Planificadas]],0)</f>
        <v>0</v>
      </c>
      <c r="V4804" s="43">
        <f>IF(Planning[[#This Row],[Horas Planificadas]]&lt;&gt;0,Planning[[#This Row],[Horas utilizadas]]/Planning[[#This Row],[Horas Planificadas]],0)</f>
        <v>0</v>
      </c>
      <c r="W4804" s="44">
        <f>Planning[[#This Row],[Horas Planificadas]]+Planning[[#This Row],[Horas ajustadas adicionales]]</f>
        <v>0</v>
      </c>
    </row>
    <row r="4805" spans="1:23" x14ac:dyDescent="0.2">
      <c r="A4805" s="9" t="s">
        <v>626</v>
      </c>
      <c r="B4805" s="9" t="s">
        <v>178</v>
      </c>
      <c r="C4805" s="3"/>
      <c r="D4805" s="3" t="s">
        <v>824</v>
      </c>
      <c r="E4805" s="4"/>
      <c r="F4805" s="3" t="s">
        <v>121</v>
      </c>
      <c r="G4805" s="9"/>
      <c r="H4805" s="9">
        <v>0</v>
      </c>
      <c r="I4805" s="12"/>
      <c r="J4805" s="5" t="e">
        <f>SUM(SUMIFS(#REF!,#REF!,Planning[[#This Row],[Tipo de Tarea y especialidad]],#REF!,Planning[[#This Row],[Proyectos Reiwa]]),SUMIFS(#REF!,#REF!,Planning[[#This Row],[Tipo de Tarea y especialidad]],#REF!,Planning[[#This Row],[Proyectos]]))</f>
        <v>#REF!</v>
      </c>
      <c r="K4805" s="5" t="e">
        <f>+Planning[[#This Row],[Horas Planificadas]]+Planning[[#This Row],[Horas ajustadas adicionales]]-Planning[[#This Row],[Horas utilizadas]]</f>
        <v>#REF!</v>
      </c>
      <c r="L4805" s="7">
        <v>0</v>
      </c>
      <c r="M4805" s="19" t="e">
        <f>Planning[[#This Row],[Saldo]]-Planning[[#This Row],[Saldo estimado]]</f>
        <v>#REF!</v>
      </c>
      <c r="N4805" s="60" t="e">
        <f>+SUMIFS(#REF!,#REF!,Planning[[#This Row],[Proyectos]],#REF!,Planning[[#This Row],[Tipo de Tarea y especialidad]])</f>
        <v>#REF!</v>
      </c>
      <c r="O4805" s="19">
        <f t="shared" si="151"/>
        <v>10</v>
      </c>
      <c r="P4805" s="19">
        <f t="shared" si="152"/>
        <v>2024</v>
      </c>
      <c r="Q48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05" s="49" t="str">
        <f>TEXT(Planning[[#This Row],[Mes]]*29,"mmmm")</f>
        <v>October</v>
      </c>
      <c r="S480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05" s="156"/>
      <c r="U4805" s="43">
        <f>IF(Planning[[#This Row],[Horas Planificadas]]&lt;&gt;0,+K4805/Planning[[#This Row],[Horas Planificadas]],0)</f>
        <v>0</v>
      </c>
      <c r="V4805" s="43">
        <f>IF(Planning[[#This Row],[Horas Planificadas]]&lt;&gt;0,Planning[[#This Row],[Horas utilizadas]]/Planning[[#This Row],[Horas Planificadas]],0)</f>
        <v>0</v>
      </c>
      <c r="W4805" s="44">
        <f>Planning[[#This Row],[Horas Planificadas]]+Planning[[#This Row],[Horas ajustadas adicionales]]</f>
        <v>0</v>
      </c>
    </row>
    <row r="4806" spans="1:23" x14ac:dyDescent="0.2">
      <c r="A4806" s="9" t="s">
        <v>626</v>
      </c>
      <c r="B4806" s="9" t="s">
        <v>178</v>
      </c>
      <c r="C4806" s="3"/>
      <c r="D4806" s="3" t="s">
        <v>824</v>
      </c>
      <c r="E4806" s="4" t="s">
        <v>30</v>
      </c>
      <c r="F4806" s="3"/>
      <c r="G4806" s="9">
        <v>243</v>
      </c>
      <c r="H4806" s="14">
        <f>SUM(H4807:H4813)</f>
        <v>243</v>
      </c>
      <c r="I4806" s="14"/>
      <c r="J4806" s="14" t="e">
        <f>SUM(J4807:J4813)</f>
        <v>#REF!</v>
      </c>
      <c r="K4806" s="14" t="e">
        <f>+Planning[[#This Row],[Horas Planificadas]]+Planning[[#This Row],[Horas ajustadas adicionales]]-Planning[[#This Row],[Horas utilizadas]]</f>
        <v>#REF!</v>
      </c>
      <c r="L4806" s="15">
        <f>SUM(L4807:L4813)</f>
        <v>0</v>
      </c>
      <c r="M4806" s="16" t="e">
        <f>SUM(M4807:M4813)</f>
        <v>#REF!</v>
      </c>
      <c r="N4806" s="60"/>
      <c r="O4806" s="16">
        <f t="shared" si="151"/>
        <v>10</v>
      </c>
      <c r="P4806" s="16">
        <f t="shared" si="152"/>
        <v>2024</v>
      </c>
      <c r="Q4806" s="16" t="e">
        <f>SUM(Q4807:Q4813)</f>
        <v>#REF!</v>
      </c>
      <c r="R4806" s="50" t="str">
        <f>TEXT(Planning[[#This Row],[Mes]]*29,"mmmm")</f>
        <v>October</v>
      </c>
      <c r="S480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06" s="156"/>
      <c r="U4806" s="43" t="e">
        <f>IF(Planning[[#This Row],[Horas Planificadas]]&lt;&gt;0,+K4806/Planning[[#This Row],[Horas Planificadas]],0)</f>
        <v>#REF!</v>
      </c>
      <c r="V4806" s="43" t="e">
        <f>IF(Planning[[#This Row],[Horas Planificadas]]&lt;&gt;0,Planning[[#This Row],[Horas utilizadas]]/Planning[[#This Row],[Horas Planificadas]],0)</f>
        <v>#REF!</v>
      </c>
      <c r="W4806" s="44">
        <f>Planning[[#This Row],[Horas Planificadas]]+Planning[[#This Row],[Horas ajustadas adicionales]]</f>
        <v>243</v>
      </c>
    </row>
    <row r="4807" spans="1:23" x14ac:dyDescent="0.2">
      <c r="A4807" s="9" t="s">
        <v>626</v>
      </c>
      <c r="B4807" s="9" t="s">
        <v>178</v>
      </c>
      <c r="C4807" s="3"/>
      <c r="D4807" s="3" t="s">
        <v>824</v>
      </c>
      <c r="E4807" s="4"/>
      <c r="F4807" s="3" t="s">
        <v>122</v>
      </c>
      <c r="G4807" s="9"/>
      <c r="H4807" s="9">
        <v>0</v>
      </c>
      <c r="I4807" s="12"/>
      <c r="J4807" s="5" t="e">
        <f>SUM(SUMIFS(#REF!,#REF!,Planning[[#This Row],[Tipo de Tarea y especialidad]],#REF!,Planning[[#This Row],[Proyectos Reiwa]]),SUMIFS(#REF!,#REF!,Planning[[#This Row],[Tipo de Tarea y especialidad]],#REF!,Planning[[#This Row],[Proyectos]]))</f>
        <v>#REF!</v>
      </c>
      <c r="K4807" s="5" t="e">
        <f>+Planning[[#This Row],[Horas Planificadas]]+Planning[[#This Row],[Horas ajustadas adicionales]]-Planning[[#This Row],[Horas utilizadas]]</f>
        <v>#REF!</v>
      </c>
      <c r="L4807" s="7">
        <v>0</v>
      </c>
      <c r="M4807" s="19" t="e">
        <f>Planning[[#This Row],[Saldo]]-Planning[[#This Row],[Saldo estimado]]</f>
        <v>#REF!</v>
      </c>
      <c r="N4807" s="60" t="e">
        <f>+SUMIFS(#REF!,#REF!,Planning[[#This Row],[Proyectos]],#REF!,Planning[[#This Row],[Tipo de Tarea y especialidad]])</f>
        <v>#REF!</v>
      </c>
      <c r="O4807" s="19">
        <f t="shared" si="151"/>
        <v>10</v>
      </c>
      <c r="P4807" s="19">
        <f t="shared" si="152"/>
        <v>2024</v>
      </c>
      <c r="Q48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07" s="49" t="str">
        <f>TEXT(Planning[[#This Row],[Mes]]*29,"mmmm")</f>
        <v>October</v>
      </c>
      <c r="S480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07" s="156"/>
      <c r="U4807" s="43">
        <f>IF(Planning[[#This Row],[Horas Planificadas]]&lt;&gt;0,+K4807/Planning[[#This Row],[Horas Planificadas]],0)</f>
        <v>0</v>
      </c>
      <c r="V4807" s="43">
        <f>IF(Planning[[#This Row],[Horas Planificadas]]&lt;&gt;0,Planning[[#This Row],[Horas utilizadas]]/Planning[[#This Row],[Horas Planificadas]],0)</f>
        <v>0</v>
      </c>
      <c r="W4807" s="44">
        <f>Planning[[#This Row],[Horas Planificadas]]+Planning[[#This Row],[Horas ajustadas adicionales]]</f>
        <v>0</v>
      </c>
    </row>
    <row r="4808" spans="1:23" x14ac:dyDescent="0.2">
      <c r="A4808" s="9" t="s">
        <v>626</v>
      </c>
      <c r="B4808" s="9" t="s">
        <v>178</v>
      </c>
      <c r="C4808" s="3"/>
      <c r="D4808" s="3" t="s">
        <v>824</v>
      </c>
      <c r="E4808" s="4"/>
      <c r="F4808" s="3" t="s">
        <v>123</v>
      </c>
      <c r="G4808" s="9"/>
      <c r="H4808" s="9">
        <v>135</v>
      </c>
      <c r="I4808" s="12"/>
      <c r="J4808" s="5" t="e">
        <f>SUM(SUMIFS(#REF!,#REF!,Planning[[#This Row],[Tipo de Tarea y especialidad]],#REF!,Planning[[#This Row],[Proyectos Reiwa]]),SUMIFS(#REF!,#REF!,Planning[[#This Row],[Tipo de Tarea y especialidad]],#REF!,Planning[[#This Row],[Proyectos]]))</f>
        <v>#REF!</v>
      </c>
      <c r="K4808" s="5" t="e">
        <f>+Planning[[#This Row],[Horas Planificadas]]+Planning[[#This Row],[Horas ajustadas adicionales]]-Planning[[#This Row],[Horas utilizadas]]</f>
        <v>#REF!</v>
      </c>
      <c r="L4808" s="7">
        <v>0</v>
      </c>
      <c r="M4808" s="19" t="e">
        <f>Planning[[#This Row],[Saldo]]-Planning[[#This Row],[Saldo estimado]]</f>
        <v>#REF!</v>
      </c>
      <c r="N4808" s="60" t="e">
        <f>+SUMIFS(#REF!,#REF!,Planning[[#This Row],[Proyectos]],#REF!,Planning[[#This Row],[Tipo de Tarea y especialidad]])</f>
        <v>#REF!</v>
      </c>
      <c r="O4808" s="19">
        <f t="shared" si="151"/>
        <v>10</v>
      </c>
      <c r="P4808" s="19">
        <f t="shared" si="152"/>
        <v>2024</v>
      </c>
      <c r="Q48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08" s="49" t="str">
        <f>TEXT(Planning[[#This Row],[Mes]]*29,"mmmm")</f>
        <v>October</v>
      </c>
      <c r="S480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08" s="156"/>
      <c r="U4808" s="43" t="e">
        <f>IF(Planning[[#This Row],[Horas Planificadas]]&lt;&gt;0,+K4808/Planning[[#This Row],[Horas Planificadas]],0)</f>
        <v>#REF!</v>
      </c>
      <c r="V4808" s="43" t="e">
        <f>IF(Planning[[#This Row],[Horas Planificadas]]&lt;&gt;0,Planning[[#This Row],[Horas utilizadas]]/Planning[[#This Row],[Horas Planificadas]],0)</f>
        <v>#REF!</v>
      </c>
      <c r="W4808" s="44">
        <f>Planning[[#This Row],[Horas Planificadas]]+Planning[[#This Row],[Horas ajustadas adicionales]]</f>
        <v>135</v>
      </c>
    </row>
    <row r="4809" spans="1:23" x14ac:dyDescent="0.2">
      <c r="A4809" s="9" t="s">
        <v>626</v>
      </c>
      <c r="B4809" s="9" t="s">
        <v>178</v>
      </c>
      <c r="C4809" s="3"/>
      <c r="D4809" s="3" t="s">
        <v>824</v>
      </c>
      <c r="E4809" s="4"/>
      <c r="F4809" s="3" t="s">
        <v>124</v>
      </c>
      <c r="G4809" s="9"/>
      <c r="H4809" s="9">
        <v>0</v>
      </c>
      <c r="I4809" s="12"/>
      <c r="J4809" s="5" t="e">
        <f>SUM(SUMIFS(#REF!,#REF!,Planning[[#This Row],[Tipo de Tarea y especialidad]],#REF!,Planning[[#This Row],[Proyectos Reiwa]]),SUMIFS(#REF!,#REF!,Planning[[#This Row],[Tipo de Tarea y especialidad]],#REF!,Planning[[#This Row],[Proyectos]]))</f>
        <v>#REF!</v>
      </c>
      <c r="K4809" s="5" t="e">
        <f>+Planning[[#This Row],[Horas Planificadas]]+Planning[[#This Row],[Horas ajustadas adicionales]]-Planning[[#This Row],[Horas utilizadas]]</f>
        <v>#REF!</v>
      </c>
      <c r="L4809" s="7">
        <v>0</v>
      </c>
      <c r="M4809" s="19" t="e">
        <f>Planning[[#This Row],[Saldo]]-Planning[[#This Row],[Saldo estimado]]</f>
        <v>#REF!</v>
      </c>
      <c r="N4809" s="60" t="e">
        <f>+SUMIFS(#REF!,#REF!,Planning[[#This Row],[Proyectos]],#REF!,Planning[[#This Row],[Tipo de Tarea y especialidad]])</f>
        <v>#REF!</v>
      </c>
      <c r="O4809" s="19">
        <f t="shared" si="151"/>
        <v>10</v>
      </c>
      <c r="P4809" s="19">
        <f t="shared" si="152"/>
        <v>2024</v>
      </c>
      <c r="Q48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09" s="49" t="str">
        <f>TEXT(Planning[[#This Row],[Mes]]*29,"mmmm")</f>
        <v>October</v>
      </c>
      <c r="S480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09" s="156"/>
      <c r="U4809" s="43">
        <f>IF(Planning[[#This Row],[Horas Planificadas]]&lt;&gt;0,+K4809/Planning[[#This Row],[Horas Planificadas]],0)</f>
        <v>0</v>
      </c>
      <c r="V4809" s="43">
        <f>IF(Planning[[#This Row],[Horas Planificadas]]&lt;&gt;0,Planning[[#This Row],[Horas utilizadas]]/Planning[[#This Row],[Horas Planificadas]],0)</f>
        <v>0</v>
      </c>
      <c r="W4809" s="44">
        <f>Planning[[#This Row],[Horas Planificadas]]+Planning[[#This Row],[Horas ajustadas adicionales]]</f>
        <v>0</v>
      </c>
    </row>
    <row r="4810" spans="1:23" x14ac:dyDescent="0.2">
      <c r="A4810" s="9" t="s">
        <v>626</v>
      </c>
      <c r="B4810" s="9" t="s">
        <v>178</v>
      </c>
      <c r="C4810" s="3"/>
      <c r="D4810" s="3" t="s">
        <v>824</v>
      </c>
      <c r="E4810" s="4"/>
      <c r="F4810" s="3" t="s">
        <v>125</v>
      </c>
      <c r="G4810" s="9"/>
      <c r="H4810" s="9">
        <v>63</v>
      </c>
      <c r="I4810" s="12"/>
      <c r="J4810" s="5" t="e">
        <f>SUM(SUMIFS(#REF!,#REF!,Planning[[#This Row],[Tipo de Tarea y especialidad]],#REF!,Planning[[#This Row],[Proyectos Reiwa]]),SUMIFS(#REF!,#REF!,Planning[[#This Row],[Tipo de Tarea y especialidad]],#REF!,Planning[[#This Row],[Proyectos]]))</f>
        <v>#REF!</v>
      </c>
      <c r="K4810" s="5" t="e">
        <f>+Planning[[#This Row],[Horas Planificadas]]+Planning[[#This Row],[Horas ajustadas adicionales]]-Planning[[#This Row],[Horas utilizadas]]</f>
        <v>#REF!</v>
      </c>
      <c r="L4810" s="7">
        <v>0</v>
      </c>
      <c r="M4810" s="19" t="e">
        <f>Planning[[#This Row],[Saldo]]-Planning[[#This Row],[Saldo estimado]]</f>
        <v>#REF!</v>
      </c>
      <c r="N4810" s="60" t="e">
        <f>+SUMIFS(#REF!,#REF!,Planning[[#This Row],[Proyectos]],#REF!,Planning[[#This Row],[Tipo de Tarea y especialidad]])</f>
        <v>#REF!</v>
      </c>
      <c r="O4810" s="19">
        <f t="shared" si="151"/>
        <v>10</v>
      </c>
      <c r="P4810" s="19">
        <f t="shared" si="152"/>
        <v>2024</v>
      </c>
      <c r="Q48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10" s="49" t="str">
        <f>TEXT(Planning[[#This Row],[Mes]]*29,"mmmm")</f>
        <v>October</v>
      </c>
      <c r="S481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10" s="156"/>
      <c r="U4810" s="43" t="e">
        <f>IF(Planning[[#This Row],[Horas Planificadas]]&lt;&gt;0,+K4810/Planning[[#This Row],[Horas Planificadas]],0)</f>
        <v>#REF!</v>
      </c>
      <c r="V4810" s="43" t="e">
        <f>IF(Planning[[#This Row],[Horas Planificadas]]&lt;&gt;0,Planning[[#This Row],[Horas utilizadas]]/Planning[[#This Row],[Horas Planificadas]],0)</f>
        <v>#REF!</v>
      </c>
      <c r="W4810" s="44">
        <f>Planning[[#This Row],[Horas Planificadas]]+Planning[[#This Row],[Horas ajustadas adicionales]]</f>
        <v>63</v>
      </c>
    </row>
    <row r="4811" spans="1:23" x14ac:dyDescent="0.2">
      <c r="A4811" s="9" t="s">
        <v>626</v>
      </c>
      <c r="B4811" s="9" t="s">
        <v>178</v>
      </c>
      <c r="C4811" s="3"/>
      <c r="D4811" s="3" t="s">
        <v>824</v>
      </c>
      <c r="E4811" s="4"/>
      <c r="F4811" s="3" t="s">
        <v>126</v>
      </c>
      <c r="G4811" s="9"/>
      <c r="H4811" s="9">
        <v>0</v>
      </c>
      <c r="I4811" s="12"/>
      <c r="J4811" s="5" t="e">
        <f>SUM(SUMIFS(#REF!,#REF!,Planning[[#This Row],[Tipo de Tarea y especialidad]],#REF!,Planning[[#This Row],[Proyectos Reiwa]]),SUMIFS(#REF!,#REF!,Planning[[#This Row],[Tipo de Tarea y especialidad]],#REF!,Planning[[#This Row],[Proyectos]]))</f>
        <v>#REF!</v>
      </c>
      <c r="K4811" s="5" t="e">
        <f>+Planning[[#This Row],[Horas Planificadas]]+Planning[[#This Row],[Horas ajustadas adicionales]]-Planning[[#This Row],[Horas utilizadas]]</f>
        <v>#REF!</v>
      </c>
      <c r="L4811" s="7">
        <v>0</v>
      </c>
      <c r="M4811" s="19" t="e">
        <f>Planning[[#This Row],[Saldo]]-Planning[[#This Row],[Saldo estimado]]</f>
        <v>#REF!</v>
      </c>
      <c r="N4811" s="60" t="e">
        <f>+SUMIFS(#REF!,#REF!,Planning[[#This Row],[Proyectos]],#REF!,Planning[[#This Row],[Tipo de Tarea y especialidad]])</f>
        <v>#REF!</v>
      </c>
      <c r="O4811" s="19">
        <f t="shared" si="151"/>
        <v>10</v>
      </c>
      <c r="P4811" s="19">
        <f t="shared" si="152"/>
        <v>2024</v>
      </c>
      <c r="Q48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11" s="49" t="str">
        <f>TEXT(Planning[[#This Row],[Mes]]*29,"mmmm")</f>
        <v>October</v>
      </c>
      <c r="S481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11" s="156"/>
      <c r="U4811" s="43">
        <f>IF(Planning[[#This Row],[Horas Planificadas]]&lt;&gt;0,+K4811/Planning[[#This Row],[Horas Planificadas]],0)</f>
        <v>0</v>
      </c>
      <c r="V4811" s="43">
        <f>IF(Planning[[#This Row],[Horas Planificadas]]&lt;&gt;0,Planning[[#This Row],[Horas utilizadas]]/Planning[[#This Row],[Horas Planificadas]],0)</f>
        <v>0</v>
      </c>
      <c r="W4811" s="44">
        <f>Planning[[#This Row],[Horas Planificadas]]+Planning[[#This Row],[Horas ajustadas adicionales]]</f>
        <v>0</v>
      </c>
    </row>
    <row r="4812" spans="1:23" x14ac:dyDescent="0.2">
      <c r="A4812" s="9" t="s">
        <v>626</v>
      </c>
      <c r="B4812" s="9" t="s">
        <v>178</v>
      </c>
      <c r="C4812" s="3"/>
      <c r="D4812" s="3" t="s">
        <v>824</v>
      </c>
      <c r="E4812" s="4"/>
      <c r="F4812" s="3" t="s">
        <v>127</v>
      </c>
      <c r="G4812" s="9"/>
      <c r="H4812" s="9">
        <v>45</v>
      </c>
      <c r="I4812" s="12"/>
      <c r="J4812" s="5" t="e">
        <f>SUM(SUMIFS(#REF!,#REF!,Planning[[#This Row],[Tipo de Tarea y especialidad]],#REF!,Planning[[#This Row],[Proyectos Reiwa]]),SUMIFS(#REF!,#REF!,Planning[[#This Row],[Tipo de Tarea y especialidad]],#REF!,Planning[[#This Row],[Proyectos]]))</f>
        <v>#REF!</v>
      </c>
      <c r="K4812" s="5" t="e">
        <f>+Planning[[#This Row],[Horas Planificadas]]+Planning[[#This Row],[Horas ajustadas adicionales]]-Planning[[#This Row],[Horas utilizadas]]</f>
        <v>#REF!</v>
      </c>
      <c r="L4812" s="7">
        <v>0</v>
      </c>
      <c r="M4812" s="19" t="e">
        <f>Planning[[#This Row],[Saldo]]-Planning[[#This Row],[Saldo estimado]]</f>
        <v>#REF!</v>
      </c>
      <c r="N4812" s="60" t="e">
        <f>+SUMIFS(#REF!,#REF!,Planning[[#This Row],[Proyectos]],#REF!,Planning[[#This Row],[Tipo de Tarea y especialidad]])</f>
        <v>#REF!</v>
      </c>
      <c r="O4812" s="19">
        <f t="shared" si="151"/>
        <v>10</v>
      </c>
      <c r="P4812" s="19">
        <f t="shared" si="152"/>
        <v>2024</v>
      </c>
      <c r="Q48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12" s="49" t="str">
        <f>TEXT(Planning[[#This Row],[Mes]]*29,"mmmm")</f>
        <v>October</v>
      </c>
      <c r="S481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12" s="156"/>
      <c r="U4812" s="43" t="e">
        <f>IF(Planning[[#This Row],[Horas Planificadas]]&lt;&gt;0,+K4812/Planning[[#This Row],[Horas Planificadas]],0)</f>
        <v>#REF!</v>
      </c>
      <c r="V4812" s="43" t="e">
        <f>IF(Planning[[#This Row],[Horas Planificadas]]&lt;&gt;0,Planning[[#This Row],[Horas utilizadas]]/Planning[[#This Row],[Horas Planificadas]],0)</f>
        <v>#REF!</v>
      </c>
      <c r="W4812" s="44">
        <f>Planning[[#This Row],[Horas Planificadas]]+Planning[[#This Row],[Horas ajustadas adicionales]]</f>
        <v>45</v>
      </c>
    </row>
    <row r="4813" spans="1:23" x14ac:dyDescent="0.2">
      <c r="A4813" s="9" t="s">
        <v>626</v>
      </c>
      <c r="B4813" s="9" t="s">
        <v>178</v>
      </c>
      <c r="C4813" s="3"/>
      <c r="D4813" s="3" t="s">
        <v>824</v>
      </c>
      <c r="E4813" s="4"/>
      <c r="F4813" s="3" t="s">
        <v>128</v>
      </c>
      <c r="G4813" s="9"/>
      <c r="H4813" s="9">
        <v>0</v>
      </c>
      <c r="I4813" s="12"/>
      <c r="J4813" s="5" t="e">
        <f>SUM(SUMIFS(#REF!,#REF!,Planning[[#This Row],[Tipo de Tarea y especialidad]],#REF!,Planning[[#This Row],[Proyectos Reiwa]]),SUMIFS(#REF!,#REF!,Planning[[#This Row],[Tipo de Tarea y especialidad]],#REF!,Planning[[#This Row],[Proyectos]]))</f>
        <v>#REF!</v>
      </c>
      <c r="K4813" s="5" t="e">
        <f>+Planning[[#This Row],[Horas Planificadas]]+Planning[[#This Row],[Horas ajustadas adicionales]]-Planning[[#This Row],[Horas utilizadas]]</f>
        <v>#REF!</v>
      </c>
      <c r="L4813" s="7">
        <v>0</v>
      </c>
      <c r="M4813" s="19" t="e">
        <f>Planning[[#This Row],[Saldo]]-Planning[[#This Row],[Saldo estimado]]</f>
        <v>#REF!</v>
      </c>
      <c r="N4813" s="60" t="e">
        <f>+SUMIFS(#REF!,#REF!,Planning[[#This Row],[Proyectos]],#REF!,Planning[[#This Row],[Tipo de Tarea y especialidad]])</f>
        <v>#REF!</v>
      </c>
      <c r="O4813" s="19">
        <f t="shared" si="151"/>
        <v>10</v>
      </c>
      <c r="P4813" s="19">
        <f t="shared" si="152"/>
        <v>2024</v>
      </c>
      <c r="Q48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13" s="49" t="str">
        <f>TEXT(Planning[[#This Row],[Mes]]*29,"mmmm")</f>
        <v>October</v>
      </c>
      <c r="S481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13" s="156"/>
      <c r="U4813" s="43">
        <f>IF(Planning[[#This Row],[Horas Planificadas]]&lt;&gt;0,+K4813/Planning[[#This Row],[Horas Planificadas]],0)</f>
        <v>0</v>
      </c>
      <c r="V4813" s="43">
        <f>IF(Planning[[#This Row],[Horas Planificadas]]&lt;&gt;0,Planning[[#This Row],[Horas utilizadas]]/Planning[[#This Row],[Horas Planificadas]],0)</f>
        <v>0</v>
      </c>
      <c r="W4813" s="44">
        <f>Planning[[#This Row],[Horas Planificadas]]+Planning[[#This Row],[Horas ajustadas adicionales]]</f>
        <v>0</v>
      </c>
    </row>
    <row r="4814" spans="1:23" x14ac:dyDescent="0.2">
      <c r="A4814" s="9" t="s">
        <v>626</v>
      </c>
      <c r="B4814" s="9" t="s">
        <v>178</v>
      </c>
      <c r="C4814" s="3"/>
      <c r="D4814" s="3" t="s">
        <v>824</v>
      </c>
      <c r="E4814" s="4" t="s">
        <v>31</v>
      </c>
      <c r="F4814" s="3" t="s">
        <v>31</v>
      </c>
      <c r="G4814" s="9">
        <v>63</v>
      </c>
      <c r="H4814" s="17">
        <v>63</v>
      </c>
      <c r="I4814" s="18"/>
      <c r="J4814" s="14" t="e">
        <f>+SUMIFS(#REF!,#REF!,Planning[[#This Row],[Tarifa]],#REF!,Planning[[#This Row],[Proyectos]])</f>
        <v>#REF!</v>
      </c>
      <c r="K4814" s="14" t="e">
        <f>+Planning[[#This Row],[Horas Planificadas]]+Planning[[#This Row],[Horas ajustadas adicionales]]-Planning[[#This Row],[Horas utilizadas]]</f>
        <v>#REF!</v>
      </c>
      <c r="L4814" s="15">
        <v>0</v>
      </c>
      <c r="M4814" s="16" t="e">
        <f>Planning[[#This Row],[Saldo]]-Planning[[#This Row],[Saldo estimado]]</f>
        <v>#REF!</v>
      </c>
      <c r="N4814" s="60"/>
      <c r="O4814" s="16">
        <f t="shared" si="151"/>
        <v>10</v>
      </c>
      <c r="P4814" s="16">
        <f t="shared" si="152"/>
        <v>2024</v>
      </c>
      <c r="Q4814" s="16" t="e">
        <f>+SUMIFS(#REF!,#REF!,Planning[[#This Row],[Tarifa]],#REF!,Planning[[#This Row],[Proyectos]],#REF!,Planning[[#This Row],[Mes]],#REF!,Planning[[#This Row],[Año]])</f>
        <v>#REF!</v>
      </c>
      <c r="R4814" s="50" t="str">
        <f>TEXT(Planning[[#This Row],[Mes]]*29,"mmmm")</f>
        <v>October</v>
      </c>
      <c r="S481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14" s="156"/>
      <c r="U4814" s="43" t="e">
        <f>IF(Planning[[#This Row],[Horas Planificadas]]&lt;&gt;0,+K4814/Planning[[#This Row],[Horas Planificadas]],0)</f>
        <v>#REF!</v>
      </c>
      <c r="V4814" s="43" t="e">
        <f>IF(Planning[[#This Row],[Horas Planificadas]]&lt;&gt;0,Planning[[#This Row],[Horas utilizadas]]/Planning[[#This Row],[Horas Planificadas]],0)</f>
        <v>#REF!</v>
      </c>
      <c r="W4814" s="44">
        <f>Planning[[#This Row],[Horas Planificadas]]+Planning[[#This Row],[Horas ajustadas adicionales]]</f>
        <v>63</v>
      </c>
    </row>
    <row r="4815" spans="1:23" ht="22.5" x14ac:dyDescent="0.2">
      <c r="A4815" s="9" t="s">
        <v>626</v>
      </c>
      <c r="B4815" s="9" t="s">
        <v>178</v>
      </c>
      <c r="C4815" s="3"/>
      <c r="D4815" s="3" t="s">
        <v>824</v>
      </c>
      <c r="E4815" s="4" t="s">
        <v>32</v>
      </c>
      <c r="F4815" s="3"/>
      <c r="G4815" s="9">
        <v>50</v>
      </c>
      <c r="H4815" s="14">
        <f>SUM(H4816:H4818)</f>
        <v>50</v>
      </c>
      <c r="I4815" s="14"/>
      <c r="J4815" s="14" t="e">
        <f>SUM(J4816:J4818)</f>
        <v>#REF!</v>
      </c>
      <c r="K4815" s="14" t="e">
        <f>+Planning[[#This Row],[Horas Planificadas]]+Planning[[#This Row],[Horas ajustadas adicionales]]-Planning[[#This Row],[Horas utilizadas]]</f>
        <v>#REF!</v>
      </c>
      <c r="L4815" s="15">
        <f>SUM(L4816:L4818)</f>
        <v>0</v>
      </c>
      <c r="M4815" s="16" t="e">
        <f>SUM(M4816:M4818)</f>
        <v>#REF!</v>
      </c>
      <c r="N4815" s="60"/>
      <c r="O4815" s="16">
        <f t="shared" si="151"/>
        <v>10</v>
      </c>
      <c r="P4815" s="16">
        <f t="shared" si="152"/>
        <v>2024</v>
      </c>
      <c r="Q4815" s="16" t="e">
        <f>SUM(Q4816:Q4818)</f>
        <v>#REF!</v>
      </c>
      <c r="R4815" s="50" t="str">
        <f>TEXT(Planning[[#This Row],[Mes]]*29,"mmmm")</f>
        <v>October</v>
      </c>
      <c r="S481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15" s="156"/>
      <c r="U4815" s="43" t="e">
        <f>IF(Planning[[#This Row],[Horas Planificadas]]&lt;&gt;0,+K4815/Planning[[#This Row],[Horas Planificadas]],0)</f>
        <v>#REF!</v>
      </c>
      <c r="V4815" s="43" t="e">
        <f>IF(Planning[[#This Row],[Horas Planificadas]]&lt;&gt;0,Planning[[#This Row],[Horas utilizadas]]/Planning[[#This Row],[Horas Planificadas]],0)</f>
        <v>#REF!</v>
      </c>
      <c r="W4815" s="44">
        <f>Planning[[#This Row],[Horas Planificadas]]+Planning[[#This Row],[Horas ajustadas adicionales]]</f>
        <v>50</v>
      </c>
    </row>
    <row r="4816" spans="1:23" x14ac:dyDescent="0.2">
      <c r="A4816" s="9" t="s">
        <v>626</v>
      </c>
      <c r="B4816" s="9" t="s">
        <v>178</v>
      </c>
      <c r="C4816" s="3"/>
      <c r="D4816" s="3" t="s">
        <v>824</v>
      </c>
      <c r="E4816" s="4"/>
      <c r="F4816" s="3" t="s">
        <v>129</v>
      </c>
      <c r="G4816" s="9"/>
      <c r="H4816" s="9">
        <v>0</v>
      </c>
      <c r="I4816" s="12"/>
      <c r="J4816" s="5" t="e">
        <f>SUM(SUMIFS(#REF!,#REF!,Planning[[#This Row],[Tipo de Tarea y especialidad]],#REF!,Planning[[#This Row],[Proyectos Reiwa]]),SUMIFS(#REF!,#REF!,Planning[[#This Row],[Tipo de Tarea y especialidad]],#REF!,Planning[[#This Row],[Proyectos]]))</f>
        <v>#REF!</v>
      </c>
      <c r="K4816" s="5" t="e">
        <f>+Planning[[#This Row],[Horas Planificadas]]+Planning[[#This Row],[Horas ajustadas adicionales]]-Planning[[#This Row],[Horas utilizadas]]</f>
        <v>#REF!</v>
      </c>
      <c r="L4816" s="7">
        <v>0</v>
      </c>
      <c r="M4816" s="19" t="e">
        <f>Planning[[#This Row],[Saldo]]-Planning[[#This Row],[Saldo estimado]]</f>
        <v>#REF!</v>
      </c>
      <c r="N4816" s="60" t="e">
        <f>+SUMIFS(#REF!,#REF!,Planning[[#This Row],[Proyectos]],#REF!,Planning[[#This Row],[Tipo de Tarea y especialidad]])</f>
        <v>#REF!</v>
      </c>
      <c r="O4816" s="19">
        <f t="shared" si="151"/>
        <v>10</v>
      </c>
      <c r="P4816" s="19">
        <f t="shared" si="152"/>
        <v>2024</v>
      </c>
      <c r="Q48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16" s="49" t="str">
        <f>TEXT(Planning[[#This Row],[Mes]]*29,"mmmm")</f>
        <v>October</v>
      </c>
      <c r="S481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16" s="156"/>
      <c r="U4816" s="43">
        <f>IF(Planning[[#This Row],[Horas Planificadas]]&lt;&gt;0,+K4816/Planning[[#This Row],[Horas Planificadas]],0)</f>
        <v>0</v>
      </c>
      <c r="V4816" s="43">
        <f>IF(Planning[[#This Row],[Horas Planificadas]]&lt;&gt;0,Planning[[#This Row],[Horas utilizadas]]/Planning[[#This Row],[Horas Planificadas]],0)</f>
        <v>0</v>
      </c>
      <c r="W4816" s="44">
        <f>Planning[[#This Row],[Horas Planificadas]]+Planning[[#This Row],[Horas ajustadas adicionales]]</f>
        <v>0</v>
      </c>
    </row>
    <row r="4817" spans="1:23" x14ac:dyDescent="0.2">
      <c r="A4817" s="9" t="s">
        <v>626</v>
      </c>
      <c r="B4817" s="9" t="s">
        <v>178</v>
      </c>
      <c r="C4817" s="3"/>
      <c r="D4817" s="3" t="s">
        <v>824</v>
      </c>
      <c r="E4817" s="4"/>
      <c r="F4817" s="3" t="s">
        <v>130</v>
      </c>
      <c r="G4817" s="9"/>
      <c r="H4817" s="9">
        <v>50</v>
      </c>
      <c r="I4817" s="12"/>
      <c r="J4817" s="5" t="e">
        <f>SUM(SUMIFS(#REF!,#REF!,Planning[[#This Row],[Tipo de Tarea y especialidad]],#REF!,Planning[[#This Row],[Proyectos Reiwa]]),SUMIFS(#REF!,#REF!,Planning[[#This Row],[Tipo de Tarea y especialidad]],#REF!,Planning[[#This Row],[Proyectos]]))</f>
        <v>#REF!</v>
      </c>
      <c r="K4817" s="5" t="e">
        <f>+Planning[[#This Row],[Horas Planificadas]]+Planning[[#This Row],[Horas ajustadas adicionales]]-Planning[[#This Row],[Horas utilizadas]]</f>
        <v>#REF!</v>
      </c>
      <c r="L4817" s="7">
        <v>0</v>
      </c>
      <c r="M4817" s="19" t="e">
        <f>Planning[[#This Row],[Saldo]]-Planning[[#This Row],[Saldo estimado]]</f>
        <v>#REF!</v>
      </c>
      <c r="N4817" s="60" t="e">
        <f>+SUMIFS(#REF!,#REF!,Planning[[#This Row],[Proyectos]],#REF!,Planning[[#This Row],[Tipo de Tarea y especialidad]])</f>
        <v>#REF!</v>
      </c>
      <c r="O4817" s="19">
        <f t="shared" si="151"/>
        <v>10</v>
      </c>
      <c r="P4817" s="19">
        <f t="shared" si="152"/>
        <v>2024</v>
      </c>
      <c r="Q48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17" s="49" t="str">
        <f>TEXT(Planning[[#This Row],[Mes]]*29,"mmmm")</f>
        <v>October</v>
      </c>
      <c r="S481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17" s="156"/>
      <c r="U4817" s="43" t="e">
        <f>IF(Planning[[#This Row],[Horas Planificadas]]&lt;&gt;0,+K4817/Planning[[#This Row],[Horas Planificadas]],0)</f>
        <v>#REF!</v>
      </c>
      <c r="V4817" s="43" t="e">
        <f>IF(Planning[[#This Row],[Horas Planificadas]]&lt;&gt;0,Planning[[#This Row],[Horas utilizadas]]/Planning[[#This Row],[Horas Planificadas]],0)</f>
        <v>#REF!</v>
      </c>
      <c r="W4817" s="44">
        <f>Planning[[#This Row],[Horas Planificadas]]+Planning[[#This Row],[Horas ajustadas adicionales]]</f>
        <v>50</v>
      </c>
    </row>
    <row r="4818" spans="1:23" x14ac:dyDescent="0.2">
      <c r="A4818" s="9" t="s">
        <v>626</v>
      </c>
      <c r="B4818" s="9" t="s">
        <v>178</v>
      </c>
      <c r="C4818" s="3"/>
      <c r="D4818" s="3" t="s">
        <v>824</v>
      </c>
      <c r="E4818" s="4"/>
      <c r="F4818" s="3" t="s">
        <v>131</v>
      </c>
      <c r="G4818" s="9"/>
      <c r="H4818" s="9">
        <v>0</v>
      </c>
      <c r="I4818" s="12"/>
      <c r="J4818" s="5" t="e">
        <f>SUM(SUMIFS(#REF!,#REF!,Planning[[#This Row],[Tipo de Tarea y especialidad]],#REF!,Planning[[#This Row],[Proyectos Reiwa]]),SUMIFS(#REF!,#REF!,Planning[[#This Row],[Tipo de Tarea y especialidad]],#REF!,Planning[[#This Row],[Proyectos]]))</f>
        <v>#REF!</v>
      </c>
      <c r="K4818" s="5" t="e">
        <f>+Planning[[#This Row],[Horas Planificadas]]+Planning[[#This Row],[Horas ajustadas adicionales]]-Planning[[#This Row],[Horas utilizadas]]</f>
        <v>#REF!</v>
      </c>
      <c r="L4818" s="7">
        <v>0</v>
      </c>
      <c r="M4818" s="19" t="e">
        <f>Planning[[#This Row],[Saldo]]-Planning[[#This Row],[Saldo estimado]]</f>
        <v>#REF!</v>
      </c>
      <c r="N4818" s="60" t="e">
        <f>+SUMIFS(#REF!,#REF!,Planning[[#This Row],[Proyectos]],#REF!,Planning[[#This Row],[Tipo de Tarea y especialidad]])</f>
        <v>#REF!</v>
      </c>
      <c r="O4818" s="19">
        <f t="shared" si="151"/>
        <v>10</v>
      </c>
      <c r="P4818" s="19">
        <f t="shared" si="152"/>
        <v>2024</v>
      </c>
      <c r="Q48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18" s="51" t="str">
        <f>TEXT(Planning[[#This Row],[Mes]]*29,"mmmm")</f>
        <v>October</v>
      </c>
      <c r="S4818"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18" s="157"/>
      <c r="U4818" s="43">
        <f>IF(Planning[[#This Row],[Horas Planificadas]]&lt;&gt;0,+K4818/Planning[[#This Row],[Horas Planificadas]],0)</f>
        <v>0</v>
      </c>
      <c r="V4818" s="43">
        <f>IF(Planning[[#This Row],[Horas Planificadas]]&lt;&gt;0,Planning[[#This Row],[Horas utilizadas]]/Planning[[#This Row],[Horas Planificadas]],0)</f>
        <v>0</v>
      </c>
      <c r="W4818" s="44">
        <f>Planning[[#This Row],[Horas Planificadas]]+Planning[[#This Row],[Horas ajustadas adicionales]]</f>
        <v>0</v>
      </c>
    </row>
    <row r="4819" spans="1:23" ht="22.5" x14ac:dyDescent="0.2">
      <c r="A4819" s="9" t="s">
        <v>435</v>
      </c>
      <c r="B4819" s="9" t="s">
        <v>205</v>
      </c>
      <c r="C4819" s="3"/>
      <c r="D4819" s="3" t="s">
        <v>826</v>
      </c>
      <c r="E4819" s="4" t="s">
        <v>28</v>
      </c>
      <c r="F4819" s="3"/>
      <c r="G4819" s="9">
        <v>0</v>
      </c>
      <c r="H4819" s="14">
        <f>SUM(H4820:H4821)</f>
        <v>0</v>
      </c>
      <c r="I4819" s="14"/>
      <c r="J4819" s="14" t="e">
        <f>SUM(J4820:J4821)</f>
        <v>#REF!</v>
      </c>
      <c r="K4819" s="14" t="e">
        <f>+Planning[[#This Row],[Horas Planificadas]]+Planning[[#This Row],[Horas ajustadas adicionales]]-Planning[[#This Row],[Horas utilizadas]]</f>
        <v>#REF!</v>
      </c>
      <c r="L4819" s="15" t="e">
        <f>SUM(L4820:L4821)</f>
        <v>#REF!</v>
      </c>
      <c r="M4819" s="14" t="e">
        <f>SUM(M4820:M4821)</f>
        <v>#REF!</v>
      </c>
      <c r="N4819" s="66"/>
      <c r="O4819" s="14">
        <f t="shared" si="151"/>
        <v>10</v>
      </c>
      <c r="P4819" s="14">
        <f t="shared" si="152"/>
        <v>2024</v>
      </c>
      <c r="Q4819" s="28" t="e">
        <f>SUM(Q4820:Q4821)</f>
        <v>#REF!</v>
      </c>
      <c r="R4819" s="24" t="str">
        <f>TEXT(Planning[[#This Row],[Mes]]*29,"mmmm")</f>
        <v>October</v>
      </c>
      <c r="S4819"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19" s="151" t="s">
        <v>827</v>
      </c>
      <c r="U4819" s="43">
        <f>IF(Planning[[#This Row],[Horas Planificadas]]&lt;&gt;0,+K4819/Planning[[#This Row],[Horas Planificadas]],0)</f>
        <v>0</v>
      </c>
      <c r="V4819" s="43">
        <f>IF(Planning[[#This Row],[Horas Planificadas]]&lt;&gt;0,Planning[[#This Row],[Horas utilizadas]]/Planning[[#This Row],[Horas Planificadas]],0)</f>
        <v>0</v>
      </c>
      <c r="W4819" s="44">
        <f>Planning[[#This Row],[Horas Planificadas]]+Planning[[#This Row],[Horas ajustadas adicionales]]</f>
        <v>0</v>
      </c>
    </row>
    <row r="4820" spans="1:23" x14ac:dyDescent="0.2">
      <c r="A4820" s="9" t="s">
        <v>435</v>
      </c>
      <c r="B4820" s="9" t="s">
        <v>205</v>
      </c>
      <c r="C4820" s="3"/>
      <c r="D4820" s="3" t="s">
        <v>826</v>
      </c>
      <c r="E4820" s="4"/>
      <c r="F4820" s="3" t="s">
        <v>120</v>
      </c>
      <c r="G4820" s="9"/>
      <c r="H4820" s="9">
        <v>0</v>
      </c>
      <c r="I4820" s="12"/>
      <c r="J4820" s="5" t="e">
        <f>SUM(SUMIFS(#REF!,#REF!,Planning[[#This Row],[Tipo de Tarea y especialidad]],#REF!,Planning[[#This Row],[Proyectos Reiwa]]),SUMIFS(#REF!,#REF!,Planning[[#This Row],[Tipo de Tarea y especialidad]],#REF!,Planning[[#This Row],[Proyectos]]))</f>
        <v>#REF!</v>
      </c>
      <c r="K4820" s="5" t="e">
        <f>+Planning[[#This Row],[Horas Planificadas]]+Planning[[#This Row],[Horas ajustadas adicionales]]-Planning[[#This Row],[Horas utilizadas]]</f>
        <v>#REF!</v>
      </c>
      <c r="L4820" s="7" t="e">
        <f>Planning[[#This Row],[Saldo]]</f>
        <v>#REF!</v>
      </c>
      <c r="M4820" s="19" t="e">
        <f>Planning[[#This Row],[Saldo]]-Planning[[#This Row],[Saldo estimado]]</f>
        <v>#REF!</v>
      </c>
      <c r="N4820" s="60" t="e">
        <f>+SUMIFS(#REF!,#REF!,Planning[[#This Row],[Proyectos]],#REF!,Planning[[#This Row],[Tipo de Tarea y especialidad]])</f>
        <v>#REF!</v>
      </c>
      <c r="O4820" s="19">
        <f t="shared" si="151"/>
        <v>10</v>
      </c>
      <c r="P4820" s="19">
        <f t="shared" si="152"/>
        <v>2024</v>
      </c>
      <c r="Q48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20" s="49" t="str">
        <f>TEXT(Planning[[#This Row],[Mes]]*29,"mmmm")</f>
        <v>October</v>
      </c>
      <c r="S482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20" s="156"/>
      <c r="U4820" s="43">
        <f>IF(Planning[[#This Row],[Horas Planificadas]]&lt;&gt;0,+K4820/Planning[[#This Row],[Horas Planificadas]],0)</f>
        <v>0</v>
      </c>
      <c r="V4820" s="43">
        <f>IF(Planning[[#This Row],[Horas Planificadas]]&lt;&gt;0,Planning[[#This Row],[Horas utilizadas]]/Planning[[#This Row],[Horas Planificadas]],0)</f>
        <v>0</v>
      </c>
      <c r="W4820" s="44">
        <f>Planning[[#This Row],[Horas Planificadas]]+Planning[[#This Row],[Horas ajustadas adicionales]]</f>
        <v>0</v>
      </c>
    </row>
    <row r="4821" spans="1:23" x14ac:dyDescent="0.2">
      <c r="A4821" s="9" t="s">
        <v>435</v>
      </c>
      <c r="B4821" s="9" t="s">
        <v>205</v>
      </c>
      <c r="C4821" s="3"/>
      <c r="D4821" s="3" t="s">
        <v>826</v>
      </c>
      <c r="E4821" s="4"/>
      <c r="F4821" s="3" t="s">
        <v>121</v>
      </c>
      <c r="G4821" s="9"/>
      <c r="H4821" s="9">
        <v>0</v>
      </c>
      <c r="I4821" s="12"/>
      <c r="J4821" s="5" t="e">
        <f>SUM(SUMIFS(#REF!,#REF!,Planning[[#This Row],[Tipo de Tarea y especialidad]],#REF!,Planning[[#This Row],[Proyectos Reiwa]]),SUMIFS(#REF!,#REF!,Planning[[#This Row],[Tipo de Tarea y especialidad]],#REF!,Planning[[#This Row],[Proyectos]]))</f>
        <v>#REF!</v>
      </c>
      <c r="K4821" s="5" t="e">
        <f>+Planning[[#This Row],[Horas Planificadas]]+Planning[[#This Row],[Horas ajustadas adicionales]]-Planning[[#This Row],[Horas utilizadas]]</f>
        <v>#REF!</v>
      </c>
      <c r="L4821" s="7" t="e">
        <f>Planning[[#This Row],[Saldo]]</f>
        <v>#REF!</v>
      </c>
      <c r="M4821" s="19" t="e">
        <f>Planning[[#This Row],[Saldo]]-Planning[[#This Row],[Saldo estimado]]</f>
        <v>#REF!</v>
      </c>
      <c r="N4821" s="60" t="e">
        <f>+SUMIFS(#REF!,#REF!,Planning[[#This Row],[Proyectos]],#REF!,Planning[[#This Row],[Tipo de Tarea y especialidad]])</f>
        <v>#REF!</v>
      </c>
      <c r="O4821" s="19">
        <f t="shared" si="151"/>
        <v>10</v>
      </c>
      <c r="P4821" s="19">
        <f t="shared" si="152"/>
        <v>2024</v>
      </c>
      <c r="Q48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21" s="49" t="str">
        <f>TEXT(Planning[[#This Row],[Mes]]*29,"mmmm")</f>
        <v>October</v>
      </c>
      <c r="S482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21" s="156"/>
      <c r="U4821" s="43">
        <f>IF(Planning[[#This Row],[Horas Planificadas]]&lt;&gt;0,+K4821/Planning[[#This Row],[Horas Planificadas]],0)</f>
        <v>0</v>
      </c>
      <c r="V4821" s="43">
        <f>IF(Planning[[#This Row],[Horas Planificadas]]&lt;&gt;0,Planning[[#This Row],[Horas utilizadas]]/Planning[[#This Row],[Horas Planificadas]],0)</f>
        <v>0</v>
      </c>
      <c r="W4821" s="44">
        <f>Planning[[#This Row],[Horas Planificadas]]+Planning[[#This Row],[Horas ajustadas adicionales]]</f>
        <v>0</v>
      </c>
    </row>
    <row r="4822" spans="1:23" x14ac:dyDescent="0.2">
      <c r="A4822" s="9" t="s">
        <v>435</v>
      </c>
      <c r="B4822" s="9" t="s">
        <v>205</v>
      </c>
      <c r="C4822" s="3"/>
      <c r="D4822" s="3" t="s">
        <v>826</v>
      </c>
      <c r="E4822" s="4" t="s">
        <v>30</v>
      </c>
      <c r="F4822" s="3"/>
      <c r="G4822" s="9">
        <v>147</v>
      </c>
      <c r="H4822" s="14">
        <f>SUM(H4823:H4829)</f>
        <v>147</v>
      </c>
      <c r="I4822" s="14"/>
      <c r="J4822" s="14" t="e">
        <f>SUM(J4823:J4829)</f>
        <v>#REF!</v>
      </c>
      <c r="K4822" s="14" t="e">
        <f>+Planning[[#This Row],[Horas Planificadas]]+Planning[[#This Row],[Horas ajustadas adicionales]]-Planning[[#This Row],[Horas utilizadas]]</f>
        <v>#REF!</v>
      </c>
      <c r="L4822" s="15" t="e">
        <f>SUM(L4823:L4829)</f>
        <v>#REF!</v>
      </c>
      <c r="M4822" s="16" t="e">
        <f>SUM(M4823:M4829)</f>
        <v>#REF!</v>
      </c>
      <c r="N4822" s="60"/>
      <c r="O4822" s="16">
        <f t="shared" si="151"/>
        <v>10</v>
      </c>
      <c r="P4822" s="16">
        <f t="shared" si="152"/>
        <v>2024</v>
      </c>
      <c r="Q4822" s="16" t="e">
        <f>SUM(Q4823:Q4829)</f>
        <v>#REF!</v>
      </c>
      <c r="R4822" s="50" t="str">
        <f>TEXT(Planning[[#This Row],[Mes]]*29,"mmmm")</f>
        <v>October</v>
      </c>
      <c r="S482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22" s="156"/>
      <c r="U4822" s="43" t="e">
        <f>IF(Planning[[#This Row],[Horas Planificadas]]&lt;&gt;0,+K4822/Planning[[#This Row],[Horas Planificadas]],0)</f>
        <v>#REF!</v>
      </c>
      <c r="V4822" s="43" t="e">
        <f>IF(Planning[[#This Row],[Horas Planificadas]]&lt;&gt;0,Planning[[#This Row],[Horas utilizadas]]/Planning[[#This Row],[Horas Planificadas]],0)</f>
        <v>#REF!</v>
      </c>
      <c r="W4822" s="44">
        <f>Planning[[#This Row],[Horas Planificadas]]+Planning[[#This Row],[Horas ajustadas adicionales]]</f>
        <v>147</v>
      </c>
    </row>
    <row r="4823" spans="1:23" x14ac:dyDescent="0.2">
      <c r="A4823" s="9" t="s">
        <v>435</v>
      </c>
      <c r="B4823" s="9" t="s">
        <v>205</v>
      </c>
      <c r="C4823" s="3"/>
      <c r="D4823" s="3" t="s">
        <v>826</v>
      </c>
      <c r="E4823" s="4"/>
      <c r="F4823" s="3" t="s">
        <v>122</v>
      </c>
      <c r="G4823" s="9"/>
      <c r="H4823" s="9"/>
      <c r="I4823" s="12"/>
      <c r="J4823" s="5" t="e">
        <f>SUM(SUMIFS(#REF!,#REF!,Planning[[#This Row],[Tipo de Tarea y especialidad]],#REF!,Planning[[#This Row],[Proyectos Reiwa]]),SUMIFS(#REF!,#REF!,Planning[[#This Row],[Tipo de Tarea y especialidad]],#REF!,Planning[[#This Row],[Proyectos]]))</f>
        <v>#REF!</v>
      </c>
      <c r="K4823" s="5" t="e">
        <f>+Planning[[#This Row],[Horas Planificadas]]+Planning[[#This Row],[Horas ajustadas adicionales]]-Planning[[#This Row],[Horas utilizadas]]</f>
        <v>#REF!</v>
      </c>
      <c r="L4823" s="7" t="e">
        <f>Planning[[#This Row],[Saldo]]</f>
        <v>#REF!</v>
      </c>
      <c r="M4823" s="19" t="e">
        <f>Planning[[#This Row],[Saldo]]-Planning[[#This Row],[Saldo estimado]]</f>
        <v>#REF!</v>
      </c>
      <c r="N4823" s="60" t="e">
        <f>+SUMIFS(#REF!,#REF!,Planning[[#This Row],[Proyectos]],#REF!,Planning[[#This Row],[Tipo de Tarea y especialidad]])</f>
        <v>#REF!</v>
      </c>
      <c r="O4823" s="19">
        <f t="shared" si="151"/>
        <v>10</v>
      </c>
      <c r="P4823" s="19">
        <f t="shared" si="152"/>
        <v>2024</v>
      </c>
      <c r="Q48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23" s="49" t="str">
        <f>TEXT(Planning[[#This Row],[Mes]]*29,"mmmm")</f>
        <v>October</v>
      </c>
      <c r="S482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23" s="156"/>
      <c r="U4823" s="43">
        <f>IF(Planning[[#This Row],[Horas Planificadas]]&lt;&gt;0,+K4823/Planning[[#This Row],[Horas Planificadas]],0)</f>
        <v>0</v>
      </c>
      <c r="V4823" s="43">
        <f>IF(Planning[[#This Row],[Horas Planificadas]]&lt;&gt;0,Planning[[#This Row],[Horas utilizadas]]/Planning[[#This Row],[Horas Planificadas]],0)</f>
        <v>0</v>
      </c>
      <c r="W4823" s="44">
        <f>Planning[[#This Row],[Horas Planificadas]]+Planning[[#This Row],[Horas ajustadas adicionales]]</f>
        <v>0</v>
      </c>
    </row>
    <row r="4824" spans="1:23" x14ac:dyDescent="0.2">
      <c r="A4824" s="9" t="s">
        <v>435</v>
      </c>
      <c r="B4824" s="9" t="s">
        <v>205</v>
      </c>
      <c r="C4824" s="3"/>
      <c r="D4824" s="3" t="s">
        <v>826</v>
      </c>
      <c r="E4824" s="4"/>
      <c r="F4824" s="3" t="s">
        <v>123</v>
      </c>
      <c r="G4824" s="9"/>
      <c r="H4824" s="9">
        <v>90</v>
      </c>
      <c r="I4824" s="12"/>
      <c r="J4824" s="5" t="e">
        <f>SUM(SUMIFS(#REF!,#REF!,Planning[[#This Row],[Tipo de Tarea y especialidad]],#REF!,Planning[[#This Row],[Proyectos Reiwa]]),SUMIFS(#REF!,#REF!,Planning[[#This Row],[Tipo de Tarea y especialidad]],#REF!,Planning[[#This Row],[Proyectos]]))</f>
        <v>#REF!</v>
      </c>
      <c r="K4824" s="5" t="e">
        <f>+Planning[[#This Row],[Horas Planificadas]]+Planning[[#This Row],[Horas ajustadas adicionales]]-Planning[[#This Row],[Horas utilizadas]]</f>
        <v>#REF!</v>
      </c>
      <c r="L4824" s="7">
        <v>0</v>
      </c>
      <c r="M4824" s="19" t="e">
        <f>Planning[[#This Row],[Saldo]]-Planning[[#This Row],[Saldo estimado]]</f>
        <v>#REF!</v>
      </c>
      <c r="N4824" s="60" t="e">
        <f>+SUMIFS(#REF!,#REF!,Planning[[#This Row],[Proyectos]],#REF!,Planning[[#This Row],[Tipo de Tarea y especialidad]])</f>
        <v>#REF!</v>
      </c>
      <c r="O4824" s="19">
        <f t="shared" si="151"/>
        <v>10</v>
      </c>
      <c r="P4824" s="19">
        <f t="shared" si="152"/>
        <v>2024</v>
      </c>
      <c r="Q48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24" s="49" t="str">
        <f>TEXT(Planning[[#This Row],[Mes]]*29,"mmmm")</f>
        <v>October</v>
      </c>
      <c r="S482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24" s="156"/>
      <c r="U4824" s="43" t="e">
        <f>IF(Planning[[#This Row],[Horas Planificadas]]&lt;&gt;0,+K4824/Planning[[#This Row],[Horas Planificadas]],0)</f>
        <v>#REF!</v>
      </c>
      <c r="V4824" s="43" t="e">
        <f>IF(Planning[[#This Row],[Horas Planificadas]]&lt;&gt;0,Planning[[#This Row],[Horas utilizadas]]/Planning[[#This Row],[Horas Planificadas]],0)</f>
        <v>#REF!</v>
      </c>
      <c r="W4824" s="44">
        <f>Planning[[#This Row],[Horas Planificadas]]+Planning[[#This Row],[Horas ajustadas adicionales]]</f>
        <v>90</v>
      </c>
    </row>
    <row r="4825" spans="1:23" x14ac:dyDescent="0.2">
      <c r="A4825" s="9" t="s">
        <v>435</v>
      </c>
      <c r="B4825" s="9" t="s">
        <v>205</v>
      </c>
      <c r="C4825" s="3"/>
      <c r="D4825" s="3" t="s">
        <v>826</v>
      </c>
      <c r="E4825" s="4"/>
      <c r="F4825" s="3" t="s">
        <v>124</v>
      </c>
      <c r="G4825" s="9"/>
      <c r="H4825" s="9">
        <v>30</v>
      </c>
      <c r="I4825" s="12"/>
      <c r="J4825" s="5" t="e">
        <f>SUM(SUMIFS(#REF!,#REF!,Planning[[#This Row],[Tipo de Tarea y especialidad]],#REF!,Planning[[#This Row],[Proyectos Reiwa]]),SUMIFS(#REF!,#REF!,Planning[[#This Row],[Tipo de Tarea y especialidad]],#REF!,Planning[[#This Row],[Proyectos]]))</f>
        <v>#REF!</v>
      </c>
      <c r="K4825" s="5" t="e">
        <f>+Planning[[#This Row],[Horas Planificadas]]+Planning[[#This Row],[Horas ajustadas adicionales]]-Planning[[#This Row],[Horas utilizadas]]</f>
        <v>#REF!</v>
      </c>
      <c r="L4825" s="7" t="e">
        <f>Planning[[#This Row],[Saldo]]</f>
        <v>#REF!</v>
      </c>
      <c r="M4825" s="19" t="e">
        <f>Planning[[#This Row],[Saldo]]-Planning[[#This Row],[Saldo estimado]]</f>
        <v>#REF!</v>
      </c>
      <c r="N4825" s="60" t="e">
        <f>+SUMIFS(#REF!,#REF!,Planning[[#This Row],[Proyectos]],#REF!,Planning[[#This Row],[Tipo de Tarea y especialidad]])</f>
        <v>#REF!</v>
      </c>
      <c r="O4825" s="19">
        <f t="shared" si="151"/>
        <v>10</v>
      </c>
      <c r="P4825" s="19">
        <f t="shared" si="152"/>
        <v>2024</v>
      </c>
      <c r="Q48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25" s="49" t="str">
        <f>TEXT(Planning[[#This Row],[Mes]]*29,"mmmm")</f>
        <v>October</v>
      </c>
      <c r="S482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25" s="156"/>
      <c r="U4825" s="43" t="e">
        <f>IF(Planning[[#This Row],[Horas Planificadas]]&lt;&gt;0,+K4825/Planning[[#This Row],[Horas Planificadas]],0)</f>
        <v>#REF!</v>
      </c>
      <c r="V4825" s="43" t="e">
        <f>IF(Planning[[#This Row],[Horas Planificadas]]&lt;&gt;0,Planning[[#This Row],[Horas utilizadas]]/Planning[[#This Row],[Horas Planificadas]],0)</f>
        <v>#REF!</v>
      </c>
      <c r="W4825" s="44">
        <f>Planning[[#This Row],[Horas Planificadas]]+Planning[[#This Row],[Horas ajustadas adicionales]]</f>
        <v>30</v>
      </c>
    </row>
    <row r="4826" spans="1:23" x14ac:dyDescent="0.2">
      <c r="A4826" s="9" t="s">
        <v>435</v>
      </c>
      <c r="B4826" s="9" t="s">
        <v>205</v>
      </c>
      <c r="C4826" s="3"/>
      <c r="D4826" s="3" t="s">
        <v>826</v>
      </c>
      <c r="E4826" s="4"/>
      <c r="F4826" s="3" t="s">
        <v>125</v>
      </c>
      <c r="G4826" s="9"/>
      <c r="H4826" s="9">
        <v>27</v>
      </c>
      <c r="I4826" s="12"/>
      <c r="J4826" s="5" t="e">
        <f>SUM(SUMIFS(#REF!,#REF!,Planning[[#This Row],[Tipo de Tarea y especialidad]],#REF!,Planning[[#This Row],[Proyectos Reiwa]]),SUMIFS(#REF!,#REF!,Planning[[#This Row],[Tipo de Tarea y especialidad]],#REF!,Planning[[#This Row],[Proyectos]]))</f>
        <v>#REF!</v>
      </c>
      <c r="K4826" s="5" t="e">
        <f>+Planning[[#This Row],[Horas Planificadas]]+Planning[[#This Row],[Horas ajustadas adicionales]]-Planning[[#This Row],[Horas utilizadas]]</f>
        <v>#REF!</v>
      </c>
      <c r="L4826" s="7" t="e">
        <f>Planning[[#This Row],[Saldo]]</f>
        <v>#REF!</v>
      </c>
      <c r="M4826" s="19" t="e">
        <f>Planning[[#This Row],[Saldo]]-Planning[[#This Row],[Saldo estimado]]</f>
        <v>#REF!</v>
      </c>
      <c r="N4826" s="60" t="e">
        <f>+SUMIFS(#REF!,#REF!,Planning[[#This Row],[Proyectos]],#REF!,Planning[[#This Row],[Tipo de Tarea y especialidad]])</f>
        <v>#REF!</v>
      </c>
      <c r="O4826" s="19">
        <f t="shared" si="151"/>
        <v>10</v>
      </c>
      <c r="P4826" s="19">
        <f t="shared" si="152"/>
        <v>2024</v>
      </c>
      <c r="Q48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26" s="49" t="str">
        <f>TEXT(Planning[[#This Row],[Mes]]*29,"mmmm")</f>
        <v>October</v>
      </c>
      <c r="S482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26" s="156"/>
      <c r="U4826" s="43" t="e">
        <f>IF(Planning[[#This Row],[Horas Planificadas]]&lt;&gt;0,+K4826/Planning[[#This Row],[Horas Planificadas]],0)</f>
        <v>#REF!</v>
      </c>
      <c r="V4826" s="43" t="e">
        <f>IF(Planning[[#This Row],[Horas Planificadas]]&lt;&gt;0,Planning[[#This Row],[Horas utilizadas]]/Planning[[#This Row],[Horas Planificadas]],0)</f>
        <v>#REF!</v>
      </c>
      <c r="W4826" s="44">
        <f>Planning[[#This Row],[Horas Planificadas]]+Planning[[#This Row],[Horas ajustadas adicionales]]</f>
        <v>27</v>
      </c>
    </row>
    <row r="4827" spans="1:23" x14ac:dyDescent="0.2">
      <c r="A4827" s="9" t="s">
        <v>435</v>
      </c>
      <c r="B4827" s="9" t="s">
        <v>205</v>
      </c>
      <c r="C4827" s="3"/>
      <c r="D4827" s="3" t="s">
        <v>826</v>
      </c>
      <c r="E4827" s="4"/>
      <c r="F4827" s="3" t="s">
        <v>126</v>
      </c>
      <c r="G4827" s="9"/>
      <c r="H4827" s="9"/>
      <c r="I4827" s="12"/>
      <c r="J4827" s="5" t="e">
        <f>SUM(SUMIFS(#REF!,#REF!,Planning[[#This Row],[Tipo de Tarea y especialidad]],#REF!,Planning[[#This Row],[Proyectos Reiwa]]),SUMIFS(#REF!,#REF!,Planning[[#This Row],[Tipo de Tarea y especialidad]],#REF!,Planning[[#This Row],[Proyectos]]))</f>
        <v>#REF!</v>
      </c>
      <c r="K4827" s="5" t="e">
        <f>+Planning[[#This Row],[Horas Planificadas]]+Planning[[#This Row],[Horas ajustadas adicionales]]-Planning[[#This Row],[Horas utilizadas]]</f>
        <v>#REF!</v>
      </c>
      <c r="L4827" s="7" t="e">
        <f>Planning[[#This Row],[Saldo]]</f>
        <v>#REF!</v>
      </c>
      <c r="M4827" s="19" t="e">
        <f>Planning[[#This Row],[Saldo]]-Planning[[#This Row],[Saldo estimado]]</f>
        <v>#REF!</v>
      </c>
      <c r="N4827" s="60" t="e">
        <f>+SUMIFS(#REF!,#REF!,Planning[[#This Row],[Proyectos]],#REF!,Planning[[#This Row],[Tipo de Tarea y especialidad]])</f>
        <v>#REF!</v>
      </c>
      <c r="O4827" s="19">
        <f t="shared" si="151"/>
        <v>10</v>
      </c>
      <c r="P4827" s="19">
        <f t="shared" si="152"/>
        <v>2024</v>
      </c>
      <c r="Q48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27" s="49" t="str">
        <f>TEXT(Planning[[#This Row],[Mes]]*29,"mmmm")</f>
        <v>October</v>
      </c>
      <c r="S482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27" s="156"/>
      <c r="U4827" s="43">
        <f>IF(Planning[[#This Row],[Horas Planificadas]]&lt;&gt;0,+K4827/Planning[[#This Row],[Horas Planificadas]],0)</f>
        <v>0</v>
      </c>
      <c r="V4827" s="43">
        <f>IF(Planning[[#This Row],[Horas Planificadas]]&lt;&gt;0,Planning[[#This Row],[Horas utilizadas]]/Planning[[#This Row],[Horas Planificadas]],0)</f>
        <v>0</v>
      </c>
      <c r="W4827" s="44">
        <f>Planning[[#This Row],[Horas Planificadas]]+Planning[[#This Row],[Horas ajustadas adicionales]]</f>
        <v>0</v>
      </c>
    </row>
    <row r="4828" spans="1:23" x14ac:dyDescent="0.2">
      <c r="A4828" s="9" t="s">
        <v>435</v>
      </c>
      <c r="B4828" s="9" t="s">
        <v>205</v>
      </c>
      <c r="C4828" s="3"/>
      <c r="D4828" s="3" t="s">
        <v>826</v>
      </c>
      <c r="E4828" s="4"/>
      <c r="F4828" s="3" t="s">
        <v>127</v>
      </c>
      <c r="G4828" s="9"/>
      <c r="H4828" s="9"/>
      <c r="I4828" s="12"/>
      <c r="J4828" s="5" t="e">
        <f>SUM(SUMIFS(#REF!,#REF!,Planning[[#This Row],[Tipo de Tarea y especialidad]],#REF!,Planning[[#This Row],[Proyectos Reiwa]]),SUMIFS(#REF!,#REF!,Planning[[#This Row],[Tipo de Tarea y especialidad]],#REF!,Planning[[#This Row],[Proyectos]]))</f>
        <v>#REF!</v>
      </c>
      <c r="K4828" s="5" t="e">
        <f>+Planning[[#This Row],[Horas Planificadas]]+Planning[[#This Row],[Horas ajustadas adicionales]]-Planning[[#This Row],[Horas utilizadas]]</f>
        <v>#REF!</v>
      </c>
      <c r="L4828" s="7">
        <v>0</v>
      </c>
      <c r="M4828" s="19" t="e">
        <f>Planning[[#This Row],[Saldo]]-Planning[[#This Row],[Saldo estimado]]</f>
        <v>#REF!</v>
      </c>
      <c r="N4828" s="60" t="e">
        <f>+SUMIFS(#REF!,#REF!,Planning[[#This Row],[Proyectos]],#REF!,Planning[[#This Row],[Tipo de Tarea y especialidad]])</f>
        <v>#REF!</v>
      </c>
      <c r="O4828" s="19">
        <f t="shared" si="151"/>
        <v>10</v>
      </c>
      <c r="P4828" s="19">
        <f t="shared" si="152"/>
        <v>2024</v>
      </c>
      <c r="Q48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28" s="49" t="str">
        <f>TEXT(Planning[[#This Row],[Mes]]*29,"mmmm")</f>
        <v>October</v>
      </c>
      <c r="S482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28" s="156"/>
      <c r="U4828" s="43">
        <f>IF(Planning[[#This Row],[Horas Planificadas]]&lt;&gt;0,+K4828/Planning[[#This Row],[Horas Planificadas]],0)</f>
        <v>0</v>
      </c>
      <c r="V4828" s="43">
        <f>IF(Planning[[#This Row],[Horas Planificadas]]&lt;&gt;0,Planning[[#This Row],[Horas utilizadas]]/Planning[[#This Row],[Horas Planificadas]],0)</f>
        <v>0</v>
      </c>
      <c r="W4828" s="44">
        <f>Planning[[#This Row],[Horas Planificadas]]+Planning[[#This Row],[Horas ajustadas adicionales]]</f>
        <v>0</v>
      </c>
    </row>
    <row r="4829" spans="1:23" x14ac:dyDescent="0.2">
      <c r="A4829" s="9" t="s">
        <v>435</v>
      </c>
      <c r="B4829" s="9" t="s">
        <v>205</v>
      </c>
      <c r="C4829" s="3"/>
      <c r="D4829" s="3" t="s">
        <v>826</v>
      </c>
      <c r="E4829" s="4"/>
      <c r="F4829" s="3" t="s">
        <v>128</v>
      </c>
      <c r="G4829" s="9"/>
      <c r="H4829" s="9"/>
      <c r="I4829" s="12"/>
      <c r="J4829" s="5" t="e">
        <f>SUM(SUMIFS(#REF!,#REF!,Planning[[#This Row],[Tipo de Tarea y especialidad]],#REF!,Planning[[#This Row],[Proyectos Reiwa]]),SUMIFS(#REF!,#REF!,Planning[[#This Row],[Tipo de Tarea y especialidad]],#REF!,Planning[[#This Row],[Proyectos]]))</f>
        <v>#REF!</v>
      </c>
      <c r="K4829" s="5" t="e">
        <f>+Planning[[#This Row],[Horas Planificadas]]+Planning[[#This Row],[Horas ajustadas adicionales]]-Planning[[#This Row],[Horas utilizadas]]</f>
        <v>#REF!</v>
      </c>
      <c r="L4829" s="7" t="e">
        <f>Planning[[#This Row],[Saldo]]</f>
        <v>#REF!</v>
      </c>
      <c r="M4829" s="19" t="e">
        <f>Planning[[#This Row],[Saldo]]-Planning[[#This Row],[Saldo estimado]]</f>
        <v>#REF!</v>
      </c>
      <c r="N4829" s="60" t="e">
        <f>+SUMIFS(#REF!,#REF!,Planning[[#This Row],[Proyectos]],#REF!,Planning[[#This Row],[Tipo de Tarea y especialidad]])</f>
        <v>#REF!</v>
      </c>
      <c r="O4829" s="19">
        <f t="shared" si="151"/>
        <v>10</v>
      </c>
      <c r="P4829" s="19">
        <f t="shared" si="152"/>
        <v>2024</v>
      </c>
      <c r="Q48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29" s="49" t="str">
        <f>TEXT(Planning[[#This Row],[Mes]]*29,"mmmm")</f>
        <v>October</v>
      </c>
      <c r="S482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29" s="156"/>
      <c r="U4829" s="43">
        <f>IF(Planning[[#This Row],[Horas Planificadas]]&lt;&gt;0,+K4829/Planning[[#This Row],[Horas Planificadas]],0)</f>
        <v>0</v>
      </c>
      <c r="V4829" s="43">
        <f>IF(Planning[[#This Row],[Horas Planificadas]]&lt;&gt;0,Planning[[#This Row],[Horas utilizadas]]/Planning[[#This Row],[Horas Planificadas]],0)</f>
        <v>0</v>
      </c>
      <c r="W4829" s="44">
        <f>Planning[[#This Row],[Horas Planificadas]]+Planning[[#This Row],[Horas ajustadas adicionales]]</f>
        <v>0</v>
      </c>
    </row>
    <row r="4830" spans="1:23" x14ac:dyDescent="0.2">
      <c r="A4830" s="9" t="s">
        <v>435</v>
      </c>
      <c r="B4830" s="9" t="s">
        <v>205</v>
      </c>
      <c r="C4830" s="3"/>
      <c r="D4830" s="3" t="s">
        <v>826</v>
      </c>
      <c r="E4830" s="4" t="s">
        <v>31</v>
      </c>
      <c r="F4830" s="3" t="s">
        <v>31</v>
      </c>
      <c r="G4830" s="9">
        <v>18</v>
      </c>
      <c r="H4830" s="17">
        <v>18</v>
      </c>
      <c r="I4830" s="18"/>
      <c r="J4830" s="14" t="e">
        <f>+SUMIFS(#REF!,#REF!,Planning[[#This Row],[Tarifa]],#REF!,Planning[[#This Row],[Proyectos]])</f>
        <v>#REF!</v>
      </c>
      <c r="K4830" s="14" t="e">
        <f>+Planning[[#This Row],[Horas Planificadas]]+Planning[[#This Row],[Horas ajustadas adicionales]]-Planning[[#This Row],[Horas utilizadas]]</f>
        <v>#REF!</v>
      </c>
      <c r="L4830" s="15" t="e">
        <f>Planning[[#This Row],[Saldo]]</f>
        <v>#REF!</v>
      </c>
      <c r="M4830" s="16" t="e">
        <f>Planning[[#This Row],[Saldo]]-Planning[[#This Row],[Saldo estimado]]</f>
        <v>#REF!</v>
      </c>
      <c r="N4830" s="60"/>
      <c r="O4830" s="16">
        <f t="shared" si="151"/>
        <v>10</v>
      </c>
      <c r="P4830" s="16">
        <f t="shared" si="152"/>
        <v>2024</v>
      </c>
      <c r="Q4830" s="16" t="e">
        <f>+SUMIFS(#REF!,#REF!,Planning[[#This Row],[Tarifa]],#REF!,Planning[[#This Row],[Proyectos]],#REF!,Planning[[#This Row],[Mes]],#REF!,Planning[[#This Row],[Año]])</f>
        <v>#REF!</v>
      </c>
      <c r="R4830" s="50" t="str">
        <f>TEXT(Planning[[#This Row],[Mes]]*29,"mmmm")</f>
        <v>October</v>
      </c>
      <c r="S483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30" s="156"/>
      <c r="U4830" s="43" t="e">
        <f>IF(Planning[[#This Row],[Horas Planificadas]]&lt;&gt;0,+K4830/Planning[[#This Row],[Horas Planificadas]],0)</f>
        <v>#REF!</v>
      </c>
      <c r="V4830" s="43" t="e">
        <f>IF(Planning[[#This Row],[Horas Planificadas]]&lt;&gt;0,Planning[[#This Row],[Horas utilizadas]]/Planning[[#This Row],[Horas Planificadas]],0)</f>
        <v>#REF!</v>
      </c>
      <c r="W4830" s="44">
        <f>Planning[[#This Row],[Horas Planificadas]]+Planning[[#This Row],[Horas ajustadas adicionales]]</f>
        <v>18</v>
      </c>
    </row>
    <row r="4831" spans="1:23" ht="22.5" x14ac:dyDescent="0.2">
      <c r="A4831" s="9" t="s">
        <v>435</v>
      </c>
      <c r="B4831" s="9" t="s">
        <v>205</v>
      </c>
      <c r="C4831" s="3"/>
      <c r="D4831" s="3" t="s">
        <v>826</v>
      </c>
      <c r="E4831" s="4" t="s">
        <v>32</v>
      </c>
      <c r="F4831" s="3"/>
      <c r="G4831" s="9">
        <v>120</v>
      </c>
      <c r="H4831" s="14">
        <f>SUM(H4832:H4834)</f>
        <v>120</v>
      </c>
      <c r="I4831" s="14"/>
      <c r="J4831" s="14" t="e">
        <f>SUM(J4832:J4834)</f>
        <v>#REF!</v>
      </c>
      <c r="K4831" s="14" t="e">
        <f>+Planning[[#This Row],[Horas Planificadas]]+Planning[[#This Row],[Horas ajustadas adicionales]]-Planning[[#This Row],[Horas utilizadas]]</f>
        <v>#REF!</v>
      </c>
      <c r="L4831" s="15" t="e">
        <f>SUM(L4832:L4834)</f>
        <v>#REF!</v>
      </c>
      <c r="M4831" s="16" t="e">
        <f>SUM(M4832:M4834)</f>
        <v>#REF!</v>
      </c>
      <c r="N4831" s="60"/>
      <c r="O4831" s="16">
        <f t="shared" si="151"/>
        <v>10</v>
      </c>
      <c r="P4831" s="16">
        <f t="shared" si="152"/>
        <v>2024</v>
      </c>
      <c r="Q4831" s="16" t="e">
        <f>SUM(Q4832:Q4834)</f>
        <v>#REF!</v>
      </c>
      <c r="R4831" s="50" t="str">
        <f>TEXT(Planning[[#This Row],[Mes]]*29,"mmmm")</f>
        <v>October</v>
      </c>
      <c r="S483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31" s="156"/>
      <c r="U4831" s="43" t="e">
        <f>IF(Planning[[#This Row],[Horas Planificadas]]&lt;&gt;0,+K4831/Planning[[#This Row],[Horas Planificadas]],0)</f>
        <v>#REF!</v>
      </c>
      <c r="V4831" s="43" t="e">
        <f>IF(Planning[[#This Row],[Horas Planificadas]]&lt;&gt;0,Planning[[#This Row],[Horas utilizadas]]/Planning[[#This Row],[Horas Planificadas]],0)</f>
        <v>#REF!</v>
      </c>
      <c r="W4831" s="44">
        <f>Planning[[#This Row],[Horas Planificadas]]+Planning[[#This Row],[Horas ajustadas adicionales]]</f>
        <v>120</v>
      </c>
    </row>
    <row r="4832" spans="1:23" x14ac:dyDescent="0.2">
      <c r="A4832" s="9" t="s">
        <v>435</v>
      </c>
      <c r="B4832" s="9" t="s">
        <v>205</v>
      </c>
      <c r="C4832" s="3"/>
      <c r="D4832" s="3" t="s">
        <v>826</v>
      </c>
      <c r="E4832" s="4"/>
      <c r="F4832" s="3" t="s">
        <v>129</v>
      </c>
      <c r="G4832" s="9"/>
      <c r="H4832" s="9">
        <v>0</v>
      </c>
      <c r="I4832" s="12"/>
      <c r="J4832" s="5" t="e">
        <f>SUM(SUMIFS(#REF!,#REF!,Planning[[#This Row],[Tipo de Tarea y especialidad]],#REF!,Planning[[#This Row],[Proyectos Reiwa]]),SUMIFS(#REF!,#REF!,Planning[[#This Row],[Tipo de Tarea y especialidad]],#REF!,Planning[[#This Row],[Proyectos]]))</f>
        <v>#REF!</v>
      </c>
      <c r="K4832" s="5" t="e">
        <f>+Planning[[#This Row],[Horas Planificadas]]+Planning[[#This Row],[Horas ajustadas adicionales]]-Planning[[#This Row],[Horas utilizadas]]</f>
        <v>#REF!</v>
      </c>
      <c r="L4832" s="7" t="e">
        <f>Planning[[#This Row],[Saldo]]</f>
        <v>#REF!</v>
      </c>
      <c r="M4832" s="19" t="e">
        <f>Planning[[#This Row],[Saldo]]-Planning[[#This Row],[Saldo estimado]]</f>
        <v>#REF!</v>
      </c>
      <c r="N4832" s="60" t="e">
        <f>+SUMIFS(#REF!,#REF!,Planning[[#This Row],[Proyectos]],#REF!,Planning[[#This Row],[Tipo de Tarea y especialidad]])</f>
        <v>#REF!</v>
      </c>
      <c r="O4832" s="19">
        <f t="shared" si="151"/>
        <v>10</v>
      </c>
      <c r="P4832" s="19">
        <f t="shared" si="152"/>
        <v>2024</v>
      </c>
      <c r="Q48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32" s="49" t="str">
        <f>TEXT(Planning[[#This Row],[Mes]]*29,"mmmm")</f>
        <v>October</v>
      </c>
      <c r="S483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32" s="156"/>
      <c r="U4832" s="43">
        <f>IF(Planning[[#This Row],[Horas Planificadas]]&lt;&gt;0,+K4832/Planning[[#This Row],[Horas Planificadas]],0)</f>
        <v>0</v>
      </c>
      <c r="V4832" s="43">
        <f>IF(Planning[[#This Row],[Horas Planificadas]]&lt;&gt;0,Planning[[#This Row],[Horas utilizadas]]/Planning[[#This Row],[Horas Planificadas]],0)</f>
        <v>0</v>
      </c>
      <c r="W4832" s="44">
        <f>Planning[[#This Row],[Horas Planificadas]]+Planning[[#This Row],[Horas ajustadas adicionales]]</f>
        <v>0</v>
      </c>
    </row>
    <row r="4833" spans="1:23" x14ac:dyDescent="0.2">
      <c r="A4833" s="9" t="s">
        <v>435</v>
      </c>
      <c r="B4833" s="9" t="s">
        <v>205</v>
      </c>
      <c r="C4833" s="3"/>
      <c r="D4833" s="3" t="s">
        <v>826</v>
      </c>
      <c r="E4833" s="4"/>
      <c r="F4833" s="3" t="s">
        <v>130</v>
      </c>
      <c r="G4833" s="9"/>
      <c r="H4833" s="9">
        <v>90</v>
      </c>
      <c r="I4833" s="12"/>
      <c r="J4833" s="5" t="e">
        <f>SUM(SUMIFS(#REF!,#REF!,Planning[[#This Row],[Tipo de Tarea y especialidad]],#REF!,Planning[[#This Row],[Proyectos Reiwa]]),SUMIFS(#REF!,#REF!,Planning[[#This Row],[Tipo de Tarea y especialidad]],#REF!,Planning[[#This Row],[Proyectos]]))</f>
        <v>#REF!</v>
      </c>
      <c r="K4833" s="5" t="e">
        <f>+Planning[[#This Row],[Horas Planificadas]]+Planning[[#This Row],[Horas ajustadas adicionales]]-Planning[[#This Row],[Horas utilizadas]]</f>
        <v>#REF!</v>
      </c>
      <c r="L4833" s="7" t="e">
        <f>Planning[[#This Row],[Saldo]]</f>
        <v>#REF!</v>
      </c>
      <c r="M4833" s="19" t="e">
        <f>Planning[[#This Row],[Saldo]]-Planning[[#This Row],[Saldo estimado]]</f>
        <v>#REF!</v>
      </c>
      <c r="N4833" s="60" t="e">
        <f>+SUMIFS(#REF!,#REF!,Planning[[#This Row],[Proyectos]],#REF!,Planning[[#This Row],[Tipo de Tarea y especialidad]])</f>
        <v>#REF!</v>
      </c>
      <c r="O4833" s="19">
        <f t="shared" si="151"/>
        <v>10</v>
      </c>
      <c r="P4833" s="19">
        <f t="shared" si="152"/>
        <v>2024</v>
      </c>
      <c r="Q48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33" s="49" t="str">
        <f>TEXT(Planning[[#This Row],[Mes]]*29,"mmmm")</f>
        <v>October</v>
      </c>
      <c r="S483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33" s="156"/>
      <c r="U4833" s="43" t="e">
        <f>IF(Planning[[#This Row],[Horas Planificadas]]&lt;&gt;0,+K4833/Planning[[#This Row],[Horas Planificadas]],0)</f>
        <v>#REF!</v>
      </c>
      <c r="V4833" s="43" t="e">
        <f>IF(Planning[[#This Row],[Horas Planificadas]]&lt;&gt;0,Planning[[#This Row],[Horas utilizadas]]/Planning[[#This Row],[Horas Planificadas]],0)</f>
        <v>#REF!</v>
      </c>
      <c r="W4833" s="44">
        <f>Planning[[#This Row],[Horas Planificadas]]+Planning[[#This Row],[Horas ajustadas adicionales]]</f>
        <v>90</v>
      </c>
    </row>
    <row r="4834" spans="1:23" x14ac:dyDescent="0.2">
      <c r="A4834" s="9" t="s">
        <v>435</v>
      </c>
      <c r="B4834" s="9" t="s">
        <v>205</v>
      </c>
      <c r="C4834" s="3"/>
      <c r="D4834" s="3" t="s">
        <v>826</v>
      </c>
      <c r="E4834" s="4"/>
      <c r="F4834" s="3" t="s">
        <v>131</v>
      </c>
      <c r="G4834" s="9"/>
      <c r="H4834" s="9">
        <v>30</v>
      </c>
      <c r="I4834" s="12"/>
      <c r="J4834" s="5" t="e">
        <f>SUM(SUMIFS(#REF!,#REF!,Planning[[#This Row],[Tipo de Tarea y especialidad]],#REF!,Planning[[#This Row],[Proyectos Reiwa]]),SUMIFS(#REF!,#REF!,Planning[[#This Row],[Tipo de Tarea y especialidad]],#REF!,Planning[[#This Row],[Proyectos]]))</f>
        <v>#REF!</v>
      </c>
      <c r="K4834" s="5" t="e">
        <f>+Planning[[#This Row],[Horas Planificadas]]+Planning[[#This Row],[Horas ajustadas adicionales]]-Planning[[#This Row],[Horas utilizadas]]</f>
        <v>#REF!</v>
      </c>
      <c r="L4834" s="7" t="e">
        <f>Planning[[#This Row],[Saldo]]</f>
        <v>#REF!</v>
      </c>
      <c r="M4834" s="19" t="e">
        <f>Planning[[#This Row],[Saldo]]-Planning[[#This Row],[Saldo estimado]]</f>
        <v>#REF!</v>
      </c>
      <c r="N4834" s="60" t="e">
        <f>+SUMIFS(#REF!,#REF!,Planning[[#This Row],[Proyectos]],#REF!,Planning[[#This Row],[Tipo de Tarea y especialidad]])</f>
        <v>#REF!</v>
      </c>
      <c r="O4834" s="19">
        <f t="shared" si="151"/>
        <v>10</v>
      </c>
      <c r="P4834" s="19">
        <f t="shared" si="152"/>
        <v>2024</v>
      </c>
      <c r="Q48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34" s="51" t="str">
        <f>TEXT(Planning[[#This Row],[Mes]]*29,"mmmm")</f>
        <v>October</v>
      </c>
      <c r="S4834"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34" s="157"/>
      <c r="U4834" s="43" t="e">
        <f>IF(Planning[[#This Row],[Horas Planificadas]]&lt;&gt;0,+K4834/Planning[[#This Row],[Horas Planificadas]],0)</f>
        <v>#REF!</v>
      </c>
      <c r="V4834" s="43" t="e">
        <f>IF(Planning[[#This Row],[Horas Planificadas]]&lt;&gt;0,Planning[[#This Row],[Horas utilizadas]]/Planning[[#This Row],[Horas Planificadas]],0)</f>
        <v>#REF!</v>
      </c>
      <c r="W4834" s="44">
        <f>Planning[[#This Row],[Horas Planificadas]]+Planning[[#This Row],[Horas ajustadas adicionales]]</f>
        <v>30</v>
      </c>
    </row>
    <row r="4835" spans="1:23" ht="22.5" x14ac:dyDescent="0.2">
      <c r="A4835" s="9" t="s">
        <v>483</v>
      </c>
      <c r="B4835" s="9" t="s">
        <v>118</v>
      </c>
      <c r="C4835" s="3"/>
      <c r="D4835" s="3" t="s">
        <v>828</v>
      </c>
      <c r="E4835" s="4" t="s">
        <v>28</v>
      </c>
      <c r="F4835" s="3"/>
      <c r="G4835" s="9"/>
      <c r="H4835" s="14">
        <f>SUM(H4836:H4837)</f>
        <v>1538</v>
      </c>
      <c r="I4835" s="14"/>
      <c r="J4835" s="14" t="e">
        <f>SUM(J4836:J4837)</f>
        <v>#REF!</v>
      </c>
      <c r="K4835" s="14" t="e">
        <f>+Planning[[#This Row],[Horas Planificadas]]+Planning[[#This Row],[Horas ajustadas adicionales]]-Planning[[#This Row],[Horas utilizadas]]</f>
        <v>#REF!</v>
      </c>
      <c r="L4835" s="15">
        <f>SUM(L4836:L4837)</f>
        <v>36</v>
      </c>
      <c r="M4835" s="14" t="e">
        <f>SUM(M4836:M4837)</f>
        <v>#REF!</v>
      </c>
      <c r="N4835" s="66"/>
      <c r="O4835" s="14">
        <f t="shared" si="151"/>
        <v>10</v>
      </c>
      <c r="P4835" s="14">
        <f t="shared" si="152"/>
        <v>2024</v>
      </c>
      <c r="Q4835" s="28" t="e">
        <f>SUM(Q4836:Q4837)</f>
        <v>#REF!</v>
      </c>
      <c r="R4835" s="24" t="str">
        <f>TEXT(Planning[[#This Row],[Mes]]*29,"mmmm")</f>
        <v>October</v>
      </c>
      <c r="S4835"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35" s="195" t="s">
        <v>829</v>
      </c>
      <c r="U4835" s="43"/>
      <c r="V4835" s="43"/>
      <c r="W4835" s="44"/>
    </row>
    <row r="4836" spans="1:23" x14ac:dyDescent="0.2">
      <c r="A4836" s="9" t="s">
        <v>483</v>
      </c>
      <c r="B4836" s="9" t="s">
        <v>118</v>
      </c>
      <c r="C4836" s="3"/>
      <c r="D4836" s="3" t="s">
        <v>828</v>
      </c>
      <c r="E4836" s="4"/>
      <c r="F4836" s="3" t="s">
        <v>120</v>
      </c>
      <c r="G4836" s="9"/>
      <c r="H4836" s="9">
        <v>860</v>
      </c>
      <c r="I4836" s="12"/>
      <c r="J4836" s="5" t="e">
        <f>SUM(SUMIFS(#REF!,#REF!,Planning[[#This Row],[Tipo de Tarea y especialidad]],#REF!,Planning[[#This Row],[Proyectos Reiwa]]),SUMIFS(#REF!,#REF!,Planning[[#This Row],[Tipo de Tarea y especialidad]],#REF!,Planning[[#This Row],[Proyectos]]))</f>
        <v>#REF!</v>
      </c>
      <c r="K4836" s="5" t="e">
        <f>+Planning[[#This Row],[Horas Planificadas]]+Planning[[#This Row],[Horas ajustadas adicionales]]-Planning[[#This Row],[Horas utilizadas]]</f>
        <v>#REF!</v>
      </c>
      <c r="L4836" s="7">
        <v>0</v>
      </c>
      <c r="M4836" s="19" t="e">
        <f>Planning[[#This Row],[Saldo]]-Planning[[#This Row],[Saldo estimado]]</f>
        <v>#REF!</v>
      </c>
      <c r="N4836" s="60" t="e">
        <f>+SUMIFS(#REF!,#REF!,Planning[[#This Row],[Proyectos]],#REF!,Planning[[#This Row],[Tipo de Tarea y especialidad]])</f>
        <v>#REF!</v>
      </c>
      <c r="O4836" s="19">
        <f t="shared" si="151"/>
        <v>10</v>
      </c>
      <c r="P4836" s="19">
        <f t="shared" si="152"/>
        <v>2024</v>
      </c>
      <c r="Q48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36" s="49" t="str">
        <f>TEXT(Planning[[#This Row],[Mes]]*29,"mmmm")</f>
        <v>October</v>
      </c>
      <c r="S483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36" s="196"/>
      <c r="U4836" s="43"/>
      <c r="V4836" s="43"/>
      <c r="W4836" s="44"/>
    </row>
    <row r="4837" spans="1:23" x14ac:dyDescent="0.2">
      <c r="A4837" s="9" t="s">
        <v>483</v>
      </c>
      <c r="B4837" s="9" t="s">
        <v>118</v>
      </c>
      <c r="C4837" s="3"/>
      <c r="D4837" s="3" t="s">
        <v>828</v>
      </c>
      <c r="E4837" s="4"/>
      <c r="F4837" s="3" t="s">
        <v>121</v>
      </c>
      <c r="G4837" s="9"/>
      <c r="H4837" s="9">
        <v>678</v>
      </c>
      <c r="I4837" s="12"/>
      <c r="J4837" s="5" t="e">
        <f>SUM(SUMIFS(#REF!,#REF!,Planning[[#This Row],[Tipo de Tarea y especialidad]],#REF!,Planning[[#This Row],[Proyectos Reiwa]]),SUMIFS(#REF!,#REF!,Planning[[#This Row],[Tipo de Tarea y especialidad]],#REF!,Planning[[#This Row],[Proyectos]]))</f>
        <v>#REF!</v>
      </c>
      <c r="K4837" s="5" t="e">
        <f>+Planning[[#This Row],[Horas Planificadas]]+Planning[[#This Row],[Horas ajustadas adicionales]]-Planning[[#This Row],[Horas utilizadas]]</f>
        <v>#REF!</v>
      </c>
      <c r="L4837" s="7">
        <v>36</v>
      </c>
      <c r="M4837" s="19" t="e">
        <f>Planning[[#This Row],[Saldo]]-Planning[[#This Row],[Saldo estimado]]</f>
        <v>#REF!</v>
      </c>
      <c r="N4837" s="60" t="e">
        <f>+SUMIFS(#REF!,#REF!,Planning[[#This Row],[Proyectos]],#REF!,Planning[[#This Row],[Tipo de Tarea y especialidad]])</f>
        <v>#REF!</v>
      </c>
      <c r="O4837" s="19">
        <f t="shared" si="151"/>
        <v>10</v>
      </c>
      <c r="P4837" s="19">
        <f t="shared" si="152"/>
        <v>2024</v>
      </c>
      <c r="Q48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37" s="49" t="str">
        <f>TEXT(Planning[[#This Row],[Mes]]*29,"mmmm")</f>
        <v>October</v>
      </c>
      <c r="S483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37" s="196"/>
      <c r="U4837" s="43"/>
      <c r="V4837" s="43"/>
      <c r="W4837" s="44"/>
    </row>
    <row r="4838" spans="1:23" x14ac:dyDescent="0.2">
      <c r="A4838" s="9" t="s">
        <v>483</v>
      </c>
      <c r="B4838" s="9" t="s">
        <v>118</v>
      </c>
      <c r="C4838" s="3"/>
      <c r="D4838" s="3" t="s">
        <v>828</v>
      </c>
      <c r="E4838" s="4" t="s">
        <v>30</v>
      </c>
      <c r="F4838" s="3"/>
      <c r="G4838" s="9"/>
      <c r="H4838" s="14">
        <f>SUM(H4839:H4845)</f>
        <v>1528</v>
      </c>
      <c r="I4838" s="14"/>
      <c r="J4838" s="14" t="e">
        <f>SUM(J4839:J4845)</f>
        <v>#REF!</v>
      </c>
      <c r="K4838" s="14" t="e">
        <f>+Planning[[#This Row],[Horas Planificadas]]+Planning[[#This Row],[Horas ajustadas adicionales]]-Planning[[#This Row],[Horas utilizadas]]</f>
        <v>#REF!</v>
      </c>
      <c r="L4838" s="15" t="e">
        <f>SUM(L4839:L4845)</f>
        <v>#REF!</v>
      </c>
      <c r="M4838" s="16" t="e">
        <f>SUM(M4839:M4845)</f>
        <v>#REF!</v>
      </c>
      <c r="N4838" s="60"/>
      <c r="O4838" s="16">
        <f t="shared" si="151"/>
        <v>10</v>
      </c>
      <c r="P4838" s="16">
        <f t="shared" si="152"/>
        <v>2024</v>
      </c>
      <c r="Q4838" s="16" t="e">
        <f>SUM(Q4839:Q4845)</f>
        <v>#REF!</v>
      </c>
      <c r="R4838" s="50" t="str">
        <f>TEXT(Planning[[#This Row],[Mes]]*29,"mmmm")</f>
        <v>October</v>
      </c>
      <c r="S483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38" s="196"/>
      <c r="U4838" s="43"/>
      <c r="V4838" s="43"/>
      <c r="W4838" s="44"/>
    </row>
    <row r="4839" spans="1:23" x14ac:dyDescent="0.2">
      <c r="A4839" s="9" t="s">
        <v>483</v>
      </c>
      <c r="B4839" s="9" t="s">
        <v>118</v>
      </c>
      <c r="C4839" s="3"/>
      <c r="D4839" s="3" t="s">
        <v>828</v>
      </c>
      <c r="E4839" s="4"/>
      <c r="F4839" s="3" t="s">
        <v>122</v>
      </c>
      <c r="G4839" s="9"/>
      <c r="H4839" s="9">
        <v>429</v>
      </c>
      <c r="I4839" s="12"/>
      <c r="J4839" s="5" t="e">
        <f>SUM(SUMIFS(#REF!,#REF!,Planning[[#This Row],[Tipo de Tarea y especialidad]],#REF!,Planning[[#This Row],[Proyectos Reiwa]]),SUMIFS(#REF!,#REF!,Planning[[#This Row],[Tipo de Tarea y especialidad]],#REF!,Planning[[#This Row],[Proyectos]]))</f>
        <v>#REF!</v>
      </c>
      <c r="K4839" s="5" t="e">
        <f>+Planning[[#This Row],[Horas Planificadas]]+Planning[[#This Row],[Horas ajustadas adicionales]]-Planning[[#This Row],[Horas utilizadas]]</f>
        <v>#REF!</v>
      </c>
      <c r="L4839" s="7">
        <v>18</v>
      </c>
      <c r="M4839" s="19" t="e">
        <f>Planning[[#This Row],[Saldo]]-Planning[[#This Row],[Saldo estimado]]</f>
        <v>#REF!</v>
      </c>
      <c r="N4839" s="60" t="e">
        <f>+SUMIFS(#REF!,#REF!,Planning[[#This Row],[Proyectos]],#REF!,Planning[[#This Row],[Tipo de Tarea y especialidad]])</f>
        <v>#REF!</v>
      </c>
      <c r="O4839" s="19">
        <f t="shared" si="151"/>
        <v>10</v>
      </c>
      <c r="P4839" s="19">
        <f t="shared" si="152"/>
        <v>2024</v>
      </c>
      <c r="Q48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39" s="49" t="str">
        <f>TEXT(Planning[[#This Row],[Mes]]*29,"mmmm")</f>
        <v>October</v>
      </c>
      <c r="S483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39" s="196"/>
      <c r="U4839" s="43"/>
      <c r="V4839" s="43"/>
      <c r="W4839" s="44"/>
    </row>
    <row r="4840" spans="1:23" x14ac:dyDescent="0.2">
      <c r="A4840" s="9" t="s">
        <v>483</v>
      </c>
      <c r="B4840" s="9" t="s">
        <v>118</v>
      </c>
      <c r="C4840" s="3"/>
      <c r="D4840" s="3" t="s">
        <v>828</v>
      </c>
      <c r="E4840" s="4"/>
      <c r="F4840" s="3" t="s">
        <v>123</v>
      </c>
      <c r="G4840" s="9"/>
      <c r="H4840" s="9">
        <v>346</v>
      </c>
      <c r="I4840" s="12"/>
      <c r="J4840" s="5" t="e">
        <f>SUM(SUMIFS(#REF!,#REF!,Planning[[#This Row],[Tipo de Tarea y especialidad]],#REF!,Planning[[#This Row],[Proyectos Reiwa]]),SUMIFS(#REF!,#REF!,Planning[[#This Row],[Tipo de Tarea y especialidad]],#REF!,Planning[[#This Row],[Proyectos]]))</f>
        <v>#REF!</v>
      </c>
      <c r="K4840" s="5" t="e">
        <f>+Planning[[#This Row],[Horas Planificadas]]+Planning[[#This Row],[Horas ajustadas adicionales]]-Planning[[#This Row],[Horas utilizadas]]</f>
        <v>#REF!</v>
      </c>
      <c r="L4840" s="7">
        <v>18</v>
      </c>
      <c r="M4840" s="19" t="e">
        <f>Planning[[#This Row],[Saldo]]-Planning[[#This Row],[Saldo estimado]]</f>
        <v>#REF!</v>
      </c>
      <c r="N4840" s="60" t="e">
        <f>+SUMIFS(#REF!,#REF!,Planning[[#This Row],[Proyectos]],#REF!,Planning[[#This Row],[Tipo de Tarea y especialidad]])</f>
        <v>#REF!</v>
      </c>
      <c r="O4840" s="19">
        <f t="shared" si="151"/>
        <v>10</v>
      </c>
      <c r="P4840" s="19">
        <f t="shared" si="152"/>
        <v>2024</v>
      </c>
      <c r="Q48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40" s="49" t="str">
        <f>TEXT(Planning[[#This Row],[Mes]]*29,"mmmm")</f>
        <v>October</v>
      </c>
      <c r="S484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40" s="196"/>
      <c r="U4840" s="43"/>
      <c r="V4840" s="43"/>
      <c r="W4840" s="44"/>
    </row>
    <row r="4841" spans="1:23" x14ac:dyDescent="0.2">
      <c r="A4841" s="9" t="s">
        <v>483</v>
      </c>
      <c r="B4841" s="9" t="s">
        <v>118</v>
      </c>
      <c r="C4841" s="3"/>
      <c r="D4841" s="3" t="s">
        <v>828</v>
      </c>
      <c r="E4841" s="4"/>
      <c r="F4841" s="3" t="s">
        <v>124</v>
      </c>
      <c r="G4841" s="9"/>
      <c r="H4841" s="9"/>
      <c r="I4841" s="12"/>
      <c r="J4841" s="5" t="e">
        <f>SUM(SUMIFS(#REF!,#REF!,Planning[[#This Row],[Tipo de Tarea y especialidad]],#REF!,Planning[[#This Row],[Proyectos Reiwa]]),SUMIFS(#REF!,#REF!,Planning[[#This Row],[Tipo de Tarea y especialidad]],#REF!,Planning[[#This Row],[Proyectos]]))</f>
        <v>#REF!</v>
      </c>
      <c r="K4841" s="5" t="e">
        <f>+Planning[[#This Row],[Horas Planificadas]]+Planning[[#This Row],[Horas ajustadas adicionales]]-Planning[[#This Row],[Horas utilizadas]]</f>
        <v>#REF!</v>
      </c>
      <c r="L4841" s="7" t="e">
        <f>Planning[[#This Row],[Saldo]]</f>
        <v>#REF!</v>
      </c>
      <c r="M4841" s="19" t="e">
        <f>Planning[[#This Row],[Saldo]]-Planning[[#This Row],[Saldo estimado]]</f>
        <v>#REF!</v>
      </c>
      <c r="N4841" s="60" t="e">
        <f>+SUMIFS(#REF!,#REF!,Planning[[#This Row],[Proyectos]],#REF!,Planning[[#This Row],[Tipo de Tarea y especialidad]])</f>
        <v>#REF!</v>
      </c>
      <c r="O4841" s="19">
        <f t="shared" si="151"/>
        <v>10</v>
      </c>
      <c r="P4841" s="19">
        <f t="shared" si="152"/>
        <v>2024</v>
      </c>
      <c r="Q48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41" s="49" t="str">
        <f>TEXT(Planning[[#This Row],[Mes]]*29,"mmmm")</f>
        <v>October</v>
      </c>
      <c r="S484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41" s="196"/>
      <c r="U4841" s="43"/>
      <c r="V4841" s="43"/>
      <c r="W4841" s="44"/>
    </row>
    <row r="4842" spans="1:23" x14ac:dyDescent="0.2">
      <c r="A4842" s="9" t="s">
        <v>483</v>
      </c>
      <c r="B4842" s="9" t="s">
        <v>118</v>
      </c>
      <c r="C4842" s="3"/>
      <c r="D4842" s="3" t="s">
        <v>828</v>
      </c>
      <c r="E4842" s="4"/>
      <c r="F4842" s="3" t="s">
        <v>125</v>
      </c>
      <c r="G4842" s="9"/>
      <c r="H4842" s="9">
        <v>209</v>
      </c>
      <c r="I4842" s="12"/>
      <c r="J4842" s="5" t="e">
        <f>SUM(SUMIFS(#REF!,#REF!,Planning[[#This Row],[Tipo de Tarea y especialidad]],#REF!,Planning[[#This Row],[Proyectos Reiwa]]),SUMIFS(#REF!,#REF!,Planning[[#This Row],[Tipo de Tarea y especialidad]],#REF!,Planning[[#This Row],[Proyectos]]))</f>
        <v>#REF!</v>
      </c>
      <c r="K4842" s="5" t="e">
        <f>+Planning[[#This Row],[Horas Planificadas]]+Planning[[#This Row],[Horas ajustadas adicionales]]-Planning[[#This Row],[Horas utilizadas]]</f>
        <v>#REF!</v>
      </c>
      <c r="L4842" s="7">
        <v>36</v>
      </c>
      <c r="M4842" s="19" t="e">
        <f>Planning[[#This Row],[Saldo]]-Planning[[#This Row],[Saldo estimado]]</f>
        <v>#REF!</v>
      </c>
      <c r="N4842" s="60" t="e">
        <f>+SUMIFS(#REF!,#REF!,Planning[[#This Row],[Proyectos]],#REF!,Planning[[#This Row],[Tipo de Tarea y especialidad]])</f>
        <v>#REF!</v>
      </c>
      <c r="O4842" s="19">
        <f t="shared" si="151"/>
        <v>10</v>
      </c>
      <c r="P4842" s="19">
        <f t="shared" si="152"/>
        <v>2024</v>
      </c>
      <c r="Q48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42" s="49" t="str">
        <f>TEXT(Planning[[#This Row],[Mes]]*29,"mmmm")</f>
        <v>October</v>
      </c>
      <c r="S484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42" s="196"/>
      <c r="U4842" s="43"/>
      <c r="V4842" s="43"/>
      <c r="W4842" s="44"/>
    </row>
    <row r="4843" spans="1:23" x14ac:dyDescent="0.2">
      <c r="A4843" s="9" t="s">
        <v>483</v>
      </c>
      <c r="B4843" s="9" t="s">
        <v>118</v>
      </c>
      <c r="C4843" s="3"/>
      <c r="D4843" s="3" t="s">
        <v>828</v>
      </c>
      <c r="E4843" s="4"/>
      <c r="F4843" s="3" t="s">
        <v>126</v>
      </c>
      <c r="G4843" s="9"/>
      <c r="H4843" s="9">
        <v>296</v>
      </c>
      <c r="I4843" s="12"/>
      <c r="J4843" s="5" t="e">
        <f>SUM(SUMIFS(#REF!,#REF!,Planning[[#This Row],[Tipo de Tarea y especialidad]],#REF!,Planning[[#This Row],[Proyectos Reiwa]]),SUMIFS(#REF!,#REF!,Planning[[#This Row],[Tipo de Tarea y especialidad]],#REF!,Planning[[#This Row],[Proyectos]]))</f>
        <v>#REF!</v>
      </c>
      <c r="K4843" s="5" t="e">
        <f>+Planning[[#This Row],[Horas Planificadas]]+Planning[[#This Row],[Horas ajustadas adicionales]]-Planning[[#This Row],[Horas utilizadas]]</f>
        <v>#REF!</v>
      </c>
      <c r="L4843" s="7">
        <v>0</v>
      </c>
      <c r="M4843" s="19" t="e">
        <f>Planning[[#This Row],[Saldo]]-Planning[[#This Row],[Saldo estimado]]</f>
        <v>#REF!</v>
      </c>
      <c r="N4843" s="60" t="e">
        <f>+SUMIFS(#REF!,#REF!,Planning[[#This Row],[Proyectos]],#REF!,Planning[[#This Row],[Tipo de Tarea y especialidad]])</f>
        <v>#REF!</v>
      </c>
      <c r="O4843" s="19">
        <f t="shared" si="151"/>
        <v>10</v>
      </c>
      <c r="P4843" s="19">
        <f t="shared" si="152"/>
        <v>2024</v>
      </c>
      <c r="Q48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43" s="49" t="str">
        <f>TEXT(Planning[[#This Row],[Mes]]*29,"mmmm")</f>
        <v>October</v>
      </c>
      <c r="S484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43" s="196"/>
      <c r="U4843" s="43"/>
      <c r="V4843" s="43"/>
      <c r="W4843" s="44"/>
    </row>
    <row r="4844" spans="1:23" x14ac:dyDescent="0.2">
      <c r="A4844" s="9" t="s">
        <v>483</v>
      </c>
      <c r="B4844" s="9" t="s">
        <v>118</v>
      </c>
      <c r="C4844" s="3"/>
      <c r="D4844" s="3" t="s">
        <v>828</v>
      </c>
      <c r="E4844" s="4"/>
      <c r="F4844" s="3" t="s">
        <v>127</v>
      </c>
      <c r="G4844" s="9"/>
      <c r="H4844" s="9">
        <v>248</v>
      </c>
      <c r="I4844" s="12"/>
      <c r="J4844" s="5" t="e">
        <f>SUM(SUMIFS(#REF!,#REF!,Planning[[#This Row],[Tipo de Tarea y especialidad]],#REF!,Planning[[#This Row],[Proyectos Reiwa]]),SUMIFS(#REF!,#REF!,Planning[[#This Row],[Tipo de Tarea y especialidad]],#REF!,Planning[[#This Row],[Proyectos]]))</f>
        <v>#REF!</v>
      </c>
      <c r="K4844" s="5" t="e">
        <f>+Planning[[#This Row],[Horas Planificadas]]+Planning[[#This Row],[Horas ajustadas adicionales]]-Planning[[#This Row],[Horas utilizadas]]</f>
        <v>#REF!</v>
      </c>
      <c r="L4844" s="7">
        <v>0</v>
      </c>
      <c r="M4844" s="19" t="e">
        <f>Planning[[#This Row],[Saldo]]-Planning[[#This Row],[Saldo estimado]]</f>
        <v>#REF!</v>
      </c>
      <c r="N4844" s="60" t="e">
        <f>+SUMIFS(#REF!,#REF!,Planning[[#This Row],[Proyectos]],#REF!,Planning[[#This Row],[Tipo de Tarea y especialidad]])</f>
        <v>#REF!</v>
      </c>
      <c r="O4844" s="19">
        <f t="shared" si="151"/>
        <v>10</v>
      </c>
      <c r="P4844" s="19">
        <f t="shared" si="152"/>
        <v>2024</v>
      </c>
      <c r="Q48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44" s="49" t="str">
        <f>TEXT(Planning[[#This Row],[Mes]]*29,"mmmm")</f>
        <v>October</v>
      </c>
      <c r="S484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44" s="196"/>
      <c r="U4844" s="43"/>
      <c r="V4844" s="43"/>
      <c r="W4844" s="44"/>
    </row>
    <row r="4845" spans="1:23" x14ac:dyDescent="0.2">
      <c r="A4845" s="9" t="s">
        <v>483</v>
      </c>
      <c r="B4845" s="9" t="s">
        <v>118</v>
      </c>
      <c r="C4845" s="3"/>
      <c r="D4845" s="3" t="s">
        <v>828</v>
      </c>
      <c r="E4845" s="4"/>
      <c r="F4845" s="3" t="s">
        <v>128</v>
      </c>
      <c r="G4845" s="9"/>
      <c r="H4845" s="9"/>
      <c r="I4845" s="12"/>
      <c r="J4845" s="5" t="e">
        <f>SUM(SUMIFS(#REF!,#REF!,Planning[[#This Row],[Tipo de Tarea y especialidad]],#REF!,Planning[[#This Row],[Proyectos Reiwa]]),SUMIFS(#REF!,#REF!,Planning[[#This Row],[Tipo de Tarea y especialidad]],#REF!,Planning[[#This Row],[Proyectos]]))</f>
        <v>#REF!</v>
      </c>
      <c r="K4845" s="5" t="e">
        <f>+Planning[[#This Row],[Horas Planificadas]]+Planning[[#This Row],[Horas ajustadas adicionales]]-Planning[[#This Row],[Horas utilizadas]]</f>
        <v>#REF!</v>
      </c>
      <c r="L4845" s="7" t="e">
        <f>Planning[[#This Row],[Saldo]]</f>
        <v>#REF!</v>
      </c>
      <c r="M4845" s="19" t="e">
        <f>Planning[[#This Row],[Saldo]]-Planning[[#This Row],[Saldo estimado]]</f>
        <v>#REF!</v>
      </c>
      <c r="N4845" s="60" t="e">
        <f>+SUMIFS(#REF!,#REF!,Planning[[#This Row],[Proyectos]],#REF!,Planning[[#This Row],[Tipo de Tarea y especialidad]])</f>
        <v>#REF!</v>
      </c>
      <c r="O4845" s="19">
        <f t="shared" si="151"/>
        <v>10</v>
      </c>
      <c r="P4845" s="19">
        <f t="shared" si="152"/>
        <v>2024</v>
      </c>
      <c r="Q48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45" s="49" t="str">
        <f>TEXT(Planning[[#This Row],[Mes]]*29,"mmmm")</f>
        <v>October</v>
      </c>
      <c r="S484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45" s="196"/>
      <c r="U4845" s="43"/>
      <c r="V4845" s="43"/>
      <c r="W4845" s="44"/>
    </row>
    <row r="4846" spans="1:23" x14ac:dyDescent="0.2">
      <c r="A4846" s="9" t="s">
        <v>483</v>
      </c>
      <c r="B4846" s="9" t="s">
        <v>118</v>
      </c>
      <c r="C4846" s="3"/>
      <c r="D4846" s="3" t="s">
        <v>828</v>
      </c>
      <c r="E4846" s="4" t="s">
        <v>31</v>
      </c>
      <c r="F4846" s="3" t="s">
        <v>31</v>
      </c>
      <c r="G4846" s="9"/>
      <c r="H4846" s="17"/>
      <c r="I4846" s="18"/>
      <c r="J4846" s="14" t="e">
        <f>+SUMIFS(#REF!,#REF!,Planning[[#This Row],[Tarifa]],#REF!,Planning[[#This Row],[Proyectos]])</f>
        <v>#REF!</v>
      </c>
      <c r="K4846" s="14" t="e">
        <f>+Planning[[#This Row],[Horas Planificadas]]+Planning[[#This Row],[Horas ajustadas adicionales]]-Planning[[#This Row],[Horas utilizadas]]</f>
        <v>#REF!</v>
      </c>
      <c r="L4846" s="15" t="e">
        <f>Planning[[#This Row],[Saldo]]</f>
        <v>#REF!</v>
      </c>
      <c r="M4846" s="16" t="e">
        <f>Planning[[#This Row],[Saldo]]-Planning[[#This Row],[Saldo estimado]]</f>
        <v>#REF!</v>
      </c>
      <c r="N4846" s="60"/>
      <c r="O4846" s="16">
        <f t="shared" si="151"/>
        <v>10</v>
      </c>
      <c r="P4846" s="16">
        <f t="shared" si="152"/>
        <v>2024</v>
      </c>
      <c r="Q4846" s="16" t="e">
        <f>+SUMIFS(#REF!,#REF!,Planning[[#This Row],[Tarifa]],#REF!,Planning[[#This Row],[Proyectos]],#REF!,Planning[[#This Row],[Mes]],#REF!,Planning[[#This Row],[Año]])</f>
        <v>#REF!</v>
      </c>
      <c r="R4846" s="50" t="str">
        <f>TEXT(Planning[[#This Row],[Mes]]*29,"mmmm")</f>
        <v>October</v>
      </c>
      <c r="S484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46" s="196"/>
      <c r="U4846" s="43"/>
      <c r="V4846" s="43"/>
      <c r="W4846" s="44"/>
    </row>
    <row r="4847" spans="1:23" ht="22.5" x14ac:dyDescent="0.2">
      <c r="A4847" s="9" t="s">
        <v>483</v>
      </c>
      <c r="B4847" s="9" t="s">
        <v>118</v>
      </c>
      <c r="C4847" s="3"/>
      <c r="D4847" s="3" t="s">
        <v>828</v>
      </c>
      <c r="E4847" s="4" t="s">
        <v>32</v>
      </c>
      <c r="F4847" s="3"/>
      <c r="G4847" s="9"/>
      <c r="H4847" s="14">
        <f>SUM(H4848:H4850)</f>
        <v>670</v>
      </c>
      <c r="I4847" s="14"/>
      <c r="J4847" s="14" t="e">
        <f>SUM(J4848:J4850)</f>
        <v>#REF!</v>
      </c>
      <c r="K4847" s="14" t="e">
        <f>+Planning[[#This Row],[Horas Planificadas]]+Planning[[#This Row],[Horas ajustadas adicionales]]-Planning[[#This Row],[Horas utilizadas]]</f>
        <v>#REF!</v>
      </c>
      <c r="L4847" s="15" t="e">
        <f>SUM(L4848:L4850)</f>
        <v>#REF!</v>
      </c>
      <c r="M4847" s="16" t="e">
        <f>SUM(M4848:M4850)</f>
        <v>#REF!</v>
      </c>
      <c r="N4847" s="60"/>
      <c r="O4847" s="16">
        <f t="shared" si="151"/>
        <v>10</v>
      </c>
      <c r="P4847" s="16">
        <f t="shared" si="152"/>
        <v>2024</v>
      </c>
      <c r="Q4847" s="16" t="e">
        <f>SUM(Q4848:Q4850)</f>
        <v>#REF!</v>
      </c>
      <c r="R4847" s="50" t="str">
        <f>TEXT(Planning[[#This Row],[Mes]]*29,"mmmm")</f>
        <v>October</v>
      </c>
      <c r="S484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47" s="196"/>
      <c r="U4847" s="43"/>
      <c r="V4847" s="43"/>
      <c r="W4847" s="44"/>
    </row>
    <row r="4848" spans="1:23" x14ac:dyDescent="0.2">
      <c r="A4848" s="9" t="s">
        <v>483</v>
      </c>
      <c r="B4848" s="9" t="s">
        <v>118</v>
      </c>
      <c r="C4848" s="3"/>
      <c r="D4848" s="3" t="s">
        <v>828</v>
      </c>
      <c r="E4848" s="4"/>
      <c r="F4848" s="3" t="s">
        <v>129</v>
      </c>
      <c r="G4848" s="9"/>
      <c r="H4848" s="9">
        <v>370</v>
      </c>
      <c r="I4848" s="12"/>
      <c r="J4848" s="5" t="e">
        <f>SUM(SUMIFS(#REF!,#REF!,Planning[[#This Row],[Tipo de Tarea y especialidad]],#REF!,Planning[[#This Row],[Proyectos Reiwa]]),SUMIFS(#REF!,#REF!,Planning[[#This Row],[Tipo de Tarea y especialidad]],#REF!,Planning[[#This Row],[Proyectos]]))</f>
        <v>#REF!</v>
      </c>
      <c r="K4848" s="5" t="e">
        <f>+Planning[[#This Row],[Horas Planificadas]]+Planning[[#This Row],[Horas ajustadas adicionales]]-Planning[[#This Row],[Horas utilizadas]]</f>
        <v>#REF!</v>
      </c>
      <c r="L4848" s="7">
        <v>90</v>
      </c>
      <c r="M4848" s="19" t="e">
        <f>Planning[[#This Row],[Saldo]]-Planning[[#This Row],[Saldo estimado]]</f>
        <v>#REF!</v>
      </c>
      <c r="N4848" s="60" t="e">
        <f>+SUMIFS(#REF!,#REF!,Planning[[#This Row],[Proyectos]],#REF!,Planning[[#This Row],[Tipo de Tarea y especialidad]])</f>
        <v>#REF!</v>
      </c>
      <c r="O4848" s="19">
        <f t="shared" si="151"/>
        <v>10</v>
      </c>
      <c r="P4848" s="19">
        <f t="shared" si="152"/>
        <v>2024</v>
      </c>
      <c r="Q48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48" s="49" t="str">
        <f>TEXT(Planning[[#This Row],[Mes]]*29,"mmmm")</f>
        <v>October</v>
      </c>
      <c r="S484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48" s="196"/>
      <c r="U4848" s="43"/>
      <c r="V4848" s="43"/>
      <c r="W4848" s="44"/>
    </row>
    <row r="4849" spans="1:23" x14ac:dyDescent="0.2">
      <c r="A4849" s="9" t="s">
        <v>483</v>
      </c>
      <c r="B4849" s="9" t="s">
        <v>118</v>
      </c>
      <c r="C4849" s="3"/>
      <c r="D4849" s="3" t="s">
        <v>828</v>
      </c>
      <c r="E4849" s="4"/>
      <c r="F4849" s="3" t="s">
        <v>130</v>
      </c>
      <c r="G4849" s="9"/>
      <c r="H4849" s="9">
        <v>300</v>
      </c>
      <c r="I4849" s="12"/>
      <c r="J4849" s="5" t="e">
        <f>SUM(SUMIFS(#REF!,#REF!,Planning[[#This Row],[Tipo de Tarea y especialidad]],#REF!,Planning[[#This Row],[Proyectos Reiwa]]),SUMIFS(#REF!,#REF!,Planning[[#This Row],[Tipo de Tarea y especialidad]],#REF!,Planning[[#This Row],[Proyectos]]))</f>
        <v>#REF!</v>
      </c>
      <c r="K4849" s="5" t="e">
        <f>+Planning[[#This Row],[Horas Planificadas]]+Planning[[#This Row],[Horas ajustadas adicionales]]-Planning[[#This Row],[Horas utilizadas]]</f>
        <v>#REF!</v>
      </c>
      <c r="L4849" s="7">
        <v>135</v>
      </c>
      <c r="M4849" s="19" t="e">
        <f>Planning[[#This Row],[Saldo]]-Planning[[#This Row],[Saldo estimado]]</f>
        <v>#REF!</v>
      </c>
      <c r="N4849" s="60" t="e">
        <f>+SUMIFS(#REF!,#REF!,Planning[[#This Row],[Proyectos]],#REF!,Planning[[#This Row],[Tipo de Tarea y especialidad]])</f>
        <v>#REF!</v>
      </c>
      <c r="O4849" s="19">
        <f t="shared" si="151"/>
        <v>10</v>
      </c>
      <c r="P4849" s="19">
        <f t="shared" si="152"/>
        <v>2024</v>
      </c>
      <c r="Q48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49" s="49" t="str">
        <f>TEXT(Planning[[#This Row],[Mes]]*29,"mmmm")</f>
        <v>October</v>
      </c>
      <c r="S484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49" s="196"/>
      <c r="U4849" s="43"/>
      <c r="V4849" s="43"/>
      <c r="W4849" s="44"/>
    </row>
    <row r="4850" spans="1:23" x14ac:dyDescent="0.2">
      <c r="A4850" s="9" t="s">
        <v>483</v>
      </c>
      <c r="B4850" s="9" t="s">
        <v>118</v>
      </c>
      <c r="C4850" s="3"/>
      <c r="D4850" s="3" t="s">
        <v>828</v>
      </c>
      <c r="E4850" s="4"/>
      <c r="F4850" s="3" t="s">
        <v>131</v>
      </c>
      <c r="G4850" s="9"/>
      <c r="H4850" s="9"/>
      <c r="I4850" s="12"/>
      <c r="J4850" s="5" t="e">
        <f>SUM(SUMIFS(#REF!,#REF!,Planning[[#This Row],[Tipo de Tarea y especialidad]],#REF!,Planning[[#This Row],[Proyectos Reiwa]]),SUMIFS(#REF!,#REF!,Planning[[#This Row],[Tipo de Tarea y especialidad]],#REF!,Planning[[#This Row],[Proyectos]]))</f>
        <v>#REF!</v>
      </c>
      <c r="K4850" s="5" t="e">
        <f>+Planning[[#This Row],[Horas Planificadas]]+Planning[[#This Row],[Horas ajustadas adicionales]]-Planning[[#This Row],[Horas utilizadas]]</f>
        <v>#REF!</v>
      </c>
      <c r="L4850" s="7" t="e">
        <f>Planning[[#This Row],[Saldo]]</f>
        <v>#REF!</v>
      </c>
      <c r="M4850" s="19" t="e">
        <f>Planning[[#This Row],[Saldo]]-Planning[[#This Row],[Saldo estimado]]</f>
        <v>#REF!</v>
      </c>
      <c r="N4850" s="60" t="e">
        <f>+SUMIFS(#REF!,#REF!,Planning[[#This Row],[Proyectos]],#REF!,Planning[[#This Row],[Tipo de Tarea y especialidad]])</f>
        <v>#REF!</v>
      </c>
      <c r="O4850" s="19">
        <f t="shared" si="151"/>
        <v>10</v>
      </c>
      <c r="P4850" s="19">
        <f t="shared" si="152"/>
        <v>2024</v>
      </c>
      <c r="Q48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50" s="51" t="str">
        <f>TEXT(Planning[[#This Row],[Mes]]*29,"mmmm")</f>
        <v>October</v>
      </c>
      <c r="S4850"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50" s="197"/>
      <c r="U4850" s="43"/>
      <c r="V4850" s="43"/>
      <c r="W4850" s="44"/>
    </row>
    <row r="4851" spans="1:23" ht="13.35" customHeight="1" x14ac:dyDescent="0.2">
      <c r="A4851" s="9" t="s">
        <v>626</v>
      </c>
      <c r="B4851" s="9" t="s">
        <v>288</v>
      </c>
      <c r="C4851" s="3"/>
      <c r="D4851" s="3" t="s">
        <v>830</v>
      </c>
      <c r="E4851" s="4" t="s">
        <v>28</v>
      </c>
      <c r="F4851" s="3"/>
      <c r="G4851" s="11"/>
      <c r="H4851" s="20">
        <f>SUM(H4852:H4853)</f>
        <v>30</v>
      </c>
      <c r="I4851" s="12"/>
      <c r="J4851" s="14" t="e">
        <f>SUM(J4852:J4853)</f>
        <v>#REF!</v>
      </c>
      <c r="K4851" s="5" t="e">
        <f>+Planning[[#This Row],[Horas Planificadas]]+Planning[[#This Row],[Horas ajustadas adicionales]]-Planning[[#This Row],[Horas utilizadas]]</f>
        <v>#REF!</v>
      </c>
      <c r="L4851" s="9">
        <f>SUM(L4852:L4853)</f>
        <v>0</v>
      </c>
      <c r="M4851" s="19" t="e">
        <f>SUM(M4852:M4853)</f>
        <v>#REF!</v>
      </c>
      <c r="N4851" s="62" t="e">
        <f>+SUMIFS(#REF!,#REF!,Planning[[#This Row],[Proyectos]],#REF!,Planning[[#This Row],[Tipo de Tarea y especialidad]])</f>
        <v>#REF!</v>
      </c>
      <c r="O4851" s="34">
        <f t="shared" ref="O4851:O4914" si="153">$L$4</f>
        <v>10</v>
      </c>
      <c r="P4851" s="34">
        <f t="shared" ref="P4851:P4914" si="154">$M$4</f>
        <v>2024</v>
      </c>
      <c r="Q4851" s="28" t="e">
        <f>SUM(Q4852:Q4853)</f>
        <v>#REF!</v>
      </c>
      <c r="R4851" s="28" t="str">
        <f>TEXT(Planning[[#This Row],[Mes]]*29,"mmmm")</f>
        <v>October</v>
      </c>
      <c r="S48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51" s="207" t="s">
        <v>831</v>
      </c>
      <c r="U4851" s="43"/>
      <c r="V4851" s="43"/>
      <c r="W4851" s="44"/>
    </row>
    <row r="4852" spans="1:23" x14ac:dyDescent="0.2">
      <c r="A4852" s="9" t="s">
        <v>626</v>
      </c>
      <c r="B4852" s="9" t="s">
        <v>288</v>
      </c>
      <c r="C4852" s="3"/>
      <c r="D4852" s="3" t="s">
        <v>830</v>
      </c>
      <c r="E4852" s="4"/>
      <c r="F4852" s="3" t="s">
        <v>120</v>
      </c>
      <c r="G4852" s="53">
        <v>20</v>
      </c>
      <c r="H4852" s="20">
        <v>20</v>
      </c>
      <c r="I4852" s="12"/>
      <c r="J4852" s="5" t="e">
        <f>SUM(SUMIFS(#REF!,#REF!,Planning[[#This Row],[Tipo de Tarea y especialidad]],#REF!,Planning[[#This Row],[Proyectos Reiwa]]),SUMIFS(#REF!,#REF!,Planning[[#This Row],[Tipo de Tarea y especialidad]],#REF!,Planning[[#This Row],[Proyectos]]))</f>
        <v>#REF!</v>
      </c>
      <c r="K4852" s="5" t="e">
        <f>+Planning[[#This Row],[Horas Planificadas]]+Planning[[#This Row],[Horas ajustadas adicionales]]-Planning[[#This Row],[Horas utilizadas]]</f>
        <v>#REF!</v>
      </c>
      <c r="L4852" s="9">
        <v>0</v>
      </c>
      <c r="M4852" s="19" t="e">
        <f>Planning[[#This Row],[Saldo]]-Planning[[#This Row],[Saldo estimado]]</f>
        <v>#REF!</v>
      </c>
      <c r="N4852" s="62" t="e">
        <f>+SUMIFS(#REF!,#REF!,Planning[[#This Row],[Proyectos]],#REF!,Planning[[#This Row],[Tipo de Tarea y especialidad]])</f>
        <v>#REF!</v>
      </c>
      <c r="O4852" s="34">
        <f t="shared" si="153"/>
        <v>10</v>
      </c>
      <c r="P4852" s="34">
        <f t="shared" si="154"/>
        <v>2024</v>
      </c>
      <c r="Q48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52" s="19" t="str">
        <f>TEXT(Planning[[#This Row],[Mes]]*29,"mmmm")</f>
        <v>October</v>
      </c>
      <c r="S48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52" s="208"/>
      <c r="U4852" s="43"/>
      <c r="V4852" s="43"/>
      <c r="W4852" s="44"/>
    </row>
    <row r="4853" spans="1:23" x14ac:dyDescent="0.2">
      <c r="A4853" s="9" t="s">
        <v>626</v>
      </c>
      <c r="B4853" s="9" t="s">
        <v>288</v>
      </c>
      <c r="C4853" s="3"/>
      <c r="D4853" s="3" t="s">
        <v>830</v>
      </c>
      <c r="E4853" s="4"/>
      <c r="F4853" s="3" t="s">
        <v>121</v>
      </c>
      <c r="G4853" s="53">
        <v>10</v>
      </c>
      <c r="H4853" s="20">
        <v>10</v>
      </c>
      <c r="I4853" s="12"/>
      <c r="J4853" s="5" t="e">
        <f>SUM(SUMIFS(#REF!,#REF!,Planning[[#This Row],[Tipo de Tarea y especialidad]],#REF!,Planning[[#This Row],[Proyectos Reiwa]]),SUMIFS(#REF!,#REF!,Planning[[#This Row],[Tipo de Tarea y especialidad]],#REF!,Planning[[#This Row],[Proyectos]]))</f>
        <v>#REF!</v>
      </c>
      <c r="K4853" s="5" t="e">
        <f>+Planning[[#This Row],[Horas Planificadas]]+Planning[[#This Row],[Horas ajustadas adicionales]]-Planning[[#This Row],[Horas utilizadas]]</f>
        <v>#REF!</v>
      </c>
      <c r="L4853" s="9">
        <v>0</v>
      </c>
      <c r="M4853" s="19" t="e">
        <f>Planning[[#This Row],[Saldo]]-Planning[[#This Row],[Saldo estimado]]</f>
        <v>#REF!</v>
      </c>
      <c r="N4853" s="62" t="e">
        <f>+SUMIFS(#REF!,#REF!,Planning[[#This Row],[Proyectos]],#REF!,Planning[[#This Row],[Tipo de Tarea y especialidad]])</f>
        <v>#REF!</v>
      </c>
      <c r="O4853" s="34">
        <f t="shared" si="153"/>
        <v>10</v>
      </c>
      <c r="P4853" s="34">
        <f t="shared" si="154"/>
        <v>2024</v>
      </c>
      <c r="Q48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53" s="19" t="str">
        <f>TEXT(Planning[[#This Row],[Mes]]*29,"mmmm")</f>
        <v>October</v>
      </c>
      <c r="S48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53" s="208"/>
      <c r="U4853" s="43"/>
      <c r="V4853" s="43"/>
      <c r="W4853" s="44"/>
    </row>
    <row r="4854" spans="1:23" x14ac:dyDescent="0.2">
      <c r="A4854" s="9" t="s">
        <v>626</v>
      </c>
      <c r="B4854" s="9" t="s">
        <v>288</v>
      </c>
      <c r="C4854" s="3"/>
      <c r="D4854" s="3" t="s">
        <v>830</v>
      </c>
      <c r="E4854" s="4" t="s">
        <v>30</v>
      </c>
      <c r="F4854" s="3"/>
      <c r="G4854" s="53"/>
      <c r="H4854" s="20">
        <f>SUM(H4855:H4861)</f>
        <v>65</v>
      </c>
      <c r="I4854" s="12"/>
      <c r="J4854" s="14" t="e">
        <f>SUM(J4855:J4861)</f>
        <v>#REF!</v>
      </c>
      <c r="K4854" s="5" t="e">
        <f>+Planning[[#This Row],[Horas Planificadas]]+Planning[[#This Row],[Horas ajustadas adicionales]]-Planning[[#This Row],[Horas utilizadas]]</f>
        <v>#REF!</v>
      </c>
      <c r="L4854" s="9">
        <f>SUM(L4855:L4861)</f>
        <v>0</v>
      </c>
      <c r="M4854" s="19" t="e">
        <f>SUM(M4855:M4861)</f>
        <v>#REF!</v>
      </c>
      <c r="N4854" s="62" t="e">
        <f>+SUMIFS(#REF!,#REF!,Planning[[#This Row],[Proyectos]],#REF!,Planning[[#This Row],[Tipo de Tarea y especialidad]])</f>
        <v>#REF!</v>
      </c>
      <c r="O4854" s="34">
        <f t="shared" si="153"/>
        <v>10</v>
      </c>
      <c r="P4854" s="34">
        <f t="shared" si="154"/>
        <v>2024</v>
      </c>
      <c r="Q4854" s="16" t="e">
        <f>SUM(Q4855:Q4861)</f>
        <v>#REF!</v>
      </c>
      <c r="R4854" s="16" t="str">
        <f>TEXT(Planning[[#This Row],[Mes]]*29,"mmmm")</f>
        <v>October</v>
      </c>
      <c r="S48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54" s="208"/>
      <c r="U4854" s="43"/>
      <c r="V4854" s="43"/>
      <c r="W4854" s="44"/>
    </row>
    <row r="4855" spans="1:23" x14ac:dyDescent="0.2">
      <c r="A4855" s="9" t="s">
        <v>626</v>
      </c>
      <c r="B4855" s="9" t="s">
        <v>288</v>
      </c>
      <c r="C4855" s="3"/>
      <c r="D4855" s="3" t="s">
        <v>830</v>
      </c>
      <c r="E4855" s="4"/>
      <c r="F4855" s="3" t="s">
        <v>122</v>
      </c>
      <c r="G4855" s="53"/>
      <c r="H4855" s="20"/>
      <c r="I4855" s="12"/>
      <c r="J4855" s="5" t="e">
        <f>SUM(SUMIFS(#REF!,#REF!,Planning[[#This Row],[Tipo de Tarea y especialidad]],#REF!,Planning[[#This Row],[Proyectos Reiwa]]),SUMIFS(#REF!,#REF!,Planning[[#This Row],[Tipo de Tarea y especialidad]],#REF!,Planning[[#This Row],[Proyectos]]))</f>
        <v>#REF!</v>
      </c>
      <c r="K4855" s="5" t="e">
        <f>+Planning[[#This Row],[Horas Planificadas]]+Planning[[#This Row],[Horas ajustadas adicionales]]-Planning[[#This Row],[Horas utilizadas]]</f>
        <v>#REF!</v>
      </c>
      <c r="L4855" s="9"/>
      <c r="M4855" s="19" t="e">
        <f>Planning[[#This Row],[Saldo]]-Planning[[#This Row],[Saldo estimado]]</f>
        <v>#REF!</v>
      </c>
      <c r="N4855" s="62" t="e">
        <f>+SUMIFS(#REF!,#REF!,Planning[[#This Row],[Proyectos]],#REF!,Planning[[#This Row],[Tipo de Tarea y especialidad]])</f>
        <v>#REF!</v>
      </c>
      <c r="O4855" s="34">
        <f t="shared" si="153"/>
        <v>10</v>
      </c>
      <c r="P4855" s="34">
        <f t="shared" si="154"/>
        <v>2024</v>
      </c>
      <c r="Q48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55" s="19" t="str">
        <f>TEXT(Planning[[#This Row],[Mes]]*29,"mmmm")</f>
        <v>October</v>
      </c>
      <c r="S48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55" s="208"/>
      <c r="U4855" s="43"/>
      <c r="V4855" s="43"/>
      <c r="W4855" s="44"/>
    </row>
    <row r="4856" spans="1:23" x14ac:dyDescent="0.2">
      <c r="A4856" s="9" t="s">
        <v>626</v>
      </c>
      <c r="B4856" s="9" t="s">
        <v>288</v>
      </c>
      <c r="C4856" s="3"/>
      <c r="D4856" s="3" t="s">
        <v>830</v>
      </c>
      <c r="E4856" s="4"/>
      <c r="F4856" s="3" t="s">
        <v>123</v>
      </c>
      <c r="G4856" s="53"/>
      <c r="H4856" s="20"/>
      <c r="I4856" s="12"/>
      <c r="J4856" s="5" t="e">
        <f>SUM(SUMIFS(#REF!,#REF!,Planning[[#This Row],[Tipo de Tarea y especialidad]],#REF!,Planning[[#This Row],[Proyectos Reiwa]]),SUMIFS(#REF!,#REF!,Planning[[#This Row],[Tipo de Tarea y especialidad]],#REF!,Planning[[#This Row],[Proyectos]]))</f>
        <v>#REF!</v>
      </c>
      <c r="K4856" s="5" t="e">
        <f>+Planning[[#This Row],[Horas Planificadas]]+Planning[[#This Row],[Horas ajustadas adicionales]]-Planning[[#This Row],[Horas utilizadas]]</f>
        <v>#REF!</v>
      </c>
      <c r="L4856" s="9"/>
      <c r="M4856" s="19" t="e">
        <f>Planning[[#This Row],[Saldo]]-Planning[[#This Row],[Saldo estimado]]</f>
        <v>#REF!</v>
      </c>
      <c r="N4856" s="62" t="e">
        <f>+SUMIFS(#REF!,#REF!,Planning[[#This Row],[Proyectos]],#REF!,Planning[[#This Row],[Tipo de Tarea y especialidad]])</f>
        <v>#REF!</v>
      </c>
      <c r="O4856" s="34">
        <f t="shared" si="153"/>
        <v>10</v>
      </c>
      <c r="P4856" s="34">
        <f t="shared" si="154"/>
        <v>2024</v>
      </c>
      <c r="Q48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56" s="19" t="str">
        <f>TEXT(Planning[[#This Row],[Mes]]*29,"mmmm")</f>
        <v>October</v>
      </c>
      <c r="S48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56" s="208"/>
      <c r="U4856" s="43"/>
      <c r="V4856" s="43"/>
      <c r="W4856" s="44"/>
    </row>
    <row r="4857" spans="1:23" x14ac:dyDescent="0.2">
      <c r="A4857" s="9" t="s">
        <v>626</v>
      </c>
      <c r="B4857" s="9" t="s">
        <v>288</v>
      </c>
      <c r="C4857" s="3"/>
      <c r="D4857" s="3" t="s">
        <v>830</v>
      </c>
      <c r="E4857" s="4"/>
      <c r="F4857" s="3" t="s">
        <v>124</v>
      </c>
      <c r="G4857" s="53">
        <v>35</v>
      </c>
      <c r="H4857" s="20">
        <v>35</v>
      </c>
      <c r="I4857" s="12"/>
      <c r="J4857" s="5" t="e">
        <f>SUM(SUMIFS(#REF!,#REF!,Planning[[#This Row],[Tipo de Tarea y especialidad]],#REF!,Planning[[#This Row],[Proyectos Reiwa]]),SUMIFS(#REF!,#REF!,Planning[[#This Row],[Tipo de Tarea y especialidad]],#REF!,Planning[[#This Row],[Proyectos]]))</f>
        <v>#REF!</v>
      </c>
      <c r="K4857" s="5" t="e">
        <f>+Planning[[#This Row],[Horas Planificadas]]+Planning[[#This Row],[Horas ajustadas adicionales]]-Planning[[#This Row],[Horas utilizadas]]</f>
        <v>#REF!</v>
      </c>
      <c r="L4857" s="9">
        <v>0</v>
      </c>
      <c r="M4857" s="19" t="e">
        <f>Planning[[#This Row],[Saldo]]-Planning[[#This Row],[Saldo estimado]]</f>
        <v>#REF!</v>
      </c>
      <c r="N4857" s="62" t="e">
        <f>+SUMIFS(#REF!,#REF!,Planning[[#This Row],[Proyectos]],#REF!,Planning[[#This Row],[Tipo de Tarea y especialidad]])</f>
        <v>#REF!</v>
      </c>
      <c r="O4857" s="34">
        <f t="shared" si="153"/>
        <v>10</v>
      </c>
      <c r="P4857" s="34">
        <f t="shared" si="154"/>
        <v>2024</v>
      </c>
      <c r="Q48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57" s="19" t="str">
        <f>TEXT(Planning[[#This Row],[Mes]]*29,"mmmm")</f>
        <v>October</v>
      </c>
      <c r="S48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57" s="208"/>
      <c r="U4857" s="43"/>
      <c r="V4857" s="43"/>
      <c r="W4857" s="44"/>
    </row>
    <row r="4858" spans="1:23" x14ac:dyDescent="0.2">
      <c r="A4858" s="9" t="s">
        <v>626</v>
      </c>
      <c r="B4858" s="9" t="s">
        <v>288</v>
      </c>
      <c r="C4858" s="3"/>
      <c r="D4858" s="3" t="s">
        <v>830</v>
      </c>
      <c r="E4858" s="4"/>
      <c r="F4858" s="3" t="s">
        <v>125</v>
      </c>
      <c r="G4858" s="53"/>
      <c r="H4858" s="20"/>
      <c r="I4858" s="12"/>
      <c r="J4858" s="5" t="e">
        <f>SUM(SUMIFS(#REF!,#REF!,Planning[[#This Row],[Tipo de Tarea y especialidad]],#REF!,Planning[[#This Row],[Proyectos Reiwa]]),SUMIFS(#REF!,#REF!,Planning[[#This Row],[Tipo de Tarea y especialidad]],#REF!,Planning[[#This Row],[Proyectos]]))</f>
        <v>#REF!</v>
      </c>
      <c r="K4858" s="5" t="e">
        <f>+Planning[[#This Row],[Horas Planificadas]]+Planning[[#This Row],[Horas ajustadas adicionales]]-Planning[[#This Row],[Horas utilizadas]]</f>
        <v>#REF!</v>
      </c>
      <c r="L4858" s="9"/>
      <c r="M4858" s="19" t="e">
        <f>Planning[[#This Row],[Saldo]]-Planning[[#This Row],[Saldo estimado]]</f>
        <v>#REF!</v>
      </c>
      <c r="N4858" s="62" t="e">
        <f>+SUMIFS(#REF!,#REF!,Planning[[#This Row],[Proyectos]],#REF!,Planning[[#This Row],[Tipo de Tarea y especialidad]])</f>
        <v>#REF!</v>
      </c>
      <c r="O4858" s="34">
        <f t="shared" si="153"/>
        <v>10</v>
      </c>
      <c r="P4858" s="34">
        <f t="shared" si="154"/>
        <v>2024</v>
      </c>
      <c r="Q48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58" s="19" t="str">
        <f>TEXT(Planning[[#This Row],[Mes]]*29,"mmmm")</f>
        <v>October</v>
      </c>
      <c r="S48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58" s="208"/>
      <c r="U4858" s="43"/>
      <c r="V4858" s="43"/>
      <c r="W4858" s="44"/>
    </row>
    <row r="4859" spans="1:23" x14ac:dyDescent="0.2">
      <c r="A4859" s="9" t="s">
        <v>626</v>
      </c>
      <c r="B4859" s="9" t="s">
        <v>288</v>
      </c>
      <c r="C4859" s="3"/>
      <c r="D4859" s="3" t="s">
        <v>830</v>
      </c>
      <c r="E4859" s="4"/>
      <c r="F4859" s="3" t="s">
        <v>126</v>
      </c>
      <c r="G4859" s="53"/>
      <c r="H4859" s="20"/>
      <c r="I4859" s="12"/>
      <c r="J4859" s="5" t="e">
        <f>SUM(SUMIFS(#REF!,#REF!,Planning[[#This Row],[Tipo de Tarea y especialidad]],#REF!,Planning[[#This Row],[Proyectos Reiwa]]),SUMIFS(#REF!,#REF!,Planning[[#This Row],[Tipo de Tarea y especialidad]],#REF!,Planning[[#This Row],[Proyectos]]))</f>
        <v>#REF!</v>
      </c>
      <c r="K4859" s="5" t="e">
        <f>+Planning[[#This Row],[Horas Planificadas]]+Planning[[#This Row],[Horas ajustadas adicionales]]-Planning[[#This Row],[Horas utilizadas]]</f>
        <v>#REF!</v>
      </c>
      <c r="L4859" s="9"/>
      <c r="M4859" s="19" t="e">
        <f>Planning[[#This Row],[Saldo]]-Planning[[#This Row],[Saldo estimado]]</f>
        <v>#REF!</v>
      </c>
      <c r="N4859" s="62" t="e">
        <f>+SUMIFS(#REF!,#REF!,Planning[[#This Row],[Proyectos]],#REF!,Planning[[#This Row],[Tipo de Tarea y especialidad]])</f>
        <v>#REF!</v>
      </c>
      <c r="O4859" s="34">
        <f t="shared" si="153"/>
        <v>10</v>
      </c>
      <c r="P4859" s="34">
        <f t="shared" si="154"/>
        <v>2024</v>
      </c>
      <c r="Q48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59" s="19" t="str">
        <f>TEXT(Planning[[#This Row],[Mes]]*29,"mmmm")</f>
        <v>October</v>
      </c>
      <c r="S48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59" s="208"/>
      <c r="U4859" s="43"/>
      <c r="V4859" s="43"/>
      <c r="W4859" s="44"/>
    </row>
    <row r="4860" spans="1:23" x14ac:dyDescent="0.2">
      <c r="A4860" s="9" t="s">
        <v>626</v>
      </c>
      <c r="B4860" s="9" t="s">
        <v>288</v>
      </c>
      <c r="C4860" s="3"/>
      <c r="D4860" s="3" t="s">
        <v>830</v>
      </c>
      <c r="E4860" s="4"/>
      <c r="F4860" s="3" t="s">
        <v>127</v>
      </c>
      <c r="G4860" s="53"/>
      <c r="H4860" s="20"/>
      <c r="I4860" s="12"/>
      <c r="J4860" s="5" t="e">
        <f>SUM(SUMIFS(#REF!,#REF!,Planning[[#This Row],[Tipo de Tarea y especialidad]],#REF!,Planning[[#This Row],[Proyectos Reiwa]]),SUMIFS(#REF!,#REF!,Planning[[#This Row],[Tipo de Tarea y especialidad]],#REF!,Planning[[#This Row],[Proyectos]]))</f>
        <v>#REF!</v>
      </c>
      <c r="K4860" s="5" t="e">
        <f>+Planning[[#This Row],[Horas Planificadas]]+Planning[[#This Row],[Horas ajustadas adicionales]]-Planning[[#This Row],[Horas utilizadas]]</f>
        <v>#REF!</v>
      </c>
      <c r="L4860" s="9"/>
      <c r="M4860" s="19" t="e">
        <f>Planning[[#This Row],[Saldo]]-Planning[[#This Row],[Saldo estimado]]</f>
        <v>#REF!</v>
      </c>
      <c r="N4860" s="62" t="e">
        <f>+SUMIFS(#REF!,#REF!,Planning[[#This Row],[Proyectos]],#REF!,Planning[[#This Row],[Tipo de Tarea y especialidad]])</f>
        <v>#REF!</v>
      </c>
      <c r="O4860" s="34">
        <f t="shared" si="153"/>
        <v>10</v>
      </c>
      <c r="P4860" s="34">
        <f t="shared" si="154"/>
        <v>2024</v>
      </c>
      <c r="Q48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60" s="19" t="str">
        <f>TEXT(Planning[[#This Row],[Mes]]*29,"mmmm")</f>
        <v>October</v>
      </c>
      <c r="S48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60" s="208"/>
      <c r="U4860" s="43"/>
      <c r="V4860" s="43"/>
      <c r="W4860" s="44"/>
    </row>
    <row r="4861" spans="1:23" x14ac:dyDescent="0.2">
      <c r="A4861" s="9" t="s">
        <v>626</v>
      </c>
      <c r="B4861" s="9" t="s">
        <v>288</v>
      </c>
      <c r="C4861" s="3"/>
      <c r="D4861" s="3" t="s">
        <v>830</v>
      </c>
      <c r="E4861" s="4"/>
      <c r="F4861" s="3" t="s">
        <v>128</v>
      </c>
      <c r="G4861" s="53">
        <v>30</v>
      </c>
      <c r="H4861" s="20">
        <v>30</v>
      </c>
      <c r="I4861" s="12"/>
      <c r="J4861" s="5" t="e">
        <f>SUM(SUMIFS(#REF!,#REF!,Planning[[#This Row],[Tipo de Tarea y especialidad]],#REF!,Planning[[#This Row],[Proyectos Reiwa]]),SUMIFS(#REF!,#REF!,Planning[[#This Row],[Tipo de Tarea y especialidad]],#REF!,Planning[[#This Row],[Proyectos]]))</f>
        <v>#REF!</v>
      </c>
      <c r="K4861" s="5" t="e">
        <f>+Planning[[#This Row],[Horas Planificadas]]+Planning[[#This Row],[Horas ajustadas adicionales]]-Planning[[#This Row],[Horas utilizadas]]</f>
        <v>#REF!</v>
      </c>
      <c r="L4861" s="9">
        <v>0</v>
      </c>
      <c r="M4861" s="19" t="e">
        <f>Planning[[#This Row],[Saldo]]-Planning[[#This Row],[Saldo estimado]]</f>
        <v>#REF!</v>
      </c>
      <c r="N4861" s="62" t="e">
        <f>+SUMIFS(#REF!,#REF!,Planning[[#This Row],[Proyectos]],#REF!,Planning[[#This Row],[Tipo de Tarea y especialidad]])</f>
        <v>#REF!</v>
      </c>
      <c r="O4861" s="34">
        <f t="shared" si="153"/>
        <v>10</v>
      </c>
      <c r="P4861" s="34">
        <f t="shared" si="154"/>
        <v>2024</v>
      </c>
      <c r="Q48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61" s="19" t="str">
        <f>TEXT(Planning[[#This Row],[Mes]]*29,"mmmm")</f>
        <v>October</v>
      </c>
      <c r="S48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61" s="208"/>
      <c r="U4861" s="43"/>
      <c r="V4861" s="43"/>
      <c r="W4861" s="44"/>
    </row>
    <row r="4862" spans="1:23" x14ac:dyDescent="0.2">
      <c r="A4862" s="9" t="s">
        <v>626</v>
      </c>
      <c r="B4862" s="9" t="s">
        <v>288</v>
      </c>
      <c r="C4862" s="3"/>
      <c r="D4862" s="3" t="s">
        <v>830</v>
      </c>
      <c r="E4862" s="4" t="s">
        <v>31</v>
      </c>
      <c r="F4862" s="3" t="s">
        <v>31</v>
      </c>
      <c r="G4862" s="53">
        <v>40</v>
      </c>
      <c r="H4862" s="20">
        <v>40</v>
      </c>
      <c r="I4862" s="12"/>
      <c r="J4862" s="14" t="e">
        <f>+SUMIFS(#REF!,#REF!,Planning[[#This Row],[Tarifa]],#REF!,Planning[[#This Row],[Proyectos]])</f>
        <v>#REF!</v>
      </c>
      <c r="K4862" s="5" t="e">
        <f>+Planning[[#This Row],[Horas Planificadas]]+Planning[[#This Row],[Horas ajustadas adicionales]]-Planning[[#This Row],[Horas utilizadas]]</f>
        <v>#REF!</v>
      </c>
      <c r="L4862" s="9" t="e">
        <f>Planning[[#This Row],[Saldo]]</f>
        <v>#REF!</v>
      </c>
      <c r="M4862" s="19" t="e">
        <f>Planning[[#This Row],[Saldo]]-Planning[[#This Row],[Saldo estimado]]</f>
        <v>#REF!</v>
      </c>
      <c r="N4862" s="62" t="e">
        <f>+SUMIFS(#REF!,#REF!,Planning[[#This Row],[Proyectos]],#REF!,Planning[[#This Row],[Tipo de Tarea y especialidad]])</f>
        <v>#REF!</v>
      </c>
      <c r="O4862" s="34">
        <f t="shared" si="153"/>
        <v>10</v>
      </c>
      <c r="P4862" s="34">
        <f t="shared" si="154"/>
        <v>2024</v>
      </c>
      <c r="Q4862" s="16" t="e">
        <f>+SUMIFS(#REF!,#REF!,Planning[[#This Row],[Tarifa]],#REF!,Planning[[#This Row],[Proyectos]],#REF!,Planning[[#This Row],[Mes]],#REF!,Planning[[#This Row],[Año]])</f>
        <v>#REF!</v>
      </c>
      <c r="R4862" s="16" t="str">
        <f>TEXT(Planning[[#This Row],[Mes]]*29,"mmmm")</f>
        <v>October</v>
      </c>
      <c r="S48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62" s="208"/>
      <c r="U4862" s="43"/>
      <c r="V4862" s="43"/>
      <c r="W4862" s="44"/>
    </row>
    <row r="4863" spans="1:23" ht="22.5" x14ac:dyDescent="0.2">
      <c r="A4863" s="9" t="s">
        <v>626</v>
      </c>
      <c r="B4863" s="9" t="s">
        <v>288</v>
      </c>
      <c r="C4863" s="3"/>
      <c r="D4863" s="3" t="s">
        <v>830</v>
      </c>
      <c r="E4863" s="4" t="s">
        <v>32</v>
      </c>
      <c r="F4863" s="3"/>
      <c r="G4863" s="53"/>
      <c r="H4863" s="20">
        <f>SUM(H4864:H4866)</f>
        <v>140</v>
      </c>
      <c r="I4863" s="12"/>
      <c r="J4863" s="14" t="e">
        <f>SUM(J4864:J4866)</f>
        <v>#REF!</v>
      </c>
      <c r="K4863" s="5" t="e">
        <f>+Planning[[#This Row],[Horas Planificadas]]+Planning[[#This Row],[Horas ajustadas adicionales]]-Planning[[#This Row],[Horas utilizadas]]</f>
        <v>#REF!</v>
      </c>
      <c r="L4863" s="9">
        <f>SUM(L4864:L4866)</f>
        <v>0</v>
      </c>
      <c r="M4863" s="19" t="e">
        <f>SUM(M4864:M4866)</f>
        <v>#REF!</v>
      </c>
      <c r="N4863" s="62" t="e">
        <f>+SUMIFS(#REF!,#REF!,Planning[[#This Row],[Proyectos]],#REF!,Planning[[#This Row],[Tipo de Tarea y especialidad]])</f>
        <v>#REF!</v>
      </c>
      <c r="O4863" s="34">
        <f t="shared" si="153"/>
        <v>10</v>
      </c>
      <c r="P4863" s="34">
        <f t="shared" si="154"/>
        <v>2024</v>
      </c>
      <c r="Q4863" s="16" t="e">
        <f>SUM(Q4864:Q4866)</f>
        <v>#REF!</v>
      </c>
      <c r="R4863" s="16" t="str">
        <f>TEXT(Planning[[#This Row],[Mes]]*29,"mmmm")</f>
        <v>October</v>
      </c>
      <c r="S48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63" s="208"/>
      <c r="U4863" s="43"/>
      <c r="V4863" s="43"/>
      <c r="W4863" s="44"/>
    </row>
    <row r="4864" spans="1:23" x14ac:dyDescent="0.2">
      <c r="A4864" s="9" t="s">
        <v>626</v>
      </c>
      <c r="B4864" s="9" t="s">
        <v>288</v>
      </c>
      <c r="C4864" s="3"/>
      <c r="D4864" s="3" t="s">
        <v>830</v>
      </c>
      <c r="E4864" s="4"/>
      <c r="F4864" s="3" t="s">
        <v>129</v>
      </c>
      <c r="G4864" s="53"/>
      <c r="H4864" s="20"/>
      <c r="I4864" s="12"/>
      <c r="J4864" s="5" t="e">
        <f>SUM(SUMIFS(#REF!,#REF!,Planning[[#This Row],[Tipo de Tarea y especialidad]],#REF!,Planning[[#This Row],[Proyectos Reiwa]]),SUMIFS(#REF!,#REF!,Planning[[#This Row],[Tipo de Tarea y especialidad]],#REF!,Planning[[#This Row],[Proyectos]]))</f>
        <v>#REF!</v>
      </c>
      <c r="K4864" s="5" t="e">
        <f>+Planning[[#This Row],[Horas Planificadas]]+Planning[[#This Row],[Horas ajustadas adicionales]]-Planning[[#This Row],[Horas utilizadas]]</f>
        <v>#REF!</v>
      </c>
      <c r="L4864" s="9"/>
      <c r="M4864" s="19" t="e">
        <f>Planning[[#This Row],[Saldo]]-Planning[[#This Row],[Saldo estimado]]</f>
        <v>#REF!</v>
      </c>
      <c r="N4864" s="62" t="e">
        <f>+SUMIFS(#REF!,#REF!,Planning[[#This Row],[Proyectos]],#REF!,Planning[[#This Row],[Tipo de Tarea y especialidad]])</f>
        <v>#REF!</v>
      </c>
      <c r="O4864" s="34">
        <f t="shared" si="153"/>
        <v>10</v>
      </c>
      <c r="P4864" s="34">
        <f t="shared" si="154"/>
        <v>2024</v>
      </c>
      <c r="Q48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64" s="19" t="str">
        <f>TEXT(Planning[[#This Row],[Mes]]*29,"mmmm")</f>
        <v>October</v>
      </c>
      <c r="S48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64" s="208"/>
      <c r="U4864" s="43"/>
      <c r="V4864" s="43"/>
      <c r="W4864" s="44"/>
    </row>
    <row r="4865" spans="1:23" x14ac:dyDescent="0.2">
      <c r="A4865" s="9" t="s">
        <v>626</v>
      </c>
      <c r="B4865" s="9" t="s">
        <v>288</v>
      </c>
      <c r="C4865" s="3"/>
      <c r="D4865" s="3" t="s">
        <v>830</v>
      </c>
      <c r="E4865" s="4"/>
      <c r="F4865" s="3" t="s">
        <v>130</v>
      </c>
      <c r="G4865" s="53"/>
      <c r="H4865" s="20"/>
      <c r="I4865" s="12"/>
      <c r="J4865" s="5" t="e">
        <f>SUM(SUMIFS(#REF!,#REF!,Planning[[#This Row],[Tipo de Tarea y especialidad]],#REF!,Planning[[#This Row],[Proyectos Reiwa]]),SUMIFS(#REF!,#REF!,Planning[[#This Row],[Tipo de Tarea y especialidad]],#REF!,Planning[[#This Row],[Proyectos]]))</f>
        <v>#REF!</v>
      </c>
      <c r="K4865" s="5" t="e">
        <f>+Planning[[#This Row],[Horas Planificadas]]+Planning[[#This Row],[Horas ajustadas adicionales]]-Planning[[#This Row],[Horas utilizadas]]</f>
        <v>#REF!</v>
      </c>
      <c r="L4865" s="9"/>
      <c r="M4865" s="19" t="e">
        <f>Planning[[#This Row],[Saldo]]-Planning[[#This Row],[Saldo estimado]]</f>
        <v>#REF!</v>
      </c>
      <c r="N4865" s="62" t="e">
        <f>+SUMIFS(#REF!,#REF!,Planning[[#This Row],[Proyectos]],#REF!,Planning[[#This Row],[Tipo de Tarea y especialidad]])</f>
        <v>#REF!</v>
      </c>
      <c r="O4865" s="34">
        <f t="shared" si="153"/>
        <v>10</v>
      </c>
      <c r="P4865" s="34">
        <f t="shared" si="154"/>
        <v>2024</v>
      </c>
      <c r="Q48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65" s="19" t="str">
        <f>TEXT(Planning[[#This Row],[Mes]]*29,"mmmm")</f>
        <v>October</v>
      </c>
      <c r="S48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65" s="208"/>
      <c r="U4865" s="43"/>
      <c r="V4865" s="43"/>
      <c r="W4865" s="44"/>
    </row>
    <row r="4866" spans="1:23" x14ac:dyDescent="0.2">
      <c r="A4866" s="9" t="s">
        <v>626</v>
      </c>
      <c r="B4866" s="9" t="s">
        <v>288</v>
      </c>
      <c r="C4866" s="3"/>
      <c r="D4866" s="3" t="s">
        <v>830</v>
      </c>
      <c r="E4866" s="4"/>
      <c r="F4866" s="3" t="s">
        <v>131</v>
      </c>
      <c r="G4866" s="53">
        <v>140</v>
      </c>
      <c r="H4866" s="20">
        <v>140</v>
      </c>
      <c r="I4866" s="12"/>
      <c r="J4866" s="5" t="e">
        <f>SUM(SUMIFS(#REF!,#REF!,Planning[[#This Row],[Tipo de Tarea y especialidad]],#REF!,Planning[[#This Row],[Proyectos Reiwa]]),SUMIFS(#REF!,#REF!,Planning[[#This Row],[Tipo de Tarea y especialidad]],#REF!,Planning[[#This Row],[Proyectos]]))</f>
        <v>#REF!</v>
      </c>
      <c r="K4866" s="5" t="e">
        <f>+Planning[[#This Row],[Horas Planificadas]]+Planning[[#This Row],[Horas ajustadas adicionales]]-Planning[[#This Row],[Horas utilizadas]]</f>
        <v>#REF!</v>
      </c>
      <c r="L4866" s="9">
        <v>0</v>
      </c>
      <c r="M4866" s="19" t="e">
        <f>Planning[[#This Row],[Saldo]]-Planning[[#This Row],[Saldo estimado]]</f>
        <v>#REF!</v>
      </c>
      <c r="N4866" s="62" t="e">
        <f>+SUMIFS(#REF!,#REF!,Planning[[#This Row],[Proyectos]],#REF!,Planning[[#This Row],[Tipo de Tarea y especialidad]])</f>
        <v>#REF!</v>
      </c>
      <c r="O4866" s="34">
        <f t="shared" si="153"/>
        <v>10</v>
      </c>
      <c r="P4866" s="34">
        <f t="shared" si="154"/>
        <v>2024</v>
      </c>
      <c r="Q48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66" s="19" t="str">
        <f>TEXT(Planning[[#This Row],[Mes]]*29,"mmmm")</f>
        <v>October</v>
      </c>
      <c r="S48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66" s="208"/>
      <c r="U4866" s="43"/>
      <c r="V4866" s="43"/>
      <c r="W4866" s="44"/>
    </row>
    <row r="4867" spans="1:23" ht="22.5" x14ac:dyDescent="0.2">
      <c r="A4867" s="9" t="s">
        <v>168</v>
      </c>
      <c r="B4867" s="9" t="s">
        <v>463</v>
      </c>
      <c r="C4867" s="3" t="s">
        <v>832</v>
      </c>
      <c r="D4867" s="3" t="s">
        <v>833</v>
      </c>
      <c r="E4867" s="4" t="s">
        <v>28</v>
      </c>
      <c r="F4867" s="3"/>
      <c r="G4867" s="9"/>
      <c r="H4867" s="14">
        <f>SUM(H4868:H4869)</f>
        <v>0</v>
      </c>
      <c r="I4867" s="14"/>
      <c r="J4867" s="14" t="e">
        <f>SUM(J4868:J4869)</f>
        <v>#REF!</v>
      </c>
      <c r="K4867" s="14" t="e">
        <f>+Planning[[#This Row],[Horas Planificadas]]+Planning[[#This Row],[Horas ajustadas adicionales]]-Planning[[#This Row],[Horas utilizadas]]</f>
        <v>#REF!</v>
      </c>
      <c r="L4867" s="15" t="e">
        <f>SUM(L4868:L4869)</f>
        <v>#REF!</v>
      </c>
      <c r="M4867" s="14" t="e">
        <f>SUM(M4868:M4869)</f>
        <v>#REF!</v>
      </c>
      <c r="N4867" s="66"/>
      <c r="O4867" s="14">
        <f t="shared" si="153"/>
        <v>10</v>
      </c>
      <c r="P4867" s="14">
        <f t="shared" si="154"/>
        <v>2024</v>
      </c>
      <c r="Q4867" s="28" t="e">
        <f>SUM(Q4868:Q4869)</f>
        <v>#REF!</v>
      </c>
      <c r="R4867" s="24" t="str">
        <f>TEXT(Planning[[#This Row],[Mes]]*29,"mmmm")</f>
        <v>October</v>
      </c>
      <c r="S486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67" s="151" t="s">
        <v>834</v>
      </c>
      <c r="U4867" s="43">
        <f>IF(Planning[[#This Row],[Horas Planificadas]]&lt;&gt;0,+K4867/Planning[[#This Row],[Horas Planificadas]],0)</f>
        <v>0</v>
      </c>
      <c r="V4867" s="43">
        <f>IF(Planning[[#This Row],[Horas Planificadas]]&lt;&gt;0,Planning[[#This Row],[Horas utilizadas]]/Planning[[#This Row],[Horas Planificadas]],0)</f>
        <v>0</v>
      </c>
      <c r="W4867" s="44">
        <f>Planning[[#This Row],[Horas Planificadas]]+Planning[[#This Row],[Horas ajustadas adicionales]]</f>
        <v>0</v>
      </c>
    </row>
    <row r="4868" spans="1:23" ht="22.5" x14ac:dyDescent="0.2">
      <c r="A4868" s="9" t="s">
        <v>168</v>
      </c>
      <c r="B4868" s="9" t="s">
        <v>463</v>
      </c>
      <c r="C4868" s="3" t="s">
        <v>832</v>
      </c>
      <c r="D4868" s="3" t="s">
        <v>833</v>
      </c>
      <c r="E4868" s="4"/>
      <c r="F4868" s="3" t="s">
        <v>120</v>
      </c>
      <c r="G4868" s="9"/>
      <c r="H4868" s="9"/>
      <c r="I4868" s="12"/>
      <c r="J4868" s="5" t="e">
        <f>SUM(SUMIFS(#REF!,#REF!,Planning[[#This Row],[Tipo de Tarea y especialidad]],#REF!,Planning[[#This Row],[Proyectos Reiwa]]),SUMIFS(#REF!,#REF!,Planning[[#This Row],[Tipo de Tarea y especialidad]],#REF!,Planning[[#This Row],[Proyectos]]))</f>
        <v>#REF!</v>
      </c>
      <c r="K4868" s="5" t="e">
        <f>+Planning[[#This Row],[Horas Planificadas]]+Planning[[#This Row],[Horas ajustadas adicionales]]-Planning[[#This Row],[Horas utilizadas]]</f>
        <v>#REF!</v>
      </c>
      <c r="L4868" s="7" t="e">
        <f>Planning[[#This Row],[Saldo]]</f>
        <v>#REF!</v>
      </c>
      <c r="M4868" s="19" t="e">
        <f>Planning[[#This Row],[Saldo]]-Planning[[#This Row],[Saldo estimado]]</f>
        <v>#REF!</v>
      </c>
      <c r="N4868" s="60" t="e">
        <f>+SUMIFS(#REF!,#REF!,Planning[[#This Row],[Proyectos]],#REF!,Planning[[#This Row],[Tipo de Tarea y especialidad]])</f>
        <v>#REF!</v>
      </c>
      <c r="O4868" s="19">
        <f t="shared" si="153"/>
        <v>10</v>
      </c>
      <c r="P4868" s="19">
        <f t="shared" si="154"/>
        <v>2024</v>
      </c>
      <c r="Q48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68" s="49" t="str">
        <f>TEXT(Planning[[#This Row],[Mes]]*29,"mmmm")</f>
        <v>October</v>
      </c>
      <c r="S486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68" s="156"/>
      <c r="U4868" s="43">
        <f>IF(Planning[[#This Row],[Horas Planificadas]]&lt;&gt;0,+K4868/Planning[[#This Row],[Horas Planificadas]],0)</f>
        <v>0</v>
      </c>
      <c r="V4868" s="43">
        <f>IF(Planning[[#This Row],[Horas Planificadas]]&lt;&gt;0,Planning[[#This Row],[Horas utilizadas]]/Planning[[#This Row],[Horas Planificadas]],0)</f>
        <v>0</v>
      </c>
      <c r="W4868" s="44">
        <f>Planning[[#This Row],[Horas Planificadas]]+Planning[[#This Row],[Horas ajustadas adicionales]]</f>
        <v>0</v>
      </c>
    </row>
    <row r="4869" spans="1:23" ht="22.5" x14ac:dyDescent="0.2">
      <c r="A4869" s="9" t="s">
        <v>168</v>
      </c>
      <c r="B4869" s="9" t="s">
        <v>463</v>
      </c>
      <c r="C4869" s="3" t="s">
        <v>832</v>
      </c>
      <c r="D4869" s="3" t="s">
        <v>833</v>
      </c>
      <c r="E4869" s="4"/>
      <c r="F4869" s="3" t="s">
        <v>121</v>
      </c>
      <c r="G4869" s="9"/>
      <c r="H4869" s="9"/>
      <c r="I4869" s="12"/>
      <c r="J4869" s="5" t="e">
        <f>SUM(SUMIFS(#REF!,#REF!,Planning[[#This Row],[Tipo de Tarea y especialidad]],#REF!,Planning[[#This Row],[Proyectos Reiwa]]),SUMIFS(#REF!,#REF!,Planning[[#This Row],[Tipo de Tarea y especialidad]],#REF!,Planning[[#This Row],[Proyectos]]))</f>
        <v>#REF!</v>
      </c>
      <c r="K4869" s="5" t="e">
        <f>+Planning[[#This Row],[Horas Planificadas]]+Planning[[#This Row],[Horas ajustadas adicionales]]-Planning[[#This Row],[Horas utilizadas]]</f>
        <v>#REF!</v>
      </c>
      <c r="L4869" s="7" t="e">
        <f>Planning[[#This Row],[Saldo]]</f>
        <v>#REF!</v>
      </c>
      <c r="M4869" s="19" t="e">
        <f>Planning[[#This Row],[Saldo]]-Planning[[#This Row],[Saldo estimado]]</f>
        <v>#REF!</v>
      </c>
      <c r="N4869" s="60" t="e">
        <f>+SUMIFS(#REF!,#REF!,Planning[[#This Row],[Proyectos]],#REF!,Planning[[#This Row],[Tipo de Tarea y especialidad]])</f>
        <v>#REF!</v>
      </c>
      <c r="O4869" s="19">
        <f t="shared" si="153"/>
        <v>10</v>
      </c>
      <c r="P4869" s="19">
        <f t="shared" si="154"/>
        <v>2024</v>
      </c>
      <c r="Q48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69" s="49" t="str">
        <f>TEXT(Planning[[#This Row],[Mes]]*29,"mmmm")</f>
        <v>October</v>
      </c>
      <c r="S486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69" s="156"/>
      <c r="U4869" s="43">
        <f>IF(Planning[[#This Row],[Horas Planificadas]]&lt;&gt;0,+K4869/Planning[[#This Row],[Horas Planificadas]],0)</f>
        <v>0</v>
      </c>
      <c r="V4869" s="43">
        <f>IF(Planning[[#This Row],[Horas Planificadas]]&lt;&gt;0,Planning[[#This Row],[Horas utilizadas]]/Planning[[#This Row],[Horas Planificadas]],0)</f>
        <v>0</v>
      </c>
      <c r="W4869" s="44">
        <f>Planning[[#This Row],[Horas Planificadas]]+Planning[[#This Row],[Horas ajustadas adicionales]]</f>
        <v>0</v>
      </c>
    </row>
    <row r="4870" spans="1:23" ht="22.5" x14ac:dyDescent="0.2">
      <c r="A4870" s="9" t="s">
        <v>168</v>
      </c>
      <c r="B4870" s="9" t="s">
        <v>463</v>
      </c>
      <c r="C4870" s="3" t="s">
        <v>832</v>
      </c>
      <c r="D4870" s="3" t="s">
        <v>833</v>
      </c>
      <c r="E4870" s="4" t="s">
        <v>30</v>
      </c>
      <c r="F4870" s="3"/>
      <c r="G4870" s="9"/>
      <c r="H4870" s="14">
        <f>SUM(H4871:H4877)</f>
        <v>1060</v>
      </c>
      <c r="I4870" s="14"/>
      <c r="J4870" s="14" t="e">
        <f>SUM(J4871:J4877)</f>
        <v>#REF!</v>
      </c>
      <c r="K4870" s="14" t="e">
        <f>+Planning[[#This Row],[Horas Planificadas]]+Planning[[#This Row],[Horas ajustadas adicionales]]-Planning[[#This Row],[Horas utilizadas]]</f>
        <v>#REF!</v>
      </c>
      <c r="L4870" s="15" t="e">
        <f>SUM(L4871:L4877)</f>
        <v>#REF!</v>
      </c>
      <c r="M4870" s="16" t="e">
        <f>SUM(M4871:M4877)</f>
        <v>#REF!</v>
      </c>
      <c r="N4870" s="60"/>
      <c r="O4870" s="16">
        <f t="shared" si="153"/>
        <v>10</v>
      </c>
      <c r="P4870" s="16">
        <f t="shared" si="154"/>
        <v>2024</v>
      </c>
      <c r="Q4870" s="16" t="e">
        <f>SUM(Q4871:Q4877)</f>
        <v>#REF!</v>
      </c>
      <c r="R4870" s="50" t="str">
        <f>TEXT(Planning[[#This Row],[Mes]]*29,"mmmm")</f>
        <v>October</v>
      </c>
      <c r="S487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70" s="156"/>
      <c r="U4870" s="43" t="e">
        <f>IF(Planning[[#This Row],[Horas Planificadas]]&lt;&gt;0,+K4870/Planning[[#This Row],[Horas Planificadas]],0)</f>
        <v>#REF!</v>
      </c>
      <c r="V4870" s="43" t="e">
        <f>IF(Planning[[#This Row],[Horas Planificadas]]&lt;&gt;0,Planning[[#This Row],[Horas utilizadas]]/Planning[[#This Row],[Horas Planificadas]],0)</f>
        <v>#REF!</v>
      </c>
      <c r="W4870" s="44">
        <f>Planning[[#This Row],[Horas Planificadas]]+Planning[[#This Row],[Horas ajustadas adicionales]]</f>
        <v>1060</v>
      </c>
    </row>
    <row r="4871" spans="1:23" ht="22.5" x14ac:dyDescent="0.2">
      <c r="A4871" s="9" t="s">
        <v>168</v>
      </c>
      <c r="B4871" s="9" t="s">
        <v>463</v>
      </c>
      <c r="C4871" s="3" t="s">
        <v>832</v>
      </c>
      <c r="D4871" s="3" t="s">
        <v>833</v>
      </c>
      <c r="E4871" s="4"/>
      <c r="F4871" s="3" t="s">
        <v>122</v>
      </c>
      <c r="G4871" s="9"/>
      <c r="H4871" s="9"/>
      <c r="I4871" s="12"/>
      <c r="J4871" s="5" t="e">
        <f>SUM(SUMIFS(#REF!,#REF!,Planning[[#This Row],[Tipo de Tarea y especialidad]],#REF!,Planning[[#This Row],[Proyectos Reiwa]]),SUMIFS(#REF!,#REF!,Planning[[#This Row],[Tipo de Tarea y especialidad]],#REF!,Planning[[#This Row],[Proyectos]]))</f>
        <v>#REF!</v>
      </c>
      <c r="K4871" s="5" t="e">
        <f>+Planning[[#This Row],[Horas Planificadas]]+Planning[[#This Row],[Horas ajustadas adicionales]]-Planning[[#This Row],[Horas utilizadas]]</f>
        <v>#REF!</v>
      </c>
      <c r="L4871" s="7" t="e">
        <f>Planning[[#This Row],[Saldo]]</f>
        <v>#REF!</v>
      </c>
      <c r="M4871" s="19" t="e">
        <f>Planning[[#This Row],[Saldo]]-Planning[[#This Row],[Saldo estimado]]</f>
        <v>#REF!</v>
      </c>
      <c r="N4871" s="60" t="e">
        <f>+SUMIFS(#REF!,#REF!,Planning[[#This Row],[Proyectos]],#REF!,Planning[[#This Row],[Tipo de Tarea y especialidad]])</f>
        <v>#REF!</v>
      </c>
      <c r="O4871" s="19">
        <f t="shared" si="153"/>
        <v>10</v>
      </c>
      <c r="P4871" s="19">
        <f t="shared" si="154"/>
        <v>2024</v>
      </c>
      <c r="Q48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71" s="49" t="str">
        <f>TEXT(Planning[[#This Row],[Mes]]*29,"mmmm")</f>
        <v>October</v>
      </c>
      <c r="S487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71" s="156"/>
      <c r="U4871" s="43">
        <f>IF(Planning[[#This Row],[Horas Planificadas]]&lt;&gt;0,+K4871/Planning[[#This Row],[Horas Planificadas]],0)</f>
        <v>0</v>
      </c>
      <c r="V4871" s="43">
        <f>IF(Planning[[#This Row],[Horas Planificadas]]&lt;&gt;0,Planning[[#This Row],[Horas utilizadas]]/Planning[[#This Row],[Horas Planificadas]],0)</f>
        <v>0</v>
      </c>
      <c r="W4871" s="44">
        <f>Planning[[#This Row],[Horas Planificadas]]+Planning[[#This Row],[Horas ajustadas adicionales]]</f>
        <v>0</v>
      </c>
    </row>
    <row r="4872" spans="1:23" ht="22.5" x14ac:dyDescent="0.2">
      <c r="A4872" s="9" t="s">
        <v>168</v>
      </c>
      <c r="B4872" s="9" t="s">
        <v>463</v>
      </c>
      <c r="C4872" s="3" t="s">
        <v>832</v>
      </c>
      <c r="D4872" s="3" t="s">
        <v>833</v>
      </c>
      <c r="E4872" s="4"/>
      <c r="F4872" s="3" t="s">
        <v>123</v>
      </c>
      <c r="G4872" s="9"/>
      <c r="H4872" s="9"/>
      <c r="I4872" s="12"/>
      <c r="J4872" s="5" t="e">
        <f>SUM(SUMIFS(#REF!,#REF!,Planning[[#This Row],[Tipo de Tarea y especialidad]],#REF!,Planning[[#This Row],[Proyectos Reiwa]]),SUMIFS(#REF!,#REF!,Planning[[#This Row],[Tipo de Tarea y especialidad]],#REF!,Planning[[#This Row],[Proyectos]]))</f>
        <v>#REF!</v>
      </c>
      <c r="K4872" s="5" t="e">
        <f>+Planning[[#This Row],[Horas Planificadas]]+Planning[[#This Row],[Horas ajustadas adicionales]]-Planning[[#This Row],[Horas utilizadas]]</f>
        <v>#REF!</v>
      </c>
      <c r="L4872" s="7">
        <v>0</v>
      </c>
      <c r="M4872" s="19" t="e">
        <f>Planning[[#This Row],[Saldo]]-Planning[[#This Row],[Saldo estimado]]</f>
        <v>#REF!</v>
      </c>
      <c r="N4872" s="60" t="e">
        <f>+SUMIFS(#REF!,#REF!,Planning[[#This Row],[Proyectos]],#REF!,Planning[[#This Row],[Tipo de Tarea y especialidad]])</f>
        <v>#REF!</v>
      </c>
      <c r="O4872" s="19">
        <f t="shared" si="153"/>
        <v>10</v>
      </c>
      <c r="P4872" s="19">
        <f t="shared" si="154"/>
        <v>2024</v>
      </c>
      <c r="Q48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72" s="49" t="str">
        <f>TEXT(Planning[[#This Row],[Mes]]*29,"mmmm")</f>
        <v>October</v>
      </c>
      <c r="S487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72" s="156"/>
      <c r="U4872" s="43">
        <f>IF(Planning[[#This Row],[Horas Planificadas]]&lt;&gt;0,+K4872/Planning[[#This Row],[Horas Planificadas]],0)</f>
        <v>0</v>
      </c>
      <c r="V4872" s="43">
        <f>IF(Planning[[#This Row],[Horas Planificadas]]&lt;&gt;0,Planning[[#This Row],[Horas utilizadas]]/Planning[[#This Row],[Horas Planificadas]],0)</f>
        <v>0</v>
      </c>
      <c r="W4872" s="44">
        <f>Planning[[#This Row],[Horas Planificadas]]+Planning[[#This Row],[Horas ajustadas adicionales]]</f>
        <v>0</v>
      </c>
    </row>
    <row r="4873" spans="1:23" ht="22.5" x14ac:dyDescent="0.2">
      <c r="A4873" s="9" t="s">
        <v>168</v>
      </c>
      <c r="B4873" s="9" t="s">
        <v>463</v>
      </c>
      <c r="C4873" s="3" t="s">
        <v>832</v>
      </c>
      <c r="D4873" s="3" t="s">
        <v>833</v>
      </c>
      <c r="E4873" s="4"/>
      <c r="F4873" s="3" t="s">
        <v>124</v>
      </c>
      <c r="G4873" s="9"/>
      <c r="H4873" s="9"/>
      <c r="I4873" s="12"/>
      <c r="J4873" s="5" t="e">
        <f>SUM(SUMIFS(#REF!,#REF!,Planning[[#This Row],[Tipo de Tarea y especialidad]],#REF!,Planning[[#This Row],[Proyectos Reiwa]]),SUMIFS(#REF!,#REF!,Planning[[#This Row],[Tipo de Tarea y especialidad]],#REF!,Planning[[#This Row],[Proyectos]]))</f>
        <v>#REF!</v>
      </c>
      <c r="K4873" s="5" t="e">
        <f>+Planning[[#This Row],[Horas Planificadas]]+Planning[[#This Row],[Horas ajustadas adicionales]]-Planning[[#This Row],[Horas utilizadas]]</f>
        <v>#REF!</v>
      </c>
      <c r="L4873" s="7" t="e">
        <f>Planning[[#This Row],[Saldo]]</f>
        <v>#REF!</v>
      </c>
      <c r="M4873" s="19" t="e">
        <f>Planning[[#This Row],[Saldo]]-Planning[[#This Row],[Saldo estimado]]</f>
        <v>#REF!</v>
      </c>
      <c r="N4873" s="60" t="e">
        <f>+SUMIFS(#REF!,#REF!,Planning[[#This Row],[Proyectos]],#REF!,Planning[[#This Row],[Tipo de Tarea y especialidad]])</f>
        <v>#REF!</v>
      </c>
      <c r="O4873" s="19">
        <f t="shared" si="153"/>
        <v>10</v>
      </c>
      <c r="P4873" s="19">
        <f t="shared" si="154"/>
        <v>2024</v>
      </c>
      <c r="Q48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73" s="49" t="str">
        <f>TEXT(Planning[[#This Row],[Mes]]*29,"mmmm")</f>
        <v>October</v>
      </c>
      <c r="S487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73" s="156"/>
      <c r="U4873" s="43">
        <f>IF(Planning[[#This Row],[Horas Planificadas]]&lt;&gt;0,+K4873/Planning[[#This Row],[Horas Planificadas]],0)</f>
        <v>0</v>
      </c>
      <c r="V4873" s="43">
        <f>IF(Planning[[#This Row],[Horas Planificadas]]&lt;&gt;0,Planning[[#This Row],[Horas utilizadas]]/Planning[[#This Row],[Horas Planificadas]],0)</f>
        <v>0</v>
      </c>
      <c r="W4873" s="44">
        <f>Planning[[#This Row],[Horas Planificadas]]+Planning[[#This Row],[Horas ajustadas adicionales]]</f>
        <v>0</v>
      </c>
    </row>
    <row r="4874" spans="1:23" ht="22.5" x14ac:dyDescent="0.2">
      <c r="A4874" s="9" t="s">
        <v>168</v>
      </c>
      <c r="B4874" s="9" t="s">
        <v>463</v>
      </c>
      <c r="C4874" s="3" t="s">
        <v>832</v>
      </c>
      <c r="D4874" s="3" t="s">
        <v>833</v>
      </c>
      <c r="E4874" s="4"/>
      <c r="F4874" s="3" t="s">
        <v>125</v>
      </c>
      <c r="G4874" s="9"/>
      <c r="H4874" s="9">
        <v>205</v>
      </c>
      <c r="I4874" s="12"/>
      <c r="J4874" s="5" t="e">
        <f>SUM(SUMIFS(#REF!,#REF!,Planning[[#This Row],[Tipo de Tarea y especialidad]],#REF!,Planning[[#This Row],[Proyectos Reiwa]]),SUMIFS(#REF!,#REF!,Planning[[#This Row],[Tipo de Tarea y especialidad]],#REF!,Planning[[#This Row],[Proyectos]]))</f>
        <v>#REF!</v>
      </c>
      <c r="K4874" s="5" t="e">
        <f>+Planning[[#This Row],[Horas Planificadas]]+Planning[[#This Row],[Horas ajustadas adicionales]]-Planning[[#This Row],[Horas utilizadas]]</f>
        <v>#REF!</v>
      </c>
      <c r="L4874" s="7" t="e">
        <f>Planning[[#This Row],[Saldo]]</f>
        <v>#REF!</v>
      </c>
      <c r="M4874" s="19" t="e">
        <f>Planning[[#This Row],[Saldo]]-Planning[[#This Row],[Saldo estimado]]</f>
        <v>#REF!</v>
      </c>
      <c r="N4874" s="60" t="e">
        <f>+SUMIFS(#REF!,#REF!,Planning[[#This Row],[Proyectos]],#REF!,Planning[[#This Row],[Tipo de Tarea y especialidad]])</f>
        <v>#REF!</v>
      </c>
      <c r="O4874" s="19">
        <f t="shared" si="153"/>
        <v>10</v>
      </c>
      <c r="P4874" s="19">
        <f t="shared" si="154"/>
        <v>2024</v>
      </c>
      <c r="Q48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74" s="49" t="str">
        <f>TEXT(Planning[[#This Row],[Mes]]*29,"mmmm")</f>
        <v>October</v>
      </c>
      <c r="S487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74" s="156"/>
      <c r="U4874" s="43" t="e">
        <f>IF(Planning[[#This Row],[Horas Planificadas]]&lt;&gt;0,+K4874/Planning[[#This Row],[Horas Planificadas]],0)</f>
        <v>#REF!</v>
      </c>
      <c r="V4874" s="43" t="e">
        <f>IF(Planning[[#This Row],[Horas Planificadas]]&lt;&gt;0,Planning[[#This Row],[Horas utilizadas]]/Planning[[#This Row],[Horas Planificadas]],0)</f>
        <v>#REF!</v>
      </c>
      <c r="W4874" s="44">
        <f>Planning[[#This Row],[Horas Planificadas]]+Planning[[#This Row],[Horas ajustadas adicionales]]</f>
        <v>205</v>
      </c>
    </row>
    <row r="4875" spans="1:23" ht="22.5" x14ac:dyDescent="0.2">
      <c r="A4875" s="9" t="s">
        <v>168</v>
      </c>
      <c r="B4875" s="9" t="s">
        <v>463</v>
      </c>
      <c r="C4875" s="3" t="s">
        <v>832</v>
      </c>
      <c r="D4875" s="3" t="s">
        <v>833</v>
      </c>
      <c r="E4875" s="4"/>
      <c r="F4875" s="3" t="s">
        <v>126</v>
      </c>
      <c r="G4875" s="9"/>
      <c r="H4875" s="9"/>
      <c r="I4875" s="12"/>
      <c r="J4875" s="5" t="e">
        <f>SUM(SUMIFS(#REF!,#REF!,Planning[[#This Row],[Tipo de Tarea y especialidad]],#REF!,Planning[[#This Row],[Proyectos Reiwa]]),SUMIFS(#REF!,#REF!,Planning[[#This Row],[Tipo de Tarea y especialidad]],#REF!,Planning[[#This Row],[Proyectos]]))</f>
        <v>#REF!</v>
      </c>
      <c r="K4875" s="5" t="e">
        <f>+Planning[[#This Row],[Horas Planificadas]]+Planning[[#This Row],[Horas ajustadas adicionales]]-Planning[[#This Row],[Horas utilizadas]]</f>
        <v>#REF!</v>
      </c>
      <c r="L4875" s="7" t="e">
        <f>Planning[[#This Row],[Saldo]]</f>
        <v>#REF!</v>
      </c>
      <c r="M4875" s="19" t="e">
        <f>Planning[[#This Row],[Saldo]]-Planning[[#This Row],[Saldo estimado]]</f>
        <v>#REF!</v>
      </c>
      <c r="N4875" s="60" t="e">
        <f>+SUMIFS(#REF!,#REF!,Planning[[#This Row],[Proyectos]],#REF!,Planning[[#This Row],[Tipo de Tarea y especialidad]])</f>
        <v>#REF!</v>
      </c>
      <c r="O4875" s="19">
        <f t="shared" si="153"/>
        <v>10</v>
      </c>
      <c r="P4875" s="19">
        <f t="shared" si="154"/>
        <v>2024</v>
      </c>
      <c r="Q48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75" s="49" t="str">
        <f>TEXT(Planning[[#This Row],[Mes]]*29,"mmmm")</f>
        <v>October</v>
      </c>
      <c r="S487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75" s="156"/>
      <c r="U4875" s="43">
        <f>IF(Planning[[#This Row],[Horas Planificadas]]&lt;&gt;0,+K4875/Planning[[#This Row],[Horas Planificadas]],0)</f>
        <v>0</v>
      </c>
      <c r="V4875" s="43">
        <f>IF(Planning[[#This Row],[Horas Planificadas]]&lt;&gt;0,Planning[[#This Row],[Horas utilizadas]]/Planning[[#This Row],[Horas Planificadas]],0)</f>
        <v>0</v>
      </c>
      <c r="W4875" s="44">
        <f>Planning[[#This Row],[Horas Planificadas]]+Planning[[#This Row],[Horas ajustadas adicionales]]</f>
        <v>0</v>
      </c>
    </row>
    <row r="4876" spans="1:23" ht="22.5" x14ac:dyDescent="0.2">
      <c r="A4876" s="9" t="s">
        <v>168</v>
      </c>
      <c r="B4876" s="9" t="s">
        <v>463</v>
      </c>
      <c r="C4876" s="3" t="s">
        <v>832</v>
      </c>
      <c r="D4876" s="3" t="s">
        <v>833</v>
      </c>
      <c r="E4876" s="4"/>
      <c r="F4876" s="3" t="s">
        <v>127</v>
      </c>
      <c r="G4876" s="9"/>
      <c r="H4876" s="9">
        <f>95*9</f>
        <v>855</v>
      </c>
      <c r="I4876" s="12"/>
      <c r="J4876" s="5" t="e">
        <f>SUM(SUMIFS(#REF!,#REF!,Planning[[#This Row],[Tipo de Tarea y especialidad]],#REF!,Planning[[#This Row],[Proyectos Reiwa]]),SUMIFS(#REF!,#REF!,Planning[[#This Row],[Tipo de Tarea y especialidad]],#REF!,Planning[[#This Row],[Proyectos]]))</f>
        <v>#REF!</v>
      </c>
      <c r="K4876" s="5" t="e">
        <f>+Planning[[#This Row],[Horas Planificadas]]+Planning[[#This Row],[Horas ajustadas adicionales]]-Planning[[#This Row],[Horas utilizadas]]</f>
        <v>#REF!</v>
      </c>
      <c r="L4876" s="7" t="e">
        <f>Planning[[#This Row],[Saldo]]</f>
        <v>#REF!</v>
      </c>
      <c r="M4876" s="19" t="e">
        <f>Planning[[#This Row],[Saldo]]-Planning[[#This Row],[Saldo estimado]]</f>
        <v>#REF!</v>
      </c>
      <c r="N4876" s="60" t="e">
        <f>+SUMIFS(#REF!,#REF!,Planning[[#This Row],[Proyectos]],#REF!,Planning[[#This Row],[Tipo de Tarea y especialidad]])</f>
        <v>#REF!</v>
      </c>
      <c r="O4876" s="19">
        <f t="shared" si="153"/>
        <v>10</v>
      </c>
      <c r="P4876" s="19">
        <f t="shared" si="154"/>
        <v>2024</v>
      </c>
      <c r="Q48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76" s="49" t="str">
        <f>TEXT(Planning[[#This Row],[Mes]]*29,"mmmm")</f>
        <v>October</v>
      </c>
      <c r="S487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76" s="156"/>
      <c r="U4876" s="43" t="e">
        <f>IF(Planning[[#This Row],[Horas Planificadas]]&lt;&gt;0,+K4876/Planning[[#This Row],[Horas Planificadas]],0)</f>
        <v>#REF!</v>
      </c>
      <c r="V4876" s="43" t="e">
        <f>IF(Planning[[#This Row],[Horas Planificadas]]&lt;&gt;0,Planning[[#This Row],[Horas utilizadas]]/Planning[[#This Row],[Horas Planificadas]],0)</f>
        <v>#REF!</v>
      </c>
      <c r="W4876" s="44">
        <f>Planning[[#This Row],[Horas Planificadas]]+Planning[[#This Row],[Horas ajustadas adicionales]]</f>
        <v>855</v>
      </c>
    </row>
    <row r="4877" spans="1:23" ht="22.5" x14ac:dyDescent="0.2">
      <c r="A4877" s="9" t="s">
        <v>168</v>
      </c>
      <c r="B4877" s="9" t="s">
        <v>463</v>
      </c>
      <c r="C4877" s="3" t="s">
        <v>832</v>
      </c>
      <c r="D4877" s="3" t="s">
        <v>833</v>
      </c>
      <c r="E4877" s="4"/>
      <c r="F4877" s="3" t="s">
        <v>128</v>
      </c>
      <c r="G4877" s="9"/>
      <c r="H4877" s="9"/>
      <c r="I4877" s="12"/>
      <c r="J4877" s="5" t="e">
        <f>SUM(SUMIFS(#REF!,#REF!,Planning[[#This Row],[Tipo de Tarea y especialidad]],#REF!,Planning[[#This Row],[Proyectos Reiwa]]),SUMIFS(#REF!,#REF!,Planning[[#This Row],[Tipo de Tarea y especialidad]],#REF!,Planning[[#This Row],[Proyectos]]))</f>
        <v>#REF!</v>
      </c>
      <c r="K4877" s="5" t="e">
        <f>+Planning[[#This Row],[Horas Planificadas]]+Planning[[#This Row],[Horas ajustadas adicionales]]-Planning[[#This Row],[Horas utilizadas]]</f>
        <v>#REF!</v>
      </c>
      <c r="L4877" s="7" t="e">
        <f>Planning[[#This Row],[Saldo]]</f>
        <v>#REF!</v>
      </c>
      <c r="M4877" s="19" t="e">
        <f>Planning[[#This Row],[Saldo]]-Planning[[#This Row],[Saldo estimado]]</f>
        <v>#REF!</v>
      </c>
      <c r="N4877" s="60" t="e">
        <f>+SUMIFS(#REF!,#REF!,Planning[[#This Row],[Proyectos]],#REF!,Planning[[#This Row],[Tipo de Tarea y especialidad]])</f>
        <v>#REF!</v>
      </c>
      <c r="O4877" s="19">
        <f t="shared" si="153"/>
        <v>10</v>
      </c>
      <c r="P4877" s="19">
        <f t="shared" si="154"/>
        <v>2024</v>
      </c>
      <c r="Q48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77" s="49" t="str">
        <f>TEXT(Planning[[#This Row],[Mes]]*29,"mmmm")</f>
        <v>October</v>
      </c>
      <c r="S487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77" s="156"/>
      <c r="U4877" s="43">
        <f>IF(Planning[[#This Row],[Horas Planificadas]]&lt;&gt;0,+K4877/Planning[[#This Row],[Horas Planificadas]],0)</f>
        <v>0</v>
      </c>
      <c r="V4877" s="43">
        <f>IF(Planning[[#This Row],[Horas Planificadas]]&lt;&gt;0,Planning[[#This Row],[Horas utilizadas]]/Planning[[#This Row],[Horas Planificadas]],0)</f>
        <v>0</v>
      </c>
      <c r="W4877" s="44">
        <f>Planning[[#This Row],[Horas Planificadas]]+Planning[[#This Row],[Horas ajustadas adicionales]]</f>
        <v>0</v>
      </c>
    </row>
    <row r="4878" spans="1:23" ht="22.5" x14ac:dyDescent="0.2">
      <c r="A4878" s="9" t="s">
        <v>168</v>
      </c>
      <c r="B4878" s="9" t="s">
        <v>463</v>
      </c>
      <c r="C4878" s="3" t="s">
        <v>832</v>
      </c>
      <c r="D4878" s="3" t="s">
        <v>833</v>
      </c>
      <c r="E4878" s="4" t="s">
        <v>31</v>
      </c>
      <c r="F4878" s="3" t="s">
        <v>31</v>
      </c>
      <c r="G4878" s="9"/>
      <c r="H4878" s="17">
        <v>205</v>
      </c>
      <c r="I4878" s="18"/>
      <c r="J4878" s="14" t="e">
        <f>+SUMIFS(#REF!,#REF!,Planning[[#This Row],[Tarifa]],#REF!,Planning[[#This Row],[Proyectos]])</f>
        <v>#REF!</v>
      </c>
      <c r="K4878" s="14" t="e">
        <f>+Planning[[#This Row],[Horas Planificadas]]+Planning[[#This Row],[Horas ajustadas adicionales]]-Planning[[#This Row],[Horas utilizadas]]</f>
        <v>#REF!</v>
      </c>
      <c r="L4878" s="15" t="e">
        <f>Planning[[#This Row],[Saldo]]</f>
        <v>#REF!</v>
      </c>
      <c r="M4878" s="16" t="e">
        <f>Planning[[#This Row],[Saldo]]-Planning[[#This Row],[Saldo estimado]]</f>
        <v>#REF!</v>
      </c>
      <c r="N4878" s="60"/>
      <c r="O4878" s="16">
        <f t="shared" si="153"/>
        <v>10</v>
      </c>
      <c r="P4878" s="16">
        <f t="shared" si="154"/>
        <v>2024</v>
      </c>
      <c r="Q4878" s="16" t="e">
        <f>+SUMIFS(#REF!,#REF!,Planning[[#This Row],[Tarifa]],#REF!,Planning[[#This Row],[Proyectos]],#REF!,Planning[[#This Row],[Mes]],#REF!,Planning[[#This Row],[Año]])</f>
        <v>#REF!</v>
      </c>
      <c r="R4878" s="50" t="str">
        <f>TEXT(Planning[[#This Row],[Mes]]*29,"mmmm")</f>
        <v>October</v>
      </c>
      <c r="S487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78" s="156"/>
      <c r="U4878" s="43" t="e">
        <f>IF(Planning[[#This Row],[Horas Planificadas]]&lt;&gt;0,+K4878/Planning[[#This Row],[Horas Planificadas]],0)</f>
        <v>#REF!</v>
      </c>
      <c r="V4878" s="43" t="e">
        <f>IF(Planning[[#This Row],[Horas Planificadas]]&lt;&gt;0,Planning[[#This Row],[Horas utilizadas]]/Planning[[#This Row],[Horas Planificadas]],0)</f>
        <v>#REF!</v>
      </c>
      <c r="W4878" s="44">
        <f>Planning[[#This Row],[Horas Planificadas]]+Planning[[#This Row],[Horas ajustadas adicionales]]</f>
        <v>205</v>
      </c>
    </row>
    <row r="4879" spans="1:23" ht="22.5" x14ac:dyDescent="0.2">
      <c r="A4879" s="9" t="s">
        <v>168</v>
      </c>
      <c r="B4879" s="9" t="s">
        <v>463</v>
      </c>
      <c r="C4879" s="3" t="s">
        <v>832</v>
      </c>
      <c r="D4879" s="3" t="s">
        <v>833</v>
      </c>
      <c r="E4879" s="4" t="s">
        <v>32</v>
      </c>
      <c r="F4879" s="3"/>
      <c r="G4879" s="9"/>
      <c r="H4879" s="14">
        <f>SUM(H4880:H4882)</f>
        <v>760</v>
      </c>
      <c r="I4879" s="14"/>
      <c r="J4879" s="14" t="e">
        <f>SUM(J4880:J4882)</f>
        <v>#REF!</v>
      </c>
      <c r="K4879" s="14" t="e">
        <f>+Planning[[#This Row],[Horas Planificadas]]+Planning[[#This Row],[Horas ajustadas adicionales]]-Planning[[#This Row],[Horas utilizadas]]</f>
        <v>#REF!</v>
      </c>
      <c r="L4879" s="15" t="e">
        <f>SUM(L4880:L4882)</f>
        <v>#REF!</v>
      </c>
      <c r="M4879" s="16" t="e">
        <f>SUM(M4880:M4882)</f>
        <v>#REF!</v>
      </c>
      <c r="N4879" s="60"/>
      <c r="O4879" s="16">
        <f t="shared" si="153"/>
        <v>10</v>
      </c>
      <c r="P4879" s="16">
        <f t="shared" si="154"/>
        <v>2024</v>
      </c>
      <c r="Q4879" s="16" t="e">
        <f>SUM(Q4880:Q4882)</f>
        <v>#REF!</v>
      </c>
      <c r="R4879" s="50" t="str">
        <f>TEXT(Planning[[#This Row],[Mes]]*29,"mmmm")</f>
        <v>October</v>
      </c>
      <c r="S487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79" s="156"/>
      <c r="U4879" s="43" t="e">
        <f>IF(Planning[[#This Row],[Horas Planificadas]]&lt;&gt;0,+K4879/Planning[[#This Row],[Horas Planificadas]],0)</f>
        <v>#REF!</v>
      </c>
      <c r="V4879" s="43" t="e">
        <f>IF(Planning[[#This Row],[Horas Planificadas]]&lt;&gt;0,Planning[[#This Row],[Horas utilizadas]]/Planning[[#This Row],[Horas Planificadas]],0)</f>
        <v>#REF!</v>
      </c>
      <c r="W4879" s="44">
        <f>Planning[[#This Row],[Horas Planificadas]]+Planning[[#This Row],[Horas ajustadas adicionales]]</f>
        <v>760</v>
      </c>
    </row>
    <row r="4880" spans="1:23" ht="22.5" x14ac:dyDescent="0.2">
      <c r="A4880" s="9" t="s">
        <v>168</v>
      </c>
      <c r="B4880" s="9" t="s">
        <v>463</v>
      </c>
      <c r="C4880" s="3" t="s">
        <v>832</v>
      </c>
      <c r="D4880" s="3" t="s">
        <v>833</v>
      </c>
      <c r="E4880" s="4"/>
      <c r="F4880" s="3" t="s">
        <v>129</v>
      </c>
      <c r="G4880" s="9"/>
      <c r="H4880" s="9"/>
      <c r="I4880" s="12"/>
      <c r="J4880" s="5" t="e">
        <f>SUM(SUMIFS(#REF!,#REF!,Planning[[#This Row],[Tipo de Tarea y especialidad]],#REF!,Planning[[#This Row],[Proyectos Reiwa]]),SUMIFS(#REF!,#REF!,Planning[[#This Row],[Tipo de Tarea y especialidad]],#REF!,Planning[[#This Row],[Proyectos]]))</f>
        <v>#REF!</v>
      </c>
      <c r="K4880" s="5" t="e">
        <f>+Planning[[#This Row],[Horas Planificadas]]+Planning[[#This Row],[Horas ajustadas adicionales]]-Planning[[#This Row],[Horas utilizadas]]</f>
        <v>#REF!</v>
      </c>
      <c r="L4880" s="7" t="e">
        <f>Planning[[#This Row],[Saldo]]</f>
        <v>#REF!</v>
      </c>
      <c r="M4880" s="19" t="e">
        <f>Planning[[#This Row],[Saldo]]-Planning[[#This Row],[Saldo estimado]]</f>
        <v>#REF!</v>
      </c>
      <c r="N4880" s="60" t="e">
        <f>+SUMIFS(#REF!,#REF!,Planning[[#This Row],[Proyectos]],#REF!,Planning[[#This Row],[Tipo de Tarea y especialidad]])</f>
        <v>#REF!</v>
      </c>
      <c r="O4880" s="19">
        <f t="shared" si="153"/>
        <v>10</v>
      </c>
      <c r="P4880" s="19">
        <f t="shared" si="154"/>
        <v>2024</v>
      </c>
      <c r="Q48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80" s="49" t="str">
        <f>TEXT(Planning[[#This Row],[Mes]]*29,"mmmm")</f>
        <v>October</v>
      </c>
      <c r="S488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80" s="156"/>
      <c r="U4880" s="43">
        <f>IF(Planning[[#This Row],[Horas Planificadas]]&lt;&gt;0,+K4880/Planning[[#This Row],[Horas Planificadas]],0)</f>
        <v>0</v>
      </c>
      <c r="V4880" s="43">
        <f>IF(Planning[[#This Row],[Horas Planificadas]]&lt;&gt;0,Planning[[#This Row],[Horas utilizadas]]/Planning[[#This Row],[Horas Planificadas]],0)</f>
        <v>0</v>
      </c>
      <c r="W4880" s="44">
        <f>Planning[[#This Row],[Horas Planificadas]]+Planning[[#This Row],[Horas ajustadas adicionales]]</f>
        <v>0</v>
      </c>
    </row>
    <row r="4881" spans="1:23" ht="22.5" x14ac:dyDescent="0.2">
      <c r="A4881" s="9" t="s">
        <v>168</v>
      </c>
      <c r="B4881" s="9" t="s">
        <v>463</v>
      </c>
      <c r="C4881" s="3" t="s">
        <v>832</v>
      </c>
      <c r="D4881" s="3" t="s">
        <v>833</v>
      </c>
      <c r="E4881" s="4"/>
      <c r="F4881" s="3" t="s">
        <v>130</v>
      </c>
      <c r="G4881" s="9"/>
      <c r="H4881" s="9">
        <f>76*10</f>
        <v>760</v>
      </c>
      <c r="I4881" s="12"/>
      <c r="J4881" s="5" t="e">
        <f>SUM(SUMIFS(#REF!,#REF!,Planning[[#This Row],[Tipo de Tarea y especialidad]],#REF!,Planning[[#This Row],[Proyectos Reiwa]]),SUMIFS(#REF!,#REF!,Planning[[#This Row],[Tipo de Tarea y especialidad]],#REF!,Planning[[#This Row],[Proyectos]]))</f>
        <v>#REF!</v>
      </c>
      <c r="K4881" s="5" t="e">
        <f>+Planning[[#This Row],[Horas Planificadas]]+Planning[[#This Row],[Horas ajustadas adicionales]]-Planning[[#This Row],[Horas utilizadas]]</f>
        <v>#REF!</v>
      </c>
      <c r="L4881" s="7" t="e">
        <f>Planning[[#This Row],[Saldo]]</f>
        <v>#REF!</v>
      </c>
      <c r="M4881" s="19" t="e">
        <f>Planning[[#This Row],[Saldo]]-Planning[[#This Row],[Saldo estimado]]</f>
        <v>#REF!</v>
      </c>
      <c r="N4881" s="60" t="e">
        <f>+SUMIFS(#REF!,#REF!,Planning[[#This Row],[Proyectos]],#REF!,Planning[[#This Row],[Tipo de Tarea y especialidad]])</f>
        <v>#REF!</v>
      </c>
      <c r="O4881" s="19">
        <f t="shared" si="153"/>
        <v>10</v>
      </c>
      <c r="P4881" s="19">
        <f t="shared" si="154"/>
        <v>2024</v>
      </c>
      <c r="Q48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81" s="49" t="str">
        <f>TEXT(Planning[[#This Row],[Mes]]*29,"mmmm")</f>
        <v>October</v>
      </c>
      <c r="S488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81" s="156"/>
      <c r="U4881" s="43" t="e">
        <f>IF(Planning[[#This Row],[Horas Planificadas]]&lt;&gt;0,+K4881/Planning[[#This Row],[Horas Planificadas]],0)</f>
        <v>#REF!</v>
      </c>
      <c r="V4881" s="43" t="e">
        <f>IF(Planning[[#This Row],[Horas Planificadas]]&lt;&gt;0,Planning[[#This Row],[Horas utilizadas]]/Planning[[#This Row],[Horas Planificadas]],0)</f>
        <v>#REF!</v>
      </c>
      <c r="W4881" s="44">
        <f>Planning[[#This Row],[Horas Planificadas]]+Planning[[#This Row],[Horas ajustadas adicionales]]</f>
        <v>760</v>
      </c>
    </row>
    <row r="4882" spans="1:23" ht="22.5" x14ac:dyDescent="0.2">
      <c r="A4882" s="9" t="s">
        <v>168</v>
      </c>
      <c r="B4882" s="9" t="s">
        <v>463</v>
      </c>
      <c r="C4882" s="3" t="s">
        <v>832</v>
      </c>
      <c r="D4882" s="3" t="s">
        <v>833</v>
      </c>
      <c r="E4882" s="4"/>
      <c r="F4882" s="3" t="s">
        <v>131</v>
      </c>
      <c r="G4882" s="9"/>
      <c r="H4882" s="9"/>
      <c r="I4882" s="12"/>
      <c r="J4882" s="5" t="e">
        <f>SUM(SUMIFS(#REF!,#REF!,Planning[[#This Row],[Tipo de Tarea y especialidad]],#REF!,Planning[[#This Row],[Proyectos Reiwa]]),SUMIFS(#REF!,#REF!,Planning[[#This Row],[Tipo de Tarea y especialidad]],#REF!,Planning[[#This Row],[Proyectos]]))</f>
        <v>#REF!</v>
      </c>
      <c r="K4882" s="5" t="e">
        <f>+Planning[[#This Row],[Horas Planificadas]]+Planning[[#This Row],[Horas ajustadas adicionales]]-Planning[[#This Row],[Horas utilizadas]]</f>
        <v>#REF!</v>
      </c>
      <c r="L4882" s="7" t="e">
        <f>Planning[[#This Row],[Saldo]]</f>
        <v>#REF!</v>
      </c>
      <c r="M4882" s="19" t="e">
        <f>Planning[[#This Row],[Saldo]]-Planning[[#This Row],[Saldo estimado]]</f>
        <v>#REF!</v>
      </c>
      <c r="N4882" s="60" t="e">
        <f>+SUMIFS(#REF!,#REF!,Planning[[#This Row],[Proyectos]],#REF!,Planning[[#This Row],[Tipo de Tarea y especialidad]])</f>
        <v>#REF!</v>
      </c>
      <c r="O4882" s="19">
        <f t="shared" si="153"/>
        <v>10</v>
      </c>
      <c r="P4882" s="19">
        <f t="shared" si="154"/>
        <v>2024</v>
      </c>
      <c r="Q48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82" s="49" t="str">
        <f>TEXT(Planning[[#This Row],[Mes]]*29,"mmmm")</f>
        <v>October</v>
      </c>
      <c r="S488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82" s="156"/>
      <c r="U4882" s="43">
        <f>IF(Planning[[#This Row],[Horas Planificadas]]&lt;&gt;0,+K4882/Planning[[#This Row],[Horas Planificadas]],0)</f>
        <v>0</v>
      </c>
      <c r="V4882" s="43">
        <f>IF(Planning[[#This Row],[Horas Planificadas]]&lt;&gt;0,Planning[[#This Row],[Horas utilizadas]]/Planning[[#This Row],[Horas Planificadas]],0)</f>
        <v>0</v>
      </c>
      <c r="W4882" s="44">
        <f>Planning[[#This Row],[Horas Planificadas]]+Planning[[#This Row],[Horas ajustadas adicionales]]</f>
        <v>0</v>
      </c>
    </row>
    <row r="4883" spans="1:23" ht="12" customHeight="1" x14ac:dyDescent="0.2">
      <c r="A4883" s="9" t="s">
        <v>626</v>
      </c>
      <c r="B4883" s="9" t="s">
        <v>808</v>
      </c>
      <c r="C4883" s="3">
        <v>116891</v>
      </c>
      <c r="D4883" s="3" t="s">
        <v>835</v>
      </c>
      <c r="E4883" s="4" t="s">
        <v>28</v>
      </c>
      <c r="F4883" s="3"/>
      <c r="G4883" s="11"/>
      <c r="H4883" s="69">
        <f>SUM(H4884:H4885)</f>
        <v>70</v>
      </c>
      <c r="I4883" s="70"/>
      <c r="J4883" s="14" t="e">
        <f>SUM(J4884:J4885)</f>
        <v>#REF!</v>
      </c>
      <c r="K4883" s="71" t="e">
        <f>+Planning[[#This Row],[Horas Planificadas]]+Planning[[#This Row],[Horas ajustadas adicionales]]-Planning[[#This Row],[Horas utilizadas]]</f>
        <v>#REF!</v>
      </c>
      <c r="L4883" s="72">
        <f>SUM(L4884:L4885)</f>
        <v>0</v>
      </c>
      <c r="M4883" s="19" t="e">
        <f>SUM(M4884:M4885)</f>
        <v>#REF!</v>
      </c>
      <c r="N4883" s="62" t="e">
        <f>+SUMIFS(#REF!,#REF!,Planning[[#This Row],[Proyectos]],#REF!,Planning[[#This Row],[Tipo de Tarea y especialidad]])</f>
        <v>#REF!</v>
      </c>
      <c r="O4883" s="34">
        <f t="shared" si="153"/>
        <v>10</v>
      </c>
      <c r="P4883" s="34">
        <f t="shared" si="154"/>
        <v>2024</v>
      </c>
      <c r="Q4883" s="28" t="e">
        <f>SUM(Q4884:Q4885)</f>
        <v>#REF!</v>
      </c>
      <c r="R4883" s="14" t="str">
        <f>TEXT(Planning[[#This Row],[Mes]]*29,"mmmm")</f>
        <v>October</v>
      </c>
      <c r="S488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83" s="113" t="s">
        <v>836</v>
      </c>
      <c r="U4883" s="107"/>
      <c r="V4883" s="43"/>
      <c r="W4883" s="44"/>
    </row>
    <row r="4884" spans="1:23" ht="17.100000000000001" customHeight="1" x14ac:dyDescent="0.2">
      <c r="A4884" s="9" t="s">
        <v>626</v>
      </c>
      <c r="B4884" s="9" t="s">
        <v>808</v>
      </c>
      <c r="C4884" s="3">
        <v>116891</v>
      </c>
      <c r="D4884" s="3" t="s">
        <v>835</v>
      </c>
      <c r="E4884" s="4"/>
      <c r="F4884" s="3" t="s">
        <v>120</v>
      </c>
      <c r="G4884" s="53">
        <v>60</v>
      </c>
      <c r="H4884" s="20">
        <v>60</v>
      </c>
      <c r="I4884" s="12"/>
      <c r="J4884" s="5" t="e">
        <f>SUM(SUMIFS(#REF!,#REF!,Planning[[#This Row],[Tipo de Tarea y especialidad]],#REF!,Planning[[#This Row],[Proyectos Reiwa]]),SUMIFS(#REF!,#REF!,Planning[[#This Row],[Tipo de Tarea y especialidad]],#REF!,Planning[[#This Row],[Proyectos]]))</f>
        <v>#REF!</v>
      </c>
      <c r="K4884" s="5" t="e">
        <f>+Planning[[#This Row],[Horas Planificadas]]+Planning[[#This Row],[Horas ajustadas adicionales]]-Planning[[#This Row],[Horas utilizadas]]</f>
        <v>#REF!</v>
      </c>
      <c r="L4884" s="9">
        <v>0</v>
      </c>
      <c r="M4884" s="19" t="e">
        <f>Planning[[#This Row],[Saldo]]-Planning[[#This Row],[Saldo estimado]]</f>
        <v>#REF!</v>
      </c>
      <c r="N4884" s="62" t="e">
        <f>+SUMIFS(#REF!,#REF!,Planning[[#This Row],[Proyectos]],#REF!,Planning[[#This Row],[Tipo de Tarea y especialidad]])</f>
        <v>#REF!</v>
      </c>
      <c r="O4884" s="34">
        <f t="shared" si="153"/>
        <v>10</v>
      </c>
      <c r="P4884" s="34">
        <f t="shared" si="154"/>
        <v>2024</v>
      </c>
      <c r="Q48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84" s="34" t="str">
        <f>TEXT(Planning[[#This Row],[Mes]]*29,"mmmm")</f>
        <v>October</v>
      </c>
      <c r="S488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84" s="198" t="s">
        <v>837</v>
      </c>
      <c r="U4884" s="107"/>
      <c r="V4884" s="43"/>
      <c r="W4884" s="44"/>
    </row>
    <row r="4885" spans="1:23" x14ac:dyDescent="0.2">
      <c r="A4885" s="9" t="s">
        <v>626</v>
      </c>
      <c r="B4885" s="9" t="s">
        <v>808</v>
      </c>
      <c r="C4885" s="3">
        <v>116891</v>
      </c>
      <c r="D4885" s="3" t="s">
        <v>835</v>
      </c>
      <c r="E4885" s="4"/>
      <c r="F4885" s="3" t="s">
        <v>121</v>
      </c>
      <c r="G4885" s="53">
        <v>10</v>
      </c>
      <c r="H4885" s="20">
        <v>10</v>
      </c>
      <c r="I4885" s="12"/>
      <c r="J4885" s="5" t="e">
        <f>SUM(SUMIFS(#REF!,#REF!,Planning[[#This Row],[Tipo de Tarea y especialidad]],#REF!,Planning[[#This Row],[Proyectos Reiwa]]),SUMIFS(#REF!,#REF!,Planning[[#This Row],[Tipo de Tarea y especialidad]],#REF!,Planning[[#This Row],[Proyectos]]))</f>
        <v>#REF!</v>
      </c>
      <c r="K4885" s="5" t="e">
        <f>+Planning[[#This Row],[Horas Planificadas]]+Planning[[#This Row],[Horas ajustadas adicionales]]-Planning[[#This Row],[Horas utilizadas]]</f>
        <v>#REF!</v>
      </c>
      <c r="L4885" s="9">
        <v>0</v>
      </c>
      <c r="M4885" s="19" t="e">
        <f>Planning[[#This Row],[Saldo]]-Planning[[#This Row],[Saldo estimado]]</f>
        <v>#REF!</v>
      </c>
      <c r="N4885" s="62" t="e">
        <f>+SUMIFS(#REF!,#REF!,Planning[[#This Row],[Proyectos]],#REF!,Planning[[#This Row],[Tipo de Tarea y especialidad]])</f>
        <v>#REF!</v>
      </c>
      <c r="O4885" s="34">
        <f t="shared" si="153"/>
        <v>10</v>
      </c>
      <c r="P4885" s="34">
        <f t="shared" si="154"/>
        <v>2024</v>
      </c>
      <c r="Q48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85" s="34" t="str">
        <f>TEXT(Planning[[#This Row],[Mes]]*29,"mmmm")</f>
        <v>October</v>
      </c>
      <c r="S488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85" s="199"/>
      <c r="U4885" s="107"/>
      <c r="V4885" s="43"/>
      <c r="W4885" s="44"/>
    </row>
    <row r="4886" spans="1:23" x14ac:dyDescent="0.2">
      <c r="A4886" s="9" t="s">
        <v>626</v>
      </c>
      <c r="B4886" s="9" t="s">
        <v>808</v>
      </c>
      <c r="C4886" s="3">
        <v>116891</v>
      </c>
      <c r="D4886" s="3" t="s">
        <v>835</v>
      </c>
      <c r="E4886" s="4" t="s">
        <v>30</v>
      </c>
      <c r="F4886" s="3"/>
      <c r="G4886" s="53"/>
      <c r="H4886" s="69">
        <f>SUM(H4887:H4893)</f>
        <v>306</v>
      </c>
      <c r="I4886" s="70"/>
      <c r="J4886" s="14" t="e">
        <f>SUM(J4887:J4893)</f>
        <v>#REF!</v>
      </c>
      <c r="K4886" s="71" t="e">
        <f>+Planning[[#This Row],[Horas Planificadas]]+Planning[[#This Row],[Horas ajustadas adicionales]]-Planning[[#This Row],[Horas utilizadas]]</f>
        <v>#REF!</v>
      </c>
      <c r="L4886" s="71">
        <f>+L4889+L4890+L4891+L4893</f>
        <v>0</v>
      </c>
      <c r="M4886" s="19" t="e">
        <f>SUM(M4887:M4893)</f>
        <v>#REF!</v>
      </c>
      <c r="N4886" s="62" t="e">
        <f>+SUMIFS(#REF!,#REF!,Planning[[#This Row],[Proyectos]],#REF!,Planning[[#This Row],[Tipo de Tarea y especialidad]])</f>
        <v>#REF!</v>
      </c>
      <c r="O4886" s="34">
        <f t="shared" si="153"/>
        <v>10</v>
      </c>
      <c r="P4886" s="34">
        <f t="shared" si="154"/>
        <v>2024</v>
      </c>
      <c r="Q4886" s="16" t="e">
        <f>SUM(Q4887:Q4893)</f>
        <v>#REF!</v>
      </c>
      <c r="R4886" s="150" t="str">
        <f>TEXT(Planning[[#This Row],[Mes]]*29,"mmmm")</f>
        <v>October</v>
      </c>
      <c r="S4886" s="148"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86" s="200"/>
      <c r="U4886" s="107"/>
      <c r="V4886" s="43"/>
      <c r="W4886" s="44"/>
    </row>
    <row r="4887" spans="1:23" x14ac:dyDescent="0.2">
      <c r="A4887" s="9" t="s">
        <v>626</v>
      </c>
      <c r="B4887" s="9" t="s">
        <v>808</v>
      </c>
      <c r="C4887" s="3">
        <v>116891</v>
      </c>
      <c r="D4887" s="3" t="s">
        <v>835</v>
      </c>
      <c r="E4887" s="4"/>
      <c r="F4887" s="3" t="s">
        <v>122</v>
      </c>
      <c r="G4887" s="53"/>
      <c r="H4887" s="20"/>
      <c r="I4887" s="12"/>
      <c r="J4887" s="5" t="e">
        <f>SUM(SUMIFS(#REF!,#REF!,Planning[[#This Row],[Tipo de Tarea y especialidad]],#REF!,Planning[[#This Row],[Proyectos Reiwa]]),SUMIFS(#REF!,#REF!,Planning[[#This Row],[Tipo de Tarea y especialidad]],#REF!,Planning[[#This Row],[Proyectos]]))</f>
        <v>#REF!</v>
      </c>
      <c r="K4887" s="5" t="e">
        <f>+Planning[[#This Row],[Horas Planificadas]]+Planning[[#This Row],[Horas ajustadas adicionales]]-Planning[[#This Row],[Horas utilizadas]]</f>
        <v>#REF!</v>
      </c>
      <c r="L4887" s="9"/>
      <c r="M4887" s="19" t="e">
        <f>Planning[[#This Row],[Saldo]]-Planning[[#This Row],[Saldo estimado]]</f>
        <v>#REF!</v>
      </c>
      <c r="N4887" s="62" t="e">
        <f>+SUMIFS(#REF!,#REF!,Planning[[#This Row],[Proyectos]],#REF!,Planning[[#This Row],[Tipo de Tarea y especialidad]])</f>
        <v>#REF!</v>
      </c>
      <c r="O4887" s="34">
        <f t="shared" si="153"/>
        <v>10</v>
      </c>
      <c r="P4887" s="34">
        <f t="shared" si="154"/>
        <v>2024</v>
      </c>
      <c r="Q48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87" s="146" t="str">
        <f>TEXT(Planning[[#This Row],[Mes]]*29,"mmmm")</f>
        <v>October</v>
      </c>
      <c r="S4887"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87" s="110" t="s">
        <v>838</v>
      </c>
      <c r="U4887" s="107"/>
      <c r="V4887" s="43"/>
      <c r="W4887" s="44"/>
    </row>
    <row r="4888" spans="1:23" x14ac:dyDescent="0.2">
      <c r="A4888" s="9" t="s">
        <v>626</v>
      </c>
      <c r="B4888" s="9" t="s">
        <v>808</v>
      </c>
      <c r="C4888" s="3">
        <v>116891</v>
      </c>
      <c r="D4888" s="3" t="s">
        <v>835</v>
      </c>
      <c r="E4888" s="4"/>
      <c r="F4888" s="3" t="s">
        <v>123</v>
      </c>
      <c r="G4888" s="53"/>
      <c r="H4888" s="20"/>
      <c r="I4888" s="12"/>
      <c r="J4888" s="5" t="e">
        <f>SUM(SUMIFS(#REF!,#REF!,Planning[[#This Row],[Tipo de Tarea y especialidad]],#REF!,Planning[[#This Row],[Proyectos Reiwa]]),SUMIFS(#REF!,#REF!,Planning[[#This Row],[Tipo de Tarea y especialidad]],#REF!,Planning[[#This Row],[Proyectos]]))</f>
        <v>#REF!</v>
      </c>
      <c r="K4888" s="5" t="e">
        <f>+Planning[[#This Row],[Horas Planificadas]]+Planning[[#This Row],[Horas ajustadas adicionales]]-Planning[[#This Row],[Horas utilizadas]]</f>
        <v>#REF!</v>
      </c>
      <c r="L4888" s="9"/>
      <c r="M4888" s="19" t="e">
        <f>Planning[[#This Row],[Saldo]]-Planning[[#This Row],[Saldo estimado]]</f>
        <v>#REF!</v>
      </c>
      <c r="N4888" s="62" t="e">
        <f>+SUMIFS(#REF!,#REF!,Planning[[#This Row],[Proyectos]],#REF!,Planning[[#This Row],[Tipo de Tarea y especialidad]])</f>
        <v>#REF!</v>
      </c>
      <c r="O4888" s="34">
        <f t="shared" si="153"/>
        <v>10</v>
      </c>
      <c r="P4888" s="34">
        <f t="shared" si="154"/>
        <v>2024</v>
      </c>
      <c r="Q48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88" s="146" t="str">
        <f>TEXT(Planning[[#This Row],[Mes]]*29,"mmmm")</f>
        <v>October</v>
      </c>
      <c r="S4888"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88" s="110" t="s">
        <v>839</v>
      </c>
      <c r="U4888" s="107"/>
      <c r="V4888" s="43"/>
      <c r="W4888" s="44"/>
    </row>
    <row r="4889" spans="1:23" x14ac:dyDescent="0.2">
      <c r="A4889" s="9" t="s">
        <v>626</v>
      </c>
      <c r="B4889" s="9" t="s">
        <v>808</v>
      </c>
      <c r="C4889" s="3">
        <v>116891</v>
      </c>
      <c r="D4889" s="3" t="s">
        <v>835</v>
      </c>
      <c r="E4889" s="4"/>
      <c r="F4889" s="3" t="s">
        <v>124</v>
      </c>
      <c r="G4889" s="53">
        <v>225</v>
      </c>
      <c r="H4889" s="69">
        <v>225</v>
      </c>
      <c r="I4889" s="70"/>
      <c r="J4889" s="5" t="e">
        <f>SUM(SUMIFS(#REF!,#REF!,Planning[[#This Row],[Tipo de Tarea y especialidad]],#REF!,Planning[[#This Row],[Proyectos Reiwa]]),SUMIFS(#REF!,#REF!,Planning[[#This Row],[Tipo de Tarea y especialidad]],#REF!,Planning[[#This Row],[Proyectos]]))</f>
        <v>#REF!</v>
      </c>
      <c r="K4889" s="71" t="e">
        <f>+Planning[[#This Row],[Horas Planificadas]]+Planning[[#This Row],[Horas ajustadas adicionales]]-Planning[[#This Row],[Horas utilizadas]]</f>
        <v>#REF!</v>
      </c>
      <c r="L4889" s="72">
        <v>0</v>
      </c>
      <c r="M4889" s="19" t="e">
        <f>Planning[[#This Row],[Saldo]]-Planning[[#This Row],[Saldo estimado]]</f>
        <v>#REF!</v>
      </c>
      <c r="N4889" s="62" t="e">
        <f>+SUMIFS(#REF!,#REF!,Planning[[#This Row],[Proyectos]],#REF!,Planning[[#This Row],[Tipo de Tarea y especialidad]])</f>
        <v>#REF!</v>
      </c>
      <c r="O4889" s="34">
        <f t="shared" si="153"/>
        <v>10</v>
      </c>
      <c r="P4889" s="34">
        <f t="shared" si="154"/>
        <v>2024</v>
      </c>
      <c r="Q48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89" s="146" t="str">
        <f>TEXT(Planning[[#This Row],[Mes]]*29,"mmmm")</f>
        <v>October</v>
      </c>
      <c r="S4889"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89" s="110"/>
      <c r="U4889" s="107"/>
      <c r="V4889" s="43"/>
      <c r="W4889" s="44"/>
    </row>
    <row r="4890" spans="1:23" x14ac:dyDescent="0.2">
      <c r="A4890" s="9" t="s">
        <v>626</v>
      </c>
      <c r="B4890" s="9" t="s">
        <v>808</v>
      </c>
      <c r="C4890" s="3">
        <v>116891</v>
      </c>
      <c r="D4890" s="3" t="s">
        <v>835</v>
      </c>
      <c r="E4890" s="4"/>
      <c r="F4890" s="3" t="s">
        <v>125</v>
      </c>
      <c r="G4890" s="53"/>
      <c r="H4890" s="20"/>
      <c r="I4890" s="12"/>
      <c r="J4890" s="5" t="e">
        <f>SUM(SUMIFS(#REF!,#REF!,Planning[[#This Row],[Tipo de Tarea y especialidad]],#REF!,Planning[[#This Row],[Proyectos Reiwa]]),SUMIFS(#REF!,#REF!,Planning[[#This Row],[Tipo de Tarea y especialidad]],#REF!,Planning[[#This Row],[Proyectos]]))</f>
        <v>#REF!</v>
      </c>
      <c r="K4890" s="5" t="e">
        <f>+Planning[[#This Row],[Horas Planificadas]]+Planning[[#This Row],[Horas ajustadas adicionales]]-Planning[[#This Row],[Horas utilizadas]]</f>
        <v>#REF!</v>
      </c>
      <c r="L4890" s="9">
        <v>0</v>
      </c>
      <c r="M4890" s="19" t="e">
        <f>Planning[[#This Row],[Saldo]]-Planning[[#This Row],[Saldo estimado]]</f>
        <v>#REF!</v>
      </c>
      <c r="N4890" s="62" t="e">
        <f>+SUMIFS(#REF!,#REF!,Planning[[#This Row],[Proyectos]],#REF!,Planning[[#This Row],[Tipo de Tarea y especialidad]])</f>
        <v>#REF!</v>
      </c>
      <c r="O4890" s="34">
        <f t="shared" si="153"/>
        <v>10</v>
      </c>
      <c r="P4890" s="34">
        <f t="shared" si="154"/>
        <v>2024</v>
      </c>
      <c r="Q48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90" s="146" t="str">
        <f>TEXT(Planning[[#This Row],[Mes]]*29,"mmmm")</f>
        <v>October</v>
      </c>
      <c r="S4890"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90" s="110" t="s">
        <v>840</v>
      </c>
      <c r="U4890" s="107"/>
      <c r="V4890" s="43"/>
      <c r="W4890" s="44"/>
    </row>
    <row r="4891" spans="1:23" x14ac:dyDescent="0.2">
      <c r="A4891" s="9" t="s">
        <v>626</v>
      </c>
      <c r="B4891" s="9" t="s">
        <v>808</v>
      </c>
      <c r="C4891" s="3">
        <v>116891</v>
      </c>
      <c r="D4891" s="3" t="s">
        <v>835</v>
      </c>
      <c r="E4891" s="4"/>
      <c r="F4891" s="3" t="s">
        <v>126</v>
      </c>
      <c r="G4891" s="53">
        <v>27</v>
      </c>
      <c r="H4891" s="69">
        <v>27</v>
      </c>
      <c r="I4891" s="70"/>
      <c r="J4891" s="5" t="e">
        <f>SUM(SUMIFS(#REF!,#REF!,Planning[[#This Row],[Tipo de Tarea y especialidad]],#REF!,Planning[[#This Row],[Proyectos Reiwa]]),SUMIFS(#REF!,#REF!,Planning[[#This Row],[Tipo de Tarea y especialidad]],#REF!,Planning[[#This Row],[Proyectos]]))</f>
        <v>#REF!</v>
      </c>
      <c r="K4891" s="71" t="e">
        <f>+Planning[[#This Row],[Horas Planificadas]]+Planning[[#This Row],[Horas ajustadas adicionales]]-Planning[[#This Row],[Horas utilizadas]]</f>
        <v>#REF!</v>
      </c>
      <c r="L4891" s="72"/>
      <c r="M4891" s="19" t="e">
        <f>Planning[[#This Row],[Saldo]]-Planning[[#This Row],[Saldo estimado]]</f>
        <v>#REF!</v>
      </c>
      <c r="N4891" s="62" t="e">
        <f>+SUMIFS(#REF!,#REF!,Planning[[#This Row],[Proyectos]],#REF!,Planning[[#This Row],[Tipo de Tarea y especialidad]])</f>
        <v>#REF!</v>
      </c>
      <c r="O4891" s="34">
        <f t="shared" si="153"/>
        <v>10</v>
      </c>
      <c r="P4891" s="34">
        <f t="shared" si="154"/>
        <v>2024</v>
      </c>
      <c r="Q48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91" s="146" t="str">
        <f>TEXT(Planning[[#This Row],[Mes]]*29,"mmmm")</f>
        <v>October</v>
      </c>
      <c r="S4891"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91" s="110"/>
      <c r="U4891" s="107"/>
      <c r="V4891" s="43"/>
      <c r="W4891" s="44"/>
    </row>
    <row r="4892" spans="1:23" x14ac:dyDescent="0.2">
      <c r="A4892" s="9" t="s">
        <v>626</v>
      </c>
      <c r="B4892" s="9" t="s">
        <v>808</v>
      </c>
      <c r="C4892" s="3">
        <v>116891</v>
      </c>
      <c r="D4892" s="3" t="s">
        <v>835</v>
      </c>
      <c r="E4892" s="4"/>
      <c r="F4892" s="3" t="s">
        <v>127</v>
      </c>
      <c r="G4892" s="53"/>
      <c r="H4892" s="20"/>
      <c r="I4892" s="12"/>
      <c r="J4892" s="5" t="e">
        <f>SUM(SUMIFS(#REF!,#REF!,Planning[[#This Row],[Tipo de Tarea y especialidad]],#REF!,Planning[[#This Row],[Proyectos Reiwa]]),SUMIFS(#REF!,#REF!,Planning[[#This Row],[Tipo de Tarea y especialidad]],#REF!,Planning[[#This Row],[Proyectos]]))</f>
        <v>#REF!</v>
      </c>
      <c r="K4892" s="5" t="e">
        <f>+Planning[[#This Row],[Horas Planificadas]]+Planning[[#This Row],[Horas ajustadas adicionales]]-Planning[[#This Row],[Horas utilizadas]]</f>
        <v>#REF!</v>
      </c>
      <c r="L4892" s="9"/>
      <c r="M4892" s="19" t="e">
        <f>Planning[[#This Row],[Saldo]]-Planning[[#This Row],[Saldo estimado]]</f>
        <v>#REF!</v>
      </c>
      <c r="N4892" s="62" t="e">
        <f>+SUMIFS(#REF!,#REF!,Planning[[#This Row],[Proyectos]],#REF!,Planning[[#This Row],[Tipo de Tarea y especialidad]])</f>
        <v>#REF!</v>
      </c>
      <c r="O4892" s="34">
        <f t="shared" si="153"/>
        <v>10</v>
      </c>
      <c r="P4892" s="34">
        <f t="shared" si="154"/>
        <v>2024</v>
      </c>
      <c r="Q48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92" s="146" t="str">
        <f>TEXT(Planning[[#This Row],[Mes]]*29,"mmmm")</f>
        <v>October</v>
      </c>
      <c r="S4892"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92" s="110" t="s">
        <v>841</v>
      </c>
      <c r="U4892" s="107"/>
      <c r="V4892" s="43"/>
      <c r="W4892" s="44"/>
    </row>
    <row r="4893" spans="1:23" x14ac:dyDescent="0.2">
      <c r="A4893" s="9" t="s">
        <v>626</v>
      </c>
      <c r="B4893" s="9" t="s">
        <v>808</v>
      </c>
      <c r="C4893" s="3">
        <v>116891</v>
      </c>
      <c r="D4893" s="3" t="s">
        <v>835</v>
      </c>
      <c r="E4893" s="4"/>
      <c r="F4893" s="3" t="s">
        <v>128</v>
      </c>
      <c r="G4893" s="53">
        <v>54</v>
      </c>
      <c r="H4893" s="20">
        <v>54</v>
      </c>
      <c r="I4893" s="12"/>
      <c r="J4893" s="5" t="e">
        <f>SUM(SUMIFS(#REF!,#REF!,Planning[[#This Row],[Tipo de Tarea y especialidad]],#REF!,Planning[[#This Row],[Proyectos Reiwa]]),SUMIFS(#REF!,#REF!,Planning[[#This Row],[Tipo de Tarea y especialidad]],#REF!,Planning[[#This Row],[Proyectos]]))</f>
        <v>#REF!</v>
      </c>
      <c r="K4893" s="5" t="e">
        <f>+Planning[[#This Row],[Horas Planificadas]]+Planning[[#This Row],[Horas ajustadas adicionales]]-Planning[[#This Row],[Horas utilizadas]]</f>
        <v>#REF!</v>
      </c>
      <c r="L4893" s="9"/>
      <c r="M4893" s="19" t="e">
        <f>Planning[[#This Row],[Saldo]]-Planning[[#This Row],[Saldo estimado]]</f>
        <v>#REF!</v>
      </c>
      <c r="N4893" s="62" t="e">
        <f>+SUMIFS(#REF!,#REF!,Planning[[#This Row],[Proyectos]],#REF!,Planning[[#This Row],[Tipo de Tarea y especialidad]])</f>
        <v>#REF!</v>
      </c>
      <c r="O4893" s="34">
        <f t="shared" si="153"/>
        <v>10</v>
      </c>
      <c r="P4893" s="34">
        <f t="shared" si="154"/>
        <v>2024</v>
      </c>
      <c r="Q48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93" s="146" t="str">
        <f>TEXT(Planning[[#This Row],[Mes]]*29,"mmmm")</f>
        <v>October</v>
      </c>
      <c r="S4893"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93" s="110" t="s">
        <v>842</v>
      </c>
      <c r="U4893" s="107"/>
      <c r="V4893" s="43"/>
      <c r="W4893" s="44"/>
    </row>
    <row r="4894" spans="1:23" x14ac:dyDescent="0.2">
      <c r="A4894" s="9" t="s">
        <v>626</v>
      </c>
      <c r="B4894" s="9" t="s">
        <v>808</v>
      </c>
      <c r="C4894" s="3">
        <v>116891</v>
      </c>
      <c r="D4894" s="3" t="s">
        <v>835</v>
      </c>
      <c r="E4894" s="4" t="s">
        <v>31</v>
      </c>
      <c r="F4894" s="3" t="s">
        <v>31</v>
      </c>
      <c r="G4894" s="53">
        <v>89</v>
      </c>
      <c r="H4894" s="20">
        <v>89</v>
      </c>
      <c r="I4894" s="12"/>
      <c r="J4894" s="14" t="e">
        <f>+SUMIFS(#REF!,#REF!,Planning[[#This Row],[Tarifa]],#REF!,Planning[[#This Row],[Proyectos]])</f>
        <v>#REF!</v>
      </c>
      <c r="K4894" s="5" t="e">
        <f>+Planning[[#This Row],[Horas Planificadas]]+Planning[[#This Row],[Horas ajustadas adicionales]]-Planning[[#This Row],[Horas utilizadas]]</f>
        <v>#REF!</v>
      </c>
      <c r="L4894" s="9" t="e">
        <f>Planning[[#This Row],[Saldo]]</f>
        <v>#REF!</v>
      </c>
      <c r="M4894" s="19" t="e">
        <f>Planning[[#This Row],[Saldo]]-Planning[[#This Row],[Saldo estimado]]</f>
        <v>#REF!</v>
      </c>
      <c r="N4894" s="62" t="e">
        <f>+SUMIFS(#REF!,#REF!,Planning[[#This Row],[Proyectos]],#REF!,Planning[[#This Row],[Tipo de Tarea y especialidad]])</f>
        <v>#REF!</v>
      </c>
      <c r="O4894" s="34">
        <f t="shared" si="153"/>
        <v>10</v>
      </c>
      <c r="P4894" s="34">
        <f t="shared" si="154"/>
        <v>2024</v>
      </c>
      <c r="Q4894" s="16" t="e">
        <f>+SUMIFS(#REF!,#REF!,Planning[[#This Row],[Tarifa]],#REF!,Planning[[#This Row],[Proyectos]],#REF!,Planning[[#This Row],[Mes]],#REF!,Planning[[#This Row],[Año]])</f>
        <v>#REF!</v>
      </c>
      <c r="R4894" s="149" t="str">
        <f>TEXT(Planning[[#This Row],[Mes]]*29,"mmmm")</f>
        <v>October</v>
      </c>
      <c r="S4894"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94" s="110" t="s">
        <v>817</v>
      </c>
      <c r="U4894" s="107"/>
      <c r="V4894" s="43"/>
      <c r="W4894" s="44"/>
    </row>
    <row r="4895" spans="1:23" ht="22.5" x14ac:dyDescent="0.2">
      <c r="A4895" s="9" t="s">
        <v>626</v>
      </c>
      <c r="B4895" s="9" t="s">
        <v>808</v>
      </c>
      <c r="C4895" s="3">
        <v>116891</v>
      </c>
      <c r="D4895" s="3" t="s">
        <v>835</v>
      </c>
      <c r="E4895" s="4" t="s">
        <v>32</v>
      </c>
      <c r="F4895" s="3"/>
      <c r="G4895" s="53"/>
      <c r="H4895" s="69">
        <f>SUM(H4896:H4898)</f>
        <v>170</v>
      </c>
      <c r="I4895" s="70"/>
      <c r="J4895" s="14" t="e">
        <f>SUM(J4896:J4898)</f>
        <v>#REF!</v>
      </c>
      <c r="K4895" s="71" t="e">
        <f>+Planning[[#This Row],[Horas Planificadas]]+Planning[[#This Row],[Horas ajustadas adicionales]]-Planning[[#This Row],[Horas utilizadas]]</f>
        <v>#REF!</v>
      </c>
      <c r="L4895" s="72">
        <f>SUM(L4896:L4898)</f>
        <v>90</v>
      </c>
      <c r="M4895" s="19" t="e">
        <f>SUM(M4896:M4898)</f>
        <v>#REF!</v>
      </c>
      <c r="N4895" s="62" t="e">
        <f>+SUMIFS(#REF!,#REF!,Planning[[#This Row],[Proyectos]],#REF!,Planning[[#This Row],[Tipo de Tarea y especialidad]])</f>
        <v>#REF!</v>
      </c>
      <c r="O4895" s="34">
        <f t="shared" si="153"/>
        <v>10</v>
      </c>
      <c r="P4895" s="34">
        <f t="shared" si="154"/>
        <v>2024</v>
      </c>
      <c r="Q4895" s="16" t="e">
        <f>SUM(Q4896:Q4898)</f>
        <v>#REF!</v>
      </c>
      <c r="R4895" s="149" t="str">
        <f>TEXT(Planning[[#This Row],[Mes]]*29,"mmmm")</f>
        <v>October</v>
      </c>
      <c r="S4895"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95" s="110"/>
      <c r="U4895" s="107"/>
      <c r="V4895" s="43"/>
      <c r="W4895" s="44"/>
    </row>
    <row r="4896" spans="1:23" x14ac:dyDescent="0.2">
      <c r="A4896" s="9" t="s">
        <v>626</v>
      </c>
      <c r="B4896" s="9" t="s">
        <v>808</v>
      </c>
      <c r="C4896" s="3">
        <v>116891</v>
      </c>
      <c r="D4896" s="3" t="s">
        <v>835</v>
      </c>
      <c r="E4896" s="4"/>
      <c r="F4896" s="3" t="s">
        <v>129</v>
      </c>
      <c r="G4896" s="53">
        <v>90</v>
      </c>
      <c r="H4896" s="20">
        <v>90</v>
      </c>
      <c r="I4896" s="12"/>
      <c r="J4896" s="5" t="e">
        <f>SUM(SUMIFS(#REF!,#REF!,Planning[[#This Row],[Tipo de Tarea y especialidad]],#REF!,Planning[[#This Row],[Proyectos Reiwa]]),SUMIFS(#REF!,#REF!,Planning[[#This Row],[Tipo de Tarea y especialidad]],#REF!,Planning[[#This Row],[Proyectos]]))</f>
        <v>#REF!</v>
      </c>
      <c r="K4896" s="5" t="e">
        <f>+Planning[[#This Row],[Horas Planificadas]]+Planning[[#This Row],[Horas ajustadas adicionales]]-Planning[[#This Row],[Horas utilizadas]]</f>
        <v>#REF!</v>
      </c>
      <c r="L4896" s="9">
        <v>90</v>
      </c>
      <c r="M4896" s="19" t="e">
        <f>Planning[[#This Row],[Saldo]]-Planning[[#This Row],[Saldo estimado]]</f>
        <v>#REF!</v>
      </c>
      <c r="N4896" s="62" t="e">
        <f>+SUMIFS(#REF!,#REF!,Planning[[#This Row],[Proyectos]],#REF!,Planning[[#This Row],[Tipo de Tarea y especialidad]])</f>
        <v>#REF!</v>
      </c>
      <c r="O4896" s="34">
        <f t="shared" si="153"/>
        <v>10</v>
      </c>
      <c r="P4896" s="34">
        <f t="shared" si="154"/>
        <v>2024</v>
      </c>
      <c r="Q48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96" s="146" t="str">
        <f>TEXT(Planning[[#This Row],[Mes]]*29,"mmmm")</f>
        <v>October</v>
      </c>
      <c r="S4896"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96" s="110"/>
      <c r="U4896" s="107"/>
      <c r="V4896" s="43"/>
      <c r="W4896" s="44"/>
    </row>
    <row r="4897" spans="1:23" x14ac:dyDescent="0.2">
      <c r="A4897" s="9" t="s">
        <v>626</v>
      </c>
      <c r="B4897" s="9" t="s">
        <v>808</v>
      </c>
      <c r="C4897" s="3">
        <v>116891</v>
      </c>
      <c r="D4897" s="3" t="s">
        <v>835</v>
      </c>
      <c r="E4897" s="4"/>
      <c r="F4897" s="3" t="s">
        <v>130</v>
      </c>
      <c r="G4897" s="53"/>
      <c r="H4897" s="20"/>
      <c r="I4897" s="12"/>
      <c r="J4897" s="5" t="e">
        <f>SUM(SUMIFS(#REF!,#REF!,Planning[[#This Row],[Tipo de Tarea y especialidad]],#REF!,Planning[[#This Row],[Proyectos Reiwa]]),SUMIFS(#REF!,#REF!,Planning[[#This Row],[Tipo de Tarea y especialidad]],#REF!,Planning[[#This Row],[Proyectos]]))</f>
        <v>#REF!</v>
      </c>
      <c r="K4897" s="5" t="e">
        <f>+Planning[[#This Row],[Horas Planificadas]]+Planning[[#This Row],[Horas ajustadas adicionales]]-Planning[[#This Row],[Horas utilizadas]]</f>
        <v>#REF!</v>
      </c>
      <c r="L4897" s="9"/>
      <c r="M4897" s="19" t="e">
        <f>Planning[[#This Row],[Saldo]]-Planning[[#This Row],[Saldo estimado]]</f>
        <v>#REF!</v>
      </c>
      <c r="N4897" s="62" t="e">
        <f>+SUMIFS(#REF!,#REF!,Planning[[#This Row],[Proyectos]],#REF!,Planning[[#This Row],[Tipo de Tarea y especialidad]])</f>
        <v>#REF!</v>
      </c>
      <c r="O4897" s="34">
        <f t="shared" si="153"/>
        <v>10</v>
      </c>
      <c r="P4897" s="34">
        <f t="shared" si="154"/>
        <v>2024</v>
      </c>
      <c r="Q48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97" s="146" t="str">
        <f>TEXT(Planning[[#This Row],[Mes]]*29,"mmmm")</f>
        <v>October</v>
      </c>
      <c r="S4897"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97" s="110"/>
      <c r="U4897" s="107"/>
      <c r="V4897" s="43"/>
      <c r="W4897" s="44"/>
    </row>
    <row r="4898" spans="1:23" x14ac:dyDescent="0.2">
      <c r="A4898" s="9" t="s">
        <v>626</v>
      </c>
      <c r="B4898" s="9" t="s">
        <v>808</v>
      </c>
      <c r="C4898" s="3">
        <v>116891</v>
      </c>
      <c r="D4898" s="3" t="s">
        <v>835</v>
      </c>
      <c r="E4898" s="4"/>
      <c r="F4898" s="3" t="s">
        <v>131</v>
      </c>
      <c r="G4898" s="53">
        <v>80</v>
      </c>
      <c r="H4898" s="20">
        <v>80</v>
      </c>
      <c r="I4898" s="12"/>
      <c r="J4898" s="5" t="e">
        <f>SUM(SUMIFS(#REF!,#REF!,Planning[[#This Row],[Tipo de Tarea y especialidad]],#REF!,Planning[[#This Row],[Proyectos Reiwa]]),SUMIFS(#REF!,#REF!,Planning[[#This Row],[Tipo de Tarea y especialidad]],#REF!,Planning[[#This Row],[Proyectos]]))</f>
        <v>#REF!</v>
      </c>
      <c r="K4898" s="5" t="e">
        <f>+Planning[[#This Row],[Horas Planificadas]]+Planning[[#This Row],[Horas ajustadas adicionales]]-Planning[[#This Row],[Horas utilizadas]]</f>
        <v>#REF!</v>
      </c>
      <c r="L4898" s="9">
        <v>0</v>
      </c>
      <c r="M4898" s="19" t="e">
        <f>Planning[[#This Row],[Saldo]]-Planning[[#This Row],[Saldo estimado]]</f>
        <v>#REF!</v>
      </c>
      <c r="N4898" s="62" t="e">
        <f>+SUMIFS(#REF!,#REF!,Planning[[#This Row],[Proyectos]],#REF!,Planning[[#This Row],[Tipo de Tarea y especialidad]])</f>
        <v>#REF!</v>
      </c>
      <c r="O4898" s="34">
        <f t="shared" si="153"/>
        <v>10</v>
      </c>
      <c r="P4898" s="34">
        <f t="shared" si="154"/>
        <v>2024</v>
      </c>
      <c r="Q48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898" s="147" t="str">
        <f>TEXT(Planning[[#This Row],[Mes]]*29,"mmmm")</f>
        <v>October</v>
      </c>
      <c r="S4898" s="147"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98" s="111"/>
      <c r="U4898" s="107"/>
      <c r="V4898" s="43"/>
      <c r="W4898" s="44"/>
    </row>
    <row r="4899" spans="1:23" ht="13.35" customHeight="1" x14ac:dyDescent="0.2">
      <c r="A4899" s="9" t="s">
        <v>626</v>
      </c>
      <c r="B4899" s="9" t="s">
        <v>808</v>
      </c>
      <c r="C4899" s="3">
        <v>117008</v>
      </c>
      <c r="D4899" s="3" t="s">
        <v>843</v>
      </c>
      <c r="E4899" s="4" t="s">
        <v>28</v>
      </c>
      <c r="F4899" s="3"/>
      <c r="G4899" s="11"/>
      <c r="H4899" s="69">
        <f>SUM(H4900:H4901)</f>
        <v>192</v>
      </c>
      <c r="I4899" s="70"/>
      <c r="J4899" s="14" t="e">
        <f>SUM(J4900:J4901)</f>
        <v>#REF!</v>
      </c>
      <c r="K4899" s="71" t="e">
        <f>+Planning[[#This Row],[Horas Planificadas]]+Planning[[#This Row],[Horas ajustadas adicionales]]-Planning[[#This Row],[Horas utilizadas]]</f>
        <v>#REF!</v>
      </c>
      <c r="L4899" s="72">
        <f>SUM(L4900:L4901)</f>
        <v>0</v>
      </c>
      <c r="M4899" s="19" t="e">
        <f>SUM(M4900:M4901)</f>
        <v>#REF!</v>
      </c>
      <c r="N4899" s="62" t="e">
        <f>+SUMIFS(#REF!,#REF!,Planning[[#This Row],[Proyectos]],#REF!,Planning[[#This Row],[Tipo de Tarea y especialidad]])</f>
        <v>#REF!</v>
      </c>
      <c r="O4899" s="34">
        <f t="shared" si="153"/>
        <v>10</v>
      </c>
      <c r="P4899" s="34">
        <f t="shared" si="154"/>
        <v>2024</v>
      </c>
      <c r="Q4899" s="28" t="e">
        <f>SUM(Q4900:Q4901)</f>
        <v>#REF!</v>
      </c>
      <c r="R4899" s="14" t="str">
        <f>TEXT(Planning[[#This Row],[Mes]]*29,"mmmm")</f>
        <v>October</v>
      </c>
      <c r="S489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899" s="113" t="s">
        <v>844</v>
      </c>
      <c r="U4899" s="107"/>
      <c r="V4899" s="43"/>
      <c r="W4899" s="44"/>
    </row>
    <row r="4900" spans="1:23" ht="15.6" customHeight="1" x14ac:dyDescent="0.2">
      <c r="A4900" s="9" t="s">
        <v>626</v>
      </c>
      <c r="B4900" s="9" t="s">
        <v>808</v>
      </c>
      <c r="C4900" s="3">
        <v>117008</v>
      </c>
      <c r="D4900" s="3" t="s">
        <v>843</v>
      </c>
      <c r="E4900" s="4"/>
      <c r="F4900" s="3" t="s">
        <v>120</v>
      </c>
      <c r="G4900" s="53">
        <v>150</v>
      </c>
      <c r="H4900" s="20">
        <v>150</v>
      </c>
      <c r="I4900" s="12"/>
      <c r="J4900" s="5" t="e">
        <f>SUM(SUMIFS(#REF!,#REF!,Planning[[#This Row],[Tipo de Tarea y especialidad]],#REF!,Planning[[#This Row],[Proyectos Reiwa]]),SUMIFS(#REF!,#REF!,Planning[[#This Row],[Tipo de Tarea y especialidad]],#REF!,Planning[[#This Row],[Proyectos]]))</f>
        <v>#REF!</v>
      </c>
      <c r="K4900" s="5" t="e">
        <f>+Planning[[#This Row],[Horas Planificadas]]+Planning[[#This Row],[Horas ajustadas adicionales]]-Planning[[#This Row],[Horas utilizadas]]</f>
        <v>#REF!</v>
      </c>
      <c r="L4900" s="9">
        <v>0</v>
      </c>
      <c r="M4900" s="19" t="e">
        <f>Planning[[#This Row],[Saldo]]-Planning[[#This Row],[Saldo estimado]]</f>
        <v>#REF!</v>
      </c>
      <c r="N4900" s="62" t="e">
        <f>+SUMIFS(#REF!,#REF!,Planning[[#This Row],[Proyectos]],#REF!,Planning[[#This Row],[Tipo de Tarea y especialidad]])</f>
        <v>#REF!</v>
      </c>
      <c r="O4900" s="34">
        <f t="shared" si="153"/>
        <v>10</v>
      </c>
      <c r="P4900" s="34">
        <f t="shared" si="154"/>
        <v>2024</v>
      </c>
      <c r="Q49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00" s="34" t="str">
        <f>TEXT(Planning[[#This Row],[Mes]]*29,"mmmm")</f>
        <v>October</v>
      </c>
      <c r="S490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00" s="185" t="s">
        <v>837</v>
      </c>
      <c r="U4900" s="107"/>
      <c r="V4900" s="43"/>
      <c r="W4900" s="44"/>
    </row>
    <row r="4901" spans="1:23" x14ac:dyDescent="0.2">
      <c r="A4901" s="9" t="s">
        <v>626</v>
      </c>
      <c r="B4901" s="9" t="s">
        <v>808</v>
      </c>
      <c r="C4901" s="3">
        <v>117008</v>
      </c>
      <c r="D4901" s="3" t="s">
        <v>843</v>
      </c>
      <c r="E4901" s="4"/>
      <c r="F4901" s="3" t="s">
        <v>121</v>
      </c>
      <c r="G4901" s="53">
        <v>42</v>
      </c>
      <c r="H4901" s="20">
        <v>42</v>
      </c>
      <c r="I4901" s="12"/>
      <c r="J4901" s="5" t="e">
        <f>SUM(SUMIFS(#REF!,#REF!,Planning[[#This Row],[Tipo de Tarea y especialidad]],#REF!,Planning[[#This Row],[Proyectos Reiwa]]),SUMIFS(#REF!,#REF!,Planning[[#This Row],[Tipo de Tarea y especialidad]],#REF!,Planning[[#This Row],[Proyectos]]))</f>
        <v>#REF!</v>
      </c>
      <c r="K4901" s="5" t="e">
        <f>+Planning[[#This Row],[Horas Planificadas]]+Planning[[#This Row],[Horas ajustadas adicionales]]-Planning[[#This Row],[Horas utilizadas]]</f>
        <v>#REF!</v>
      </c>
      <c r="L4901" s="9">
        <v>0</v>
      </c>
      <c r="M4901" s="19" t="e">
        <f>Planning[[#This Row],[Saldo]]-Planning[[#This Row],[Saldo estimado]]</f>
        <v>#REF!</v>
      </c>
      <c r="N4901" s="62" t="e">
        <f>+SUMIFS(#REF!,#REF!,Planning[[#This Row],[Proyectos]],#REF!,Planning[[#This Row],[Tipo de Tarea y especialidad]])</f>
        <v>#REF!</v>
      </c>
      <c r="O4901" s="34">
        <f t="shared" si="153"/>
        <v>10</v>
      </c>
      <c r="P4901" s="34">
        <f t="shared" si="154"/>
        <v>2024</v>
      </c>
      <c r="Q49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01" s="34" t="str">
        <f>TEXT(Planning[[#This Row],[Mes]]*29,"mmmm")</f>
        <v>October</v>
      </c>
      <c r="S490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01" s="186"/>
      <c r="U4901" s="107"/>
      <c r="V4901" s="43"/>
      <c r="W4901" s="44"/>
    </row>
    <row r="4902" spans="1:23" x14ac:dyDescent="0.2">
      <c r="A4902" s="9" t="s">
        <v>626</v>
      </c>
      <c r="B4902" s="9" t="s">
        <v>808</v>
      </c>
      <c r="C4902" s="3">
        <v>117008</v>
      </c>
      <c r="D4902" s="3" t="s">
        <v>843</v>
      </c>
      <c r="E4902" s="4" t="s">
        <v>30</v>
      </c>
      <c r="F4902" s="3"/>
      <c r="G4902" s="53"/>
      <c r="H4902" s="69">
        <f>SUM(H4903:H4909)</f>
        <v>207</v>
      </c>
      <c r="I4902" s="70"/>
      <c r="J4902" s="14" t="e">
        <f>SUM(J4903:J4909)</f>
        <v>#REF!</v>
      </c>
      <c r="K4902" s="71" t="e">
        <f>+Planning[[#This Row],[Horas Planificadas]]+Planning[[#This Row],[Horas ajustadas adicionales]]-Planning[[#This Row],[Horas utilizadas]]</f>
        <v>#REF!</v>
      </c>
      <c r="L4902" s="72">
        <v>0</v>
      </c>
      <c r="M4902" s="19" t="e">
        <f>SUM(M4903:M4909)</f>
        <v>#REF!</v>
      </c>
      <c r="N4902" s="62" t="e">
        <f>+SUMIFS(#REF!,#REF!,Planning[[#This Row],[Proyectos]],#REF!,Planning[[#This Row],[Tipo de Tarea y especialidad]])</f>
        <v>#REF!</v>
      </c>
      <c r="O4902" s="34">
        <f t="shared" si="153"/>
        <v>10</v>
      </c>
      <c r="P4902" s="34">
        <f t="shared" si="154"/>
        <v>2024</v>
      </c>
      <c r="Q4902" s="16" t="e">
        <f>SUM(Q4903:Q4909)</f>
        <v>#REF!</v>
      </c>
      <c r="R4902" s="150" t="str">
        <f>TEXT(Planning[[#This Row],[Mes]]*29,"mmmm")</f>
        <v>October</v>
      </c>
      <c r="S4902" s="148"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02" s="194"/>
      <c r="U4902" s="107"/>
      <c r="V4902" s="43"/>
      <c r="W4902" s="44"/>
    </row>
    <row r="4903" spans="1:23" x14ac:dyDescent="0.2">
      <c r="A4903" s="9" t="s">
        <v>626</v>
      </c>
      <c r="B4903" s="9" t="s">
        <v>808</v>
      </c>
      <c r="C4903" s="3">
        <v>117008</v>
      </c>
      <c r="D4903" s="3" t="s">
        <v>843</v>
      </c>
      <c r="E4903" s="4"/>
      <c r="F4903" s="3" t="s">
        <v>122</v>
      </c>
      <c r="G4903" s="53"/>
      <c r="H4903" s="20"/>
      <c r="I4903" s="12"/>
      <c r="J4903" s="5" t="e">
        <f>SUM(SUMIFS(#REF!,#REF!,Planning[[#This Row],[Tipo de Tarea y especialidad]],#REF!,Planning[[#This Row],[Proyectos Reiwa]]),SUMIFS(#REF!,#REF!,Planning[[#This Row],[Tipo de Tarea y especialidad]],#REF!,Planning[[#This Row],[Proyectos]]))</f>
        <v>#REF!</v>
      </c>
      <c r="K4903" s="5" t="e">
        <f>+Planning[[#This Row],[Horas Planificadas]]+Planning[[#This Row],[Horas ajustadas adicionales]]-Planning[[#This Row],[Horas utilizadas]]</f>
        <v>#REF!</v>
      </c>
      <c r="L4903" s="9"/>
      <c r="M4903" s="19" t="e">
        <f>Planning[[#This Row],[Saldo]]-Planning[[#This Row],[Saldo estimado]]</f>
        <v>#REF!</v>
      </c>
      <c r="N4903" s="62" t="e">
        <f>+SUMIFS(#REF!,#REF!,Planning[[#This Row],[Proyectos]],#REF!,Planning[[#This Row],[Tipo de Tarea y especialidad]])</f>
        <v>#REF!</v>
      </c>
      <c r="O4903" s="34">
        <f t="shared" si="153"/>
        <v>10</v>
      </c>
      <c r="P4903" s="34">
        <f t="shared" si="154"/>
        <v>2024</v>
      </c>
      <c r="Q49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03" s="146" t="str">
        <f>TEXT(Planning[[#This Row],[Mes]]*29,"mmmm")</f>
        <v>October</v>
      </c>
      <c r="S4903"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03" s="110"/>
      <c r="U4903" s="107"/>
      <c r="V4903" s="43"/>
      <c r="W4903" s="44"/>
    </row>
    <row r="4904" spans="1:23" x14ac:dyDescent="0.2">
      <c r="A4904" s="9" t="s">
        <v>626</v>
      </c>
      <c r="B4904" s="9" t="s">
        <v>808</v>
      </c>
      <c r="C4904" s="3">
        <v>117008</v>
      </c>
      <c r="D4904" s="3" t="s">
        <v>843</v>
      </c>
      <c r="E4904" s="4"/>
      <c r="F4904" s="3" t="s">
        <v>123</v>
      </c>
      <c r="G4904" s="53"/>
      <c r="H4904" s="20"/>
      <c r="I4904" s="12"/>
      <c r="J4904" s="5" t="e">
        <f>SUM(SUMIFS(#REF!,#REF!,Planning[[#This Row],[Tipo de Tarea y especialidad]],#REF!,Planning[[#This Row],[Proyectos Reiwa]]),SUMIFS(#REF!,#REF!,Planning[[#This Row],[Tipo de Tarea y especialidad]],#REF!,Planning[[#This Row],[Proyectos]]))</f>
        <v>#REF!</v>
      </c>
      <c r="K4904" s="5" t="e">
        <f>+Planning[[#This Row],[Horas Planificadas]]+Planning[[#This Row],[Horas ajustadas adicionales]]-Planning[[#This Row],[Horas utilizadas]]</f>
        <v>#REF!</v>
      </c>
      <c r="L4904" s="9"/>
      <c r="M4904" s="19" t="e">
        <f>Planning[[#This Row],[Saldo]]-Planning[[#This Row],[Saldo estimado]]</f>
        <v>#REF!</v>
      </c>
      <c r="N4904" s="62" t="e">
        <f>+SUMIFS(#REF!,#REF!,Planning[[#This Row],[Proyectos]],#REF!,Planning[[#This Row],[Tipo de Tarea y especialidad]])</f>
        <v>#REF!</v>
      </c>
      <c r="O4904" s="34">
        <f t="shared" si="153"/>
        <v>10</v>
      </c>
      <c r="P4904" s="34">
        <f t="shared" si="154"/>
        <v>2024</v>
      </c>
      <c r="Q49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04" s="146" t="str">
        <f>TEXT(Planning[[#This Row],[Mes]]*29,"mmmm")</f>
        <v>October</v>
      </c>
      <c r="S4904"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04" s="110" t="s">
        <v>845</v>
      </c>
      <c r="U4904" s="107"/>
      <c r="V4904" s="43"/>
      <c r="W4904" s="44"/>
    </row>
    <row r="4905" spans="1:23" x14ac:dyDescent="0.2">
      <c r="A4905" s="9" t="s">
        <v>626</v>
      </c>
      <c r="B4905" s="9" t="s">
        <v>808</v>
      </c>
      <c r="C4905" s="3">
        <v>117008</v>
      </c>
      <c r="D4905" s="3" t="s">
        <v>843</v>
      </c>
      <c r="E4905" s="4"/>
      <c r="F4905" s="3" t="s">
        <v>124</v>
      </c>
      <c r="G4905" s="53">
        <v>117</v>
      </c>
      <c r="H4905" s="20">
        <v>117</v>
      </c>
      <c r="I4905" s="12"/>
      <c r="J4905" s="5" t="e">
        <f>SUM(SUMIFS(#REF!,#REF!,Planning[[#This Row],[Tipo de Tarea y especialidad]],#REF!,Planning[[#This Row],[Proyectos Reiwa]]),SUMIFS(#REF!,#REF!,Planning[[#This Row],[Tipo de Tarea y especialidad]],#REF!,Planning[[#This Row],[Proyectos]]))</f>
        <v>#REF!</v>
      </c>
      <c r="K4905" s="5" t="e">
        <f>+Planning[[#This Row],[Horas Planificadas]]+Planning[[#This Row],[Horas ajustadas adicionales]]-Planning[[#This Row],[Horas utilizadas]]</f>
        <v>#REF!</v>
      </c>
      <c r="L4905" s="9">
        <v>0</v>
      </c>
      <c r="M4905" s="19" t="e">
        <f>Planning[[#This Row],[Saldo]]-Planning[[#This Row],[Saldo estimado]]</f>
        <v>#REF!</v>
      </c>
      <c r="N4905" s="62" t="e">
        <f>+SUMIFS(#REF!,#REF!,Planning[[#This Row],[Proyectos]],#REF!,Planning[[#This Row],[Tipo de Tarea y especialidad]])</f>
        <v>#REF!</v>
      </c>
      <c r="O4905" s="34">
        <f t="shared" si="153"/>
        <v>10</v>
      </c>
      <c r="P4905" s="34">
        <f t="shared" si="154"/>
        <v>2024</v>
      </c>
      <c r="Q49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05" s="146" t="str">
        <f>TEXT(Planning[[#This Row],[Mes]]*29,"mmmm")</f>
        <v>October</v>
      </c>
      <c r="S4905"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05" s="110" t="s">
        <v>846</v>
      </c>
      <c r="U4905" s="107"/>
      <c r="V4905" s="43"/>
      <c r="W4905" s="44"/>
    </row>
    <row r="4906" spans="1:23" x14ac:dyDescent="0.2">
      <c r="A4906" s="9" t="s">
        <v>626</v>
      </c>
      <c r="B4906" s="9" t="s">
        <v>808</v>
      </c>
      <c r="C4906" s="3">
        <v>117008</v>
      </c>
      <c r="D4906" s="3" t="s">
        <v>843</v>
      </c>
      <c r="E4906" s="4"/>
      <c r="F4906" s="3" t="s">
        <v>125</v>
      </c>
      <c r="G4906" s="53"/>
      <c r="H4906" s="20"/>
      <c r="I4906" s="12"/>
      <c r="J4906" s="5" t="e">
        <f>SUM(SUMIFS(#REF!,#REF!,Planning[[#This Row],[Tipo de Tarea y especialidad]],#REF!,Planning[[#This Row],[Proyectos Reiwa]]),SUMIFS(#REF!,#REF!,Planning[[#This Row],[Tipo de Tarea y especialidad]],#REF!,Planning[[#This Row],[Proyectos]]))</f>
        <v>#REF!</v>
      </c>
      <c r="K4906" s="5" t="e">
        <f>+Planning[[#This Row],[Horas Planificadas]]+Planning[[#This Row],[Horas ajustadas adicionales]]-Planning[[#This Row],[Horas utilizadas]]</f>
        <v>#REF!</v>
      </c>
      <c r="L4906" s="9"/>
      <c r="M4906" s="19" t="e">
        <f>Planning[[#This Row],[Saldo]]-Planning[[#This Row],[Saldo estimado]]</f>
        <v>#REF!</v>
      </c>
      <c r="N4906" s="62" t="e">
        <f>+SUMIFS(#REF!,#REF!,Planning[[#This Row],[Proyectos]],#REF!,Planning[[#This Row],[Tipo de Tarea y especialidad]])</f>
        <v>#REF!</v>
      </c>
      <c r="O4906" s="34">
        <f t="shared" si="153"/>
        <v>10</v>
      </c>
      <c r="P4906" s="34">
        <f t="shared" si="154"/>
        <v>2024</v>
      </c>
      <c r="Q49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06" s="146" t="str">
        <f>TEXT(Planning[[#This Row],[Mes]]*29,"mmmm")</f>
        <v>October</v>
      </c>
      <c r="S4906"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06" s="110" t="s">
        <v>847</v>
      </c>
      <c r="U4906" s="107"/>
      <c r="V4906" s="43"/>
      <c r="W4906" s="44"/>
    </row>
    <row r="4907" spans="1:23" x14ac:dyDescent="0.2">
      <c r="A4907" s="9" t="s">
        <v>626</v>
      </c>
      <c r="B4907" s="9" t="s">
        <v>808</v>
      </c>
      <c r="C4907" s="3">
        <v>117008</v>
      </c>
      <c r="D4907" s="3" t="s">
        <v>843</v>
      </c>
      <c r="E4907" s="4"/>
      <c r="F4907" s="3" t="s">
        <v>126</v>
      </c>
      <c r="G4907" s="53">
        <v>0</v>
      </c>
      <c r="H4907" s="20">
        <v>0</v>
      </c>
      <c r="I4907" s="12"/>
      <c r="J4907" s="5" t="e">
        <f>SUM(SUMIFS(#REF!,#REF!,Planning[[#This Row],[Tipo de Tarea y especialidad]],#REF!,Planning[[#This Row],[Proyectos Reiwa]]),SUMIFS(#REF!,#REF!,Planning[[#This Row],[Tipo de Tarea y especialidad]],#REF!,Planning[[#This Row],[Proyectos]]))</f>
        <v>#REF!</v>
      </c>
      <c r="K4907" s="5" t="e">
        <f>+Planning[[#This Row],[Horas Planificadas]]+Planning[[#This Row],[Horas ajustadas adicionales]]-Planning[[#This Row],[Horas utilizadas]]</f>
        <v>#REF!</v>
      </c>
      <c r="L4907" s="9"/>
      <c r="M4907" s="19" t="e">
        <f>Planning[[#This Row],[Saldo]]-Planning[[#This Row],[Saldo estimado]]</f>
        <v>#REF!</v>
      </c>
      <c r="N4907" s="62" t="e">
        <f>+SUMIFS(#REF!,#REF!,Planning[[#This Row],[Proyectos]],#REF!,Planning[[#This Row],[Tipo de Tarea y especialidad]])</f>
        <v>#REF!</v>
      </c>
      <c r="O4907" s="34">
        <f t="shared" si="153"/>
        <v>10</v>
      </c>
      <c r="P4907" s="34">
        <f t="shared" si="154"/>
        <v>2024</v>
      </c>
      <c r="Q49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07" s="146" t="str">
        <f>TEXT(Planning[[#This Row],[Mes]]*29,"mmmm")</f>
        <v>October</v>
      </c>
      <c r="S4907"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07" s="110" t="s">
        <v>848</v>
      </c>
      <c r="U4907" s="107"/>
      <c r="V4907" s="43"/>
      <c r="W4907" s="44"/>
    </row>
    <row r="4908" spans="1:23" x14ac:dyDescent="0.2">
      <c r="A4908" s="9" t="s">
        <v>626</v>
      </c>
      <c r="B4908" s="9" t="s">
        <v>808</v>
      </c>
      <c r="C4908" s="3">
        <v>117008</v>
      </c>
      <c r="D4908" s="3" t="s">
        <v>843</v>
      </c>
      <c r="E4908" s="4"/>
      <c r="F4908" s="3" t="s">
        <v>127</v>
      </c>
      <c r="G4908" s="53"/>
      <c r="H4908" s="20"/>
      <c r="I4908" s="12"/>
      <c r="J4908" s="5" t="e">
        <f>SUM(SUMIFS(#REF!,#REF!,Planning[[#This Row],[Tipo de Tarea y especialidad]],#REF!,Planning[[#This Row],[Proyectos Reiwa]]),SUMIFS(#REF!,#REF!,Planning[[#This Row],[Tipo de Tarea y especialidad]],#REF!,Planning[[#This Row],[Proyectos]]))</f>
        <v>#REF!</v>
      </c>
      <c r="K4908" s="5" t="e">
        <f>+Planning[[#This Row],[Horas Planificadas]]+Planning[[#This Row],[Horas ajustadas adicionales]]-Planning[[#This Row],[Horas utilizadas]]</f>
        <v>#REF!</v>
      </c>
      <c r="L4908" s="9"/>
      <c r="M4908" s="19" t="e">
        <f>Planning[[#This Row],[Saldo]]-Planning[[#This Row],[Saldo estimado]]</f>
        <v>#REF!</v>
      </c>
      <c r="N4908" s="62" t="e">
        <f>+SUMIFS(#REF!,#REF!,Planning[[#This Row],[Proyectos]],#REF!,Planning[[#This Row],[Tipo de Tarea y especialidad]])</f>
        <v>#REF!</v>
      </c>
      <c r="O4908" s="34">
        <f t="shared" si="153"/>
        <v>10</v>
      </c>
      <c r="P4908" s="34">
        <f t="shared" si="154"/>
        <v>2024</v>
      </c>
      <c r="Q49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08" s="146" t="str">
        <f>TEXT(Planning[[#This Row],[Mes]]*29,"mmmm")</f>
        <v>October</v>
      </c>
      <c r="S4908"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08" s="110" t="s">
        <v>817</v>
      </c>
      <c r="U4908" s="107"/>
      <c r="V4908" s="43"/>
      <c r="W4908" s="44"/>
    </row>
    <row r="4909" spans="1:23" x14ac:dyDescent="0.2">
      <c r="A4909" s="9" t="s">
        <v>626</v>
      </c>
      <c r="B4909" s="9" t="s">
        <v>808</v>
      </c>
      <c r="C4909" s="3">
        <v>117008</v>
      </c>
      <c r="D4909" s="3" t="s">
        <v>843</v>
      </c>
      <c r="E4909" s="4"/>
      <c r="F4909" s="3" t="s">
        <v>128</v>
      </c>
      <c r="G4909" s="53">
        <v>90</v>
      </c>
      <c r="H4909" s="20">
        <v>90</v>
      </c>
      <c r="I4909" s="12"/>
      <c r="J4909" s="5" t="e">
        <f>SUM(SUMIFS(#REF!,#REF!,Planning[[#This Row],[Tipo de Tarea y especialidad]],#REF!,Planning[[#This Row],[Proyectos Reiwa]]),SUMIFS(#REF!,#REF!,Planning[[#This Row],[Tipo de Tarea y especialidad]],#REF!,Planning[[#This Row],[Proyectos]]))</f>
        <v>#REF!</v>
      </c>
      <c r="K4909" s="5" t="e">
        <f>+Planning[[#This Row],[Horas Planificadas]]+Planning[[#This Row],[Horas ajustadas adicionales]]-Planning[[#This Row],[Horas utilizadas]]</f>
        <v>#REF!</v>
      </c>
      <c r="L4909" s="9">
        <v>0</v>
      </c>
      <c r="M4909" s="19" t="e">
        <f>Planning[[#This Row],[Saldo]]-Planning[[#This Row],[Saldo estimado]]</f>
        <v>#REF!</v>
      </c>
      <c r="N4909" s="62" t="e">
        <f>+SUMIFS(#REF!,#REF!,Planning[[#This Row],[Proyectos]],#REF!,Planning[[#This Row],[Tipo de Tarea y especialidad]])</f>
        <v>#REF!</v>
      </c>
      <c r="O4909" s="34">
        <f t="shared" si="153"/>
        <v>10</v>
      </c>
      <c r="P4909" s="34">
        <f t="shared" si="154"/>
        <v>2024</v>
      </c>
      <c r="Q49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09" s="146" t="str">
        <f>TEXT(Planning[[#This Row],[Mes]]*29,"mmmm")</f>
        <v>October</v>
      </c>
      <c r="S4909"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09" s="110"/>
      <c r="U4909" s="107"/>
      <c r="V4909" s="43"/>
      <c r="W4909" s="44"/>
    </row>
    <row r="4910" spans="1:23" x14ac:dyDescent="0.2">
      <c r="A4910" s="9" t="s">
        <v>626</v>
      </c>
      <c r="B4910" s="9" t="s">
        <v>808</v>
      </c>
      <c r="C4910" s="3">
        <v>117008</v>
      </c>
      <c r="D4910" s="3" t="s">
        <v>843</v>
      </c>
      <c r="E4910" s="4" t="s">
        <v>31</v>
      </c>
      <c r="F4910" s="3" t="s">
        <v>31</v>
      </c>
      <c r="G4910" s="53">
        <v>70</v>
      </c>
      <c r="H4910" s="20">
        <v>70</v>
      </c>
      <c r="I4910" s="12"/>
      <c r="J4910" s="14" t="e">
        <f>+SUMIFS(#REF!,#REF!,Planning[[#This Row],[Tarifa]],#REF!,Planning[[#This Row],[Proyectos]])</f>
        <v>#REF!</v>
      </c>
      <c r="K4910" s="5" t="e">
        <f>+Planning[[#This Row],[Horas Planificadas]]+Planning[[#This Row],[Horas ajustadas adicionales]]-Planning[[#This Row],[Horas utilizadas]]</f>
        <v>#REF!</v>
      </c>
      <c r="L4910" s="9">
        <v>0</v>
      </c>
      <c r="M4910" s="19" t="e">
        <f>Planning[[#This Row],[Saldo]]-Planning[[#This Row],[Saldo estimado]]</f>
        <v>#REF!</v>
      </c>
      <c r="N4910" s="62" t="e">
        <f>+SUMIFS(#REF!,#REF!,Planning[[#This Row],[Proyectos]],#REF!,Planning[[#This Row],[Tipo de Tarea y especialidad]])</f>
        <v>#REF!</v>
      </c>
      <c r="O4910" s="34">
        <f t="shared" si="153"/>
        <v>10</v>
      </c>
      <c r="P4910" s="34">
        <f t="shared" si="154"/>
        <v>2024</v>
      </c>
      <c r="Q4910" s="16" t="e">
        <f>+SUMIFS(#REF!,#REF!,Planning[[#This Row],[Tarifa]],#REF!,Planning[[#This Row],[Proyectos]],#REF!,Planning[[#This Row],[Mes]],#REF!,Planning[[#This Row],[Año]])</f>
        <v>#REF!</v>
      </c>
      <c r="R4910" s="149" t="str">
        <f>TEXT(Planning[[#This Row],[Mes]]*29,"mmmm")</f>
        <v>October</v>
      </c>
      <c r="S4910"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10" s="110"/>
      <c r="U4910" s="107"/>
      <c r="V4910" s="43"/>
      <c r="W4910" s="44"/>
    </row>
    <row r="4911" spans="1:23" ht="22.5" x14ac:dyDescent="0.2">
      <c r="A4911" s="9" t="s">
        <v>626</v>
      </c>
      <c r="B4911" s="9" t="s">
        <v>808</v>
      </c>
      <c r="C4911" s="3">
        <v>117008</v>
      </c>
      <c r="D4911" s="3" t="s">
        <v>843</v>
      </c>
      <c r="E4911" s="4" t="s">
        <v>32</v>
      </c>
      <c r="F4911" s="3"/>
      <c r="G4911" s="53"/>
      <c r="H4911" s="69">
        <f>SUM(H4912:H4914)</f>
        <v>0</v>
      </c>
      <c r="I4911" s="70"/>
      <c r="J4911" s="14" t="e">
        <f>SUM(J4912:J4914)</f>
        <v>#REF!</v>
      </c>
      <c r="K4911" s="71" t="e">
        <f>+Planning[[#This Row],[Horas Planificadas]]+Planning[[#This Row],[Horas ajustadas adicionales]]-Planning[[#This Row],[Horas utilizadas]]</f>
        <v>#REF!</v>
      </c>
      <c r="L4911" s="72">
        <f>SUM(L4912:L4914)</f>
        <v>0</v>
      </c>
      <c r="M4911" s="19" t="e">
        <f>SUM(M4912:M4914)</f>
        <v>#REF!</v>
      </c>
      <c r="N4911" s="62" t="e">
        <f>+SUMIFS(#REF!,#REF!,Planning[[#This Row],[Proyectos]],#REF!,Planning[[#This Row],[Tipo de Tarea y especialidad]])</f>
        <v>#REF!</v>
      </c>
      <c r="O4911" s="34">
        <f t="shared" si="153"/>
        <v>10</v>
      </c>
      <c r="P4911" s="34">
        <f t="shared" si="154"/>
        <v>2024</v>
      </c>
      <c r="Q4911" s="16" t="e">
        <f>SUM(Q4912:Q4914)</f>
        <v>#REF!</v>
      </c>
      <c r="R4911" s="149" t="str">
        <f>TEXT(Planning[[#This Row],[Mes]]*29,"mmmm")</f>
        <v>October</v>
      </c>
      <c r="S4911"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11" s="110"/>
      <c r="U4911" s="107"/>
      <c r="V4911" s="43"/>
      <c r="W4911" s="44"/>
    </row>
    <row r="4912" spans="1:23" x14ac:dyDescent="0.2">
      <c r="A4912" s="9" t="s">
        <v>626</v>
      </c>
      <c r="B4912" s="9" t="s">
        <v>808</v>
      </c>
      <c r="C4912" s="3">
        <v>117008</v>
      </c>
      <c r="D4912" s="3" t="s">
        <v>843</v>
      </c>
      <c r="E4912" s="4"/>
      <c r="F4912" s="3" t="s">
        <v>129</v>
      </c>
      <c r="G4912" s="53"/>
      <c r="H4912" s="20"/>
      <c r="I4912" s="12"/>
      <c r="J4912" s="5" t="e">
        <f>SUM(SUMIFS(#REF!,#REF!,Planning[[#This Row],[Tipo de Tarea y especialidad]],#REF!,Planning[[#This Row],[Proyectos Reiwa]]),SUMIFS(#REF!,#REF!,Planning[[#This Row],[Tipo de Tarea y especialidad]],#REF!,Planning[[#This Row],[Proyectos]]))</f>
        <v>#REF!</v>
      </c>
      <c r="K4912" s="5" t="e">
        <f>+Planning[[#This Row],[Horas Planificadas]]+Planning[[#This Row],[Horas ajustadas adicionales]]-Planning[[#This Row],[Horas utilizadas]]</f>
        <v>#REF!</v>
      </c>
      <c r="L4912" s="9"/>
      <c r="M4912" s="19" t="e">
        <f>Planning[[#This Row],[Saldo]]-Planning[[#This Row],[Saldo estimado]]</f>
        <v>#REF!</v>
      </c>
      <c r="N4912" s="62" t="e">
        <f>+SUMIFS(#REF!,#REF!,Planning[[#This Row],[Proyectos]],#REF!,Planning[[#This Row],[Tipo de Tarea y especialidad]])</f>
        <v>#REF!</v>
      </c>
      <c r="O4912" s="34">
        <f t="shared" si="153"/>
        <v>10</v>
      </c>
      <c r="P4912" s="34">
        <f t="shared" si="154"/>
        <v>2024</v>
      </c>
      <c r="Q49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12" s="146" t="str">
        <f>TEXT(Planning[[#This Row],[Mes]]*29,"mmmm")</f>
        <v>October</v>
      </c>
      <c r="S4912"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12" s="110"/>
      <c r="U4912" s="107"/>
      <c r="V4912" s="43"/>
      <c r="W4912" s="44"/>
    </row>
    <row r="4913" spans="1:23" x14ac:dyDescent="0.2">
      <c r="A4913" s="9" t="s">
        <v>626</v>
      </c>
      <c r="B4913" s="9" t="s">
        <v>808</v>
      </c>
      <c r="C4913" s="3">
        <v>117008</v>
      </c>
      <c r="D4913" s="3" t="s">
        <v>843</v>
      </c>
      <c r="E4913" s="4"/>
      <c r="F4913" s="3" t="s">
        <v>130</v>
      </c>
      <c r="G4913" s="53"/>
      <c r="H4913" s="20"/>
      <c r="I4913" s="12"/>
      <c r="J4913" s="5" t="e">
        <f>SUM(SUMIFS(#REF!,#REF!,Planning[[#This Row],[Tipo de Tarea y especialidad]],#REF!,Planning[[#This Row],[Proyectos Reiwa]]),SUMIFS(#REF!,#REF!,Planning[[#This Row],[Tipo de Tarea y especialidad]],#REF!,Planning[[#This Row],[Proyectos]]))</f>
        <v>#REF!</v>
      </c>
      <c r="K4913" s="5" t="e">
        <f>+Planning[[#This Row],[Horas Planificadas]]+Planning[[#This Row],[Horas ajustadas adicionales]]-Planning[[#This Row],[Horas utilizadas]]</f>
        <v>#REF!</v>
      </c>
      <c r="L4913" s="9"/>
      <c r="M4913" s="19" t="e">
        <f>Planning[[#This Row],[Saldo]]-Planning[[#This Row],[Saldo estimado]]</f>
        <v>#REF!</v>
      </c>
      <c r="N4913" s="62" t="e">
        <f>+SUMIFS(#REF!,#REF!,Planning[[#This Row],[Proyectos]],#REF!,Planning[[#This Row],[Tipo de Tarea y especialidad]])</f>
        <v>#REF!</v>
      </c>
      <c r="O4913" s="34">
        <f t="shared" si="153"/>
        <v>10</v>
      </c>
      <c r="P4913" s="34">
        <f t="shared" si="154"/>
        <v>2024</v>
      </c>
      <c r="Q49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13" s="146" t="str">
        <f>TEXT(Planning[[#This Row],[Mes]]*29,"mmmm")</f>
        <v>October</v>
      </c>
      <c r="S4913" s="146"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13" s="110"/>
      <c r="U4913" s="107"/>
      <c r="V4913" s="43"/>
      <c r="W4913" s="44"/>
    </row>
    <row r="4914" spans="1:23" x14ac:dyDescent="0.2">
      <c r="A4914" s="9" t="s">
        <v>626</v>
      </c>
      <c r="B4914" s="9" t="s">
        <v>808</v>
      </c>
      <c r="C4914" s="3">
        <v>117008</v>
      </c>
      <c r="D4914" s="3" t="s">
        <v>843</v>
      </c>
      <c r="E4914" s="4"/>
      <c r="F4914" s="3" t="s">
        <v>131</v>
      </c>
      <c r="G4914" s="53">
        <v>0</v>
      </c>
      <c r="H4914" s="20">
        <v>0</v>
      </c>
      <c r="I4914" s="12"/>
      <c r="J4914" s="5" t="e">
        <f>SUM(SUMIFS(#REF!,#REF!,Planning[[#This Row],[Tipo de Tarea y especialidad]],#REF!,Planning[[#This Row],[Proyectos Reiwa]]),SUMIFS(#REF!,#REF!,Planning[[#This Row],[Tipo de Tarea y especialidad]],#REF!,Planning[[#This Row],[Proyectos]]))</f>
        <v>#REF!</v>
      </c>
      <c r="K4914" s="5" t="e">
        <f>+Planning[[#This Row],[Horas Planificadas]]+Planning[[#This Row],[Horas ajustadas adicionales]]-Planning[[#This Row],[Horas utilizadas]]</f>
        <v>#REF!</v>
      </c>
      <c r="L4914" s="9">
        <v>0</v>
      </c>
      <c r="M4914" s="19" t="e">
        <f>Planning[[#This Row],[Saldo]]-Planning[[#This Row],[Saldo estimado]]</f>
        <v>#REF!</v>
      </c>
      <c r="N4914" s="62" t="e">
        <f>+SUMIFS(#REF!,#REF!,Planning[[#This Row],[Proyectos]],#REF!,Planning[[#This Row],[Tipo de Tarea y especialidad]])</f>
        <v>#REF!</v>
      </c>
      <c r="O4914" s="34">
        <f t="shared" si="153"/>
        <v>10</v>
      </c>
      <c r="P4914" s="34">
        <f t="shared" si="154"/>
        <v>2024</v>
      </c>
      <c r="Q49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14" s="147" t="str">
        <f>TEXT(Planning[[#This Row],[Mes]]*29,"mmmm")</f>
        <v>October</v>
      </c>
      <c r="S4914" s="147"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14" s="111"/>
      <c r="U4914" s="107"/>
      <c r="V4914" s="43"/>
      <c r="W4914" s="44"/>
    </row>
    <row r="4915" spans="1:23" ht="22.5" x14ac:dyDescent="0.2">
      <c r="A4915" s="9" t="s">
        <v>483</v>
      </c>
      <c r="B4915" s="9" t="s">
        <v>205</v>
      </c>
      <c r="C4915" s="3"/>
      <c r="D4915" s="3" t="s">
        <v>849</v>
      </c>
      <c r="E4915" s="4" t="s">
        <v>28</v>
      </c>
      <c r="F4915" s="3"/>
      <c r="G4915" s="9">
        <v>0</v>
      </c>
      <c r="H4915" s="14">
        <f>SUM(H4916:H4917)</f>
        <v>0</v>
      </c>
      <c r="I4915" s="14"/>
      <c r="J4915" s="14" t="e">
        <f>SUM(J4916:J4917)</f>
        <v>#REF!</v>
      </c>
      <c r="K4915" s="14" t="e">
        <f>+Planning[[#This Row],[Horas Planificadas]]+Planning[[#This Row],[Horas ajustadas adicionales]]-Planning[[#This Row],[Horas utilizadas]]</f>
        <v>#REF!</v>
      </c>
      <c r="L4915" s="15" t="e">
        <f>SUM(L4916:L4917)</f>
        <v>#REF!</v>
      </c>
      <c r="M4915" s="14" t="e">
        <f>SUM(M4916:M4917)</f>
        <v>#REF!</v>
      </c>
      <c r="N4915" s="66"/>
      <c r="O4915" s="14">
        <f t="shared" ref="O4915:O4978" si="155">$L$4</f>
        <v>10</v>
      </c>
      <c r="P4915" s="14">
        <f t="shared" ref="P4915:P4978" si="156">$M$4</f>
        <v>2024</v>
      </c>
      <c r="Q4915" s="28" t="e">
        <f>SUM(Q4916:Q4917)</f>
        <v>#REF!</v>
      </c>
      <c r="R4915" s="25" t="str">
        <f>TEXT(Planning[[#This Row],[Mes]]*29,"mmmm")</f>
        <v>October</v>
      </c>
      <c r="S491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15" s="152" t="s">
        <v>850</v>
      </c>
      <c r="U4915" s="43">
        <f>IF(Planning[[#This Row],[Horas Planificadas]]&lt;&gt;0,+K4915/Planning[[#This Row],[Horas Planificadas]],0)</f>
        <v>0</v>
      </c>
      <c r="V4915" s="43">
        <f>IF(Planning[[#This Row],[Horas Planificadas]]&lt;&gt;0,Planning[[#This Row],[Horas utilizadas]]/Planning[[#This Row],[Horas Planificadas]],0)</f>
        <v>0</v>
      </c>
      <c r="W4915" s="44">
        <f>Planning[[#This Row],[Horas Planificadas]]+Planning[[#This Row],[Horas ajustadas adicionales]]</f>
        <v>0</v>
      </c>
    </row>
    <row r="4916" spans="1:23" x14ac:dyDescent="0.2">
      <c r="A4916" s="9" t="s">
        <v>483</v>
      </c>
      <c r="B4916" s="9" t="s">
        <v>205</v>
      </c>
      <c r="C4916" s="3"/>
      <c r="D4916" s="3" t="s">
        <v>849</v>
      </c>
      <c r="E4916" s="4"/>
      <c r="F4916" s="3" t="s">
        <v>120</v>
      </c>
      <c r="G4916" s="9"/>
      <c r="H4916" s="9"/>
      <c r="I4916" s="12"/>
      <c r="J4916" s="5" t="e">
        <f>SUM(SUMIFS(#REF!,#REF!,Planning[[#This Row],[Tipo de Tarea y especialidad]],#REF!,Planning[[#This Row],[Proyectos Reiwa]]),SUMIFS(#REF!,#REF!,Planning[[#This Row],[Tipo de Tarea y especialidad]],#REF!,Planning[[#This Row],[Proyectos]]))</f>
        <v>#REF!</v>
      </c>
      <c r="K4916" s="5" t="e">
        <f>+Planning[[#This Row],[Horas Planificadas]]+Planning[[#This Row],[Horas ajustadas adicionales]]-Planning[[#This Row],[Horas utilizadas]]</f>
        <v>#REF!</v>
      </c>
      <c r="L4916" s="7" t="e">
        <f>Planning[[#This Row],[Saldo]]</f>
        <v>#REF!</v>
      </c>
      <c r="M4916" s="19" t="e">
        <f>Planning[[#This Row],[Saldo]]-Planning[[#This Row],[Saldo estimado]]</f>
        <v>#REF!</v>
      </c>
      <c r="N4916" s="60" t="e">
        <f>+SUMIFS(#REF!,#REF!,Planning[[#This Row],[Proyectos]],#REF!,Planning[[#This Row],[Tipo de Tarea y especialidad]])</f>
        <v>#REF!</v>
      </c>
      <c r="O4916" s="19">
        <f t="shared" si="155"/>
        <v>10</v>
      </c>
      <c r="P4916" s="19">
        <f t="shared" si="156"/>
        <v>2024</v>
      </c>
      <c r="Q49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16" s="49" t="str">
        <f>TEXT(Planning[[#This Row],[Mes]]*29,"mmmm")</f>
        <v>October</v>
      </c>
      <c r="S491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16" s="156"/>
      <c r="U4916" s="43">
        <f>IF(Planning[[#This Row],[Horas Planificadas]]&lt;&gt;0,+K4916/Planning[[#This Row],[Horas Planificadas]],0)</f>
        <v>0</v>
      </c>
      <c r="V4916" s="43">
        <f>IF(Planning[[#This Row],[Horas Planificadas]]&lt;&gt;0,Planning[[#This Row],[Horas utilizadas]]/Planning[[#This Row],[Horas Planificadas]],0)</f>
        <v>0</v>
      </c>
      <c r="W4916" s="44">
        <f>Planning[[#This Row],[Horas Planificadas]]+Planning[[#This Row],[Horas ajustadas adicionales]]</f>
        <v>0</v>
      </c>
    </row>
    <row r="4917" spans="1:23" x14ac:dyDescent="0.2">
      <c r="A4917" s="9" t="s">
        <v>483</v>
      </c>
      <c r="B4917" s="9" t="s">
        <v>205</v>
      </c>
      <c r="C4917" s="3"/>
      <c r="D4917" s="3" t="s">
        <v>849</v>
      </c>
      <c r="E4917" s="4"/>
      <c r="F4917" s="3" t="s">
        <v>121</v>
      </c>
      <c r="G4917" s="9"/>
      <c r="H4917" s="9"/>
      <c r="I4917" s="12"/>
      <c r="J4917" s="5" t="e">
        <f>SUM(SUMIFS(#REF!,#REF!,Planning[[#This Row],[Tipo de Tarea y especialidad]],#REF!,Planning[[#This Row],[Proyectos Reiwa]]),SUMIFS(#REF!,#REF!,Planning[[#This Row],[Tipo de Tarea y especialidad]],#REF!,Planning[[#This Row],[Proyectos]]))</f>
        <v>#REF!</v>
      </c>
      <c r="K4917" s="5" t="e">
        <f>+Planning[[#This Row],[Horas Planificadas]]+Planning[[#This Row],[Horas ajustadas adicionales]]-Planning[[#This Row],[Horas utilizadas]]</f>
        <v>#REF!</v>
      </c>
      <c r="L4917" s="7">
        <v>0</v>
      </c>
      <c r="M4917" s="19" t="e">
        <f>Planning[[#This Row],[Saldo]]-Planning[[#This Row],[Saldo estimado]]</f>
        <v>#REF!</v>
      </c>
      <c r="N4917" s="60" t="e">
        <f>+SUMIFS(#REF!,#REF!,Planning[[#This Row],[Proyectos]],#REF!,Planning[[#This Row],[Tipo de Tarea y especialidad]])</f>
        <v>#REF!</v>
      </c>
      <c r="O4917" s="19">
        <f t="shared" si="155"/>
        <v>10</v>
      </c>
      <c r="P4917" s="19">
        <f t="shared" si="156"/>
        <v>2024</v>
      </c>
      <c r="Q49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17" s="49" t="str">
        <f>TEXT(Planning[[#This Row],[Mes]]*29,"mmmm")</f>
        <v>October</v>
      </c>
      <c r="S491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17" s="156"/>
      <c r="U4917" s="43">
        <f>IF(Planning[[#This Row],[Horas Planificadas]]&lt;&gt;0,+K4917/Planning[[#This Row],[Horas Planificadas]],0)</f>
        <v>0</v>
      </c>
      <c r="V4917" s="43">
        <f>IF(Planning[[#This Row],[Horas Planificadas]]&lt;&gt;0,Planning[[#This Row],[Horas utilizadas]]/Planning[[#This Row],[Horas Planificadas]],0)</f>
        <v>0</v>
      </c>
      <c r="W4917" s="44">
        <f>Planning[[#This Row],[Horas Planificadas]]+Planning[[#This Row],[Horas ajustadas adicionales]]</f>
        <v>0</v>
      </c>
    </row>
    <row r="4918" spans="1:23" x14ac:dyDescent="0.2">
      <c r="A4918" s="9" t="s">
        <v>483</v>
      </c>
      <c r="B4918" s="9" t="s">
        <v>205</v>
      </c>
      <c r="C4918" s="3"/>
      <c r="D4918" s="3" t="s">
        <v>849</v>
      </c>
      <c r="E4918" s="4" t="s">
        <v>30</v>
      </c>
      <c r="F4918" s="3"/>
      <c r="G4918" s="9">
        <v>400</v>
      </c>
      <c r="H4918" s="14">
        <f>SUM(H4919:H4925)</f>
        <v>400</v>
      </c>
      <c r="I4918" s="14"/>
      <c r="J4918" s="14" t="e">
        <f>SUM(J4919:J4925)</f>
        <v>#REF!</v>
      </c>
      <c r="K4918" s="14" t="e">
        <f>+Planning[[#This Row],[Horas Planificadas]]+Planning[[#This Row],[Horas ajustadas adicionales]]-Planning[[#This Row],[Horas utilizadas]]</f>
        <v>#REF!</v>
      </c>
      <c r="L4918" s="15" t="e">
        <f>SUM(L4919:L4925)</f>
        <v>#REF!</v>
      </c>
      <c r="M4918" s="16" t="e">
        <f>SUM(M4919:M4925)</f>
        <v>#REF!</v>
      </c>
      <c r="N4918" s="60"/>
      <c r="O4918" s="16">
        <f t="shared" si="155"/>
        <v>10</v>
      </c>
      <c r="P4918" s="16">
        <f t="shared" si="156"/>
        <v>2024</v>
      </c>
      <c r="Q4918" s="16" t="e">
        <f>SUM(Q4919:Q4925)</f>
        <v>#REF!</v>
      </c>
      <c r="R4918" s="50" t="str">
        <f>TEXT(Planning[[#This Row],[Mes]]*29,"mmmm")</f>
        <v>October</v>
      </c>
      <c r="S491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18" s="156"/>
      <c r="U4918" s="43" t="e">
        <f>IF(Planning[[#This Row],[Horas Planificadas]]&lt;&gt;0,+K4918/Planning[[#This Row],[Horas Planificadas]],0)</f>
        <v>#REF!</v>
      </c>
      <c r="V4918" s="43" t="e">
        <f>IF(Planning[[#This Row],[Horas Planificadas]]&lt;&gt;0,Planning[[#This Row],[Horas utilizadas]]/Planning[[#This Row],[Horas Planificadas]],0)</f>
        <v>#REF!</v>
      </c>
      <c r="W4918" s="44">
        <f>Planning[[#This Row],[Horas Planificadas]]+Planning[[#This Row],[Horas ajustadas adicionales]]</f>
        <v>400</v>
      </c>
    </row>
    <row r="4919" spans="1:23" x14ac:dyDescent="0.2">
      <c r="A4919" s="9" t="s">
        <v>483</v>
      </c>
      <c r="B4919" s="9" t="s">
        <v>205</v>
      </c>
      <c r="C4919" s="3"/>
      <c r="D4919" s="3" t="s">
        <v>849</v>
      </c>
      <c r="E4919" s="4"/>
      <c r="F4919" s="3" t="s">
        <v>122</v>
      </c>
      <c r="G4919" s="9"/>
      <c r="H4919" s="9"/>
      <c r="I4919" s="12"/>
      <c r="J4919" s="5" t="e">
        <f>SUM(SUMIFS(#REF!,#REF!,Planning[[#This Row],[Tipo de Tarea y especialidad]],#REF!,Planning[[#This Row],[Proyectos Reiwa]]),SUMIFS(#REF!,#REF!,Planning[[#This Row],[Tipo de Tarea y especialidad]],#REF!,Planning[[#This Row],[Proyectos]]))</f>
        <v>#REF!</v>
      </c>
      <c r="K4919" s="5" t="e">
        <f>+Planning[[#This Row],[Horas Planificadas]]+Planning[[#This Row],[Horas ajustadas adicionales]]-Planning[[#This Row],[Horas utilizadas]]</f>
        <v>#REF!</v>
      </c>
      <c r="L4919" s="7" t="e">
        <f>Planning[[#This Row],[Saldo]]</f>
        <v>#REF!</v>
      </c>
      <c r="M4919" s="19" t="e">
        <f>Planning[[#This Row],[Saldo]]-Planning[[#This Row],[Saldo estimado]]</f>
        <v>#REF!</v>
      </c>
      <c r="N4919" s="60" t="e">
        <f>+SUMIFS(#REF!,#REF!,Planning[[#This Row],[Proyectos]],#REF!,Planning[[#This Row],[Tipo de Tarea y especialidad]])</f>
        <v>#REF!</v>
      </c>
      <c r="O4919" s="19">
        <f t="shared" si="155"/>
        <v>10</v>
      </c>
      <c r="P4919" s="19">
        <f t="shared" si="156"/>
        <v>2024</v>
      </c>
      <c r="Q49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19" s="49" t="str">
        <f>TEXT(Planning[[#This Row],[Mes]]*29,"mmmm")</f>
        <v>October</v>
      </c>
      <c r="S491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19" s="156"/>
      <c r="U4919" s="43">
        <f>IF(Planning[[#This Row],[Horas Planificadas]]&lt;&gt;0,+K4919/Planning[[#This Row],[Horas Planificadas]],0)</f>
        <v>0</v>
      </c>
      <c r="V4919" s="43">
        <f>IF(Planning[[#This Row],[Horas Planificadas]]&lt;&gt;0,Planning[[#This Row],[Horas utilizadas]]/Planning[[#This Row],[Horas Planificadas]],0)</f>
        <v>0</v>
      </c>
      <c r="W4919" s="44">
        <f>Planning[[#This Row],[Horas Planificadas]]+Planning[[#This Row],[Horas ajustadas adicionales]]</f>
        <v>0</v>
      </c>
    </row>
    <row r="4920" spans="1:23" x14ac:dyDescent="0.2">
      <c r="A4920" s="9" t="s">
        <v>483</v>
      </c>
      <c r="B4920" s="9" t="s">
        <v>205</v>
      </c>
      <c r="C4920" s="3"/>
      <c r="D4920" s="3" t="s">
        <v>849</v>
      </c>
      <c r="E4920" s="4"/>
      <c r="F4920" s="3" t="s">
        <v>123</v>
      </c>
      <c r="G4920" s="9"/>
      <c r="H4920" s="9">
        <v>310</v>
      </c>
      <c r="I4920" s="12"/>
      <c r="J4920" s="5" t="e">
        <f>SUM(SUMIFS(#REF!,#REF!,Planning[[#This Row],[Tipo de Tarea y especialidad]],#REF!,Planning[[#This Row],[Proyectos Reiwa]]),SUMIFS(#REF!,#REF!,Planning[[#This Row],[Tipo de Tarea y especialidad]],#REF!,Planning[[#This Row],[Proyectos]]))</f>
        <v>#REF!</v>
      </c>
      <c r="K4920" s="5" t="e">
        <f>+Planning[[#This Row],[Horas Planificadas]]+Planning[[#This Row],[Horas ajustadas adicionales]]-Planning[[#This Row],[Horas utilizadas]]</f>
        <v>#REF!</v>
      </c>
      <c r="L4920" s="7">
        <v>0</v>
      </c>
      <c r="M4920" s="19" t="e">
        <f>Planning[[#This Row],[Saldo]]-Planning[[#This Row],[Saldo estimado]]</f>
        <v>#REF!</v>
      </c>
      <c r="N4920" s="60" t="e">
        <f>+SUMIFS(#REF!,#REF!,Planning[[#This Row],[Proyectos]],#REF!,Planning[[#This Row],[Tipo de Tarea y especialidad]])</f>
        <v>#REF!</v>
      </c>
      <c r="O4920" s="19">
        <f t="shared" si="155"/>
        <v>10</v>
      </c>
      <c r="P4920" s="19">
        <f t="shared" si="156"/>
        <v>2024</v>
      </c>
      <c r="Q49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20" s="49" t="str">
        <f>TEXT(Planning[[#This Row],[Mes]]*29,"mmmm")</f>
        <v>October</v>
      </c>
      <c r="S492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20" s="156"/>
      <c r="U4920" s="43" t="e">
        <f>IF(Planning[[#This Row],[Horas Planificadas]]&lt;&gt;0,+K4920/Planning[[#This Row],[Horas Planificadas]],0)</f>
        <v>#REF!</v>
      </c>
      <c r="V4920" s="43" t="e">
        <f>IF(Planning[[#This Row],[Horas Planificadas]]&lt;&gt;0,Planning[[#This Row],[Horas utilizadas]]/Planning[[#This Row],[Horas Planificadas]],0)</f>
        <v>#REF!</v>
      </c>
      <c r="W4920" s="44">
        <f>Planning[[#This Row],[Horas Planificadas]]+Planning[[#This Row],[Horas ajustadas adicionales]]</f>
        <v>310</v>
      </c>
    </row>
    <row r="4921" spans="1:23" x14ac:dyDescent="0.2">
      <c r="A4921" s="9" t="s">
        <v>483</v>
      </c>
      <c r="B4921" s="9" t="s">
        <v>205</v>
      </c>
      <c r="C4921" s="3"/>
      <c r="D4921" s="3" t="s">
        <v>849</v>
      </c>
      <c r="E4921" s="4"/>
      <c r="F4921" s="3" t="s">
        <v>124</v>
      </c>
      <c r="G4921" s="9"/>
      <c r="H4921" s="9"/>
      <c r="I4921" s="12"/>
      <c r="J4921" s="5" t="e">
        <f>SUM(SUMIFS(#REF!,#REF!,Planning[[#This Row],[Tipo de Tarea y especialidad]],#REF!,Planning[[#This Row],[Proyectos Reiwa]]),SUMIFS(#REF!,#REF!,Planning[[#This Row],[Tipo de Tarea y especialidad]],#REF!,Planning[[#This Row],[Proyectos]]))</f>
        <v>#REF!</v>
      </c>
      <c r="K4921" s="5" t="e">
        <f>+Planning[[#This Row],[Horas Planificadas]]+Planning[[#This Row],[Horas ajustadas adicionales]]-Planning[[#This Row],[Horas utilizadas]]</f>
        <v>#REF!</v>
      </c>
      <c r="L4921" s="7" t="e">
        <f>Planning[[#This Row],[Saldo]]</f>
        <v>#REF!</v>
      </c>
      <c r="M4921" s="19" t="e">
        <f>Planning[[#This Row],[Saldo]]-Planning[[#This Row],[Saldo estimado]]</f>
        <v>#REF!</v>
      </c>
      <c r="N4921" s="60" t="e">
        <f>+SUMIFS(#REF!,#REF!,Planning[[#This Row],[Proyectos]],#REF!,Planning[[#This Row],[Tipo de Tarea y especialidad]])</f>
        <v>#REF!</v>
      </c>
      <c r="O4921" s="19">
        <f t="shared" si="155"/>
        <v>10</v>
      </c>
      <c r="P4921" s="19">
        <f t="shared" si="156"/>
        <v>2024</v>
      </c>
      <c r="Q49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21" s="49" t="str">
        <f>TEXT(Planning[[#This Row],[Mes]]*29,"mmmm")</f>
        <v>October</v>
      </c>
      <c r="S492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21" s="156"/>
      <c r="U4921" s="43">
        <f>IF(Planning[[#This Row],[Horas Planificadas]]&lt;&gt;0,+K4921/Planning[[#This Row],[Horas Planificadas]],0)</f>
        <v>0</v>
      </c>
      <c r="V4921" s="43">
        <f>IF(Planning[[#This Row],[Horas Planificadas]]&lt;&gt;0,Planning[[#This Row],[Horas utilizadas]]/Planning[[#This Row],[Horas Planificadas]],0)</f>
        <v>0</v>
      </c>
      <c r="W4921" s="44">
        <f>Planning[[#This Row],[Horas Planificadas]]+Planning[[#This Row],[Horas ajustadas adicionales]]</f>
        <v>0</v>
      </c>
    </row>
    <row r="4922" spans="1:23" x14ac:dyDescent="0.2">
      <c r="A4922" s="9" t="s">
        <v>483</v>
      </c>
      <c r="B4922" s="9" t="s">
        <v>205</v>
      </c>
      <c r="C4922" s="3"/>
      <c r="D4922" s="3" t="s">
        <v>849</v>
      </c>
      <c r="E4922" s="4"/>
      <c r="F4922" s="3" t="s">
        <v>125</v>
      </c>
      <c r="G4922" s="9"/>
      <c r="H4922" s="9">
        <v>90</v>
      </c>
      <c r="I4922" s="12"/>
      <c r="J4922" s="5" t="e">
        <f>SUM(SUMIFS(#REF!,#REF!,Planning[[#This Row],[Tipo de Tarea y especialidad]],#REF!,Planning[[#This Row],[Proyectos Reiwa]]),SUMIFS(#REF!,#REF!,Planning[[#This Row],[Tipo de Tarea y especialidad]],#REF!,Planning[[#This Row],[Proyectos]]))</f>
        <v>#REF!</v>
      </c>
      <c r="K4922" s="5" t="e">
        <f>+Planning[[#This Row],[Horas Planificadas]]+Planning[[#This Row],[Horas ajustadas adicionales]]-Planning[[#This Row],[Horas utilizadas]]</f>
        <v>#REF!</v>
      </c>
      <c r="L4922" s="7">
        <v>0</v>
      </c>
      <c r="M4922" s="19" t="e">
        <f>Planning[[#This Row],[Saldo]]-Planning[[#This Row],[Saldo estimado]]</f>
        <v>#REF!</v>
      </c>
      <c r="N4922" s="60" t="e">
        <f>+SUMIFS(#REF!,#REF!,Planning[[#This Row],[Proyectos]],#REF!,Planning[[#This Row],[Tipo de Tarea y especialidad]])</f>
        <v>#REF!</v>
      </c>
      <c r="O4922" s="19">
        <f t="shared" si="155"/>
        <v>10</v>
      </c>
      <c r="P4922" s="19">
        <f t="shared" si="156"/>
        <v>2024</v>
      </c>
      <c r="Q49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22" s="49" t="str">
        <f>TEXT(Planning[[#This Row],[Mes]]*29,"mmmm")</f>
        <v>October</v>
      </c>
      <c r="S492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22" s="156"/>
      <c r="U4922" s="43" t="e">
        <f>IF(Planning[[#This Row],[Horas Planificadas]]&lt;&gt;0,+K4922/Planning[[#This Row],[Horas Planificadas]],0)</f>
        <v>#REF!</v>
      </c>
      <c r="V4922" s="43" t="e">
        <f>IF(Planning[[#This Row],[Horas Planificadas]]&lt;&gt;0,Planning[[#This Row],[Horas utilizadas]]/Planning[[#This Row],[Horas Planificadas]],0)</f>
        <v>#REF!</v>
      </c>
      <c r="W4922" s="44">
        <f>Planning[[#This Row],[Horas Planificadas]]+Planning[[#This Row],[Horas ajustadas adicionales]]</f>
        <v>90</v>
      </c>
    </row>
    <row r="4923" spans="1:23" x14ac:dyDescent="0.2">
      <c r="A4923" s="9" t="s">
        <v>483</v>
      </c>
      <c r="B4923" s="9" t="s">
        <v>205</v>
      </c>
      <c r="C4923" s="3"/>
      <c r="D4923" s="3" t="s">
        <v>849</v>
      </c>
      <c r="E4923" s="4"/>
      <c r="F4923" s="3" t="s">
        <v>126</v>
      </c>
      <c r="G4923" s="9"/>
      <c r="H4923" s="9"/>
      <c r="I4923" s="12"/>
      <c r="J4923" s="5" t="e">
        <f>SUM(SUMIFS(#REF!,#REF!,Planning[[#This Row],[Tipo de Tarea y especialidad]],#REF!,Planning[[#This Row],[Proyectos Reiwa]]),SUMIFS(#REF!,#REF!,Planning[[#This Row],[Tipo de Tarea y especialidad]],#REF!,Planning[[#This Row],[Proyectos]]))</f>
        <v>#REF!</v>
      </c>
      <c r="K4923" s="5" t="e">
        <f>+Planning[[#This Row],[Horas Planificadas]]+Planning[[#This Row],[Horas ajustadas adicionales]]-Planning[[#This Row],[Horas utilizadas]]</f>
        <v>#REF!</v>
      </c>
      <c r="L4923" s="7" t="e">
        <f>Planning[[#This Row],[Saldo]]</f>
        <v>#REF!</v>
      </c>
      <c r="M4923" s="19" t="e">
        <f>Planning[[#This Row],[Saldo]]-Planning[[#This Row],[Saldo estimado]]</f>
        <v>#REF!</v>
      </c>
      <c r="N4923" s="60" t="e">
        <f>+SUMIFS(#REF!,#REF!,Planning[[#This Row],[Proyectos]],#REF!,Planning[[#This Row],[Tipo de Tarea y especialidad]])</f>
        <v>#REF!</v>
      </c>
      <c r="O4923" s="19">
        <f t="shared" si="155"/>
        <v>10</v>
      </c>
      <c r="P4923" s="19">
        <f t="shared" si="156"/>
        <v>2024</v>
      </c>
      <c r="Q49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23" s="49" t="str">
        <f>TEXT(Planning[[#This Row],[Mes]]*29,"mmmm")</f>
        <v>October</v>
      </c>
      <c r="S492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23" s="156"/>
      <c r="U4923" s="43">
        <f>IF(Planning[[#This Row],[Horas Planificadas]]&lt;&gt;0,+K4923/Planning[[#This Row],[Horas Planificadas]],0)</f>
        <v>0</v>
      </c>
      <c r="V4923" s="43">
        <f>IF(Planning[[#This Row],[Horas Planificadas]]&lt;&gt;0,Planning[[#This Row],[Horas utilizadas]]/Planning[[#This Row],[Horas Planificadas]],0)</f>
        <v>0</v>
      </c>
      <c r="W4923" s="44">
        <f>Planning[[#This Row],[Horas Planificadas]]+Planning[[#This Row],[Horas ajustadas adicionales]]</f>
        <v>0</v>
      </c>
    </row>
    <row r="4924" spans="1:23" x14ac:dyDescent="0.2">
      <c r="A4924" s="9" t="s">
        <v>483</v>
      </c>
      <c r="B4924" s="9" t="s">
        <v>205</v>
      </c>
      <c r="C4924" s="3"/>
      <c r="D4924" s="3" t="s">
        <v>849</v>
      </c>
      <c r="E4924" s="4"/>
      <c r="F4924" s="3" t="s">
        <v>127</v>
      </c>
      <c r="G4924" s="9"/>
      <c r="H4924" s="9"/>
      <c r="I4924" s="12"/>
      <c r="J4924" s="5" t="e">
        <f>SUM(SUMIFS(#REF!,#REF!,Planning[[#This Row],[Tipo de Tarea y especialidad]],#REF!,Planning[[#This Row],[Proyectos Reiwa]]),SUMIFS(#REF!,#REF!,Planning[[#This Row],[Tipo de Tarea y especialidad]],#REF!,Planning[[#This Row],[Proyectos]]))</f>
        <v>#REF!</v>
      </c>
      <c r="K4924" s="5" t="e">
        <f>+Planning[[#This Row],[Horas Planificadas]]+Planning[[#This Row],[Horas ajustadas adicionales]]-Planning[[#This Row],[Horas utilizadas]]</f>
        <v>#REF!</v>
      </c>
      <c r="L4924" s="7">
        <v>0</v>
      </c>
      <c r="M4924" s="19" t="e">
        <f>Planning[[#This Row],[Saldo]]-Planning[[#This Row],[Saldo estimado]]</f>
        <v>#REF!</v>
      </c>
      <c r="N4924" s="60" t="e">
        <f>+SUMIFS(#REF!,#REF!,Planning[[#This Row],[Proyectos]],#REF!,Planning[[#This Row],[Tipo de Tarea y especialidad]])</f>
        <v>#REF!</v>
      </c>
      <c r="O4924" s="19">
        <f t="shared" si="155"/>
        <v>10</v>
      </c>
      <c r="P4924" s="19">
        <f t="shared" si="156"/>
        <v>2024</v>
      </c>
      <c r="Q49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24" s="49" t="str">
        <f>TEXT(Planning[[#This Row],[Mes]]*29,"mmmm")</f>
        <v>October</v>
      </c>
      <c r="S492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24" s="156"/>
      <c r="U4924" s="43">
        <f>IF(Planning[[#This Row],[Horas Planificadas]]&lt;&gt;0,+K4924/Planning[[#This Row],[Horas Planificadas]],0)</f>
        <v>0</v>
      </c>
      <c r="V4924" s="43">
        <f>IF(Planning[[#This Row],[Horas Planificadas]]&lt;&gt;0,Planning[[#This Row],[Horas utilizadas]]/Planning[[#This Row],[Horas Planificadas]],0)</f>
        <v>0</v>
      </c>
      <c r="W4924" s="44">
        <f>Planning[[#This Row],[Horas Planificadas]]+Planning[[#This Row],[Horas ajustadas adicionales]]</f>
        <v>0</v>
      </c>
    </row>
    <row r="4925" spans="1:23" x14ac:dyDescent="0.2">
      <c r="A4925" s="9" t="s">
        <v>483</v>
      </c>
      <c r="B4925" s="9" t="s">
        <v>205</v>
      </c>
      <c r="C4925" s="3"/>
      <c r="D4925" s="3" t="s">
        <v>849</v>
      </c>
      <c r="E4925" s="4"/>
      <c r="F4925" s="3" t="s">
        <v>128</v>
      </c>
      <c r="G4925" s="9"/>
      <c r="H4925" s="9"/>
      <c r="I4925" s="12"/>
      <c r="J4925" s="5" t="e">
        <f>SUM(SUMIFS(#REF!,#REF!,Planning[[#This Row],[Tipo de Tarea y especialidad]],#REF!,Planning[[#This Row],[Proyectos Reiwa]]),SUMIFS(#REF!,#REF!,Planning[[#This Row],[Tipo de Tarea y especialidad]],#REF!,Planning[[#This Row],[Proyectos]]))</f>
        <v>#REF!</v>
      </c>
      <c r="K4925" s="5" t="e">
        <f>+Planning[[#This Row],[Horas Planificadas]]+Planning[[#This Row],[Horas ajustadas adicionales]]-Planning[[#This Row],[Horas utilizadas]]</f>
        <v>#REF!</v>
      </c>
      <c r="L4925" s="7" t="e">
        <f>Planning[[#This Row],[Saldo]]</f>
        <v>#REF!</v>
      </c>
      <c r="M4925" s="19" t="e">
        <f>Planning[[#This Row],[Saldo]]-Planning[[#This Row],[Saldo estimado]]</f>
        <v>#REF!</v>
      </c>
      <c r="N4925" s="60" t="e">
        <f>+SUMIFS(#REF!,#REF!,Planning[[#This Row],[Proyectos]],#REF!,Planning[[#This Row],[Tipo de Tarea y especialidad]])</f>
        <v>#REF!</v>
      </c>
      <c r="O4925" s="19">
        <f t="shared" si="155"/>
        <v>10</v>
      </c>
      <c r="P4925" s="19">
        <f t="shared" si="156"/>
        <v>2024</v>
      </c>
      <c r="Q49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25" s="49" t="str">
        <f>TEXT(Planning[[#This Row],[Mes]]*29,"mmmm")</f>
        <v>October</v>
      </c>
      <c r="S492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25" s="156"/>
      <c r="U4925" s="43">
        <f>IF(Planning[[#This Row],[Horas Planificadas]]&lt;&gt;0,+K4925/Planning[[#This Row],[Horas Planificadas]],0)</f>
        <v>0</v>
      </c>
      <c r="V4925" s="43">
        <f>IF(Planning[[#This Row],[Horas Planificadas]]&lt;&gt;0,Planning[[#This Row],[Horas utilizadas]]/Planning[[#This Row],[Horas Planificadas]],0)</f>
        <v>0</v>
      </c>
      <c r="W4925" s="44">
        <f>Planning[[#This Row],[Horas Planificadas]]+Planning[[#This Row],[Horas ajustadas adicionales]]</f>
        <v>0</v>
      </c>
    </row>
    <row r="4926" spans="1:23" x14ac:dyDescent="0.2">
      <c r="A4926" s="9" t="s">
        <v>483</v>
      </c>
      <c r="B4926" s="9" t="s">
        <v>205</v>
      </c>
      <c r="C4926" s="3"/>
      <c r="D4926" s="3" t="s">
        <v>849</v>
      </c>
      <c r="E4926" s="4" t="s">
        <v>31</v>
      </c>
      <c r="F4926" s="3" t="s">
        <v>31</v>
      </c>
      <c r="G4926" s="9">
        <v>36</v>
      </c>
      <c r="H4926" s="17">
        <f>Planning[[#This Row],[Horas Precálculo]]</f>
        <v>36</v>
      </c>
      <c r="I4926" s="18"/>
      <c r="J4926" s="14" t="e">
        <f>+SUMIFS(#REF!,#REF!,Planning[[#This Row],[Tarifa]],#REF!,Planning[[#This Row],[Proyectos]])</f>
        <v>#REF!</v>
      </c>
      <c r="K4926" s="14" t="e">
        <f>+Planning[[#This Row],[Horas Planificadas]]+Planning[[#This Row],[Horas ajustadas adicionales]]-Planning[[#This Row],[Horas utilizadas]]</f>
        <v>#REF!</v>
      </c>
      <c r="L4926" s="15" t="e">
        <f>Planning[[#This Row],[Saldo]]</f>
        <v>#REF!</v>
      </c>
      <c r="M4926" s="16" t="e">
        <f>Planning[[#This Row],[Saldo]]-Planning[[#This Row],[Saldo estimado]]</f>
        <v>#REF!</v>
      </c>
      <c r="N4926" s="60"/>
      <c r="O4926" s="16">
        <f t="shared" si="155"/>
        <v>10</v>
      </c>
      <c r="P4926" s="16">
        <f t="shared" si="156"/>
        <v>2024</v>
      </c>
      <c r="Q4926" s="16" t="e">
        <f>+SUMIFS(#REF!,#REF!,Planning[[#This Row],[Tarifa]],#REF!,Planning[[#This Row],[Proyectos]],#REF!,Planning[[#This Row],[Mes]],#REF!,Planning[[#This Row],[Año]])</f>
        <v>#REF!</v>
      </c>
      <c r="R4926" s="50" t="str">
        <f>TEXT(Planning[[#This Row],[Mes]]*29,"mmmm")</f>
        <v>October</v>
      </c>
      <c r="S492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26" s="156"/>
      <c r="U4926" s="43" t="e">
        <f>IF(Planning[[#This Row],[Horas Planificadas]]&lt;&gt;0,+K4926/Planning[[#This Row],[Horas Planificadas]],0)</f>
        <v>#REF!</v>
      </c>
      <c r="V4926" s="43" t="e">
        <f>IF(Planning[[#This Row],[Horas Planificadas]]&lt;&gt;0,Planning[[#This Row],[Horas utilizadas]]/Planning[[#This Row],[Horas Planificadas]],0)</f>
        <v>#REF!</v>
      </c>
      <c r="W4926" s="44">
        <f>Planning[[#This Row],[Horas Planificadas]]+Planning[[#This Row],[Horas ajustadas adicionales]]</f>
        <v>36</v>
      </c>
    </row>
    <row r="4927" spans="1:23" ht="22.5" x14ac:dyDescent="0.2">
      <c r="A4927" s="9" t="s">
        <v>483</v>
      </c>
      <c r="B4927" s="9" t="s">
        <v>205</v>
      </c>
      <c r="C4927" s="3"/>
      <c r="D4927" s="3" t="s">
        <v>849</v>
      </c>
      <c r="E4927" s="4" t="s">
        <v>32</v>
      </c>
      <c r="F4927" s="3"/>
      <c r="G4927" s="9">
        <v>178</v>
      </c>
      <c r="H4927" s="14">
        <f>SUM(H4928:H4930)</f>
        <v>178</v>
      </c>
      <c r="I4927" s="14"/>
      <c r="J4927" s="14" t="e">
        <f>SUM(J4928:J4930)</f>
        <v>#REF!</v>
      </c>
      <c r="K4927" s="14" t="e">
        <f>+Planning[[#This Row],[Horas Planificadas]]+Planning[[#This Row],[Horas ajustadas adicionales]]-Planning[[#This Row],[Horas utilizadas]]</f>
        <v>#REF!</v>
      </c>
      <c r="L4927" s="15" t="e">
        <f>SUM(L4928:L4930)</f>
        <v>#REF!</v>
      </c>
      <c r="M4927" s="16" t="e">
        <f>SUM(M4928:M4930)</f>
        <v>#REF!</v>
      </c>
      <c r="N4927" s="60"/>
      <c r="O4927" s="16">
        <f t="shared" si="155"/>
        <v>10</v>
      </c>
      <c r="P4927" s="16">
        <f t="shared" si="156"/>
        <v>2024</v>
      </c>
      <c r="Q4927" s="16" t="e">
        <f>SUM(Q4928:Q4930)</f>
        <v>#REF!</v>
      </c>
      <c r="R4927" s="50" t="str">
        <f>TEXT(Planning[[#This Row],[Mes]]*29,"mmmm")</f>
        <v>October</v>
      </c>
      <c r="S492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27" s="156"/>
      <c r="U4927" s="43" t="e">
        <f>IF(Planning[[#This Row],[Horas Planificadas]]&lt;&gt;0,+K4927/Planning[[#This Row],[Horas Planificadas]],0)</f>
        <v>#REF!</v>
      </c>
      <c r="V4927" s="43" t="e">
        <f>IF(Planning[[#This Row],[Horas Planificadas]]&lt;&gt;0,Planning[[#This Row],[Horas utilizadas]]/Planning[[#This Row],[Horas Planificadas]],0)</f>
        <v>#REF!</v>
      </c>
      <c r="W4927" s="44">
        <f>Planning[[#This Row],[Horas Planificadas]]+Planning[[#This Row],[Horas ajustadas adicionales]]</f>
        <v>178</v>
      </c>
    </row>
    <row r="4928" spans="1:23" x14ac:dyDescent="0.2">
      <c r="A4928" s="9" t="s">
        <v>483</v>
      </c>
      <c r="B4928" s="9" t="s">
        <v>205</v>
      </c>
      <c r="C4928" s="3"/>
      <c r="D4928" s="3" t="s">
        <v>849</v>
      </c>
      <c r="E4928" s="4"/>
      <c r="F4928" s="3" t="s">
        <v>129</v>
      </c>
      <c r="G4928" s="9"/>
      <c r="H4928" s="9"/>
      <c r="I4928" s="12"/>
      <c r="J4928" s="5" t="e">
        <f>SUM(SUMIFS(#REF!,#REF!,Planning[[#This Row],[Tipo de Tarea y especialidad]],#REF!,Planning[[#This Row],[Proyectos Reiwa]]),SUMIFS(#REF!,#REF!,Planning[[#This Row],[Tipo de Tarea y especialidad]],#REF!,Planning[[#This Row],[Proyectos]]))</f>
        <v>#REF!</v>
      </c>
      <c r="K4928" s="5" t="e">
        <f>+Planning[[#This Row],[Horas Planificadas]]+Planning[[#This Row],[Horas ajustadas adicionales]]-Planning[[#This Row],[Horas utilizadas]]</f>
        <v>#REF!</v>
      </c>
      <c r="L4928" s="7" t="e">
        <f>Planning[[#This Row],[Saldo]]</f>
        <v>#REF!</v>
      </c>
      <c r="M4928" s="19" t="e">
        <f>Planning[[#This Row],[Saldo]]-Planning[[#This Row],[Saldo estimado]]</f>
        <v>#REF!</v>
      </c>
      <c r="N4928" s="60" t="e">
        <f>+SUMIFS(#REF!,#REF!,Planning[[#This Row],[Proyectos]],#REF!,Planning[[#This Row],[Tipo de Tarea y especialidad]])</f>
        <v>#REF!</v>
      </c>
      <c r="O4928" s="19">
        <f t="shared" si="155"/>
        <v>10</v>
      </c>
      <c r="P4928" s="19">
        <f t="shared" si="156"/>
        <v>2024</v>
      </c>
      <c r="Q49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28" s="49" t="str">
        <f>TEXT(Planning[[#This Row],[Mes]]*29,"mmmm")</f>
        <v>October</v>
      </c>
      <c r="S492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28" s="156"/>
      <c r="U4928" s="43">
        <f>IF(Planning[[#This Row],[Horas Planificadas]]&lt;&gt;0,+K4928/Planning[[#This Row],[Horas Planificadas]],0)</f>
        <v>0</v>
      </c>
      <c r="V4928" s="43">
        <f>IF(Planning[[#This Row],[Horas Planificadas]]&lt;&gt;0,Planning[[#This Row],[Horas utilizadas]]/Planning[[#This Row],[Horas Planificadas]],0)</f>
        <v>0</v>
      </c>
      <c r="W4928" s="44">
        <f>Planning[[#This Row],[Horas Planificadas]]+Planning[[#This Row],[Horas ajustadas adicionales]]</f>
        <v>0</v>
      </c>
    </row>
    <row r="4929" spans="1:23" x14ac:dyDescent="0.2">
      <c r="A4929" s="9" t="s">
        <v>483</v>
      </c>
      <c r="B4929" s="9" t="s">
        <v>205</v>
      </c>
      <c r="C4929" s="3"/>
      <c r="D4929" s="3" t="s">
        <v>849</v>
      </c>
      <c r="E4929" s="4"/>
      <c r="F4929" s="3" t="s">
        <v>130</v>
      </c>
      <c r="G4929" s="9"/>
      <c r="H4929" s="9">
        <v>178</v>
      </c>
      <c r="I4929" s="12"/>
      <c r="J4929" s="5" t="e">
        <f>SUM(SUMIFS(#REF!,#REF!,Planning[[#This Row],[Tipo de Tarea y especialidad]],#REF!,Planning[[#This Row],[Proyectos Reiwa]]),SUMIFS(#REF!,#REF!,Planning[[#This Row],[Tipo de Tarea y especialidad]],#REF!,Planning[[#This Row],[Proyectos]]))</f>
        <v>#REF!</v>
      </c>
      <c r="K4929" s="5" t="e">
        <f>+Planning[[#This Row],[Horas Planificadas]]+Planning[[#This Row],[Horas ajustadas adicionales]]-Planning[[#This Row],[Horas utilizadas]]</f>
        <v>#REF!</v>
      </c>
      <c r="L4929" s="7">
        <v>0</v>
      </c>
      <c r="M4929" s="19" t="e">
        <f>Planning[[#This Row],[Saldo]]-Planning[[#This Row],[Saldo estimado]]</f>
        <v>#REF!</v>
      </c>
      <c r="N4929" s="60" t="e">
        <f>+SUMIFS(#REF!,#REF!,Planning[[#This Row],[Proyectos]],#REF!,Planning[[#This Row],[Tipo de Tarea y especialidad]])</f>
        <v>#REF!</v>
      </c>
      <c r="O4929" s="19">
        <f t="shared" si="155"/>
        <v>10</v>
      </c>
      <c r="P4929" s="19">
        <f t="shared" si="156"/>
        <v>2024</v>
      </c>
      <c r="Q49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29" s="49" t="str">
        <f>TEXT(Planning[[#This Row],[Mes]]*29,"mmmm")</f>
        <v>October</v>
      </c>
      <c r="S492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29" s="156"/>
      <c r="U4929" s="43" t="e">
        <f>IF(Planning[[#This Row],[Horas Planificadas]]&lt;&gt;0,+K4929/Planning[[#This Row],[Horas Planificadas]],0)</f>
        <v>#REF!</v>
      </c>
      <c r="V4929" s="43" t="e">
        <f>IF(Planning[[#This Row],[Horas Planificadas]]&lt;&gt;0,Planning[[#This Row],[Horas utilizadas]]/Planning[[#This Row],[Horas Planificadas]],0)</f>
        <v>#REF!</v>
      </c>
      <c r="W4929" s="44">
        <f>Planning[[#This Row],[Horas Planificadas]]+Planning[[#This Row],[Horas ajustadas adicionales]]</f>
        <v>178</v>
      </c>
    </row>
    <row r="4930" spans="1:23" x14ac:dyDescent="0.2">
      <c r="A4930" s="9" t="s">
        <v>483</v>
      </c>
      <c r="B4930" s="9" t="s">
        <v>205</v>
      </c>
      <c r="C4930" s="3"/>
      <c r="D4930" s="3" t="s">
        <v>849</v>
      </c>
      <c r="E4930" s="4"/>
      <c r="F4930" s="3" t="s">
        <v>131</v>
      </c>
      <c r="G4930" s="9"/>
      <c r="H4930" s="9"/>
      <c r="I4930" s="12"/>
      <c r="J4930" s="5" t="e">
        <f>SUM(SUMIFS(#REF!,#REF!,Planning[[#This Row],[Tipo de Tarea y especialidad]],#REF!,Planning[[#This Row],[Proyectos Reiwa]]),SUMIFS(#REF!,#REF!,Planning[[#This Row],[Tipo de Tarea y especialidad]],#REF!,Planning[[#This Row],[Proyectos]]))</f>
        <v>#REF!</v>
      </c>
      <c r="K4930" s="5" t="e">
        <f>+Planning[[#This Row],[Horas Planificadas]]+Planning[[#This Row],[Horas ajustadas adicionales]]-Planning[[#This Row],[Horas utilizadas]]</f>
        <v>#REF!</v>
      </c>
      <c r="L4930" s="7" t="e">
        <f>Planning[[#This Row],[Saldo]]</f>
        <v>#REF!</v>
      </c>
      <c r="M4930" s="19" t="e">
        <f>Planning[[#This Row],[Saldo]]-Planning[[#This Row],[Saldo estimado]]</f>
        <v>#REF!</v>
      </c>
      <c r="N4930" s="60" t="e">
        <f>+SUMIFS(#REF!,#REF!,Planning[[#This Row],[Proyectos]],#REF!,Planning[[#This Row],[Tipo de Tarea y especialidad]])</f>
        <v>#REF!</v>
      </c>
      <c r="O4930" s="19">
        <f t="shared" si="155"/>
        <v>10</v>
      </c>
      <c r="P4930" s="19">
        <f t="shared" si="156"/>
        <v>2024</v>
      </c>
      <c r="Q49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30" s="51" t="str">
        <f>TEXT(Planning[[#This Row],[Mes]]*29,"mmmm")</f>
        <v>October</v>
      </c>
      <c r="S4930"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30" s="157"/>
      <c r="U4930" s="43">
        <f>IF(Planning[[#This Row],[Horas Planificadas]]&lt;&gt;0,+K4930/Planning[[#This Row],[Horas Planificadas]],0)</f>
        <v>0</v>
      </c>
      <c r="V4930" s="43">
        <f>IF(Planning[[#This Row],[Horas Planificadas]]&lt;&gt;0,Planning[[#This Row],[Horas utilizadas]]/Planning[[#This Row],[Horas Planificadas]],0)</f>
        <v>0</v>
      </c>
      <c r="W4930" s="44">
        <f>Planning[[#This Row],[Horas Planificadas]]+Planning[[#This Row],[Horas ajustadas adicionales]]</f>
        <v>0</v>
      </c>
    </row>
    <row r="4931" spans="1:23" ht="22.5" x14ac:dyDescent="0.2">
      <c r="A4931" s="9" t="s">
        <v>204</v>
      </c>
      <c r="B4931" s="9" t="s">
        <v>463</v>
      </c>
      <c r="C4931" s="3">
        <v>117202</v>
      </c>
      <c r="D4931" s="3" t="s">
        <v>851</v>
      </c>
      <c r="E4931" s="4" t="s">
        <v>28</v>
      </c>
      <c r="F4931" s="3"/>
      <c r="G4931" s="9">
        <f>1541+308</f>
        <v>1849</v>
      </c>
      <c r="H4931" s="14">
        <f>SUM(H4932:H4933)</f>
        <v>1541</v>
      </c>
      <c r="I4931" s="14">
        <f>SUM(I4932:I4933)</f>
        <v>516</v>
      </c>
      <c r="J4931" s="14" t="e">
        <f>SUM(J4932:J4933)</f>
        <v>#REF!</v>
      </c>
      <c r="K4931" s="14" t="e">
        <f>+Planning[[#This Row],[Horas Planificadas]]+Planning[[#This Row],[Horas ajustadas adicionales]]-Planning[[#This Row],[Horas utilizadas]]</f>
        <v>#REF!</v>
      </c>
      <c r="L4931" s="15">
        <f>SUM(L4932:L4933)</f>
        <v>45</v>
      </c>
      <c r="M4931" s="14" t="e">
        <f>SUM(M4932:M4933)</f>
        <v>#REF!</v>
      </c>
      <c r="N4931" s="66"/>
      <c r="O4931" s="14">
        <f t="shared" si="155"/>
        <v>10</v>
      </c>
      <c r="P4931" s="14">
        <f t="shared" si="156"/>
        <v>2024</v>
      </c>
      <c r="Q4931" s="28" t="e">
        <f>SUM(Q4932:Q4933)</f>
        <v>#REF!</v>
      </c>
      <c r="R4931" s="24" t="str">
        <f>TEXT(Planning[[#This Row],[Mes]]*29,"mmmm")</f>
        <v>October</v>
      </c>
      <c r="S4931"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31" s="151" t="s">
        <v>852</v>
      </c>
      <c r="U4931" s="43"/>
      <c r="V4931" s="43"/>
      <c r="W4931" s="44"/>
    </row>
    <row r="4932" spans="1:23" x14ac:dyDescent="0.2">
      <c r="A4932" s="9" t="s">
        <v>204</v>
      </c>
      <c r="B4932" s="9" t="s">
        <v>463</v>
      </c>
      <c r="C4932" s="3">
        <v>117202</v>
      </c>
      <c r="D4932" s="3" t="s">
        <v>851</v>
      </c>
      <c r="E4932" s="4"/>
      <c r="F4932" s="3" t="s">
        <v>120</v>
      </c>
      <c r="G4932" s="9"/>
      <c r="H4932" s="9">
        <v>869</v>
      </c>
      <c r="I4932" s="12">
        <f>167+145</f>
        <v>312</v>
      </c>
      <c r="J4932" s="5" t="e">
        <f>SUM(SUMIFS(#REF!,#REF!,Planning[[#This Row],[Tipo de Tarea y especialidad]],#REF!,Planning[[#This Row],[Proyectos Reiwa]]),SUMIFS(#REF!,#REF!,Planning[[#This Row],[Tipo de Tarea y especialidad]],#REF!,Planning[[#This Row],[Proyectos]]))</f>
        <v>#REF!</v>
      </c>
      <c r="K4932" s="5" t="e">
        <f>+Planning[[#This Row],[Horas Planificadas]]+Planning[[#This Row],[Horas ajustadas adicionales]]-Planning[[#This Row],[Horas utilizadas]]</f>
        <v>#REF!</v>
      </c>
      <c r="L4932" s="7">
        <v>0</v>
      </c>
      <c r="M4932" s="19" t="e">
        <f>Planning[[#This Row],[Saldo]]-Planning[[#This Row],[Saldo estimado]]</f>
        <v>#REF!</v>
      </c>
      <c r="N4932" s="60" t="e">
        <f>+SUMIFS(#REF!,#REF!,Planning[[#This Row],[Proyectos]],#REF!,Planning[[#This Row],[Tipo de Tarea y especialidad]])</f>
        <v>#REF!</v>
      </c>
      <c r="O4932" s="19">
        <f t="shared" si="155"/>
        <v>10</v>
      </c>
      <c r="P4932" s="19">
        <f t="shared" si="156"/>
        <v>2024</v>
      </c>
      <c r="Q49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32" s="49" t="str">
        <f>TEXT(Planning[[#This Row],[Mes]]*29,"mmmm")</f>
        <v>October</v>
      </c>
      <c r="S493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32" s="156"/>
      <c r="U4932" s="43"/>
      <c r="V4932" s="43"/>
      <c r="W4932" s="44"/>
    </row>
    <row r="4933" spans="1:23" x14ac:dyDescent="0.2">
      <c r="A4933" s="9" t="s">
        <v>204</v>
      </c>
      <c r="B4933" s="9" t="s">
        <v>463</v>
      </c>
      <c r="C4933" s="3">
        <v>117202</v>
      </c>
      <c r="D4933" s="3" t="s">
        <v>851</v>
      </c>
      <c r="E4933" s="4"/>
      <c r="F4933" s="3" t="s">
        <v>121</v>
      </c>
      <c r="G4933" s="9"/>
      <c r="H4933" s="9">
        <v>672</v>
      </c>
      <c r="I4933" s="12">
        <f>141+63</f>
        <v>204</v>
      </c>
      <c r="J4933" s="5" t="e">
        <f>SUM(SUMIFS(#REF!,#REF!,Planning[[#This Row],[Tipo de Tarea y especialidad]],#REF!,Planning[[#This Row],[Proyectos Reiwa]]),SUMIFS(#REF!,#REF!,Planning[[#This Row],[Tipo de Tarea y especialidad]],#REF!,Planning[[#This Row],[Proyectos]]))</f>
        <v>#REF!</v>
      </c>
      <c r="K4933" s="5" t="e">
        <f>+Planning[[#This Row],[Horas Planificadas]]+Planning[[#This Row],[Horas ajustadas adicionales]]-Planning[[#This Row],[Horas utilizadas]]</f>
        <v>#REF!</v>
      </c>
      <c r="L4933" s="7">
        <v>45</v>
      </c>
      <c r="M4933" s="19" t="e">
        <f>Planning[[#This Row],[Saldo]]-Planning[[#This Row],[Saldo estimado]]</f>
        <v>#REF!</v>
      </c>
      <c r="N4933" s="60" t="e">
        <f>+SUMIFS(#REF!,#REF!,Planning[[#This Row],[Proyectos]],#REF!,Planning[[#This Row],[Tipo de Tarea y especialidad]])</f>
        <v>#REF!</v>
      </c>
      <c r="O4933" s="19">
        <f t="shared" si="155"/>
        <v>10</v>
      </c>
      <c r="P4933" s="19">
        <f t="shared" si="156"/>
        <v>2024</v>
      </c>
      <c r="Q49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33" s="49" t="str">
        <f>TEXT(Planning[[#This Row],[Mes]]*29,"mmmm")</f>
        <v>October</v>
      </c>
      <c r="S493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33" s="156"/>
      <c r="U4933" s="43"/>
      <c r="V4933" s="43"/>
      <c r="W4933" s="44"/>
    </row>
    <row r="4934" spans="1:23" x14ac:dyDescent="0.2">
      <c r="A4934" s="9" t="s">
        <v>204</v>
      </c>
      <c r="B4934" s="9" t="s">
        <v>463</v>
      </c>
      <c r="C4934" s="3">
        <v>117202</v>
      </c>
      <c r="D4934" s="3" t="s">
        <v>851</v>
      </c>
      <c r="E4934" s="4" t="s">
        <v>30</v>
      </c>
      <c r="F4934" s="3"/>
      <c r="G4934" s="9">
        <f>1537+382</f>
        <v>1919</v>
      </c>
      <c r="H4934" s="14">
        <f>SUM(H4935:H4941)</f>
        <v>1533</v>
      </c>
      <c r="I4934" s="14">
        <f>SUM(I4935:I4941)</f>
        <v>449</v>
      </c>
      <c r="J4934" s="14" t="e">
        <f>SUM(J4935:J4941)</f>
        <v>#REF!</v>
      </c>
      <c r="K4934" s="14" t="e">
        <f>+Planning[[#This Row],[Horas Planificadas]]+Planning[[#This Row],[Horas ajustadas adicionales]]-Planning[[#This Row],[Horas utilizadas]]</f>
        <v>#REF!</v>
      </c>
      <c r="L4934" s="15" t="e">
        <f>SUM(L4935:L4941)</f>
        <v>#REF!</v>
      </c>
      <c r="M4934" s="16" t="e">
        <f>SUM(M4935:M4941)</f>
        <v>#REF!</v>
      </c>
      <c r="N4934" s="60"/>
      <c r="O4934" s="16">
        <f t="shared" si="155"/>
        <v>10</v>
      </c>
      <c r="P4934" s="16">
        <f t="shared" si="156"/>
        <v>2024</v>
      </c>
      <c r="Q4934" s="16" t="e">
        <f>SUM(Q4935:Q4941)</f>
        <v>#REF!</v>
      </c>
      <c r="R4934" s="50" t="str">
        <f>TEXT(Planning[[#This Row],[Mes]]*29,"mmmm")</f>
        <v>October</v>
      </c>
      <c r="S493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34" s="156"/>
      <c r="U4934" s="43"/>
      <c r="V4934" s="43"/>
      <c r="W4934" s="44"/>
    </row>
    <row r="4935" spans="1:23" x14ac:dyDescent="0.2">
      <c r="A4935" s="9" t="s">
        <v>204</v>
      </c>
      <c r="B4935" s="9" t="s">
        <v>463</v>
      </c>
      <c r="C4935" s="3">
        <v>117202</v>
      </c>
      <c r="D4935" s="3" t="s">
        <v>851</v>
      </c>
      <c r="E4935" s="4"/>
      <c r="F4935" s="3" t="s">
        <v>122</v>
      </c>
      <c r="G4935" s="9"/>
      <c r="H4935" s="9">
        <v>319</v>
      </c>
      <c r="I4935" s="12">
        <f>278+36</f>
        <v>314</v>
      </c>
      <c r="J4935" s="5" t="e">
        <f>SUM(SUMIFS(#REF!,#REF!,Planning[[#This Row],[Tipo de Tarea y especialidad]],#REF!,Planning[[#This Row],[Proyectos Reiwa]]),SUMIFS(#REF!,#REF!,Planning[[#This Row],[Tipo de Tarea y especialidad]],#REF!,Planning[[#This Row],[Proyectos]]))</f>
        <v>#REF!</v>
      </c>
      <c r="K4935" s="5" t="e">
        <f>+Planning[[#This Row],[Horas Planificadas]]+Planning[[#This Row],[Horas ajustadas adicionales]]-Planning[[#This Row],[Horas utilizadas]]</f>
        <v>#REF!</v>
      </c>
      <c r="L4935" s="7">
        <v>90</v>
      </c>
      <c r="M4935" s="19" t="e">
        <f>Planning[[#This Row],[Saldo]]-Planning[[#This Row],[Saldo estimado]]</f>
        <v>#REF!</v>
      </c>
      <c r="N4935" s="60" t="e">
        <f>+SUMIFS(#REF!,#REF!,Planning[[#This Row],[Proyectos]],#REF!,Planning[[#This Row],[Tipo de Tarea y especialidad]])</f>
        <v>#REF!</v>
      </c>
      <c r="O4935" s="19">
        <f t="shared" si="155"/>
        <v>10</v>
      </c>
      <c r="P4935" s="19">
        <f t="shared" si="156"/>
        <v>2024</v>
      </c>
      <c r="Q49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35" s="49" t="str">
        <f>TEXT(Planning[[#This Row],[Mes]]*29,"mmmm")</f>
        <v>October</v>
      </c>
      <c r="S493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35" s="156"/>
      <c r="U4935" s="43"/>
      <c r="V4935" s="43"/>
      <c r="W4935" s="44"/>
    </row>
    <row r="4936" spans="1:23" x14ac:dyDescent="0.2">
      <c r="A4936" s="9" t="s">
        <v>204</v>
      </c>
      <c r="B4936" s="9" t="s">
        <v>463</v>
      </c>
      <c r="C4936" s="3">
        <v>117202</v>
      </c>
      <c r="D4936" s="3" t="s">
        <v>851</v>
      </c>
      <c r="E4936" s="4"/>
      <c r="F4936" s="3" t="s">
        <v>123</v>
      </c>
      <c r="G4936" s="9"/>
      <c r="H4936" s="9">
        <v>467</v>
      </c>
      <c r="I4936" s="12"/>
      <c r="J4936" s="5" t="e">
        <f>SUM(SUMIFS(#REF!,#REF!,Planning[[#This Row],[Tipo de Tarea y especialidad]],#REF!,Planning[[#This Row],[Proyectos Reiwa]]),SUMIFS(#REF!,#REF!,Planning[[#This Row],[Tipo de Tarea y especialidad]],#REF!,Planning[[#This Row],[Proyectos]]))</f>
        <v>#REF!</v>
      </c>
      <c r="K4936" s="5" t="e">
        <f>+Planning[[#This Row],[Horas Planificadas]]+Planning[[#This Row],[Horas ajustadas adicionales]]-Planning[[#This Row],[Horas utilizadas]]</f>
        <v>#REF!</v>
      </c>
      <c r="L4936" s="7">
        <v>45</v>
      </c>
      <c r="M4936" s="19" t="e">
        <f>Planning[[#This Row],[Saldo]]-Planning[[#This Row],[Saldo estimado]]</f>
        <v>#REF!</v>
      </c>
      <c r="N4936" s="60" t="e">
        <f>+SUMIFS(#REF!,#REF!,Planning[[#This Row],[Proyectos]],#REF!,Planning[[#This Row],[Tipo de Tarea y especialidad]])</f>
        <v>#REF!</v>
      </c>
      <c r="O4936" s="19">
        <f t="shared" si="155"/>
        <v>10</v>
      </c>
      <c r="P4936" s="19">
        <f t="shared" si="156"/>
        <v>2024</v>
      </c>
      <c r="Q49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36" s="49" t="str">
        <f>TEXT(Planning[[#This Row],[Mes]]*29,"mmmm")</f>
        <v>October</v>
      </c>
      <c r="S493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36" s="156"/>
      <c r="U4936" s="43"/>
      <c r="V4936" s="43"/>
      <c r="W4936" s="44"/>
    </row>
    <row r="4937" spans="1:23" x14ac:dyDescent="0.2">
      <c r="A4937" s="9" t="s">
        <v>204</v>
      </c>
      <c r="B4937" s="9" t="s">
        <v>463</v>
      </c>
      <c r="C4937" s="3">
        <v>117202</v>
      </c>
      <c r="D4937" s="3" t="s">
        <v>851</v>
      </c>
      <c r="E4937" s="4"/>
      <c r="F4937" s="3" t="s">
        <v>124</v>
      </c>
      <c r="G4937" s="9"/>
      <c r="H4937" s="9">
        <v>0</v>
      </c>
      <c r="I4937" s="12"/>
      <c r="J4937" s="5" t="e">
        <f>SUM(SUMIFS(#REF!,#REF!,Planning[[#This Row],[Tipo de Tarea y especialidad]],#REF!,Planning[[#This Row],[Proyectos Reiwa]]),SUMIFS(#REF!,#REF!,Planning[[#This Row],[Tipo de Tarea y especialidad]],#REF!,Planning[[#This Row],[Proyectos]]))</f>
        <v>#REF!</v>
      </c>
      <c r="K4937" s="5" t="e">
        <f>+Planning[[#This Row],[Horas Planificadas]]+Planning[[#This Row],[Horas ajustadas adicionales]]-Planning[[#This Row],[Horas utilizadas]]</f>
        <v>#REF!</v>
      </c>
      <c r="L4937" s="7" t="e">
        <f>Planning[[#This Row],[Saldo]]</f>
        <v>#REF!</v>
      </c>
      <c r="M4937" s="19" t="e">
        <f>Planning[[#This Row],[Saldo]]-Planning[[#This Row],[Saldo estimado]]</f>
        <v>#REF!</v>
      </c>
      <c r="N4937" s="60" t="e">
        <f>+SUMIFS(#REF!,#REF!,Planning[[#This Row],[Proyectos]],#REF!,Planning[[#This Row],[Tipo de Tarea y especialidad]])</f>
        <v>#REF!</v>
      </c>
      <c r="O4937" s="19">
        <f t="shared" si="155"/>
        <v>10</v>
      </c>
      <c r="P4937" s="19">
        <f t="shared" si="156"/>
        <v>2024</v>
      </c>
      <c r="Q49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37" s="49" t="str">
        <f>TEXT(Planning[[#This Row],[Mes]]*29,"mmmm")</f>
        <v>October</v>
      </c>
      <c r="S493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37" s="156"/>
      <c r="U4937" s="43"/>
      <c r="V4937" s="43"/>
      <c r="W4937" s="44"/>
    </row>
    <row r="4938" spans="1:23" x14ac:dyDescent="0.2">
      <c r="A4938" s="9" t="s">
        <v>204</v>
      </c>
      <c r="B4938" s="9" t="s">
        <v>463</v>
      </c>
      <c r="C4938" s="3">
        <v>117202</v>
      </c>
      <c r="D4938" s="3" t="s">
        <v>851</v>
      </c>
      <c r="E4938" s="4"/>
      <c r="F4938" s="3" t="s">
        <v>125</v>
      </c>
      <c r="G4938" s="9"/>
      <c r="H4938" s="9">
        <v>184</v>
      </c>
      <c r="I4938" s="12">
        <v>54</v>
      </c>
      <c r="J4938" s="5" t="e">
        <f>SUM(SUMIFS(#REF!,#REF!,Planning[[#This Row],[Tipo de Tarea y especialidad]],#REF!,Planning[[#This Row],[Proyectos Reiwa]]),SUMIFS(#REF!,#REF!,Planning[[#This Row],[Tipo de Tarea y especialidad]],#REF!,Planning[[#This Row],[Proyectos]]))</f>
        <v>#REF!</v>
      </c>
      <c r="K4938" s="5" t="e">
        <f>+Planning[[#This Row],[Horas Planificadas]]+Planning[[#This Row],[Horas ajustadas adicionales]]-Planning[[#This Row],[Horas utilizadas]]</f>
        <v>#REF!</v>
      </c>
      <c r="L4938" s="7">
        <v>45</v>
      </c>
      <c r="M4938" s="19" t="e">
        <f>Planning[[#This Row],[Saldo]]-Planning[[#This Row],[Saldo estimado]]</f>
        <v>#REF!</v>
      </c>
      <c r="N4938" s="60" t="e">
        <f>+SUMIFS(#REF!,#REF!,Planning[[#This Row],[Proyectos]],#REF!,Planning[[#This Row],[Tipo de Tarea y especialidad]])</f>
        <v>#REF!</v>
      </c>
      <c r="O4938" s="19">
        <f t="shared" si="155"/>
        <v>10</v>
      </c>
      <c r="P4938" s="19">
        <f t="shared" si="156"/>
        <v>2024</v>
      </c>
      <c r="Q49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38" s="49" t="str">
        <f>TEXT(Planning[[#This Row],[Mes]]*29,"mmmm")</f>
        <v>October</v>
      </c>
      <c r="S493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38" s="156"/>
      <c r="U4938" s="43"/>
      <c r="V4938" s="43"/>
      <c r="W4938" s="44"/>
    </row>
    <row r="4939" spans="1:23" x14ac:dyDescent="0.2">
      <c r="A4939" s="9" t="s">
        <v>204</v>
      </c>
      <c r="B4939" s="9" t="s">
        <v>463</v>
      </c>
      <c r="C4939" s="3">
        <v>117202</v>
      </c>
      <c r="D4939" s="3" t="s">
        <v>851</v>
      </c>
      <c r="E4939" s="4"/>
      <c r="F4939" s="3" t="s">
        <v>126</v>
      </c>
      <c r="G4939" s="9"/>
      <c r="H4939" s="9">
        <v>434</v>
      </c>
      <c r="I4939" s="12">
        <f>54+27</f>
        <v>81</v>
      </c>
      <c r="J4939" s="5" t="e">
        <f>SUM(SUMIFS(#REF!,#REF!,Planning[[#This Row],[Tipo de Tarea y especialidad]],#REF!,Planning[[#This Row],[Proyectos Reiwa]]),SUMIFS(#REF!,#REF!,Planning[[#This Row],[Tipo de Tarea y especialidad]],#REF!,Planning[[#This Row],[Proyectos]]))</f>
        <v>#REF!</v>
      </c>
      <c r="K4939" s="5" t="e">
        <f>+Planning[[#This Row],[Horas Planificadas]]+Planning[[#This Row],[Horas ajustadas adicionales]]-Planning[[#This Row],[Horas utilizadas]]</f>
        <v>#REF!</v>
      </c>
      <c r="L4939" s="7">
        <v>0</v>
      </c>
      <c r="M4939" s="19" t="e">
        <f>Planning[[#This Row],[Saldo]]-Planning[[#This Row],[Saldo estimado]]</f>
        <v>#REF!</v>
      </c>
      <c r="N4939" s="60" t="e">
        <f>+SUMIFS(#REF!,#REF!,Planning[[#This Row],[Proyectos]],#REF!,Planning[[#This Row],[Tipo de Tarea y especialidad]])</f>
        <v>#REF!</v>
      </c>
      <c r="O4939" s="19">
        <f t="shared" si="155"/>
        <v>10</v>
      </c>
      <c r="P4939" s="19">
        <f t="shared" si="156"/>
        <v>2024</v>
      </c>
      <c r="Q49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39" s="49" t="str">
        <f>TEXT(Planning[[#This Row],[Mes]]*29,"mmmm")</f>
        <v>October</v>
      </c>
      <c r="S493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39" s="156"/>
      <c r="U4939" s="43"/>
      <c r="V4939" s="43"/>
      <c r="W4939" s="44"/>
    </row>
    <row r="4940" spans="1:23" x14ac:dyDescent="0.2">
      <c r="A4940" s="9" t="s">
        <v>204</v>
      </c>
      <c r="B4940" s="9" t="s">
        <v>463</v>
      </c>
      <c r="C4940" s="3">
        <v>117202</v>
      </c>
      <c r="D4940" s="3" t="s">
        <v>851</v>
      </c>
      <c r="E4940" s="4"/>
      <c r="F4940" s="3" t="s">
        <v>127</v>
      </c>
      <c r="G4940" s="9"/>
      <c r="H4940" s="9">
        <v>129</v>
      </c>
      <c r="I4940" s="12"/>
      <c r="J4940" s="5" t="e">
        <f>SUM(SUMIFS(#REF!,#REF!,Planning[[#This Row],[Tipo de Tarea y especialidad]],#REF!,Planning[[#This Row],[Proyectos Reiwa]]),SUMIFS(#REF!,#REF!,Planning[[#This Row],[Tipo de Tarea y especialidad]],#REF!,Planning[[#This Row],[Proyectos]]))</f>
        <v>#REF!</v>
      </c>
      <c r="K4940" s="5" t="e">
        <f>+Planning[[#This Row],[Horas Planificadas]]+Planning[[#This Row],[Horas ajustadas adicionales]]-Planning[[#This Row],[Horas utilizadas]]</f>
        <v>#REF!</v>
      </c>
      <c r="L4940" s="7">
        <v>0</v>
      </c>
      <c r="M4940" s="19" t="e">
        <f>Planning[[#This Row],[Saldo]]-Planning[[#This Row],[Saldo estimado]]</f>
        <v>#REF!</v>
      </c>
      <c r="N4940" s="60" t="e">
        <f>+SUMIFS(#REF!,#REF!,Planning[[#This Row],[Proyectos]],#REF!,Planning[[#This Row],[Tipo de Tarea y especialidad]])</f>
        <v>#REF!</v>
      </c>
      <c r="O4940" s="19">
        <f t="shared" si="155"/>
        <v>10</v>
      </c>
      <c r="P4940" s="19">
        <f t="shared" si="156"/>
        <v>2024</v>
      </c>
      <c r="Q49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40" s="49" t="str">
        <f>TEXT(Planning[[#This Row],[Mes]]*29,"mmmm")</f>
        <v>October</v>
      </c>
      <c r="S494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40" s="156"/>
      <c r="U4940" s="43"/>
      <c r="V4940" s="43"/>
      <c r="W4940" s="44"/>
    </row>
    <row r="4941" spans="1:23" x14ac:dyDescent="0.2">
      <c r="A4941" s="9" t="s">
        <v>204</v>
      </c>
      <c r="B4941" s="9" t="s">
        <v>463</v>
      </c>
      <c r="C4941" s="3">
        <v>117202</v>
      </c>
      <c r="D4941" s="3" t="s">
        <v>851</v>
      </c>
      <c r="E4941" s="4"/>
      <c r="F4941" s="3" t="s">
        <v>128</v>
      </c>
      <c r="G4941" s="9"/>
      <c r="H4941" s="9">
        <v>0</v>
      </c>
      <c r="I4941" s="12"/>
      <c r="J4941" s="5" t="e">
        <f>SUM(SUMIFS(#REF!,#REF!,Planning[[#This Row],[Tipo de Tarea y especialidad]],#REF!,Planning[[#This Row],[Proyectos Reiwa]]),SUMIFS(#REF!,#REF!,Planning[[#This Row],[Tipo de Tarea y especialidad]],#REF!,Planning[[#This Row],[Proyectos]]))</f>
        <v>#REF!</v>
      </c>
      <c r="K4941" s="5" t="e">
        <f>+Planning[[#This Row],[Horas Planificadas]]+Planning[[#This Row],[Horas ajustadas adicionales]]-Planning[[#This Row],[Horas utilizadas]]</f>
        <v>#REF!</v>
      </c>
      <c r="L4941" s="7" t="e">
        <f>Planning[[#This Row],[Saldo]]</f>
        <v>#REF!</v>
      </c>
      <c r="M4941" s="19" t="e">
        <f>Planning[[#This Row],[Saldo]]-Planning[[#This Row],[Saldo estimado]]</f>
        <v>#REF!</v>
      </c>
      <c r="N4941" s="60" t="e">
        <f>+SUMIFS(#REF!,#REF!,Planning[[#This Row],[Proyectos]],#REF!,Planning[[#This Row],[Tipo de Tarea y especialidad]])</f>
        <v>#REF!</v>
      </c>
      <c r="O4941" s="19">
        <f t="shared" si="155"/>
        <v>10</v>
      </c>
      <c r="P4941" s="19">
        <f t="shared" si="156"/>
        <v>2024</v>
      </c>
      <c r="Q49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41" s="49" t="str">
        <f>TEXT(Planning[[#This Row],[Mes]]*29,"mmmm")</f>
        <v>October</v>
      </c>
      <c r="S494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41" s="156"/>
      <c r="U4941" s="43"/>
      <c r="V4941" s="43"/>
      <c r="W4941" s="44"/>
    </row>
    <row r="4942" spans="1:23" x14ac:dyDescent="0.2">
      <c r="A4942" s="9" t="s">
        <v>204</v>
      </c>
      <c r="B4942" s="9" t="s">
        <v>463</v>
      </c>
      <c r="C4942" s="3">
        <v>117202</v>
      </c>
      <c r="D4942" s="3" t="s">
        <v>851</v>
      </c>
      <c r="E4942" s="4" t="s">
        <v>31</v>
      </c>
      <c r="F4942" s="3" t="s">
        <v>31</v>
      </c>
      <c r="G4942" s="9">
        <f>215+69</f>
        <v>284</v>
      </c>
      <c r="H4942" s="17">
        <v>215</v>
      </c>
      <c r="I4942" s="18">
        <f>69+36</f>
        <v>105</v>
      </c>
      <c r="J4942" s="14" t="e">
        <f>+SUMIFS(#REF!,#REF!,Planning[[#This Row],[Tarifa]],#REF!,Planning[[#This Row],[Proyectos]])</f>
        <v>#REF!</v>
      </c>
      <c r="K4942" s="14" t="e">
        <f>+Planning[[#This Row],[Horas Planificadas]]+Planning[[#This Row],[Horas ajustadas adicionales]]-Planning[[#This Row],[Horas utilizadas]]</f>
        <v>#REF!</v>
      </c>
      <c r="L4942" s="15" t="e">
        <f>Planning[[#This Row],[Saldo]]</f>
        <v>#REF!</v>
      </c>
      <c r="M4942" s="16" t="e">
        <f>Planning[[#This Row],[Saldo]]-Planning[[#This Row],[Saldo estimado]]</f>
        <v>#REF!</v>
      </c>
      <c r="N4942" s="60" t="e">
        <f>+SUMIFS(#REF!,#REF!,Planning[[#This Row],[Proyectos]],#REF!,Planning[[#This Row],[Tipo de Tarea y especialidad]])</f>
        <v>#REF!</v>
      </c>
      <c r="O4942" s="16">
        <f t="shared" si="155"/>
        <v>10</v>
      </c>
      <c r="P4942" s="16">
        <f t="shared" si="156"/>
        <v>2024</v>
      </c>
      <c r="Q4942" s="16" t="e">
        <f>+SUMIFS(#REF!,#REF!,Planning[[#This Row],[Tarifa]],#REF!,Planning[[#This Row],[Proyectos]],#REF!,Planning[[#This Row],[Mes]],#REF!,Planning[[#This Row],[Año]])</f>
        <v>#REF!</v>
      </c>
      <c r="R4942" s="50" t="str">
        <f>TEXT(Planning[[#This Row],[Mes]]*29,"mmmm")</f>
        <v>October</v>
      </c>
      <c r="S494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42" s="156"/>
      <c r="U4942" s="43"/>
      <c r="V4942" s="43"/>
      <c r="W4942" s="44"/>
    </row>
    <row r="4943" spans="1:23" ht="22.5" x14ac:dyDescent="0.2">
      <c r="A4943" s="9" t="s">
        <v>204</v>
      </c>
      <c r="B4943" s="9" t="s">
        <v>463</v>
      </c>
      <c r="C4943" s="3">
        <v>117202</v>
      </c>
      <c r="D4943" s="3" t="s">
        <v>851</v>
      </c>
      <c r="E4943" s="4" t="s">
        <v>32</v>
      </c>
      <c r="F4943" s="3"/>
      <c r="G4943" s="9">
        <f>595+120</f>
        <v>715</v>
      </c>
      <c r="H4943" s="14">
        <f>SUM(H4944:H4946)</f>
        <v>595</v>
      </c>
      <c r="I4943" s="14">
        <f>SUM(I4944:I4946)</f>
        <v>140</v>
      </c>
      <c r="J4943" s="14" t="e">
        <f>SUM(J4944:J4946)</f>
        <v>#REF!</v>
      </c>
      <c r="K4943" s="14" t="e">
        <f>+Planning[[#This Row],[Horas Planificadas]]+Planning[[#This Row],[Horas ajustadas adicionales]]-Planning[[#This Row],[Horas utilizadas]]</f>
        <v>#REF!</v>
      </c>
      <c r="L4943" s="15" t="e">
        <f>SUM(L4944:L4946)</f>
        <v>#REF!</v>
      </c>
      <c r="M4943" s="16" t="e">
        <f>SUM(M4944:M4946)</f>
        <v>#REF!</v>
      </c>
      <c r="N4943" s="60"/>
      <c r="O4943" s="16">
        <f t="shared" si="155"/>
        <v>10</v>
      </c>
      <c r="P4943" s="16">
        <f t="shared" si="156"/>
        <v>2024</v>
      </c>
      <c r="Q4943" s="16" t="e">
        <f>SUM(Q4944:Q4946)</f>
        <v>#REF!</v>
      </c>
      <c r="R4943" s="50" t="str">
        <f>TEXT(Planning[[#This Row],[Mes]]*29,"mmmm")</f>
        <v>October</v>
      </c>
      <c r="S494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43" s="156"/>
      <c r="U4943" s="43"/>
      <c r="V4943" s="43"/>
      <c r="W4943" s="44"/>
    </row>
    <row r="4944" spans="1:23" x14ac:dyDescent="0.2">
      <c r="A4944" s="9" t="s">
        <v>204</v>
      </c>
      <c r="B4944" s="9" t="s">
        <v>463</v>
      </c>
      <c r="C4944" s="3">
        <v>117202</v>
      </c>
      <c r="D4944" s="3" t="s">
        <v>851</v>
      </c>
      <c r="E4944" s="4"/>
      <c r="F4944" s="3" t="s">
        <v>129</v>
      </c>
      <c r="G4944" s="9"/>
      <c r="H4944" s="9">
        <v>358</v>
      </c>
      <c r="I4944" s="12">
        <f>60+20</f>
        <v>80</v>
      </c>
      <c r="J4944" s="5" t="e">
        <f>SUM(SUMIFS(#REF!,#REF!,Planning[[#This Row],[Tipo de Tarea y especialidad]],#REF!,Planning[[#This Row],[Proyectos Reiwa]]),SUMIFS(#REF!,#REF!,Planning[[#This Row],[Tipo de Tarea y especialidad]],#REF!,Planning[[#This Row],[Proyectos]]))</f>
        <v>#REF!</v>
      </c>
      <c r="K4944" s="5" t="e">
        <f>+Planning[[#This Row],[Horas Planificadas]]+Planning[[#This Row],[Horas ajustadas adicionales]]-Planning[[#This Row],[Horas utilizadas]]</f>
        <v>#REF!</v>
      </c>
      <c r="L4944" s="7" t="e">
        <f>Planning[[#This Row],[Saldo]]</f>
        <v>#REF!</v>
      </c>
      <c r="M4944" s="19" t="e">
        <f>Planning[[#This Row],[Saldo]]-Planning[[#This Row],[Saldo estimado]]</f>
        <v>#REF!</v>
      </c>
      <c r="N4944" s="60" t="e">
        <f>+SUMIFS(#REF!,#REF!,Planning[[#This Row],[Proyectos]],#REF!,Planning[[#This Row],[Tipo de Tarea y especialidad]])</f>
        <v>#REF!</v>
      </c>
      <c r="O4944" s="19">
        <f t="shared" si="155"/>
        <v>10</v>
      </c>
      <c r="P4944" s="19">
        <f t="shared" si="156"/>
        <v>2024</v>
      </c>
      <c r="Q49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44" s="49" t="str">
        <f>TEXT(Planning[[#This Row],[Mes]]*29,"mmmm")</f>
        <v>October</v>
      </c>
      <c r="S494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44" s="156"/>
      <c r="U4944" s="43"/>
      <c r="V4944" s="43"/>
      <c r="W4944" s="44"/>
    </row>
    <row r="4945" spans="1:23" x14ac:dyDescent="0.2">
      <c r="A4945" s="9" t="s">
        <v>204</v>
      </c>
      <c r="B4945" s="9" t="s">
        <v>463</v>
      </c>
      <c r="C4945" s="3">
        <v>117202</v>
      </c>
      <c r="D4945" s="3" t="s">
        <v>851</v>
      </c>
      <c r="E4945" s="4"/>
      <c r="F4945" s="3" t="s">
        <v>130</v>
      </c>
      <c r="G4945" s="9"/>
      <c r="H4945" s="9">
        <v>237</v>
      </c>
      <c r="I4945" s="12">
        <v>60</v>
      </c>
      <c r="J4945" s="5" t="e">
        <f>SUM(SUMIFS(#REF!,#REF!,Planning[[#This Row],[Tipo de Tarea y especialidad]],#REF!,Planning[[#This Row],[Proyectos Reiwa]]),SUMIFS(#REF!,#REF!,Planning[[#This Row],[Tipo de Tarea y especialidad]],#REF!,Planning[[#This Row],[Proyectos]]))</f>
        <v>#REF!</v>
      </c>
      <c r="K4945" s="5" t="e">
        <f>+Planning[[#This Row],[Horas Planificadas]]+Planning[[#This Row],[Horas ajustadas adicionales]]-Planning[[#This Row],[Horas utilizadas]]</f>
        <v>#REF!</v>
      </c>
      <c r="L4945" s="7" t="e">
        <f>Planning[[#This Row],[Saldo]]</f>
        <v>#REF!</v>
      </c>
      <c r="M4945" s="19" t="e">
        <f>Planning[[#This Row],[Saldo]]-Planning[[#This Row],[Saldo estimado]]</f>
        <v>#REF!</v>
      </c>
      <c r="N4945" s="60" t="e">
        <f>+SUMIFS(#REF!,#REF!,Planning[[#This Row],[Proyectos]],#REF!,Planning[[#This Row],[Tipo de Tarea y especialidad]])</f>
        <v>#REF!</v>
      </c>
      <c r="O4945" s="19">
        <f t="shared" si="155"/>
        <v>10</v>
      </c>
      <c r="P4945" s="19">
        <f t="shared" si="156"/>
        <v>2024</v>
      </c>
      <c r="Q49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45" s="49" t="str">
        <f>TEXT(Planning[[#This Row],[Mes]]*29,"mmmm")</f>
        <v>October</v>
      </c>
      <c r="S494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45" s="156"/>
      <c r="U4945" s="43"/>
      <c r="V4945" s="43"/>
      <c r="W4945" s="44"/>
    </row>
    <row r="4946" spans="1:23" x14ac:dyDescent="0.2">
      <c r="A4946" s="9" t="s">
        <v>204</v>
      </c>
      <c r="B4946" s="9" t="s">
        <v>463</v>
      </c>
      <c r="C4946" s="3">
        <v>117202</v>
      </c>
      <c r="D4946" s="3" t="s">
        <v>851</v>
      </c>
      <c r="E4946" s="4"/>
      <c r="F4946" s="3" t="s">
        <v>131</v>
      </c>
      <c r="G4946" s="9"/>
      <c r="H4946" s="9">
        <v>0</v>
      </c>
      <c r="I4946" s="12"/>
      <c r="J4946" s="5" t="e">
        <f>SUM(SUMIFS(#REF!,#REF!,Planning[[#This Row],[Tipo de Tarea y especialidad]],#REF!,Planning[[#This Row],[Proyectos Reiwa]]),SUMIFS(#REF!,#REF!,Planning[[#This Row],[Tipo de Tarea y especialidad]],#REF!,Planning[[#This Row],[Proyectos]]))</f>
        <v>#REF!</v>
      </c>
      <c r="K4946" s="5" t="e">
        <f>+Planning[[#This Row],[Horas Planificadas]]+Planning[[#This Row],[Horas ajustadas adicionales]]-Planning[[#This Row],[Horas utilizadas]]</f>
        <v>#REF!</v>
      </c>
      <c r="L4946" s="7" t="e">
        <f>Planning[[#This Row],[Saldo]]</f>
        <v>#REF!</v>
      </c>
      <c r="M4946" s="19" t="e">
        <f>Planning[[#This Row],[Saldo]]-Planning[[#This Row],[Saldo estimado]]</f>
        <v>#REF!</v>
      </c>
      <c r="N4946" s="60" t="e">
        <f>+SUMIFS(#REF!,#REF!,Planning[[#This Row],[Proyectos]],#REF!,Planning[[#This Row],[Tipo de Tarea y especialidad]])</f>
        <v>#REF!</v>
      </c>
      <c r="O4946" s="19">
        <f t="shared" si="155"/>
        <v>10</v>
      </c>
      <c r="P4946" s="19">
        <f t="shared" si="156"/>
        <v>2024</v>
      </c>
      <c r="Q49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46" s="51" t="str">
        <f>TEXT(Planning[[#This Row],[Mes]]*29,"mmmm")</f>
        <v>October</v>
      </c>
      <c r="S4946"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46" s="157"/>
      <c r="U4946" s="43"/>
      <c r="V4946" s="43"/>
      <c r="W4946" s="44"/>
    </row>
    <row r="4947" spans="1:23" ht="12.75" customHeight="1" x14ac:dyDescent="0.2">
      <c r="A4947" s="9" t="s">
        <v>435</v>
      </c>
      <c r="B4947" s="9" t="s">
        <v>463</v>
      </c>
      <c r="C4947" s="3">
        <v>116899</v>
      </c>
      <c r="D4947" s="3" t="s">
        <v>853</v>
      </c>
      <c r="E4947" s="4" t="s">
        <v>28</v>
      </c>
      <c r="F4947" s="3"/>
      <c r="G4947" s="9">
        <v>274</v>
      </c>
      <c r="H4947" s="14">
        <f>SUM(H4948:H4949)</f>
        <v>274</v>
      </c>
      <c r="I4947" s="14"/>
      <c r="J4947" s="14" t="e">
        <f>SUM(J4948:J4949)</f>
        <v>#REF!</v>
      </c>
      <c r="K4947" s="14" t="e">
        <f>+Planning[[#This Row],[Horas Planificadas]]+Planning[[#This Row],[Horas ajustadas adicionales]]-Planning[[#This Row],[Horas utilizadas]]</f>
        <v>#REF!</v>
      </c>
      <c r="L4947" s="15" t="e">
        <f>SUM(L4948:L4949)</f>
        <v>#REF!</v>
      </c>
      <c r="M4947" s="14" t="e">
        <f>SUM(M4948:M4949)</f>
        <v>#REF!</v>
      </c>
      <c r="N4947" s="66"/>
      <c r="O4947" s="14">
        <f t="shared" si="155"/>
        <v>10</v>
      </c>
      <c r="P4947" s="14">
        <f t="shared" si="156"/>
        <v>2024</v>
      </c>
      <c r="Q4947" s="28" t="e">
        <f>SUM(Q4948:Q4949)</f>
        <v>#REF!</v>
      </c>
      <c r="R4947" s="24" t="str">
        <f>TEXT(Planning[[#This Row],[Mes]]*29,"mmmm")</f>
        <v>October</v>
      </c>
      <c r="S494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47" s="176" t="s">
        <v>854</v>
      </c>
      <c r="U4947" s="43" t="e">
        <f>IF(Planning[[#This Row],[Horas Planificadas]]&lt;&gt;0,+K4947/Planning[[#This Row],[Horas Planificadas]],0)</f>
        <v>#REF!</v>
      </c>
      <c r="V4947" s="43" t="e">
        <f>IF(Planning[[#This Row],[Horas Planificadas]]&lt;&gt;0,Planning[[#This Row],[Horas utilizadas]]/Planning[[#This Row],[Horas Planificadas]],0)</f>
        <v>#REF!</v>
      </c>
      <c r="W4947" s="44">
        <f>Planning[[#This Row],[Horas Planificadas]]+Planning[[#This Row],[Horas ajustadas adicionales]]</f>
        <v>274</v>
      </c>
    </row>
    <row r="4948" spans="1:23" x14ac:dyDescent="0.2">
      <c r="A4948" s="9" t="s">
        <v>435</v>
      </c>
      <c r="B4948" s="9" t="s">
        <v>463</v>
      </c>
      <c r="C4948" s="3">
        <v>116899</v>
      </c>
      <c r="D4948" s="3" t="s">
        <v>853</v>
      </c>
      <c r="E4948" s="4"/>
      <c r="F4948" s="3" t="s">
        <v>120</v>
      </c>
      <c r="G4948" s="9"/>
      <c r="H4948" s="9">
        <v>130</v>
      </c>
      <c r="I4948" s="12"/>
      <c r="J4948" s="5" t="e">
        <f>SUM(SUMIFS(#REF!,#REF!,Planning[[#This Row],[Tipo de Tarea y especialidad]],#REF!,Planning[[#This Row],[Proyectos Reiwa]]),SUMIFS(#REF!,#REF!,Planning[[#This Row],[Tipo de Tarea y especialidad]],#REF!,Planning[[#This Row],[Proyectos]]))</f>
        <v>#REF!</v>
      </c>
      <c r="K4948" s="5" t="e">
        <f>+Planning[[#This Row],[Horas Planificadas]]+Planning[[#This Row],[Horas ajustadas adicionales]]-Planning[[#This Row],[Horas utilizadas]]</f>
        <v>#REF!</v>
      </c>
      <c r="L4948" s="7" t="e">
        <f>Planning[[#This Row],[Saldo]]</f>
        <v>#REF!</v>
      </c>
      <c r="M4948" s="19" t="e">
        <f>Planning[[#This Row],[Saldo]]-Planning[[#This Row],[Saldo estimado]]</f>
        <v>#REF!</v>
      </c>
      <c r="N4948" s="60" t="e">
        <f>+SUMIFS(#REF!,#REF!,Planning[[#This Row],[Proyectos]],#REF!,Planning[[#This Row],[Tipo de Tarea y especialidad]])</f>
        <v>#REF!</v>
      </c>
      <c r="O4948" s="19">
        <f t="shared" si="155"/>
        <v>10</v>
      </c>
      <c r="P4948" s="19">
        <f t="shared" si="156"/>
        <v>2024</v>
      </c>
      <c r="Q49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48" s="49" t="str">
        <f>TEXT(Planning[[#This Row],[Mes]]*29,"mmmm")</f>
        <v>October</v>
      </c>
      <c r="S494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48" s="156"/>
      <c r="U4948" s="43" t="e">
        <f>IF(Planning[[#This Row],[Horas Planificadas]]&lt;&gt;0,+K4948/Planning[[#This Row],[Horas Planificadas]],0)</f>
        <v>#REF!</v>
      </c>
      <c r="V4948" s="43" t="e">
        <f>IF(Planning[[#This Row],[Horas Planificadas]]&lt;&gt;0,Planning[[#This Row],[Horas utilizadas]]/Planning[[#This Row],[Horas Planificadas]],0)</f>
        <v>#REF!</v>
      </c>
      <c r="W4948" s="44">
        <f>Planning[[#This Row],[Horas Planificadas]]+Planning[[#This Row],[Horas ajustadas adicionales]]</f>
        <v>130</v>
      </c>
    </row>
    <row r="4949" spans="1:23" x14ac:dyDescent="0.2">
      <c r="A4949" s="9" t="s">
        <v>435</v>
      </c>
      <c r="B4949" s="9" t="s">
        <v>463</v>
      </c>
      <c r="C4949" s="3">
        <v>116899</v>
      </c>
      <c r="D4949" s="3" t="s">
        <v>853</v>
      </c>
      <c r="E4949" s="4"/>
      <c r="F4949" s="3" t="s">
        <v>121</v>
      </c>
      <c r="G4949" s="9"/>
      <c r="H4949" s="9">
        <v>144</v>
      </c>
      <c r="I4949" s="12"/>
      <c r="J4949" s="5" t="e">
        <f>SUM(SUMIFS(#REF!,#REF!,Planning[[#This Row],[Tipo de Tarea y especialidad]],#REF!,Planning[[#This Row],[Proyectos Reiwa]]),SUMIFS(#REF!,#REF!,Planning[[#This Row],[Tipo de Tarea y especialidad]],#REF!,Planning[[#This Row],[Proyectos]]))</f>
        <v>#REF!</v>
      </c>
      <c r="K4949" s="5" t="e">
        <f>+Planning[[#This Row],[Horas Planificadas]]+Planning[[#This Row],[Horas ajustadas adicionales]]-Planning[[#This Row],[Horas utilizadas]]</f>
        <v>#REF!</v>
      </c>
      <c r="L4949" s="7" t="e">
        <f>Planning[[#This Row],[Saldo]]</f>
        <v>#REF!</v>
      </c>
      <c r="M4949" s="19" t="e">
        <f>Planning[[#This Row],[Saldo]]-Planning[[#This Row],[Saldo estimado]]</f>
        <v>#REF!</v>
      </c>
      <c r="N4949" s="60" t="e">
        <f>+SUMIFS(#REF!,#REF!,Planning[[#This Row],[Proyectos]],#REF!,Planning[[#This Row],[Tipo de Tarea y especialidad]])</f>
        <v>#REF!</v>
      </c>
      <c r="O4949" s="19">
        <f t="shared" si="155"/>
        <v>10</v>
      </c>
      <c r="P4949" s="19">
        <f t="shared" si="156"/>
        <v>2024</v>
      </c>
      <c r="Q49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49" s="49" t="str">
        <f>TEXT(Planning[[#This Row],[Mes]]*29,"mmmm")</f>
        <v>October</v>
      </c>
      <c r="S494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49" s="156"/>
      <c r="U4949" s="43" t="e">
        <f>IF(Planning[[#This Row],[Horas Planificadas]]&lt;&gt;0,+K4949/Planning[[#This Row],[Horas Planificadas]],0)</f>
        <v>#REF!</v>
      </c>
      <c r="V4949" s="43" t="e">
        <f>IF(Planning[[#This Row],[Horas Planificadas]]&lt;&gt;0,Planning[[#This Row],[Horas utilizadas]]/Planning[[#This Row],[Horas Planificadas]],0)</f>
        <v>#REF!</v>
      </c>
      <c r="W4949" s="44">
        <f>Planning[[#This Row],[Horas Planificadas]]+Planning[[#This Row],[Horas ajustadas adicionales]]</f>
        <v>144</v>
      </c>
    </row>
    <row r="4950" spans="1:23" x14ac:dyDescent="0.2">
      <c r="A4950" s="9" t="s">
        <v>435</v>
      </c>
      <c r="B4950" s="9" t="s">
        <v>463</v>
      </c>
      <c r="C4950" s="3">
        <v>116899</v>
      </c>
      <c r="D4950" s="3" t="s">
        <v>853</v>
      </c>
      <c r="E4950" s="4" t="s">
        <v>30</v>
      </c>
      <c r="F4950" s="3"/>
      <c r="G4950" s="9">
        <v>522</v>
      </c>
      <c r="H4950" s="14">
        <f>SUM(H4951:H4957)</f>
        <v>522</v>
      </c>
      <c r="I4950" s="14"/>
      <c r="J4950" s="14" t="e">
        <f>SUM(J4951:J4957)</f>
        <v>#REF!</v>
      </c>
      <c r="K4950" s="14" t="e">
        <f>+Planning[[#This Row],[Horas Planificadas]]+Planning[[#This Row],[Horas ajustadas adicionales]]-Planning[[#This Row],[Horas utilizadas]]</f>
        <v>#REF!</v>
      </c>
      <c r="L4950" s="15" t="e">
        <f>SUM(L4951:L4957)</f>
        <v>#REF!</v>
      </c>
      <c r="M4950" s="16" t="e">
        <f>SUM(M4951:M4957)</f>
        <v>#REF!</v>
      </c>
      <c r="N4950" s="60"/>
      <c r="O4950" s="16">
        <f t="shared" si="155"/>
        <v>10</v>
      </c>
      <c r="P4950" s="16">
        <f t="shared" si="156"/>
        <v>2024</v>
      </c>
      <c r="Q4950" s="16" t="e">
        <f>SUM(Q4951:Q4957)</f>
        <v>#REF!</v>
      </c>
      <c r="R4950" s="50" t="str">
        <f>TEXT(Planning[[#This Row],[Mes]]*29,"mmmm")</f>
        <v>October</v>
      </c>
      <c r="S495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50" s="156"/>
      <c r="U4950" s="43" t="e">
        <f>IF(Planning[[#This Row],[Horas Planificadas]]&lt;&gt;0,+K4950/Planning[[#This Row],[Horas Planificadas]],0)</f>
        <v>#REF!</v>
      </c>
      <c r="V4950" s="43" t="e">
        <f>IF(Planning[[#This Row],[Horas Planificadas]]&lt;&gt;0,Planning[[#This Row],[Horas utilizadas]]/Planning[[#This Row],[Horas Planificadas]],0)</f>
        <v>#REF!</v>
      </c>
      <c r="W4950" s="44">
        <f>Planning[[#This Row],[Horas Planificadas]]+Planning[[#This Row],[Horas ajustadas adicionales]]</f>
        <v>522</v>
      </c>
    </row>
    <row r="4951" spans="1:23" x14ac:dyDescent="0.2">
      <c r="A4951" s="9" t="s">
        <v>435</v>
      </c>
      <c r="B4951" s="9" t="s">
        <v>463</v>
      </c>
      <c r="C4951" s="3">
        <v>116899</v>
      </c>
      <c r="D4951" s="3" t="s">
        <v>853</v>
      </c>
      <c r="E4951" s="4"/>
      <c r="F4951" s="3" t="s">
        <v>122</v>
      </c>
      <c r="G4951" s="9"/>
      <c r="H4951" s="9"/>
      <c r="I4951" s="12"/>
      <c r="J4951" s="5" t="e">
        <f>SUM(SUMIFS(#REF!,#REF!,Planning[[#This Row],[Tipo de Tarea y especialidad]],#REF!,Planning[[#This Row],[Proyectos Reiwa]]),SUMIFS(#REF!,#REF!,Planning[[#This Row],[Tipo de Tarea y especialidad]],#REF!,Planning[[#This Row],[Proyectos]]))</f>
        <v>#REF!</v>
      </c>
      <c r="K4951" s="5" t="e">
        <f>+Planning[[#This Row],[Horas Planificadas]]+Planning[[#This Row],[Horas ajustadas adicionales]]-Planning[[#This Row],[Horas utilizadas]]</f>
        <v>#REF!</v>
      </c>
      <c r="L4951" s="7" t="e">
        <f>Planning[[#This Row],[Saldo]]</f>
        <v>#REF!</v>
      </c>
      <c r="M4951" s="19" t="e">
        <f>Planning[[#This Row],[Saldo]]-Planning[[#This Row],[Saldo estimado]]</f>
        <v>#REF!</v>
      </c>
      <c r="N4951" s="60" t="e">
        <f>+SUMIFS(#REF!,#REF!,Planning[[#This Row],[Proyectos]],#REF!,Planning[[#This Row],[Tipo de Tarea y especialidad]])</f>
        <v>#REF!</v>
      </c>
      <c r="O4951" s="19">
        <f t="shared" si="155"/>
        <v>10</v>
      </c>
      <c r="P4951" s="19">
        <f t="shared" si="156"/>
        <v>2024</v>
      </c>
      <c r="Q49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51" s="49" t="str">
        <f>TEXT(Planning[[#This Row],[Mes]]*29,"mmmm")</f>
        <v>October</v>
      </c>
      <c r="S495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51" s="156"/>
      <c r="U4951" s="43">
        <f>IF(Planning[[#This Row],[Horas Planificadas]]&lt;&gt;0,+K4951/Planning[[#This Row],[Horas Planificadas]],0)</f>
        <v>0</v>
      </c>
      <c r="V4951" s="43">
        <f>IF(Planning[[#This Row],[Horas Planificadas]]&lt;&gt;0,Planning[[#This Row],[Horas utilizadas]]/Planning[[#This Row],[Horas Planificadas]],0)</f>
        <v>0</v>
      </c>
      <c r="W4951" s="44">
        <f>Planning[[#This Row],[Horas Planificadas]]+Planning[[#This Row],[Horas ajustadas adicionales]]</f>
        <v>0</v>
      </c>
    </row>
    <row r="4952" spans="1:23" x14ac:dyDescent="0.2">
      <c r="A4952" s="9" t="s">
        <v>435</v>
      </c>
      <c r="B4952" s="9" t="s">
        <v>463</v>
      </c>
      <c r="C4952" s="3">
        <v>116899</v>
      </c>
      <c r="D4952" s="3" t="s">
        <v>853</v>
      </c>
      <c r="E4952" s="4"/>
      <c r="F4952" s="3" t="s">
        <v>123</v>
      </c>
      <c r="G4952" s="9"/>
      <c r="H4952" s="9">
        <v>207</v>
      </c>
      <c r="I4952" s="12"/>
      <c r="J4952" s="5" t="e">
        <f>SUM(SUMIFS(#REF!,#REF!,Planning[[#This Row],[Tipo de Tarea y especialidad]],#REF!,Planning[[#This Row],[Proyectos Reiwa]]),SUMIFS(#REF!,#REF!,Planning[[#This Row],[Tipo de Tarea y especialidad]],#REF!,Planning[[#This Row],[Proyectos]]))</f>
        <v>#REF!</v>
      </c>
      <c r="K4952" s="5" t="e">
        <f>+Planning[[#This Row],[Horas Planificadas]]+Planning[[#This Row],[Horas ajustadas adicionales]]-Planning[[#This Row],[Horas utilizadas]]</f>
        <v>#REF!</v>
      </c>
      <c r="L4952" s="7" t="e">
        <f>Planning[[#This Row],[Saldo]]</f>
        <v>#REF!</v>
      </c>
      <c r="M4952" s="19" t="e">
        <f>Planning[[#This Row],[Saldo]]-Planning[[#This Row],[Saldo estimado]]</f>
        <v>#REF!</v>
      </c>
      <c r="N4952" s="60" t="e">
        <f>+SUMIFS(#REF!,#REF!,Planning[[#This Row],[Proyectos]],#REF!,Planning[[#This Row],[Tipo de Tarea y especialidad]])</f>
        <v>#REF!</v>
      </c>
      <c r="O4952" s="19">
        <f t="shared" si="155"/>
        <v>10</v>
      </c>
      <c r="P4952" s="19">
        <f t="shared" si="156"/>
        <v>2024</v>
      </c>
      <c r="Q49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52" s="49" t="str">
        <f>TEXT(Planning[[#This Row],[Mes]]*29,"mmmm")</f>
        <v>October</v>
      </c>
      <c r="S495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52" s="156"/>
      <c r="U4952" s="43" t="e">
        <f>IF(Planning[[#This Row],[Horas Planificadas]]&lt;&gt;0,+K4952/Planning[[#This Row],[Horas Planificadas]],0)</f>
        <v>#REF!</v>
      </c>
      <c r="V4952" s="43" t="e">
        <f>IF(Planning[[#This Row],[Horas Planificadas]]&lt;&gt;0,Planning[[#This Row],[Horas utilizadas]]/Planning[[#This Row],[Horas Planificadas]],0)</f>
        <v>#REF!</v>
      </c>
      <c r="W4952" s="44">
        <f>Planning[[#This Row],[Horas Planificadas]]+Planning[[#This Row],[Horas ajustadas adicionales]]</f>
        <v>207</v>
      </c>
    </row>
    <row r="4953" spans="1:23" x14ac:dyDescent="0.2">
      <c r="A4953" s="9" t="s">
        <v>435</v>
      </c>
      <c r="B4953" s="9" t="s">
        <v>463</v>
      </c>
      <c r="C4953" s="3">
        <v>116899</v>
      </c>
      <c r="D4953" s="3" t="s">
        <v>853</v>
      </c>
      <c r="E4953" s="4"/>
      <c r="F4953" s="3" t="s">
        <v>124</v>
      </c>
      <c r="G4953" s="9"/>
      <c r="H4953" s="9"/>
      <c r="I4953" s="12"/>
      <c r="J4953" s="5" t="e">
        <f>SUM(SUMIFS(#REF!,#REF!,Planning[[#This Row],[Tipo de Tarea y especialidad]],#REF!,Planning[[#This Row],[Proyectos Reiwa]]),SUMIFS(#REF!,#REF!,Planning[[#This Row],[Tipo de Tarea y especialidad]],#REF!,Planning[[#This Row],[Proyectos]]))</f>
        <v>#REF!</v>
      </c>
      <c r="K4953" s="5" t="e">
        <f>+Planning[[#This Row],[Horas Planificadas]]+Planning[[#This Row],[Horas ajustadas adicionales]]-Planning[[#This Row],[Horas utilizadas]]</f>
        <v>#REF!</v>
      </c>
      <c r="L4953" s="7" t="e">
        <f>Planning[[#This Row],[Saldo]]</f>
        <v>#REF!</v>
      </c>
      <c r="M4953" s="19" t="e">
        <f>Planning[[#This Row],[Saldo]]-Planning[[#This Row],[Saldo estimado]]</f>
        <v>#REF!</v>
      </c>
      <c r="N4953" s="60" t="e">
        <f>+SUMIFS(#REF!,#REF!,Planning[[#This Row],[Proyectos]],#REF!,Planning[[#This Row],[Tipo de Tarea y especialidad]])</f>
        <v>#REF!</v>
      </c>
      <c r="O4953" s="19">
        <f t="shared" si="155"/>
        <v>10</v>
      </c>
      <c r="P4953" s="19">
        <f t="shared" si="156"/>
        <v>2024</v>
      </c>
      <c r="Q49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53" s="49" t="str">
        <f>TEXT(Planning[[#This Row],[Mes]]*29,"mmmm")</f>
        <v>October</v>
      </c>
      <c r="S495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53" s="156"/>
      <c r="U4953" s="43">
        <f>IF(Planning[[#This Row],[Horas Planificadas]]&lt;&gt;0,+K4953/Planning[[#This Row],[Horas Planificadas]],0)</f>
        <v>0</v>
      </c>
      <c r="V4953" s="43">
        <f>IF(Planning[[#This Row],[Horas Planificadas]]&lt;&gt;0,Planning[[#This Row],[Horas utilizadas]]/Planning[[#This Row],[Horas Planificadas]],0)</f>
        <v>0</v>
      </c>
      <c r="W4953" s="44">
        <f>Planning[[#This Row],[Horas Planificadas]]+Planning[[#This Row],[Horas ajustadas adicionales]]</f>
        <v>0</v>
      </c>
    </row>
    <row r="4954" spans="1:23" x14ac:dyDescent="0.2">
      <c r="A4954" s="9" t="s">
        <v>435</v>
      </c>
      <c r="B4954" s="9" t="s">
        <v>463</v>
      </c>
      <c r="C4954" s="3">
        <v>116899</v>
      </c>
      <c r="D4954" s="3" t="s">
        <v>853</v>
      </c>
      <c r="E4954" s="4"/>
      <c r="F4954" s="3" t="s">
        <v>125</v>
      </c>
      <c r="G4954" s="9"/>
      <c r="H4954" s="9">
        <v>216</v>
      </c>
      <c r="I4954" s="12"/>
      <c r="J4954" s="5" t="e">
        <f>SUM(SUMIFS(#REF!,#REF!,Planning[[#This Row],[Tipo de Tarea y especialidad]],#REF!,Planning[[#This Row],[Proyectos Reiwa]]),SUMIFS(#REF!,#REF!,Planning[[#This Row],[Tipo de Tarea y especialidad]],#REF!,Planning[[#This Row],[Proyectos]]))</f>
        <v>#REF!</v>
      </c>
      <c r="K4954" s="5" t="e">
        <f>+Planning[[#This Row],[Horas Planificadas]]+Planning[[#This Row],[Horas ajustadas adicionales]]-Planning[[#This Row],[Horas utilizadas]]</f>
        <v>#REF!</v>
      </c>
      <c r="L4954" s="7" t="e">
        <f>Planning[[#This Row],[Saldo]]</f>
        <v>#REF!</v>
      </c>
      <c r="M4954" s="19" t="e">
        <f>Planning[[#This Row],[Saldo]]-Planning[[#This Row],[Saldo estimado]]</f>
        <v>#REF!</v>
      </c>
      <c r="N4954" s="60" t="e">
        <f>+SUMIFS(#REF!,#REF!,Planning[[#This Row],[Proyectos]],#REF!,Planning[[#This Row],[Tipo de Tarea y especialidad]])</f>
        <v>#REF!</v>
      </c>
      <c r="O4954" s="19">
        <f t="shared" si="155"/>
        <v>10</v>
      </c>
      <c r="P4954" s="19">
        <f t="shared" si="156"/>
        <v>2024</v>
      </c>
      <c r="Q49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54" s="49" t="str">
        <f>TEXT(Planning[[#This Row],[Mes]]*29,"mmmm")</f>
        <v>October</v>
      </c>
      <c r="S495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54" s="156"/>
      <c r="U4954" s="43" t="e">
        <f>IF(Planning[[#This Row],[Horas Planificadas]]&lt;&gt;0,+K4954/Planning[[#This Row],[Horas Planificadas]],0)</f>
        <v>#REF!</v>
      </c>
      <c r="V4954" s="43" t="e">
        <f>IF(Planning[[#This Row],[Horas Planificadas]]&lt;&gt;0,Planning[[#This Row],[Horas utilizadas]]/Planning[[#This Row],[Horas Planificadas]],0)</f>
        <v>#REF!</v>
      </c>
      <c r="W4954" s="44">
        <f>Planning[[#This Row],[Horas Planificadas]]+Planning[[#This Row],[Horas ajustadas adicionales]]</f>
        <v>216</v>
      </c>
    </row>
    <row r="4955" spans="1:23" x14ac:dyDescent="0.2">
      <c r="A4955" s="9" t="s">
        <v>435</v>
      </c>
      <c r="B4955" s="9" t="s">
        <v>463</v>
      </c>
      <c r="C4955" s="3">
        <v>116899</v>
      </c>
      <c r="D4955" s="3" t="s">
        <v>853</v>
      </c>
      <c r="E4955" s="4"/>
      <c r="F4955" s="3" t="s">
        <v>126</v>
      </c>
      <c r="G4955" s="9"/>
      <c r="H4955" s="9"/>
      <c r="I4955" s="12"/>
      <c r="J4955" s="5" t="e">
        <f>SUM(SUMIFS(#REF!,#REF!,Planning[[#This Row],[Tipo de Tarea y especialidad]],#REF!,Planning[[#This Row],[Proyectos Reiwa]]),SUMIFS(#REF!,#REF!,Planning[[#This Row],[Tipo de Tarea y especialidad]],#REF!,Planning[[#This Row],[Proyectos]]))</f>
        <v>#REF!</v>
      </c>
      <c r="K4955" s="5" t="e">
        <f>+Planning[[#This Row],[Horas Planificadas]]+Planning[[#This Row],[Horas ajustadas adicionales]]-Planning[[#This Row],[Horas utilizadas]]</f>
        <v>#REF!</v>
      </c>
      <c r="L4955" s="7">
        <v>0</v>
      </c>
      <c r="M4955" s="19" t="e">
        <f>Planning[[#This Row],[Saldo]]-Planning[[#This Row],[Saldo estimado]]</f>
        <v>#REF!</v>
      </c>
      <c r="N4955" s="60" t="e">
        <f>+SUMIFS(#REF!,#REF!,Planning[[#This Row],[Proyectos]],#REF!,Planning[[#This Row],[Tipo de Tarea y especialidad]])</f>
        <v>#REF!</v>
      </c>
      <c r="O4955" s="19">
        <f t="shared" si="155"/>
        <v>10</v>
      </c>
      <c r="P4955" s="19">
        <f t="shared" si="156"/>
        <v>2024</v>
      </c>
      <c r="Q49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55" s="49" t="str">
        <f>TEXT(Planning[[#This Row],[Mes]]*29,"mmmm")</f>
        <v>October</v>
      </c>
      <c r="S495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55" s="156"/>
      <c r="U4955" s="43">
        <f>IF(Planning[[#This Row],[Horas Planificadas]]&lt;&gt;0,+K4955/Planning[[#This Row],[Horas Planificadas]],0)</f>
        <v>0</v>
      </c>
      <c r="V4955" s="43">
        <f>IF(Planning[[#This Row],[Horas Planificadas]]&lt;&gt;0,Planning[[#This Row],[Horas utilizadas]]/Planning[[#This Row],[Horas Planificadas]],0)</f>
        <v>0</v>
      </c>
      <c r="W4955" s="44">
        <f>Planning[[#This Row],[Horas Planificadas]]+Planning[[#This Row],[Horas ajustadas adicionales]]</f>
        <v>0</v>
      </c>
    </row>
    <row r="4956" spans="1:23" x14ac:dyDescent="0.2">
      <c r="A4956" s="9" t="s">
        <v>435</v>
      </c>
      <c r="B4956" s="9" t="s">
        <v>463</v>
      </c>
      <c r="C4956" s="3">
        <v>116899</v>
      </c>
      <c r="D4956" s="3" t="s">
        <v>853</v>
      </c>
      <c r="E4956" s="4"/>
      <c r="F4956" s="3" t="s">
        <v>127</v>
      </c>
      <c r="G4956" s="9"/>
      <c r="H4956" s="9">
        <v>99</v>
      </c>
      <c r="I4956" s="12"/>
      <c r="J4956" s="5" t="e">
        <f>SUM(SUMIFS(#REF!,#REF!,Planning[[#This Row],[Tipo de Tarea y especialidad]],#REF!,Planning[[#This Row],[Proyectos Reiwa]]),SUMIFS(#REF!,#REF!,Planning[[#This Row],[Tipo de Tarea y especialidad]],#REF!,Planning[[#This Row],[Proyectos]]))</f>
        <v>#REF!</v>
      </c>
      <c r="K4956" s="5" t="e">
        <f>+Planning[[#This Row],[Horas Planificadas]]+Planning[[#This Row],[Horas ajustadas adicionales]]-Planning[[#This Row],[Horas utilizadas]]</f>
        <v>#REF!</v>
      </c>
      <c r="L4956" s="7" t="e">
        <f>Planning[[#This Row],[Saldo]]</f>
        <v>#REF!</v>
      </c>
      <c r="M4956" s="19" t="e">
        <f>Planning[[#This Row],[Saldo]]-Planning[[#This Row],[Saldo estimado]]</f>
        <v>#REF!</v>
      </c>
      <c r="N4956" s="60" t="e">
        <f>+SUMIFS(#REF!,#REF!,Planning[[#This Row],[Proyectos]],#REF!,Planning[[#This Row],[Tipo de Tarea y especialidad]])</f>
        <v>#REF!</v>
      </c>
      <c r="O4956" s="19">
        <f t="shared" si="155"/>
        <v>10</v>
      </c>
      <c r="P4956" s="19">
        <f t="shared" si="156"/>
        <v>2024</v>
      </c>
      <c r="Q49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56" s="49" t="str">
        <f>TEXT(Planning[[#This Row],[Mes]]*29,"mmmm")</f>
        <v>October</v>
      </c>
      <c r="S495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56" s="156"/>
      <c r="U4956" s="43" t="e">
        <f>IF(Planning[[#This Row],[Horas Planificadas]]&lt;&gt;0,+K4956/Planning[[#This Row],[Horas Planificadas]],0)</f>
        <v>#REF!</v>
      </c>
      <c r="V4956" s="43" t="e">
        <f>IF(Planning[[#This Row],[Horas Planificadas]]&lt;&gt;0,Planning[[#This Row],[Horas utilizadas]]/Planning[[#This Row],[Horas Planificadas]],0)</f>
        <v>#REF!</v>
      </c>
      <c r="W4956" s="44">
        <f>Planning[[#This Row],[Horas Planificadas]]+Planning[[#This Row],[Horas ajustadas adicionales]]</f>
        <v>99</v>
      </c>
    </row>
    <row r="4957" spans="1:23" x14ac:dyDescent="0.2">
      <c r="A4957" s="9" t="s">
        <v>435</v>
      </c>
      <c r="B4957" s="9" t="s">
        <v>463</v>
      </c>
      <c r="C4957" s="3">
        <v>116899</v>
      </c>
      <c r="D4957" s="3" t="s">
        <v>853</v>
      </c>
      <c r="E4957" s="4"/>
      <c r="F4957" s="3" t="s">
        <v>128</v>
      </c>
      <c r="G4957" s="9"/>
      <c r="H4957" s="9"/>
      <c r="I4957" s="12"/>
      <c r="J4957" s="5" t="e">
        <f>SUM(SUMIFS(#REF!,#REF!,Planning[[#This Row],[Tipo de Tarea y especialidad]],#REF!,Planning[[#This Row],[Proyectos Reiwa]]),SUMIFS(#REF!,#REF!,Planning[[#This Row],[Tipo de Tarea y especialidad]],#REF!,Planning[[#This Row],[Proyectos]]))</f>
        <v>#REF!</v>
      </c>
      <c r="K4957" s="5" t="e">
        <f>+Planning[[#This Row],[Horas Planificadas]]+Planning[[#This Row],[Horas ajustadas adicionales]]-Planning[[#This Row],[Horas utilizadas]]</f>
        <v>#REF!</v>
      </c>
      <c r="L4957" s="7" t="e">
        <f>Planning[[#This Row],[Saldo]]</f>
        <v>#REF!</v>
      </c>
      <c r="M4957" s="19" t="e">
        <f>Planning[[#This Row],[Saldo]]-Planning[[#This Row],[Saldo estimado]]</f>
        <v>#REF!</v>
      </c>
      <c r="N4957" s="60" t="e">
        <f>+SUMIFS(#REF!,#REF!,Planning[[#This Row],[Proyectos]],#REF!,Planning[[#This Row],[Tipo de Tarea y especialidad]])</f>
        <v>#REF!</v>
      </c>
      <c r="O4957" s="19">
        <f t="shared" si="155"/>
        <v>10</v>
      </c>
      <c r="P4957" s="19">
        <f t="shared" si="156"/>
        <v>2024</v>
      </c>
      <c r="Q49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57" s="49" t="str">
        <f>TEXT(Planning[[#This Row],[Mes]]*29,"mmmm")</f>
        <v>October</v>
      </c>
      <c r="S495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57" s="156"/>
      <c r="U4957" s="43">
        <f>IF(Planning[[#This Row],[Horas Planificadas]]&lt;&gt;0,+K4957/Planning[[#This Row],[Horas Planificadas]],0)</f>
        <v>0</v>
      </c>
      <c r="V4957" s="43">
        <f>IF(Planning[[#This Row],[Horas Planificadas]]&lt;&gt;0,Planning[[#This Row],[Horas utilizadas]]/Planning[[#This Row],[Horas Planificadas]],0)</f>
        <v>0</v>
      </c>
      <c r="W4957" s="44">
        <f>Planning[[#This Row],[Horas Planificadas]]+Planning[[#This Row],[Horas ajustadas adicionales]]</f>
        <v>0</v>
      </c>
    </row>
    <row r="4958" spans="1:23" x14ac:dyDescent="0.2">
      <c r="A4958" s="9" t="s">
        <v>435</v>
      </c>
      <c r="B4958" s="9" t="s">
        <v>463</v>
      </c>
      <c r="C4958" s="3">
        <v>116899</v>
      </c>
      <c r="D4958" s="3" t="s">
        <v>853</v>
      </c>
      <c r="E4958" s="4" t="s">
        <v>31</v>
      </c>
      <c r="F4958" s="3" t="s">
        <v>31</v>
      </c>
      <c r="G4958" s="9">
        <v>126</v>
      </c>
      <c r="H4958" s="17">
        <v>0</v>
      </c>
      <c r="I4958" s="18"/>
      <c r="J4958" s="14" t="e">
        <f>+SUMIFS(#REF!,#REF!,Planning[[#This Row],[Tarifa]],#REF!,Planning[[#This Row],[Proyectos]])</f>
        <v>#REF!</v>
      </c>
      <c r="K4958" s="14" t="e">
        <f>+Planning[[#This Row],[Horas Planificadas]]+Planning[[#This Row],[Horas ajustadas adicionales]]-Planning[[#This Row],[Horas utilizadas]]</f>
        <v>#REF!</v>
      </c>
      <c r="L4958" s="15" t="e">
        <f>Planning[[#This Row],[Saldo]]</f>
        <v>#REF!</v>
      </c>
      <c r="M4958" s="16" t="e">
        <f>Planning[[#This Row],[Saldo]]-Planning[[#This Row],[Saldo estimado]]</f>
        <v>#REF!</v>
      </c>
      <c r="N4958" s="60"/>
      <c r="O4958" s="16">
        <f t="shared" si="155"/>
        <v>10</v>
      </c>
      <c r="P4958" s="16">
        <f t="shared" si="156"/>
        <v>2024</v>
      </c>
      <c r="Q4958" s="16" t="e">
        <f>+SUMIFS(#REF!,#REF!,Planning[[#This Row],[Tarifa]],#REF!,Planning[[#This Row],[Proyectos]],#REF!,Planning[[#This Row],[Mes]],#REF!,Planning[[#This Row],[Año]])</f>
        <v>#REF!</v>
      </c>
      <c r="R4958" s="50" t="str">
        <f>TEXT(Planning[[#This Row],[Mes]]*29,"mmmm")</f>
        <v>October</v>
      </c>
      <c r="S495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58" s="156"/>
      <c r="U4958" s="43">
        <f>IF(Planning[[#This Row],[Horas Planificadas]]&lt;&gt;0,+K4958/Planning[[#This Row],[Horas Planificadas]],0)</f>
        <v>0</v>
      </c>
      <c r="V4958" s="43">
        <f>IF(Planning[[#This Row],[Horas Planificadas]]&lt;&gt;0,Planning[[#This Row],[Horas utilizadas]]/Planning[[#This Row],[Horas Planificadas]],0)</f>
        <v>0</v>
      </c>
      <c r="W4958" s="44">
        <f>Planning[[#This Row],[Horas Planificadas]]+Planning[[#This Row],[Horas ajustadas adicionales]]</f>
        <v>0</v>
      </c>
    </row>
    <row r="4959" spans="1:23" ht="22.5" x14ac:dyDescent="0.2">
      <c r="A4959" s="9" t="s">
        <v>435</v>
      </c>
      <c r="B4959" s="9" t="s">
        <v>463</v>
      </c>
      <c r="C4959" s="3">
        <v>116899</v>
      </c>
      <c r="D4959" s="3" t="s">
        <v>853</v>
      </c>
      <c r="E4959" s="4" t="s">
        <v>32</v>
      </c>
      <c r="F4959" s="3"/>
      <c r="G4959" s="9">
        <v>150</v>
      </c>
      <c r="H4959" s="14">
        <f>SUM(H4960:H4962)</f>
        <v>150</v>
      </c>
      <c r="I4959" s="14"/>
      <c r="J4959" s="14" t="e">
        <f>SUM(J4960:J4962)</f>
        <v>#REF!</v>
      </c>
      <c r="K4959" s="14" t="e">
        <f>+Planning[[#This Row],[Horas Planificadas]]+Planning[[#This Row],[Horas ajustadas adicionales]]-Planning[[#This Row],[Horas utilizadas]]</f>
        <v>#REF!</v>
      </c>
      <c r="L4959" s="15" t="e">
        <f>SUM(L4960:L4962)</f>
        <v>#REF!</v>
      </c>
      <c r="M4959" s="16" t="e">
        <f>SUM(M4960:M4962)</f>
        <v>#REF!</v>
      </c>
      <c r="N4959" s="60"/>
      <c r="O4959" s="16">
        <f t="shared" si="155"/>
        <v>10</v>
      </c>
      <c r="P4959" s="16">
        <f t="shared" si="156"/>
        <v>2024</v>
      </c>
      <c r="Q4959" s="16" t="e">
        <f>SUM(Q4960:Q4962)</f>
        <v>#REF!</v>
      </c>
      <c r="R4959" s="50" t="str">
        <f>TEXT(Planning[[#This Row],[Mes]]*29,"mmmm")</f>
        <v>October</v>
      </c>
      <c r="S495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59" s="156"/>
      <c r="U4959" s="43" t="e">
        <f>IF(Planning[[#This Row],[Horas Planificadas]]&lt;&gt;0,+K4959/Planning[[#This Row],[Horas Planificadas]],0)</f>
        <v>#REF!</v>
      </c>
      <c r="V4959" s="43" t="e">
        <f>IF(Planning[[#This Row],[Horas Planificadas]]&lt;&gt;0,Planning[[#This Row],[Horas utilizadas]]/Planning[[#This Row],[Horas Planificadas]],0)</f>
        <v>#REF!</v>
      </c>
      <c r="W4959" s="44">
        <f>Planning[[#This Row],[Horas Planificadas]]+Planning[[#This Row],[Horas ajustadas adicionales]]</f>
        <v>150</v>
      </c>
    </row>
    <row r="4960" spans="1:23" x14ac:dyDescent="0.2">
      <c r="A4960" s="9" t="s">
        <v>435</v>
      </c>
      <c r="B4960" s="9" t="s">
        <v>463</v>
      </c>
      <c r="C4960" s="3">
        <v>116899</v>
      </c>
      <c r="D4960" s="3" t="s">
        <v>853</v>
      </c>
      <c r="E4960" s="4"/>
      <c r="F4960" s="3" t="s">
        <v>129</v>
      </c>
      <c r="G4960" s="9"/>
      <c r="H4960" s="9"/>
      <c r="I4960" s="12"/>
      <c r="J4960" s="5" t="e">
        <f>SUM(SUMIFS(#REF!,#REF!,Planning[[#This Row],[Tipo de Tarea y especialidad]],#REF!,Planning[[#This Row],[Proyectos Reiwa]]),SUMIFS(#REF!,#REF!,Planning[[#This Row],[Tipo de Tarea y especialidad]],#REF!,Planning[[#This Row],[Proyectos]]))</f>
        <v>#REF!</v>
      </c>
      <c r="K4960" s="5" t="e">
        <f>+Planning[[#This Row],[Horas Planificadas]]+Planning[[#This Row],[Horas ajustadas adicionales]]-Planning[[#This Row],[Horas utilizadas]]</f>
        <v>#REF!</v>
      </c>
      <c r="L4960" s="7" t="e">
        <f>Planning[[#This Row],[Saldo]]</f>
        <v>#REF!</v>
      </c>
      <c r="M4960" s="19" t="e">
        <f>Planning[[#This Row],[Saldo]]-Planning[[#This Row],[Saldo estimado]]</f>
        <v>#REF!</v>
      </c>
      <c r="N4960" s="60" t="e">
        <f>+SUMIFS(#REF!,#REF!,Planning[[#This Row],[Proyectos]],#REF!,Planning[[#This Row],[Tipo de Tarea y especialidad]])</f>
        <v>#REF!</v>
      </c>
      <c r="O4960" s="19">
        <f t="shared" si="155"/>
        <v>10</v>
      </c>
      <c r="P4960" s="19">
        <f t="shared" si="156"/>
        <v>2024</v>
      </c>
      <c r="Q49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60" s="49" t="str">
        <f>TEXT(Planning[[#This Row],[Mes]]*29,"mmmm")</f>
        <v>October</v>
      </c>
      <c r="S496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60" s="156"/>
      <c r="U4960" s="43">
        <f>IF(Planning[[#This Row],[Horas Planificadas]]&lt;&gt;0,+K4960/Planning[[#This Row],[Horas Planificadas]],0)</f>
        <v>0</v>
      </c>
      <c r="V4960" s="43">
        <f>IF(Planning[[#This Row],[Horas Planificadas]]&lt;&gt;0,Planning[[#This Row],[Horas utilizadas]]/Planning[[#This Row],[Horas Planificadas]],0)</f>
        <v>0</v>
      </c>
      <c r="W4960" s="44">
        <f>Planning[[#This Row],[Horas Planificadas]]+Planning[[#This Row],[Horas ajustadas adicionales]]</f>
        <v>0</v>
      </c>
    </row>
    <row r="4961" spans="1:24" x14ac:dyDescent="0.2">
      <c r="A4961" s="9" t="s">
        <v>435</v>
      </c>
      <c r="B4961" s="9" t="s">
        <v>463</v>
      </c>
      <c r="C4961" s="3">
        <v>116899</v>
      </c>
      <c r="D4961" s="3" t="s">
        <v>853</v>
      </c>
      <c r="E4961" s="4"/>
      <c r="F4961" s="3" t="s">
        <v>130</v>
      </c>
      <c r="G4961" s="9"/>
      <c r="H4961" s="9">
        <v>150</v>
      </c>
      <c r="I4961" s="12"/>
      <c r="J4961" s="5" t="e">
        <f>SUM(SUMIFS(#REF!,#REF!,Planning[[#This Row],[Tipo de Tarea y especialidad]],#REF!,Planning[[#This Row],[Proyectos Reiwa]]),SUMIFS(#REF!,#REF!,Planning[[#This Row],[Tipo de Tarea y especialidad]],#REF!,Planning[[#This Row],[Proyectos]]))</f>
        <v>#REF!</v>
      </c>
      <c r="K4961" s="5" t="e">
        <f>+Planning[[#This Row],[Horas Planificadas]]+Planning[[#This Row],[Horas ajustadas adicionales]]-Planning[[#This Row],[Horas utilizadas]]</f>
        <v>#REF!</v>
      </c>
      <c r="L4961" s="7" t="e">
        <f>Planning[[#This Row],[Saldo]]</f>
        <v>#REF!</v>
      </c>
      <c r="M4961" s="19" t="e">
        <f>Planning[[#This Row],[Saldo]]-Planning[[#This Row],[Saldo estimado]]</f>
        <v>#REF!</v>
      </c>
      <c r="N4961" s="60" t="e">
        <f>+SUMIFS(#REF!,#REF!,Planning[[#This Row],[Proyectos]],#REF!,Planning[[#This Row],[Tipo de Tarea y especialidad]])</f>
        <v>#REF!</v>
      </c>
      <c r="O4961" s="19">
        <f t="shared" si="155"/>
        <v>10</v>
      </c>
      <c r="P4961" s="19">
        <f t="shared" si="156"/>
        <v>2024</v>
      </c>
      <c r="Q49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61" s="49" t="str">
        <f>TEXT(Planning[[#This Row],[Mes]]*29,"mmmm")</f>
        <v>October</v>
      </c>
      <c r="S496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61" s="156"/>
      <c r="U4961" s="43" t="e">
        <f>IF(Planning[[#This Row],[Horas Planificadas]]&lt;&gt;0,+K4961/Planning[[#This Row],[Horas Planificadas]],0)</f>
        <v>#REF!</v>
      </c>
      <c r="V4961" s="43" t="e">
        <f>IF(Planning[[#This Row],[Horas Planificadas]]&lt;&gt;0,Planning[[#This Row],[Horas utilizadas]]/Planning[[#This Row],[Horas Planificadas]],0)</f>
        <v>#REF!</v>
      </c>
      <c r="W4961" s="44">
        <f>Planning[[#This Row],[Horas Planificadas]]+Planning[[#This Row],[Horas ajustadas adicionales]]</f>
        <v>150</v>
      </c>
    </row>
    <row r="4962" spans="1:24" x14ac:dyDescent="0.2">
      <c r="A4962" s="9" t="s">
        <v>435</v>
      </c>
      <c r="B4962" s="9" t="s">
        <v>463</v>
      </c>
      <c r="C4962" s="3">
        <v>116899</v>
      </c>
      <c r="D4962" s="3" t="s">
        <v>853</v>
      </c>
      <c r="E4962" s="4"/>
      <c r="F4962" s="3" t="s">
        <v>131</v>
      </c>
      <c r="G4962" s="9"/>
      <c r="H4962" s="9"/>
      <c r="I4962" s="12"/>
      <c r="J4962" s="5" t="e">
        <f>SUM(SUMIFS(#REF!,#REF!,Planning[[#This Row],[Tipo de Tarea y especialidad]],#REF!,Planning[[#This Row],[Proyectos Reiwa]]),SUMIFS(#REF!,#REF!,Planning[[#This Row],[Tipo de Tarea y especialidad]],#REF!,Planning[[#This Row],[Proyectos]]))</f>
        <v>#REF!</v>
      </c>
      <c r="K4962" s="5" t="e">
        <f>+Planning[[#This Row],[Horas Planificadas]]+Planning[[#This Row],[Horas ajustadas adicionales]]-Planning[[#This Row],[Horas utilizadas]]</f>
        <v>#REF!</v>
      </c>
      <c r="L4962" s="7" t="e">
        <f>Planning[[#This Row],[Saldo]]</f>
        <v>#REF!</v>
      </c>
      <c r="M4962" s="19" t="e">
        <f>Planning[[#This Row],[Saldo]]-Planning[[#This Row],[Saldo estimado]]</f>
        <v>#REF!</v>
      </c>
      <c r="N4962" s="60" t="e">
        <f>+SUMIFS(#REF!,#REF!,Planning[[#This Row],[Proyectos]],#REF!,Planning[[#This Row],[Tipo de Tarea y especialidad]])</f>
        <v>#REF!</v>
      </c>
      <c r="O4962" s="19">
        <f t="shared" si="155"/>
        <v>10</v>
      </c>
      <c r="P4962" s="19">
        <f t="shared" si="156"/>
        <v>2024</v>
      </c>
      <c r="Q49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62" s="51" t="str">
        <f>TEXT(Planning[[#This Row],[Mes]]*29,"mmmm")</f>
        <v>October</v>
      </c>
      <c r="S496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62" s="157"/>
      <c r="U4962" s="43">
        <f>IF(Planning[[#This Row],[Horas Planificadas]]&lt;&gt;0,+K4962/Planning[[#This Row],[Horas Planificadas]],0)</f>
        <v>0</v>
      </c>
      <c r="V4962" s="43">
        <f>IF(Planning[[#This Row],[Horas Planificadas]]&lt;&gt;0,Planning[[#This Row],[Horas utilizadas]]/Planning[[#This Row],[Horas Planificadas]],0)</f>
        <v>0</v>
      </c>
      <c r="W4962" s="44">
        <f>Planning[[#This Row],[Horas Planificadas]]+Planning[[#This Row],[Horas ajustadas adicionales]]</f>
        <v>0</v>
      </c>
    </row>
    <row r="4963" spans="1:24" ht="12.75" customHeight="1" x14ac:dyDescent="0.2">
      <c r="A4963" s="9" t="s">
        <v>204</v>
      </c>
      <c r="B4963" s="9" t="s">
        <v>685</v>
      </c>
      <c r="C4963" s="3">
        <v>117203</v>
      </c>
      <c r="D4963" s="3" t="s">
        <v>855</v>
      </c>
      <c r="E4963" s="4" t="s">
        <v>28</v>
      </c>
      <c r="F4963" s="3"/>
      <c r="G4963" s="9"/>
      <c r="H4963" s="14">
        <f>SUM(H4964:H4965)</f>
        <v>1680</v>
      </c>
      <c r="I4963" s="14"/>
      <c r="J4963" s="14" t="e">
        <f>SUM(J4964:J4965)</f>
        <v>#REF!</v>
      </c>
      <c r="K4963" s="14" t="e">
        <f>+Planning[[#This Row],[Horas Planificadas]]+Planning[[#This Row],[Horas ajustadas adicionales]]-Planning[[#This Row],[Horas utilizadas]]</f>
        <v>#REF!</v>
      </c>
      <c r="L4963" s="15">
        <f>SUM(L4964:L4965)</f>
        <v>63</v>
      </c>
      <c r="M4963" s="14" t="e">
        <f>SUM(M4964:M4965)</f>
        <v>#REF!</v>
      </c>
      <c r="N4963" s="66"/>
      <c r="O4963" s="14">
        <f t="shared" si="155"/>
        <v>10</v>
      </c>
      <c r="P4963" s="14">
        <f t="shared" si="156"/>
        <v>2024</v>
      </c>
      <c r="Q4963" s="28" t="e">
        <f>SUM(Q4964:Q4965)</f>
        <v>#REF!</v>
      </c>
      <c r="R4963" s="14" t="str">
        <f>TEXT(Planning[[#This Row],[Mes]]*29,"mmmm")</f>
        <v>October</v>
      </c>
      <c r="S496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63" s="201" t="s">
        <v>856</v>
      </c>
      <c r="U4963" s="43" t="e">
        <f>IF(Planning[[#This Row],[Horas Planificadas]]&lt;&gt;0,+K4963/Planning[[#This Row],[Horas Planificadas]],0)</f>
        <v>#REF!</v>
      </c>
      <c r="V4963" s="43" t="e">
        <f>IF(Planning[[#This Row],[Horas Planificadas]]&lt;&gt;0,Planning[[#This Row],[Horas utilizadas]]/Planning[[#This Row],[Horas Planificadas]],0)</f>
        <v>#REF!</v>
      </c>
      <c r="W4963" s="44">
        <f>Planning[[#This Row],[Horas Planificadas]]+Planning[[#This Row],[Horas ajustadas adicionales]]</f>
        <v>1680</v>
      </c>
      <c r="X4963" t="s">
        <v>857</v>
      </c>
    </row>
    <row r="4964" spans="1:24" x14ac:dyDescent="0.2">
      <c r="A4964" s="9" t="s">
        <v>204</v>
      </c>
      <c r="B4964" s="9" t="s">
        <v>685</v>
      </c>
      <c r="C4964" s="3">
        <v>117203</v>
      </c>
      <c r="D4964" s="3" t="s">
        <v>855</v>
      </c>
      <c r="E4964" s="4"/>
      <c r="F4964" s="3" t="s">
        <v>120</v>
      </c>
      <c r="G4964" s="9">
        <v>1124</v>
      </c>
      <c r="H4964" s="9">
        <v>1124</v>
      </c>
      <c r="I4964" s="12"/>
      <c r="J4964" s="5" t="e">
        <f>SUM(SUMIFS(#REF!,#REF!,Planning[[#This Row],[Tipo de Tarea y especialidad]],#REF!,Planning[[#This Row],[Proyectos Reiwa]]),SUMIFS(#REF!,#REF!,Planning[[#This Row],[Tipo de Tarea y especialidad]],#REF!,Planning[[#This Row],[Proyectos]]))</f>
        <v>#REF!</v>
      </c>
      <c r="K4964" s="5" t="e">
        <f>+Planning[[#This Row],[Horas Planificadas]]+Planning[[#This Row],[Horas ajustadas adicionales]]-Planning[[#This Row],[Horas utilizadas]]</f>
        <v>#REF!</v>
      </c>
      <c r="L4964" s="7">
        <v>0</v>
      </c>
      <c r="M4964" s="19" t="e">
        <f>Planning[[#This Row],[Saldo]]-Planning[[#This Row],[Saldo estimado]]</f>
        <v>#REF!</v>
      </c>
      <c r="N4964" s="60" t="e">
        <f>+SUMIFS(#REF!,#REF!,Planning[[#This Row],[Proyectos]],#REF!,Planning[[#This Row],[Tipo de Tarea y especialidad]])</f>
        <v>#REF!</v>
      </c>
      <c r="O4964" s="19">
        <f t="shared" si="155"/>
        <v>10</v>
      </c>
      <c r="P4964" s="19">
        <f t="shared" si="156"/>
        <v>2024</v>
      </c>
      <c r="Q49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64" s="34" t="str">
        <f>TEXT(Planning[[#This Row],[Mes]]*29,"mmmm")</f>
        <v>October</v>
      </c>
      <c r="S496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64" s="202"/>
      <c r="U4964" s="43" t="e">
        <f>IF(Planning[[#This Row],[Horas Planificadas]]&lt;&gt;0,+K4964/Planning[[#This Row],[Horas Planificadas]],0)</f>
        <v>#REF!</v>
      </c>
      <c r="V4964" s="43" t="e">
        <f>IF(Planning[[#This Row],[Horas Planificadas]]&lt;&gt;0,Planning[[#This Row],[Horas utilizadas]]/Planning[[#This Row],[Horas Planificadas]],0)</f>
        <v>#REF!</v>
      </c>
      <c r="W4964" s="44">
        <f>Planning[[#This Row],[Horas Planificadas]]+Planning[[#This Row],[Horas ajustadas adicionales]]</f>
        <v>1124</v>
      </c>
    </row>
    <row r="4965" spans="1:24" x14ac:dyDescent="0.2">
      <c r="A4965" s="9" t="s">
        <v>204</v>
      </c>
      <c r="B4965" s="9" t="s">
        <v>685</v>
      </c>
      <c r="C4965" s="3">
        <v>117203</v>
      </c>
      <c r="D4965" s="3" t="s">
        <v>855</v>
      </c>
      <c r="E4965" s="4"/>
      <c r="F4965" s="3" t="s">
        <v>121</v>
      </c>
      <c r="G4965" s="9">
        <v>556</v>
      </c>
      <c r="H4965" s="9">
        <v>556</v>
      </c>
      <c r="I4965" s="12"/>
      <c r="J4965" s="5" t="e">
        <f>SUM(SUMIFS(#REF!,#REF!,Planning[[#This Row],[Tipo de Tarea y especialidad]],#REF!,Planning[[#This Row],[Proyectos Reiwa]]),SUMIFS(#REF!,#REF!,Planning[[#This Row],[Tipo de Tarea y especialidad]],#REF!,Planning[[#This Row],[Proyectos]]))</f>
        <v>#REF!</v>
      </c>
      <c r="K4965" s="5" t="e">
        <f>+Planning[[#This Row],[Horas Planificadas]]+Planning[[#This Row],[Horas ajustadas adicionales]]-Planning[[#This Row],[Horas utilizadas]]</f>
        <v>#REF!</v>
      </c>
      <c r="L4965" s="7">
        <f>72-9</f>
        <v>63</v>
      </c>
      <c r="M4965" s="19" t="e">
        <f>Planning[[#This Row],[Saldo]]-Planning[[#This Row],[Saldo estimado]]</f>
        <v>#REF!</v>
      </c>
      <c r="N4965" s="60" t="e">
        <f>+SUMIFS(#REF!,#REF!,Planning[[#This Row],[Proyectos]],#REF!,Planning[[#This Row],[Tipo de Tarea y especialidad]])</f>
        <v>#REF!</v>
      </c>
      <c r="O4965" s="19">
        <f t="shared" si="155"/>
        <v>10</v>
      </c>
      <c r="P4965" s="19">
        <f t="shared" si="156"/>
        <v>2024</v>
      </c>
      <c r="Q49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65" s="34" t="str">
        <f>TEXT(Planning[[#This Row],[Mes]]*29,"mmmm")</f>
        <v>October</v>
      </c>
      <c r="S496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65" s="202"/>
      <c r="U4965" s="43" t="e">
        <f>IF(Planning[[#This Row],[Horas Planificadas]]&lt;&gt;0,+K4965/Planning[[#This Row],[Horas Planificadas]],0)</f>
        <v>#REF!</v>
      </c>
      <c r="V4965" s="43" t="e">
        <f>IF(Planning[[#This Row],[Horas Planificadas]]&lt;&gt;0,Planning[[#This Row],[Horas utilizadas]]/Planning[[#This Row],[Horas Planificadas]],0)</f>
        <v>#REF!</v>
      </c>
      <c r="W4965" s="44">
        <f>Planning[[#This Row],[Horas Planificadas]]+Planning[[#This Row],[Horas ajustadas adicionales]]</f>
        <v>556</v>
      </c>
    </row>
    <row r="4966" spans="1:24" x14ac:dyDescent="0.2">
      <c r="A4966" s="9" t="s">
        <v>204</v>
      </c>
      <c r="B4966" s="9" t="s">
        <v>685</v>
      </c>
      <c r="C4966" s="3">
        <v>117203</v>
      </c>
      <c r="D4966" s="3" t="s">
        <v>855</v>
      </c>
      <c r="E4966" s="4" t="s">
        <v>30</v>
      </c>
      <c r="F4966" s="3"/>
      <c r="G4966" s="9"/>
      <c r="H4966" s="14">
        <f>SUM(H4967:H4973)</f>
        <v>2102</v>
      </c>
      <c r="I4966" s="14"/>
      <c r="J4966" s="14" t="e">
        <f>SUM(J4967:J4973)</f>
        <v>#REF!</v>
      </c>
      <c r="K4966" s="14" t="e">
        <f>+Planning[[#This Row],[Horas Planificadas]]+Planning[[#This Row],[Horas ajustadas adicionales]]-Planning[[#This Row],[Horas utilizadas]]</f>
        <v>#REF!</v>
      </c>
      <c r="L4966" s="15">
        <f>SUM(L4967:L4973)</f>
        <v>478</v>
      </c>
      <c r="M4966" s="16" t="e">
        <f>SUM(M4967:M4973)</f>
        <v>#REF!</v>
      </c>
      <c r="N4966" s="60"/>
      <c r="O4966" s="16">
        <f t="shared" si="155"/>
        <v>10</v>
      </c>
      <c r="P4966" s="16">
        <f t="shared" si="156"/>
        <v>2024</v>
      </c>
      <c r="Q4966" s="16" t="e">
        <f>SUM(Q4967:Q4973)</f>
        <v>#REF!</v>
      </c>
      <c r="R4966" s="35" t="str">
        <f>TEXT(Planning[[#This Row],[Mes]]*29,"mmmm")</f>
        <v>October</v>
      </c>
      <c r="S496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66" s="202"/>
      <c r="U4966" s="43" t="e">
        <f>IF(Planning[[#This Row],[Horas Planificadas]]&lt;&gt;0,+K4966/Planning[[#This Row],[Horas Planificadas]],0)</f>
        <v>#REF!</v>
      </c>
      <c r="V4966" s="43" t="e">
        <f>IF(Planning[[#This Row],[Horas Planificadas]]&lt;&gt;0,Planning[[#This Row],[Horas utilizadas]]/Planning[[#This Row],[Horas Planificadas]],0)</f>
        <v>#REF!</v>
      </c>
      <c r="W4966" s="44">
        <f>Planning[[#This Row],[Horas Planificadas]]+Planning[[#This Row],[Horas ajustadas adicionales]]</f>
        <v>2102</v>
      </c>
    </row>
    <row r="4967" spans="1:24" x14ac:dyDescent="0.2">
      <c r="A4967" s="9" t="s">
        <v>204</v>
      </c>
      <c r="B4967" s="9" t="s">
        <v>685</v>
      </c>
      <c r="C4967" s="3">
        <v>117203</v>
      </c>
      <c r="D4967" s="3" t="s">
        <v>855</v>
      </c>
      <c r="E4967" s="4"/>
      <c r="F4967" s="3" t="s">
        <v>122</v>
      </c>
      <c r="G4967" s="9">
        <v>602</v>
      </c>
      <c r="H4967" s="9">
        <v>602</v>
      </c>
      <c r="I4967" s="12"/>
      <c r="J4967" s="5" t="e">
        <f>SUM(SUMIFS(#REF!,#REF!,Planning[[#This Row],[Tipo de Tarea y especialidad]],#REF!,Planning[[#This Row],[Proyectos Reiwa]]),SUMIFS(#REF!,#REF!,Planning[[#This Row],[Tipo de Tarea y especialidad]],#REF!,Planning[[#This Row],[Proyectos]]))</f>
        <v>#REF!</v>
      </c>
      <c r="K4967" s="5" t="e">
        <f>+Planning[[#This Row],[Horas Planificadas]]+Planning[[#This Row],[Horas ajustadas adicionales]]-Planning[[#This Row],[Horas utilizadas]]</f>
        <v>#REF!</v>
      </c>
      <c r="L4967" s="7">
        <v>0</v>
      </c>
      <c r="M4967" s="19" t="e">
        <f>Planning[[#This Row],[Saldo]]-Planning[[#This Row],[Saldo estimado]]</f>
        <v>#REF!</v>
      </c>
      <c r="N4967" s="60" t="e">
        <f>+SUMIFS(#REF!,#REF!,Planning[[#This Row],[Proyectos]],#REF!,Planning[[#This Row],[Tipo de Tarea y especialidad]])</f>
        <v>#REF!</v>
      </c>
      <c r="O4967" s="19">
        <f t="shared" si="155"/>
        <v>10</v>
      </c>
      <c r="P4967" s="19">
        <f t="shared" si="156"/>
        <v>2024</v>
      </c>
      <c r="Q49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67" s="34" t="str">
        <f>TEXT(Planning[[#This Row],[Mes]]*29,"mmmm")</f>
        <v>October</v>
      </c>
      <c r="S496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67" s="202"/>
      <c r="U4967" s="43" t="e">
        <f>IF(Planning[[#This Row],[Horas Planificadas]]&lt;&gt;0,+K4967/Planning[[#This Row],[Horas Planificadas]],0)</f>
        <v>#REF!</v>
      </c>
      <c r="V4967" s="43" t="e">
        <f>IF(Planning[[#This Row],[Horas Planificadas]]&lt;&gt;0,Planning[[#This Row],[Horas utilizadas]]/Planning[[#This Row],[Horas Planificadas]],0)</f>
        <v>#REF!</v>
      </c>
      <c r="W4967" s="44">
        <f>Planning[[#This Row],[Horas Planificadas]]+Planning[[#This Row],[Horas ajustadas adicionales]]</f>
        <v>602</v>
      </c>
    </row>
    <row r="4968" spans="1:24" x14ac:dyDescent="0.2">
      <c r="A4968" s="9" t="s">
        <v>204</v>
      </c>
      <c r="B4968" s="9" t="s">
        <v>685</v>
      </c>
      <c r="C4968" s="3">
        <v>117203</v>
      </c>
      <c r="D4968" s="3" t="s">
        <v>855</v>
      </c>
      <c r="E4968" s="4"/>
      <c r="F4968" s="3" t="s">
        <v>123</v>
      </c>
      <c r="G4968" s="9">
        <v>688</v>
      </c>
      <c r="H4968" s="9">
        <v>688</v>
      </c>
      <c r="I4968" s="12"/>
      <c r="J4968" s="5" t="e">
        <f>SUM(SUMIFS(#REF!,#REF!,Planning[[#This Row],[Tipo de Tarea y especialidad]],#REF!,Planning[[#This Row],[Proyectos Reiwa]]),SUMIFS(#REF!,#REF!,Planning[[#This Row],[Tipo de Tarea y especialidad]],#REF!,Planning[[#This Row],[Proyectos]]))</f>
        <v>#REF!</v>
      </c>
      <c r="K4968" s="5" t="e">
        <f>+Planning[[#This Row],[Horas Planificadas]]+Planning[[#This Row],[Horas ajustadas adicionales]]-Planning[[#This Row],[Horas utilizadas]]</f>
        <v>#REF!</v>
      </c>
      <c r="L4968" s="7">
        <v>90</v>
      </c>
      <c r="M4968" s="19" t="e">
        <f>Planning[[#This Row],[Saldo]]-Planning[[#This Row],[Saldo estimado]]</f>
        <v>#REF!</v>
      </c>
      <c r="N4968" s="60" t="e">
        <f>+SUMIFS(#REF!,#REF!,Planning[[#This Row],[Proyectos]],#REF!,Planning[[#This Row],[Tipo de Tarea y especialidad]])</f>
        <v>#REF!</v>
      </c>
      <c r="O4968" s="19">
        <f t="shared" si="155"/>
        <v>10</v>
      </c>
      <c r="P4968" s="19">
        <f t="shared" si="156"/>
        <v>2024</v>
      </c>
      <c r="Q49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68" s="34" t="str">
        <f>TEXT(Planning[[#This Row],[Mes]]*29,"mmmm")</f>
        <v>October</v>
      </c>
      <c r="S496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68" s="202"/>
      <c r="U4968" s="43" t="e">
        <f>IF(Planning[[#This Row],[Horas Planificadas]]&lt;&gt;0,+K4968/Planning[[#This Row],[Horas Planificadas]],0)</f>
        <v>#REF!</v>
      </c>
      <c r="V4968" s="43" t="e">
        <f>IF(Planning[[#This Row],[Horas Planificadas]]&lt;&gt;0,Planning[[#This Row],[Horas utilizadas]]/Planning[[#This Row],[Horas Planificadas]],0)</f>
        <v>#REF!</v>
      </c>
      <c r="W4968" s="44">
        <f>Planning[[#This Row],[Horas Planificadas]]+Planning[[#This Row],[Horas ajustadas adicionales]]</f>
        <v>688</v>
      </c>
    </row>
    <row r="4969" spans="1:24" x14ac:dyDescent="0.2">
      <c r="A4969" s="9" t="s">
        <v>204</v>
      </c>
      <c r="B4969" s="9" t="s">
        <v>685</v>
      </c>
      <c r="C4969" s="3">
        <v>117203</v>
      </c>
      <c r="D4969" s="3" t="s">
        <v>855</v>
      </c>
      <c r="E4969" s="4"/>
      <c r="F4969" s="3" t="s">
        <v>124</v>
      </c>
      <c r="G4969" s="9">
        <v>40</v>
      </c>
      <c r="H4969" s="9">
        <v>40</v>
      </c>
      <c r="I4969" s="12"/>
      <c r="J4969" s="5" t="e">
        <f>SUM(SUMIFS(#REF!,#REF!,Planning[[#This Row],[Tipo de Tarea y especialidad]],#REF!,Planning[[#This Row],[Proyectos Reiwa]]),SUMIFS(#REF!,#REF!,Planning[[#This Row],[Tipo de Tarea y especialidad]],#REF!,Planning[[#This Row],[Proyectos]]))</f>
        <v>#REF!</v>
      </c>
      <c r="K4969" s="5" t="e">
        <f>+Planning[[#This Row],[Horas Planificadas]]+Planning[[#This Row],[Horas ajustadas adicionales]]-Planning[[#This Row],[Horas utilizadas]]</f>
        <v>#REF!</v>
      </c>
      <c r="L4969" s="7">
        <v>45</v>
      </c>
      <c r="M4969" s="19" t="e">
        <f>Planning[[#This Row],[Saldo]]-Planning[[#This Row],[Saldo estimado]]</f>
        <v>#REF!</v>
      </c>
      <c r="N4969" s="60" t="e">
        <f>+SUMIFS(#REF!,#REF!,Planning[[#This Row],[Proyectos]],#REF!,Planning[[#This Row],[Tipo de Tarea y especialidad]])</f>
        <v>#REF!</v>
      </c>
      <c r="O4969" s="19">
        <f t="shared" si="155"/>
        <v>10</v>
      </c>
      <c r="P4969" s="19">
        <f t="shared" si="156"/>
        <v>2024</v>
      </c>
      <c r="Q49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69" s="34" t="str">
        <f>TEXT(Planning[[#This Row],[Mes]]*29,"mmmm")</f>
        <v>October</v>
      </c>
      <c r="S496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69" s="202"/>
      <c r="U4969" s="43" t="e">
        <f>IF(Planning[[#This Row],[Horas Planificadas]]&lt;&gt;0,+K4969/Planning[[#This Row],[Horas Planificadas]],0)</f>
        <v>#REF!</v>
      </c>
      <c r="V4969" s="43" t="e">
        <f>IF(Planning[[#This Row],[Horas Planificadas]]&lt;&gt;0,Planning[[#This Row],[Horas utilizadas]]/Planning[[#This Row],[Horas Planificadas]],0)</f>
        <v>#REF!</v>
      </c>
      <c r="W4969" s="44">
        <f>Planning[[#This Row],[Horas Planificadas]]+Planning[[#This Row],[Horas ajustadas adicionales]]</f>
        <v>40</v>
      </c>
    </row>
    <row r="4970" spans="1:24" x14ac:dyDescent="0.2">
      <c r="A4970" s="9" t="s">
        <v>204</v>
      </c>
      <c r="B4970" s="9" t="s">
        <v>685</v>
      </c>
      <c r="C4970" s="3">
        <v>117203</v>
      </c>
      <c r="D4970" s="3" t="s">
        <v>855</v>
      </c>
      <c r="E4970" s="4"/>
      <c r="F4970" s="3" t="s">
        <v>125</v>
      </c>
      <c r="G4970" s="9">
        <v>288</v>
      </c>
      <c r="H4970" s="9">
        <v>288</v>
      </c>
      <c r="I4970" s="12"/>
      <c r="J4970" s="5" t="e">
        <f>SUM(SUMIFS(#REF!,#REF!,Planning[[#This Row],[Tipo de Tarea y especialidad]],#REF!,Planning[[#This Row],[Proyectos Reiwa]]),SUMIFS(#REF!,#REF!,Planning[[#This Row],[Tipo de Tarea y especialidad]],#REF!,Planning[[#This Row],[Proyectos]]))</f>
        <v>#REF!</v>
      </c>
      <c r="K4970" s="5" t="e">
        <f>+Planning[[#This Row],[Horas Planificadas]]+Planning[[#This Row],[Horas ajustadas adicionales]]-Planning[[#This Row],[Horas utilizadas]]</f>
        <v>#REF!</v>
      </c>
      <c r="L4970" s="7">
        <v>108</v>
      </c>
      <c r="M4970" s="19" t="e">
        <f>Planning[[#This Row],[Saldo]]-Planning[[#This Row],[Saldo estimado]]</f>
        <v>#REF!</v>
      </c>
      <c r="N4970" s="60" t="e">
        <f>+SUMIFS(#REF!,#REF!,Planning[[#This Row],[Proyectos]],#REF!,Planning[[#This Row],[Tipo de Tarea y especialidad]])</f>
        <v>#REF!</v>
      </c>
      <c r="O4970" s="19">
        <f t="shared" si="155"/>
        <v>10</v>
      </c>
      <c r="P4970" s="19">
        <f t="shared" si="156"/>
        <v>2024</v>
      </c>
      <c r="Q49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70" s="34" t="str">
        <f>TEXT(Planning[[#This Row],[Mes]]*29,"mmmm")</f>
        <v>October</v>
      </c>
      <c r="S497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70" s="202"/>
      <c r="U4970" s="43" t="e">
        <f>IF(Planning[[#This Row],[Horas Planificadas]]&lt;&gt;0,+K4970/Planning[[#This Row],[Horas Planificadas]],0)</f>
        <v>#REF!</v>
      </c>
      <c r="V4970" s="43" t="e">
        <f>IF(Planning[[#This Row],[Horas Planificadas]]&lt;&gt;0,Planning[[#This Row],[Horas utilizadas]]/Planning[[#This Row],[Horas Planificadas]],0)</f>
        <v>#REF!</v>
      </c>
      <c r="W4970" s="44">
        <f>Planning[[#This Row],[Horas Planificadas]]+Planning[[#This Row],[Horas ajustadas adicionales]]</f>
        <v>288</v>
      </c>
    </row>
    <row r="4971" spans="1:24" x14ac:dyDescent="0.2">
      <c r="A4971" s="9" t="s">
        <v>204</v>
      </c>
      <c r="B4971" s="9" t="s">
        <v>685</v>
      </c>
      <c r="C4971" s="3">
        <v>117203</v>
      </c>
      <c r="D4971" s="3" t="s">
        <v>855</v>
      </c>
      <c r="E4971" s="4"/>
      <c r="F4971" s="3" t="s">
        <v>126</v>
      </c>
      <c r="G4971" s="9">
        <v>267</v>
      </c>
      <c r="H4971" s="9">
        <v>267</v>
      </c>
      <c r="I4971" s="12"/>
      <c r="J4971" s="5" t="e">
        <f>SUM(SUMIFS(#REF!,#REF!,Planning[[#This Row],[Tipo de Tarea y especialidad]],#REF!,Planning[[#This Row],[Proyectos Reiwa]]),SUMIFS(#REF!,#REF!,Planning[[#This Row],[Tipo de Tarea y especialidad]],#REF!,Planning[[#This Row],[Proyectos]]))</f>
        <v>#REF!</v>
      </c>
      <c r="K4971" s="5" t="e">
        <f>+Planning[[#This Row],[Horas Planificadas]]+Planning[[#This Row],[Horas ajustadas adicionales]]-Planning[[#This Row],[Horas utilizadas]]</f>
        <v>#REF!</v>
      </c>
      <c r="L4971" s="7">
        <v>72</v>
      </c>
      <c r="M4971" s="19" t="e">
        <f>Planning[[#This Row],[Saldo]]-Planning[[#This Row],[Saldo estimado]]</f>
        <v>#REF!</v>
      </c>
      <c r="N4971" s="60" t="e">
        <f>+SUMIFS(#REF!,#REF!,Planning[[#This Row],[Proyectos]],#REF!,Planning[[#This Row],[Tipo de Tarea y especialidad]])</f>
        <v>#REF!</v>
      </c>
      <c r="O4971" s="19">
        <f t="shared" si="155"/>
        <v>10</v>
      </c>
      <c r="P4971" s="19">
        <f t="shared" si="156"/>
        <v>2024</v>
      </c>
      <c r="Q49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71" s="34" t="str">
        <f>TEXT(Planning[[#This Row],[Mes]]*29,"mmmm")</f>
        <v>October</v>
      </c>
      <c r="S497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71" s="202"/>
      <c r="U4971" s="43" t="e">
        <f>IF(Planning[[#This Row],[Horas Planificadas]]&lt;&gt;0,+K4971/Planning[[#This Row],[Horas Planificadas]],0)</f>
        <v>#REF!</v>
      </c>
      <c r="V4971" s="43" t="e">
        <f>IF(Planning[[#This Row],[Horas Planificadas]]&lt;&gt;0,Planning[[#This Row],[Horas utilizadas]]/Planning[[#This Row],[Horas Planificadas]],0)</f>
        <v>#REF!</v>
      </c>
      <c r="W4971" s="44">
        <f>Planning[[#This Row],[Horas Planificadas]]+Planning[[#This Row],[Horas ajustadas adicionales]]</f>
        <v>267</v>
      </c>
    </row>
    <row r="4972" spans="1:24" x14ac:dyDescent="0.2">
      <c r="A4972" s="9" t="s">
        <v>204</v>
      </c>
      <c r="B4972" s="9" t="s">
        <v>685</v>
      </c>
      <c r="C4972" s="3">
        <v>117203</v>
      </c>
      <c r="D4972" s="3" t="s">
        <v>855</v>
      </c>
      <c r="E4972" s="4"/>
      <c r="F4972" s="3" t="s">
        <v>127</v>
      </c>
      <c r="G4972" s="9">
        <v>216</v>
      </c>
      <c r="H4972" s="9">
        <v>217</v>
      </c>
      <c r="I4972" s="12"/>
      <c r="J4972" s="5" t="e">
        <f>SUM(SUMIFS(#REF!,#REF!,Planning[[#This Row],[Tipo de Tarea y especialidad]],#REF!,Planning[[#This Row],[Proyectos Reiwa]]),SUMIFS(#REF!,#REF!,Planning[[#This Row],[Tipo de Tarea y especialidad]],#REF!,Planning[[#This Row],[Proyectos]]))</f>
        <v>#REF!</v>
      </c>
      <c r="K4972" s="5" t="e">
        <f>+Planning[[#This Row],[Horas Planificadas]]+Planning[[#This Row],[Horas ajustadas adicionales]]-Planning[[#This Row],[Horas utilizadas]]</f>
        <v>#REF!</v>
      </c>
      <c r="L4972" s="7">
        <v>136</v>
      </c>
      <c r="M4972" s="19" t="e">
        <f>Planning[[#This Row],[Saldo]]-Planning[[#This Row],[Saldo estimado]]</f>
        <v>#REF!</v>
      </c>
      <c r="N4972" s="60" t="e">
        <f>+SUMIFS(#REF!,#REF!,Planning[[#This Row],[Proyectos]],#REF!,Planning[[#This Row],[Tipo de Tarea y especialidad]])</f>
        <v>#REF!</v>
      </c>
      <c r="O4972" s="19">
        <f t="shared" si="155"/>
        <v>10</v>
      </c>
      <c r="P4972" s="19">
        <f t="shared" si="156"/>
        <v>2024</v>
      </c>
      <c r="Q49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72" s="34" t="str">
        <f>TEXT(Planning[[#This Row],[Mes]]*29,"mmmm")</f>
        <v>October</v>
      </c>
      <c r="S497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72" s="202"/>
      <c r="U4972" s="43" t="e">
        <f>IF(Planning[[#This Row],[Horas Planificadas]]&lt;&gt;0,+K4972/Planning[[#This Row],[Horas Planificadas]],0)</f>
        <v>#REF!</v>
      </c>
      <c r="V4972" s="43" t="e">
        <f>IF(Planning[[#This Row],[Horas Planificadas]]&lt;&gt;0,Planning[[#This Row],[Horas utilizadas]]/Planning[[#This Row],[Horas Planificadas]],0)</f>
        <v>#REF!</v>
      </c>
      <c r="W4972" s="44">
        <f>Planning[[#This Row],[Horas Planificadas]]+Planning[[#This Row],[Horas ajustadas adicionales]]</f>
        <v>217</v>
      </c>
    </row>
    <row r="4973" spans="1:24" x14ac:dyDescent="0.2">
      <c r="A4973" s="9" t="s">
        <v>204</v>
      </c>
      <c r="B4973" s="9" t="s">
        <v>685</v>
      </c>
      <c r="C4973" s="3">
        <v>117203</v>
      </c>
      <c r="D4973" s="3" t="s">
        <v>855</v>
      </c>
      <c r="E4973" s="4"/>
      <c r="F4973" s="3" t="s">
        <v>128</v>
      </c>
      <c r="G4973" s="9">
        <v>0</v>
      </c>
      <c r="H4973" s="9">
        <v>0</v>
      </c>
      <c r="I4973" s="12"/>
      <c r="J4973" s="5" t="e">
        <f>SUM(SUMIFS(#REF!,#REF!,Planning[[#This Row],[Tipo de Tarea y especialidad]],#REF!,Planning[[#This Row],[Proyectos Reiwa]]),SUMIFS(#REF!,#REF!,Planning[[#This Row],[Tipo de Tarea y especialidad]],#REF!,Planning[[#This Row],[Proyectos]]))</f>
        <v>#REF!</v>
      </c>
      <c r="K4973" s="5" t="e">
        <f>+Planning[[#This Row],[Horas Planificadas]]+Planning[[#This Row],[Horas ajustadas adicionales]]-Planning[[#This Row],[Horas utilizadas]]</f>
        <v>#REF!</v>
      </c>
      <c r="L4973" s="7">
        <v>27</v>
      </c>
      <c r="M4973" s="19" t="e">
        <f>Planning[[#This Row],[Saldo]]-Planning[[#This Row],[Saldo estimado]]</f>
        <v>#REF!</v>
      </c>
      <c r="N4973" s="60" t="e">
        <f>+SUMIFS(#REF!,#REF!,Planning[[#This Row],[Proyectos]],#REF!,Planning[[#This Row],[Tipo de Tarea y especialidad]])</f>
        <v>#REF!</v>
      </c>
      <c r="O4973" s="19">
        <f t="shared" si="155"/>
        <v>10</v>
      </c>
      <c r="P4973" s="19">
        <f t="shared" si="156"/>
        <v>2024</v>
      </c>
      <c r="Q49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73" s="34" t="str">
        <f>TEXT(Planning[[#This Row],[Mes]]*29,"mmmm")</f>
        <v>October</v>
      </c>
      <c r="S497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73" s="202"/>
      <c r="U4973" s="43">
        <f>IF(Planning[[#This Row],[Horas Planificadas]]&lt;&gt;0,+K4973/Planning[[#This Row],[Horas Planificadas]],0)</f>
        <v>0</v>
      </c>
      <c r="V4973" s="43">
        <f>IF(Planning[[#This Row],[Horas Planificadas]]&lt;&gt;0,Planning[[#This Row],[Horas utilizadas]]/Planning[[#This Row],[Horas Planificadas]],0)</f>
        <v>0</v>
      </c>
      <c r="W4973" s="44">
        <f>Planning[[#This Row],[Horas Planificadas]]+Planning[[#This Row],[Horas ajustadas adicionales]]</f>
        <v>0</v>
      </c>
    </row>
    <row r="4974" spans="1:24" x14ac:dyDescent="0.2">
      <c r="A4974" s="9" t="s">
        <v>204</v>
      </c>
      <c r="B4974" s="9" t="s">
        <v>685</v>
      </c>
      <c r="C4974" s="3">
        <v>117203</v>
      </c>
      <c r="D4974" s="3" t="s">
        <v>855</v>
      </c>
      <c r="E4974" s="4" t="s">
        <v>31</v>
      </c>
      <c r="F4974" s="3" t="s">
        <v>31</v>
      </c>
      <c r="G4974" s="9"/>
      <c r="H4974" s="17">
        <v>205</v>
      </c>
      <c r="I4974" s="18"/>
      <c r="J4974" s="14" t="e">
        <f>+SUMIFS(#REF!,#REF!,Planning[[#This Row],[Tarifa]],#REF!,Planning[[#This Row],[Proyectos]])</f>
        <v>#REF!</v>
      </c>
      <c r="K4974" s="14" t="e">
        <f>+Planning[[#This Row],[Horas Planificadas]]+Planning[[#This Row],[Horas ajustadas adicionales]]-Planning[[#This Row],[Horas utilizadas]]</f>
        <v>#REF!</v>
      </c>
      <c r="L4974" s="15" t="e">
        <f>Planning[[#This Row],[Saldo]]</f>
        <v>#REF!</v>
      </c>
      <c r="M4974" s="16" t="e">
        <f>Planning[[#This Row],[Saldo]]-Planning[[#This Row],[Saldo estimado]]</f>
        <v>#REF!</v>
      </c>
      <c r="N4974" s="60"/>
      <c r="O4974" s="16">
        <f t="shared" si="155"/>
        <v>10</v>
      </c>
      <c r="P4974" s="16">
        <f t="shared" si="156"/>
        <v>2024</v>
      </c>
      <c r="Q4974" s="16" t="e">
        <f>+SUMIFS(#REF!,#REF!,Planning[[#This Row],[Tarifa]],#REF!,Planning[[#This Row],[Proyectos]],#REF!,Planning[[#This Row],[Mes]],#REF!,Planning[[#This Row],[Año]])</f>
        <v>#REF!</v>
      </c>
      <c r="R4974" s="35" t="str">
        <f>TEXT(Planning[[#This Row],[Mes]]*29,"mmmm")</f>
        <v>October</v>
      </c>
      <c r="S497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74" s="202"/>
      <c r="U4974" s="43" t="e">
        <f>IF(Planning[[#This Row],[Horas Planificadas]]&lt;&gt;0,+K4974/Planning[[#This Row],[Horas Planificadas]],0)</f>
        <v>#REF!</v>
      </c>
      <c r="V4974" s="43" t="e">
        <f>IF(Planning[[#This Row],[Horas Planificadas]]&lt;&gt;0,Planning[[#This Row],[Horas utilizadas]]/Planning[[#This Row],[Horas Planificadas]],0)</f>
        <v>#REF!</v>
      </c>
      <c r="W4974" s="44">
        <f>Planning[[#This Row],[Horas Planificadas]]+Planning[[#This Row],[Horas ajustadas adicionales]]</f>
        <v>205</v>
      </c>
    </row>
    <row r="4975" spans="1:24" ht="22.5" x14ac:dyDescent="0.2">
      <c r="A4975" s="9" t="s">
        <v>204</v>
      </c>
      <c r="B4975" s="9" t="s">
        <v>685</v>
      </c>
      <c r="C4975" s="3">
        <v>117203</v>
      </c>
      <c r="D4975" s="3" t="s">
        <v>855</v>
      </c>
      <c r="E4975" s="4" t="s">
        <v>32</v>
      </c>
      <c r="F4975" s="3"/>
      <c r="G4975" s="9"/>
      <c r="H4975" s="14">
        <f>SUM(H4976:H4978)</f>
        <v>760</v>
      </c>
      <c r="I4975" s="14"/>
      <c r="J4975" s="14" t="e">
        <f>SUM(J4976:J4978)</f>
        <v>#REF!</v>
      </c>
      <c r="K4975" s="14" t="e">
        <f>+Planning[[#This Row],[Horas Planificadas]]+Planning[[#This Row],[Horas ajustadas adicionales]]-Planning[[#This Row],[Horas utilizadas]]</f>
        <v>#REF!</v>
      </c>
      <c r="L4975" s="15" t="e">
        <f>SUM(L4976:L4978)</f>
        <v>#REF!</v>
      </c>
      <c r="M4975" s="16" t="e">
        <f>SUM(M4976:M4978)</f>
        <v>#REF!</v>
      </c>
      <c r="N4975" s="60"/>
      <c r="O4975" s="16">
        <f t="shared" si="155"/>
        <v>10</v>
      </c>
      <c r="P4975" s="16">
        <f t="shared" si="156"/>
        <v>2024</v>
      </c>
      <c r="Q4975" s="16" t="e">
        <f>SUM(Q4976:Q4978)</f>
        <v>#REF!</v>
      </c>
      <c r="R4975" s="35" t="str">
        <f>TEXT(Planning[[#This Row],[Mes]]*29,"mmmm")</f>
        <v>October</v>
      </c>
      <c r="S497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75" s="202"/>
      <c r="U4975" s="43" t="e">
        <f>IF(Planning[[#This Row],[Horas Planificadas]]&lt;&gt;0,+K4975/Planning[[#This Row],[Horas Planificadas]],0)</f>
        <v>#REF!</v>
      </c>
      <c r="V4975" s="43" t="e">
        <f>IF(Planning[[#This Row],[Horas Planificadas]]&lt;&gt;0,Planning[[#This Row],[Horas utilizadas]]/Planning[[#This Row],[Horas Planificadas]],0)</f>
        <v>#REF!</v>
      </c>
      <c r="W4975" s="44">
        <f>Planning[[#This Row],[Horas Planificadas]]+Planning[[#This Row],[Horas ajustadas adicionales]]</f>
        <v>760</v>
      </c>
    </row>
    <row r="4976" spans="1:24" x14ac:dyDescent="0.2">
      <c r="A4976" s="9" t="s">
        <v>204</v>
      </c>
      <c r="B4976" s="9" t="s">
        <v>685</v>
      </c>
      <c r="C4976" s="3">
        <v>117203</v>
      </c>
      <c r="D4976" s="3" t="s">
        <v>855</v>
      </c>
      <c r="E4976" s="4"/>
      <c r="F4976" s="3" t="s">
        <v>129</v>
      </c>
      <c r="G4976" s="9">
        <v>370</v>
      </c>
      <c r="H4976" s="9">
        <v>370</v>
      </c>
      <c r="I4976" s="12"/>
      <c r="J4976" s="5" t="e">
        <f>SUM(SUMIFS(#REF!,#REF!,Planning[[#This Row],[Tipo de Tarea y especialidad]],#REF!,Planning[[#This Row],[Proyectos Reiwa]]),SUMIFS(#REF!,#REF!,Planning[[#This Row],[Tipo de Tarea y especialidad]],#REF!,Planning[[#This Row],[Proyectos]]))</f>
        <v>#REF!</v>
      </c>
      <c r="K4976" s="5" t="e">
        <f>+Planning[[#This Row],[Horas Planificadas]]+Planning[[#This Row],[Horas ajustadas adicionales]]-Planning[[#This Row],[Horas utilizadas]]</f>
        <v>#REF!</v>
      </c>
      <c r="L4976" s="7" t="e">
        <f>Planning[[#This Row],[Saldo]]</f>
        <v>#REF!</v>
      </c>
      <c r="M4976" s="19" t="e">
        <f>Planning[[#This Row],[Saldo]]-Planning[[#This Row],[Saldo estimado]]</f>
        <v>#REF!</v>
      </c>
      <c r="N4976" s="60" t="e">
        <f>+SUMIFS(#REF!,#REF!,Planning[[#This Row],[Proyectos]],#REF!,Planning[[#This Row],[Tipo de Tarea y especialidad]])</f>
        <v>#REF!</v>
      </c>
      <c r="O4976" s="19">
        <f t="shared" si="155"/>
        <v>10</v>
      </c>
      <c r="P4976" s="19">
        <f t="shared" si="156"/>
        <v>2024</v>
      </c>
      <c r="Q49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76" s="34" t="str">
        <f>TEXT(Planning[[#This Row],[Mes]]*29,"mmmm")</f>
        <v>October</v>
      </c>
      <c r="S497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76" s="202"/>
      <c r="U4976" s="43" t="e">
        <f>IF(Planning[[#This Row],[Horas Planificadas]]&lt;&gt;0,+K4976/Planning[[#This Row],[Horas Planificadas]],0)</f>
        <v>#REF!</v>
      </c>
      <c r="V4976" s="43" t="e">
        <f>IF(Planning[[#This Row],[Horas Planificadas]]&lt;&gt;0,Planning[[#This Row],[Horas utilizadas]]/Planning[[#This Row],[Horas Planificadas]],0)</f>
        <v>#REF!</v>
      </c>
      <c r="W4976" s="44">
        <f>Planning[[#This Row],[Horas Planificadas]]+Planning[[#This Row],[Horas ajustadas adicionales]]</f>
        <v>370</v>
      </c>
    </row>
    <row r="4977" spans="1:23" x14ac:dyDescent="0.2">
      <c r="A4977" s="9" t="s">
        <v>204</v>
      </c>
      <c r="B4977" s="9" t="s">
        <v>685</v>
      </c>
      <c r="C4977" s="3">
        <v>117203</v>
      </c>
      <c r="D4977" s="3" t="s">
        <v>855</v>
      </c>
      <c r="E4977" s="4"/>
      <c r="F4977" s="3" t="s">
        <v>130</v>
      </c>
      <c r="G4977" s="9">
        <v>330</v>
      </c>
      <c r="H4977" s="9">
        <v>330</v>
      </c>
      <c r="I4977" s="12"/>
      <c r="J4977" s="5" t="e">
        <f>SUM(SUMIFS(#REF!,#REF!,Planning[[#This Row],[Tipo de Tarea y especialidad]],#REF!,Planning[[#This Row],[Proyectos Reiwa]]),SUMIFS(#REF!,#REF!,Planning[[#This Row],[Tipo de Tarea y especialidad]],#REF!,Planning[[#This Row],[Proyectos]]))</f>
        <v>#REF!</v>
      </c>
      <c r="K4977" s="5" t="e">
        <f>+Planning[[#This Row],[Horas Planificadas]]+Planning[[#This Row],[Horas ajustadas adicionales]]-Planning[[#This Row],[Horas utilizadas]]</f>
        <v>#REF!</v>
      </c>
      <c r="L4977" s="7" t="e">
        <f>Planning[[#This Row],[Saldo]]</f>
        <v>#REF!</v>
      </c>
      <c r="M4977" s="19" t="e">
        <f>Planning[[#This Row],[Saldo]]-Planning[[#This Row],[Saldo estimado]]</f>
        <v>#REF!</v>
      </c>
      <c r="N4977" s="60" t="e">
        <f>+SUMIFS(#REF!,#REF!,Planning[[#This Row],[Proyectos]],#REF!,Planning[[#This Row],[Tipo de Tarea y especialidad]])</f>
        <v>#REF!</v>
      </c>
      <c r="O4977" s="19">
        <f t="shared" si="155"/>
        <v>10</v>
      </c>
      <c r="P4977" s="19">
        <f t="shared" si="156"/>
        <v>2024</v>
      </c>
      <c r="Q49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77" s="34" t="str">
        <f>TEXT(Planning[[#This Row],[Mes]]*29,"mmmm")</f>
        <v>October</v>
      </c>
      <c r="S497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77" s="202"/>
      <c r="U4977" s="43" t="e">
        <f>IF(Planning[[#This Row],[Horas Planificadas]]&lt;&gt;0,+K4977/Planning[[#This Row],[Horas Planificadas]],0)</f>
        <v>#REF!</v>
      </c>
      <c r="V4977" s="43" t="e">
        <f>IF(Planning[[#This Row],[Horas Planificadas]]&lt;&gt;0,Planning[[#This Row],[Horas utilizadas]]/Planning[[#This Row],[Horas Planificadas]],0)</f>
        <v>#REF!</v>
      </c>
      <c r="W4977" s="44">
        <f>Planning[[#This Row],[Horas Planificadas]]+Planning[[#This Row],[Horas ajustadas adicionales]]</f>
        <v>330</v>
      </c>
    </row>
    <row r="4978" spans="1:23" x14ac:dyDescent="0.2">
      <c r="A4978" s="9" t="s">
        <v>204</v>
      </c>
      <c r="B4978" s="9" t="s">
        <v>685</v>
      </c>
      <c r="C4978" s="3">
        <v>117203</v>
      </c>
      <c r="D4978" s="3" t="s">
        <v>855</v>
      </c>
      <c r="E4978" s="4"/>
      <c r="F4978" s="3" t="s">
        <v>131</v>
      </c>
      <c r="G4978" s="9">
        <v>60</v>
      </c>
      <c r="H4978" s="9">
        <v>60</v>
      </c>
      <c r="I4978" s="12"/>
      <c r="J4978" s="5" t="e">
        <f>SUM(SUMIFS(#REF!,#REF!,Planning[[#This Row],[Tipo de Tarea y especialidad]],#REF!,Planning[[#This Row],[Proyectos Reiwa]]),SUMIFS(#REF!,#REF!,Planning[[#This Row],[Tipo de Tarea y especialidad]],#REF!,Planning[[#This Row],[Proyectos]]))</f>
        <v>#REF!</v>
      </c>
      <c r="K4978" s="5" t="e">
        <f>+Planning[[#This Row],[Horas Planificadas]]+Planning[[#This Row],[Horas ajustadas adicionales]]-Planning[[#This Row],[Horas utilizadas]]</f>
        <v>#REF!</v>
      </c>
      <c r="L4978" s="7" t="e">
        <f>Planning[[#This Row],[Saldo]]</f>
        <v>#REF!</v>
      </c>
      <c r="M4978" s="19" t="e">
        <f>Planning[[#This Row],[Saldo]]-Planning[[#This Row],[Saldo estimado]]</f>
        <v>#REF!</v>
      </c>
      <c r="N4978" s="60" t="e">
        <f>+SUMIFS(#REF!,#REF!,Planning[[#This Row],[Proyectos]],#REF!,Planning[[#This Row],[Tipo de Tarea y especialidad]])</f>
        <v>#REF!</v>
      </c>
      <c r="O4978" s="19">
        <f t="shared" si="155"/>
        <v>10</v>
      </c>
      <c r="P4978" s="19">
        <f t="shared" si="156"/>
        <v>2024</v>
      </c>
      <c r="Q49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78" s="34" t="str">
        <f>TEXT(Planning[[#This Row],[Mes]]*29,"mmmm")</f>
        <v>October</v>
      </c>
      <c r="S497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78" s="203"/>
      <c r="U4978" s="43" t="e">
        <f>IF(Planning[[#This Row],[Horas Planificadas]]&lt;&gt;0,+K4978/Planning[[#This Row],[Horas Planificadas]],0)</f>
        <v>#REF!</v>
      </c>
      <c r="V4978" s="43" t="e">
        <f>IF(Planning[[#This Row],[Horas Planificadas]]&lt;&gt;0,Planning[[#This Row],[Horas utilizadas]]/Planning[[#This Row],[Horas Planificadas]],0)</f>
        <v>#REF!</v>
      </c>
      <c r="W4978" s="44">
        <f>Planning[[#This Row],[Horas Planificadas]]+Planning[[#This Row],[Horas ajustadas adicionales]]</f>
        <v>60</v>
      </c>
    </row>
    <row r="4979" spans="1:23" ht="12.75" customHeight="1" x14ac:dyDescent="0.2">
      <c r="A4979" s="9" t="s">
        <v>684</v>
      </c>
      <c r="B4979" s="9" t="s">
        <v>169</v>
      </c>
      <c r="C4979" s="3"/>
      <c r="D4979" s="3" t="s">
        <v>858</v>
      </c>
      <c r="E4979" s="4" t="s">
        <v>28</v>
      </c>
      <c r="F4979" s="3"/>
      <c r="G4979" s="9"/>
      <c r="H4979" s="14">
        <f>SUM(H4980:H4981)</f>
        <v>1046</v>
      </c>
      <c r="I4979" s="14">
        <f>I4980+I4981</f>
        <v>228</v>
      </c>
      <c r="J4979" s="14" t="e">
        <f>SUM(J4980:J4981)</f>
        <v>#REF!</v>
      </c>
      <c r="K4979" s="14" t="e">
        <f>+Planning[[#This Row],[Horas Planificadas]]+Planning[[#This Row],[Horas ajustadas adicionales]]-Planning[[#This Row],[Horas utilizadas]]</f>
        <v>#REF!</v>
      </c>
      <c r="L4979" s="15">
        <f>SUM(L4980:L4981)</f>
        <v>0</v>
      </c>
      <c r="M4979" s="14" t="e">
        <f>SUM(M4980:M4981)</f>
        <v>#REF!</v>
      </c>
      <c r="N4979" s="66"/>
      <c r="O4979" s="14">
        <f t="shared" ref="O4979:O5042" si="157">$L$4</f>
        <v>10</v>
      </c>
      <c r="P4979" s="14">
        <f t="shared" ref="P4979:P5042" si="158">$M$4</f>
        <v>2024</v>
      </c>
      <c r="Q4979" s="28" t="e">
        <f>SUM(Q4980:Q4981)</f>
        <v>#REF!</v>
      </c>
      <c r="R4979" s="14" t="str">
        <f>TEXT(Planning[[#This Row],[Mes]]*29,"mmmm")</f>
        <v>October</v>
      </c>
      <c r="S497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79" s="187" t="s">
        <v>859</v>
      </c>
      <c r="U4979" s="43" t="e">
        <f>IF(Planning[[#This Row],[Horas Planificadas]]&lt;&gt;0,+K4979/Planning[[#This Row],[Horas Planificadas]],0)</f>
        <v>#REF!</v>
      </c>
      <c r="V4979" s="43" t="e">
        <f>IF(Planning[[#This Row],[Horas Planificadas]]&lt;&gt;0,Planning[[#This Row],[Horas utilizadas]]/Planning[[#This Row],[Horas Planificadas]],0)</f>
        <v>#REF!</v>
      </c>
      <c r="W4979" s="44">
        <f>Planning[[#This Row],[Horas Planificadas]]+Planning[[#This Row],[Horas ajustadas adicionales]]</f>
        <v>1274</v>
      </c>
    </row>
    <row r="4980" spans="1:23" x14ac:dyDescent="0.2">
      <c r="A4980" s="9" t="s">
        <v>684</v>
      </c>
      <c r="B4980" s="9" t="s">
        <v>169</v>
      </c>
      <c r="C4980" s="3"/>
      <c r="D4980" s="3" t="s">
        <v>858</v>
      </c>
      <c r="E4980" s="4"/>
      <c r="F4980" s="3" t="s">
        <v>120</v>
      </c>
      <c r="G4980" s="9">
        <v>610</v>
      </c>
      <c r="H4980" s="9">
        <v>610</v>
      </c>
      <c r="I4980" s="12">
        <v>228</v>
      </c>
      <c r="J4980" s="5" t="e">
        <f>SUM(SUMIFS(#REF!,#REF!,Planning[[#This Row],[Tipo de Tarea y especialidad]],#REF!,Planning[[#This Row],[Proyectos Reiwa]]),SUMIFS(#REF!,#REF!,Planning[[#This Row],[Tipo de Tarea y especialidad]],#REF!,Planning[[#This Row],[Proyectos]]))</f>
        <v>#REF!</v>
      </c>
      <c r="K4980" s="5" t="e">
        <f>+Planning[[#This Row],[Horas Planificadas]]+Planning[[#This Row],[Horas ajustadas adicionales]]-Planning[[#This Row],[Horas utilizadas]]</f>
        <v>#REF!</v>
      </c>
      <c r="L4980" s="7">
        <v>0</v>
      </c>
      <c r="M4980" s="19" t="e">
        <f>Planning[[#This Row],[Saldo]]-Planning[[#This Row],[Saldo estimado]]</f>
        <v>#REF!</v>
      </c>
      <c r="N4980" s="60" t="e">
        <f>+SUMIFS(#REF!,#REF!,Planning[[#This Row],[Proyectos]],#REF!,Planning[[#This Row],[Tipo de Tarea y especialidad]])</f>
        <v>#REF!</v>
      </c>
      <c r="O4980" s="19">
        <f t="shared" si="157"/>
        <v>10</v>
      </c>
      <c r="P4980" s="19">
        <f t="shared" si="158"/>
        <v>2024</v>
      </c>
      <c r="Q49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80" s="34" t="str">
        <f>TEXT(Planning[[#This Row],[Mes]]*29,"mmmm")</f>
        <v>October</v>
      </c>
      <c r="S498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80" s="188"/>
      <c r="U4980" s="43" t="e">
        <f>IF(Planning[[#This Row],[Horas Planificadas]]&lt;&gt;0,+K4980/Planning[[#This Row],[Horas Planificadas]],0)</f>
        <v>#REF!</v>
      </c>
      <c r="V4980" s="43" t="e">
        <f>IF(Planning[[#This Row],[Horas Planificadas]]&lt;&gt;0,Planning[[#This Row],[Horas utilizadas]]/Planning[[#This Row],[Horas Planificadas]],0)</f>
        <v>#REF!</v>
      </c>
      <c r="W4980" s="44">
        <f>Planning[[#This Row],[Horas Planificadas]]+Planning[[#This Row],[Horas ajustadas adicionales]]</f>
        <v>838</v>
      </c>
    </row>
    <row r="4981" spans="1:23" x14ac:dyDescent="0.2">
      <c r="A4981" s="9" t="s">
        <v>684</v>
      </c>
      <c r="B4981" s="9" t="s">
        <v>169</v>
      </c>
      <c r="C4981" s="3"/>
      <c r="D4981" s="3" t="s">
        <v>858</v>
      </c>
      <c r="E4981" s="4"/>
      <c r="F4981" s="3" t="s">
        <v>121</v>
      </c>
      <c r="G4981" s="9">
        <v>436</v>
      </c>
      <c r="H4981" s="9">
        <v>436</v>
      </c>
      <c r="I4981" s="12"/>
      <c r="J4981" s="5" t="e">
        <f>SUM(SUMIFS(#REF!,#REF!,Planning[[#This Row],[Tipo de Tarea y especialidad]],#REF!,Planning[[#This Row],[Proyectos Reiwa]]),SUMIFS(#REF!,#REF!,Planning[[#This Row],[Tipo de Tarea y especialidad]],#REF!,Planning[[#This Row],[Proyectos]]))</f>
        <v>#REF!</v>
      </c>
      <c r="K4981" s="5" t="e">
        <f>+Planning[[#This Row],[Horas Planificadas]]+Planning[[#This Row],[Horas ajustadas adicionales]]-Planning[[#This Row],[Horas utilizadas]]</f>
        <v>#REF!</v>
      </c>
      <c r="L4981" s="7">
        <v>0</v>
      </c>
      <c r="M4981" s="19" t="e">
        <f>Planning[[#This Row],[Saldo]]-Planning[[#This Row],[Saldo estimado]]</f>
        <v>#REF!</v>
      </c>
      <c r="N4981" s="60" t="e">
        <f>+SUMIFS(#REF!,#REF!,Planning[[#This Row],[Proyectos]],#REF!,Planning[[#This Row],[Tipo de Tarea y especialidad]])</f>
        <v>#REF!</v>
      </c>
      <c r="O4981" s="19">
        <f t="shared" si="157"/>
        <v>10</v>
      </c>
      <c r="P4981" s="19">
        <f t="shared" si="158"/>
        <v>2024</v>
      </c>
      <c r="Q49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81" s="34" t="str">
        <f>TEXT(Planning[[#This Row],[Mes]]*29,"mmmm")</f>
        <v>October</v>
      </c>
      <c r="S498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81" s="188"/>
      <c r="U4981" s="43" t="e">
        <f>IF(Planning[[#This Row],[Horas Planificadas]]&lt;&gt;0,+K4981/Planning[[#This Row],[Horas Planificadas]],0)</f>
        <v>#REF!</v>
      </c>
      <c r="V4981" s="43" t="e">
        <f>IF(Planning[[#This Row],[Horas Planificadas]]&lt;&gt;0,Planning[[#This Row],[Horas utilizadas]]/Planning[[#This Row],[Horas Planificadas]],0)</f>
        <v>#REF!</v>
      </c>
      <c r="W4981" s="44">
        <f>Planning[[#This Row],[Horas Planificadas]]+Planning[[#This Row],[Horas ajustadas adicionales]]</f>
        <v>436</v>
      </c>
    </row>
    <row r="4982" spans="1:23" x14ac:dyDescent="0.2">
      <c r="A4982" s="9" t="s">
        <v>684</v>
      </c>
      <c r="B4982" s="9" t="s">
        <v>169</v>
      </c>
      <c r="C4982" s="3"/>
      <c r="D4982" s="3" t="s">
        <v>858</v>
      </c>
      <c r="E4982" s="4" t="s">
        <v>30</v>
      </c>
      <c r="F4982" s="3"/>
      <c r="G4982" s="9"/>
      <c r="H4982" s="14">
        <f>SUM(H4983:H4989)</f>
        <v>950</v>
      </c>
      <c r="I4982" s="14">
        <f>I4983+I4984+I4986+I4987</f>
        <v>315</v>
      </c>
      <c r="J4982" s="14" t="e">
        <f>SUM(J4983:J4989)</f>
        <v>#REF!</v>
      </c>
      <c r="K4982" s="14" t="e">
        <f>+Planning[[#This Row],[Horas Planificadas]]+Planning[[#This Row],[Horas ajustadas adicionales]]-Planning[[#This Row],[Horas utilizadas]]</f>
        <v>#REF!</v>
      </c>
      <c r="L4982" s="15" t="e">
        <f>SUM(L4983:L4989)</f>
        <v>#REF!</v>
      </c>
      <c r="M4982" s="16" t="e">
        <f>SUM(M4983:M4989)</f>
        <v>#REF!</v>
      </c>
      <c r="N4982" s="60"/>
      <c r="O4982" s="16">
        <f t="shared" si="157"/>
        <v>10</v>
      </c>
      <c r="P4982" s="16">
        <f t="shared" si="158"/>
        <v>2024</v>
      </c>
      <c r="Q4982" s="16" t="e">
        <f>SUM(Q4983:Q4989)</f>
        <v>#REF!</v>
      </c>
      <c r="R4982" s="35" t="str">
        <f>TEXT(Planning[[#This Row],[Mes]]*29,"mmmm")</f>
        <v>October</v>
      </c>
      <c r="S498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82" s="188"/>
      <c r="U4982" s="43" t="e">
        <f>IF(Planning[[#This Row],[Horas Planificadas]]&lt;&gt;0,+K4982/Planning[[#This Row],[Horas Planificadas]],0)</f>
        <v>#REF!</v>
      </c>
      <c r="V4982" s="43" t="e">
        <f>IF(Planning[[#This Row],[Horas Planificadas]]&lt;&gt;0,Planning[[#This Row],[Horas utilizadas]]/Planning[[#This Row],[Horas Planificadas]],0)</f>
        <v>#REF!</v>
      </c>
      <c r="W4982" s="44">
        <f>Planning[[#This Row],[Horas Planificadas]]+Planning[[#This Row],[Horas ajustadas adicionales]]</f>
        <v>1265</v>
      </c>
    </row>
    <row r="4983" spans="1:23" x14ac:dyDescent="0.2">
      <c r="A4983" s="9" t="s">
        <v>684</v>
      </c>
      <c r="B4983" s="9" t="s">
        <v>169</v>
      </c>
      <c r="C4983" s="3"/>
      <c r="D4983" s="3" t="s">
        <v>858</v>
      </c>
      <c r="E4983" s="4"/>
      <c r="F4983" s="3" t="s">
        <v>122</v>
      </c>
      <c r="G4983" s="9">
        <v>162</v>
      </c>
      <c r="H4983" s="9">
        <v>162</v>
      </c>
      <c r="I4983" s="12">
        <v>36</v>
      </c>
      <c r="J4983" s="5" t="e">
        <f>SUM(SUMIFS(#REF!,#REF!,Planning[[#This Row],[Tipo de Tarea y especialidad]],#REF!,Planning[[#This Row],[Proyectos Reiwa]]),SUMIFS(#REF!,#REF!,Planning[[#This Row],[Tipo de Tarea y especialidad]],#REF!,Planning[[#This Row],[Proyectos]]))</f>
        <v>#REF!</v>
      </c>
      <c r="K4983" s="5" t="e">
        <f>+Planning[[#This Row],[Horas Planificadas]]+Planning[[#This Row],[Horas ajustadas adicionales]]-Planning[[#This Row],[Horas utilizadas]]</f>
        <v>#REF!</v>
      </c>
      <c r="L4983" s="7">
        <v>0</v>
      </c>
      <c r="M4983" s="19" t="e">
        <f>Planning[[#This Row],[Saldo]]-Planning[[#This Row],[Saldo estimado]]</f>
        <v>#REF!</v>
      </c>
      <c r="N4983" s="60" t="e">
        <f>+SUMIFS(#REF!,#REF!,Planning[[#This Row],[Proyectos]],#REF!,Planning[[#This Row],[Tipo de Tarea y especialidad]])</f>
        <v>#REF!</v>
      </c>
      <c r="O4983" s="19">
        <f t="shared" si="157"/>
        <v>10</v>
      </c>
      <c r="P4983" s="19">
        <f t="shared" si="158"/>
        <v>2024</v>
      </c>
      <c r="Q49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83" s="34" t="str">
        <f>TEXT(Planning[[#This Row],[Mes]]*29,"mmmm")</f>
        <v>October</v>
      </c>
      <c r="S498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83" s="188"/>
      <c r="U4983" s="43" t="e">
        <f>IF(Planning[[#This Row],[Horas Planificadas]]&lt;&gt;0,+K4983/Planning[[#This Row],[Horas Planificadas]],0)</f>
        <v>#REF!</v>
      </c>
      <c r="V4983" s="43" t="e">
        <f>IF(Planning[[#This Row],[Horas Planificadas]]&lt;&gt;0,Planning[[#This Row],[Horas utilizadas]]/Planning[[#This Row],[Horas Planificadas]],0)</f>
        <v>#REF!</v>
      </c>
      <c r="W4983" s="44">
        <f>Planning[[#This Row],[Horas Planificadas]]+Planning[[#This Row],[Horas ajustadas adicionales]]</f>
        <v>198</v>
      </c>
    </row>
    <row r="4984" spans="1:23" x14ac:dyDescent="0.2">
      <c r="A4984" s="9" t="s">
        <v>684</v>
      </c>
      <c r="B4984" s="9" t="s">
        <v>169</v>
      </c>
      <c r="C4984" s="3"/>
      <c r="D4984" s="3" t="s">
        <v>858</v>
      </c>
      <c r="E4984" s="4"/>
      <c r="F4984" s="3" t="s">
        <v>123</v>
      </c>
      <c r="G4984" s="9">
        <v>198</v>
      </c>
      <c r="H4984" s="9">
        <v>198</v>
      </c>
      <c r="I4984" s="12"/>
      <c r="J4984" s="5" t="e">
        <f>SUM(SUMIFS(#REF!,#REF!,Planning[[#This Row],[Tipo de Tarea y especialidad]],#REF!,Planning[[#This Row],[Proyectos Reiwa]]),SUMIFS(#REF!,#REF!,Planning[[#This Row],[Tipo de Tarea y especialidad]],#REF!,Planning[[#This Row],[Proyectos]]))</f>
        <v>#REF!</v>
      </c>
      <c r="K4984" s="5" t="e">
        <f>+Planning[[#This Row],[Horas Planificadas]]+Planning[[#This Row],[Horas ajustadas adicionales]]-Planning[[#This Row],[Horas utilizadas]]</f>
        <v>#REF!</v>
      </c>
      <c r="L4984" s="7">
        <v>0</v>
      </c>
      <c r="M4984" s="19" t="e">
        <f>Planning[[#This Row],[Saldo]]-Planning[[#This Row],[Saldo estimado]]</f>
        <v>#REF!</v>
      </c>
      <c r="N4984" s="60" t="e">
        <f>+SUMIFS(#REF!,#REF!,Planning[[#This Row],[Proyectos]],#REF!,Planning[[#This Row],[Tipo de Tarea y especialidad]])</f>
        <v>#REF!</v>
      </c>
      <c r="O4984" s="19">
        <f t="shared" si="157"/>
        <v>10</v>
      </c>
      <c r="P4984" s="19">
        <f t="shared" si="158"/>
        <v>2024</v>
      </c>
      <c r="Q49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84" s="34" t="str">
        <f>TEXT(Planning[[#This Row],[Mes]]*29,"mmmm")</f>
        <v>October</v>
      </c>
      <c r="S498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84" s="188"/>
      <c r="U4984" s="43" t="e">
        <f>IF(Planning[[#This Row],[Horas Planificadas]]&lt;&gt;0,+K4984/Planning[[#This Row],[Horas Planificadas]],0)</f>
        <v>#REF!</v>
      </c>
      <c r="V4984" s="43" t="e">
        <f>IF(Planning[[#This Row],[Horas Planificadas]]&lt;&gt;0,Planning[[#This Row],[Horas utilizadas]]/Planning[[#This Row],[Horas Planificadas]],0)</f>
        <v>#REF!</v>
      </c>
      <c r="W4984" s="44">
        <f>Planning[[#This Row],[Horas Planificadas]]+Planning[[#This Row],[Horas ajustadas adicionales]]</f>
        <v>198</v>
      </c>
    </row>
    <row r="4985" spans="1:23" x14ac:dyDescent="0.2">
      <c r="A4985" s="9" t="s">
        <v>684</v>
      </c>
      <c r="B4985" s="9" t="s">
        <v>169</v>
      </c>
      <c r="C4985" s="3"/>
      <c r="D4985" s="3" t="s">
        <v>858</v>
      </c>
      <c r="E4985" s="4"/>
      <c r="F4985" s="3" t="s">
        <v>124</v>
      </c>
      <c r="G4985" s="9">
        <v>0</v>
      </c>
      <c r="H4985" s="9"/>
      <c r="I4985" s="12"/>
      <c r="J4985" s="5" t="e">
        <f>SUM(SUMIFS(#REF!,#REF!,Planning[[#This Row],[Tipo de Tarea y especialidad]],#REF!,Planning[[#This Row],[Proyectos Reiwa]]),SUMIFS(#REF!,#REF!,Planning[[#This Row],[Tipo de Tarea y especialidad]],#REF!,Planning[[#This Row],[Proyectos]]))</f>
        <v>#REF!</v>
      </c>
      <c r="K4985" s="5" t="e">
        <f>+Planning[[#This Row],[Horas Planificadas]]+Planning[[#This Row],[Horas ajustadas adicionales]]-Planning[[#This Row],[Horas utilizadas]]</f>
        <v>#REF!</v>
      </c>
      <c r="L4985" s="7" t="e">
        <f>Planning[[#This Row],[Saldo]]</f>
        <v>#REF!</v>
      </c>
      <c r="M4985" s="19" t="e">
        <f>Planning[[#This Row],[Saldo]]-Planning[[#This Row],[Saldo estimado]]</f>
        <v>#REF!</v>
      </c>
      <c r="N4985" s="60" t="e">
        <f>+SUMIFS(#REF!,#REF!,Planning[[#This Row],[Proyectos]],#REF!,Planning[[#This Row],[Tipo de Tarea y especialidad]])</f>
        <v>#REF!</v>
      </c>
      <c r="O4985" s="19">
        <f t="shared" si="157"/>
        <v>10</v>
      </c>
      <c r="P4985" s="19">
        <f t="shared" si="158"/>
        <v>2024</v>
      </c>
      <c r="Q49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85" s="34" t="str">
        <f>TEXT(Planning[[#This Row],[Mes]]*29,"mmmm")</f>
        <v>October</v>
      </c>
      <c r="S498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85" s="188"/>
      <c r="U4985" s="43">
        <f>IF(Planning[[#This Row],[Horas Planificadas]]&lt;&gt;0,+K4985/Planning[[#This Row],[Horas Planificadas]],0)</f>
        <v>0</v>
      </c>
      <c r="V4985" s="43">
        <f>IF(Planning[[#This Row],[Horas Planificadas]]&lt;&gt;0,Planning[[#This Row],[Horas utilizadas]]/Planning[[#This Row],[Horas Planificadas]],0)</f>
        <v>0</v>
      </c>
      <c r="W4985" s="44">
        <f>Planning[[#This Row],[Horas Planificadas]]+Planning[[#This Row],[Horas ajustadas adicionales]]</f>
        <v>0</v>
      </c>
    </row>
    <row r="4986" spans="1:23" x14ac:dyDescent="0.2">
      <c r="A4986" s="9" t="s">
        <v>684</v>
      </c>
      <c r="B4986" s="9" t="s">
        <v>169</v>
      </c>
      <c r="C4986" s="3"/>
      <c r="D4986" s="3" t="s">
        <v>858</v>
      </c>
      <c r="E4986" s="4"/>
      <c r="F4986" s="3" t="s">
        <v>125</v>
      </c>
      <c r="G4986" s="9">
        <v>189</v>
      </c>
      <c r="H4986" s="9">
        <v>189</v>
      </c>
      <c r="I4986" s="12">
        <v>189</v>
      </c>
      <c r="J4986" s="5" t="e">
        <f>SUM(SUMIFS(#REF!,#REF!,Planning[[#This Row],[Tipo de Tarea y especialidad]],#REF!,Planning[[#This Row],[Proyectos Reiwa]]),SUMIFS(#REF!,#REF!,Planning[[#This Row],[Tipo de Tarea y especialidad]],#REF!,Planning[[#This Row],[Proyectos]]))</f>
        <v>#REF!</v>
      </c>
      <c r="K4986" s="5" t="e">
        <f>+Planning[[#This Row],[Horas Planificadas]]+Planning[[#This Row],[Horas ajustadas adicionales]]-Planning[[#This Row],[Horas utilizadas]]</f>
        <v>#REF!</v>
      </c>
      <c r="L4986" s="7">
        <v>0</v>
      </c>
      <c r="M4986" s="19" t="e">
        <f>Planning[[#This Row],[Saldo]]-Planning[[#This Row],[Saldo estimado]]</f>
        <v>#REF!</v>
      </c>
      <c r="N4986" s="60" t="e">
        <f>+SUMIFS(#REF!,#REF!,Planning[[#This Row],[Proyectos]],#REF!,Planning[[#This Row],[Tipo de Tarea y especialidad]])</f>
        <v>#REF!</v>
      </c>
      <c r="O4986" s="19">
        <f t="shared" si="157"/>
        <v>10</v>
      </c>
      <c r="P4986" s="19">
        <f t="shared" si="158"/>
        <v>2024</v>
      </c>
      <c r="Q49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86" s="34" t="str">
        <f>TEXT(Planning[[#This Row],[Mes]]*29,"mmmm")</f>
        <v>October</v>
      </c>
      <c r="S498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86" s="188"/>
      <c r="U4986" s="43" t="e">
        <f>IF(Planning[[#This Row],[Horas Planificadas]]&lt;&gt;0,+K4986/Planning[[#This Row],[Horas Planificadas]],0)</f>
        <v>#REF!</v>
      </c>
      <c r="V4986" s="43" t="e">
        <f>IF(Planning[[#This Row],[Horas Planificadas]]&lt;&gt;0,Planning[[#This Row],[Horas utilizadas]]/Planning[[#This Row],[Horas Planificadas]],0)</f>
        <v>#REF!</v>
      </c>
      <c r="W4986" s="44">
        <f>Planning[[#This Row],[Horas Planificadas]]+Planning[[#This Row],[Horas ajustadas adicionales]]</f>
        <v>378</v>
      </c>
    </row>
    <row r="4987" spans="1:23" x14ac:dyDescent="0.2">
      <c r="A4987" s="9" t="s">
        <v>684</v>
      </c>
      <c r="B4987" s="9" t="s">
        <v>169</v>
      </c>
      <c r="C4987" s="3"/>
      <c r="D4987" s="3" t="s">
        <v>858</v>
      </c>
      <c r="E4987" s="4"/>
      <c r="F4987" s="3" t="s">
        <v>126</v>
      </c>
      <c r="G4987" s="9">
        <v>302</v>
      </c>
      <c r="H4987" s="9">
        <v>302</v>
      </c>
      <c r="I4987" s="12">
        <v>90</v>
      </c>
      <c r="J4987" s="5" t="e">
        <f>SUM(SUMIFS(#REF!,#REF!,Planning[[#This Row],[Tipo de Tarea y especialidad]],#REF!,Planning[[#This Row],[Proyectos Reiwa]]),SUMIFS(#REF!,#REF!,Planning[[#This Row],[Tipo de Tarea y especialidad]],#REF!,Planning[[#This Row],[Proyectos]]))</f>
        <v>#REF!</v>
      </c>
      <c r="K4987" s="5" t="e">
        <f>+Planning[[#This Row],[Horas Planificadas]]+Planning[[#This Row],[Horas ajustadas adicionales]]-Planning[[#This Row],[Horas utilizadas]]</f>
        <v>#REF!</v>
      </c>
      <c r="L4987" s="7">
        <v>0</v>
      </c>
      <c r="M4987" s="19" t="e">
        <f>Planning[[#This Row],[Saldo]]-Planning[[#This Row],[Saldo estimado]]</f>
        <v>#REF!</v>
      </c>
      <c r="N4987" s="60" t="e">
        <f>+SUMIFS(#REF!,#REF!,Planning[[#This Row],[Proyectos]],#REF!,Planning[[#This Row],[Tipo de Tarea y especialidad]])</f>
        <v>#REF!</v>
      </c>
      <c r="O4987" s="19">
        <f t="shared" si="157"/>
        <v>10</v>
      </c>
      <c r="P4987" s="19">
        <f t="shared" si="158"/>
        <v>2024</v>
      </c>
      <c r="Q49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87" s="34" t="str">
        <f>TEXT(Planning[[#This Row],[Mes]]*29,"mmmm")</f>
        <v>October</v>
      </c>
      <c r="S498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87" s="188"/>
      <c r="U4987" s="43" t="e">
        <f>IF(Planning[[#This Row],[Horas Planificadas]]&lt;&gt;0,+K4987/Planning[[#This Row],[Horas Planificadas]],0)</f>
        <v>#REF!</v>
      </c>
      <c r="V4987" s="43" t="e">
        <f>IF(Planning[[#This Row],[Horas Planificadas]]&lt;&gt;0,Planning[[#This Row],[Horas utilizadas]]/Planning[[#This Row],[Horas Planificadas]],0)</f>
        <v>#REF!</v>
      </c>
      <c r="W4987" s="44">
        <f>Planning[[#This Row],[Horas Planificadas]]+Planning[[#This Row],[Horas ajustadas adicionales]]</f>
        <v>392</v>
      </c>
    </row>
    <row r="4988" spans="1:23" x14ac:dyDescent="0.2">
      <c r="A4988" s="9" t="s">
        <v>684</v>
      </c>
      <c r="B4988" s="9" t="s">
        <v>169</v>
      </c>
      <c r="C4988" s="3"/>
      <c r="D4988" s="3" t="s">
        <v>858</v>
      </c>
      <c r="E4988" s="4"/>
      <c r="F4988" s="3" t="s">
        <v>127</v>
      </c>
      <c r="G4988" s="9">
        <v>99</v>
      </c>
      <c r="H4988" s="9">
        <v>99</v>
      </c>
      <c r="I4988" s="12"/>
      <c r="J4988" s="5" t="e">
        <f>SUM(SUMIFS(#REF!,#REF!,Planning[[#This Row],[Tipo de Tarea y especialidad]],#REF!,Planning[[#This Row],[Proyectos Reiwa]]),SUMIFS(#REF!,#REF!,Planning[[#This Row],[Tipo de Tarea y especialidad]],#REF!,Planning[[#This Row],[Proyectos]]))</f>
        <v>#REF!</v>
      </c>
      <c r="K4988" s="5" t="e">
        <f>+Planning[[#This Row],[Horas Planificadas]]+Planning[[#This Row],[Horas ajustadas adicionales]]-Planning[[#This Row],[Horas utilizadas]]</f>
        <v>#REF!</v>
      </c>
      <c r="L4988" s="7">
        <v>0</v>
      </c>
      <c r="M4988" s="19" t="e">
        <f>Planning[[#This Row],[Saldo]]-Planning[[#This Row],[Saldo estimado]]</f>
        <v>#REF!</v>
      </c>
      <c r="N4988" s="60" t="e">
        <f>+SUMIFS(#REF!,#REF!,Planning[[#This Row],[Proyectos]],#REF!,Planning[[#This Row],[Tipo de Tarea y especialidad]])</f>
        <v>#REF!</v>
      </c>
      <c r="O4988" s="19">
        <f t="shared" si="157"/>
        <v>10</v>
      </c>
      <c r="P4988" s="19">
        <f t="shared" si="158"/>
        <v>2024</v>
      </c>
      <c r="Q49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88" s="34" t="str">
        <f>TEXT(Planning[[#This Row],[Mes]]*29,"mmmm")</f>
        <v>October</v>
      </c>
      <c r="S498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88" s="188"/>
      <c r="U4988" s="43" t="e">
        <f>IF(Planning[[#This Row],[Horas Planificadas]]&lt;&gt;0,+K4988/Planning[[#This Row],[Horas Planificadas]],0)</f>
        <v>#REF!</v>
      </c>
      <c r="V4988" s="43" t="e">
        <f>IF(Planning[[#This Row],[Horas Planificadas]]&lt;&gt;0,Planning[[#This Row],[Horas utilizadas]]/Planning[[#This Row],[Horas Planificadas]],0)</f>
        <v>#REF!</v>
      </c>
      <c r="W4988" s="44">
        <f>Planning[[#This Row],[Horas Planificadas]]+Planning[[#This Row],[Horas ajustadas adicionales]]</f>
        <v>99</v>
      </c>
    </row>
    <row r="4989" spans="1:23" x14ac:dyDescent="0.2">
      <c r="A4989" s="9" t="s">
        <v>684</v>
      </c>
      <c r="B4989" s="9" t="s">
        <v>169</v>
      </c>
      <c r="C4989" s="3"/>
      <c r="D4989" s="3" t="s">
        <v>858</v>
      </c>
      <c r="E4989" s="4"/>
      <c r="F4989" s="3" t="s">
        <v>128</v>
      </c>
      <c r="G4989" s="9">
        <v>0</v>
      </c>
      <c r="H4989" s="9"/>
      <c r="I4989" s="12"/>
      <c r="J4989" s="5" t="e">
        <f>SUM(SUMIFS(#REF!,#REF!,Planning[[#This Row],[Tipo de Tarea y especialidad]],#REF!,Planning[[#This Row],[Proyectos Reiwa]]),SUMIFS(#REF!,#REF!,Planning[[#This Row],[Tipo de Tarea y especialidad]],#REF!,Planning[[#This Row],[Proyectos]]))</f>
        <v>#REF!</v>
      </c>
      <c r="K4989" s="5" t="e">
        <f>+Planning[[#This Row],[Horas Planificadas]]+Planning[[#This Row],[Horas ajustadas adicionales]]-Planning[[#This Row],[Horas utilizadas]]</f>
        <v>#REF!</v>
      </c>
      <c r="L4989" s="7" t="e">
        <f>Planning[[#This Row],[Saldo]]</f>
        <v>#REF!</v>
      </c>
      <c r="M4989" s="19" t="e">
        <f>Planning[[#This Row],[Saldo]]-Planning[[#This Row],[Saldo estimado]]</f>
        <v>#REF!</v>
      </c>
      <c r="N4989" s="60" t="e">
        <f>+SUMIFS(#REF!,#REF!,Planning[[#This Row],[Proyectos]],#REF!,Planning[[#This Row],[Tipo de Tarea y especialidad]])</f>
        <v>#REF!</v>
      </c>
      <c r="O4989" s="19">
        <f t="shared" si="157"/>
        <v>10</v>
      </c>
      <c r="P4989" s="19">
        <f t="shared" si="158"/>
        <v>2024</v>
      </c>
      <c r="Q49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89" s="34" t="str">
        <f>TEXT(Planning[[#This Row],[Mes]]*29,"mmmm")</f>
        <v>October</v>
      </c>
      <c r="S498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89" s="188"/>
      <c r="U4989" s="43">
        <f>IF(Planning[[#This Row],[Horas Planificadas]]&lt;&gt;0,+K4989/Planning[[#This Row],[Horas Planificadas]],0)</f>
        <v>0</v>
      </c>
      <c r="V4989" s="43">
        <f>IF(Planning[[#This Row],[Horas Planificadas]]&lt;&gt;0,Planning[[#This Row],[Horas utilizadas]]/Planning[[#This Row],[Horas Planificadas]],0)</f>
        <v>0</v>
      </c>
      <c r="W4989" s="44">
        <f>Planning[[#This Row],[Horas Planificadas]]+Planning[[#This Row],[Horas ajustadas adicionales]]</f>
        <v>0</v>
      </c>
    </row>
    <row r="4990" spans="1:23" x14ac:dyDescent="0.2">
      <c r="A4990" s="9" t="s">
        <v>684</v>
      </c>
      <c r="B4990" s="9" t="s">
        <v>169</v>
      </c>
      <c r="C4990" s="3"/>
      <c r="D4990" s="3" t="s">
        <v>858</v>
      </c>
      <c r="E4990" s="4" t="s">
        <v>31</v>
      </c>
      <c r="F4990" s="3" t="s">
        <v>31</v>
      </c>
      <c r="G4990" s="9"/>
      <c r="H4990" s="17"/>
      <c r="I4990" s="18"/>
      <c r="J4990" s="14" t="e">
        <f>+SUMIFS(#REF!,#REF!,Planning[[#This Row],[Tarifa]],#REF!,Planning[[#This Row],[Proyectos]])</f>
        <v>#REF!</v>
      </c>
      <c r="K4990" s="14" t="e">
        <f>+Planning[[#This Row],[Horas Planificadas]]+Planning[[#This Row],[Horas ajustadas adicionales]]-Planning[[#This Row],[Horas utilizadas]]</f>
        <v>#REF!</v>
      </c>
      <c r="L4990" s="15" t="e">
        <f>Planning[[#This Row],[Saldo]]</f>
        <v>#REF!</v>
      </c>
      <c r="M4990" s="16" t="e">
        <f>Planning[[#This Row],[Saldo]]-Planning[[#This Row],[Saldo estimado]]</f>
        <v>#REF!</v>
      </c>
      <c r="N4990" s="60"/>
      <c r="O4990" s="16">
        <f t="shared" si="157"/>
        <v>10</v>
      </c>
      <c r="P4990" s="16">
        <f t="shared" si="158"/>
        <v>2024</v>
      </c>
      <c r="Q4990" s="16" t="e">
        <f>+SUMIFS(#REF!,#REF!,Planning[[#This Row],[Tarifa]],#REF!,Planning[[#This Row],[Proyectos]],#REF!,Planning[[#This Row],[Mes]],#REF!,Planning[[#This Row],[Año]])</f>
        <v>#REF!</v>
      </c>
      <c r="R4990" s="35" t="str">
        <f>TEXT(Planning[[#This Row],[Mes]]*29,"mmmm")</f>
        <v>October</v>
      </c>
      <c r="S499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90" s="188"/>
      <c r="U4990" s="43">
        <f>IF(Planning[[#This Row],[Horas Planificadas]]&lt;&gt;0,+K4990/Planning[[#This Row],[Horas Planificadas]],0)</f>
        <v>0</v>
      </c>
      <c r="V4990" s="43">
        <f>IF(Planning[[#This Row],[Horas Planificadas]]&lt;&gt;0,Planning[[#This Row],[Horas utilizadas]]/Planning[[#This Row],[Horas Planificadas]],0)</f>
        <v>0</v>
      </c>
      <c r="W4990" s="44">
        <f>Planning[[#This Row],[Horas Planificadas]]+Planning[[#This Row],[Horas ajustadas adicionales]]</f>
        <v>0</v>
      </c>
    </row>
    <row r="4991" spans="1:23" ht="22.5" x14ac:dyDescent="0.2">
      <c r="A4991" s="9" t="s">
        <v>684</v>
      </c>
      <c r="B4991" s="9" t="s">
        <v>169</v>
      </c>
      <c r="C4991" s="3"/>
      <c r="D4991" s="3" t="s">
        <v>858</v>
      </c>
      <c r="E4991" s="4" t="s">
        <v>32</v>
      </c>
      <c r="F4991" s="3"/>
      <c r="G4991" s="9"/>
      <c r="H4991" s="14">
        <f>SUM(H4992:H4994)</f>
        <v>385</v>
      </c>
      <c r="I4991" s="14"/>
      <c r="J4991" s="14" t="e">
        <f>SUM(J4992:J4994)</f>
        <v>#REF!</v>
      </c>
      <c r="K4991" s="14" t="e">
        <f>+Planning[[#This Row],[Horas Planificadas]]+Planning[[#This Row],[Horas ajustadas adicionales]]-Planning[[#This Row],[Horas utilizadas]]</f>
        <v>#REF!</v>
      </c>
      <c r="L4991" s="15" t="e">
        <f>SUM(L4992:L4994)</f>
        <v>#REF!</v>
      </c>
      <c r="M4991" s="16" t="e">
        <f>SUM(M4992:M4994)</f>
        <v>#REF!</v>
      </c>
      <c r="N4991" s="60"/>
      <c r="O4991" s="16">
        <f t="shared" si="157"/>
        <v>10</v>
      </c>
      <c r="P4991" s="16">
        <f t="shared" si="158"/>
        <v>2024</v>
      </c>
      <c r="Q4991" s="16" t="e">
        <f>SUM(Q4992:Q4994)</f>
        <v>#REF!</v>
      </c>
      <c r="R4991" s="35" t="str">
        <f>TEXT(Planning[[#This Row],[Mes]]*29,"mmmm")</f>
        <v>October</v>
      </c>
      <c r="S499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91" s="188"/>
      <c r="U4991" s="43" t="e">
        <f>IF(Planning[[#This Row],[Horas Planificadas]]&lt;&gt;0,+K4991/Planning[[#This Row],[Horas Planificadas]],0)</f>
        <v>#REF!</v>
      </c>
      <c r="V4991" s="43" t="e">
        <f>IF(Planning[[#This Row],[Horas Planificadas]]&lt;&gt;0,Planning[[#This Row],[Horas utilizadas]]/Planning[[#This Row],[Horas Planificadas]],0)</f>
        <v>#REF!</v>
      </c>
      <c r="W4991" s="44">
        <f>Planning[[#This Row],[Horas Planificadas]]+Planning[[#This Row],[Horas ajustadas adicionales]]</f>
        <v>385</v>
      </c>
    </row>
    <row r="4992" spans="1:23" x14ac:dyDescent="0.2">
      <c r="A4992" s="9" t="s">
        <v>684</v>
      </c>
      <c r="B4992" s="9" t="s">
        <v>169</v>
      </c>
      <c r="C4992" s="3"/>
      <c r="D4992" s="3" t="s">
        <v>858</v>
      </c>
      <c r="E4992" s="4"/>
      <c r="F4992" s="3" t="s">
        <v>129</v>
      </c>
      <c r="G4992" s="9">
        <v>365</v>
      </c>
      <c r="H4992" s="9">
        <v>365</v>
      </c>
      <c r="I4992" s="12"/>
      <c r="J4992" s="5" t="e">
        <f>SUM(SUMIFS(#REF!,#REF!,Planning[[#This Row],[Tipo de Tarea y especialidad]],#REF!,Planning[[#This Row],[Proyectos Reiwa]]),SUMIFS(#REF!,#REF!,Planning[[#This Row],[Tipo de Tarea y especialidad]],#REF!,Planning[[#This Row],[Proyectos]]))</f>
        <v>#REF!</v>
      </c>
      <c r="K4992" s="5" t="e">
        <f>+Planning[[#This Row],[Horas Planificadas]]+Planning[[#This Row],[Horas ajustadas adicionales]]-Planning[[#This Row],[Horas utilizadas]]</f>
        <v>#REF!</v>
      </c>
      <c r="L4992" s="7">
        <v>0</v>
      </c>
      <c r="M4992" s="19" t="e">
        <f>Planning[[#This Row],[Saldo]]-Planning[[#This Row],[Saldo estimado]]</f>
        <v>#REF!</v>
      </c>
      <c r="N4992" s="60" t="e">
        <f>+SUMIFS(#REF!,#REF!,Planning[[#This Row],[Proyectos]],#REF!,Planning[[#This Row],[Tipo de Tarea y especialidad]])</f>
        <v>#REF!</v>
      </c>
      <c r="O4992" s="19">
        <f t="shared" si="157"/>
        <v>10</v>
      </c>
      <c r="P4992" s="19">
        <f t="shared" si="158"/>
        <v>2024</v>
      </c>
      <c r="Q49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92" s="34" t="str">
        <f>TEXT(Planning[[#This Row],[Mes]]*29,"mmmm")</f>
        <v>October</v>
      </c>
      <c r="S499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92" s="188"/>
      <c r="U4992" s="43" t="e">
        <f>IF(Planning[[#This Row],[Horas Planificadas]]&lt;&gt;0,+K4992/Planning[[#This Row],[Horas Planificadas]],0)</f>
        <v>#REF!</v>
      </c>
      <c r="V4992" s="43" t="e">
        <f>IF(Planning[[#This Row],[Horas Planificadas]]&lt;&gt;0,Planning[[#This Row],[Horas utilizadas]]/Planning[[#This Row],[Horas Planificadas]],0)</f>
        <v>#REF!</v>
      </c>
      <c r="W4992" s="44">
        <f>Planning[[#This Row],[Horas Planificadas]]+Planning[[#This Row],[Horas ajustadas adicionales]]</f>
        <v>365</v>
      </c>
    </row>
    <row r="4993" spans="1:23" x14ac:dyDescent="0.2">
      <c r="A4993" s="9" t="s">
        <v>684</v>
      </c>
      <c r="B4993" s="9" t="s">
        <v>169</v>
      </c>
      <c r="C4993" s="3"/>
      <c r="D4993" s="3" t="s">
        <v>858</v>
      </c>
      <c r="E4993" s="4"/>
      <c r="F4993" s="3" t="s">
        <v>130</v>
      </c>
      <c r="G4993" s="9">
        <v>20</v>
      </c>
      <c r="H4993" s="9">
        <v>20</v>
      </c>
      <c r="I4993" s="12"/>
      <c r="J4993" s="5" t="e">
        <f>SUM(SUMIFS(#REF!,#REF!,Planning[[#This Row],[Tipo de Tarea y especialidad]],#REF!,Planning[[#This Row],[Proyectos Reiwa]]),SUMIFS(#REF!,#REF!,Planning[[#This Row],[Tipo de Tarea y especialidad]],#REF!,Planning[[#This Row],[Proyectos]]))</f>
        <v>#REF!</v>
      </c>
      <c r="K4993" s="5" t="e">
        <f>+Planning[[#This Row],[Horas Planificadas]]+Planning[[#This Row],[Horas ajustadas adicionales]]-Planning[[#This Row],[Horas utilizadas]]</f>
        <v>#REF!</v>
      </c>
      <c r="L4993" s="7">
        <v>0</v>
      </c>
      <c r="M4993" s="19" t="e">
        <f>Planning[[#This Row],[Saldo]]-Planning[[#This Row],[Saldo estimado]]</f>
        <v>#REF!</v>
      </c>
      <c r="N4993" s="60" t="e">
        <f>+SUMIFS(#REF!,#REF!,Planning[[#This Row],[Proyectos]],#REF!,Planning[[#This Row],[Tipo de Tarea y especialidad]])</f>
        <v>#REF!</v>
      </c>
      <c r="O4993" s="19">
        <f t="shared" si="157"/>
        <v>10</v>
      </c>
      <c r="P4993" s="19">
        <f t="shared" si="158"/>
        <v>2024</v>
      </c>
      <c r="Q49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93" s="34" t="str">
        <f>TEXT(Planning[[#This Row],[Mes]]*29,"mmmm")</f>
        <v>October</v>
      </c>
      <c r="S499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93" s="188"/>
      <c r="U4993" s="43" t="e">
        <f>IF(Planning[[#This Row],[Horas Planificadas]]&lt;&gt;0,+K4993/Planning[[#This Row],[Horas Planificadas]],0)</f>
        <v>#REF!</v>
      </c>
      <c r="V4993" s="43" t="e">
        <f>IF(Planning[[#This Row],[Horas Planificadas]]&lt;&gt;0,Planning[[#This Row],[Horas utilizadas]]/Planning[[#This Row],[Horas Planificadas]],0)</f>
        <v>#REF!</v>
      </c>
      <c r="W4993" s="44">
        <f>Planning[[#This Row],[Horas Planificadas]]+Planning[[#This Row],[Horas ajustadas adicionales]]</f>
        <v>20</v>
      </c>
    </row>
    <row r="4994" spans="1:23" x14ac:dyDescent="0.2">
      <c r="A4994" s="9" t="s">
        <v>684</v>
      </c>
      <c r="B4994" s="9" t="s">
        <v>169</v>
      </c>
      <c r="C4994" s="3"/>
      <c r="D4994" s="3" t="s">
        <v>858</v>
      </c>
      <c r="E4994" s="4"/>
      <c r="F4994" s="3" t="s">
        <v>131</v>
      </c>
      <c r="G4994" s="9"/>
      <c r="H4994" s="9"/>
      <c r="I4994" s="12"/>
      <c r="J4994" s="5" t="e">
        <f>SUM(SUMIFS(#REF!,#REF!,Planning[[#This Row],[Tipo de Tarea y especialidad]],#REF!,Planning[[#This Row],[Proyectos Reiwa]]),SUMIFS(#REF!,#REF!,Planning[[#This Row],[Tipo de Tarea y especialidad]],#REF!,Planning[[#This Row],[Proyectos]]))</f>
        <v>#REF!</v>
      </c>
      <c r="K4994" s="5" t="e">
        <f>+Planning[[#This Row],[Horas Planificadas]]+Planning[[#This Row],[Horas ajustadas adicionales]]-Planning[[#This Row],[Horas utilizadas]]</f>
        <v>#REF!</v>
      </c>
      <c r="L4994" s="7" t="e">
        <f>Planning[[#This Row],[Saldo]]</f>
        <v>#REF!</v>
      </c>
      <c r="M4994" s="19" t="e">
        <f>Planning[[#This Row],[Saldo]]-Planning[[#This Row],[Saldo estimado]]</f>
        <v>#REF!</v>
      </c>
      <c r="N4994" s="60" t="e">
        <f>+SUMIFS(#REF!,#REF!,Planning[[#This Row],[Proyectos]],#REF!,Planning[[#This Row],[Tipo de Tarea y especialidad]])</f>
        <v>#REF!</v>
      </c>
      <c r="O4994" s="19">
        <f t="shared" si="157"/>
        <v>10</v>
      </c>
      <c r="P4994" s="19">
        <f t="shared" si="158"/>
        <v>2024</v>
      </c>
      <c r="Q49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94" s="34" t="str">
        <f>TEXT(Planning[[#This Row],[Mes]]*29,"mmmm")</f>
        <v>October</v>
      </c>
      <c r="S499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94" s="189"/>
      <c r="U4994" s="43">
        <f>IF(Planning[[#This Row],[Horas Planificadas]]&lt;&gt;0,+K4994/Planning[[#This Row],[Horas Planificadas]],0)</f>
        <v>0</v>
      </c>
      <c r="V4994" s="43">
        <f>IF(Planning[[#This Row],[Horas Planificadas]]&lt;&gt;0,Planning[[#This Row],[Horas utilizadas]]/Planning[[#This Row],[Horas Planificadas]],0)</f>
        <v>0</v>
      </c>
      <c r="W4994" s="44">
        <f>Planning[[#This Row],[Horas Planificadas]]+Planning[[#This Row],[Horas ajustadas adicionales]]</f>
        <v>0</v>
      </c>
    </row>
    <row r="4995" spans="1:23" ht="13.35" customHeight="1" x14ac:dyDescent="0.2">
      <c r="A4995" s="9" t="s">
        <v>483</v>
      </c>
      <c r="B4995" s="9" t="s">
        <v>178</v>
      </c>
      <c r="C4995" s="3"/>
      <c r="D4995" s="3" t="s">
        <v>860</v>
      </c>
      <c r="E4995" s="4" t="s">
        <v>28</v>
      </c>
      <c r="F4995" s="3"/>
      <c r="G4995" s="9">
        <v>40</v>
      </c>
      <c r="H4995" s="14">
        <f>SUM(H4996:H4997)</f>
        <v>72</v>
      </c>
      <c r="I4995" s="14"/>
      <c r="J4995" s="14" t="e">
        <f>SUM(J4996:J4997)</f>
        <v>#REF!</v>
      </c>
      <c r="K4995" s="14" t="e">
        <f>+Planning[[#This Row],[Horas Planificadas]]+Planning[[#This Row],[Horas ajustadas adicionales]]-Planning[[#This Row],[Horas utilizadas]]</f>
        <v>#REF!</v>
      </c>
      <c r="L4995" s="15">
        <f>SUM(L4996:L4997)</f>
        <v>0</v>
      </c>
      <c r="M4995" s="14" t="e">
        <f>SUM(M4996:M4997)</f>
        <v>#REF!</v>
      </c>
      <c r="N4995" s="66"/>
      <c r="O4995" s="14">
        <f t="shared" si="157"/>
        <v>10</v>
      </c>
      <c r="P4995" s="14">
        <f t="shared" si="158"/>
        <v>2024</v>
      </c>
      <c r="Q4995" s="28" t="e">
        <f>SUM(Q4996:Q4997)</f>
        <v>#REF!</v>
      </c>
      <c r="R4995" s="24" t="str">
        <f>TEXT(Planning[[#This Row],[Mes]]*29,"mmmm")</f>
        <v>October</v>
      </c>
      <c r="S4995"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95" s="175" t="s">
        <v>861</v>
      </c>
      <c r="U4995" s="43" t="e">
        <f>IF(Planning[[#This Row],[Horas Planificadas]]&lt;&gt;0,+K4995/Planning[[#This Row],[Horas Planificadas]],0)</f>
        <v>#REF!</v>
      </c>
      <c r="V4995" s="43" t="e">
        <f>IF(Planning[[#This Row],[Horas Planificadas]]&lt;&gt;0,Planning[[#This Row],[Horas utilizadas]]/Planning[[#This Row],[Horas Planificadas]],0)</f>
        <v>#REF!</v>
      </c>
      <c r="W4995" s="44">
        <f>Planning[[#This Row],[Horas Planificadas]]+Planning[[#This Row],[Horas ajustadas adicionales]]</f>
        <v>72</v>
      </c>
    </row>
    <row r="4996" spans="1:23" x14ac:dyDescent="0.2">
      <c r="A4996" s="9" t="s">
        <v>483</v>
      </c>
      <c r="B4996" s="9" t="s">
        <v>178</v>
      </c>
      <c r="C4996" s="3"/>
      <c r="D4996" s="3" t="s">
        <v>860</v>
      </c>
      <c r="E4996" s="4"/>
      <c r="F4996" s="3" t="s">
        <v>120</v>
      </c>
      <c r="G4996" s="9"/>
      <c r="H4996" s="9">
        <v>36</v>
      </c>
      <c r="I4996" s="12"/>
      <c r="J4996" s="5" t="e">
        <f>SUM(SUMIFS(#REF!,#REF!,Planning[[#This Row],[Tipo de Tarea y especialidad]],#REF!,Planning[[#This Row],[Proyectos Reiwa]]),SUMIFS(#REF!,#REF!,Planning[[#This Row],[Tipo de Tarea y especialidad]],#REF!,Planning[[#This Row],[Proyectos]]))</f>
        <v>#REF!</v>
      </c>
      <c r="K4996" s="5" t="e">
        <f>+Planning[[#This Row],[Horas Planificadas]]+Planning[[#This Row],[Horas ajustadas adicionales]]-Planning[[#This Row],[Horas utilizadas]]</f>
        <v>#REF!</v>
      </c>
      <c r="L4996" s="7">
        <v>0</v>
      </c>
      <c r="M4996" s="19" t="e">
        <f>Planning[[#This Row],[Saldo]]-Planning[[#This Row],[Saldo estimado]]</f>
        <v>#REF!</v>
      </c>
      <c r="N4996" s="60" t="e">
        <f>+SUMIFS(#REF!,#REF!,Planning[[#This Row],[Proyectos]],#REF!,Planning[[#This Row],[Tipo de Tarea y especialidad]])</f>
        <v>#REF!</v>
      </c>
      <c r="O4996" s="19">
        <f t="shared" si="157"/>
        <v>10</v>
      </c>
      <c r="P4996" s="19">
        <f t="shared" si="158"/>
        <v>2024</v>
      </c>
      <c r="Q49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96" s="49" t="str">
        <f>TEXT(Planning[[#This Row],[Mes]]*29,"mmmm")</f>
        <v>October</v>
      </c>
      <c r="S499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96" s="156"/>
      <c r="U4996" s="43" t="e">
        <f>IF(Planning[[#This Row],[Horas Planificadas]]&lt;&gt;0,+K4996/Planning[[#This Row],[Horas Planificadas]],0)</f>
        <v>#REF!</v>
      </c>
      <c r="V4996" s="43" t="e">
        <f>IF(Planning[[#This Row],[Horas Planificadas]]&lt;&gt;0,Planning[[#This Row],[Horas utilizadas]]/Planning[[#This Row],[Horas Planificadas]],0)</f>
        <v>#REF!</v>
      </c>
      <c r="W4996" s="44">
        <f>Planning[[#This Row],[Horas Planificadas]]+Planning[[#This Row],[Horas ajustadas adicionales]]</f>
        <v>36</v>
      </c>
    </row>
    <row r="4997" spans="1:23" x14ac:dyDescent="0.2">
      <c r="A4997" s="9" t="s">
        <v>483</v>
      </c>
      <c r="B4997" s="9" t="s">
        <v>178</v>
      </c>
      <c r="C4997" s="3"/>
      <c r="D4997" s="3" t="s">
        <v>860</v>
      </c>
      <c r="E4997" s="4"/>
      <c r="F4997" s="3" t="s">
        <v>121</v>
      </c>
      <c r="G4997" s="9"/>
      <c r="H4997" s="9">
        <v>36</v>
      </c>
      <c r="I4997" s="12"/>
      <c r="J4997" s="5" t="e">
        <f>SUM(SUMIFS(#REF!,#REF!,Planning[[#This Row],[Tipo de Tarea y especialidad]],#REF!,Planning[[#This Row],[Proyectos Reiwa]]),SUMIFS(#REF!,#REF!,Planning[[#This Row],[Tipo de Tarea y especialidad]],#REF!,Planning[[#This Row],[Proyectos]]))</f>
        <v>#REF!</v>
      </c>
      <c r="K4997" s="5" t="e">
        <f>+Planning[[#This Row],[Horas Planificadas]]+Planning[[#This Row],[Horas ajustadas adicionales]]-Planning[[#This Row],[Horas utilizadas]]</f>
        <v>#REF!</v>
      </c>
      <c r="L4997" s="7">
        <v>0</v>
      </c>
      <c r="M4997" s="19" t="e">
        <f>Planning[[#This Row],[Saldo]]-Planning[[#This Row],[Saldo estimado]]</f>
        <v>#REF!</v>
      </c>
      <c r="N4997" s="60" t="e">
        <f>+SUMIFS(#REF!,#REF!,Planning[[#This Row],[Proyectos]],#REF!,Planning[[#This Row],[Tipo de Tarea y especialidad]])</f>
        <v>#REF!</v>
      </c>
      <c r="O4997" s="19">
        <f t="shared" si="157"/>
        <v>10</v>
      </c>
      <c r="P4997" s="19">
        <f t="shared" si="158"/>
        <v>2024</v>
      </c>
      <c r="Q49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97" s="49" t="str">
        <f>TEXT(Planning[[#This Row],[Mes]]*29,"mmmm")</f>
        <v>October</v>
      </c>
      <c r="S499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97" s="156"/>
      <c r="U4997" s="43" t="e">
        <f>IF(Planning[[#This Row],[Horas Planificadas]]&lt;&gt;0,+K4997/Planning[[#This Row],[Horas Planificadas]],0)</f>
        <v>#REF!</v>
      </c>
      <c r="V4997" s="43" t="e">
        <f>IF(Planning[[#This Row],[Horas Planificadas]]&lt;&gt;0,Planning[[#This Row],[Horas utilizadas]]/Planning[[#This Row],[Horas Planificadas]],0)</f>
        <v>#REF!</v>
      </c>
      <c r="W4997" s="44">
        <f>Planning[[#This Row],[Horas Planificadas]]+Planning[[#This Row],[Horas ajustadas adicionales]]</f>
        <v>36</v>
      </c>
    </row>
    <row r="4998" spans="1:23" x14ac:dyDescent="0.2">
      <c r="A4998" s="9" t="s">
        <v>483</v>
      </c>
      <c r="B4998" s="9" t="s">
        <v>178</v>
      </c>
      <c r="C4998" s="3"/>
      <c r="D4998" s="3" t="s">
        <v>860</v>
      </c>
      <c r="E4998" s="4" t="s">
        <v>30</v>
      </c>
      <c r="F4998" s="3"/>
      <c r="G4998" s="9">
        <v>63</v>
      </c>
      <c r="H4998" s="14">
        <f>SUM(H4999:H5005)</f>
        <v>36</v>
      </c>
      <c r="I4998" s="14"/>
      <c r="J4998" s="14" t="e">
        <f>SUM(J4999:J5005)</f>
        <v>#REF!</v>
      </c>
      <c r="K4998" s="14" t="e">
        <f>+Planning[[#This Row],[Horas Planificadas]]+Planning[[#This Row],[Horas ajustadas adicionales]]-Planning[[#This Row],[Horas utilizadas]]</f>
        <v>#REF!</v>
      </c>
      <c r="L4998" s="15">
        <f>SUM(L4999:L5005)</f>
        <v>0</v>
      </c>
      <c r="M4998" s="16" t="e">
        <f>SUM(M4999:M5005)</f>
        <v>#REF!</v>
      </c>
      <c r="N4998" s="60"/>
      <c r="O4998" s="16">
        <f t="shared" si="157"/>
        <v>10</v>
      </c>
      <c r="P4998" s="16">
        <f t="shared" si="158"/>
        <v>2024</v>
      </c>
      <c r="Q4998" s="16" t="e">
        <f>SUM(Q4999:Q5005)</f>
        <v>#REF!</v>
      </c>
      <c r="R4998" s="50" t="str">
        <f>TEXT(Planning[[#This Row],[Mes]]*29,"mmmm")</f>
        <v>October</v>
      </c>
      <c r="S499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98" s="156"/>
      <c r="U4998" s="43" t="e">
        <f>IF(Planning[[#This Row],[Horas Planificadas]]&lt;&gt;0,+K4998/Planning[[#This Row],[Horas Planificadas]],0)</f>
        <v>#REF!</v>
      </c>
      <c r="V4998" s="43" t="e">
        <f>IF(Planning[[#This Row],[Horas Planificadas]]&lt;&gt;0,Planning[[#This Row],[Horas utilizadas]]/Planning[[#This Row],[Horas Planificadas]],0)</f>
        <v>#REF!</v>
      </c>
      <c r="W4998" s="44">
        <f>Planning[[#This Row],[Horas Planificadas]]+Planning[[#This Row],[Horas ajustadas adicionales]]</f>
        <v>36</v>
      </c>
    </row>
    <row r="4999" spans="1:23" x14ac:dyDescent="0.2">
      <c r="A4999" s="9" t="s">
        <v>483</v>
      </c>
      <c r="B4999" s="9" t="s">
        <v>178</v>
      </c>
      <c r="C4999" s="3"/>
      <c r="D4999" s="3" t="s">
        <v>860</v>
      </c>
      <c r="E4999" s="4"/>
      <c r="F4999" s="3" t="s">
        <v>122</v>
      </c>
      <c r="G4999" s="9"/>
      <c r="H4999" s="9">
        <v>0</v>
      </c>
      <c r="I4999" s="12"/>
      <c r="J4999" s="5" t="e">
        <f>SUM(SUMIFS(#REF!,#REF!,Planning[[#This Row],[Tipo de Tarea y especialidad]],#REF!,Planning[[#This Row],[Proyectos Reiwa]]),SUMIFS(#REF!,#REF!,Planning[[#This Row],[Tipo de Tarea y especialidad]],#REF!,Planning[[#This Row],[Proyectos]]))</f>
        <v>#REF!</v>
      </c>
      <c r="K4999" s="5" t="e">
        <f>+Planning[[#This Row],[Horas Planificadas]]+Planning[[#This Row],[Horas ajustadas adicionales]]-Planning[[#This Row],[Horas utilizadas]]</f>
        <v>#REF!</v>
      </c>
      <c r="L4999" s="7">
        <v>0</v>
      </c>
      <c r="M4999" s="19" t="e">
        <f>Planning[[#This Row],[Saldo]]-Planning[[#This Row],[Saldo estimado]]</f>
        <v>#REF!</v>
      </c>
      <c r="N4999" s="60" t="e">
        <f>+SUMIFS(#REF!,#REF!,Planning[[#This Row],[Proyectos]],#REF!,Planning[[#This Row],[Tipo de Tarea y especialidad]])</f>
        <v>#REF!</v>
      </c>
      <c r="O4999" s="19">
        <f t="shared" si="157"/>
        <v>10</v>
      </c>
      <c r="P4999" s="19">
        <f t="shared" si="158"/>
        <v>2024</v>
      </c>
      <c r="Q49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4999" s="49" t="str">
        <f>TEXT(Planning[[#This Row],[Mes]]*29,"mmmm")</f>
        <v>October</v>
      </c>
      <c r="S499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4999" s="156"/>
      <c r="U4999" s="43">
        <f>IF(Planning[[#This Row],[Horas Planificadas]]&lt;&gt;0,+K4999/Planning[[#This Row],[Horas Planificadas]],0)</f>
        <v>0</v>
      </c>
      <c r="V4999" s="43">
        <f>IF(Planning[[#This Row],[Horas Planificadas]]&lt;&gt;0,Planning[[#This Row],[Horas utilizadas]]/Planning[[#This Row],[Horas Planificadas]],0)</f>
        <v>0</v>
      </c>
      <c r="W4999" s="44">
        <f>Planning[[#This Row],[Horas Planificadas]]+Planning[[#This Row],[Horas ajustadas adicionales]]</f>
        <v>0</v>
      </c>
    </row>
    <row r="5000" spans="1:23" x14ac:dyDescent="0.2">
      <c r="A5000" s="9" t="s">
        <v>483</v>
      </c>
      <c r="B5000" s="9" t="s">
        <v>178</v>
      </c>
      <c r="C5000" s="3"/>
      <c r="D5000" s="3" t="s">
        <v>860</v>
      </c>
      <c r="E5000" s="4"/>
      <c r="F5000" s="3" t="s">
        <v>123</v>
      </c>
      <c r="G5000" s="9"/>
      <c r="H5000" s="9">
        <v>0</v>
      </c>
      <c r="I5000" s="12"/>
      <c r="J5000" s="5" t="e">
        <f>SUM(SUMIFS(#REF!,#REF!,Planning[[#This Row],[Tipo de Tarea y especialidad]],#REF!,Planning[[#This Row],[Proyectos Reiwa]]),SUMIFS(#REF!,#REF!,Planning[[#This Row],[Tipo de Tarea y especialidad]],#REF!,Planning[[#This Row],[Proyectos]]))</f>
        <v>#REF!</v>
      </c>
      <c r="K5000" s="5" t="e">
        <f>+Planning[[#This Row],[Horas Planificadas]]+Planning[[#This Row],[Horas ajustadas adicionales]]-Planning[[#This Row],[Horas utilizadas]]</f>
        <v>#REF!</v>
      </c>
      <c r="L5000" s="7">
        <v>0</v>
      </c>
      <c r="M5000" s="19" t="e">
        <f>Planning[[#This Row],[Saldo]]-Planning[[#This Row],[Saldo estimado]]</f>
        <v>#REF!</v>
      </c>
      <c r="N5000" s="60" t="e">
        <f>+SUMIFS(#REF!,#REF!,Planning[[#This Row],[Proyectos]],#REF!,Planning[[#This Row],[Tipo de Tarea y especialidad]])</f>
        <v>#REF!</v>
      </c>
      <c r="O5000" s="19">
        <f t="shared" si="157"/>
        <v>10</v>
      </c>
      <c r="P5000" s="19">
        <f t="shared" si="158"/>
        <v>2024</v>
      </c>
      <c r="Q50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00" s="49" t="str">
        <f>TEXT(Planning[[#This Row],[Mes]]*29,"mmmm")</f>
        <v>October</v>
      </c>
      <c r="S500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00" s="156"/>
      <c r="U5000" s="43">
        <f>IF(Planning[[#This Row],[Horas Planificadas]]&lt;&gt;0,+K5000/Planning[[#This Row],[Horas Planificadas]],0)</f>
        <v>0</v>
      </c>
      <c r="V5000" s="43">
        <f>IF(Planning[[#This Row],[Horas Planificadas]]&lt;&gt;0,Planning[[#This Row],[Horas utilizadas]]/Planning[[#This Row],[Horas Planificadas]],0)</f>
        <v>0</v>
      </c>
      <c r="W5000" s="44">
        <f>Planning[[#This Row],[Horas Planificadas]]+Planning[[#This Row],[Horas ajustadas adicionales]]</f>
        <v>0</v>
      </c>
    </row>
    <row r="5001" spans="1:23" x14ac:dyDescent="0.2">
      <c r="A5001" s="9" t="s">
        <v>483</v>
      </c>
      <c r="B5001" s="9" t="s">
        <v>178</v>
      </c>
      <c r="C5001" s="3"/>
      <c r="D5001" s="3" t="s">
        <v>860</v>
      </c>
      <c r="E5001" s="4"/>
      <c r="F5001" s="3" t="s">
        <v>124</v>
      </c>
      <c r="G5001" s="9"/>
      <c r="H5001" s="9">
        <v>0</v>
      </c>
      <c r="I5001" s="12"/>
      <c r="J5001" s="5" t="e">
        <f>SUM(SUMIFS(#REF!,#REF!,Planning[[#This Row],[Tipo de Tarea y especialidad]],#REF!,Planning[[#This Row],[Proyectos Reiwa]]),SUMIFS(#REF!,#REF!,Planning[[#This Row],[Tipo de Tarea y especialidad]],#REF!,Planning[[#This Row],[Proyectos]]))</f>
        <v>#REF!</v>
      </c>
      <c r="K5001" s="5" t="e">
        <f>+Planning[[#This Row],[Horas Planificadas]]+Planning[[#This Row],[Horas ajustadas adicionales]]-Planning[[#This Row],[Horas utilizadas]]</f>
        <v>#REF!</v>
      </c>
      <c r="L5001" s="7">
        <v>0</v>
      </c>
      <c r="M5001" s="19" t="e">
        <f>Planning[[#This Row],[Saldo]]-Planning[[#This Row],[Saldo estimado]]</f>
        <v>#REF!</v>
      </c>
      <c r="N5001" s="60" t="e">
        <f>+SUMIFS(#REF!,#REF!,Planning[[#This Row],[Proyectos]],#REF!,Planning[[#This Row],[Tipo de Tarea y especialidad]])</f>
        <v>#REF!</v>
      </c>
      <c r="O5001" s="19">
        <f t="shared" si="157"/>
        <v>10</v>
      </c>
      <c r="P5001" s="19">
        <f t="shared" si="158"/>
        <v>2024</v>
      </c>
      <c r="Q50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01" s="49" t="str">
        <f>TEXT(Planning[[#This Row],[Mes]]*29,"mmmm")</f>
        <v>October</v>
      </c>
      <c r="S500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01" s="156"/>
      <c r="U5001" s="43">
        <f>IF(Planning[[#This Row],[Horas Planificadas]]&lt;&gt;0,+K5001/Planning[[#This Row],[Horas Planificadas]],0)</f>
        <v>0</v>
      </c>
      <c r="V5001" s="43">
        <f>IF(Planning[[#This Row],[Horas Planificadas]]&lt;&gt;0,Planning[[#This Row],[Horas utilizadas]]/Planning[[#This Row],[Horas Planificadas]],0)</f>
        <v>0</v>
      </c>
      <c r="W5001" s="44">
        <f>Planning[[#This Row],[Horas Planificadas]]+Planning[[#This Row],[Horas ajustadas adicionales]]</f>
        <v>0</v>
      </c>
    </row>
    <row r="5002" spans="1:23" x14ac:dyDescent="0.2">
      <c r="A5002" s="9" t="s">
        <v>483</v>
      </c>
      <c r="B5002" s="9" t="s">
        <v>178</v>
      </c>
      <c r="C5002" s="3"/>
      <c r="D5002" s="3" t="s">
        <v>860</v>
      </c>
      <c r="E5002" s="4"/>
      <c r="F5002" s="3" t="s">
        <v>125</v>
      </c>
      <c r="G5002" s="9"/>
      <c r="H5002" s="9">
        <v>18</v>
      </c>
      <c r="I5002" s="12"/>
      <c r="J5002" s="5" t="e">
        <f>SUM(SUMIFS(#REF!,#REF!,Planning[[#This Row],[Tipo de Tarea y especialidad]],#REF!,Planning[[#This Row],[Proyectos Reiwa]]),SUMIFS(#REF!,#REF!,Planning[[#This Row],[Tipo de Tarea y especialidad]],#REF!,Planning[[#This Row],[Proyectos]]))</f>
        <v>#REF!</v>
      </c>
      <c r="K5002" s="5" t="e">
        <f>+Planning[[#This Row],[Horas Planificadas]]+Planning[[#This Row],[Horas ajustadas adicionales]]-Planning[[#This Row],[Horas utilizadas]]</f>
        <v>#REF!</v>
      </c>
      <c r="L5002" s="7">
        <v>0</v>
      </c>
      <c r="M5002" s="19" t="e">
        <f>Planning[[#This Row],[Saldo]]-Planning[[#This Row],[Saldo estimado]]</f>
        <v>#REF!</v>
      </c>
      <c r="N5002" s="60" t="e">
        <f>+SUMIFS(#REF!,#REF!,Planning[[#This Row],[Proyectos]],#REF!,Planning[[#This Row],[Tipo de Tarea y especialidad]])</f>
        <v>#REF!</v>
      </c>
      <c r="O5002" s="19">
        <f t="shared" si="157"/>
        <v>10</v>
      </c>
      <c r="P5002" s="19">
        <f t="shared" si="158"/>
        <v>2024</v>
      </c>
      <c r="Q50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02" s="49" t="str">
        <f>TEXT(Planning[[#This Row],[Mes]]*29,"mmmm")</f>
        <v>October</v>
      </c>
      <c r="S500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02" s="156"/>
      <c r="U5002" s="43" t="e">
        <f>IF(Planning[[#This Row],[Horas Planificadas]]&lt;&gt;0,+K5002/Planning[[#This Row],[Horas Planificadas]],0)</f>
        <v>#REF!</v>
      </c>
      <c r="V5002" s="43" t="e">
        <f>IF(Planning[[#This Row],[Horas Planificadas]]&lt;&gt;0,Planning[[#This Row],[Horas utilizadas]]/Planning[[#This Row],[Horas Planificadas]],0)</f>
        <v>#REF!</v>
      </c>
      <c r="W5002" s="44">
        <f>Planning[[#This Row],[Horas Planificadas]]+Planning[[#This Row],[Horas ajustadas adicionales]]</f>
        <v>18</v>
      </c>
    </row>
    <row r="5003" spans="1:23" x14ac:dyDescent="0.2">
      <c r="A5003" s="9" t="s">
        <v>483</v>
      </c>
      <c r="B5003" s="9" t="s">
        <v>178</v>
      </c>
      <c r="C5003" s="3"/>
      <c r="D5003" s="3" t="s">
        <v>860</v>
      </c>
      <c r="E5003" s="4"/>
      <c r="F5003" s="3" t="s">
        <v>126</v>
      </c>
      <c r="G5003" s="9"/>
      <c r="H5003" s="9">
        <v>0</v>
      </c>
      <c r="I5003" s="12"/>
      <c r="J5003" s="5" t="e">
        <f>SUM(SUMIFS(#REF!,#REF!,Planning[[#This Row],[Tipo de Tarea y especialidad]],#REF!,Planning[[#This Row],[Proyectos Reiwa]]),SUMIFS(#REF!,#REF!,Planning[[#This Row],[Tipo de Tarea y especialidad]],#REF!,Planning[[#This Row],[Proyectos]]))</f>
        <v>#REF!</v>
      </c>
      <c r="K5003" s="5" t="e">
        <f>+Planning[[#This Row],[Horas Planificadas]]+Planning[[#This Row],[Horas ajustadas adicionales]]-Planning[[#This Row],[Horas utilizadas]]</f>
        <v>#REF!</v>
      </c>
      <c r="L5003" s="7">
        <v>0</v>
      </c>
      <c r="M5003" s="19" t="e">
        <f>Planning[[#This Row],[Saldo]]-Planning[[#This Row],[Saldo estimado]]</f>
        <v>#REF!</v>
      </c>
      <c r="N5003" s="60" t="e">
        <f>+SUMIFS(#REF!,#REF!,Planning[[#This Row],[Proyectos]],#REF!,Planning[[#This Row],[Tipo de Tarea y especialidad]])</f>
        <v>#REF!</v>
      </c>
      <c r="O5003" s="19">
        <f t="shared" si="157"/>
        <v>10</v>
      </c>
      <c r="P5003" s="19">
        <f t="shared" si="158"/>
        <v>2024</v>
      </c>
      <c r="Q50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03" s="49" t="str">
        <f>TEXT(Planning[[#This Row],[Mes]]*29,"mmmm")</f>
        <v>October</v>
      </c>
      <c r="S500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03" s="156"/>
      <c r="U5003" s="43">
        <f>IF(Planning[[#This Row],[Horas Planificadas]]&lt;&gt;0,+K5003/Planning[[#This Row],[Horas Planificadas]],0)</f>
        <v>0</v>
      </c>
      <c r="V5003" s="43">
        <f>IF(Planning[[#This Row],[Horas Planificadas]]&lt;&gt;0,Planning[[#This Row],[Horas utilizadas]]/Planning[[#This Row],[Horas Planificadas]],0)</f>
        <v>0</v>
      </c>
      <c r="W5003" s="44">
        <f>Planning[[#This Row],[Horas Planificadas]]+Planning[[#This Row],[Horas ajustadas adicionales]]</f>
        <v>0</v>
      </c>
    </row>
    <row r="5004" spans="1:23" x14ac:dyDescent="0.2">
      <c r="A5004" s="9" t="s">
        <v>483</v>
      </c>
      <c r="B5004" s="9" t="s">
        <v>178</v>
      </c>
      <c r="C5004" s="3"/>
      <c r="D5004" s="3" t="s">
        <v>860</v>
      </c>
      <c r="E5004" s="4"/>
      <c r="F5004" s="3" t="s">
        <v>127</v>
      </c>
      <c r="G5004" s="9"/>
      <c r="H5004" s="9">
        <v>18</v>
      </c>
      <c r="I5004" s="12"/>
      <c r="J5004" s="5" t="e">
        <f>SUM(SUMIFS(#REF!,#REF!,Planning[[#This Row],[Tipo de Tarea y especialidad]],#REF!,Planning[[#This Row],[Proyectos Reiwa]]),SUMIFS(#REF!,#REF!,Planning[[#This Row],[Tipo de Tarea y especialidad]],#REF!,Planning[[#This Row],[Proyectos]]))</f>
        <v>#REF!</v>
      </c>
      <c r="K5004" s="5" t="e">
        <f>+Planning[[#This Row],[Horas Planificadas]]+Planning[[#This Row],[Horas ajustadas adicionales]]-Planning[[#This Row],[Horas utilizadas]]</f>
        <v>#REF!</v>
      </c>
      <c r="L5004" s="7">
        <v>0</v>
      </c>
      <c r="M5004" s="19" t="e">
        <f>Planning[[#This Row],[Saldo]]-Planning[[#This Row],[Saldo estimado]]</f>
        <v>#REF!</v>
      </c>
      <c r="N5004" s="60" t="e">
        <f>+SUMIFS(#REF!,#REF!,Planning[[#This Row],[Proyectos]],#REF!,Planning[[#This Row],[Tipo de Tarea y especialidad]])</f>
        <v>#REF!</v>
      </c>
      <c r="O5004" s="19">
        <f t="shared" si="157"/>
        <v>10</v>
      </c>
      <c r="P5004" s="19">
        <f t="shared" si="158"/>
        <v>2024</v>
      </c>
      <c r="Q50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04" s="49" t="str">
        <f>TEXT(Planning[[#This Row],[Mes]]*29,"mmmm")</f>
        <v>October</v>
      </c>
      <c r="S500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04" s="156"/>
      <c r="U5004" s="43" t="e">
        <f>IF(Planning[[#This Row],[Horas Planificadas]]&lt;&gt;0,+K5004/Planning[[#This Row],[Horas Planificadas]],0)</f>
        <v>#REF!</v>
      </c>
      <c r="V5004" s="43" t="e">
        <f>IF(Planning[[#This Row],[Horas Planificadas]]&lt;&gt;0,Planning[[#This Row],[Horas utilizadas]]/Planning[[#This Row],[Horas Planificadas]],0)</f>
        <v>#REF!</v>
      </c>
      <c r="W5004" s="44">
        <f>Planning[[#This Row],[Horas Planificadas]]+Planning[[#This Row],[Horas ajustadas adicionales]]</f>
        <v>18</v>
      </c>
    </row>
    <row r="5005" spans="1:23" x14ac:dyDescent="0.2">
      <c r="A5005" s="9" t="s">
        <v>483</v>
      </c>
      <c r="B5005" s="9" t="s">
        <v>178</v>
      </c>
      <c r="C5005" s="3"/>
      <c r="D5005" s="3" t="s">
        <v>860</v>
      </c>
      <c r="E5005" s="4"/>
      <c r="F5005" s="3" t="s">
        <v>128</v>
      </c>
      <c r="G5005" s="9"/>
      <c r="H5005" s="9">
        <v>0</v>
      </c>
      <c r="I5005" s="12"/>
      <c r="J5005" s="5" t="e">
        <f>SUM(SUMIFS(#REF!,#REF!,Planning[[#This Row],[Tipo de Tarea y especialidad]],#REF!,Planning[[#This Row],[Proyectos Reiwa]]),SUMIFS(#REF!,#REF!,Planning[[#This Row],[Tipo de Tarea y especialidad]],#REF!,Planning[[#This Row],[Proyectos]]))</f>
        <v>#REF!</v>
      </c>
      <c r="K5005" s="5" t="e">
        <f>+Planning[[#This Row],[Horas Planificadas]]+Planning[[#This Row],[Horas ajustadas adicionales]]-Planning[[#This Row],[Horas utilizadas]]</f>
        <v>#REF!</v>
      </c>
      <c r="L5005" s="7">
        <v>0</v>
      </c>
      <c r="M5005" s="19" t="e">
        <f>Planning[[#This Row],[Saldo]]-Planning[[#This Row],[Saldo estimado]]</f>
        <v>#REF!</v>
      </c>
      <c r="N5005" s="60" t="e">
        <f>+SUMIFS(#REF!,#REF!,Planning[[#This Row],[Proyectos]],#REF!,Planning[[#This Row],[Tipo de Tarea y especialidad]])</f>
        <v>#REF!</v>
      </c>
      <c r="O5005" s="19">
        <f t="shared" si="157"/>
        <v>10</v>
      </c>
      <c r="P5005" s="19">
        <f t="shared" si="158"/>
        <v>2024</v>
      </c>
      <c r="Q50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05" s="49" t="str">
        <f>TEXT(Planning[[#This Row],[Mes]]*29,"mmmm")</f>
        <v>October</v>
      </c>
      <c r="S500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05" s="156"/>
      <c r="U5005" s="43">
        <f>IF(Planning[[#This Row],[Horas Planificadas]]&lt;&gt;0,+K5005/Planning[[#This Row],[Horas Planificadas]],0)</f>
        <v>0</v>
      </c>
      <c r="V5005" s="43">
        <f>IF(Planning[[#This Row],[Horas Planificadas]]&lt;&gt;0,Planning[[#This Row],[Horas utilizadas]]/Planning[[#This Row],[Horas Planificadas]],0)</f>
        <v>0</v>
      </c>
      <c r="W5005" s="44">
        <f>Planning[[#This Row],[Horas Planificadas]]+Planning[[#This Row],[Horas ajustadas adicionales]]</f>
        <v>0</v>
      </c>
    </row>
    <row r="5006" spans="1:23" x14ac:dyDescent="0.2">
      <c r="A5006" s="9" t="s">
        <v>483</v>
      </c>
      <c r="B5006" s="9" t="s">
        <v>178</v>
      </c>
      <c r="C5006" s="3"/>
      <c r="D5006" s="3" t="s">
        <v>860</v>
      </c>
      <c r="E5006" s="4" t="s">
        <v>31</v>
      </c>
      <c r="F5006" s="3" t="s">
        <v>31</v>
      </c>
      <c r="G5006" s="9">
        <v>0</v>
      </c>
      <c r="H5006" s="17">
        <v>9</v>
      </c>
      <c r="I5006" s="18"/>
      <c r="J5006" s="14" t="e">
        <f>+SUMIFS(#REF!,#REF!,Planning[[#This Row],[Tarifa]],#REF!,Planning[[#This Row],[Proyectos]])</f>
        <v>#REF!</v>
      </c>
      <c r="K5006" s="14" t="e">
        <f>+Planning[[#This Row],[Horas Planificadas]]+Planning[[#This Row],[Horas ajustadas adicionales]]-Planning[[#This Row],[Horas utilizadas]]</f>
        <v>#REF!</v>
      </c>
      <c r="L5006" s="15">
        <v>0</v>
      </c>
      <c r="M5006" s="16" t="e">
        <f>Planning[[#This Row],[Saldo]]-Planning[[#This Row],[Saldo estimado]]</f>
        <v>#REF!</v>
      </c>
      <c r="N5006" s="60"/>
      <c r="O5006" s="16">
        <f t="shared" si="157"/>
        <v>10</v>
      </c>
      <c r="P5006" s="16">
        <f t="shared" si="158"/>
        <v>2024</v>
      </c>
      <c r="Q5006" s="16" t="e">
        <f>+SUMIFS(#REF!,#REF!,Planning[[#This Row],[Tarifa]],#REF!,Planning[[#This Row],[Proyectos]],#REF!,Planning[[#This Row],[Mes]],#REF!,Planning[[#This Row],[Año]])</f>
        <v>#REF!</v>
      </c>
      <c r="R5006" s="50" t="str">
        <f>TEXT(Planning[[#This Row],[Mes]]*29,"mmmm")</f>
        <v>October</v>
      </c>
      <c r="S500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06" s="156"/>
      <c r="U5006" s="43" t="e">
        <f>IF(Planning[[#This Row],[Horas Planificadas]]&lt;&gt;0,+K5006/Planning[[#This Row],[Horas Planificadas]],0)</f>
        <v>#REF!</v>
      </c>
      <c r="V5006" s="43" t="e">
        <f>IF(Planning[[#This Row],[Horas Planificadas]]&lt;&gt;0,Planning[[#This Row],[Horas utilizadas]]/Planning[[#This Row],[Horas Planificadas]],0)</f>
        <v>#REF!</v>
      </c>
      <c r="W5006" s="44">
        <f>Planning[[#This Row],[Horas Planificadas]]+Planning[[#This Row],[Horas ajustadas adicionales]]</f>
        <v>9</v>
      </c>
    </row>
    <row r="5007" spans="1:23" ht="22.5" x14ac:dyDescent="0.2">
      <c r="A5007" s="9" t="s">
        <v>483</v>
      </c>
      <c r="B5007" s="9" t="s">
        <v>178</v>
      </c>
      <c r="C5007" s="3"/>
      <c r="D5007" s="3" t="s">
        <v>860</v>
      </c>
      <c r="E5007" s="4" t="s">
        <v>32</v>
      </c>
      <c r="F5007" s="3"/>
      <c r="G5007" s="9">
        <v>0</v>
      </c>
      <c r="H5007" s="14">
        <f>SUM(H5008:H5010)</f>
        <v>0</v>
      </c>
      <c r="I5007" s="14"/>
      <c r="J5007" s="14" t="e">
        <f>SUM(J5008:J5010)</f>
        <v>#REF!</v>
      </c>
      <c r="K5007" s="14" t="e">
        <f>+Planning[[#This Row],[Horas Planificadas]]+Planning[[#This Row],[Horas ajustadas adicionales]]-Planning[[#This Row],[Horas utilizadas]]</f>
        <v>#REF!</v>
      </c>
      <c r="L5007" s="15">
        <f>SUM(L5008:L5010)</f>
        <v>0</v>
      </c>
      <c r="M5007" s="16" t="e">
        <f>SUM(M5008:M5010)</f>
        <v>#REF!</v>
      </c>
      <c r="N5007" s="60"/>
      <c r="O5007" s="16">
        <f t="shared" si="157"/>
        <v>10</v>
      </c>
      <c r="P5007" s="16">
        <f t="shared" si="158"/>
        <v>2024</v>
      </c>
      <c r="Q5007" s="16" t="e">
        <f>SUM(Q5008:Q5010)</f>
        <v>#REF!</v>
      </c>
      <c r="R5007" s="50" t="str">
        <f>TEXT(Planning[[#This Row],[Mes]]*29,"mmmm")</f>
        <v>October</v>
      </c>
      <c r="S500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07" s="156"/>
      <c r="U5007" s="43">
        <f>IF(Planning[[#This Row],[Horas Planificadas]]&lt;&gt;0,+K5007/Planning[[#This Row],[Horas Planificadas]],0)</f>
        <v>0</v>
      </c>
      <c r="V5007" s="43">
        <f>IF(Planning[[#This Row],[Horas Planificadas]]&lt;&gt;0,Planning[[#This Row],[Horas utilizadas]]/Planning[[#This Row],[Horas Planificadas]],0)</f>
        <v>0</v>
      </c>
      <c r="W5007" s="44">
        <f>Planning[[#This Row],[Horas Planificadas]]+Planning[[#This Row],[Horas ajustadas adicionales]]</f>
        <v>0</v>
      </c>
    </row>
    <row r="5008" spans="1:23" x14ac:dyDescent="0.2">
      <c r="A5008" s="9" t="s">
        <v>483</v>
      </c>
      <c r="B5008" s="9" t="s">
        <v>178</v>
      </c>
      <c r="C5008" s="3"/>
      <c r="D5008" s="3" t="s">
        <v>860</v>
      </c>
      <c r="E5008" s="4"/>
      <c r="F5008" s="3" t="s">
        <v>129</v>
      </c>
      <c r="G5008" s="9"/>
      <c r="H5008" s="9">
        <v>0</v>
      </c>
      <c r="I5008" s="12"/>
      <c r="J5008" s="5" t="e">
        <f>SUM(SUMIFS(#REF!,#REF!,Planning[[#This Row],[Tipo de Tarea y especialidad]],#REF!,Planning[[#This Row],[Proyectos Reiwa]]),SUMIFS(#REF!,#REF!,Planning[[#This Row],[Tipo de Tarea y especialidad]],#REF!,Planning[[#This Row],[Proyectos]]))</f>
        <v>#REF!</v>
      </c>
      <c r="K5008" s="5" t="e">
        <f>+Planning[[#This Row],[Horas Planificadas]]+Planning[[#This Row],[Horas ajustadas adicionales]]-Planning[[#This Row],[Horas utilizadas]]</f>
        <v>#REF!</v>
      </c>
      <c r="L5008" s="7">
        <v>0</v>
      </c>
      <c r="M5008" s="19" t="e">
        <f>Planning[[#This Row],[Saldo]]-Planning[[#This Row],[Saldo estimado]]</f>
        <v>#REF!</v>
      </c>
      <c r="N5008" s="60" t="e">
        <f>+SUMIFS(#REF!,#REF!,Planning[[#This Row],[Proyectos]],#REF!,Planning[[#This Row],[Tipo de Tarea y especialidad]])</f>
        <v>#REF!</v>
      </c>
      <c r="O5008" s="19">
        <f t="shared" si="157"/>
        <v>10</v>
      </c>
      <c r="P5008" s="19">
        <f t="shared" si="158"/>
        <v>2024</v>
      </c>
      <c r="Q50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08" s="49" t="str">
        <f>TEXT(Planning[[#This Row],[Mes]]*29,"mmmm")</f>
        <v>October</v>
      </c>
      <c r="S500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08" s="156"/>
      <c r="U5008" s="43">
        <f>IF(Planning[[#This Row],[Horas Planificadas]]&lt;&gt;0,+K5008/Planning[[#This Row],[Horas Planificadas]],0)</f>
        <v>0</v>
      </c>
      <c r="V5008" s="43">
        <f>IF(Planning[[#This Row],[Horas Planificadas]]&lt;&gt;0,Planning[[#This Row],[Horas utilizadas]]/Planning[[#This Row],[Horas Planificadas]],0)</f>
        <v>0</v>
      </c>
      <c r="W5008" s="44">
        <f>Planning[[#This Row],[Horas Planificadas]]+Planning[[#This Row],[Horas ajustadas adicionales]]</f>
        <v>0</v>
      </c>
    </row>
    <row r="5009" spans="1:23" x14ac:dyDescent="0.2">
      <c r="A5009" s="9" t="s">
        <v>483</v>
      </c>
      <c r="B5009" s="9" t="s">
        <v>178</v>
      </c>
      <c r="C5009" s="3"/>
      <c r="D5009" s="3" t="s">
        <v>860</v>
      </c>
      <c r="E5009" s="4"/>
      <c r="F5009" s="3" t="s">
        <v>130</v>
      </c>
      <c r="G5009" s="9"/>
      <c r="H5009" s="9">
        <v>0</v>
      </c>
      <c r="I5009" s="12"/>
      <c r="J5009" s="5" t="e">
        <f>SUM(SUMIFS(#REF!,#REF!,Planning[[#This Row],[Tipo de Tarea y especialidad]],#REF!,Planning[[#This Row],[Proyectos Reiwa]]),SUMIFS(#REF!,#REF!,Planning[[#This Row],[Tipo de Tarea y especialidad]],#REF!,Planning[[#This Row],[Proyectos]]))</f>
        <v>#REF!</v>
      </c>
      <c r="K5009" s="5" t="e">
        <f>+Planning[[#This Row],[Horas Planificadas]]+Planning[[#This Row],[Horas ajustadas adicionales]]-Planning[[#This Row],[Horas utilizadas]]</f>
        <v>#REF!</v>
      </c>
      <c r="L5009" s="7">
        <v>0</v>
      </c>
      <c r="M5009" s="19" t="e">
        <f>Planning[[#This Row],[Saldo]]-Planning[[#This Row],[Saldo estimado]]</f>
        <v>#REF!</v>
      </c>
      <c r="N5009" s="60" t="e">
        <f>+SUMIFS(#REF!,#REF!,Planning[[#This Row],[Proyectos]],#REF!,Planning[[#This Row],[Tipo de Tarea y especialidad]])</f>
        <v>#REF!</v>
      </c>
      <c r="O5009" s="19">
        <f t="shared" si="157"/>
        <v>10</v>
      </c>
      <c r="P5009" s="19">
        <f t="shared" si="158"/>
        <v>2024</v>
      </c>
      <c r="Q50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09" s="49" t="str">
        <f>TEXT(Planning[[#This Row],[Mes]]*29,"mmmm")</f>
        <v>October</v>
      </c>
      <c r="S500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09" s="156"/>
      <c r="U5009" s="43">
        <f>IF(Planning[[#This Row],[Horas Planificadas]]&lt;&gt;0,+K5009/Planning[[#This Row],[Horas Planificadas]],0)</f>
        <v>0</v>
      </c>
      <c r="V5009" s="43">
        <f>IF(Planning[[#This Row],[Horas Planificadas]]&lt;&gt;0,Planning[[#This Row],[Horas utilizadas]]/Planning[[#This Row],[Horas Planificadas]],0)</f>
        <v>0</v>
      </c>
      <c r="W5009" s="44">
        <f>Planning[[#This Row],[Horas Planificadas]]+Planning[[#This Row],[Horas ajustadas adicionales]]</f>
        <v>0</v>
      </c>
    </row>
    <row r="5010" spans="1:23" x14ac:dyDescent="0.2">
      <c r="A5010" s="9" t="s">
        <v>483</v>
      </c>
      <c r="B5010" s="9" t="s">
        <v>178</v>
      </c>
      <c r="C5010" s="3"/>
      <c r="D5010" s="3" t="s">
        <v>860</v>
      </c>
      <c r="E5010" s="4"/>
      <c r="F5010" s="3" t="s">
        <v>131</v>
      </c>
      <c r="G5010" s="9"/>
      <c r="H5010" s="9">
        <v>0</v>
      </c>
      <c r="I5010" s="12"/>
      <c r="J5010" s="5" t="e">
        <f>SUM(SUMIFS(#REF!,#REF!,Planning[[#This Row],[Tipo de Tarea y especialidad]],#REF!,Planning[[#This Row],[Proyectos Reiwa]]),SUMIFS(#REF!,#REF!,Planning[[#This Row],[Tipo de Tarea y especialidad]],#REF!,Planning[[#This Row],[Proyectos]]))</f>
        <v>#REF!</v>
      </c>
      <c r="K5010" s="5" t="e">
        <f>+Planning[[#This Row],[Horas Planificadas]]+Planning[[#This Row],[Horas ajustadas adicionales]]-Planning[[#This Row],[Horas utilizadas]]</f>
        <v>#REF!</v>
      </c>
      <c r="L5010" s="7">
        <v>0</v>
      </c>
      <c r="M5010" s="19" t="e">
        <f>Planning[[#This Row],[Saldo]]-Planning[[#This Row],[Saldo estimado]]</f>
        <v>#REF!</v>
      </c>
      <c r="N5010" s="60" t="e">
        <f>+SUMIFS(#REF!,#REF!,Planning[[#This Row],[Proyectos]],#REF!,Planning[[#This Row],[Tipo de Tarea y especialidad]])</f>
        <v>#REF!</v>
      </c>
      <c r="O5010" s="19">
        <f t="shared" si="157"/>
        <v>10</v>
      </c>
      <c r="P5010" s="19">
        <f t="shared" si="158"/>
        <v>2024</v>
      </c>
      <c r="Q50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10" s="51" t="str">
        <f>TEXT(Planning[[#This Row],[Mes]]*29,"mmmm")</f>
        <v>October</v>
      </c>
      <c r="S5010"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10" s="157"/>
      <c r="U5010" s="43">
        <f>IF(Planning[[#This Row],[Horas Planificadas]]&lt;&gt;0,+K5010/Planning[[#This Row],[Horas Planificadas]],0)</f>
        <v>0</v>
      </c>
      <c r="V5010" s="43">
        <f>IF(Planning[[#This Row],[Horas Planificadas]]&lt;&gt;0,Planning[[#This Row],[Horas utilizadas]]/Planning[[#This Row],[Horas Planificadas]],0)</f>
        <v>0</v>
      </c>
      <c r="W5010" s="44">
        <f>Planning[[#This Row],[Horas Planificadas]]+Planning[[#This Row],[Horas ajustadas adicionales]]</f>
        <v>0</v>
      </c>
    </row>
    <row r="5011" spans="1:23" ht="13.35" customHeight="1" x14ac:dyDescent="0.2">
      <c r="A5011" s="9" t="s">
        <v>626</v>
      </c>
      <c r="B5011" s="9" t="s">
        <v>178</v>
      </c>
      <c r="C5011" s="3"/>
      <c r="D5011" s="3" t="s">
        <v>862</v>
      </c>
      <c r="E5011" s="4" t="s">
        <v>28</v>
      </c>
      <c r="F5011" s="3"/>
      <c r="G5011" s="9">
        <v>0</v>
      </c>
      <c r="H5011" s="14">
        <f>SUM(H5012:H5013)</f>
        <v>0</v>
      </c>
      <c r="I5011" s="14"/>
      <c r="J5011" s="14" t="e">
        <f>SUM(J5012:J5013)</f>
        <v>#REF!</v>
      </c>
      <c r="K5011" s="14" t="e">
        <f>+Planning[[#This Row],[Horas Planificadas]]+Planning[[#This Row],[Horas ajustadas adicionales]]-Planning[[#This Row],[Horas utilizadas]]</f>
        <v>#REF!</v>
      </c>
      <c r="L5011" s="15">
        <f>SUM(L5012:L5013)</f>
        <v>0</v>
      </c>
      <c r="M5011" s="14" t="e">
        <f>SUM(M5012:M5013)</f>
        <v>#REF!</v>
      </c>
      <c r="N5011" s="66"/>
      <c r="O5011" s="14">
        <f t="shared" si="157"/>
        <v>10</v>
      </c>
      <c r="P5011" s="14">
        <f t="shared" si="158"/>
        <v>2024</v>
      </c>
      <c r="Q5011" s="28" t="e">
        <f>SUM(Q5012:Q5013)</f>
        <v>#REF!</v>
      </c>
      <c r="R5011" s="24" t="str">
        <f>TEXT(Planning[[#This Row],[Mes]]*29,"mmmm")</f>
        <v>October</v>
      </c>
      <c r="S5011"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11" s="175" t="s">
        <v>863</v>
      </c>
      <c r="U5011" s="43">
        <f>IF(Planning[[#This Row],[Horas Planificadas]]&lt;&gt;0,+K5011/Planning[[#This Row],[Horas Planificadas]],0)</f>
        <v>0</v>
      </c>
      <c r="V5011" s="43">
        <f>IF(Planning[[#This Row],[Horas Planificadas]]&lt;&gt;0,Planning[[#This Row],[Horas utilizadas]]/Planning[[#This Row],[Horas Planificadas]],0)</f>
        <v>0</v>
      </c>
      <c r="W5011" s="44">
        <f>Planning[[#This Row],[Horas Planificadas]]+Planning[[#This Row],[Horas ajustadas adicionales]]</f>
        <v>0</v>
      </c>
    </row>
    <row r="5012" spans="1:23" x14ac:dyDescent="0.2">
      <c r="A5012" s="9" t="s">
        <v>626</v>
      </c>
      <c r="B5012" s="9" t="s">
        <v>178</v>
      </c>
      <c r="C5012" s="3"/>
      <c r="D5012" s="3" t="s">
        <v>862</v>
      </c>
      <c r="E5012" s="4"/>
      <c r="F5012" s="3" t="s">
        <v>120</v>
      </c>
      <c r="G5012" s="9"/>
      <c r="H5012" s="9">
        <v>0</v>
      </c>
      <c r="I5012" s="12"/>
      <c r="J5012" s="5" t="e">
        <f>SUM(SUMIFS(#REF!,#REF!,Planning[[#This Row],[Tipo de Tarea y especialidad]],#REF!,Planning[[#This Row],[Proyectos Reiwa]]),SUMIFS(#REF!,#REF!,Planning[[#This Row],[Tipo de Tarea y especialidad]],#REF!,Planning[[#This Row],[Proyectos]]))</f>
        <v>#REF!</v>
      </c>
      <c r="K5012" s="5" t="e">
        <f>+Planning[[#This Row],[Horas Planificadas]]+Planning[[#This Row],[Horas ajustadas adicionales]]-Planning[[#This Row],[Horas utilizadas]]</f>
        <v>#REF!</v>
      </c>
      <c r="L5012" s="7">
        <v>0</v>
      </c>
      <c r="M5012" s="19" t="e">
        <f>Planning[[#This Row],[Saldo]]-Planning[[#This Row],[Saldo estimado]]</f>
        <v>#REF!</v>
      </c>
      <c r="N5012" s="60" t="e">
        <f>+SUMIFS(#REF!,#REF!,Planning[[#This Row],[Proyectos]],#REF!,Planning[[#This Row],[Tipo de Tarea y especialidad]])</f>
        <v>#REF!</v>
      </c>
      <c r="O5012" s="19">
        <f t="shared" si="157"/>
        <v>10</v>
      </c>
      <c r="P5012" s="19">
        <f t="shared" si="158"/>
        <v>2024</v>
      </c>
      <c r="Q50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12" s="49" t="str">
        <f>TEXT(Planning[[#This Row],[Mes]]*29,"mmmm")</f>
        <v>October</v>
      </c>
      <c r="S501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12" s="156"/>
      <c r="U5012" s="43">
        <f>IF(Planning[[#This Row],[Horas Planificadas]]&lt;&gt;0,+K5012/Planning[[#This Row],[Horas Planificadas]],0)</f>
        <v>0</v>
      </c>
      <c r="V5012" s="43">
        <f>IF(Planning[[#This Row],[Horas Planificadas]]&lt;&gt;0,Planning[[#This Row],[Horas utilizadas]]/Planning[[#This Row],[Horas Planificadas]],0)</f>
        <v>0</v>
      </c>
      <c r="W5012" s="44">
        <f>Planning[[#This Row],[Horas Planificadas]]+Planning[[#This Row],[Horas ajustadas adicionales]]</f>
        <v>0</v>
      </c>
    </row>
    <row r="5013" spans="1:23" x14ac:dyDescent="0.2">
      <c r="A5013" s="9" t="s">
        <v>626</v>
      </c>
      <c r="B5013" s="9" t="s">
        <v>178</v>
      </c>
      <c r="C5013" s="3"/>
      <c r="D5013" s="3" t="s">
        <v>862</v>
      </c>
      <c r="E5013" s="4"/>
      <c r="F5013" s="3" t="s">
        <v>121</v>
      </c>
      <c r="G5013" s="9"/>
      <c r="H5013" s="9">
        <v>0</v>
      </c>
      <c r="I5013" s="12"/>
      <c r="J5013" s="5" t="e">
        <f>SUM(SUMIFS(#REF!,#REF!,Planning[[#This Row],[Tipo de Tarea y especialidad]],#REF!,Planning[[#This Row],[Proyectos Reiwa]]),SUMIFS(#REF!,#REF!,Planning[[#This Row],[Tipo de Tarea y especialidad]],#REF!,Planning[[#This Row],[Proyectos]]))</f>
        <v>#REF!</v>
      </c>
      <c r="K5013" s="5" t="e">
        <f>+Planning[[#This Row],[Horas Planificadas]]+Planning[[#This Row],[Horas ajustadas adicionales]]-Planning[[#This Row],[Horas utilizadas]]</f>
        <v>#REF!</v>
      </c>
      <c r="L5013" s="7">
        <v>0</v>
      </c>
      <c r="M5013" s="19" t="e">
        <f>Planning[[#This Row],[Saldo]]-Planning[[#This Row],[Saldo estimado]]</f>
        <v>#REF!</v>
      </c>
      <c r="N5013" s="60" t="e">
        <f>+SUMIFS(#REF!,#REF!,Planning[[#This Row],[Proyectos]],#REF!,Planning[[#This Row],[Tipo de Tarea y especialidad]])</f>
        <v>#REF!</v>
      </c>
      <c r="O5013" s="19">
        <f t="shared" si="157"/>
        <v>10</v>
      </c>
      <c r="P5013" s="19">
        <f t="shared" si="158"/>
        <v>2024</v>
      </c>
      <c r="Q50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13" s="49" t="str">
        <f>TEXT(Planning[[#This Row],[Mes]]*29,"mmmm")</f>
        <v>October</v>
      </c>
      <c r="S501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13" s="156"/>
      <c r="U5013" s="43">
        <f>IF(Planning[[#This Row],[Horas Planificadas]]&lt;&gt;0,+K5013/Planning[[#This Row],[Horas Planificadas]],0)</f>
        <v>0</v>
      </c>
      <c r="V5013" s="43">
        <f>IF(Planning[[#This Row],[Horas Planificadas]]&lt;&gt;0,Planning[[#This Row],[Horas utilizadas]]/Planning[[#This Row],[Horas Planificadas]],0)</f>
        <v>0</v>
      </c>
      <c r="W5013" s="44">
        <f>Planning[[#This Row],[Horas Planificadas]]+Planning[[#This Row],[Horas ajustadas adicionales]]</f>
        <v>0</v>
      </c>
    </row>
    <row r="5014" spans="1:23" x14ac:dyDescent="0.2">
      <c r="A5014" s="9" t="s">
        <v>626</v>
      </c>
      <c r="B5014" s="9" t="s">
        <v>178</v>
      </c>
      <c r="C5014" s="3"/>
      <c r="D5014" s="3" t="s">
        <v>862</v>
      </c>
      <c r="E5014" s="4" t="s">
        <v>30</v>
      </c>
      <c r="F5014" s="3"/>
      <c r="G5014" s="9">
        <v>63</v>
      </c>
      <c r="H5014" s="14">
        <f>SUM(H5015:H5021)</f>
        <v>63</v>
      </c>
      <c r="I5014" s="14"/>
      <c r="J5014" s="14" t="e">
        <f>SUM(J5015:J5021)</f>
        <v>#REF!</v>
      </c>
      <c r="K5014" s="14" t="e">
        <f>+Planning[[#This Row],[Horas Planificadas]]+Planning[[#This Row],[Horas ajustadas adicionales]]-Planning[[#This Row],[Horas utilizadas]]</f>
        <v>#REF!</v>
      </c>
      <c r="L5014" s="15">
        <f>SUM(L5015:L5021)</f>
        <v>0</v>
      </c>
      <c r="M5014" s="16" t="e">
        <f>SUM(M5015:M5021)</f>
        <v>#REF!</v>
      </c>
      <c r="N5014" s="60"/>
      <c r="O5014" s="16">
        <f t="shared" si="157"/>
        <v>10</v>
      </c>
      <c r="P5014" s="16">
        <f t="shared" si="158"/>
        <v>2024</v>
      </c>
      <c r="Q5014" s="16" t="e">
        <f>SUM(Q5015:Q5021)</f>
        <v>#REF!</v>
      </c>
      <c r="R5014" s="50" t="str">
        <f>TEXT(Planning[[#This Row],[Mes]]*29,"mmmm")</f>
        <v>October</v>
      </c>
      <c r="S501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14" s="156"/>
      <c r="U5014" s="43" t="e">
        <f>IF(Planning[[#This Row],[Horas Planificadas]]&lt;&gt;0,+K5014/Planning[[#This Row],[Horas Planificadas]],0)</f>
        <v>#REF!</v>
      </c>
      <c r="V5014" s="43" t="e">
        <f>IF(Planning[[#This Row],[Horas Planificadas]]&lt;&gt;0,Planning[[#This Row],[Horas utilizadas]]/Planning[[#This Row],[Horas Planificadas]],0)</f>
        <v>#REF!</v>
      </c>
      <c r="W5014" s="44">
        <f>Planning[[#This Row],[Horas Planificadas]]+Planning[[#This Row],[Horas ajustadas adicionales]]</f>
        <v>63</v>
      </c>
    </row>
    <row r="5015" spans="1:23" x14ac:dyDescent="0.2">
      <c r="A5015" s="9" t="s">
        <v>626</v>
      </c>
      <c r="B5015" s="9" t="s">
        <v>178</v>
      </c>
      <c r="C5015" s="3"/>
      <c r="D5015" s="3" t="s">
        <v>862</v>
      </c>
      <c r="E5015" s="4"/>
      <c r="F5015" s="3" t="s">
        <v>122</v>
      </c>
      <c r="G5015" s="9"/>
      <c r="H5015" s="9">
        <v>0</v>
      </c>
      <c r="I5015" s="12"/>
      <c r="J5015" s="5" t="e">
        <f>SUM(SUMIFS(#REF!,#REF!,Planning[[#This Row],[Tipo de Tarea y especialidad]],#REF!,Planning[[#This Row],[Proyectos Reiwa]]),SUMIFS(#REF!,#REF!,Planning[[#This Row],[Tipo de Tarea y especialidad]],#REF!,Planning[[#This Row],[Proyectos]]))</f>
        <v>#REF!</v>
      </c>
      <c r="K5015" s="5" t="e">
        <f>+Planning[[#This Row],[Horas Planificadas]]+Planning[[#This Row],[Horas ajustadas adicionales]]-Planning[[#This Row],[Horas utilizadas]]</f>
        <v>#REF!</v>
      </c>
      <c r="L5015" s="7">
        <v>0</v>
      </c>
      <c r="M5015" s="19" t="e">
        <f>Planning[[#This Row],[Saldo]]-Planning[[#This Row],[Saldo estimado]]</f>
        <v>#REF!</v>
      </c>
      <c r="N5015" s="60" t="e">
        <f>+SUMIFS(#REF!,#REF!,Planning[[#This Row],[Proyectos]],#REF!,Planning[[#This Row],[Tipo de Tarea y especialidad]])</f>
        <v>#REF!</v>
      </c>
      <c r="O5015" s="19">
        <f t="shared" si="157"/>
        <v>10</v>
      </c>
      <c r="P5015" s="19">
        <f t="shared" si="158"/>
        <v>2024</v>
      </c>
      <c r="Q50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15" s="49" t="str">
        <f>TEXT(Planning[[#This Row],[Mes]]*29,"mmmm")</f>
        <v>October</v>
      </c>
      <c r="S501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15" s="156"/>
      <c r="U5015" s="43">
        <f>IF(Planning[[#This Row],[Horas Planificadas]]&lt;&gt;0,+K5015/Planning[[#This Row],[Horas Planificadas]],0)</f>
        <v>0</v>
      </c>
      <c r="V5015" s="43">
        <f>IF(Planning[[#This Row],[Horas Planificadas]]&lt;&gt;0,Planning[[#This Row],[Horas utilizadas]]/Planning[[#This Row],[Horas Planificadas]],0)</f>
        <v>0</v>
      </c>
      <c r="W5015" s="44">
        <f>Planning[[#This Row],[Horas Planificadas]]+Planning[[#This Row],[Horas ajustadas adicionales]]</f>
        <v>0</v>
      </c>
    </row>
    <row r="5016" spans="1:23" x14ac:dyDescent="0.2">
      <c r="A5016" s="9" t="s">
        <v>626</v>
      </c>
      <c r="B5016" s="9" t="s">
        <v>178</v>
      </c>
      <c r="C5016" s="3"/>
      <c r="D5016" s="3" t="s">
        <v>862</v>
      </c>
      <c r="E5016" s="4"/>
      <c r="F5016" s="3" t="s">
        <v>123</v>
      </c>
      <c r="G5016" s="9"/>
      <c r="H5016" s="9">
        <v>0</v>
      </c>
      <c r="I5016" s="12"/>
      <c r="J5016" s="5" t="e">
        <f>SUM(SUMIFS(#REF!,#REF!,Planning[[#This Row],[Tipo de Tarea y especialidad]],#REF!,Planning[[#This Row],[Proyectos Reiwa]]),SUMIFS(#REF!,#REF!,Planning[[#This Row],[Tipo de Tarea y especialidad]],#REF!,Planning[[#This Row],[Proyectos]]))</f>
        <v>#REF!</v>
      </c>
      <c r="K5016" s="5" t="e">
        <f>+Planning[[#This Row],[Horas Planificadas]]+Planning[[#This Row],[Horas ajustadas adicionales]]-Planning[[#This Row],[Horas utilizadas]]</f>
        <v>#REF!</v>
      </c>
      <c r="L5016" s="7">
        <v>0</v>
      </c>
      <c r="M5016" s="19" t="e">
        <f>Planning[[#This Row],[Saldo]]-Planning[[#This Row],[Saldo estimado]]</f>
        <v>#REF!</v>
      </c>
      <c r="N5016" s="60" t="e">
        <f>+SUMIFS(#REF!,#REF!,Planning[[#This Row],[Proyectos]],#REF!,Planning[[#This Row],[Tipo de Tarea y especialidad]])</f>
        <v>#REF!</v>
      </c>
      <c r="O5016" s="19">
        <f t="shared" si="157"/>
        <v>10</v>
      </c>
      <c r="P5016" s="19">
        <f t="shared" si="158"/>
        <v>2024</v>
      </c>
      <c r="Q50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16" s="49" t="str">
        <f>TEXT(Planning[[#This Row],[Mes]]*29,"mmmm")</f>
        <v>October</v>
      </c>
      <c r="S501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16" s="156"/>
      <c r="U5016" s="43">
        <f>IF(Planning[[#This Row],[Horas Planificadas]]&lt;&gt;0,+K5016/Planning[[#This Row],[Horas Planificadas]],0)</f>
        <v>0</v>
      </c>
      <c r="V5016" s="43">
        <f>IF(Planning[[#This Row],[Horas Planificadas]]&lt;&gt;0,Planning[[#This Row],[Horas utilizadas]]/Planning[[#This Row],[Horas Planificadas]],0)</f>
        <v>0</v>
      </c>
      <c r="W5016" s="44">
        <f>Planning[[#This Row],[Horas Planificadas]]+Planning[[#This Row],[Horas ajustadas adicionales]]</f>
        <v>0</v>
      </c>
    </row>
    <row r="5017" spans="1:23" x14ac:dyDescent="0.2">
      <c r="A5017" s="9" t="s">
        <v>626</v>
      </c>
      <c r="B5017" s="9" t="s">
        <v>178</v>
      </c>
      <c r="C5017" s="3"/>
      <c r="D5017" s="3" t="s">
        <v>862</v>
      </c>
      <c r="E5017" s="4"/>
      <c r="F5017" s="3" t="s">
        <v>124</v>
      </c>
      <c r="G5017" s="9"/>
      <c r="H5017" s="9">
        <v>0</v>
      </c>
      <c r="I5017" s="12"/>
      <c r="J5017" s="5" t="e">
        <f>SUM(SUMIFS(#REF!,#REF!,Planning[[#This Row],[Tipo de Tarea y especialidad]],#REF!,Planning[[#This Row],[Proyectos Reiwa]]),SUMIFS(#REF!,#REF!,Planning[[#This Row],[Tipo de Tarea y especialidad]],#REF!,Planning[[#This Row],[Proyectos]]))</f>
        <v>#REF!</v>
      </c>
      <c r="K5017" s="5" t="e">
        <f>+Planning[[#This Row],[Horas Planificadas]]+Planning[[#This Row],[Horas ajustadas adicionales]]-Planning[[#This Row],[Horas utilizadas]]</f>
        <v>#REF!</v>
      </c>
      <c r="L5017" s="7">
        <v>0</v>
      </c>
      <c r="M5017" s="19" t="e">
        <f>Planning[[#This Row],[Saldo]]-Planning[[#This Row],[Saldo estimado]]</f>
        <v>#REF!</v>
      </c>
      <c r="N5017" s="60" t="e">
        <f>+SUMIFS(#REF!,#REF!,Planning[[#This Row],[Proyectos]],#REF!,Planning[[#This Row],[Tipo de Tarea y especialidad]])</f>
        <v>#REF!</v>
      </c>
      <c r="O5017" s="19">
        <f t="shared" si="157"/>
        <v>10</v>
      </c>
      <c r="P5017" s="19">
        <f t="shared" si="158"/>
        <v>2024</v>
      </c>
      <c r="Q50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17" s="49" t="str">
        <f>TEXT(Planning[[#This Row],[Mes]]*29,"mmmm")</f>
        <v>October</v>
      </c>
      <c r="S501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17" s="156"/>
      <c r="U5017" s="43">
        <f>IF(Planning[[#This Row],[Horas Planificadas]]&lt;&gt;0,+K5017/Planning[[#This Row],[Horas Planificadas]],0)</f>
        <v>0</v>
      </c>
      <c r="V5017" s="43">
        <f>IF(Planning[[#This Row],[Horas Planificadas]]&lt;&gt;0,Planning[[#This Row],[Horas utilizadas]]/Planning[[#This Row],[Horas Planificadas]],0)</f>
        <v>0</v>
      </c>
      <c r="W5017" s="44">
        <f>Planning[[#This Row],[Horas Planificadas]]+Planning[[#This Row],[Horas ajustadas adicionales]]</f>
        <v>0</v>
      </c>
    </row>
    <row r="5018" spans="1:23" x14ac:dyDescent="0.2">
      <c r="A5018" s="9" t="s">
        <v>626</v>
      </c>
      <c r="B5018" s="9" t="s">
        <v>178</v>
      </c>
      <c r="C5018" s="3"/>
      <c r="D5018" s="3" t="s">
        <v>862</v>
      </c>
      <c r="E5018" s="4"/>
      <c r="F5018" s="3" t="s">
        <v>125</v>
      </c>
      <c r="G5018" s="9"/>
      <c r="H5018" s="9">
        <v>9</v>
      </c>
      <c r="I5018" s="12"/>
      <c r="J5018" s="5" t="e">
        <f>SUM(SUMIFS(#REF!,#REF!,Planning[[#This Row],[Tipo de Tarea y especialidad]],#REF!,Planning[[#This Row],[Proyectos Reiwa]]),SUMIFS(#REF!,#REF!,Planning[[#This Row],[Tipo de Tarea y especialidad]],#REF!,Planning[[#This Row],[Proyectos]]))</f>
        <v>#REF!</v>
      </c>
      <c r="K5018" s="5" t="e">
        <f>+Planning[[#This Row],[Horas Planificadas]]+Planning[[#This Row],[Horas ajustadas adicionales]]-Planning[[#This Row],[Horas utilizadas]]</f>
        <v>#REF!</v>
      </c>
      <c r="L5018" s="7">
        <v>0</v>
      </c>
      <c r="M5018" s="19" t="e">
        <f>Planning[[#This Row],[Saldo]]-Planning[[#This Row],[Saldo estimado]]</f>
        <v>#REF!</v>
      </c>
      <c r="N5018" s="60" t="e">
        <f>+SUMIFS(#REF!,#REF!,Planning[[#This Row],[Proyectos]],#REF!,Planning[[#This Row],[Tipo de Tarea y especialidad]])</f>
        <v>#REF!</v>
      </c>
      <c r="O5018" s="19">
        <f t="shared" si="157"/>
        <v>10</v>
      </c>
      <c r="P5018" s="19">
        <f t="shared" si="158"/>
        <v>2024</v>
      </c>
      <c r="Q50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18" s="49" t="str">
        <f>TEXT(Planning[[#This Row],[Mes]]*29,"mmmm")</f>
        <v>October</v>
      </c>
      <c r="S501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18" s="156"/>
      <c r="U5018" s="43" t="e">
        <f>IF(Planning[[#This Row],[Horas Planificadas]]&lt;&gt;0,+K5018/Planning[[#This Row],[Horas Planificadas]],0)</f>
        <v>#REF!</v>
      </c>
      <c r="V5018" s="43" t="e">
        <f>IF(Planning[[#This Row],[Horas Planificadas]]&lt;&gt;0,Planning[[#This Row],[Horas utilizadas]]/Planning[[#This Row],[Horas Planificadas]],0)</f>
        <v>#REF!</v>
      </c>
      <c r="W5018" s="44">
        <f>Planning[[#This Row],[Horas Planificadas]]+Planning[[#This Row],[Horas ajustadas adicionales]]</f>
        <v>9</v>
      </c>
    </row>
    <row r="5019" spans="1:23" x14ac:dyDescent="0.2">
      <c r="A5019" s="9" t="s">
        <v>626</v>
      </c>
      <c r="B5019" s="9" t="s">
        <v>178</v>
      </c>
      <c r="C5019" s="3"/>
      <c r="D5019" s="3" t="s">
        <v>862</v>
      </c>
      <c r="E5019" s="4"/>
      <c r="F5019" s="3" t="s">
        <v>126</v>
      </c>
      <c r="G5019" s="9"/>
      <c r="H5019" s="9">
        <v>0</v>
      </c>
      <c r="I5019" s="12"/>
      <c r="J5019" s="5" t="e">
        <f>SUM(SUMIFS(#REF!,#REF!,Planning[[#This Row],[Tipo de Tarea y especialidad]],#REF!,Planning[[#This Row],[Proyectos Reiwa]]),SUMIFS(#REF!,#REF!,Planning[[#This Row],[Tipo de Tarea y especialidad]],#REF!,Planning[[#This Row],[Proyectos]]))</f>
        <v>#REF!</v>
      </c>
      <c r="K5019" s="5" t="e">
        <f>+Planning[[#This Row],[Horas Planificadas]]+Planning[[#This Row],[Horas ajustadas adicionales]]-Planning[[#This Row],[Horas utilizadas]]</f>
        <v>#REF!</v>
      </c>
      <c r="L5019" s="7">
        <v>0</v>
      </c>
      <c r="M5019" s="19" t="e">
        <f>Planning[[#This Row],[Saldo]]-Planning[[#This Row],[Saldo estimado]]</f>
        <v>#REF!</v>
      </c>
      <c r="N5019" s="60" t="e">
        <f>+SUMIFS(#REF!,#REF!,Planning[[#This Row],[Proyectos]],#REF!,Planning[[#This Row],[Tipo de Tarea y especialidad]])</f>
        <v>#REF!</v>
      </c>
      <c r="O5019" s="19">
        <f t="shared" si="157"/>
        <v>10</v>
      </c>
      <c r="P5019" s="19">
        <f t="shared" si="158"/>
        <v>2024</v>
      </c>
      <c r="Q50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19" s="49" t="str">
        <f>TEXT(Planning[[#This Row],[Mes]]*29,"mmmm")</f>
        <v>October</v>
      </c>
      <c r="S501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19" s="156"/>
      <c r="U5019" s="43">
        <f>IF(Planning[[#This Row],[Horas Planificadas]]&lt;&gt;0,+K5019/Planning[[#This Row],[Horas Planificadas]],0)</f>
        <v>0</v>
      </c>
      <c r="V5019" s="43">
        <f>IF(Planning[[#This Row],[Horas Planificadas]]&lt;&gt;0,Planning[[#This Row],[Horas utilizadas]]/Planning[[#This Row],[Horas Planificadas]],0)</f>
        <v>0</v>
      </c>
      <c r="W5019" s="44">
        <f>Planning[[#This Row],[Horas Planificadas]]+Planning[[#This Row],[Horas ajustadas adicionales]]</f>
        <v>0</v>
      </c>
    </row>
    <row r="5020" spans="1:23" x14ac:dyDescent="0.2">
      <c r="A5020" s="9" t="s">
        <v>626</v>
      </c>
      <c r="B5020" s="9" t="s">
        <v>178</v>
      </c>
      <c r="C5020" s="3"/>
      <c r="D5020" s="3" t="s">
        <v>862</v>
      </c>
      <c r="E5020" s="4"/>
      <c r="F5020" s="3" t="s">
        <v>127</v>
      </c>
      <c r="G5020" s="9"/>
      <c r="H5020" s="9">
        <v>54</v>
      </c>
      <c r="I5020" s="12"/>
      <c r="J5020" s="5" t="e">
        <f>SUM(SUMIFS(#REF!,#REF!,Planning[[#This Row],[Tipo de Tarea y especialidad]],#REF!,Planning[[#This Row],[Proyectos Reiwa]]),SUMIFS(#REF!,#REF!,Planning[[#This Row],[Tipo de Tarea y especialidad]],#REF!,Planning[[#This Row],[Proyectos]]))</f>
        <v>#REF!</v>
      </c>
      <c r="K5020" s="5" t="e">
        <f>+Planning[[#This Row],[Horas Planificadas]]+Planning[[#This Row],[Horas ajustadas adicionales]]-Planning[[#This Row],[Horas utilizadas]]</f>
        <v>#REF!</v>
      </c>
      <c r="L5020" s="7">
        <v>0</v>
      </c>
      <c r="M5020" s="19" t="e">
        <f>Planning[[#This Row],[Saldo]]-Planning[[#This Row],[Saldo estimado]]</f>
        <v>#REF!</v>
      </c>
      <c r="N5020" s="60" t="e">
        <f>+SUMIFS(#REF!,#REF!,Planning[[#This Row],[Proyectos]],#REF!,Planning[[#This Row],[Tipo de Tarea y especialidad]])</f>
        <v>#REF!</v>
      </c>
      <c r="O5020" s="19">
        <f t="shared" si="157"/>
        <v>10</v>
      </c>
      <c r="P5020" s="19">
        <f t="shared" si="158"/>
        <v>2024</v>
      </c>
      <c r="Q50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20" s="49" t="str">
        <f>TEXT(Planning[[#This Row],[Mes]]*29,"mmmm")</f>
        <v>October</v>
      </c>
      <c r="S502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20" s="156"/>
      <c r="U5020" s="43" t="e">
        <f>IF(Planning[[#This Row],[Horas Planificadas]]&lt;&gt;0,+K5020/Planning[[#This Row],[Horas Planificadas]],0)</f>
        <v>#REF!</v>
      </c>
      <c r="V5020" s="43" t="e">
        <f>IF(Planning[[#This Row],[Horas Planificadas]]&lt;&gt;0,Planning[[#This Row],[Horas utilizadas]]/Planning[[#This Row],[Horas Planificadas]],0)</f>
        <v>#REF!</v>
      </c>
      <c r="W5020" s="44">
        <f>Planning[[#This Row],[Horas Planificadas]]+Planning[[#This Row],[Horas ajustadas adicionales]]</f>
        <v>54</v>
      </c>
    </row>
    <row r="5021" spans="1:23" x14ac:dyDescent="0.2">
      <c r="A5021" s="9" t="s">
        <v>626</v>
      </c>
      <c r="B5021" s="9" t="s">
        <v>178</v>
      </c>
      <c r="C5021" s="3"/>
      <c r="D5021" s="3" t="s">
        <v>862</v>
      </c>
      <c r="E5021" s="4"/>
      <c r="F5021" s="3" t="s">
        <v>128</v>
      </c>
      <c r="G5021" s="9"/>
      <c r="H5021" s="9">
        <v>0</v>
      </c>
      <c r="I5021" s="12"/>
      <c r="J5021" s="5" t="e">
        <f>SUM(SUMIFS(#REF!,#REF!,Planning[[#This Row],[Tipo de Tarea y especialidad]],#REF!,Planning[[#This Row],[Proyectos Reiwa]]),SUMIFS(#REF!,#REF!,Planning[[#This Row],[Tipo de Tarea y especialidad]],#REF!,Planning[[#This Row],[Proyectos]]))</f>
        <v>#REF!</v>
      </c>
      <c r="K5021" s="5" t="e">
        <f>+Planning[[#This Row],[Horas Planificadas]]+Planning[[#This Row],[Horas ajustadas adicionales]]-Planning[[#This Row],[Horas utilizadas]]</f>
        <v>#REF!</v>
      </c>
      <c r="L5021" s="7">
        <v>0</v>
      </c>
      <c r="M5021" s="19" t="e">
        <f>Planning[[#This Row],[Saldo]]-Planning[[#This Row],[Saldo estimado]]</f>
        <v>#REF!</v>
      </c>
      <c r="N5021" s="60" t="e">
        <f>+SUMIFS(#REF!,#REF!,Planning[[#This Row],[Proyectos]],#REF!,Planning[[#This Row],[Tipo de Tarea y especialidad]])</f>
        <v>#REF!</v>
      </c>
      <c r="O5021" s="19">
        <f t="shared" si="157"/>
        <v>10</v>
      </c>
      <c r="P5021" s="19">
        <f t="shared" si="158"/>
        <v>2024</v>
      </c>
      <c r="Q50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21" s="49" t="str">
        <f>TEXT(Planning[[#This Row],[Mes]]*29,"mmmm")</f>
        <v>October</v>
      </c>
      <c r="S502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21" s="156"/>
      <c r="U5021" s="43">
        <f>IF(Planning[[#This Row],[Horas Planificadas]]&lt;&gt;0,+K5021/Planning[[#This Row],[Horas Planificadas]],0)</f>
        <v>0</v>
      </c>
      <c r="V5021" s="43">
        <f>IF(Planning[[#This Row],[Horas Planificadas]]&lt;&gt;0,Planning[[#This Row],[Horas utilizadas]]/Planning[[#This Row],[Horas Planificadas]],0)</f>
        <v>0</v>
      </c>
      <c r="W5021" s="44">
        <f>Planning[[#This Row],[Horas Planificadas]]+Planning[[#This Row],[Horas ajustadas adicionales]]</f>
        <v>0</v>
      </c>
    </row>
    <row r="5022" spans="1:23" x14ac:dyDescent="0.2">
      <c r="A5022" s="9" t="s">
        <v>626</v>
      </c>
      <c r="B5022" s="9" t="s">
        <v>178</v>
      </c>
      <c r="C5022" s="3"/>
      <c r="D5022" s="3" t="s">
        <v>862</v>
      </c>
      <c r="E5022" s="4" t="s">
        <v>31</v>
      </c>
      <c r="F5022" s="3" t="s">
        <v>31</v>
      </c>
      <c r="G5022" s="9">
        <v>9</v>
      </c>
      <c r="H5022" s="17">
        <v>9</v>
      </c>
      <c r="I5022" s="18"/>
      <c r="J5022" s="14" t="e">
        <f>+SUMIFS(#REF!,#REF!,Planning[[#This Row],[Tarifa]],#REF!,Planning[[#This Row],[Proyectos]])</f>
        <v>#REF!</v>
      </c>
      <c r="K5022" s="14" t="e">
        <f>+Planning[[#This Row],[Horas Planificadas]]+Planning[[#This Row],[Horas ajustadas adicionales]]-Planning[[#This Row],[Horas utilizadas]]</f>
        <v>#REF!</v>
      </c>
      <c r="L5022" s="15" t="e">
        <f>Planning[[#This Row],[Saldo]]</f>
        <v>#REF!</v>
      </c>
      <c r="M5022" s="16" t="e">
        <f>Planning[[#This Row],[Saldo]]-Planning[[#This Row],[Saldo estimado]]</f>
        <v>#REF!</v>
      </c>
      <c r="N5022" s="60"/>
      <c r="O5022" s="16">
        <f t="shared" si="157"/>
        <v>10</v>
      </c>
      <c r="P5022" s="16">
        <f t="shared" si="158"/>
        <v>2024</v>
      </c>
      <c r="Q5022" s="16" t="e">
        <f>+SUMIFS(#REF!,#REF!,Planning[[#This Row],[Tarifa]],#REF!,Planning[[#This Row],[Proyectos]],#REF!,Planning[[#This Row],[Mes]],#REF!,Planning[[#This Row],[Año]])</f>
        <v>#REF!</v>
      </c>
      <c r="R5022" s="50" t="str">
        <f>TEXT(Planning[[#This Row],[Mes]]*29,"mmmm")</f>
        <v>October</v>
      </c>
      <c r="S502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22" s="156"/>
      <c r="U5022" s="43" t="e">
        <f>IF(Planning[[#This Row],[Horas Planificadas]]&lt;&gt;0,+K5022/Planning[[#This Row],[Horas Planificadas]],0)</f>
        <v>#REF!</v>
      </c>
      <c r="V5022" s="43" t="e">
        <f>IF(Planning[[#This Row],[Horas Planificadas]]&lt;&gt;0,Planning[[#This Row],[Horas utilizadas]]/Planning[[#This Row],[Horas Planificadas]],0)</f>
        <v>#REF!</v>
      </c>
      <c r="W5022" s="44">
        <f>Planning[[#This Row],[Horas Planificadas]]+Planning[[#This Row],[Horas ajustadas adicionales]]</f>
        <v>9</v>
      </c>
    </row>
    <row r="5023" spans="1:23" ht="22.5" x14ac:dyDescent="0.2">
      <c r="A5023" s="9" t="s">
        <v>626</v>
      </c>
      <c r="B5023" s="9" t="s">
        <v>178</v>
      </c>
      <c r="C5023" s="3"/>
      <c r="D5023" s="3" t="s">
        <v>862</v>
      </c>
      <c r="E5023" s="4" t="s">
        <v>32</v>
      </c>
      <c r="F5023" s="3"/>
      <c r="G5023" s="9">
        <v>0</v>
      </c>
      <c r="H5023" s="14">
        <f>SUM(H5024:H5026)</f>
        <v>0</v>
      </c>
      <c r="I5023" s="14"/>
      <c r="J5023" s="14" t="e">
        <f>SUM(J5024:J5026)</f>
        <v>#REF!</v>
      </c>
      <c r="K5023" s="14" t="e">
        <f>+Planning[[#This Row],[Horas Planificadas]]+Planning[[#This Row],[Horas ajustadas adicionales]]-Planning[[#This Row],[Horas utilizadas]]</f>
        <v>#REF!</v>
      </c>
      <c r="L5023" s="15">
        <f>SUM(L5024:L5026)</f>
        <v>0</v>
      </c>
      <c r="M5023" s="16" t="e">
        <f>SUM(M5024:M5026)</f>
        <v>#REF!</v>
      </c>
      <c r="N5023" s="60"/>
      <c r="O5023" s="16">
        <f t="shared" si="157"/>
        <v>10</v>
      </c>
      <c r="P5023" s="16">
        <f t="shared" si="158"/>
        <v>2024</v>
      </c>
      <c r="Q5023" s="16" t="e">
        <f>SUM(Q5024:Q5026)</f>
        <v>#REF!</v>
      </c>
      <c r="R5023" s="50" t="str">
        <f>TEXT(Planning[[#This Row],[Mes]]*29,"mmmm")</f>
        <v>October</v>
      </c>
      <c r="S502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23" s="156"/>
      <c r="U5023" s="43">
        <f>IF(Planning[[#This Row],[Horas Planificadas]]&lt;&gt;0,+K5023/Planning[[#This Row],[Horas Planificadas]],0)</f>
        <v>0</v>
      </c>
      <c r="V5023" s="43">
        <f>IF(Planning[[#This Row],[Horas Planificadas]]&lt;&gt;0,Planning[[#This Row],[Horas utilizadas]]/Planning[[#This Row],[Horas Planificadas]],0)</f>
        <v>0</v>
      </c>
      <c r="W5023" s="44">
        <f>Planning[[#This Row],[Horas Planificadas]]+Planning[[#This Row],[Horas ajustadas adicionales]]</f>
        <v>0</v>
      </c>
    </row>
    <row r="5024" spans="1:23" x14ac:dyDescent="0.2">
      <c r="A5024" s="9" t="s">
        <v>626</v>
      </c>
      <c r="B5024" s="9" t="s">
        <v>178</v>
      </c>
      <c r="C5024" s="3"/>
      <c r="D5024" s="3" t="s">
        <v>862</v>
      </c>
      <c r="E5024" s="4"/>
      <c r="F5024" s="3" t="s">
        <v>129</v>
      </c>
      <c r="G5024" s="9"/>
      <c r="H5024" s="9">
        <v>0</v>
      </c>
      <c r="I5024" s="12"/>
      <c r="J5024" s="5" t="e">
        <f>SUM(SUMIFS(#REF!,#REF!,Planning[[#This Row],[Tipo de Tarea y especialidad]],#REF!,Planning[[#This Row],[Proyectos Reiwa]]),SUMIFS(#REF!,#REF!,Planning[[#This Row],[Tipo de Tarea y especialidad]],#REF!,Planning[[#This Row],[Proyectos]]))</f>
        <v>#REF!</v>
      </c>
      <c r="K5024" s="5" t="e">
        <f>+Planning[[#This Row],[Horas Planificadas]]+Planning[[#This Row],[Horas ajustadas adicionales]]-Planning[[#This Row],[Horas utilizadas]]</f>
        <v>#REF!</v>
      </c>
      <c r="L5024" s="7">
        <v>0</v>
      </c>
      <c r="M5024" s="19" t="e">
        <f>Planning[[#This Row],[Saldo]]-Planning[[#This Row],[Saldo estimado]]</f>
        <v>#REF!</v>
      </c>
      <c r="N5024" s="60" t="e">
        <f>+SUMIFS(#REF!,#REF!,Planning[[#This Row],[Proyectos]],#REF!,Planning[[#This Row],[Tipo de Tarea y especialidad]])</f>
        <v>#REF!</v>
      </c>
      <c r="O5024" s="19">
        <f t="shared" si="157"/>
        <v>10</v>
      </c>
      <c r="P5024" s="19">
        <f t="shared" si="158"/>
        <v>2024</v>
      </c>
      <c r="Q50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24" s="49" t="str">
        <f>TEXT(Planning[[#This Row],[Mes]]*29,"mmmm")</f>
        <v>October</v>
      </c>
      <c r="S502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24" s="156"/>
      <c r="U5024" s="43">
        <f>IF(Planning[[#This Row],[Horas Planificadas]]&lt;&gt;0,+K5024/Planning[[#This Row],[Horas Planificadas]],0)</f>
        <v>0</v>
      </c>
      <c r="V5024" s="43">
        <f>IF(Planning[[#This Row],[Horas Planificadas]]&lt;&gt;0,Planning[[#This Row],[Horas utilizadas]]/Planning[[#This Row],[Horas Planificadas]],0)</f>
        <v>0</v>
      </c>
      <c r="W5024" s="44">
        <f>Planning[[#This Row],[Horas Planificadas]]+Planning[[#This Row],[Horas ajustadas adicionales]]</f>
        <v>0</v>
      </c>
    </row>
    <row r="5025" spans="1:23" x14ac:dyDescent="0.2">
      <c r="A5025" s="9" t="s">
        <v>626</v>
      </c>
      <c r="B5025" s="9" t="s">
        <v>178</v>
      </c>
      <c r="C5025" s="3"/>
      <c r="D5025" s="3" t="s">
        <v>862</v>
      </c>
      <c r="E5025" s="4"/>
      <c r="F5025" s="3" t="s">
        <v>130</v>
      </c>
      <c r="G5025" s="9"/>
      <c r="H5025" s="9">
        <v>0</v>
      </c>
      <c r="I5025" s="12"/>
      <c r="J5025" s="5" t="e">
        <f>SUM(SUMIFS(#REF!,#REF!,Planning[[#This Row],[Tipo de Tarea y especialidad]],#REF!,Planning[[#This Row],[Proyectos Reiwa]]),SUMIFS(#REF!,#REF!,Planning[[#This Row],[Tipo de Tarea y especialidad]],#REF!,Planning[[#This Row],[Proyectos]]))</f>
        <v>#REF!</v>
      </c>
      <c r="K5025" s="5" t="e">
        <f>+Planning[[#This Row],[Horas Planificadas]]+Planning[[#This Row],[Horas ajustadas adicionales]]-Planning[[#This Row],[Horas utilizadas]]</f>
        <v>#REF!</v>
      </c>
      <c r="L5025" s="7">
        <v>0</v>
      </c>
      <c r="M5025" s="19" t="e">
        <f>Planning[[#This Row],[Saldo]]-Planning[[#This Row],[Saldo estimado]]</f>
        <v>#REF!</v>
      </c>
      <c r="N5025" s="60" t="e">
        <f>+SUMIFS(#REF!,#REF!,Planning[[#This Row],[Proyectos]],#REF!,Planning[[#This Row],[Tipo de Tarea y especialidad]])</f>
        <v>#REF!</v>
      </c>
      <c r="O5025" s="19">
        <f t="shared" si="157"/>
        <v>10</v>
      </c>
      <c r="P5025" s="19">
        <f t="shared" si="158"/>
        <v>2024</v>
      </c>
      <c r="Q50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25" s="49" t="str">
        <f>TEXT(Planning[[#This Row],[Mes]]*29,"mmmm")</f>
        <v>October</v>
      </c>
      <c r="S502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25" s="156"/>
      <c r="U5025" s="43">
        <f>IF(Planning[[#This Row],[Horas Planificadas]]&lt;&gt;0,+K5025/Planning[[#This Row],[Horas Planificadas]],0)</f>
        <v>0</v>
      </c>
      <c r="V5025" s="43">
        <f>IF(Planning[[#This Row],[Horas Planificadas]]&lt;&gt;0,Planning[[#This Row],[Horas utilizadas]]/Planning[[#This Row],[Horas Planificadas]],0)</f>
        <v>0</v>
      </c>
      <c r="W5025" s="44">
        <f>Planning[[#This Row],[Horas Planificadas]]+Planning[[#This Row],[Horas ajustadas adicionales]]</f>
        <v>0</v>
      </c>
    </row>
    <row r="5026" spans="1:23" x14ac:dyDescent="0.2">
      <c r="A5026" s="9" t="s">
        <v>626</v>
      </c>
      <c r="B5026" s="9" t="s">
        <v>178</v>
      </c>
      <c r="C5026" s="3"/>
      <c r="D5026" s="3" t="s">
        <v>862</v>
      </c>
      <c r="E5026" s="4"/>
      <c r="F5026" s="3" t="s">
        <v>131</v>
      </c>
      <c r="G5026" s="9"/>
      <c r="H5026" s="9">
        <v>0</v>
      </c>
      <c r="I5026" s="12"/>
      <c r="J5026" s="5" t="e">
        <f>SUM(SUMIFS(#REF!,#REF!,Planning[[#This Row],[Tipo de Tarea y especialidad]],#REF!,Planning[[#This Row],[Proyectos Reiwa]]),SUMIFS(#REF!,#REF!,Planning[[#This Row],[Tipo de Tarea y especialidad]],#REF!,Planning[[#This Row],[Proyectos]]))</f>
        <v>#REF!</v>
      </c>
      <c r="K5026" s="5" t="e">
        <f>+Planning[[#This Row],[Horas Planificadas]]+Planning[[#This Row],[Horas ajustadas adicionales]]-Planning[[#This Row],[Horas utilizadas]]</f>
        <v>#REF!</v>
      </c>
      <c r="L5026" s="7">
        <v>0</v>
      </c>
      <c r="M5026" s="19" t="e">
        <f>Planning[[#This Row],[Saldo]]-Planning[[#This Row],[Saldo estimado]]</f>
        <v>#REF!</v>
      </c>
      <c r="N5026" s="60" t="e">
        <f>+SUMIFS(#REF!,#REF!,Planning[[#This Row],[Proyectos]],#REF!,Planning[[#This Row],[Tipo de Tarea y especialidad]])</f>
        <v>#REF!</v>
      </c>
      <c r="O5026" s="19">
        <f t="shared" si="157"/>
        <v>10</v>
      </c>
      <c r="P5026" s="19">
        <f t="shared" si="158"/>
        <v>2024</v>
      </c>
      <c r="Q50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26" s="49" t="str">
        <f>TEXT(Planning[[#This Row],[Mes]]*29,"mmmm")</f>
        <v>October</v>
      </c>
      <c r="S502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26" s="156"/>
      <c r="U5026" s="43">
        <f>IF(Planning[[#This Row],[Horas Planificadas]]&lt;&gt;0,+K5026/Planning[[#This Row],[Horas Planificadas]],0)</f>
        <v>0</v>
      </c>
      <c r="V5026" s="43">
        <f>IF(Planning[[#This Row],[Horas Planificadas]]&lt;&gt;0,Planning[[#This Row],[Horas utilizadas]]/Planning[[#This Row],[Horas Planificadas]],0)</f>
        <v>0</v>
      </c>
      <c r="W5026" s="44">
        <f>Planning[[#This Row],[Horas Planificadas]]+Planning[[#This Row],[Horas ajustadas adicionales]]</f>
        <v>0</v>
      </c>
    </row>
    <row r="5027" spans="1:23" ht="13.35" customHeight="1" x14ac:dyDescent="0.2">
      <c r="A5027" s="9" t="s">
        <v>626</v>
      </c>
      <c r="B5027" s="9" t="s">
        <v>808</v>
      </c>
      <c r="C5027" s="3"/>
      <c r="D5027" s="3" t="s">
        <v>864</v>
      </c>
      <c r="E5027" s="4" t="s">
        <v>28</v>
      </c>
      <c r="F5027" s="3"/>
      <c r="G5027" s="9">
        <v>0</v>
      </c>
      <c r="H5027" s="14">
        <f>SUM(H5028:H5029)</f>
        <v>0</v>
      </c>
      <c r="I5027" s="14"/>
      <c r="J5027" s="14" t="e">
        <f>SUM(J5028:J5029)</f>
        <v>#REF!</v>
      </c>
      <c r="K5027" s="14" t="e">
        <f>+Planning[[#This Row],[Horas Planificadas]]+Planning[[#This Row],[Horas ajustadas adicionales]]-Planning[[#This Row],[Horas utilizadas]]</f>
        <v>#REF!</v>
      </c>
      <c r="L5027" s="15">
        <f>SUM(L5028:L5029)</f>
        <v>0</v>
      </c>
      <c r="M5027" s="14" t="e">
        <f>SUM(M5028:M5029)</f>
        <v>#REF!</v>
      </c>
      <c r="N5027" s="66"/>
      <c r="O5027" s="14">
        <f t="shared" si="157"/>
        <v>10</v>
      </c>
      <c r="P5027" s="14">
        <f t="shared" si="158"/>
        <v>2024</v>
      </c>
      <c r="Q5027" s="28" t="e">
        <f>SUM(Q5028:Q5029)</f>
        <v>#REF!</v>
      </c>
      <c r="R5027" s="14" t="str">
        <f>TEXT(Planning[[#This Row],[Mes]]*29,"mmmm")</f>
        <v>October</v>
      </c>
      <c r="S502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27" s="185" t="s">
        <v>865</v>
      </c>
      <c r="U5027" s="107">
        <f>IF(Planning[[#This Row],[Horas Planificadas]]&lt;&gt;0,+K5027/Planning[[#This Row],[Horas Planificadas]],0)</f>
        <v>0</v>
      </c>
      <c r="V5027" s="43">
        <f>IF(Planning[[#This Row],[Horas Planificadas]]&lt;&gt;0,Planning[[#This Row],[Horas utilizadas]]/Planning[[#This Row],[Horas Planificadas]],0)</f>
        <v>0</v>
      </c>
      <c r="W5027" s="44">
        <f>Planning[[#This Row],[Horas Planificadas]]+Planning[[#This Row],[Horas ajustadas adicionales]]</f>
        <v>0</v>
      </c>
    </row>
    <row r="5028" spans="1:23" x14ac:dyDescent="0.2">
      <c r="A5028" s="9" t="s">
        <v>626</v>
      </c>
      <c r="B5028" s="9" t="s">
        <v>808</v>
      </c>
      <c r="C5028" s="3"/>
      <c r="D5028" s="3" t="s">
        <v>864</v>
      </c>
      <c r="E5028" s="4"/>
      <c r="F5028" s="3" t="s">
        <v>120</v>
      </c>
      <c r="G5028" s="9"/>
      <c r="H5028" s="9">
        <v>0</v>
      </c>
      <c r="I5028" s="12"/>
      <c r="J5028" s="5" t="e">
        <f>SUM(SUMIFS(#REF!,#REF!,Planning[[#This Row],[Tipo de Tarea y especialidad]],#REF!,Planning[[#This Row],[Proyectos Reiwa]]),SUMIFS(#REF!,#REF!,Planning[[#This Row],[Tipo de Tarea y especialidad]],#REF!,Planning[[#This Row],[Proyectos]]))</f>
        <v>#REF!</v>
      </c>
      <c r="K5028" s="5" t="e">
        <f>+Planning[[#This Row],[Horas Planificadas]]+Planning[[#This Row],[Horas ajustadas adicionales]]-Planning[[#This Row],[Horas utilizadas]]</f>
        <v>#REF!</v>
      </c>
      <c r="L5028" s="7">
        <v>0</v>
      </c>
      <c r="M5028" s="19" t="e">
        <f>Planning[[#This Row],[Saldo]]-Planning[[#This Row],[Saldo estimado]]</f>
        <v>#REF!</v>
      </c>
      <c r="N5028" s="60" t="e">
        <f>+SUMIFS(#REF!,#REF!,Planning[[#This Row],[Proyectos]],#REF!,Planning[[#This Row],[Tipo de Tarea y especialidad]])</f>
        <v>#REF!</v>
      </c>
      <c r="O5028" s="19">
        <f t="shared" si="157"/>
        <v>10</v>
      </c>
      <c r="P5028" s="19">
        <f t="shared" si="158"/>
        <v>2024</v>
      </c>
      <c r="Q50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28" s="34" t="str">
        <f>TEXT(Planning[[#This Row],[Mes]]*29,"mmmm")</f>
        <v>October</v>
      </c>
      <c r="S502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28" s="186"/>
      <c r="U5028" s="107">
        <f>IF(Planning[[#This Row],[Horas Planificadas]]&lt;&gt;0,+K5028/Planning[[#This Row],[Horas Planificadas]],0)</f>
        <v>0</v>
      </c>
      <c r="V5028" s="43">
        <f>IF(Planning[[#This Row],[Horas Planificadas]]&lt;&gt;0,Planning[[#This Row],[Horas utilizadas]]/Planning[[#This Row],[Horas Planificadas]],0)</f>
        <v>0</v>
      </c>
      <c r="W5028" s="44">
        <f>Planning[[#This Row],[Horas Planificadas]]+Planning[[#This Row],[Horas ajustadas adicionales]]</f>
        <v>0</v>
      </c>
    </row>
    <row r="5029" spans="1:23" x14ac:dyDescent="0.2">
      <c r="A5029" s="9" t="s">
        <v>626</v>
      </c>
      <c r="B5029" s="9" t="s">
        <v>808</v>
      </c>
      <c r="C5029" s="3"/>
      <c r="D5029" s="3" t="s">
        <v>864</v>
      </c>
      <c r="E5029" s="4"/>
      <c r="F5029" s="3" t="s">
        <v>121</v>
      </c>
      <c r="G5029" s="9"/>
      <c r="H5029" s="9">
        <v>0</v>
      </c>
      <c r="I5029" s="12"/>
      <c r="J5029" s="5" t="e">
        <f>SUM(SUMIFS(#REF!,#REF!,Planning[[#This Row],[Tipo de Tarea y especialidad]],#REF!,Planning[[#This Row],[Proyectos Reiwa]]),SUMIFS(#REF!,#REF!,Planning[[#This Row],[Tipo de Tarea y especialidad]],#REF!,Planning[[#This Row],[Proyectos]]))</f>
        <v>#REF!</v>
      </c>
      <c r="K5029" s="5" t="e">
        <f>+Planning[[#This Row],[Horas Planificadas]]+Planning[[#This Row],[Horas ajustadas adicionales]]-Planning[[#This Row],[Horas utilizadas]]</f>
        <v>#REF!</v>
      </c>
      <c r="L5029" s="7">
        <v>0</v>
      </c>
      <c r="M5029" s="19" t="e">
        <f>Planning[[#This Row],[Saldo]]-Planning[[#This Row],[Saldo estimado]]</f>
        <v>#REF!</v>
      </c>
      <c r="N5029" s="60" t="e">
        <f>+SUMIFS(#REF!,#REF!,Planning[[#This Row],[Proyectos]],#REF!,Planning[[#This Row],[Tipo de Tarea y especialidad]])</f>
        <v>#REF!</v>
      </c>
      <c r="O5029" s="19">
        <f t="shared" si="157"/>
        <v>10</v>
      </c>
      <c r="P5029" s="19">
        <f t="shared" si="158"/>
        <v>2024</v>
      </c>
      <c r="Q50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29" s="34" t="str">
        <f>TEXT(Planning[[#This Row],[Mes]]*29,"mmmm")</f>
        <v>October</v>
      </c>
      <c r="S502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29" s="186"/>
      <c r="U5029" s="107">
        <f>IF(Planning[[#This Row],[Horas Planificadas]]&lt;&gt;0,+K5029/Planning[[#This Row],[Horas Planificadas]],0)</f>
        <v>0</v>
      </c>
      <c r="V5029" s="43">
        <f>IF(Planning[[#This Row],[Horas Planificadas]]&lt;&gt;0,Planning[[#This Row],[Horas utilizadas]]/Planning[[#This Row],[Horas Planificadas]],0)</f>
        <v>0</v>
      </c>
      <c r="W5029" s="44">
        <f>Planning[[#This Row],[Horas Planificadas]]+Planning[[#This Row],[Horas ajustadas adicionales]]</f>
        <v>0</v>
      </c>
    </row>
    <row r="5030" spans="1:23" x14ac:dyDescent="0.2">
      <c r="A5030" s="9" t="s">
        <v>626</v>
      </c>
      <c r="B5030" s="9" t="s">
        <v>808</v>
      </c>
      <c r="C5030" s="3"/>
      <c r="D5030" s="3" t="s">
        <v>864</v>
      </c>
      <c r="E5030" s="4" t="s">
        <v>30</v>
      </c>
      <c r="F5030" s="3"/>
      <c r="G5030" s="9">
        <v>3</v>
      </c>
      <c r="H5030" s="14">
        <f>SUM(H5031:H5037)</f>
        <v>9</v>
      </c>
      <c r="I5030" s="14"/>
      <c r="J5030" s="14" t="e">
        <f>SUM(J5031:J5037)</f>
        <v>#REF!</v>
      </c>
      <c r="K5030" s="14" t="e">
        <f>+Planning[[#This Row],[Horas Planificadas]]+Planning[[#This Row],[Horas ajustadas adicionales]]-Planning[[#This Row],[Horas utilizadas]]</f>
        <v>#REF!</v>
      </c>
      <c r="L5030" s="15">
        <f>SUM(L5031:L5037)</f>
        <v>0</v>
      </c>
      <c r="M5030" s="16" t="e">
        <f>SUM(M5031:M5037)</f>
        <v>#REF!</v>
      </c>
      <c r="N5030" s="60">
        <v>0</v>
      </c>
      <c r="O5030" s="16">
        <f t="shared" si="157"/>
        <v>10</v>
      </c>
      <c r="P5030" s="16">
        <f t="shared" si="158"/>
        <v>2024</v>
      </c>
      <c r="Q5030" s="16" t="e">
        <f>SUM(Q5031:Q5037)</f>
        <v>#REF!</v>
      </c>
      <c r="R5030" s="35" t="str">
        <f>TEXT(Planning[[#This Row],[Mes]]*29,"mmmm")</f>
        <v>October</v>
      </c>
      <c r="S503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30" s="186"/>
      <c r="U5030" s="107" t="e">
        <f>IF(Planning[[#This Row],[Horas Planificadas]]&lt;&gt;0,+K5030/Planning[[#This Row],[Horas Planificadas]],0)</f>
        <v>#REF!</v>
      </c>
      <c r="V5030" s="43" t="e">
        <f>IF(Planning[[#This Row],[Horas Planificadas]]&lt;&gt;0,Planning[[#This Row],[Horas utilizadas]]/Planning[[#This Row],[Horas Planificadas]],0)</f>
        <v>#REF!</v>
      </c>
      <c r="W5030" s="44">
        <f>Planning[[#This Row],[Horas Planificadas]]+Planning[[#This Row],[Horas ajustadas adicionales]]</f>
        <v>9</v>
      </c>
    </row>
    <row r="5031" spans="1:23" x14ac:dyDescent="0.2">
      <c r="A5031" s="9" t="s">
        <v>626</v>
      </c>
      <c r="B5031" s="9" t="s">
        <v>808</v>
      </c>
      <c r="C5031" s="3"/>
      <c r="D5031" s="3" t="s">
        <v>864</v>
      </c>
      <c r="E5031" s="4"/>
      <c r="F5031" s="3" t="s">
        <v>122</v>
      </c>
      <c r="G5031" s="9"/>
      <c r="H5031" s="9">
        <v>0</v>
      </c>
      <c r="I5031" s="12"/>
      <c r="J5031" s="5" t="e">
        <f>SUM(SUMIFS(#REF!,#REF!,Planning[[#This Row],[Tipo de Tarea y especialidad]],#REF!,Planning[[#This Row],[Proyectos Reiwa]]),SUMIFS(#REF!,#REF!,Planning[[#This Row],[Tipo de Tarea y especialidad]],#REF!,Planning[[#This Row],[Proyectos]]))</f>
        <v>#REF!</v>
      </c>
      <c r="K5031" s="5" t="e">
        <f>+Planning[[#This Row],[Horas Planificadas]]+Planning[[#This Row],[Horas ajustadas adicionales]]-Planning[[#This Row],[Horas utilizadas]]</f>
        <v>#REF!</v>
      </c>
      <c r="L5031" s="7">
        <v>0</v>
      </c>
      <c r="M5031" s="19" t="e">
        <f>Planning[[#This Row],[Saldo]]-Planning[[#This Row],[Saldo estimado]]</f>
        <v>#REF!</v>
      </c>
      <c r="N5031" s="60" t="e">
        <f>+SUMIFS(#REF!,#REF!,Planning[[#This Row],[Proyectos]],#REF!,Planning[[#This Row],[Tipo de Tarea y especialidad]])</f>
        <v>#REF!</v>
      </c>
      <c r="O5031" s="19">
        <f t="shared" si="157"/>
        <v>10</v>
      </c>
      <c r="P5031" s="19">
        <f t="shared" si="158"/>
        <v>2024</v>
      </c>
      <c r="Q50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31" s="34" t="str">
        <f>TEXT(Planning[[#This Row],[Mes]]*29,"mmmm")</f>
        <v>October</v>
      </c>
      <c r="S503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31" s="108" t="s">
        <v>866</v>
      </c>
      <c r="U5031" s="107">
        <f>IF(Planning[[#This Row],[Horas Planificadas]]&lt;&gt;0,+K5031/Planning[[#This Row],[Horas Planificadas]],0)</f>
        <v>0</v>
      </c>
      <c r="V5031" s="43">
        <f>IF(Planning[[#This Row],[Horas Planificadas]]&lt;&gt;0,Planning[[#This Row],[Horas utilizadas]]/Planning[[#This Row],[Horas Planificadas]],0)</f>
        <v>0</v>
      </c>
      <c r="W5031" s="44">
        <f>Planning[[#This Row],[Horas Planificadas]]+Planning[[#This Row],[Horas ajustadas adicionales]]</f>
        <v>0</v>
      </c>
    </row>
    <row r="5032" spans="1:23" x14ac:dyDescent="0.2">
      <c r="A5032" s="9" t="s">
        <v>626</v>
      </c>
      <c r="B5032" s="9" t="s">
        <v>808</v>
      </c>
      <c r="C5032" s="3"/>
      <c r="D5032" s="3" t="s">
        <v>864</v>
      </c>
      <c r="E5032" s="4"/>
      <c r="F5032" s="3" t="s">
        <v>123</v>
      </c>
      <c r="G5032" s="9"/>
      <c r="H5032" s="9">
        <v>0</v>
      </c>
      <c r="I5032" s="12"/>
      <c r="J5032" s="5" t="e">
        <f>SUM(SUMIFS(#REF!,#REF!,Planning[[#This Row],[Tipo de Tarea y especialidad]],#REF!,Planning[[#This Row],[Proyectos Reiwa]]),SUMIFS(#REF!,#REF!,Planning[[#This Row],[Tipo de Tarea y especialidad]],#REF!,Planning[[#This Row],[Proyectos]]))</f>
        <v>#REF!</v>
      </c>
      <c r="K5032" s="5" t="e">
        <f>+Planning[[#This Row],[Horas Planificadas]]+Planning[[#This Row],[Horas ajustadas adicionales]]-Planning[[#This Row],[Horas utilizadas]]</f>
        <v>#REF!</v>
      </c>
      <c r="L5032" s="7">
        <v>0</v>
      </c>
      <c r="M5032" s="19" t="e">
        <f>Planning[[#This Row],[Saldo]]-Planning[[#This Row],[Saldo estimado]]</f>
        <v>#REF!</v>
      </c>
      <c r="N5032" s="60" t="e">
        <f>+SUMIFS(#REF!,#REF!,Planning[[#This Row],[Proyectos]],#REF!,Planning[[#This Row],[Tipo de Tarea y especialidad]])</f>
        <v>#REF!</v>
      </c>
      <c r="O5032" s="19">
        <f t="shared" si="157"/>
        <v>10</v>
      </c>
      <c r="P5032" s="19">
        <f t="shared" si="158"/>
        <v>2024</v>
      </c>
      <c r="Q50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32" s="34" t="str">
        <f>TEXT(Planning[[#This Row],[Mes]]*29,"mmmm")</f>
        <v>October</v>
      </c>
      <c r="S503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32" s="108" t="s">
        <v>817</v>
      </c>
      <c r="U5032" s="107">
        <f>IF(Planning[[#This Row],[Horas Planificadas]]&lt;&gt;0,+K5032/Planning[[#This Row],[Horas Planificadas]],0)</f>
        <v>0</v>
      </c>
      <c r="V5032" s="43">
        <f>IF(Planning[[#This Row],[Horas Planificadas]]&lt;&gt;0,Planning[[#This Row],[Horas utilizadas]]/Planning[[#This Row],[Horas Planificadas]],0)</f>
        <v>0</v>
      </c>
      <c r="W5032" s="44">
        <f>Planning[[#This Row],[Horas Planificadas]]+Planning[[#This Row],[Horas ajustadas adicionales]]</f>
        <v>0</v>
      </c>
    </row>
    <row r="5033" spans="1:23" x14ac:dyDescent="0.2">
      <c r="A5033" s="9" t="s">
        <v>626</v>
      </c>
      <c r="B5033" s="9" t="s">
        <v>808</v>
      </c>
      <c r="C5033" s="3"/>
      <c r="D5033" s="3" t="s">
        <v>864</v>
      </c>
      <c r="E5033" s="4"/>
      <c r="F5033" s="3" t="s">
        <v>124</v>
      </c>
      <c r="G5033" s="9"/>
      <c r="H5033" s="9">
        <v>9</v>
      </c>
      <c r="I5033" s="12"/>
      <c r="J5033" s="5" t="e">
        <f>SUM(SUMIFS(#REF!,#REF!,Planning[[#This Row],[Tipo de Tarea y especialidad]],#REF!,Planning[[#This Row],[Proyectos Reiwa]]),SUMIFS(#REF!,#REF!,Planning[[#This Row],[Tipo de Tarea y especialidad]],#REF!,Planning[[#This Row],[Proyectos]]))</f>
        <v>#REF!</v>
      </c>
      <c r="K5033" s="5" t="e">
        <f>+Planning[[#This Row],[Horas Planificadas]]+Planning[[#This Row],[Horas ajustadas adicionales]]-Planning[[#This Row],[Horas utilizadas]]</f>
        <v>#REF!</v>
      </c>
      <c r="L5033" s="7">
        <v>0</v>
      </c>
      <c r="M5033" s="19" t="e">
        <f>Planning[[#This Row],[Saldo]]-Planning[[#This Row],[Saldo estimado]]</f>
        <v>#REF!</v>
      </c>
      <c r="N5033" s="60" t="e">
        <f>+SUMIFS(#REF!,#REF!,Planning[[#This Row],[Proyectos]],#REF!,Planning[[#This Row],[Tipo de Tarea y especialidad]])</f>
        <v>#REF!</v>
      </c>
      <c r="O5033" s="19">
        <f t="shared" si="157"/>
        <v>10</v>
      </c>
      <c r="P5033" s="19">
        <f t="shared" si="158"/>
        <v>2024</v>
      </c>
      <c r="Q50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33" s="34" t="str">
        <f>TEXT(Planning[[#This Row],[Mes]]*29,"mmmm")</f>
        <v>October</v>
      </c>
      <c r="S503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33" s="108"/>
      <c r="U5033" s="107" t="e">
        <f>IF(Planning[[#This Row],[Horas Planificadas]]&lt;&gt;0,+K5033/Planning[[#This Row],[Horas Planificadas]],0)</f>
        <v>#REF!</v>
      </c>
      <c r="V5033" s="43" t="e">
        <f>IF(Planning[[#This Row],[Horas Planificadas]]&lt;&gt;0,Planning[[#This Row],[Horas utilizadas]]/Planning[[#This Row],[Horas Planificadas]],0)</f>
        <v>#REF!</v>
      </c>
      <c r="W5033" s="44">
        <f>Planning[[#This Row],[Horas Planificadas]]+Planning[[#This Row],[Horas ajustadas adicionales]]</f>
        <v>9</v>
      </c>
    </row>
    <row r="5034" spans="1:23" x14ac:dyDescent="0.2">
      <c r="A5034" s="9" t="s">
        <v>626</v>
      </c>
      <c r="B5034" s="9" t="s">
        <v>808</v>
      </c>
      <c r="C5034" s="3"/>
      <c r="D5034" s="3" t="s">
        <v>864</v>
      </c>
      <c r="E5034" s="4"/>
      <c r="F5034" s="3" t="s">
        <v>125</v>
      </c>
      <c r="G5034" s="9"/>
      <c r="H5034" s="9">
        <v>0</v>
      </c>
      <c r="I5034" s="12"/>
      <c r="J5034" s="5" t="e">
        <f>SUM(SUMIFS(#REF!,#REF!,Planning[[#This Row],[Tipo de Tarea y especialidad]],#REF!,Planning[[#This Row],[Proyectos Reiwa]]),SUMIFS(#REF!,#REF!,Planning[[#This Row],[Tipo de Tarea y especialidad]],#REF!,Planning[[#This Row],[Proyectos]]))</f>
        <v>#REF!</v>
      </c>
      <c r="K5034" s="5" t="e">
        <f>+Planning[[#This Row],[Horas Planificadas]]+Planning[[#This Row],[Horas ajustadas adicionales]]-Planning[[#This Row],[Horas utilizadas]]</f>
        <v>#REF!</v>
      </c>
      <c r="L5034" s="7">
        <v>0</v>
      </c>
      <c r="M5034" s="19" t="e">
        <f>Planning[[#This Row],[Saldo]]-Planning[[#This Row],[Saldo estimado]]</f>
        <v>#REF!</v>
      </c>
      <c r="N5034" s="60" t="e">
        <f>+SUMIFS(#REF!,#REF!,Planning[[#This Row],[Proyectos]],#REF!,Planning[[#This Row],[Tipo de Tarea y especialidad]])</f>
        <v>#REF!</v>
      </c>
      <c r="O5034" s="19">
        <f t="shared" si="157"/>
        <v>10</v>
      </c>
      <c r="P5034" s="19">
        <f t="shared" si="158"/>
        <v>2024</v>
      </c>
      <c r="Q50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34" s="34" t="str">
        <f>TEXT(Planning[[#This Row],[Mes]]*29,"mmmm")</f>
        <v>October</v>
      </c>
      <c r="S503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34" s="108"/>
      <c r="U5034" s="107">
        <f>IF(Planning[[#This Row],[Horas Planificadas]]&lt;&gt;0,+K5034/Planning[[#This Row],[Horas Planificadas]],0)</f>
        <v>0</v>
      </c>
      <c r="V5034" s="43">
        <f>IF(Planning[[#This Row],[Horas Planificadas]]&lt;&gt;0,Planning[[#This Row],[Horas utilizadas]]/Planning[[#This Row],[Horas Planificadas]],0)</f>
        <v>0</v>
      </c>
      <c r="W5034" s="44">
        <f>Planning[[#This Row],[Horas Planificadas]]+Planning[[#This Row],[Horas ajustadas adicionales]]</f>
        <v>0</v>
      </c>
    </row>
    <row r="5035" spans="1:23" x14ac:dyDescent="0.2">
      <c r="A5035" s="9" t="s">
        <v>626</v>
      </c>
      <c r="B5035" s="9" t="s">
        <v>808</v>
      </c>
      <c r="C5035" s="3"/>
      <c r="D5035" s="3" t="s">
        <v>864</v>
      </c>
      <c r="E5035" s="4"/>
      <c r="F5035" s="3" t="s">
        <v>126</v>
      </c>
      <c r="G5035" s="9"/>
      <c r="H5035" s="9">
        <v>0</v>
      </c>
      <c r="I5035" s="12"/>
      <c r="J5035" s="5" t="e">
        <f>SUM(SUMIFS(#REF!,#REF!,Planning[[#This Row],[Tipo de Tarea y especialidad]],#REF!,Planning[[#This Row],[Proyectos Reiwa]]),SUMIFS(#REF!,#REF!,Planning[[#This Row],[Tipo de Tarea y especialidad]],#REF!,Planning[[#This Row],[Proyectos]]))</f>
        <v>#REF!</v>
      </c>
      <c r="K5035" s="5" t="e">
        <f>+Planning[[#This Row],[Horas Planificadas]]+Planning[[#This Row],[Horas ajustadas adicionales]]-Planning[[#This Row],[Horas utilizadas]]</f>
        <v>#REF!</v>
      </c>
      <c r="L5035" s="7">
        <v>0</v>
      </c>
      <c r="M5035" s="19" t="e">
        <f>Planning[[#This Row],[Saldo]]-Planning[[#This Row],[Saldo estimado]]</f>
        <v>#REF!</v>
      </c>
      <c r="N5035" s="60" t="e">
        <f>+SUMIFS(#REF!,#REF!,Planning[[#This Row],[Proyectos]],#REF!,Planning[[#This Row],[Tipo de Tarea y especialidad]])</f>
        <v>#REF!</v>
      </c>
      <c r="O5035" s="19">
        <f t="shared" si="157"/>
        <v>10</v>
      </c>
      <c r="P5035" s="19">
        <f t="shared" si="158"/>
        <v>2024</v>
      </c>
      <c r="Q50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35" s="34" t="str">
        <f>TEXT(Planning[[#This Row],[Mes]]*29,"mmmm")</f>
        <v>October</v>
      </c>
      <c r="S503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35" s="108"/>
      <c r="U5035" s="107">
        <f>IF(Planning[[#This Row],[Horas Planificadas]]&lt;&gt;0,+K5035/Planning[[#This Row],[Horas Planificadas]],0)</f>
        <v>0</v>
      </c>
      <c r="V5035" s="43">
        <f>IF(Planning[[#This Row],[Horas Planificadas]]&lt;&gt;0,Planning[[#This Row],[Horas utilizadas]]/Planning[[#This Row],[Horas Planificadas]],0)</f>
        <v>0</v>
      </c>
      <c r="W5035" s="44">
        <f>Planning[[#This Row],[Horas Planificadas]]+Planning[[#This Row],[Horas ajustadas adicionales]]</f>
        <v>0</v>
      </c>
    </row>
    <row r="5036" spans="1:23" x14ac:dyDescent="0.2">
      <c r="A5036" s="9" t="s">
        <v>626</v>
      </c>
      <c r="B5036" s="9" t="s">
        <v>808</v>
      </c>
      <c r="C5036" s="3"/>
      <c r="D5036" s="3" t="s">
        <v>864</v>
      </c>
      <c r="E5036" s="4"/>
      <c r="F5036" s="3" t="s">
        <v>127</v>
      </c>
      <c r="G5036" s="9"/>
      <c r="H5036" s="9">
        <v>0</v>
      </c>
      <c r="I5036" s="12"/>
      <c r="J5036" s="5" t="e">
        <f>SUM(SUMIFS(#REF!,#REF!,Planning[[#This Row],[Tipo de Tarea y especialidad]],#REF!,Planning[[#This Row],[Proyectos Reiwa]]),SUMIFS(#REF!,#REF!,Planning[[#This Row],[Tipo de Tarea y especialidad]],#REF!,Planning[[#This Row],[Proyectos]]))</f>
        <v>#REF!</v>
      </c>
      <c r="K5036" s="5" t="e">
        <f>+Planning[[#This Row],[Horas Planificadas]]+Planning[[#This Row],[Horas ajustadas adicionales]]-Planning[[#This Row],[Horas utilizadas]]</f>
        <v>#REF!</v>
      </c>
      <c r="L5036" s="7">
        <v>0</v>
      </c>
      <c r="M5036" s="19" t="e">
        <f>Planning[[#This Row],[Saldo]]-Planning[[#This Row],[Saldo estimado]]</f>
        <v>#REF!</v>
      </c>
      <c r="N5036" s="60" t="e">
        <f>+SUMIFS(#REF!,#REF!,Planning[[#This Row],[Proyectos]],#REF!,Planning[[#This Row],[Tipo de Tarea y especialidad]])</f>
        <v>#REF!</v>
      </c>
      <c r="O5036" s="19">
        <f t="shared" si="157"/>
        <v>10</v>
      </c>
      <c r="P5036" s="19">
        <f t="shared" si="158"/>
        <v>2024</v>
      </c>
      <c r="Q50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36" s="34" t="str">
        <f>TEXT(Planning[[#This Row],[Mes]]*29,"mmmm")</f>
        <v>October</v>
      </c>
      <c r="S503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36" s="108"/>
      <c r="U5036" s="107">
        <f>IF(Planning[[#This Row],[Horas Planificadas]]&lt;&gt;0,+K5036/Planning[[#This Row],[Horas Planificadas]],0)</f>
        <v>0</v>
      </c>
      <c r="V5036" s="43">
        <f>IF(Planning[[#This Row],[Horas Planificadas]]&lt;&gt;0,Planning[[#This Row],[Horas utilizadas]]/Planning[[#This Row],[Horas Planificadas]],0)</f>
        <v>0</v>
      </c>
      <c r="W5036" s="44">
        <f>Planning[[#This Row],[Horas Planificadas]]+Planning[[#This Row],[Horas ajustadas adicionales]]</f>
        <v>0</v>
      </c>
    </row>
    <row r="5037" spans="1:23" x14ac:dyDescent="0.2">
      <c r="A5037" s="9" t="s">
        <v>626</v>
      </c>
      <c r="B5037" s="9" t="s">
        <v>808</v>
      </c>
      <c r="C5037" s="3"/>
      <c r="D5037" s="3" t="s">
        <v>864</v>
      </c>
      <c r="E5037" s="4"/>
      <c r="F5037" s="3" t="s">
        <v>128</v>
      </c>
      <c r="G5037" s="9"/>
      <c r="H5037" s="9">
        <v>0</v>
      </c>
      <c r="I5037" s="12"/>
      <c r="J5037" s="5" t="e">
        <f>SUM(SUMIFS(#REF!,#REF!,Planning[[#This Row],[Tipo de Tarea y especialidad]],#REF!,Planning[[#This Row],[Proyectos Reiwa]]),SUMIFS(#REF!,#REF!,Planning[[#This Row],[Tipo de Tarea y especialidad]],#REF!,Planning[[#This Row],[Proyectos]]))</f>
        <v>#REF!</v>
      </c>
      <c r="K5037" s="5" t="e">
        <f>+Planning[[#This Row],[Horas Planificadas]]+Planning[[#This Row],[Horas ajustadas adicionales]]-Planning[[#This Row],[Horas utilizadas]]</f>
        <v>#REF!</v>
      </c>
      <c r="L5037" s="7">
        <v>0</v>
      </c>
      <c r="M5037" s="19" t="e">
        <f>Planning[[#This Row],[Saldo]]-Planning[[#This Row],[Saldo estimado]]</f>
        <v>#REF!</v>
      </c>
      <c r="N5037" s="60" t="e">
        <f>+SUMIFS(#REF!,#REF!,Planning[[#This Row],[Proyectos]],#REF!,Planning[[#This Row],[Tipo de Tarea y especialidad]])</f>
        <v>#REF!</v>
      </c>
      <c r="O5037" s="19">
        <f t="shared" si="157"/>
        <v>10</v>
      </c>
      <c r="P5037" s="19">
        <f t="shared" si="158"/>
        <v>2024</v>
      </c>
      <c r="Q50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37" s="34" t="str">
        <f>TEXT(Planning[[#This Row],[Mes]]*29,"mmmm")</f>
        <v>October</v>
      </c>
      <c r="S503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37" s="108"/>
      <c r="U5037" s="107">
        <f>IF(Planning[[#This Row],[Horas Planificadas]]&lt;&gt;0,+K5037/Planning[[#This Row],[Horas Planificadas]],0)</f>
        <v>0</v>
      </c>
      <c r="V5037" s="43">
        <f>IF(Planning[[#This Row],[Horas Planificadas]]&lt;&gt;0,Planning[[#This Row],[Horas utilizadas]]/Planning[[#This Row],[Horas Planificadas]],0)</f>
        <v>0</v>
      </c>
      <c r="W5037" s="44">
        <f>Planning[[#This Row],[Horas Planificadas]]+Planning[[#This Row],[Horas ajustadas adicionales]]</f>
        <v>0</v>
      </c>
    </row>
    <row r="5038" spans="1:23" x14ac:dyDescent="0.2">
      <c r="A5038" s="9" t="s">
        <v>626</v>
      </c>
      <c r="B5038" s="9" t="s">
        <v>808</v>
      </c>
      <c r="C5038" s="3"/>
      <c r="D5038" s="3" t="s">
        <v>864</v>
      </c>
      <c r="E5038" s="4" t="s">
        <v>31</v>
      </c>
      <c r="F5038" s="3" t="s">
        <v>31</v>
      </c>
      <c r="G5038" s="9">
        <v>3</v>
      </c>
      <c r="H5038" s="17">
        <v>3</v>
      </c>
      <c r="I5038" s="18"/>
      <c r="J5038" s="14" t="e">
        <f>+SUMIFS(#REF!,#REF!,Planning[[#This Row],[Tarifa]],#REF!,Planning[[#This Row],[Proyectos]])</f>
        <v>#REF!</v>
      </c>
      <c r="K5038" s="14" t="e">
        <f>+Planning[[#This Row],[Horas Planificadas]]+Planning[[#This Row],[Horas ajustadas adicionales]]-Planning[[#This Row],[Horas utilizadas]]</f>
        <v>#REF!</v>
      </c>
      <c r="L5038" s="15" t="e">
        <f>Planning[[#This Row],[Saldo]]</f>
        <v>#REF!</v>
      </c>
      <c r="M5038" s="16" t="e">
        <f>Planning[[#This Row],[Saldo]]-Planning[[#This Row],[Saldo estimado]]</f>
        <v>#REF!</v>
      </c>
      <c r="N5038" s="60">
        <v>0</v>
      </c>
      <c r="O5038" s="16">
        <f t="shared" si="157"/>
        <v>10</v>
      </c>
      <c r="P5038" s="16">
        <f t="shared" si="158"/>
        <v>2024</v>
      </c>
      <c r="Q5038" s="16" t="e">
        <f>+SUMIFS(#REF!,#REF!,Planning[[#This Row],[Tarifa]],#REF!,Planning[[#This Row],[Proyectos]],#REF!,Planning[[#This Row],[Mes]],#REF!,Planning[[#This Row],[Año]])</f>
        <v>#REF!</v>
      </c>
      <c r="R5038" s="35" t="str">
        <f>TEXT(Planning[[#This Row],[Mes]]*29,"mmmm")</f>
        <v>October</v>
      </c>
      <c r="S503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38" s="108"/>
      <c r="U5038" s="107" t="e">
        <f>IF(Planning[[#This Row],[Horas Planificadas]]&lt;&gt;0,+K5038/Planning[[#This Row],[Horas Planificadas]],0)</f>
        <v>#REF!</v>
      </c>
      <c r="V5038" s="43" t="e">
        <f>IF(Planning[[#This Row],[Horas Planificadas]]&lt;&gt;0,Planning[[#This Row],[Horas utilizadas]]/Planning[[#This Row],[Horas Planificadas]],0)</f>
        <v>#REF!</v>
      </c>
      <c r="W5038" s="44">
        <f>Planning[[#This Row],[Horas Planificadas]]+Planning[[#This Row],[Horas ajustadas adicionales]]</f>
        <v>3</v>
      </c>
    </row>
    <row r="5039" spans="1:23" ht="22.5" x14ac:dyDescent="0.2">
      <c r="A5039" s="9" t="s">
        <v>626</v>
      </c>
      <c r="B5039" s="9" t="s">
        <v>808</v>
      </c>
      <c r="C5039" s="3"/>
      <c r="D5039" s="3" t="s">
        <v>864</v>
      </c>
      <c r="E5039" s="4" t="s">
        <v>32</v>
      </c>
      <c r="F5039" s="3"/>
      <c r="G5039" s="9">
        <v>22</v>
      </c>
      <c r="H5039" s="14">
        <f>SUM(H5040:H5042)</f>
        <v>22</v>
      </c>
      <c r="I5039" s="14"/>
      <c r="J5039" s="14" t="e">
        <f>SUM(J5040:J5042)</f>
        <v>#REF!</v>
      </c>
      <c r="K5039" s="14" t="e">
        <f>+Planning[[#This Row],[Horas Planificadas]]+Planning[[#This Row],[Horas ajustadas adicionales]]-Planning[[#This Row],[Horas utilizadas]]</f>
        <v>#REF!</v>
      </c>
      <c r="L5039" s="15">
        <f>SUM(L5040:L5042)</f>
        <v>0</v>
      </c>
      <c r="M5039" s="16" t="e">
        <f>SUM(M5040:M5042)</f>
        <v>#REF!</v>
      </c>
      <c r="N5039" s="60">
        <v>0</v>
      </c>
      <c r="O5039" s="16">
        <f t="shared" si="157"/>
        <v>10</v>
      </c>
      <c r="P5039" s="16">
        <f t="shared" si="158"/>
        <v>2024</v>
      </c>
      <c r="Q5039" s="16" t="e">
        <f>SUM(Q5040:Q5042)</f>
        <v>#REF!</v>
      </c>
      <c r="R5039" s="35" t="str">
        <f>TEXT(Planning[[#This Row],[Mes]]*29,"mmmm")</f>
        <v>October</v>
      </c>
      <c r="S503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39" s="108"/>
      <c r="U5039" s="107" t="e">
        <f>IF(Planning[[#This Row],[Horas Planificadas]]&lt;&gt;0,+K5039/Planning[[#This Row],[Horas Planificadas]],0)</f>
        <v>#REF!</v>
      </c>
      <c r="V5039" s="43" t="e">
        <f>IF(Planning[[#This Row],[Horas Planificadas]]&lt;&gt;0,Planning[[#This Row],[Horas utilizadas]]/Planning[[#This Row],[Horas Planificadas]],0)</f>
        <v>#REF!</v>
      </c>
      <c r="W5039" s="44">
        <f>Planning[[#This Row],[Horas Planificadas]]+Planning[[#This Row],[Horas ajustadas adicionales]]</f>
        <v>22</v>
      </c>
    </row>
    <row r="5040" spans="1:23" x14ac:dyDescent="0.2">
      <c r="A5040" s="9" t="s">
        <v>626</v>
      </c>
      <c r="B5040" s="9" t="s">
        <v>808</v>
      </c>
      <c r="C5040" s="3"/>
      <c r="D5040" s="3" t="s">
        <v>864</v>
      </c>
      <c r="E5040" s="4"/>
      <c r="F5040" s="3" t="s">
        <v>129</v>
      </c>
      <c r="G5040" s="9"/>
      <c r="H5040" s="9">
        <v>0</v>
      </c>
      <c r="I5040" s="12"/>
      <c r="J5040" s="5" t="e">
        <f>SUM(SUMIFS(#REF!,#REF!,Planning[[#This Row],[Tipo de Tarea y especialidad]],#REF!,Planning[[#This Row],[Proyectos Reiwa]]),SUMIFS(#REF!,#REF!,Planning[[#This Row],[Tipo de Tarea y especialidad]],#REF!,Planning[[#This Row],[Proyectos]]))</f>
        <v>#REF!</v>
      </c>
      <c r="K5040" s="5" t="e">
        <f>+Planning[[#This Row],[Horas Planificadas]]+Planning[[#This Row],[Horas ajustadas adicionales]]-Planning[[#This Row],[Horas utilizadas]]</f>
        <v>#REF!</v>
      </c>
      <c r="L5040" s="7">
        <v>0</v>
      </c>
      <c r="M5040" s="19" t="e">
        <f>Planning[[#This Row],[Saldo]]-Planning[[#This Row],[Saldo estimado]]</f>
        <v>#REF!</v>
      </c>
      <c r="N5040" s="60" t="e">
        <f>+SUMIFS(#REF!,#REF!,Planning[[#This Row],[Proyectos]],#REF!,Planning[[#This Row],[Tipo de Tarea y especialidad]])</f>
        <v>#REF!</v>
      </c>
      <c r="O5040" s="19">
        <f t="shared" si="157"/>
        <v>10</v>
      </c>
      <c r="P5040" s="19">
        <f t="shared" si="158"/>
        <v>2024</v>
      </c>
      <c r="Q50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40" s="34" t="str">
        <f>TEXT(Planning[[#This Row],[Mes]]*29,"mmmm")</f>
        <v>October</v>
      </c>
      <c r="S504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40" s="108"/>
      <c r="U5040" s="107">
        <f>IF(Planning[[#This Row],[Horas Planificadas]]&lt;&gt;0,+K5040/Planning[[#This Row],[Horas Planificadas]],0)</f>
        <v>0</v>
      </c>
      <c r="V5040" s="43">
        <f>IF(Planning[[#This Row],[Horas Planificadas]]&lt;&gt;0,Planning[[#This Row],[Horas utilizadas]]/Planning[[#This Row],[Horas Planificadas]],0)</f>
        <v>0</v>
      </c>
      <c r="W5040" s="44">
        <f>Planning[[#This Row],[Horas Planificadas]]+Planning[[#This Row],[Horas ajustadas adicionales]]</f>
        <v>0</v>
      </c>
    </row>
    <row r="5041" spans="1:23" x14ac:dyDescent="0.2">
      <c r="A5041" s="9" t="s">
        <v>626</v>
      </c>
      <c r="B5041" s="9" t="s">
        <v>808</v>
      </c>
      <c r="C5041" s="3"/>
      <c r="D5041" s="3" t="s">
        <v>864</v>
      </c>
      <c r="E5041" s="4"/>
      <c r="F5041" s="3" t="s">
        <v>130</v>
      </c>
      <c r="G5041" s="9"/>
      <c r="H5041" s="9">
        <v>0</v>
      </c>
      <c r="I5041" s="12"/>
      <c r="J5041" s="5" t="e">
        <f>SUM(SUMIFS(#REF!,#REF!,Planning[[#This Row],[Tipo de Tarea y especialidad]],#REF!,Planning[[#This Row],[Proyectos Reiwa]]),SUMIFS(#REF!,#REF!,Planning[[#This Row],[Tipo de Tarea y especialidad]],#REF!,Planning[[#This Row],[Proyectos]]))</f>
        <v>#REF!</v>
      </c>
      <c r="K5041" s="5" t="e">
        <f>+Planning[[#This Row],[Horas Planificadas]]+Planning[[#This Row],[Horas ajustadas adicionales]]-Planning[[#This Row],[Horas utilizadas]]</f>
        <v>#REF!</v>
      </c>
      <c r="L5041" s="7">
        <v>0</v>
      </c>
      <c r="M5041" s="19" t="e">
        <f>Planning[[#This Row],[Saldo]]-Planning[[#This Row],[Saldo estimado]]</f>
        <v>#REF!</v>
      </c>
      <c r="N5041" s="60" t="e">
        <f>+SUMIFS(#REF!,#REF!,Planning[[#This Row],[Proyectos]],#REF!,Planning[[#This Row],[Tipo de Tarea y especialidad]])</f>
        <v>#REF!</v>
      </c>
      <c r="O5041" s="19">
        <f t="shared" si="157"/>
        <v>10</v>
      </c>
      <c r="P5041" s="19">
        <f t="shared" si="158"/>
        <v>2024</v>
      </c>
      <c r="Q50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41" s="34" t="str">
        <f>TEXT(Planning[[#This Row],[Mes]]*29,"mmmm")</f>
        <v>October</v>
      </c>
      <c r="S504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41" s="108"/>
      <c r="U5041" s="107">
        <f>IF(Planning[[#This Row],[Horas Planificadas]]&lt;&gt;0,+K5041/Planning[[#This Row],[Horas Planificadas]],0)</f>
        <v>0</v>
      </c>
      <c r="V5041" s="43">
        <f>IF(Planning[[#This Row],[Horas Planificadas]]&lt;&gt;0,Planning[[#This Row],[Horas utilizadas]]/Planning[[#This Row],[Horas Planificadas]],0)</f>
        <v>0</v>
      </c>
      <c r="W5041" s="44">
        <f>Planning[[#This Row],[Horas Planificadas]]+Planning[[#This Row],[Horas ajustadas adicionales]]</f>
        <v>0</v>
      </c>
    </row>
    <row r="5042" spans="1:23" x14ac:dyDescent="0.2">
      <c r="A5042" s="9" t="s">
        <v>626</v>
      </c>
      <c r="B5042" s="9" t="s">
        <v>808</v>
      </c>
      <c r="C5042" s="3"/>
      <c r="D5042" s="3" t="s">
        <v>864</v>
      </c>
      <c r="E5042" s="4"/>
      <c r="F5042" s="3" t="s">
        <v>131</v>
      </c>
      <c r="G5042" s="9"/>
      <c r="H5042" s="9">
        <v>22</v>
      </c>
      <c r="I5042" s="12"/>
      <c r="J5042" s="5" t="e">
        <f>SUM(SUMIFS(#REF!,#REF!,Planning[[#This Row],[Tipo de Tarea y especialidad]],#REF!,Planning[[#This Row],[Proyectos Reiwa]]),SUMIFS(#REF!,#REF!,Planning[[#This Row],[Tipo de Tarea y especialidad]],#REF!,Planning[[#This Row],[Proyectos]]))</f>
        <v>#REF!</v>
      </c>
      <c r="K5042" s="5" t="e">
        <f>+Planning[[#This Row],[Horas Planificadas]]+Planning[[#This Row],[Horas ajustadas adicionales]]-Planning[[#This Row],[Horas utilizadas]]</f>
        <v>#REF!</v>
      </c>
      <c r="L5042" s="7">
        <v>0</v>
      </c>
      <c r="M5042" s="19" t="e">
        <f>Planning[[#This Row],[Saldo]]-Planning[[#This Row],[Saldo estimado]]</f>
        <v>#REF!</v>
      </c>
      <c r="N5042" s="60" t="e">
        <f>+SUMIFS(#REF!,#REF!,Planning[[#This Row],[Proyectos]],#REF!,Planning[[#This Row],[Tipo de Tarea y especialidad]])</f>
        <v>#REF!</v>
      </c>
      <c r="O5042" s="19">
        <f t="shared" si="157"/>
        <v>10</v>
      </c>
      <c r="P5042" s="19">
        <f t="shared" si="158"/>
        <v>2024</v>
      </c>
      <c r="Q50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42" s="34" t="str">
        <f>TEXT(Planning[[#This Row],[Mes]]*29,"mmmm")</f>
        <v>October</v>
      </c>
      <c r="S504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42" s="109"/>
      <c r="U5042" s="107" t="e">
        <f>IF(Planning[[#This Row],[Horas Planificadas]]&lt;&gt;0,+K5042/Planning[[#This Row],[Horas Planificadas]],0)</f>
        <v>#REF!</v>
      </c>
      <c r="V5042" s="43" t="e">
        <f>IF(Planning[[#This Row],[Horas Planificadas]]&lt;&gt;0,Planning[[#This Row],[Horas utilizadas]]/Planning[[#This Row],[Horas Planificadas]],0)</f>
        <v>#REF!</v>
      </c>
      <c r="W5042" s="44">
        <f>Planning[[#This Row],[Horas Planificadas]]+Planning[[#This Row],[Horas ajustadas adicionales]]</f>
        <v>22</v>
      </c>
    </row>
    <row r="5043" spans="1:23" ht="22.5" x14ac:dyDescent="0.2">
      <c r="A5043" s="9" t="s">
        <v>722</v>
      </c>
      <c r="B5043" s="9" t="s">
        <v>118</v>
      </c>
      <c r="C5043" s="3">
        <v>117012</v>
      </c>
      <c r="D5043" s="3" t="s">
        <v>867</v>
      </c>
      <c r="E5043" s="4" t="s">
        <v>28</v>
      </c>
      <c r="F5043" s="3"/>
      <c r="G5043" s="9"/>
      <c r="H5043" s="14">
        <f>SUM(H5044:H5045)</f>
        <v>3507</v>
      </c>
      <c r="I5043" s="14"/>
      <c r="J5043" s="14" t="e">
        <f>SUM(J5044:J5045)</f>
        <v>#REF!</v>
      </c>
      <c r="K5043" s="14" t="e">
        <f>+Planning[[#This Row],[Horas Planificadas]]+Planning[[#This Row],[Horas ajustadas adicionales]]-Planning[[#This Row],[Horas utilizadas]]</f>
        <v>#REF!</v>
      </c>
      <c r="L5043" s="15">
        <f>SUM(L5044:L5045)</f>
        <v>36</v>
      </c>
      <c r="M5043" s="14" t="e">
        <f>SUM(M5044:M5045)</f>
        <v>#REF!</v>
      </c>
      <c r="N5043" s="66"/>
      <c r="O5043" s="14">
        <f t="shared" ref="O5043:O5106" si="159">$L$4</f>
        <v>10</v>
      </c>
      <c r="P5043" s="14">
        <f t="shared" ref="P5043:P5106" si="160">$M$4</f>
        <v>2024</v>
      </c>
      <c r="Q5043" s="28" t="e">
        <f>SUM(Q5044:Q5045)</f>
        <v>#REF!</v>
      </c>
      <c r="R5043" s="25" t="str">
        <f>TEXT(Planning[[#This Row],[Mes]]*29,"mmmm")</f>
        <v>October</v>
      </c>
      <c r="S504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43" s="159" t="s">
        <v>868</v>
      </c>
      <c r="U5043" s="43" t="e">
        <f>IF(Planning[[#This Row],[Horas Planificadas]]&lt;&gt;0,+K5043/Planning[[#This Row],[Horas Planificadas]],0)</f>
        <v>#REF!</v>
      </c>
      <c r="V5043" s="43" t="e">
        <f>IF(Planning[[#This Row],[Horas Planificadas]]&lt;&gt;0,Planning[[#This Row],[Horas utilizadas]]/Planning[[#This Row],[Horas Planificadas]],0)</f>
        <v>#REF!</v>
      </c>
      <c r="W5043" s="44">
        <f>Planning[[#This Row],[Horas Planificadas]]+Planning[[#This Row],[Horas ajustadas adicionales]]</f>
        <v>3507</v>
      </c>
    </row>
    <row r="5044" spans="1:23" x14ac:dyDescent="0.2">
      <c r="A5044" s="9" t="s">
        <v>722</v>
      </c>
      <c r="B5044" s="9" t="s">
        <v>118</v>
      </c>
      <c r="C5044" s="3">
        <v>117012</v>
      </c>
      <c r="D5044" s="3" t="s">
        <v>867</v>
      </c>
      <c r="E5044" s="4"/>
      <c r="F5044" s="3" t="s">
        <v>120</v>
      </c>
      <c r="G5044" s="9">
        <v>2065</v>
      </c>
      <c r="H5044" s="9">
        <v>2065</v>
      </c>
      <c r="I5044" s="12">
        <v>160</v>
      </c>
      <c r="J5044" s="5" t="e">
        <f>SUM(SUMIFS(#REF!,#REF!,Planning[[#This Row],[Tipo de Tarea y especialidad]],#REF!,Planning[[#This Row],[Proyectos Reiwa]]),SUMIFS(#REF!,#REF!,Planning[[#This Row],[Tipo de Tarea y especialidad]],#REF!,Planning[[#This Row],[Proyectos]]))</f>
        <v>#REF!</v>
      </c>
      <c r="K5044" s="5" t="e">
        <f>+Planning[[#This Row],[Horas Planificadas]]+Planning[[#This Row],[Horas ajustadas adicionales]]-Planning[[#This Row],[Horas utilizadas]]</f>
        <v>#REF!</v>
      </c>
      <c r="L5044" s="7"/>
      <c r="M5044" s="19" t="e">
        <f>Planning[[#This Row],[Saldo]]-Planning[[#This Row],[Saldo estimado]]</f>
        <v>#REF!</v>
      </c>
      <c r="N5044" s="60" t="e">
        <f>+SUMIFS(#REF!,#REF!,Planning[[#This Row],[Proyectos]],#REF!,Planning[[#This Row],[Tipo de Tarea y especialidad]])</f>
        <v>#REF!</v>
      </c>
      <c r="O5044" s="19">
        <f t="shared" si="159"/>
        <v>10</v>
      </c>
      <c r="P5044" s="19">
        <f t="shared" si="160"/>
        <v>2024</v>
      </c>
      <c r="Q50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44" s="49" t="str">
        <f>TEXT(Planning[[#This Row],[Mes]]*29,"mmmm")</f>
        <v>October</v>
      </c>
      <c r="S504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44" s="173"/>
      <c r="U5044" s="43" t="e">
        <f>IF(Planning[[#This Row],[Horas Planificadas]]&lt;&gt;0,+K5044/Planning[[#This Row],[Horas Planificadas]],0)</f>
        <v>#REF!</v>
      </c>
      <c r="V5044" s="43" t="e">
        <f>IF(Planning[[#This Row],[Horas Planificadas]]&lt;&gt;0,Planning[[#This Row],[Horas utilizadas]]/Planning[[#This Row],[Horas Planificadas]],0)</f>
        <v>#REF!</v>
      </c>
      <c r="W5044" s="44">
        <f>Planning[[#This Row],[Horas Planificadas]]+Planning[[#This Row],[Horas ajustadas adicionales]]</f>
        <v>2225</v>
      </c>
    </row>
    <row r="5045" spans="1:23" x14ac:dyDescent="0.2">
      <c r="A5045" s="9" t="s">
        <v>722</v>
      </c>
      <c r="B5045" s="9" t="s">
        <v>118</v>
      </c>
      <c r="C5045" s="3">
        <v>117012</v>
      </c>
      <c r="D5045" s="3" t="s">
        <v>867</v>
      </c>
      <c r="E5045" s="4"/>
      <c r="F5045" s="3" t="s">
        <v>121</v>
      </c>
      <c r="G5045" s="9">
        <v>1442</v>
      </c>
      <c r="H5045" s="9">
        <v>1442</v>
      </c>
      <c r="I5045" s="12"/>
      <c r="J5045" s="5" t="e">
        <f>SUM(SUMIFS(#REF!,#REF!,Planning[[#This Row],[Tipo de Tarea y especialidad]],#REF!,Planning[[#This Row],[Proyectos Reiwa]]),SUMIFS(#REF!,#REF!,Planning[[#This Row],[Tipo de Tarea y especialidad]],#REF!,Planning[[#This Row],[Proyectos]]))</f>
        <v>#REF!</v>
      </c>
      <c r="K5045" s="5" t="e">
        <f>+Planning[[#This Row],[Horas Planificadas]]+Planning[[#This Row],[Horas ajustadas adicionales]]-Planning[[#This Row],[Horas utilizadas]]</f>
        <v>#REF!</v>
      </c>
      <c r="L5045" s="7">
        <v>36</v>
      </c>
      <c r="M5045" s="19" t="e">
        <f>Planning[[#This Row],[Saldo]]-Planning[[#This Row],[Saldo estimado]]</f>
        <v>#REF!</v>
      </c>
      <c r="N5045" s="60" t="e">
        <f>+SUMIFS(#REF!,#REF!,Planning[[#This Row],[Proyectos]],#REF!,Planning[[#This Row],[Tipo de Tarea y especialidad]])</f>
        <v>#REF!</v>
      </c>
      <c r="O5045" s="19">
        <f t="shared" si="159"/>
        <v>10</v>
      </c>
      <c r="P5045" s="19">
        <f t="shared" si="160"/>
        <v>2024</v>
      </c>
      <c r="Q50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45" s="49" t="str">
        <f>TEXT(Planning[[#This Row],[Mes]]*29,"mmmm")</f>
        <v>October</v>
      </c>
      <c r="S504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45" s="173"/>
      <c r="U5045" s="43" t="e">
        <f>IF(Planning[[#This Row],[Horas Planificadas]]&lt;&gt;0,+K5045/Planning[[#This Row],[Horas Planificadas]],0)</f>
        <v>#REF!</v>
      </c>
      <c r="V5045" s="43" t="e">
        <f>IF(Planning[[#This Row],[Horas Planificadas]]&lt;&gt;0,Planning[[#This Row],[Horas utilizadas]]/Planning[[#This Row],[Horas Planificadas]],0)</f>
        <v>#REF!</v>
      </c>
      <c r="W5045" s="44">
        <f>Planning[[#This Row],[Horas Planificadas]]+Planning[[#This Row],[Horas ajustadas adicionales]]</f>
        <v>1442</v>
      </c>
    </row>
    <row r="5046" spans="1:23" x14ac:dyDescent="0.2">
      <c r="A5046" s="9" t="s">
        <v>722</v>
      </c>
      <c r="B5046" s="9" t="s">
        <v>118</v>
      </c>
      <c r="C5046" s="3">
        <v>117012</v>
      </c>
      <c r="D5046" s="3" t="s">
        <v>867</v>
      </c>
      <c r="E5046" s="4" t="s">
        <v>30</v>
      </c>
      <c r="F5046" s="3"/>
      <c r="G5046" s="9"/>
      <c r="H5046" s="14">
        <f>SUM(H5047:H5053)</f>
        <v>4503</v>
      </c>
      <c r="I5046" s="14"/>
      <c r="J5046" s="14" t="e">
        <f>SUM(J5047:J5053)</f>
        <v>#REF!</v>
      </c>
      <c r="K5046" s="14" t="e">
        <f>+Planning[[#This Row],[Horas Planificadas]]+Planning[[#This Row],[Horas ajustadas adicionales]]-Planning[[#This Row],[Horas utilizadas]]</f>
        <v>#REF!</v>
      </c>
      <c r="L5046" s="15">
        <f>SUM(L5047:L5053)</f>
        <v>158</v>
      </c>
      <c r="M5046" s="16" t="e">
        <f>SUM(M5047:M5053)</f>
        <v>#REF!</v>
      </c>
      <c r="N5046" s="60">
        <v>0</v>
      </c>
      <c r="O5046" s="16">
        <f t="shared" si="159"/>
        <v>10</v>
      </c>
      <c r="P5046" s="16">
        <f t="shared" si="160"/>
        <v>2024</v>
      </c>
      <c r="Q5046" s="16" t="e">
        <f>SUM(Q5047:Q5053)</f>
        <v>#REF!</v>
      </c>
      <c r="R5046" s="50" t="str">
        <f>TEXT(Planning[[#This Row],[Mes]]*29,"mmmm")</f>
        <v>October</v>
      </c>
      <c r="S504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46" s="173"/>
      <c r="U5046" s="43" t="e">
        <f>IF(Planning[[#This Row],[Horas Planificadas]]&lt;&gt;0,+K5046/Planning[[#This Row],[Horas Planificadas]],0)</f>
        <v>#REF!</v>
      </c>
      <c r="V5046" s="43" t="e">
        <f>IF(Planning[[#This Row],[Horas Planificadas]]&lt;&gt;0,Planning[[#This Row],[Horas utilizadas]]/Planning[[#This Row],[Horas Planificadas]],0)</f>
        <v>#REF!</v>
      </c>
      <c r="W5046" s="44">
        <f>Planning[[#This Row],[Horas Planificadas]]+Planning[[#This Row],[Horas ajustadas adicionales]]</f>
        <v>4503</v>
      </c>
    </row>
    <row r="5047" spans="1:23" x14ac:dyDescent="0.2">
      <c r="A5047" s="9" t="s">
        <v>722</v>
      </c>
      <c r="B5047" s="9" t="s">
        <v>118</v>
      </c>
      <c r="C5047" s="3">
        <v>117012</v>
      </c>
      <c r="D5047" s="3" t="s">
        <v>867</v>
      </c>
      <c r="E5047" s="4"/>
      <c r="F5047" s="3" t="s">
        <v>122</v>
      </c>
      <c r="G5047" s="9">
        <v>1408</v>
      </c>
      <c r="H5047" s="9">
        <v>1408</v>
      </c>
      <c r="I5047" s="12">
        <v>250</v>
      </c>
      <c r="J5047" s="5" t="e">
        <f>SUM(SUMIFS(#REF!,#REF!,Planning[[#This Row],[Tipo de Tarea y especialidad]],#REF!,Planning[[#This Row],[Proyectos Reiwa]]),SUMIFS(#REF!,#REF!,Planning[[#This Row],[Tipo de Tarea y especialidad]],#REF!,Planning[[#This Row],[Proyectos]]))</f>
        <v>#REF!</v>
      </c>
      <c r="K5047" s="5" t="e">
        <f>+Planning[[#This Row],[Horas Planificadas]]+Planning[[#This Row],[Horas ajustadas adicionales]]-Planning[[#This Row],[Horas utilizadas]]</f>
        <v>#REF!</v>
      </c>
      <c r="L5047" s="7">
        <v>36</v>
      </c>
      <c r="M5047" s="19" t="e">
        <f>Planning[[#This Row],[Saldo]]-Planning[[#This Row],[Saldo estimado]]</f>
        <v>#REF!</v>
      </c>
      <c r="N5047" s="60" t="e">
        <f>+SUMIFS(#REF!,#REF!,Planning[[#This Row],[Proyectos]],#REF!,Planning[[#This Row],[Tipo de Tarea y especialidad]])</f>
        <v>#REF!</v>
      </c>
      <c r="O5047" s="19">
        <f t="shared" si="159"/>
        <v>10</v>
      </c>
      <c r="P5047" s="19">
        <f t="shared" si="160"/>
        <v>2024</v>
      </c>
      <c r="Q50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47" s="49" t="str">
        <f>TEXT(Planning[[#This Row],[Mes]]*29,"mmmm")</f>
        <v>October</v>
      </c>
      <c r="S504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47" s="173"/>
      <c r="U5047" s="43" t="e">
        <f>IF(Planning[[#This Row],[Horas Planificadas]]&lt;&gt;0,+K5047/Planning[[#This Row],[Horas Planificadas]],0)</f>
        <v>#REF!</v>
      </c>
      <c r="V5047" s="43" t="e">
        <f>IF(Planning[[#This Row],[Horas Planificadas]]&lt;&gt;0,Planning[[#This Row],[Horas utilizadas]]/Planning[[#This Row],[Horas Planificadas]],0)</f>
        <v>#REF!</v>
      </c>
      <c r="W5047" s="44">
        <f>Planning[[#This Row],[Horas Planificadas]]+Planning[[#This Row],[Horas ajustadas adicionales]]</f>
        <v>1658</v>
      </c>
    </row>
    <row r="5048" spans="1:23" x14ac:dyDescent="0.2">
      <c r="A5048" s="9" t="s">
        <v>722</v>
      </c>
      <c r="B5048" s="9" t="s">
        <v>118</v>
      </c>
      <c r="C5048" s="3">
        <v>117012</v>
      </c>
      <c r="D5048" s="3" t="s">
        <v>867</v>
      </c>
      <c r="E5048" s="4"/>
      <c r="F5048" s="3" t="s">
        <v>123</v>
      </c>
      <c r="G5048" s="9">
        <v>900</v>
      </c>
      <c r="H5048" s="9">
        <v>900</v>
      </c>
      <c r="I5048" s="12">
        <v>300</v>
      </c>
      <c r="J5048" s="5" t="e">
        <f>SUM(SUMIFS(#REF!,#REF!,Planning[[#This Row],[Tipo de Tarea y especialidad]],#REF!,Planning[[#This Row],[Proyectos Reiwa]]),SUMIFS(#REF!,#REF!,Planning[[#This Row],[Tipo de Tarea y especialidad]],#REF!,Planning[[#This Row],[Proyectos]]))</f>
        <v>#REF!</v>
      </c>
      <c r="K5048" s="5" t="e">
        <f>+Planning[[#This Row],[Horas Planificadas]]+Planning[[#This Row],[Horas ajustadas adicionales]]-Planning[[#This Row],[Horas utilizadas]]</f>
        <v>#REF!</v>
      </c>
      <c r="L5048" s="7">
        <v>36</v>
      </c>
      <c r="M5048" s="19" t="e">
        <f>Planning[[#This Row],[Saldo]]-Planning[[#This Row],[Saldo estimado]]</f>
        <v>#REF!</v>
      </c>
      <c r="N5048" s="60" t="e">
        <f>+SUMIFS(#REF!,#REF!,Planning[[#This Row],[Proyectos]],#REF!,Planning[[#This Row],[Tipo de Tarea y especialidad]])</f>
        <v>#REF!</v>
      </c>
      <c r="O5048" s="19">
        <f t="shared" si="159"/>
        <v>10</v>
      </c>
      <c r="P5048" s="19">
        <f t="shared" si="160"/>
        <v>2024</v>
      </c>
      <c r="Q50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48" s="49" t="str">
        <f>TEXT(Planning[[#This Row],[Mes]]*29,"mmmm")</f>
        <v>October</v>
      </c>
      <c r="S504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48" s="173"/>
      <c r="U5048" s="43" t="e">
        <f>IF(Planning[[#This Row],[Horas Planificadas]]&lt;&gt;0,+K5048/Planning[[#This Row],[Horas Planificadas]],0)</f>
        <v>#REF!</v>
      </c>
      <c r="V5048" s="43" t="e">
        <f>IF(Planning[[#This Row],[Horas Planificadas]]&lt;&gt;0,Planning[[#This Row],[Horas utilizadas]]/Planning[[#This Row],[Horas Planificadas]],0)</f>
        <v>#REF!</v>
      </c>
      <c r="W5048" s="44">
        <f>Planning[[#This Row],[Horas Planificadas]]+Planning[[#This Row],[Horas ajustadas adicionales]]</f>
        <v>1200</v>
      </c>
    </row>
    <row r="5049" spans="1:23" x14ac:dyDescent="0.2">
      <c r="A5049" s="9" t="s">
        <v>722</v>
      </c>
      <c r="B5049" s="9" t="s">
        <v>118</v>
      </c>
      <c r="C5049" s="3">
        <v>117012</v>
      </c>
      <c r="D5049" s="3" t="s">
        <v>867</v>
      </c>
      <c r="E5049" s="4"/>
      <c r="F5049" s="3" t="s">
        <v>124</v>
      </c>
      <c r="G5049" s="9">
        <v>347</v>
      </c>
      <c r="H5049" s="9">
        <v>347</v>
      </c>
      <c r="I5049" s="12">
        <v>100</v>
      </c>
      <c r="J5049" s="5" t="e">
        <f>SUM(SUMIFS(#REF!,#REF!,Planning[[#This Row],[Tipo de Tarea y especialidad]],#REF!,Planning[[#This Row],[Proyectos Reiwa]]),SUMIFS(#REF!,#REF!,Planning[[#This Row],[Tipo de Tarea y especialidad]],#REF!,Planning[[#This Row],[Proyectos]]))</f>
        <v>#REF!</v>
      </c>
      <c r="K5049" s="5" t="e">
        <f>+Planning[[#This Row],[Horas Planificadas]]+Planning[[#This Row],[Horas ajustadas adicionales]]-Planning[[#This Row],[Horas utilizadas]]</f>
        <v>#REF!</v>
      </c>
      <c r="L5049" s="7"/>
      <c r="M5049" s="19" t="e">
        <f>Planning[[#This Row],[Saldo]]-Planning[[#This Row],[Saldo estimado]]</f>
        <v>#REF!</v>
      </c>
      <c r="N5049" s="60" t="e">
        <f>+SUMIFS(#REF!,#REF!,Planning[[#This Row],[Proyectos]],#REF!,Planning[[#This Row],[Tipo de Tarea y especialidad]])</f>
        <v>#REF!</v>
      </c>
      <c r="O5049" s="19">
        <f t="shared" si="159"/>
        <v>10</v>
      </c>
      <c r="P5049" s="19">
        <f t="shared" si="160"/>
        <v>2024</v>
      </c>
      <c r="Q50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49" s="49" t="str">
        <f>TEXT(Planning[[#This Row],[Mes]]*29,"mmmm")</f>
        <v>October</v>
      </c>
      <c r="S504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49" s="173"/>
      <c r="U5049" s="43" t="e">
        <f>IF(Planning[[#This Row],[Horas Planificadas]]&lt;&gt;0,+K5049/Planning[[#This Row],[Horas Planificadas]],0)</f>
        <v>#REF!</v>
      </c>
      <c r="V5049" s="43" t="e">
        <f>IF(Planning[[#This Row],[Horas Planificadas]]&lt;&gt;0,Planning[[#This Row],[Horas utilizadas]]/Planning[[#This Row],[Horas Planificadas]],0)</f>
        <v>#REF!</v>
      </c>
      <c r="W5049" s="44">
        <f>Planning[[#This Row],[Horas Planificadas]]+Planning[[#This Row],[Horas ajustadas adicionales]]</f>
        <v>447</v>
      </c>
    </row>
    <row r="5050" spans="1:23" x14ac:dyDescent="0.2">
      <c r="A5050" s="9" t="s">
        <v>722</v>
      </c>
      <c r="B5050" s="9" t="s">
        <v>118</v>
      </c>
      <c r="C5050" s="3">
        <v>117012</v>
      </c>
      <c r="D5050" s="3" t="s">
        <v>867</v>
      </c>
      <c r="E5050" s="4"/>
      <c r="F5050" s="3" t="s">
        <v>125</v>
      </c>
      <c r="G5050" s="9">
        <v>392</v>
      </c>
      <c r="H5050" s="9">
        <v>392</v>
      </c>
      <c r="I5050" s="12">
        <v>150</v>
      </c>
      <c r="J5050" s="5" t="e">
        <f>SUM(SUMIFS(#REF!,#REF!,Planning[[#This Row],[Tipo de Tarea y especialidad]],#REF!,Planning[[#This Row],[Proyectos Reiwa]]),SUMIFS(#REF!,#REF!,Planning[[#This Row],[Tipo de Tarea y especialidad]],#REF!,Planning[[#This Row],[Proyectos]]))</f>
        <v>#REF!</v>
      </c>
      <c r="K5050" s="5" t="e">
        <f>+Planning[[#This Row],[Horas Planificadas]]+Planning[[#This Row],[Horas ajustadas adicionales]]-Planning[[#This Row],[Horas utilizadas]]</f>
        <v>#REF!</v>
      </c>
      <c r="L5050" s="7">
        <v>86</v>
      </c>
      <c r="M5050" s="19" t="e">
        <f>Planning[[#This Row],[Saldo]]-Planning[[#This Row],[Saldo estimado]]</f>
        <v>#REF!</v>
      </c>
      <c r="N5050" s="60" t="e">
        <f>+SUMIFS(#REF!,#REF!,Planning[[#This Row],[Proyectos]],#REF!,Planning[[#This Row],[Tipo de Tarea y especialidad]])</f>
        <v>#REF!</v>
      </c>
      <c r="O5050" s="19">
        <f t="shared" si="159"/>
        <v>10</v>
      </c>
      <c r="P5050" s="19">
        <f t="shared" si="160"/>
        <v>2024</v>
      </c>
      <c r="Q50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50" s="49" t="str">
        <f>TEXT(Planning[[#This Row],[Mes]]*29,"mmmm")</f>
        <v>October</v>
      </c>
      <c r="S505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50" s="173"/>
      <c r="U5050" s="43" t="e">
        <f>IF(Planning[[#This Row],[Horas Planificadas]]&lt;&gt;0,+K5050/Planning[[#This Row],[Horas Planificadas]],0)</f>
        <v>#REF!</v>
      </c>
      <c r="V5050" s="43" t="e">
        <f>IF(Planning[[#This Row],[Horas Planificadas]]&lt;&gt;0,Planning[[#This Row],[Horas utilizadas]]/Planning[[#This Row],[Horas Planificadas]],0)</f>
        <v>#REF!</v>
      </c>
      <c r="W5050" s="44">
        <f>Planning[[#This Row],[Horas Planificadas]]+Planning[[#This Row],[Horas ajustadas adicionales]]</f>
        <v>542</v>
      </c>
    </row>
    <row r="5051" spans="1:23" x14ac:dyDescent="0.2">
      <c r="A5051" s="9" t="s">
        <v>722</v>
      </c>
      <c r="B5051" s="9" t="s">
        <v>118</v>
      </c>
      <c r="C5051" s="3">
        <v>117012</v>
      </c>
      <c r="D5051" s="3" t="s">
        <v>867</v>
      </c>
      <c r="E5051" s="4"/>
      <c r="F5051" s="3" t="s">
        <v>126</v>
      </c>
      <c r="G5051" s="9">
        <v>600</v>
      </c>
      <c r="H5051" s="9">
        <v>600</v>
      </c>
      <c r="I5051" s="12"/>
      <c r="J5051" s="5" t="e">
        <f>SUM(SUMIFS(#REF!,#REF!,Planning[[#This Row],[Tipo de Tarea y especialidad]],#REF!,Planning[[#This Row],[Proyectos Reiwa]]),SUMIFS(#REF!,#REF!,Planning[[#This Row],[Tipo de Tarea y especialidad]],#REF!,Planning[[#This Row],[Proyectos]]))</f>
        <v>#REF!</v>
      </c>
      <c r="K5051" s="5" t="e">
        <f>+Planning[[#This Row],[Horas Planificadas]]+Planning[[#This Row],[Horas ajustadas adicionales]]-Planning[[#This Row],[Horas utilizadas]]</f>
        <v>#REF!</v>
      </c>
      <c r="L5051" s="7"/>
      <c r="M5051" s="19" t="e">
        <f>Planning[[#This Row],[Saldo]]-Planning[[#This Row],[Saldo estimado]]</f>
        <v>#REF!</v>
      </c>
      <c r="N5051" s="60" t="e">
        <f>+SUMIFS(#REF!,#REF!,Planning[[#This Row],[Proyectos]],#REF!,Planning[[#This Row],[Tipo de Tarea y especialidad]])</f>
        <v>#REF!</v>
      </c>
      <c r="O5051" s="19">
        <f t="shared" si="159"/>
        <v>10</v>
      </c>
      <c r="P5051" s="19">
        <f t="shared" si="160"/>
        <v>2024</v>
      </c>
      <c r="Q50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51" s="49" t="str">
        <f>TEXT(Planning[[#This Row],[Mes]]*29,"mmmm")</f>
        <v>October</v>
      </c>
      <c r="S505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51" s="173"/>
      <c r="U5051" s="43" t="e">
        <f>IF(Planning[[#This Row],[Horas Planificadas]]&lt;&gt;0,+K5051/Planning[[#This Row],[Horas Planificadas]],0)</f>
        <v>#REF!</v>
      </c>
      <c r="V5051" s="43" t="e">
        <f>IF(Planning[[#This Row],[Horas Planificadas]]&lt;&gt;0,Planning[[#This Row],[Horas utilizadas]]/Planning[[#This Row],[Horas Planificadas]],0)</f>
        <v>#REF!</v>
      </c>
      <c r="W5051" s="44">
        <f>Planning[[#This Row],[Horas Planificadas]]+Planning[[#This Row],[Horas ajustadas adicionales]]</f>
        <v>600</v>
      </c>
    </row>
    <row r="5052" spans="1:23" x14ac:dyDescent="0.2">
      <c r="A5052" s="9" t="s">
        <v>722</v>
      </c>
      <c r="B5052" s="9" t="s">
        <v>118</v>
      </c>
      <c r="C5052" s="3">
        <v>117012</v>
      </c>
      <c r="D5052" s="3" t="s">
        <v>867</v>
      </c>
      <c r="E5052" s="4"/>
      <c r="F5052" s="3" t="s">
        <v>127</v>
      </c>
      <c r="G5052" s="9">
        <v>500</v>
      </c>
      <c r="H5052" s="9">
        <v>500</v>
      </c>
      <c r="I5052" s="12"/>
      <c r="J5052" s="5" t="e">
        <f>SUM(SUMIFS(#REF!,#REF!,Planning[[#This Row],[Tipo de Tarea y especialidad]],#REF!,Planning[[#This Row],[Proyectos Reiwa]]),SUMIFS(#REF!,#REF!,Planning[[#This Row],[Tipo de Tarea y especialidad]],#REF!,Planning[[#This Row],[Proyectos]]))</f>
        <v>#REF!</v>
      </c>
      <c r="K5052" s="5" t="e">
        <f>+Planning[[#This Row],[Horas Planificadas]]+Planning[[#This Row],[Horas ajustadas adicionales]]-Planning[[#This Row],[Horas utilizadas]]</f>
        <v>#REF!</v>
      </c>
      <c r="L5052" s="7"/>
      <c r="M5052" s="19" t="e">
        <f>Planning[[#This Row],[Saldo]]-Planning[[#This Row],[Saldo estimado]]</f>
        <v>#REF!</v>
      </c>
      <c r="N5052" s="60" t="e">
        <f>+SUMIFS(#REF!,#REF!,Planning[[#This Row],[Proyectos]],#REF!,Planning[[#This Row],[Tipo de Tarea y especialidad]])</f>
        <v>#REF!</v>
      </c>
      <c r="O5052" s="19">
        <f t="shared" si="159"/>
        <v>10</v>
      </c>
      <c r="P5052" s="19">
        <f t="shared" si="160"/>
        <v>2024</v>
      </c>
      <c r="Q50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52" s="49" t="str">
        <f>TEXT(Planning[[#This Row],[Mes]]*29,"mmmm")</f>
        <v>October</v>
      </c>
      <c r="S505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52" s="173"/>
      <c r="U5052" s="43" t="e">
        <f>IF(Planning[[#This Row],[Horas Planificadas]]&lt;&gt;0,+K5052/Planning[[#This Row],[Horas Planificadas]],0)</f>
        <v>#REF!</v>
      </c>
      <c r="V5052" s="43" t="e">
        <f>IF(Planning[[#This Row],[Horas Planificadas]]&lt;&gt;0,Planning[[#This Row],[Horas utilizadas]]/Planning[[#This Row],[Horas Planificadas]],0)</f>
        <v>#REF!</v>
      </c>
      <c r="W5052" s="44">
        <f>Planning[[#This Row],[Horas Planificadas]]+Planning[[#This Row],[Horas ajustadas adicionales]]</f>
        <v>500</v>
      </c>
    </row>
    <row r="5053" spans="1:23" x14ac:dyDescent="0.2">
      <c r="A5053" s="9" t="s">
        <v>722</v>
      </c>
      <c r="B5053" s="9" t="s">
        <v>118</v>
      </c>
      <c r="C5053" s="3">
        <v>117012</v>
      </c>
      <c r="D5053" s="3" t="s">
        <v>867</v>
      </c>
      <c r="E5053" s="4"/>
      <c r="F5053" s="3" t="s">
        <v>128</v>
      </c>
      <c r="G5053" s="9">
        <v>356</v>
      </c>
      <c r="H5053" s="9">
        <v>356</v>
      </c>
      <c r="I5053" s="12"/>
      <c r="J5053" s="5" t="e">
        <f>SUM(SUMIFS(#REF!,#REF!,Planning[[#This Row],[Tipo de Tarea y especialidad]],#REF!,Planning[[#This Row],[Proyectos Reiwa]]),SUMIFS(#REF!,#REF!,Planning[[#This Row],[Tipo de Tarea y especialidad]],#REF!,Planning[[#This Row],[Proyectos]]))</f>
        <v>#REF!</v>
      </c>
      <c r="K5053" s="5" t="e">
        <f>+Planning[[#This Row],[Horas Planificadas]]+Planning[[#This Row],[Horas ajustadas adicionales]]-Planning[[#This Row],[Horas utilizadas]]</f>
        <v>#REF!</v>
      </c>
      <c r="L5053" s="7"/>
      <c r="M5053" s="19" t="e">
        <f>Planning[[#This Row],[Saldo]]-Planning[[#This Row],[Saldo estimado]]</f>
        <v>#REF!</v>
      </c>
      <c r="N5053" s="60" t="e">
        <f>+SUMIFS(#REF!,#REF!,Planning[[#This Row],[Proyectos]],#REF!,Planning[[#This Row],[Tipo de Tarea y especialidad]])</f>
        <v>#REF!</v>
      </c>
      <c r="O5053" s="19">
        <f t="shared" si="159"/>
        <v>10</v>
      </c>
      <c r="P5053" s="19">
        <f t="shared" si="160"/>
        <v>2024</v>
      </c>
      <c r="Q50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53" s="49" t="str">
        <f>TEXT(Planning[[#This Row],[Mes]]*29,"mmmm")</f>
        <v>October</v>
      </c>
      <c r="S505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53" s="173"/>
      <c r="U5053" s="43" t="e">
        <f>IF(Planning[[#This Row],[Horas Planificadas]]&lt;&gt;0,+K5053/Planning[[#This Row],[Horas Planificadas]],0)</f>
        <v>#REF!</v>
      </c>
      <c r="V5053" s="43" t="e">
        <f>IF(Planning[[#This Row],[Horas Planificadas]]&lt;&gt;0,Planning[[#This Row],[Horas utilizadas]]/Planning[[#This Row],[Horas Planificadas]],0)</f>
        <v>#REF!</v>
      </c>
      <c r="W5053" s="44">
        <f>Planning[[#This Row],[Horas Planificadas]]+Planning[[#This Row],[Horas ajustadas adicionales]]</f>
        <v>356</v>
      </c>
    </row>
    <row r="5054" spans="1:23" x14ac:dyDescent="0.2">
      <c r="A5054" s="9" t="s">
        <v>722</v>
      </c>
      <c r="B5054" s="9" t="s">
        <v>118</v>
      </c>
      <c r="C5054" s="3">
        <v>117012</v>
      </c>
      <c r="D5054" s="3" t="s">
        <v>867</v>
      </c>
      <c r="E5054" s="4" t="s">
        <v>31</v>
      </c>
      <c r="F5054" s="3" t="s">
        <v>31</v>
      </c>
      <c r="G5054" s="73"/>
      <c r="H5054" s="17">
        <v>3</v>
      </c>
      <c r="I5054" s="18"/>
      <c r="J5054" s="14" t="e">
        <f>+SUMIFS(#REF!,#REF!,Planning[[#This Row],[Tarifa]],#REF!,Planning[[#This Row],[Proyectos]])</f>
        <v>#REF!</v>
      </c>
      <c r="K5054" s="14" t="e">
        <f>+Planning[[#This Row],[Horas Planificadas]]+Planning[[#This Row],[Horas ajustadas adicionales]]-Planning[[#This Row],[Horas utilizadas]]</f>
        <v>#REF!</v>
      </c>
      <c r="L5054" s="15" t="e">
        <f>Planning[[#This Row],[Saldo]]</f>
        <v>#REF!</v>
      </c>
      <c r="M5054" s="16" t="e">
        <f>Planning[[#This Row],[Saldo]]-Planning[[#This Row],[Saldo estimado]]</f>
        <v>#REF!</v>
      </c>
      <c r="N5054" s="60">
        <v>0</v>
      </c>
      <c r="O5054" s="16">
        <f t="shared" si="159"/>
        <v>10</v>
      </c>
      <c r="P5054" s="16">
        <f t="shared" si="160"/>
        <v>2024</v>
      </c>
      <c r="Q5054" s="16" t="e">
        <f>+SUMIFS(#REF!,#REF!,Planning[[#This Row],[Tarifa]],#REF!,Planning[[#This Row],[Proyectos]],#REF!,Planning[[#This Row],[Mes]],#REF!,Planning[[#This Row],[Año]])</f>
        <v>#REF!</v>
      </c>
      <c r="R5054" s="50" t="str">
        <f>TEXT(Planning[[#This Row],[Mes]]*29,"mmmm")</f>
        <v>October</v>
      </c>
      <c r="S505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54" s="173"/>
      <c r="U5054" s="43" t="e">
        <f>IF(Planning[[#This Row],[Horas Planificadas]]&lt;&gt;0,+K5054/Planning[[#This Row],[Horas Planificadas]],0)</f>
        <v>#REF!</v>
      </c>
      <c r="V5054" s="43" t="e">
        <f>IF(Planning[[#This Row],[Horas Planificadas]]&lt;&gt;0,Planning[[#This Row],[Horas utilizadas]]/Planning[[#This Row],[Horas Planificadas]],0)</f>
        <v>#REF!</v>
      </c>
      <c r="W5054" s="44">
        <f>Planning[[#This Row],[Horas Planificadas]]+Planning[[#This Row],[Horas ajustadas adicionales]]</f>
        <v>3</v>
      </c>
    </row>
    <row r="5055" spans="1:23" ht="22.5" x14ac:dyDescent="0.2">
      <c r="A5055" s="9" t="s">
        <v>722</v>
      </c>
      <c r="B5055" s="9" t="s">
        <v>118</v>
      </c>
      <c r="C5055" s="3">
        <v>117012</v>
      </c>
      <c r="D5055" s="3" t="s">
        <v>867</v>
      </c>
      <c r="E5055" s="4" t="s">
        <v>32</v>
      </c>
      <c r="F5055" s="3"/>
      <c r="G5055" s="9"/>
      <c r="H5055" s="14">
        <f>SUM(H5056:H5058)</f>
        <v>2145</v>
      </c>
      <c r="I5055" s="14"/>
      <c r="J5055" s="14" t="e">
        <f>SUM(J5056:J5058)</f>
        <v>#REF!</v>
      </c>
      <c r="K5055" s="14" t="e">
        <f>+Planning[[#This Row],[Horas Planificadas]]+Planning[[#This Row],[Horas ajustadas adicionales]]-Planning[[#This Row],[Horas utilizadas]]</f>
        <v>#REF!</v>
      </c>
      <c r="L5055" s="15">
        <f>SUM(L5056:L5058)</f>
        <v>453</v>
      </c>
      <c r="M5055" s="16" t="e">
        <f>SUM(M5056:M5058)</f>
        <v>#REF!</v>
      </c>
      <c r="N5055" s="60">
        <v>0</v>
      </c>
      <c r="O5055" s="16">
        <f t="shared" si="159"/>
        <v>10</v>
      </c>
      <c r="P5055" s="16">
        <f t="shared" si="160"/>
        <v>2024</v>
      </c>
      <c r="Q5055" s="16" t="e">
        <f>SUM(Q5056:Q5058)</f>
        <v>#REF!</v>
      </c>
      <c r="R5055" s="50" t="str">
        <f>TEXT(Planning[[#This Row],[Mes]]*29,"mmmm")</f>
        <v>October</v>
      </c>
      <c r="S505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55" s="173"/>
      <c r="U5055" s="43" t="e">
        <f>IF(Planning[[#This Row],[Horas Planificadas]]&lt;&gt;0,+K5055/Planning[[#This Row],[Horas Planificadas]],0)</f>
        <v>#REF!</v>
      </c>
      <c r="V5055" s="43" t="e">
        <f>IF(Planning[[#This Row],[Horas Planificadas]]&lt;&gt;0,Planning[[#This Row],[Horas utilizadas]]/Planning[[#This Row],[Horas Planificadas]],0)</f>
        <v>#REF!</v>
      </c>
      <c r="W5055" s="44">
        <f>Planning[[#This Row],[Horas Planificadas]]+Planning[[#This Row],[Horas ajustadas adicionales]]</f>
        <v>2145</v>
      </c>
    </row>
    <row r="5056" spans="1:23" x14ac:dyDescent="0.2">
      <c r="A5056" s="9" t="s">
        <v>722</v>
      </c>
      <c r="B5056" s="9" t="s">
        <v>118</v>
      </c>
      <c r="C5056" s="3">
        <v>117012</v>
      </c>
      <c r="D5056" s="3" t="s">
        <v>867</v>
      </c>
      <c r="E5056" s="4"/>
      <c r="F5056" s="3" t="s">
        <v>129</v>
      </c>
      <c r="G5056" s="9">
        <v>900</v>
      </c>
      <c r="H5056" s="9">
        <v>900</v>
      </c>
      <c r="I5056" s="12">
        <v>100</v>
      </c>
      <c r="J5056" s="5" t="e">
        <f>SUM(SUMIFS(#REF!,#REF!,Planning[[#This Row],[Tipo de Tarea y especialidad]],#REF!,Planning[[#This Row],[Proyectos Reiwa]]),SUMIFS(#REF!,#REF!,Planning[[#This Row],[Tipo de Tarea y especialidad]],#REF!,Planning[[#This Row],[Proyectos]]))</f>
        <v>#REF!</v>
      </c>
      <c r="K5056" s="5" t="e">
        <f>+Planning[[#This Row],[Horas Planificadas]]+Planning[[#This Row],[Horas ajustadas adicionales]]-Planning[[#This Row],[Horas utilizadas]]</f>
        <v>#REF!</v>
      </c>
      <c r="L5056" s="7">
        <v>90</v>
      </c>
      <c r="M5056" s="19" t="e">
        <f>Planning[[#This Row],[Saldo]]-Planning[[#This Row],[Saldo estimado]]</f>
        <v>#REF!</v>
      </c>
      <c r="N5056" s="60" t="e">
        <f>+SUMIFS(#REF!,#REF!,Planning[[#This Row],[Proyectos]],#REF!,Planning[[#This Row],[Tipo de Tarea y especialidad]])</f>
        <v>#REF!</v>
      </c>
      <c r="O5056" s="19">
        <f t="shared" si="159"/>
        <v>10</v>
      </c>
      <c r="P5056" s="19">
        <f t="shared" si="160"/>
        <v>2024</v>
      </c>
      <c r="Q50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56" s="49" t="str">
        <f>TEXT(Planning[[#This Row],[Mes]]*29,"mmmm")</f>
        <v>October</v>
      </c>
      <c r="S505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56" s="173"/>
      <c r="U5056" s="43" t="e">
        <f>IF(Planning[[#This Row],[Horas Planificadas]]&lt;&gt;0,+K5056/Planning[[#This Row],[Horas Planificadas]],0)</f>
        <v>#REF!</v>
      </c>
      <c r="V5056" s="43" t="e">
        <f>IF(Planning[[#This Row],[Horas Planificadas]]&lt;&gt;0,Planning[[#This Row],[Horas utilizadas]]/Planning[[#This Row],[Horas Planificadas]],0)</f>
        <v>#REF!</v>
      </c>
      <c r="W5056" s="44">
        <f>Planning[[#This Row],[Horas Planificadas]]+Planning[[#This Row],[Horas ajustadas adicionales]]</f>
        <v>1000</v>
      </c>
    </row>
    <row r="5057" spans="1:23" x14ac:dyDescent="0.2">
      <c r="A5057" s="9" t="s">
        <v>722</v>
      </c>
      <c r="B5057" s="9" t="s">
        <v>118</v>
      </c>
      <c r="C5057" s="3">
        <v>117012</v>
      </c>
      <c r="D5057" s="3" t="s">
        <v>867</v>
      </c>
      <c r="E5057" s="4"/>
      <c r="F5057" s="3" t="s">
        <v>130</v>
      </c>
      <c r="G5057" s="9">
        <v>750</v>
      </c>
      <c r="H5057" s="9">
        <v>750</v>
      </c>
      <c r="I5057" s="12">
        <v>100</v>
      </c>
      <c r="J5057" s="5" t="e">
        <f>SUM(SUMIFS(#REF!,#REF!,Planning[[#This Row],[Tipo de Tarea y especialidad]],#REF!,Planning[[#This Row],[Proyectos Reiwa]]),SUMIFS(#REF!,#REF!,Planning[[#This Row],[Tipo de Tarea y especialidad]],#REF!,Planning[[#This Row],[Proyectos]]))</f>
        <v>#REF!</v>
      </c>
      <c r="K5057" s="5" t="e">
        <f>+Planning[[#This Row],[Horas Planificadas]]+Planning[[#This Row],[Horas ajustadas adicionales]]-Planning[[#This Row],[Horas utilizadas]]</f>
        <v>#REF!</v>
      </c>
      <c r="L5057" s="7">
        <v>90</v>
      </c>
      <c r="M5057" s="19" t="e">
        <f>Planning[[#This Row],[Saldo]]-Planning[[#This Row],[Saldo estimado]]</f>
        <v>#REF!</v>
      </c>
      <c r="N5057" s="60" t="e">
        <f>+SUMIFS(#REF!,#REF!,Planning[[#This Row],[Proyectos]],#REF!,Planning[[#This Row],[Tipo de Tarea y especialidad]])</f>
        <v>#REF!</v>
      </c>
      <c r="O5057" s="19">
        <f t="shared" si="159"/>
        <v>10</v>
      </c>
      <c r="P5057" s="19">
        <f t="shared" si="160"/>
        <v>2024</v>
      </c>
      <c r="Q50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57" s="49" t="str">
        <f>TEXT(Planning[[#This Row],[Mes]]*29,"mmmm")</f>
        <v>October</v>
      </c>
      <c r="S505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57" s="173"/>
      <c r="U5057" s="43" t="e">
        <f>IF(Planning[[#This Row],[Horas Planificadas]]&lt;&gt;0,+K5057/Planning[[#This Row],[Horas Planificadas]],0)</f>
        <v>#REF!</v>
      </c>
      <c r="V5057" s="43" t="e">
        <f>IF(Planning[[#This Row],[Horas Planificadas]]&lt;&gt;0,Planning[[#This Row],[Horas utilizadas]]/Planning[[#This Row],[Horas Planificadas]],0)</f>
        <v>#REF!</v>
      </c>
      <c r="W5057" s="44">
        <f>Planning[[#This Row],[Horas Planificadas]]+Planning[[#This Row],[Horas ajustadas adicionales]]</f>
        <v>850</v>
      </c>
    </row>
    <row r="5058" spans="1:23" x14ac:dyDescent="0.2">
      <c r="A5058" s="9" t="s">
        <v>722</v>
      </c>
      <c r="B5058" s="9" t="s">
        <v>118</v>
      </c>
      <c r="C5058" s="3">
        <v>117012</v>
      </c>
      <c r="D5058" s="3" t="s">
        <v>867</v>
      </c>
      <c r="E5058" s="4"/>
      <c r="F5058" s="3" t="s">
        <v>131</v>
      </c>
      <c r="G5058" s="9">
        <v>495</v>
      </c>
      <c r="H5058" s="9">
        <v>495</v>
      </c>
      <c r="I5058" s="12"/>
      <c r="J5058" s="5" t="e">
        <f>SUM(SUMIFS(#REF!,#REF!,Planning[[#This Row],[Tipo de Tarea y especialidad]],#REF!,Planning[[#This Row],[Proyectos Reiwa]]),SUMIFS(#REF!,#REF!,Planning[[#This Row],[Tipo de Tarea y especialidad]],#REF!,Planning[[#This Row],[Proyectos]]))</f>
        <v>#REF!</v>
      </c>
      <c r="K5058" s="5" t="e">
        <f>+Planning[[#This Row],[Horas Planificadas]]+Planning[[#This Row],[Horas ajustadas adicionales]]-Planning[[#This Row],[Horas utilizadas]]</f>
        <v>#REF!</v>
      </c>
      <c r="L5058" s="7">
        <v>273</v>
      </c>
      <c r="M5058" s="19" t="e">
        <f>Planning[[#This Row],[Saldo]]-Planning[[#This Row],[Saldo estimado]]</f>
        <v>#REF!</v>
      </c>
      <c r="N5058" s="60" t="e">
        <f>+SUMIFS(#REF!,#REF!,Planning[[#This Row],[Proyectos]],#REF!,Planning[[#This Row],[Tipo de Tarea y especialidad]])</f>
        <v>#REF!</v>
      </c>
      <c r="O5058" s="19">
        <f t="shared" si="159"/>
        <v>10</v>
      </c>
      <c r="P5058" s="19">
        <f t="shared" si="160"/>
        <v>2024</v>
      </c>
      <c r="Q50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58" s="49" t="str">
        <f>TEXT(Planning[[#This Row],[Mes]]*29,"mmmm")</f>
        <v>October</v>
      </c>
      <c r="S505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58" s="173"/>
      <c r="U5058" s="43" t="e">
        <f>IF(Planning[[#This Row],[Horas Planificadas]]&lt;&gt;0,+K5058/Planning[[#This Row],[Horas Planificadas]],0)</f>
        <v>#REF!</v>
      </c>
      <c r="V5058" s="43" t="e">
        <f>IF(Planning[[#This Row],[Horas Planificadas]]&lt;&gt;0,Planning[[#This Row],[Horas utilizadas]]/Planning[[#This Row],[Horas Planificadas]],0)</f>
        <v>#REF!</v>
      </c>
      <c r="W5058" s="44">
        <f>Planning[[#This Row],[Horas Planificadas]]+Planning[[#This Row],[Horas ajustadas adicionales]]</f>
        <v>495</v>
      </c>
    </row>
    <row r="5059" spans="1:23" ht="13.35" customHeight="1" x14ac:dyDescent="0.2">
      <c r="A5059" s="9" t="s">
        <v>626</v>
      </c>
      <c r="B5059" s="9" t="s">
        <v>808</v>
      </c>
      <c r="C5059" s="3">
        <v>117014</v>
      </c>
      <c r="D5059" s="3" t="s">
        <v>869</v>
      </c>
      <c r="E5059" s="4" t="s">
        <v>28</v>
      </c>
      <c r="F5059" s="3"/>
      <c r="G5059" s="9">
        <f>+G5060+G5061</f>
        <v>128</v>
      </c>
      <c r="H5059" s="14">
        <f>SUM(H5060:H5061)</f>
        <v>128</v>
      </c>
      <c r="I5059" s="14"/>
      <c r="J5059" s="14" t="e">
        <f>SUM(J5060:J5061)</f>
        <v>#REF!</v>
      </c>
      <c r="K5059" s="14" t="e">
        <f>+Planning[[#This Row],[Horas Planificadas]]+Planning[[#This Row],[Horas ajustadas adicionales]]-Planning[[#This Row],[Horas utilizadas]]</f>
        <v>#REF!</v>
      </c>
      <c r="L5059" s="15">
        <f>SUM(L5060:L5061)</f>
        <v>0</v>
      </c>
      <c r="M5059" s="14" t="e">
        <f>SUM(M5060:M5061)</f>
        <v>#REF!</v>
      </c>
      <c r="N5059" s="66"/>
      <c r="O5059" s="14">
        <f t="shared" si="159"/>
        <v>10</v>
      </c>
      <c r="P5059" s="14">
        <f t="shared" si="160"/>
        <v>2024</v>
      </c>
      <c r="Q5059" s="28" t="e">
        <f>SUM(Q5060:Q5061)</f>
        <v>#REF!</v>
      </c>
      <c r="R5059" s="14" t="str">
        <f>TEXT(Planning[[#This Row],[Mes]]*29,"mmmm")</f>
        <v>October</v>
      </c>
      <c r="S505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59" s="190" t="s">
        <v>870</v>
      </c>
      <c r="U5059" s="107" t="e">
        <f>IF(Planning[[#This Row],[Horas Planificadas]]&lt;&gt;0,+K5059/Planning[[#This Row],[Horas Planificadas]],0)</f>
        <v>#REF!</v>
      </c>
      <c r="V5059" s="43" t="e">
        <f>IF(Planning[[#This Row],[Horas Planificadas]]&lt;&gt;0,Planning[[#This Row],[Horas utilizadas]]/Planning[[#This Row],[Horas Planificadas]],0)</f>
        <v>#REF!</v>
      </c>
      <c r="W5059" s="44">
        <f>Planning[[#This Row],[Horas Planificadas]]+Planning[[#This Row],[Horas ajustadas adicionales]]</f>
        <v>128</v>
      </c>
    </row>
    <row r="5060" spans="1:23" x14ac:dyDescent="0.2">
      <c r="A5060" s="9" t="s">
        <v>626</v>
      </c>
      <c r="B5060" s="9" t="s">
        <v>808</v>
      </c>
      <c r="C5060" s="3">
        <v>117014</v>
      </c>
      <c r="D5060" s="3" t="s">
        <v>869</v>
      </c>
      <c r="E5060" s="4"/>
      <c r="F5060" s="3" t="s">
        <v>120</v>
      </c>
      <c r="G5060" s="9">
        <v>110</v>
      </c>
      <c r="H5060" s="9">
        <v>110</v>
      </c>
      <c r="I5060" s="12"/>
      <c r="J5060" s="5" t="e">
        <f>SUM(SUMIFS(#REF!,#REF!,Planning[[#This Row],[Tipo de Tarea y especialidad]],#REF!,Planning[[#This Row],[Proyectos Reiwa]]),SUMIFS(#REF!,#REF!,Planning[[#This Row],[Tipo de Tarea y especialidad]],#REF!,Planning[[#This Row],[Proyectos]]))</f>
        <v>#REF!</v>
      </c>
      <c r="K5060" s="5" t="e">
        <f>+Planning[[#This Row],[Horas Planificadas]]+Planning[[#This Row],[Horas ajustadas adicionales]]-Planning[[#This Row],[Horas utilizadas]]</f>
        <v>#REF!</v>
      </c>
      <c r="L5060" s="7">
        <v>0</v>
      </c>
      <c r="M5060" s="19" t="e">
        <f>Planning[[#This Row],[Saldo]]-Planning[[#This Row],[Saldo estimado]]</f>
        <v>#REF!</v>
      </c>
      <c r="N5060" s="60" t="e">
        <f>+SUMIFS(#REF!,#REF!,Planning[[#This Row],[Proyectos]],#REF!,Planning[[#This Row],[Tipo de Tarea y especialidad]])</f>
        <v>#REF!</v>
      </c>
      <c r="O5060" s="19">
        <f t="shared" si="159"/>
        <v>10</v>
      </c>
      <c r="P5060" s="19">
        <f t="shared" si="160"/>
        <v>2024</v>
      </c>
      <c r="Q50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60" s="34" t="str">
        <f>TEXT(Planning[[#This Row],[Mes]]*29,"mmmm")</f>
        <v>October</v>
      </c>
      <c r="S506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60" s="191"/>
      <c r="U5060" s="107" t="e">
        <f>IF(Planning[[#This Row],[Horas Planificadas]]&lt;&gt;0,+K5060/Planning[[#This Row],[Horas Planificadas]],0)</f>
        <v>#REF!</v>
      </c>
      <c r="V5060" s="43" t="e">
        <f>IF(Planning[[#This Row],[Horas Planificadas]]&lt;&gt;0,Planning[[#This Row],[Horas utilizadas]]/Planning[[#This Row],[Horas Planificadas]],0)</f>
        <v>#REF!</v>
      </c>
      <c r="W5060" s="44">
        <f>Planning[[#This Row],[Horas Planificadas]]+Planning[[#This Row],[Horas ajustadas adicionales]]</f>
        <v>110</v>
      </c>
    </row>
    <row r="5061" spans="1:23" x14ac:dyDescent="0.2">
      <c r="A5061" s="9" t="s">
        <v>626</v>
      </c>
      <c r="B5061" s="9" t="s">
        <v>808</v>
      </c>
      <c r="C5061" s="3">
        <v>117014</v>
      </c>
      <c r="D5061" s="3" t="s">
        <v>869</v>
      </c>
      <c r="E5061" s="4"/>
      <c r="F5061" s="3" t="s">
        <v>121</v>
      </c>
      <c r="G5061" s="9">
        <v>18</v>
      </c>
      <c r="H5061" s="9">
        <v>18</v>
      </c>
      <c r="I5061" s="12"/>
      <c r="J5061" s="5" t="e">
        <f>SUM(SUMIFS(#REF!,#REF!,Planning[[#This Row],[Tipo de Tarea y especialidad]],#REF!,Planning[[#This Row],[Proyectos Reiwa]]),SUMIFS(#REF!,#REF!,Planning[[#This Row],[Tipo de Tarea y especialidad]],#REF!,Planning[[#This Row],[Proyectos]]))</f>
        <v>#REF!</v>
      </c>
      <c r="K5061" s="5" t="e">
        <f>+Planning[[#This Row],[Horas Planificadas]]+Planning[[#This Row],[Horas ajustadas adicionales]]-Planning[[#This Row],[Horas utilizadas]]</f>
        <v>#REF!</v>
      </c>
      <c r="L5061" s="7">
        <v>0</v>
      </c>
      <c r="M5061" s="19" t="e">
        <f>Planning[[#This Row],[Saldo]]-Planning[[#This Row],[Saldo estimado]]</f>
        <v>#REF!</v>
      </c>
      <c r="N5061" s="60" t="e">
        <f>+SUMIFS(#REF!,#REF!,Planning[[#This Row],[Proyectos]],#REF!,Planning[[#This Row],[Tipo de Tarea y especialidad]])</f>
        <v>#REF!</v>
      </c>
      <c r="O5061" s="19">
        <f t="shared" si="159"/>
        <v>10</v>
      </c>
      <c r="P5061" s="19">
        <f t="shared" si="160"/>
        <v>2024</v>
      </c>
      <c r="Q50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61" s="34" t="str">
        <f>TEXT(Planning[[#This Row],[Mes]]*29,"mmmm")</f>
        <v>October</v>
      </c>
      <c r="S506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61" s="191"/>
      <c r="U5061" s="107" t="e">
        <f>IF(Planning[[#This Row],[Horas Planificadas]]&lt;&gt;0,+K5061/Planning[[#This Row],[Horas Planificadas]],0)</f>
        <v>#REF!</v>
      </c>
      <c r="V5061" s="43" t="e">
        <f>IF(Planning[[#This Row],[Horas Planificadas]]&lt;&gt;0,Planning[[#This Row],[Horas utilizadas]]/Planning[[#This Row],[Horas Planificadas]],0)</f>
        <v>#REF!</v>
      </c>
      <c r="W5061" s="44">
        <f>Planning[[#This Row],[Horas Planificadas]]+Planning[[#This Row],[Horas ajustadas adicionales]]</f>
        <v>18</v>
      </c>
    </row>
    <row r="5062" spans="1:23" x14ac:dyDescent="0.2">
      <c r="A5062" s="9" t="s">
        <v>626</v>
      </c>
      <c r="B5062" s="9" t="s">
        <v>808</v>
      </c>
      <c r="C5062" s="3">
        <v>117014</v>
      </c>
      <c r="D5062" s="3" t="s">
        <v>869</v>
      </c>
      <c r="E5062" s="4" t="s">
        <v>30</v>
      </c>
      <c r="F5062" s="3"/>
      <c r="G5062" s="9">
        <f>+G5063+G5064+G5065+G5066+G5067+G5068+G5069</f>
        <v>150</v>
      </c>
      <c r="H5062" s="14">
        <f>SUM(H5063:H5069)</f>
        <v>192</v>
      </c>
      <c r="I5062" s="14">
        <f>SUM(I5063:I5069)</f>
        <v>63</v>
      </c>
      <c r="J5062" s="14" t="e">
        <f>SUM(J5063:J5069)</f>
        <v>#REF!</v>
      </c>
      <c r="K5062" s="14" t="e">
        <f>+Planning[[#This Row],[Horas Planificadas]]+Planning[[#This Row],[Horas ajustadas adicionales]]-Planning[[#This Row],[Horas utilizadas]]</f>
        <v>#REF!</v>
      </c>
      <c r="L5062" s="15">
        <f>SUM(L5063:L5069)</f>
        <v>72</v>
      </c>
      <c r="M5062" s="16" t="e">
        <f>SUM(M5063:M5069)</f>
        <v>#REF!</v>
      </c>
      <c r="N5062" s="60">
        <v>0</v>
      </c>
      <c r="O5062" s="16">
        <f t="shared" si="159"/>
        <v>10</v>
      </c>
      <c r="P5062" s="16">
        <f t="shared" si="160"/>
        <v>2024</v>
      </c>
      <c r="Q5062" s="16" t="e">
        <f>SUM(Q5063:Q5069)</f>
        <v>#REF!</v>
      </c>
      <c r="R5062" s="35" t="str">
        <f>TEXT(Planning[[#This Row],[Mes]]*29,"mmmm")</f>
        <v>October</v>
      </c>
      <c r="S506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62" s="104"/>
      <c r="U5062" s="107" t="e">
        <f>IF(Planning[[#This Row],[Horas Planificadas]]&lt;&gt;0,+K5062/Planning[[#This Row],[Horas Planificadas]],0)</f>
        <v>#REF!</v>
      </c>
      <c r="V5062" s="43" t="e">
        <f>IF(Planning[[#This Row],[Horas Planificadas]]&lt;&gt;0,Planning[[#This Row],[Horas utilizadas]]/Planning[[#This Row],[Horas Planificadas]],0)</f>
        <v>#REF!</v>
      </c>
      <c r="W5062" s="44">
        <f>Planning[[#This Row],[Horas Planificadas]]+Planning[[#This Row],[Horas ajustadas adicionales]]</f>
        <v>255</v>
      </c>
    </row>
    <row r="5063" spans="1:23" x14ac:dyDescent="0.2">
      <c r="A5063" s="9" t="s">
        <v>626</v>
      </c>
      <c r="B5063" s="9" t="s">
        <v>808</v>
      </c>
      <c r="C5063" s="3">
        <v>117014</v>
      </c>
      <c r="D5063" s="3" t="s">
        <v>869</v>
      </c>
      <c r="E5063" s="4"/>
      <c r="F5063" s="3" t="s">
        <v>122</v>
      </c>
      <c r="G5063" s="9"/>
      <c r="H5063" s="9">
        <v>0</v>
      </c>
      <c r="I5063" s="12"/>
      <c r="J5063" s="5" t="e">
        <f>SUM(SUMIFS(#REF!,#REF!,Planning[[#This Row],[Tipo de Tarea y especialidad]],#REF!,Planning[[#This Row],[Proyectos Reiwa]]),SUMIFS(#REF!,#REF!,Planning[[#This Row],[Tipo de Tarea y especialidad]],#REF!,Planning[[#This Row],[Proyectos]]))</f>
        <v>#REF!</v>
      </c>
      <c r="K5063" s="5" t="e">
        <f>+Planning[[#This Row],[Horas Planificadas]]+Planning[[#This Row],[Horas ajustadas adicionales]]-Planning[[#This Row],[Horas utilizadas]]</f>
        <v>#REF!</v>
      </c>
      <c r="L5063" s="7">
        <v>0</v>
      </c>
      <c r="M5063" s="19" t="e">
        <f>Planning[[#This Row],[Saldo]]-Planning[[#This Row],[Saldo estimado]]</f>
        <v>#REF!</v>
      </c>
      <c r="N5063" s="60" t="e">
        <f>+SUMIFS(#REF!,#REF!,Planning[[#This Row],[Proyectos]],#REF!,Planning[[#This Row],[Tipo de Tarea y especialidad]])</f>
        <v>#REF!</v>
      </c>
      <c r="O5063" s="19">
        <f t="shared" si="159"/>
        <v>10</v>
      </c>
      <c r="P5063" s="19">
        <f t="shared" si="160"/>
        <v>2024</v>
      </c>
      <c r="Q50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63" s="34" t="str">
        <f>TEXT(Planning[[#This Row],[Mes]]*29,"mmmm")</f>
        <v>October</v>
      </c>
      <c r="S506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63" s="104" t="s">
        <v>871</v>
      </c>
      <c r="U5063" s="107">
        <f>IF(Planning[[#This Row],[Horas Planificadas]]&lt;&gt;0,+K5063/Planning[[#This Row],[Horas Planificadas]],0)</f>
        <v>0</v>
      </c>
      <c r="V5063" s="43">
        <f>IF(Planning[[#This Row],[Horas Planificadas]]&lt;&gt;0,Planning[[#This Row],[Horas utilizadas]]/Planning[[#This Row],[Horas Planificadas]],0)</f>
        <v>0</v>
      </c>
      <c r="W5063" s="44">
        <f>Planning[[#This Row],[Horas Planificadas]]+Planning[[#This Row],[Horas ajustadas adicionales]]</f>
        <v>0</v>
      </c>
    </row>
    <row r="5064" spans="1:23" x14ac:dyDescent="0.2">
      <c r="A5064" s="9" t="s">
        <v>626</v>
      </c>
      <c r="B5064" s="9" t="s">
        <v>808</v>
      </c>
      <c r="C5064" s="3">
        <v>117014</v>
      </c>
      <c r="D5064" s="3" t="s">
        <v>869</v>
      </c>
      <c r="E5064" s="4"/>
      <c r="F5064" s="3" t="s">
        <v>123</v>
      </c>
      <c r="G5064" s="9"/>
      <c r="H5064" s="9">
        <v>0</v>
      </c>
      <c r="I5064" s="12"/>
      <c r="J5064" s="5" t="e">
        <f>SUM(SUMIFS(#REF!,#REF!,Planning[[#This Row],[Tipo de Tarea y especialidad]],#REF!,Planning[[#This Row],[Proyectos Reiwa]]),SUMIFS(#REF!,#REF!,Planning[[#This Row],[Tipo de Tarea y especialidad]],#REF!,Planning[[#This Row],[Proyectos]]))</f>
        <v>#REF!</v>
      </c>
      <c r="K5064" s="5" t="e">
        <f>+Planning[[#This Row],[Horas Planificadas]]+Planning[[#This Row],[Horas ajustadas adicionales]]-Planning[[#This Row],[Horas utilizadas]]</f>
        <v>#REF!</v>
      </c>
      <c r="L5064" s="7">
        <v>0</v>
      </c>
      <c r="M5064" s="19" t="e">
        <f>Planning[[#This Row],[Saldo]]-Planning[[#This Row],[Saldo estimado]]</f>
        <v>#REF!</v>
      </c>
      <c r="N5064" s="60" t="e">
        <f>+SUMIFS(#REF!,#REF!,Planning[[#This Row],[Proyectos]],#REF!,Planning[[#This Row],[Tipo de Tarea y especialidad]])</f>
        <v>#REF!</v>
      </c>
      <c r="O5064" s="19">
        <f t="shared" si="159"/>
        <v>10</v>
      </c>
      <c r="P5064" s="19">
        <f t="shared" si="160"/>
        <v>2024</v>
      </c>
      <c r="Q50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64" s="34" t="str">
        <f>TEXT(Planning[[#This Row],[Mes]]*29,"mmmm")</f>
        <v>October</v>
      </c>
      <c r="S506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64" s="104" t="s">
        <v>872</v>
      </c>
      <c r="U5064" s="107">
        <f>IF(Planning[[#This Row],[Horas Planificadas]]&lt;&gt;0,+K5064/Planning[[#This Row],[Horas Planificadas]],0)</f>
        <v>0</v>
      </c>
      <c r="V5064" s="43">
        <f>IF(Planning[[#This Row],[Horas Planificadas]]&lt;&gt;0,Planning[[#This Row],[Horas utilizadas]]/Planning[[#This Row],[Horas Planificadas]],0)</f>
        <v>0</v>
      </c>
      <c r="W5064" s="44">
        <f>Planning[[#This Row],[Horas Planificadas]]+Planning[[#This Row],[Horas ajustadas adicionales]]</f>
        <v>0</v>
      </c>
    </row>
    <row r="5065" spans="1:23" x14ac:dyDescent="0.2">
      <c r="A5065" s="9" t="s">
        <v>626</v>
      </c>
      <c r="B5065" s="9" t="s">
        <v>808</v>
      </c>
      <c r="C5065" s="3">
        <v>117014</v>
      </c>
      <c r="D5065" s="3" t="s">
        <v>869</v>
      </c>
      <c r="E5065" s="4"/>
      <c r="F5065" s="3" t="s">
        <v>124</v>
      </c>
      <c r="G5065" s="9">
        <v>150</v>
      </c>
      <c r="H5065" s="9">
        <v>120</v>
      </c>
      <c r="I5065" s="12">
        <v>63</v>
      </c>
      <c r="J5065" s="5" t="e">
        <f>SUM(SUMIFS(#REF!,#REF!,Planning[[#This Row],[Tipo de Tarea y especialidad]],#REF!,Planning[[#This Row],[Proyectos Reiwa]]),SUMIFS(#REF!,#REF!,Planning[[#This Row],[Tipo de Tarea y especialidad]],#REF!,Planning[[#This Row],[Proyectos]]))</f>
        <v>#REF!</v>
      </c>
      <c r="K5065" s="5" t="e">
        <f>+Planning[[#This Row],[Horas Planificadas]]+Planning[[#This Row],[Horas ajustadas adicionales]]-Planning[[#This Row],[Horas utilizadas]]</f>
        <v>#REF!</v>
      </c>
      <c r="L5065" s="7">
        <v>36</v>
      </c>
      <c r="M5065" s="19" t="e">
        <f>Planning[[#This Row],[Saldo]]-Planning[[#This Row],[Saldo estimado]]</f>
        <v>#REF!</v>
      </c>
      <c r="N5065" s="60" t="e">
        <f>+SUMIFS(#REF!,#REF!,Planning[[#This Row],[Proyectos]],#REF!,Planning[[#This Row],[Tipo de Tarea y especialidad]])</f>
        <v>#REF!</v>
      </c>
      <c r="O5065" s="19">
        <f t="shared" si="159"/>
        <v>10</v>
      </c>
      <c r="P5065" s="19">
        <f t="shared" si="160"/>
        <v>2024</v>
      </c>
      <c r="Q50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65" s="34" t="str">
        <f>TEXT(Planning[[#This Row],[Mes]]*29,"mmmm")</f>
        <v>October</v>
      </c>
      <c r="S506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65" s="104" t="s">
        <v>873</v>
      </c>
      <c r="U5065" s="107" t="e">
        <f>IF(Planning[[#This Row],[Horas Planificadas]]&lt;&gt;0,+K5065/Planning[[#This Row],[Horas Planificadas]],0)</f>
        <v>#REF!</v>
      </c>
      <c r="V5065" s="43" t="e">
        <f>IF(Planning[[#This Row],[Horas Planificadas]]&lt;&gt;0,Planning[[#This Row],[Horas utilizadas]]/Planning[[#This Row],[Horas Planificadas]],0)</f>
        <v>#REF!</v>
      </c>
      <c r="W5065" s="44">
        <f>Planning[[#This Row],[Horas Planificadas]]+Planning[[#This Row],[Horas ajustadas adicionales]]</f>
        <v>183</v>
      </c>
    </row>
    <row r="5066" spans="1:23" x14ac:dyDescent="0.2">
      <c r="A5066" s="9" t="s">
        <v>626</v>
      </c>
      <c r="B5066" s="9" t="s">
        <v>808</v>
      </c>
      <c r="C5066" s="3">
        <v>117014</v>
      </c>
      <c r="D5066" s="3" t="s">
        <v>869</v>
      </c>
      <c r="E5066" s="4"/>
      <c r="F5066" s="3" t="s">
        <v>125</v>
      </c>
      <c r="G5066" s="9"/>
      <c r="H5066" s="9">
        <v>0</v>
      </c>
      <c r="I5066" s="12"/>
      <c r="J5066" s="5" t="e">
        <f>SUM(SUMIFS(#REF!,#REF!,Planning[[#This Row],[Tipo de Tarea y especialidad]],#REF!,Planning[[#This Row],[Proyectos Reiwa]]),SUMIFS(#REF!,#REF!,Planning[[#This Row],[Tipo de Tarea y especialidad]],#REF!,Planning[[#This Row],[Proyectos]]))</f>
        <v>#REF!</v>
      </c>
      <c r="K5066" s="5" t="e">
        <f>+Planning[[#This Row],[Horas Planificadas]]+Planning[[#This Row],[Horas ajustadas adicionales]]-Planning[[#This Row],[Horas utilizadas]]</f>
        <v>#REF!</v>
      </c>
      <c r="L5066" s="7">
        <v>36</v>
      </c>
      <c r="M5066" s="19" t="e">
        <f>Planning[[#This Row],[Saldo]]-Planning[[#This Row],[Saldo estimado]]</f>
        <v>#REF!</v>
      </c>
      <c r="N5066" s="60" t="e">
        <f>+SUMIFS(#REF!,#REF!,Planning[[#This Row],[Proyectos]],#REF!,Planning[[#This Row],[Tipo de Tarea y especialidad]])</f>
        <v>#REF!</v>
      </c>
      <c r="O5066" s="19">
        <f t="shared" si="159"/>
        <v>10</v>
      </c>
      <c r="P5066" s="19">
        <f t="shared" si="160"/>
        <v>2024</v>
      </c>
      <c r="Q50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66" s="34" t="str">
        <f>TEXT(Planning[[#This Row],[Mes]]*29,"mmmm")</f>
        <v>October</v>
      </c>
      <c r="S506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66" s="104" t="s">
        <v>874</v>
      </c>
      <c r="U5066" s="107">
        <f>IF(Planning[[#This Row],[Horas Planificadas]]&lt;&gt;0,+K5066/Planning[[#This Row],[Horas Planificadas]],0)</f>
        <v>0</v>
      </c>
      <c r="V5066" s="43">
        <f>IF(Planning[[#This Row],[Horas Planificadas]]&lt;&gt;0,Planning[[#This Row],[Horas utilizadas]]/Planning[[#This Row],[Horas Planificadas]],0)</f>
        <v>0</v>
      </c>
      <c r="W5066" s="44">
        <f>Planning[[#This Row],[Horas Planificadas]]+Planning[[#This Row],[Horas ajustadas adicionales]]</f>
        <v>0</v>
      </c>
    </row>
    <row r="5067" spans="1:23" x14ac:dyDescent="0.2">
      <c r="A5067" s="9" t="s">
        <v>626</v>
      </c>
      <c r="B5067" s="9" t="s">
        <v>808</v>
      </c>
      <c r="C5067" s="3">
        <v>117014</v>
      </c>
      <c r="D5067" s="3" t="s">
        <v>869</v>
      </c>
      <c r="E5067" s="4"/>
      <c r="F5067" s="3" t="s">
        <v>126</v>
      </c>
      <c r="G5067" s="9"/>
      <c r="H5067" s="9">
        <v>0</v>
      </c>
      <c r="I5067" s="12"/>
      <c r="J5067" s="5" t="e">
        <f>SUM(SUMIFS(#REF!,#REF!,Planning[[#This Row],[Tipo de Tarea y especialidad]],#REF!,Planning[[#This Row],[Proyectos Reiwa]]),SUMIFS(#REF!,#REF!,Planning[[#This Row],[Tipo de Tarea y especialidad]],#REF!,Planning[[#This Row],[Proyectos]]))</f>
        <v>#REF!</v>
      </c>
      <c r="K5067" s="5" t="e">
        <f>+Planning[[#This Row],[Horas Planificadas]]+Planning[[#This Row],[Horas ajustadas adicionales]]-Planning[[#This Row],[Horas utilizadas]]</f>
        <v>#REF!</v>
      </c>
      <c r="L5067" s="7">
        <v>0</v>
      </c>
      <c r="M5067" s="19" t="e">
        <f>Planning[[#This Row],[Saldo]]-Planning[[#This Row],[Saldo estimado]]</f>
        <v>#REF!</v>
      </c>
      <c r="N5067" s="60" t="e">
        <f>+SUMIFS(#REF!,#REF!,Planning[[#This Row],[Proyectos]],#REF!,Planning[[#This Row],[Tipo de Tarea y especialidad]])</f>
        <v>#REF!</v>
      </c>
      <c r="O5067" s="19">
        <f t="shared" si="159"/>
        <v>10</v>
      </c>
      <c r="P5067" s="19">
        <f t="shared" si="160"/>
        <v>2024</v>
      </c>
      <c r="Q50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67" s="34" t="str">
        <f>TEXT(Planning[[#This Row],[Mes]]*29,"mmmm")</f>
        <v>October</v>
      </c>
      <c r="S506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67" s="104" t="s">
        <v>875</v>
      </c>
      <c r="U5067" s="107">
        <f>IF(Planning[[#This Row],[Horas Planificadas]]&lt;&gt;0,+K5067/Planning[[#This Row],[Horas Planificadas]],0)</f>
        <v>0</v>
      </c>
      <c r="V5067" s="43">
        <f>IF(Planning[[#This Row],[Horas Planificadas]]&lt;&gt;0,Planning[[#This Row],[Horas utilizadas]]/Planning[[#This Row],[Horas Planificadas]],0)</f>
        <v>0</v>
      </c>
      <c r="W5067" s="44">
        <f>Planning[[#This Row],[Horas Planificadas]]+Planning[[#This Row],[Horas ajustadas adicionales]]</f>
        <v>0</v>
      </c>
    </row>
    <row r="5068" spans="1:23" x14ac:dyDescent="0.2">
      <c r="A5068" s="9" t="s">
        <v>626</v>
      </c>
      <c r="B5068" s="9" t="s">
        <v>808</v>
      </c>
      <c r="C5068" s="3">
        <v>117014</v>
      </c>
      <c r="D5068" s="3" t="s">
        <v>869</v>
      </c>
      <c r="E5068" s="4"/>
      <c r="F5068" s="3" t="s">
        <v>127</v>
      </c>
      <c r="G5068" s="9"/>
      <c r="H5068" s="9">
        <v>0</v>
      </c>
      <c r="I5068" s="12"/>
      <c r="J5068" s="5" t="e">
        <f>SUM(SUMIFS(#REF!,#REF!,Planning[[#This Row],[Tipo de Tarea y especialidad]],#REF!,Planning[[#This Row],[Proyectos Reiwa]]),SUMIFS(#REF!,#REF!,Planning[[#This Row],[Tipo de Tarea y especialidad]],#REF!,Planning[[#This Row],[Proyectos]]))</f>
        <v>#REF!</v>
      </c>
      <c r="K5068" s="5" t="e">
        <f>+Planning[[#This Row],[Horas Planificadas]]+Planning[[#This Row],[Horas ajustadas adicionales]]-Planning[[#This Row],[Horas utilizadas]]</f>
        <v>#REF!</v>
      </c>
      <c r="L5068" s="7">
        <v>0</v>
      </c>
      <c r="M5068" s="19" t="e">
        <f>Planning[[#This Row],[Saldo]]-Planning[[#This Row],[Saldo estimado]]</f>
        <v>#REF!</v>
      </c>
      <c r="N5068" s="60" t="e">
        <f>+SUMIFS(#REF!,#REF!,Planning[[#This Row],[Proyectos]],#REF!,Planning[[#This Row],[Tipo de Tarea y especialidad]])</f>
        <v>#REF!</v>
      </c>
      <c r="O5068" s="19">
        <f t="shared" si="159"/>
        <v>10</v>
      </c>
      <c r="P5068" s="19">
        <f t="shared" si="160"/>
        <v>2024</v>
      </c>
      <c r="Q50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68" s="34" t="str">
        <f>TEXT(Planning[[#This Row],[Mes]]*29,"mmmm")</f>
        <v>October</v>
      </c>
      <c r="S506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68" s="104" t="s">
        <v>876</v>
      </c>
      <c r="U5068" s="107">
        <f>IF(Planning[[#This Row],[Horas Planificadas]]&lt;&gt;0,+K5068/Planning[[#This Row],[Horas Planificadas]],0)</f>
        <v>0</v>
      </c>
      <c r="V5068" s="43">
        <f>IF(Planning[[#This Row],[Horas Planificadas]]&lt;&gt;0,Planning[[#This Row],[Horas utilizadas]]/Planning[[#This Row],[Horas Planificadas]],0)</f>
        <v>0</v>
      </c>
      <c r="W5068" s="44">
        <f>Planning[[#This Row],[Horas Planificadas]]+Planning[[#This Row],[Horas ajustadas adicionales]]</f>
        <v>0</v>
      </c>
    </row>
    <row r="5069" spans="1:23" x14ac:dyDescent="0.2">
      <c r="A5069" s="9" t="s">
        <v>626</v>
      </c>
      <c r="B5069" s="9" t="s">
        <v>808</v>
      </c>
      <c r="C5069" s="3">
        <v>117014</v>
      </c>
      <c r="D5069" s="3" t="s">
        <v>869</v>
      </c>
      <c r="E5069" s="4"/>
      <c r="F5069" s="3" t="s">
        <v>128</v>
      </c>
      <c r="G5069" s="9"/>
      <c r="H5069" s="9">
        <v>72</v>
      </c>
      <c r="I5069" s="12"/>
      <c r="J5069" s="5" t="e">
        <f>SUM(SUMIFS(#REF!,#REF!,Planning[[#This Row],[Tipo de Tarea y especialidad]],#REF!,Planning[[#This Row],[Proyectos Reiwa]]),SUMIFS(#REF!,#REF!,Planning[[#This Row],[Tipo de Tarea y especialidad]],#REF!,Planning[[#This Row],[Proyectos]]))</f>
        <v>#REF!</v>
      </c>
      <c r="K5069" s="5" t="e">
        <f>+Planning[[#This Row],[Horas Planificadas]]+Planning[[#This Row],[Horas ajustadas adicionales]]-Planning[[#This Row],[Horas utilizadas]]</f>
        <v>#REF!</v>
      </c>
      <c r="L5069" s="7">
        <v>0</v>
      </c>
      <c r="M5069" s="19" t="e">
        <f>Planning[[#This Row],[Saldo]]-Planning[[#This Row],[Saldo estimado]]</f>
        <v>#REF!</v>
      </c>
      <c r="N5069" s="60" t="e">
        <f>+SUMIFS(#REF!,#REF!,Planning[[#This Row],[Proyectos]],#REF!,Planning[[#This Row],[Tipo de Tarea y especialidad]])</f>
        <v>#REF!</v>
      </c>
      <c r="O5069" s="19">
        <f t="shared" si="159"/>
        <v>10</v>
      </c>
      <c r="P5069" s="19">
        <f t="shared" si="160"/>
        <v>2024</v>
      </c>
      <c r="Q50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69" s="34" t="str">
        <f>TEXT(Planning[[#This Row],[Mes]]*29,"mmmm")</f>
        <v>October</v>
      </c>
      <c r="S506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69" s="104" t="s">
        <v>877</v>
      </c>
      <c r="U5069" s="107" t="e">
        <f>IF(Planning[[#This Row],[Horas Planificadas]]&lt;&gt;0,+K5069/Planning[[#This Row],[Horas Planificadas]],0)</f>
        <v>#REF!</v>
      </c>
      <c r="V5069" s="43" t="e">
        <f>IF(Planning[[#This Row],[Horas Planificadas]]&lt;&gt;0,Planning[[#This Row],[Horas utilizadas]]/Planning[[#This Row],[Horas Planificadas]],0)</f>
        <v>#REF!</v>
      </c>
      <c r="W5069" s="44">
        <f>Planning[[#This Row],[Horas Planificadas]]+Planning[[#This Row],[Horas ajustadas adicionales]]</f>
        <v>72</v>
      </c>
    </row>
    <row r="5070" spans="1:23" ht="25.5" x14ac:dyDescent="0.2">
      <c r="A5070" s="9" t="s">
        <v>626</v>
      </c>
      <c r="B5070" s="9" t="s">
        <v>808</v>
      </c>
      <c r="C5070" s="3">
        <v>117014</v>
      </c>
      <c r="D5070" s="3" t="s">
        <v>869</v>
      </c>
      <c r="E5070" s="4" t="s">
        <v>31</v>
      </c>
      <c r="F5070" s="3" t="s">
        <v>31</v>
      </c>
      <c r="G5070" s="9">
        <v>60</v>
      </c>
      <c r="H5070" s="17">
        <v>60</v>
      </c>
      <c r="I5070" s="18"/>
      <c r="J5070" s="14" t="e">
        <f>+SUMIFS(#REF!,#REF!,Planning[[#This Row],[Tarifa]],#REF!,Planning[[#This Row],[Proyectos]])</f>
        <v>#REF!</v>
      </c>
      <c r="K5070" s="14" t="e">
        <f>+Planning[[#This Row],[Horas Planificadas]]+Planning[[#This Row],[Horas ajustadas adicionales]]-Planning[[#This Row],[Horas utilizadas]]</f>
        <v>#REF!</v>
      </c>
      <c r="L5070" s="15" t="e">
        <f>Planning[[#This Row],[Saldo]]</f>
        <v>#REF!</v>
      </c>
      <c r="M5070" s="16" t="e">
        <f>Planning[[#This Row],[Saldo]]-Planning[[#This Row],[Saldo estimado]]</f>
        <v>#REF!</v>
      </c>
      <c r="N5070" s="60">
        <v>0</v>
      </c>
      <c r="O5070" s="16">
        <f t="shared" si="159"/>
        <v>10</v>
      </c>
      <c r="P5070" s="16">
        <f t="shared" si="160"/>
        <v>2024</v>
      </c>
      <c r="Q5070" s="16" t="e">
        <f>+SUMIFS(#REF!,#REF!,Planning[[#This Row],[Tarifa]],#REF!,Planning[[#This Row],[Proyectos]],#REF!,Planning[[#This Row],[Mes]],#REF!,Planning[[#This Row],[Año]])</f>
        <v>#REF!</v>
      </c>
      <c r="R5070" s="35" t="str">
        <f>TEXT(Planning[[#This Row],[Mes]]*29,"mmmm")</f>
        <v>October</v>
      </c>
      <c r="S507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70" s="104" t="s">
        <v>878</v>
      </c>
      <c r="U5070" s="107" t="e">
        <f>IF(Planning[[#This Row],[Horas Planificadas]]&lt;&gt;0,+K5070/Planning[[#This Row],[Horas Planificadas]],0)</f>
        <v>#REF!</v>
      </c>
      <c r="V5070" s="43" t="e">
        <f>IF(Planning[[#This Row],[Horas Planificadas]]&lt;&gt;0,Planning[[#This Row],[Horas utilizadas]]/Planning[[#This Row],[Horas Planificadas]],0)</f>
        <v>#REF!</v>
      </c>
      <c r="W5070" s="44">
        <f>Planning[[#This Row],[Horas Planificadas]]+Planning[[#This Row],[Horas ajustadas adicionales]]</f>
        <v>60</v>
      </c>
    </row>
    <row r="5071" spans="1:23" ht="22.5" x14ac:dyDescent="0.2">
      <c r="A5071" s="9" t="s">
        <v>626</v>
      </c>
      <c r="B5071" s="9" t="s">
        <v>808</v>
      </c>
      <c r="C5071" s="3">
        <v>117014</v>
      </c>
      <c r="D5071" s="3" t="s">
        <v>869</v>
      </c>
      <c r="E5071" s="4" t="s">
        <v>32</v>
      </c>
      <c r="F5071" s="3"/>
      <c r="G5071" s="9">
        <f>+G5072+G5073+G5074</f>
        <v>120</v>
      </c>
      <c r="H5071" s="14">
        <f>SUM(H5072:H5074)</f>
        <v>100</v>
      </c>
      <c r="I5071" s="14">
        <f>SUM(I5072:I5074)</f>
        <v>100</v>
      </c>
      <c r="J5071" s="14" t="e">
        <f>SUM(J5072:J5074)</f>
        <v>#REF!</v>
      </c>
      <c r="K5071" s="14" t="e">
        <f>+Planning[[#This Row],[Horas Planificadas]]+Planning[[#This Row],[Horas ajustadas adicionales]]-Planning[[#This Row],[Horas utilizadas]]</f>
        <v>#REF!</v>
      </c>
      <c r="L5071" s="15">
        <f>SUM(L5072:L5074)</f>
        <v>200</v>
      </c>
      <c r="M5071" s="16" t="e">
        <f>SUM(M5072:M5074)</f>
        <v>#REF!</v>
      </c>
      <c r="N5071" s="60">
        <v>0</v>
      </c>
      <c r="O5071" s="16">
        <f t="shared" si="159"/>
        <v>10</v>
      </c>
      <c r="P5071" s="16">
        <f t="shared" si="160"/>
        <v>2024</v>
      </c>
      <c r="Q5071" s="16" t="e">
        <f>SUM(Q5072:Q5074)</f>
        <v>#REF!</v>
      </c>
      <c r="R5071" s="35" t="str">
        <f>TEXT(Planning[[#This Row],[Mes]]*29,"mmmm")</f>
        <v>October</v>
      </c>
      <c r="S507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71" s="104"/>
      <c r="U5071" s="107" t="e">
        <f>IF(Planning[[#This Row],[Horas Planificadas]]&lt;&gt;0,+K5071/Planning[[#This Row],[Horas Planificadas]],0)</f>
        <v>#REF!</v>
      </c>
      <c r="V5071" s="43" t="e">
        <f>IF(Planning[[#This Row],[Horas Planificadas]]&lt;&gt;0,Planning[[#This Row],[Horas utilizadas]]/Planning[[#This Row],[Horas Planificadas]],0)</f>
        <v>#REF!</v>
      </c>
      <c r="W5071" s="44">
        <f>Planning[[#This Row],[Horas Planificadas]]+Planning[[#This Row],[Horas ajustadas adicionales]]</f>
        <v>200</v>
      </c>
    </row>
    <row r="5072" spans="1:23" x14ac:dyDescent="0.2">
      <c r="A5072" s="9" t="s">
        <v>626</v>
      </c>
      <c r="B5072" s="9" t="s">
        <v>808</v>
      </c>
      <c r="C5072" s="3">
        <v>117014</v>
      </c>
      <c r="D5072" s="3" t="s">
        <v>869</v>
      </c>
      <c r="E5072" s="4"/>
      <c r="F5072" s="3" t="s">
        <v>129</v>
      </c>
      <c r="G5072" s="9"/>
      <c r="H5072" s="9">
        <v>0</v>
      </c>
      <c r="I5072" s="12"/>
      <c r="J5072" s="5" t="e">
        <f>SUM(SUMIFS(#REF!,#REF!,Planning[[#This Row],[Tipo de Tarea y especialidad]],#REF!,Planning[[#This Row],[Proyectos Reiwa]]),SUMIFS(#REF!,#REF!,Planning[[#This Row],[Tipo de Tarea y especialidad]],#REF!,Planning[[#This Row],[Proyectos]]))</f>
        <v>#REF!</v>
      </c>
      <c r="K5072" s="5" t="e">
        <f>+Planning[[#This Row],[Horas Planificadas]]+Planning[[#This Row],[Horas ajustadas adicionales]]-Planning[[#This Row],[Horas utilizadas]]</f>
        <v>#REF!</v>
      </c>
      <c r="L5072" s="7">
        <v>0</v>
      </c>
      <c r="M5072" s="19" t="e">
        <f>Planning[[#This Row],[Saldo]]-Planning[[#This Row],[Saldo estimado]]</f>
        <v>#REF!</v>
      </c>
      <c r="N5072" s="60" t="e">
        <f>+SUMIFS(#REF!,#REF!,Planning[[#This Row],[Proyectos]],#REF!,Planning[[#This Row],[Tipo de Tarea y especialidad]])</f>
        <v>#REF!</v>
      </c>
      <c r="O5072" s="19">
        <f t="shared" si="159"/>
        <v>10</v>
      </c>
      <c r="P5072" s="19">
        <f t="shared" si="160"/>
        <v>2024</v>
      </c>
      <c r="Q50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72" s="34" t="str">
        <f>TEXT(Planning[[#This Row],[Mes]]*29,"mmmm")</f>
        <v>October</v>
      </c>
      <c r="S507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72" s="104"/>
      <c r="U5072" s="107">
        <f>IF(Planning[[#This Row],[Horas Planificadas]]&lt;&gt;0,+K5072/Planning[[#This Row],[Horas Planificadas]],0)</f>
        <v>0</v>
      </c>
      <c r="V5072" s="43">
        <f>IF(Planning[[#This Row],[Horas Planificadas]]&lt;&gt;0,Planning[[#This Row],[Horas utilizadas]]/Planning[[#This Row],[Horas Planificadas]],0)</f>
        <v>0</v>
      </c>
      <c r="W5072" s="44">
        <f>Planning[[#This Row],[Horas Planificadas]]+Planning[[#This Row],[Horas ajustadas adicionales]]</f>
        <v>0</v>
      </c>
    </row>
    <row r="5073" spans="1:23" x14ac:dyDescent="0.2">
      <c r="A5073" s="9" t="s">
        <v>626</v>
      </c>
      <c r="B5073" s="9" t="s">
        <v>808</v>
      </c>
      <c r="C5073" s="3">
        <v>117014</v>
      </c>
      <c r="D5073" s="3" t="s">
        <v>869</v>
      </c>
      <c r="E5073" s="4"/>
      <c r="F5073" s="3" t="s">
        <v>130</v>
      </c>
      <c r="G5073" s="9"/>
      <c r="H5073" s="9">
        <v>0</v>
      </c>
      <c r="I5073" s="12"/>
      <c r="J5073" s="5" t="e">
        <f>SUM(SUMIFS(#REF!,#REF!,Planning[[#This Row],[Tipo de Tarea y especialidad]],#REF!,Planning[[#This Row],[Proyectos Reiwa]]),SUMIFS(#REF!,#REF!,Planning[[#This Row],[Tipo de Tarea y especialidad]],#REF!,Planning[[#This Row],[Proyectos]]))</f>
        <v>#REF!</v>
      </c>
      <c r="K5073" s="5" t="e">
        <f>+Planning[[#This Row],[Horas Planificadas]]+Planning[[#This Row],[Horas ajustadas adicionales]]-Planning[[#This Row],[Horas utilizadas]]</f>
        <v>#REF!</v>
      </c>
      <c r="L5073" s="7">
        <v>0</v>
      </c>
      <c r="M5073" s="19" t="e">
        <f>Planning[[#This Row],[Saldo]]-Planning[[#This Row],[Saldo estimado]]</f>
        <v>#REF!</v>
      </c>
      <c r="N5073" s="60" t="e">
        <f>+SUMIFS(#REF!,#REF!,Planning[[#This Row],[Proyectos]],#REF!,Planning[[#This Row],[Tipo de Tarea y especialidad]])</f>
        <v>#REF!</v>
      </c>
      <c r="O5073" s="19">
        <f t="shared" si="159"/>
        <v>10</v>
      </c>
      <c r="P5073" s="19">
        <f t="shared" si="160"/>
        <v>2024</v>
      </c>
      <c r="Q50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73" s="34" t="str">
        <f>TEXT(Planning[[#This Row],[Mes]]*29,"mmmm")</f>
        <v>October</v>
      </c>
      <c r="S507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73" s="104"/>
      <c r="U5073" s="107">
        <f>IF(Planning[[#This Row],[Horas Planificadas]]&lt;&gt;0,+K5073/Planning[[#This Row],[Horas Planificadas]],0)</f>
        <v>0</v>
      </c>
      <c r="V5073" s="43">
        <f>IF(Planning[[#This Row],[Horas Planificadas]]&lt;&gt;0,Planning[[#This Row],[Horas utilizadas]]/Planning[[#This Row],[Horas Planificadas]],0)</f>
        <v>0</v>
      </c>
      <c r="W5073" s="44">
        <f>Planning[[#This Row],[Horas Planificadas]]+Planning[[#This Row],[Horas ajustadas adicionales]]</f>
        <v>0</v>
      </c>
    </row>
    <row r="5074" spans="1:23" x14ac:dyDescent="0.2">
      <c r="A5074" s="9" t="s">
        <v>626</v>
      </c>
      <c r="B5074" s="9" t="s">
        <v>808</v>
      </c>
      <c r="C5074" s="3">
        <v>117014</v>
      </c>
      <c r="D5074" s="3" t="s">
        <v>869</v>
      </c>
      <c r="E5074" s="4"/>
      <c r="F5074" s="3" t="s">
        <v>131</v>
      </c>
      <c r="G5074" s="9">
        <v>120</v>
      </c>
      <c r="H5074" s="9">
        <v>100</v>
      </c>
      <c r="I5074" s="12">
        <v>100</v>
      </c>
      <c r="J5074" s="5" t="e">
        <f>SUM(SUMIFS(#REF!,#REF!,Planning[[#This Row],[Tipo de Tarea y especialidad]],#REF!,Planning[[#This Row],[Proyectos Reiwa]]),SUMIFS(#REF!,#REF!,Planning[[#This Row],[Tipo de Tarea y especialidad]],#REF!,Planning[[#This Row],[Proyectos]]))</f>
        <v>#REF!</v>
      </c>
      <c r="K5074" s="5" t="e">
        <f>+Planning[[#This Row],[Horas Planificadas]]+Planning[[#This Row],[Horas ajustadas adicionales]]-Planning[[#This Row],[Horas utilizadas]]</f>
        <v>#REF!</v>
      </c>
      <c r="L5074" s="7">
        <v>200</v>
      </c>
      <c r="M5074" s="19" t="e">
        <f>Planning[[#This Row],[Saldo]]-Planning[[#This Row],[Saldo estimado]]</f>
        <v>#REF!</v>
      </c>
      <c r="N5074" s="60" t="e">
        <f>+SUMIFS(#REF!,#REF!,Planning[[#This Row],[Proyectos]],#REF!,Planning[[#This Row],[Tipo de Tarea y especialidad]])</f>
        <v>#REF!</v>
      </c>
      <c r="O5074" s="19">
        <f t="shared" si="159"/>
        <v>10</v>
      </c>
      <c r="P5074" s="19">
        <f t="shared" si="160"/>
        <v>2024</v>
      </c>
      <c r="Q50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74" s="34" t="str">
        <f>TEXT(Planning[[#This Row],[Mes]]*29,"mmmm")</f>
        <v>October</v>
      </c>
      <c r="S507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74" s="105"/>
      <c r="U5074" s="107" t="e">
        <f>IF(Planning[[#This Row],[Horas Planificadas]]&lt;&gt;0,+K5074/Planning[[#This Row],[Horas Planificadas]],0)</f>
        <v>#REF!</v>
      </c>
      <c r="V5074" s="43" t="e">
        <f>IF(Planning[[#This Row],[Horas Planificadas]]&lt;&gt;0,Planning[[#This Row],[Horas utilizadas]]/Planning[[#This Row],[Horas Planificadas]],0)</f>
        <v>#REF!</v>
      </c>
      <c r="W5074" s="44">
        <f>Planning[[#This Row],[Horas Planificadas]]+Planning[[#This Row],[Horas ajustadas adicionales]]</f>
        <v>200</v>
      </c>
    </row>
    <row r="5075" spans="1:23" ht="13.35" customHeight="1" x14ac:dyDescent="0.2">
      <c r="A5075" s="9" t="s">
        <v>483</v>
      </c>
      <c r="B5075" s="9" t="s">
        <v>685</v>
      </c>
      <c r="C5075" s="3">
        <v>116907</v>
      </c>
      <c r="D5075" s="3" t="s">
        <v>879</v>
      </c>
      <c r="E5075" s="4" t="s">
        <v>28</v>
      </c>
      <c r="F5075" s="3"/>
      <c r="G5075" s="9">
        <f>+G5076+G5077</f>
        <v>3313</v>
      </c>
      <c r="H5075" s="14">
        <f>SUM(H5076:H5077)</f>
        <v>3313</v>
      </c>
      <c r="I5075" s="14"/>
      <c r="J5075" s="14" t="e">
        <f>SUM(J5076:J5077)</f>
        <v>#REF!</v>
      </c>
      <c r="K5075" s="14" t="e">
        <f>+Planning[[#This Row],[Horas Planificadas]]+Planning[[#This Row],[Horas ajustadas adicionales]]-Planning[[#This Row],[Horas utilizadas]]</f>
        <v>#REF!</v>
      </c>
      <c r="L5075" s="15" t="e">
        <f>SUM(L5076:L5077)</f>
        <v>#REF!</v>
      </c>
      <c r="M5075" s="14" t="e">
        <f>SUM(M5076:M5077)</f>
        <v>#REF!</v>
      </c>
      <c r="N5075" s="66"/>
      <c r="O5075" s="14">
        <f t="shared" si="159"/>
        <v>10</v>
      </c>
      <c r="P5075" s="14">
        <f t="shared" si="160"/>
        <v>2024</v>
      </c>
      <c r="Q5075" s="28" t="e">
        <f>SUM(Q5076:Q5077)</f>
        <v>#REF!</v>
      </c>
      <c r="R5075" s="14" t="str">
        <f>TEXT(Planning[[#This Row],[Mes]]*29,"mmmm")</f>
        <v>October</v>
      </c>
      <c r="S507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75" s="180" t="s">
        <v>880</v>
      </c>
      <c r="U5075" s="43" t="e">
        <f>IF(Planning[[#This Row],[Horas Planificadas]]&lt;&gt;0,+K5075/Planning[[#This Row],[Horas Planificadas]],0)</f>
        <v>#REF!</v>
      </c>
      <c r="V5075" s="43" t="e">
        <f>IF(Planning[[#This Row],[Horas Planificadas]]&lt;&gt;0,Planning[[#This Row],[Horas utilizadas]]/Planning[[#This Row],[Horas Planificadas]],0)</f>
        <v>#REF!</v>
      </c>
      <c r="W5075" s="44">
        <f>Planning[[#This Row],[Horas Planificadas]]+Planning[[#This Row],[Horas ajustadas adicionales]]</f>
        <v>3313</v>
      </c>
    </row>
    <row r="5076" spans="1:23" x14ac:dyDescent="0.2">
      <c r="A5076" s="9" t="s">
        <v>483</v>
      </c>
      <c r="B5076" s="9" t="s">
        <v>685</v>
      </c>
      <c r="C5076" s="3">
        <v>116907</v>
      </c>
      <c r="D5076" s="3" t="s">
        <v>879</v>
      </c>
      <c r="E5076" s="4"/>
      <c r="F5076" s="3" t="s">
        <v>120</v>
      </c>
      <c r="G5076" s="9">
        <v>2320</v>
      </c>
      <c r="H5076" s="9">
        <v>2320</v>
      </c>
      <c r="I5076" s="12"/>
      <c r="J5076" s="5" t="e">
        <f>SUM(SUMIFS(#REF!,#REF!,Planning[[#This Row],[Tipo de Tarea y especialidad]],#REF!,Planning[[#This Row],[Proyectos Reiwa]]),SUMIFS(#REF!,#REF!,Planning[[#This Row],[Tipo de Tarea y especialidad]],#REF!,Planning[[#This Row],[Proyectos]]))</f>
        <v>#REF!</v>
      </c>
      <c r="K5076" s="5" t="e">
        <f>+Planning[[#This Row],[Horas Planificadas]]+Planning[[#This Row],[Horas ajustadas adicionales]]-Planning[[#This Row],[Horas utilizadas]]</f>
        <v>#REF!</v>
      </c>
      <c r="L5076" s="7" t="e">
        <f>Planning[[#This Row],[Saldo]]</f>
        <v>#REF!</v>
      </c>
      <c r="M5076" s="19" t="e">
        <f>Planning[[#This Row],[Saldo]]-Planning[[#This Row],[Saldo estimado]]</f>
        <v>#REF!</v>
      </c>
      <c r="N5076" s="60" t="e">
        <f>+SUMIFS(#REF!,#REF!,Planning[[#This Row],[Proyectos]],#REF!,Planning[[#This Row],[Tipo de Tarea y especialidad]])</f>
        <v>#REF!</v>
      </c>
      <c r="O5076" s="19">
        <f t="shared" si="159"/>
        <v>10</v>
      </c>
      <c r="P5076" s="19">
        <f t="shared" si="160"/>
        <v>2024</v>
      </c>
      <c r="Q50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76" s="34" t="str">
        <f>TEXT(Planning[[#This Row],[Mes]]*29,"mmmm")</f>
        <v>October</v>
      </c>
      <c r="S507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76" s="180"/>
      <c r="U5076" s="43" t="e">
        <f>IF(Planning[[#This Row],[Horas Planificadas]]&lt;&gt;0,+K5076/Planning[[#This Row],[Horas Planificadas]],0)</f>
        <v>#REF!</v>
      </c>
      <c r="V5076" s="43" t="e">
        <f>IF(Planning[[#This Row],[Horas Planificadas]]&lt;&gt;0,Planning[[#This Row],[Horas utilizadas]]/Planning[[#This Row],[Horas Planificadas]],0)</f>
        <v>#REF!</v>
      </c>
      <c r="W5076" s="44">
        <f>Planning[[#This Row],[Horas Planificadas]]+Planning[[#This Row],[Horas ajustadas adicionales]]</f>
        <v>2320</v>
      </c>
    </row>
    <row r="5077" spans="1:23" x14ac:dyDescent="0.2">
      <c r="A5077" s="9" t="s">
        <v>483</v>
      </c>
      <c r="B5077" s="9" t="s">
        <v>685</v>
      </c>
      <c r="C5077" s="3">
        <v>116907</v>
      </c>
      <c r="D5077" s="3" t="s">
        <v>879</v>
      </c>
      <c r="E5077" s="4"/>
      <c r="F5077" s="3" t="s">
        <v>121</v>
      </c>
      <c r="G5077" s="9">
        <v>993</v>
      </c>
      <c r="H5077" s="9">
        <v>993</v>
      </c>
      <c r="I5077" s="12"/>
      <c r="J5077" s="5" t="e">
        <f>SUM(SUMIFS(#REF!,#REF!,Planning[[#This Row],[Tipo de Tarea y especialidad]],#REF!,Planning[[#This Row],[Proyectos Reiwa]]),SUMIFS(#REF!,#REF!,Planning[[#This Row],[Tipo de Tarea y especialidad]],#REF!,Planning[[#This Row],[Proyectos]]))</f>
        <v>#REF!</v>
      </c>
      <c r="K5077" s="5" t="e">
        <f>+Planning[[#This Row],[Horas Planificadas]]+Planning[[#This Row],[Horas ajustadas adicionales]]-Planning[[#This Row],[Horas utilizadas]]</f>
        <v>#REF!</v>
      </c>
      <c r="L5077" s="7" t="e">
        <f>Planning[[#This Row],[Saldo]]</f>
        <v>#REF!</v>
      </c>
      <c r="M5077" s="19" t="e">
        <f>Planning[[#This Row],[Saldo]]-Planning[[#This Row],[Saldo estimado]]</f>
        <v>#REF!</v>
      </c>
      <c r="N5077" s="60" t="e">
        <f>+SUMIFS(#REF!,#REF!,Planning[[#This Row],[Proyectos]],#REF!,Planning[[#This Row],[Tipo de Tarea y especialidad]])</f>
        <v>#REF!</v>
      </c>
      <c r="O5077" s="19">
        <f t="shared" si="159"/>
        <v>10</v>
      </c>
      <c r="P5077" s="19">
        <f t="shared" si="160"/>
        <v>2024</v>
      </c>
      <c r="Q50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77" s="34" t="str">
        <f>TEXT(Planning[[#This Row],[Mes]]*29,"mmmm")</f>
        <v>October</v>
      </c>
      <c r="S507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77" s="180"/>
      <c r="U5077" s="43" t="e">
        <f>IF(Planning[[#This Row],[Horas Planificadas]]&lt;&gt;0,+K5077/Planning[[#This Row],[Horas Planificadas]],0)</f>
        <v>#REF!</v>
      </c>
      <c r="V5077" s="43" t="e">
        <f>IF(Planning[[#This Row],[Horas Planificadas]]&lt;&gt;0,Planning[[#This Row],[Horas utilizadas]]/Planning[[#This Row],[Horas Planificadas]],0)</f>
        <v>#REF!</v>
      </c>
      <c r="W5077" s="44">
        <f>Planning[[#This Row],[Horas Planificadas]]+Planning[[#This Row],[Horas ajustadas adicionales]]</f>
        <v>993</v>
      </c>
    </row>
    <row r="5078" spans="1:23" x14ac:dyDescent="0.2">
      <c r="A5078" s="9" t="s">
        <v>483</v>
      </c>
      <c r="B5078" s="9" t="s">
        <v>685</v>
      </c>
      <c r="C5078" s="3">
        <v>116907</v>
      </c>
      <c r="D5078" s="3" t="s">
        <v>879</v>
      </c>
      <c r="E5078" s="4" t="s">
        <v>30</v>
      </c>
      <c r="F5078" s="3"/>
      <c r="G5078" s="9">
        <f>+G5079+G5080+G5081+G5082+G5083+G5084+G5085</f>
        <v>1982</v>
      </c>
      <c r="H5078" s="14">
        <f>SUM(H5079:H5085)</f>
        <v>1982</v>
      </c>
      <c r="I5078" s="14"/>
      <c r="J5078" s="14" t="e">
        <f>SUM(J5079:J5085)</f>
        <v>#REF!</v>
      </c>
      <c r="K5078" s="14" t="e">
        <f>+Planning[[#This Row],[Horas Planificadas]]+Planning[[#This Row],[Horas ajustadas adicionales]]-Planning[[#This Row],[Horas utilizadas]]</f>
        <v>#REF!</v>
      </c>
      <c r="L5078" s="15">
        <f>SUM(L5079:L5085)</f>
        <v>887</v>
      </c>
      <c r="M5078" s="16" t="e">
        <f>SUM(M5079:M5085)</f>
        <v>#REF!</v>
      </c>
      <c r="N5078" s="60">
        <v>0</v>
      </c>
      <c r="O5078" s="16">
        <f t="shared" si="159"/>
        <v>10</v>
      </c>
      <c r="P5078" s="16">
        <f t="shared" si="160"/>
        <v>2024</v>
      </c>
      <c r="Q5078" s="16" t="e">
        <f>SUM(Q5079:Q5085)</f>
        <v>#REF!</v>
      </c>
      <c r="R5078" s="35" t="str">
        <f>TEXT(Planning[[#This Row],[Mes]]*29,"mmmm")</f>
        <v>October</v>
      </c>
      <c r="S507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78" s="180"/>
      <c r="U5078" s="43" t="e">
        <f>IF(Planning[[#This Row],[Horas Planificadas]]&lt;&gt;0,+K5078/Planning[[#This Row],[Horas Planificadas]],0)</f>
        <v>#REF!</v>
      </c>
      <c r="V5078" s="43" t="e">
        <f>IF(Planning[[#This Row],[Horas Planificadas]]&lt;&gt;0,Planning[[#This Row],[Horas utilizadas]]/Planning[[#This Row],[Horas Planificadas]],0)</f>
        <v>#REF!</v>
      </c>
      <c r="W5078" s="44">
        <f>Planning[[#This Row],[Horas Planificadas]]+Planning[[#This Row],[Horas ajustadas adicionales]]</f>
        <v>1982</v>
      </c>
    </row>
    <row r="5079" spans="1:23" x14ac:dyDescent="0.2">
      <c r="A5079" s="9" t="s">
        <v>483</v>
      </c>
      <c r="B5079" s="9" t="s">
        <v>685</v>
      </c>
      <c r="C5079" s="3">
        <v>116907</v>
      </c>
      <c r="D5079" s="3" t="s">
        <v>879</v>
      </c>
      <c r="E5079" s="4"/>
      <c r="F5079" s="3" t="s">
        <v>122</v>
      </c>
      <c r="G5079" s="9">
        <v>528</v>
      </c>
      <c r="H5079" s="9">
        <v>528</v>
      </c>
      <c r="I5079" s="12"/>
      <c r="J5079" s="5" t="e">
        <f>SUM(SUMIFS(#REF!,#REF!,Planning[[#This Row],[Tipo de Tarea y especialidad]],#REF!,Planning[[#This Row],[Proyectos Reiwa]]),SUMIFS(#REF!,#REF!,Planning[[#This Row],[Tipo de Tarea y especialidad]],#REF!,Planning[[#This Row],[Proyectos]]))</f>
        <v>#REF!</v>
      </c>
      <c r="K5079" s="5" t="e">
        <f>+Planning[[#This Row],[Horas Planificadas]]+Planning[[#This Row],[Horas ajustadas adicionales]]-Planning[[#This Row],[Horas utilizadas]]</f>
        <v>#REF!</v>
      </c>
      <c r="L5079" s="7">
        <v>330</v>
      </c>
      <c r="M5079" s="19" t="e">
        <f>Planning[[#This Row],[Saldo]]-Planning[[#This Row],[Saldo estimado]]</f>
        <v>#REF!</v>
      </c>
      <c r="N5079" s="60" t="e">
        <f>+SUMIFS(#REF!,#REF!,Planning[[#This Row],[Proyectos]],#REF!,Planning[[#This Row],[Tipo de Tarea y especialidad]])</f>
        <v>#REF!</v>
      </c>
      <c r="O5079" s="19">
        <f t="shared" si="159"/>
        <v>10</v>
      </c>
      <c r="P5079" s="19">
        <f t="shared" si="160"/>
        <v>2024</v>
      </c>
      <c r="Q50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79" s="34" t="str">
        <f>TEXT(Planning[[#This Row],[Mes]]*29,"mmmm")</f>
        <v>October</v>
      </c>
      <c r="S507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79" s="180"/>
      <c r="U5079" s="43" t="e">
        <f>IF(Planning[[#This Row],[Horas Planificadas]]&lt;&gt;0,+K5079/Planning[[#This Row],[Horas Planificadas]],0)</f>
        <v>#REF!</v>
      </c>
      <c r="V5079" s="43" t="e">
        <f>IF(Planning[[#This Row],[Horas Planificadas]]&lt;&gt;0,Planning[[#This Row],[Horas utilizadas]]/Planning[[#This Row],[Horas Planificadas]],0)</f>
        <v>#REF!</v>
      </c>
      <c r="W5079" s="44">
        <f>Planning[[#This Row],[Horas Planificadas]]+Planning[[#This Row],[Horas ajustadas adicionales]]</f>
        <v>528</v>
      </c>
    </row>
    <row r="5080" spans="1:23" x14ac:dyDescent="0.2">
      <c r="A5080" s="9" t="s">
        <v>483</v>
      </c>
      <c r="B5080" s="9" t="s">
        <v>685</v>
      </c>
      <c r="C5080" s="3">
        <v>116907</v>
      </c>
      <c r="D5080" s="3" t="s">
        <v>879</v>
      </c>
      <c r="E5080" s="4"/>
      <c r="F5080" s="3" t="s">
        <v>123</v>
      </c>
      <c r="G5080" s="9">
        <v>0</v>
      </c>
      <c r="H5080" s="9">
        <v>0</v>
      </c>
      <c r="I5080" s="12"/>
      <c r="J5080" s="5" t="e">
        <f>SUM(SUMIFS(#REF!,#REF!,Planning[[#This Row],[Tipo de Tarea y especialidad]],#REF!,Planning[[#This Row],[Proyectos Reiwa]]),SUMIFS(#REF!,#REF!,Planning[[#This Row],[Tipo de Tarea y especialidad]],#REF!,Planning[[#This Row],[Proyectos]]))</f>
        <v>#REF!</v>
      </c>
      <c r="K5080" s="5" t="e">
        <f>+Planning[[#This Row],[Horas Planificadas]]+Planning[[#This Row],[Horas ajustadas adicionales]]-Planning[[#This Row],[Horas utilizadas]]</f>
        <v>#REF!</v>
      </c>
      <c r="L5080" s="7">
        <v>0</v>
      </c>
      <c r="M5080" s="19" t="e">
        <f>Planning[[#This Row],[Saldo]]-Planning[[#This Row],[Saldo estimado]]</f>
        <v>#REF!</v>
      </c>
      <c r="N5080" s="60" t="e">
        <f>+SUMIFS(#REF!,#REF!,Planning[[#This Row],[Proyectos]],#REF!,Planning[[#This Row],[Tipo de Tarea y especialidad]])</f>
        <v>#REF!</v>
      </c>
      <c r="O5080" s="19">
        <f t="shared" si="159"/>
        <v>10</v>
      </c>
      <c r="P5080" s="19">
        <f t="shared" si="160"/>
        <v>2024</v>
      </c>
      <c r="Q50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80" s="34" t="str">
        <f>TEXT(Planning[[#This Row],[Mes]]*29,"mmmm")</f>
        <v>October</v>
      </c>
      <c r="S508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80" s="180"/>
      <c r="U5080" s="43">
        <f>IF(Planning[[#This Row],[Horas Planificadas]]&lt;&gt;0,+K5080/Planning[[#This Row],[Horas Planificadas]],0)</f>
        <v>0</v>
      </c>
      <c r="V5080" s="43">
        <f>IF(Planning[[#This Row],[Horas Planificadas]]&lt;&gt;0,Planning[[#This Row],[Horas utilizadas]]/Planning[[#This Row],[Horas Planificadas]],0)</f>
        <v>0</v>
      </c>
      <c r="W5080" s="44">
        <f>Planning[[#This Row],[Horas Planificadas]]+Planning[[#This Row],[Horas ajustadas adicionales]]</f>
        <v>0</v>
      </c>
    </row>
    <row r="5081" spans="1:23" x14ac:dyDescent="0.2">
      <c r="A5081" s="9" t="s">
        <v>483</v>
      </c>
      <c r="B5081" s="9" t="s">
        <v>685</v>
      </c>
      <c r="C5081" s="3">
        <v>116907</v>
      </c>
      <c r="D5081" s="3" t="s">
        <v>879</v>
      </c>
      <c r="E5081" s="4"/>
      <c r="F5081" s="3" t="s">
        <v>124</v>
      </c>
      <c r="G5081" s="9">
        <v>300</v>
      </c>
      <c r="H5081" s="9">
        <v>300</v>
      </c>
      <c r="I5081" s="12"/>
      <c r="J5081" s="5" t="e">
        <f>SUM(SUMIFS(#REF!,#REF!,Planning[[#This Row],[Tipo de Tarea y especialidad]],#REF!,Planning[[#This Row],[Proyectos Reiwa]]),SUMIFS(#REF!,#REF!,Planning[[#This Row],[Tipo de Tarea y especialidad]],#REF!,Planning[[#This Row],[Proyectos]]))</f>
        <v>#REF!</v>
      </c>
      <c r="K5081" s="5" t="e">
        <f>+Planning[[#This Row],[Horas Planificadas]]+Planning[[#This Row],[Horas ajustadas adicionales]]-Planning[[#This Row],[Horas utilizadas]]</f>
        <v>#REF!</v>
      </c>
      <c r="L5081" s="7">
        <v>156</v>
      </c>
      <c r="M5081" s="19" t="e">
        <f>Planning[[#This Row],[Saldo]]-Planning[[#This Row],[Saldo estimado]]</f>
        <v>#REF!</v>
      </c>
      <c r="N5081" s="60" t="e">
        <f>+SUMIFS(#REF!,#REF!,Planning[[#This Row],[Proyectos]],#REF!,Planning[[#This Row],[Tipo de Tarea y especialidad]])</f>
        <v>#REF!</v>
      </c>
      <c r="O5081" s="19">
        <f t="shared" si="159"/>
        <v>10</v>
      </c>
      <c r="P5081" s="19">
        <f t="shared" si="160"/>
        <v>2024</v>
      </c>
      <c r="Q50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81" s="34" t="str">
        <f>TEXT(Planning[[#This Row],[Mes]]*29,"mmmm")</f>
        <v>October</v>
      </c>
      <c r="S508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81" s="180"/>
      <c r="U5081" s="43" t="e">
        <f>IF(Planning[[#This Row],[Horas Planificadas]]&lt;&gt;0,+K5081/Planning[[#This Row],[Horas Planificadas]],0)</f>
        <v>#REF!</v>
      </c>
      <c r="V5081" s="43" t="e">
        <f>IF(Planning[[#This Row],[Horas Planificadas]]&lt;&gt;0,Planning[[#This Row],[Horas utilizadas]]/Planning[[#This Row],[Horas Planificadas]],0)</f>
        <v>#REF!</v>
      </c>
      <c r="W5081" s="44">
        <f>Planning[[#This Row],[Horas Planificadas]]+Planning[[#This Row],[Horas ajustadas adicionales]]</f>
        <v>300</v>
      </c>
    </row>
    <row r="5082" spans="1:23" x14ac:dyDescent="0.2">
      <c r="A5082" s="9" t="s">
        <v>483</v>
      </c>
      <c r="B5082" s="9" t="s">
        <v>685</v>
      </c>
      <c r="C5082" s="3">
        <v>116907</v>
      </c>
      <c r="D5082" s="3" t="s">
        <v>879</v>
      </c>
      <c r="E5082" s="4"/>
      <c r="F5082" s="3" t="s">
        <v>125</v>
      </c>
      <c r="G5082" s="9">
        <v>315</v>
      </c>
      <c r="H5082" s="9">
        <v>315</v>
      </c>
      <c r="I5082" s="12"/>
      <c r="J5082" s="5" t="e">
        <f>SUM(SUMIFS(#REF!,#REF!,Planning[[#This Row],[Tipo de Tarea y especialidad]],#REF!,Planning[[#This Row],[Proyectos Reiwa]]),SUMIFS(#REF!,#REF!,Planning[[#This Row],[Tipo de Tarea y especialidad]],#REF!,Planning[[#This Row],[Proyectos]]))</f>
        <v>#REF!</v>
      </c>
      <c r="K5082" s="5" t="e">
        <f>+Planning[[#This Row],[Horas Planificadas]]+Planning[[#This Row],[Horas ajustadas adicionales]]-Planning[[#This Row],[Horas utilizadas]]</f>
        <v>#REF!</v>
      </c>
      <c r="L5082" s="7">
        <v>9</v>
      </c>
      <c r="M5082" s="19" t="e">
        <f>Planning[[#This Row],[Saldo]]-Planning[[#This Row],[Saldo estimado]]</f>
        <v>#REF!</v>
      </c>
      <c r="N5082" s="60" t="e">
        <f>+SUMIFS(#REF!,#REF!,Planning[[#This Row],[Proyectos]],#REF!,Planning[[#This Row],[Tipo de Tarea y especialidad]])</f>
        <v>#REF!</v>
      </c>
      <c r="O5082" s="19">
        <f t="shared" si="159"/>
        <v>10</v>
      </c>
      <c r="P5082" s="19">
        <f t="shared" si="160"/>
        <v>2024</v>
      </c>
      <c r="Q50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82" s="34" t="str">
        <f>TEXT(Planning[[#This Row],[Mes]]*29,"mmmm")</f>
        <v>October</v>
      </c>
      <c r="S508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82" s="180"/>
      <c r="U5082" s="43" t="e">
        <f>IF(Planning[[#This Row],[Horas Planificadas]]&lt;&gt;0,+K5082/Planning[[#This Row],[Horas Planificadas]],0)</f>
        <v>#REF!</v>
      </c>
      <c r="V5082" s="43" t="e">
        <f>IF(Planning[[#This Row],[Horas Planificadas]]&lt;&gt;0,Planning[[#This Row],[Horas utilizadas]]/Planning[[#This Row],[Horas Planificadas]],0)</f>
        <v>#REF!</v>
      </c>
      <c r="W5082" s="44">
        <f>Planning[[#This Row],[Horas Planificadas]]+Planning[[#This Row],[Horas ajustadas adicionales]]</f>
        <v>315</v>
      </c>
    </row>
    <row r="5083" spans="1:23" x14ac:dyDescent="0.2">
      <c r="A5083" s="9" t="s">
        <v>483</v>
      </c>
      <c r="B5083" s="9" t="s">
        <v>685</v>
      </c>
      <c r="C5083" s="3">
        <v>116907</v>
      </c>
      <c r="D5083" s="3" t="s">
        <v>879</v>
      </c>
      <c r="E5083" s="4"/>
      <c r="F5083" s="3" t="s">
        <v>126</v>
      </c>
      <c r="G5083" s="9">
        <v>599</v>
      </c>
      <c r="H5083" s="9">
        <v>599</v>
      </c>
      <c r="I5083" s="12"/>
      <c r="J5083" s="5" t="e">
        <f>SUM(SUMIFS(#REF!,#REF!,Planning[[#This Row],[Tipo de Tarea y especialidad]],#REF!,Planning[[#This Row],[Proyectos Reiwa]]),SUMIFS(#REF!,#REF!,Planning[[#This Row],[Tipo de Tarea y especialidad]],#REF!,Planning[[#This Row],[Proyectos]]))</f>
        <v>#REF!</v>
      </c>
      <c r="K5083" s="5" t="e">
        <f>+Planning[[#This Row],[Horas Planificadas]]+Planning[[#This Row],[Horas ajustadas adicionales]]-Planning[[#This Row],[Horas utilizadas]]</f>
        <v>#REF!</v>
      </c>
      <c r="L5083" s="7">
        <v>374</v>
      </c>
      <c r="M5083" s="19" t="e">
        <f>Planning[[#This Row],[Saldo]]-Planning[[#This Row],[Saldo estimado]]</f>
        <v>#REF!</v>
      </c>
      <c r="N5083" s="60" t="e">
        <f>+SUMIFS(#REF!,#REF!,Planning[[#This Row],[Proyectos]],#REF!,Planning[[#This Row],[Tipo de Tarea y especialidad]])</f>
        <v>#REF!</v>
      </c>
      <c r="O5083" s="19">
        <f t="shared" si="159"/>
        <v>10</v>
      </c>
      <c r="P5083" s="19">
        <f t="shared" si="160"/>
        <v>2024</v>
      </c>
      <c r="Q50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83" s="34" t="str">
        <f>TEXT(Planning[[#This Row],[Mes]]*29,"mmmm")</f>
        <v>October</v>
      </c>
      <c r="S508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83" s="180"/>
      <c r="U5083" s="43" t="e">
        <f>IF(Planning[[#This Row],[Horas Planificadas]]&lt;&gt;0,+K5083/Planning[[#This Row],[Horas Planificadas]],0)</f>
        <v>#REF!</v>
      </c>
      <c r="V5083" s="43" t="e">
        <f>IF(Planning[[#This Row],[Horas Planificadas]]&lt;&gt;0,Planning[[#This Row],[Horas utilizadas]]/Planning[[#This Row],[Horas Planificadas]],0)</f>
        <v>#REF!</v>
      </c>
      <c r="W5083" s="44">
        <f>Planning[[#This Row],[Horas Planificadas]]+Planning[[#This Row],[Horas ajustadas adicionales]]</f>
        <v>599</v>
      </c>
    </row>
    <row r="5084" spans="1:23" x14ac:dyDescent="0.2">
      <c r="A5084" s="9" t="s">
        <v>483</v>
      </c>
      <c r="B5084" s="9" t="s">
        <v>685</v>
      </c>
      <c r="C5084" s="3">
        <v>116907</v>
      </c>
      <c r="D5084" s="3" t="s">
        <v>879</v>
      </c>
      <c r="E5084" s="4"/>
      <c r="F5084" s="3" t="s">
        <v>127</v>
      </c>
      <c r="G5084" s="9">
        <v>0</v>
      </c>
      <c r="H5084" s="9">
        <v>0</v>
      </c>
      <c r="I5084" s="12"/>
      <c r="J5084" s="5" t="e">
        <f>SUM(SUMIFS(#REF!,#REF!,Planning[[#This Row],[Tipo de Tarea y especialidad]],#REF!,Planning[[#This Row],[Proyectos Reiwa]]),SUMIFS(#REF!,#REF!,Planning[[#This Row],[Tipo de Tarea y especialidad]],#REF!,Planning[[#This Row],[Proyectos]]))</f>
        <v>#REF!</v>
      </c>
      <c r="K5084" s="5" t="e">
        <f>+Planning[[#This Row],[Horas Planificadas]]+Planning[[#This Row],[Horas ajustadas adicionales]]-Planning[[#This Row],[Horas utilizadas]]</f>
        <v>#REF!</v>
      </c>
      <c r="L5084" s="7">
        <v>0</v>
      </c>
      <c r="M5084" s="19" t="e">
        <f>Planning[[#This Row],[Saldo]]-Planning[[#This Row],[Saldo estimado]]</f>
        <v>#REF!</v>
      </c>
      <c r="N5084" s="60" t="e">
        <f>+SUMIFS(#REF!,#REF!,Planning[[#This Row],[Proyectos]],#REF!,Planning[[#This Row],[Tipo de Tarea y especialidad]])</f>
        <v>#REF!</v>
      </c>
      <c r="O5084" s="19">
        <f t="shared" si="159"/>
        <v>10</v>
      </c>
      <c r="P5084" s="19">
        <f t="shared" si="160"/>
        <v>2024</v>
      </c>
      <c r="Q50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84" s="34" t="str">
        <f>TEXT(Planning[[#This Row],[Mes]]*29,"mmmm")</f>
        <v>October</v>
      </c>
      <c r="S508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84" s="180"/>
      <c r="U5084" s="43">
        <f>IF(Planning[[#This Row],[Horas Planificadas]]&lt;&gt;0,+K5084/Planning[[#This Row],[Horas Planificadas]],0)</f>
        <v>0</v>
      </c>
      <c r="V5084" s="43">
        <f>IF(Planning[[#This Row],[Horas Planificadas]]&lt;&gt;0,Planning[[#This Row],[Horas utilizadas]]/Planning[[#This Row],[Horas Planificadas]],0)</f>
        <v>0</v>
      </c>
      <c r="W5084" s="44">
        <f>Planning[[#This Row],[Horas Planificadas]]+Planning[[#This Row],[Horas ajustadas adicionales]]</f>
        <v>0</v>
      </c>
    </row>
    <row r="5085" spans="1:23" x14ac:dyDescent="0.2">
      <c r="A5085" s="9" t="s">
        <v>483</v>
      </c>
      <c r="B5085" s="9" t="s">
        <v>685</v>
      </c>
      <c r="C5085" s="3">
        <v>116907</v>
      </c>
      <c r="D5085" s="3" t="s">
        <v>879</v>
      </c>
      <c r="E5085" s="4"/>
      <c r="F5085" s="3" t="s">
        <v>128</v>
      </c>
      <c r="G5085" s="9">
        <v>240</v>
      </c>
      <c r="H5085" s="9">
        <v>240</v>
      </c>
      <c r="I5085" s="12"/>
      <c r="J5085" s="5" t="e">
        <f>SUM(SUMIFS(#REF!,#REF!,Planning[[#This Row],[Tipo de Tarea y especialidad]],#REF!,Planning[[#This Row],[Proyectos Reiwa]]),SUMIFS(#REF!,#REF!,Planning[[#This Row],[Tipo de Tarea y especialidad]],#REF!,Planning[[#This Row],[Proyectos]]))</f>
        <v>#REF!</v>
      </c>
      <c r="K5085" s="5" t="e">
        <f>+Planning[[#This Row],[Horas Planificadas]]+Planning[[#This Row],[Horas ajustadas adicionales]]-Planning[[#This Row],[Horas utilizadas]]</f>
        <v>#REF!</v>
      </c>
      <c r="L5085" s="7">
        <v>18</v>
      </c>
      <c r="M5085" s="19" t="e">
        <f>Planning[[#This Row],[Saldo]]-Planning[[#This Row],[Saldo estimado]]</f>
        <v>#REF!</v>
      </c>
      <c r="N5085" s="60" t="e">
        <f>+SUMIFS(#REF!,#REF!,Planning[[#This Row],[Proyectos]],#REF!,Planning[[#This Row],[Tipo de Tarea y especialidad]])</f>
        <v>#REF!</v>
      </c>
      <c r="O5085" s="19">
        <f t="shared" si="159"/>
        <v>10</v>
      </c>
      <c r="P5085" s="19">
        <f t="shared" si="160"/>
        <v>2024</v>
      </c>
      <c r="Q50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85" s="34" t="str">
        <f>TEXT(Planning[[#This Row],[Mes]]*29,"mmmm")</f>
        <v>October</v>
      </c>
      <c r="S508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85" s="180"/>
      <c r="U5085" s="43" t="e">
        <f>IF(Planning[[#This Row],[Horas Planificadas]]&lt;&gt;0,+K5085/Planning[[#This Row],[Horas Planificadas]],0)</f>
        <v>#REF!</v>
      </c>
      <c r="V5085" s="43" t="e">
        <f>IF(Planning[[#This Row],[Horas Planificadas]]&lt;&gt;0,Planning[[#This Row],[Horas utilizadas]]/Planning[[#This Row],[Horas Planificadas]],0)</f>
        <v>#REF!</v>
      </c>
      <c r="W5085" s="44">
        <f>Planning[[#This Row],[Horas Planificadas]]+Planning[[#This Row],[Horas ajustadas adicionales]]</f>
        <v>240</v>
      </c>
    </row>
    <row r="5086" spans="1:23" x14ac:dyDescent="0.2">
      <c r="A5086" s="9" t="s">
        <v>483</v>
      </c>
      <c r="B5086" s="9" t="s">
        <v>685</v>
      </c>
      <c r="C5086" s="3">
        <v>116907</v>
      </c>
      <c r="D5086" s="3" t="s">
        <v>879</v>
      </c>
      <c r="E5086" s="4" t="s">
        <v>31</v>
      </c>
      <c r="F5086" s="3" t="s">
        <v>31</v>
      </c>
      <c r="G5086" s="9">
        <v>358</v>
      </c>
      <c r="H5086" s="17">
        <v>358</v>
      </c>
      <c r="I5086" s="18"/>
      <c r="J5086" s="14" t="e">
        <f>+SUMIFS(#REF!,#REF!,Planning[[#This Row],[Tarifa]],#REF!,Planning[[#This Row],[Proyectos]])</f>
        <v>#REF!</v>
      </c>
      <c r="K5086" s="14" t="e">
        <f>+Planning[[#This Row],[Horas Planificadas]]+Planning[[#This Row],[Horas ajustadas adicionales]]-Planning[[#This Row],[Horas utilizadas]]</f>
        <v>#REF!</v>
      </c>
      <c r="L5086" s="15" t="e">
        <f>Planning[[#This Row],[Saldo]]</f>
        <v>#REF!</v>
      </c>
      <c r="M5086" s="16" t="e">
        <f>Planning[[#This Row],[Saldo]]-Planning[[#This Row],[Saldo estimado]]</f>
        <v>#REF!</v>
      </c>
      <c r="N5086" s="60">
        <v>0</v>
      </c>
      <c r="O5086" s="16">
        <f t="shared" si="159"/>
        <v>10</v>
      </c>
      <c r="P5086" s="16">
        <f t="shared" si="160"/>
        <v>2024</v>
      </c>
      <c r="Q5086" s="16" t="e">
        <f>+SUMIFS(#REF!,#REF!,Planning[[#This Row],[Tarifa]],#REF!,Planning[[#This Row],[Proyectos]],#REF!,Planning[[#This Row],[Mes]],#REF!,Planning[[#This Row],[Año]])</f>
        <v>#REF!</v>
      </c>
      <c r="R5086" s="35" t="str">
        <f>TEXT(Planning[[#This Row],[Mes]]*29,"mmmm")</f>
        <v>October</v>
      </c>
      <c r="S508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86" s="180"/>
      <c r="U5086" s="43" t="e">
        <f>IF(Planning[[#This Row],[Horas Planificadas]]&lt;&gt;0,+K5086/Planning[[#This Row],[Horas Planificadas]],0)</f>
        <v>#REF!</v>
      </c>
      <c r="V5086" s="43" t="e">
        <f>IF(Planning[[#This Row],[Horas Planificadas]]&lt;&gt;0,Planning[[#This Row],[Horas utilizadas]]/Planning[[#This Row],[Horas Planificadas]],0)</f>
        <v>#REF!</v>
      </c>
      <c r="W5086" s="44">
        <f>Planning[[#This Row],[Horas Planificadas]]+Planning[[#This Row],[Horas ajustadas adicionales]]</f>
        <v>358</v>
      </c>
    </row>
    <row r="5087" spans="1:23" ht="22.5" x14ac:dyDescent="0.2">
      <c r="A5087" s="9" t="s">
        <v>483</v>
      </c>
      <c r="B5087" s="9" t="s">
        <v>685</v>
      </c>
      <c r="C5087" s="3">
        <v>116907</v>
      </c>
      <c r="D5087" s="3" t="s">
        <v>879</v>
      </c>
      <c r="E5087" s="4" t="s">
        <v>32</v>
      </c>
      <c r="F5087" s="3"/>
      <c r="G5087" s="9">
        <f>+G5088+G5089+G5090</f>
        <v>1150</v>
      </c>
      <c r="H5087" s="14">
        <f>SUM(H5088:H5090)</f>
        <v>1150</v>
      </c>
      <c r="I5087" s="14"/>
      <c r="J5087" s="14" t="e">
        <f>SUM(J5088:J5090)</f>
        <v>#REF!</v>
      </c>
      <c r="K5087" s="14" t="e">
        <f>+Planning[[#This Row],[Horas Planificadas]]+Planning[[#This Row],[Horas ajustadas adicionales]]-Planning[[#This Row],[Horas utilizadas]]</f>
        <v>#REF!</v>
      </c>
      <c r="L5087" s="15" t="e">
        <f>SUM(L5088:L5090)</f>
        <v>#REF!</v>
      </c>
      <c r="M5087" s="16" t="e">
        <f>SUM(M5088:M5090)</f>
        <v>#REF!</v>
      </c>
      <c r="N5087" s="60">
        <v>0</v>
      </c>
      <c r="O5087" s="16">
        <f t="shared" si="159"/>
        <v>10</v>
      </c>
      <c r="P5087" s="16">
        <f t="shared" si="160"/>
        <v>2024</v>
      </c>
      <c r="Q5087" s="16" t="e">
        <f>SUM(Q5088:Q5090)</f>
        <v>#REF!</v>
      </c>
      <c r="R5087" s="35" t="str">
        <f>TEXT(Planning[[#This Row],[Mes]]*29,"mmmm")</f>
        <v>October</v>
      </c>
      <c r="S508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87" s="180"/>
      <c r="U5087" s="43" t="e">
        <f>IF(Planning[[#This Row],[Horas Planificadas]]&lt;&gt;0,+K5087/Planning[[#This Row],[Horas Planificadas]],0)</f>
        <v>#REF!</v>
      </c>
      <c r="V5087" s="43" t="e">
        <f>IF(Planning[[#This Row],[Horas Planificadas]]&lt;&gt;0,Planning[[#This Row],[Horas utilizadas]]/Planning[[#This Row],[Horas Planificadas]],0)</f>
        <v>#REF!</v>
      </c>
      <c r="W5087" s="44">
        <f>Planning[[#This Row],[Horas Planificadas]]+Planning[[#This Row],[Horas ajustadas adicionales]]</f>
        <v>1150</v>
      </c>
    </row>
    <row r="5088" spans="1:23" x14ac:dyDescent="0.2">
      <c r="A5088" s="9" t="s">
        <v>483</v>
      </c>
      <c r="B5088" s="9" t="s">
        <v>685</v>
      </c>
      <c r="C5088" s="3">
        <v>116907</v>
      </c>
      <c r="D5088" s="3" t="s">
        <v>879</v>
      </c>
      <c r="E5088" s="4"/>
      <c r="F5088" s="3" t="s">
        <v>129</v>
      </c>
      <c r="G5088" s="9">
        <v>730</v>
      </c>
      <c r="H5088" s="9">
        <v>730</v>
      </c>
      <c r="I5088" s="12"/>
      <c r="J5088" s="5" t="e">
        <f>SUM(SUMIFS(#REF!,#REF!,Planning[[#This Row],[Tipo de Tarea y especialidad]],#REF!,Planning[[#This Row],[Proyectos Reiwa]]),SUMIFS(#REF!,#REF!,Planning[[#This Row],[Tipo de Tarea y especialidad]],#REF!,Planning[[#This Row],[Proyectos]]))</f>
        <v>#REF!</v>
      </c>
      <c r="K5088" s="5" t="e">
        <f>+Planning[[#This Row],[Horas Planificadas]]+Planning[[#This Row],[Horas ajustadas adicionales]]-Planning[[#This Row],[Horas utilizadas]]</f>
        <v>#REF!</v>
      </c>
      <c r="L5088" s="7" t="e">
        <f>Planning[[#This Row],[Saldo]]</f>
        <v>#REF!</v>
      </c>
      <c r="M5088" s="19" t="e">
        <f>Planning[[#This Row],[Saldo]]-Planning[[#This Row],[Saldo estimado]]</f>
        <v>#REF!</v>
      </c>
      <c r="N5088" s="60" t="e">
        <f>+SUMIFS(#REF!,#REF!,Planning[[#This Row],[Proyectos]],#REF!,Planning[[#This Row],[Tipo de Tarea y especialidad]])</f>
        <v>#REF!</v>
      </c>
      <c r="O5088" s="19">
        <f t="shared" si="159"/>
        <v>10</v>
      </c>
      <c r="P5088" s="19">
        <f t="shared" si="160"/>
        <v>2024</v>
      </c>
      <c r="Q50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88" s="34" t="str">
        <f>TEXT(Planning[[#This Row],[Mes]]*29,"mmmm")</f>
        <v>October</v>
      </c>
      <c r="S508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88" s="180"/>
      <c r="U5088" s="43" t="e">
        <f>IF(Planning[[#This Row],[Horas Planificadas]]&lt;&gt;0,+K5088/Planning[[#This Row],[Horas Planificadas]],0)</f>
        <v>#REF!</v>
      </c>
      <c r="V5088" s="43" t="e">
        <f>IF(Planning[[#This Row],[Horas Planificadas]]&lt;&gt;0,Planning[[#This Row],[Horas utilizadas]]/Planning[[#This Row],[Horas Planificadas]],0)</f>
        <v>#REF!</v>
      </c>
      <c r="W5088" s="44">
        <f>Planning[[#This Row],[Horas Planificadas]]+Planning[[#This Row],[Horas ajustadas adicionales]]</f>
        <v>730</v>
      </c>
    </row>
    <row r="5089" spans="1:23" x14ac:dyDescent="0.2">
      <c r="A5089" s="9" t="s">
        <v>483</v>
      </c>
      <c r="B5089" s="9" t="s">
        <v>685</v>
      </c>
      <c r="C5089" s="3">
        <v>116907</v>
      </c>
      <c r="D5089" s="3" t="s">
        <v>879</v>
      </c>
      <c r="E5089" s="4"/>
      <c r="F5089" s="3" t="s">
        <v>130</v>
      </c>
      <c r="G5089" s="9">
        <v>0</v>
      </c>
      <c r="H5089" s="9">
        <v>0</v>
      </c>
      <c r="I5089" s="12"/>
      <c r="J5089" s="5" t="e">
        <f>SUM(SUMIFS(#REF!,#REF!,Planning[[#This Row],[Tipo de Tarea y especialidad]],#REF!,Planning[[#This Row],[Proyectos Reiwa]]),SUMIFS(#REF!,#REF!,Planning[[#This Row],[Tipo de Tarea y especialidad]],#REF!,Planning[[#This Row],[Proyectos]]))</f>
        <v>#REF!</v>
      </c>
      <c r="K5089" s="5" t="e">
        <f>+Planning[[#This Row],[Horas Planificadas]]+Planning[[#This Row],[Horas ajustadas adicionales]]-Planning[[#This Row],[Horas utilizadas]]</f>
        <v>#REF!</v>
      </c>
      <c r="L5089" s="7" t="e">
        <f>Planning[[#This Row],[Saldo]]</f>
        <v>#REF!</v>
      </c>
      <c r="M5089" s="19" t="e">
        <f>Planning[[#This Row],[Saldo]]-Planning[[#This Row],[Saldo estimado]]</f>
        <v>#REF!</v>
      </c>
      <c r="N5089" s="60" t="e">
        <f>+SUMIFS(#REF!,#REF!,Planning[[#This Row],[Proyectos]],#REF!,Planning[[#This Row],[Tipo de Tarea y especialidad]])</f>
        <v>#REF!</v>
      </c>
      <c r="O5089" s="19">
        <f t="shared" si="159"/>
        <v>10</v>
      </c>
      <c r="P5089" s="19">
        <f t="shared" si="160"/>
        <v>2024</v>
      </c>
      <c r="Q50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89" s="34" t="str">
        <f>TEXT(Planning[[#This Row],[Mes]]*29,"mmmm")</f>
        <v>October</v>
      </c>
      <c r="S508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89" s="180"/>
      <c r="U5089" s="43">
        <f>IF(Planning[[#This Row],[Horas Planificadas]]&lt;&gt;0,+K5089/Planning[[#This Row],[Horas Planificadas]],0)</f>
        <v>0</v>
      </c>
      <c r="V5089" s="43">
        <f>IF(Planning[[#This Row],[Horas Planificadas]]&lt;&gt;0,Planning[[#This Row],[Horas utilizadas]]/Planning[[#This Row],[Horas Planificadas]],0)</f>
        <v>0</v>
      </c>
      <c r="W5089" s="44">
        <f>Planning[[#This Row],[Horas Planificadas]]+Planning[[#This Row],[Horas ajustadas adicionales]]</f>
        <v>0</v>
      </c>
    </row>
    <row r="5090" spans="1:23" ht="22.5" customHeight="1" x14ac:dyDescent="0.2">
      <c r="A5090" s="9" t="s">
        <v>483</v>
      </c>
      <c r="B5090" s="9" t="s">
        <v>685</v>
      </c>
      <c r="C5090" s="3">
        <v>116907</v>
      </c>
      <c r="D5090" s="3" t="s">
        <v>879</v>
      </c>
      <c r="E5090" s="4"/>
      <c r="F5090" s="3" t="s">
        <v>131</v>
      </c>
      <c r="G5090" s="9">
        <v>420</v>
      </c>
      <c r="H5090" s="9">
        <v>420</v>
      </c>
      <c r="I5090" s="12"/>
      <c r="J5090" s="5" t="e">
        <f>SUM(SUMIFS(#REF!,#REF!,Planning[[#This Row],[Tipo de Tarea y especialidad]],#REF!,Planning[[#This Row],[Proyectos Reiwa]]),SUMIFS(#REF!,#REF!,Planning[[#This Row],[Tipo de Tarea y especialidad]],#REF!,Planning[[#This Row],[Proyectos]]))</f>
        <v>#REF!</v>
      </c>
      <c r="K5090" s="5" t="e">
        <f>+Planning[[#This Row],[Horas Planificadas]]+Planning[[#This Row],[Horas ajustadas adicionales]]-Planning[[#This Row],[Horas utilizadas]]</f>
        <v>#REF!</v>
      </c>
      <c r="L5090" s="7" t="e">
        <f>Planning[[#This Row],[Saldo]]</f>
        <v>#REF!</v>
      </c>
      <c r="M5090" s="19" t="e">
        <f>Planning[[#This Row],[Saldo]]-Planning[[#This Row],[Saldo estimado]]</f>
        <v>#REF!</v>
      </c>
      <c r="N5090" s="60" t="e">
        <f>+SUMIFS(#REF!,#REF!,Planning[[#This Row],[Proyectos]],#REF!,Planning[[#This Row],[Tipo de Tarea y especialidad]])</f>
        <v>#REF!</v>
      </c>
      <c r="O5090" s="19">
        <f t="shared" si="159"/>
        <v>10</v>
      </c>
      <c r="P5090" s="19">
        <f t="shared" si="160"/>
        <v>2024</v>
      </c>
      <c r="Q50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90" s="34" t="str">
        <f>TEXT(Planning[[#This Row],[Mes]]*29,"mmmm")</f>
        <v>October</v>
      </c>
      <c r="S509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90" s="180"/>
      <c r="U5090" s="43" t="e">
        <f>IF(Planning[[#This Row],[Horas Planificadas]]&lt;&gt;0,+K5090/Planning[[#This Row],[Horas Planificadas]],0)</f>
        <v>#REF!</v>
      </c>
      <c r="V5090" s="43" t="e">
        <f>IF(Planning[[#This Row],[Horas Planificadas]]&lt;&gt;0,Planning[[#This Row],[Horas utilizadas]]/Planning[[#This Row],[Horas Planificadas]],0)</f>
        <v>#REF!</v>
      </c>
      <c r="W5090" s="44">
        <f>Planning[[#This Row],[Horas Planificadas]]+Planning[[#This Row],[Horas ajustadas adicionales]]</f>
        <v>420</v>
      </c>
    </row>
    <row r="5091" spans="1:23" ht="13.35" customHeight="1" x14ac:dyDescent="0.2">
      <c r="A5091" s="9" t="s">
        <v>204</v>
      </c>
      <c r="B5091" s="9" t="s">
        <v>808</v>
      </c>
      <c r="C5091" s="3">
        <v>117017</v>
      </c>
      <c r="D5091" s="3" t="s">
        <v>881</v>
      </c>
      <c r="E5091" s="4" t="s">
        <v>28</v>
      </c>
      <c r="F5091" s="3"/>
      <c r="G5091" s="9">
        <f>+G5092+G5093</f>
        <v>0</v>
      </c>
      <c r="H5091" s="14">
        <f>SUM(H5092:H5093)</f>
        <v>0</v>
      </c>
      <c r="I5091" s="14"/>
      <c r="J5091" s="14" t="e">
        <f>SUM(J5092:J5093)</f>
        <v>#REF!</v>
      </c>
      <c r="K5091" s="14" t="e">
        <f>+Planning[[#This Row],[Horas Planificadas]]+Planning[[#This Row],[Horas ajustadas adicionales]]-Planning[[#This Row],[Horas utilizadas]]</f>
        <v>#REF!</v>
      </c>
      <c r="L5091" s="15">
        <f>SUM(L5092:L5093)</f>
        <v>0</v>
      </c>
      <c r="M5091" s="14" t="e">
        <f>SUM(M5092:M5093)</f>
        <v>#REF!</v>
      </c>
      <c r="N5091" s="66"/>
      <c r="O5091" s="14">
        <f t="shared" si="159"/>
        <v>10</v>
      </c>
      <c r="P5091" s="14">
        <f t="shared" si="160"/>
        <v>2024</v>
      </c>
      <c r="Q5091" s="28" t="e">
        <f>SUM(Q5092:Q5093)</f>
        <v>#REF!</v>
      </c>
      <c r="R5091" s="14" t="str">
        <f>TEXT(Planning[[#This Row],[Mes]]*29,"mmmm")</f>
        <v>October</v>
      </c>
      <c r="S509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91" s="185" t="s">
        <v>882</v>
      </c>
      <c r="U5091" s="107">
        <f>IF(Planning[[#This Row],[Horas Planificadas]]&lt;&gt;0,+K5091/Planning[[#This Row],[Horas Planificadas]],0)</f>
        <v>0</v>
      </c>
      <c r="V5091" s="43">
        <f>IF(Planning[[#This Row],[Horas Planificadas]]&lt;&gt;0,Planning[[#This Row],[Horas utilizadas]]/Planning[[#This Row],[Horas Planificadas]],0)</f>
        <v>0</v>
      </c>
      <c r="W5091" s="44">
        <f>Planning[[#This Row],[Horas Planificadas]]+Planning[[#This Row],[Horas ajustadas adicionales]]</f>
        <v>0</v>
      </c>
    </row>
    <row r="5092" spans="1:23" ht="13.35" customHeight="1" x14ac:dyDescent="0.2">
      <c r="A5092" s="9" t="s">
        <v>204</v>
      </c>
      <c r="B5092" s="9" t="s">
        <v>808</v>
      </c>
      <c r="C5092" s="3">
        <v>117017</v>
      </c>
      <c r="D5092" s="3" t="s">
        <v>881</v>
      </c>
      <c r="E5092" s="4"/>
      <c r="F5092" s="3" t="s">
        <v>120</v>
      </c>
      <c r="G5092" s="9">
        <v>0</v>
      </c>
      <c r="H5092" s="9">
        <v>0</v>
      </c>
      <c r="I5092" s="12"/>
      <c r="J5092" s="5" t="e">
        <f>SUM(SUMIFS(#REF!,#REF!,Planning[[#This Row],[Tipo de Tarea y especialidad]],#REF!,Planning[[#This Row],[Proyectos Reiwa]]),SUMIFS(#REF!,#REF!,Planning[[#This Row],[Tipo de Tarea y especialidad]],#REF!,Planning[[#This Row],[Proyectos]]))</f>
        <v>#REF!</v>
      </c>
      <c r="K5092" s="5" t="e">
        <f>+Planning[[#This Row],[Horas Planificadas]]+Planning[[#This Row],[Horas ajustadas adicionales]]-Planning[[#This Row],[Horas utilizadas]]</f>
        <v>#REF!</v>
      </c>
      <c r="L5092" s="7">
        <v>0</v>
      </c>
      <c r="M5092" s="19" t="e">
        <f>Planning[[#This Row],[Saldo]]-Planning[[#This Row],[Saldo estimado]]</f>
        <v>#REF!</v>
      </c>
      <c r="N5092" s="60" t="e">
        <f>+SUMIFS(#REF!,#REF!,Planning[[#This Row],[Proyectos]],#REF!,Planning[[#This Row],[Tipo de Tarea y especialidad]])</f>
        <v>#REF!</v>
      </c>
      <c r="O5092" s="19">
        <f t="shared" si="159"/>
        <v>10</v>
      </c>
      <c r="P5092" s="19">
        <f t="shared" si="160"/>
        <v>2024</v>
      </c>
      <c r="Q50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92" s="34" t="str">
        <f>TEXT(Planning[[#This Row],[Mes]]*29,"mmmm")</f>
        <v>October</v>
      </c>
      <c r="S509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92" s="186"/>
      <c r="U5092" s="107">
        <f>IF(Planning[[#This Row],[Horas Planificadas]]&lt;&gt;0,+K5092/Planning[[#This Row],[Horas Planificadas]],0)</f>
        <v>0</v>
      </c>
      <c r="V5092" s="43">
        <f>IF(Planning[[#This Row],[Horas Planificadas]]&lt;&gt;0,Planning[[#This Row],[Horas utilizadas]]/Planning[[#This Row],[Horas Planificadas]],0)</f>
        <v>0</v>
      </c>
      <c r="W5092" s="44">
        <f>Planning[[#This Row],[Horas Planificadas]]+Planning[[#This Row],[Horas ajustadas adicionales]]</f>
        <v>0</v>
      </c>
    </row>
    <row r="5093" spans="1:23" ht="13.35" customHeight="1" x14ac:dyDescent="0.2">
      <c r="A5093" s="9" t="s">
        <v>204</v>
      </c>
      <c r="B5093" s="9" t="s">
        <v>808</v>
      </c>
      <c r="C5093" s="3">
        <v>117017</v>
      </c>
      <c r="D5093" s="3" t="s">
        <v>881</v>
      </c>
      <c r="E5093" s="4"/>
      <c r="F5093" s="3" t="s">
        <v>121</v>
      </c>
      <c r="G5093" s="9">
        <v>0</v>
      </c>
      <c r="H5093" s="9">
        <v>0</v>
      </c>
      <c r="I5093" s="12"/>
      <c r="J5093" s="5" t="e">
        <f>SUM(SUMIFS(#REF!,#REF!,Planning[[#This Row],[Tipo de Tarea y especialidad]],#REF!,Planning[[#This Row],[Proyectos Reiwa]]),SUMIFS(#REF!,#REF!,Planning[[#This Row],[Tipo de Tarea y especialidad]],#REF!,Planning[[#This Row],[Proyectos]]))</f>
        <v>#REF!</v>
      </c>
      <c r="K5093" s="5" t="e">
        <f>+Planning[[#This Row],[Horas Planificadas]]+Planning[[#This Row],[Horas ajustadas adicionales]]-Planning[[#This Row],[Horas utilizadas]]</f>
        <v>#REF!</v>
      </c>
      <c r="L5093" s="7">
        <v>0</v>
      </c>
      <c r="M5093" s="19" t="e">
        <f>Planning[[#This Row],[Saldo]]-Planning[[#This Row],[Saldo estimado]]</f>
        <v>#REF!</v>
      </c>
      <c r="N5093" s="60" t="e">
        <f>+SUMIFS(#REF!,#REF!,Planning[[#This Row],[Proyectos]],#REF!,Planning[[#This Row],[Tipo de Tarea y especialidad]])</f>
        <v>#REF!</v>
      </c>
      <c r="O5093" s="19">
        <f t="shared" si="159"/>
        <v>10</v>
      </c>
      <c r="P5093" s="19">
        <f t="shared" si="160"/>
        <v>2024</v>
      </c>
      <c r="Q50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93" s="34" t="str">
        <f>TEXT(Planning[[#This Row],[Mes]]*29,"mmmm")</f>
        <v>October</v>
      </c>
      <c r="S509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93" s="186"/>
      <c r="U5093" s="107">
        <f>IF(Planning[[#This Row],[Horas Planificadas]]&lt;&gt;0,+K5093/Planning[[#This Row],[Horas Planificadas]],0)</f>
        <v>0</v>
      </c>
      <c r="V5093" s="43">
        <f>IF(Planning[[#This Row],[Horas Planificadas]]&lt;&gt;0,Planning[[#This Row],[Horas utilizadas]]/Planning[[#This Row],[Horas Planificadas]],0)</f>
        <v>0</v>
      </c>
      <c r="W5093" s="44">
        <f>Planning[[#This Row],[Horas Planificadas]]+Planning[[#This Row],[Horas ajustadas adicionales]]</f>
        <v>0</v>
      </c>
    </row>
    <row r="5094" spans="1:23" ht="13.35" customHeight="1" x14ac:dyDescent="0.2">
      <c r="A5094" s="9" t="s">
        <v>204</v>
      </c>
      <c r="B5094" s="9" t="s">
        <v>808</v>
      </c>
      <c r="C5094" s="3">
        <v>117017</v>
      </c>
      <c r="D5094" s="3" t="s">
        <v>881</v>
      </c>
      <c r="E5094" s="4" t="s">
        <v>30</v>
      </c>
      <c r="F5094" s="3"/>
      <c r="G5094" s="9">
        <f>+G5095+G5096+G5097+G5098+G5099+G5100+G5101</f>
        <v>120</v>
      </c>
      <c r="H5094" s="14">
        <f>SUM(H5095:H5101)</f>
        <v>120</v>
      </c>
      <c r="I5094" s="14"/>
      <c r="J5094" s="14" t="e">
        <f>SUM(J5095:J5101)</f>
        <v>#REF!</v>
      </c>
      <c r="K5094" s="14" t="e">
        <f>+Planning[[#This Row],[Horas Planificadas]]+Planning[[#This Row],[Horas ajustadas adicionales]]-Planning[[#This Row],[Horas utilizadas]]</f>
        <v>#REF!</v>
      </c>
      <c r="L5094" s="15">
        <f>SUM(L5095:L5101)</f>
        <v>0</v>
      </c>
      <c r="M5094" s="16" t="e">
        <f>SUM(M5095:M5101)</f>
        <v>#REF!</v>
      </c>
      <c r="N5094" s="60">
        <v>0</v>
      </c>
      <c r="O5094" s="16">
        <f t="shared" si="159"/>
        <v>10</v>
      </c>
      <c r="P5094" s="16">
        <f t="shared" si="160"/>
        <v>2024</v>
      </c>
      <c r="Q5094" s="16" t="e">
        <f>SUM(Q5095:Q5101)</f>
        <v>#REF!</v>
      </c>
      <c r="R5094" s="35" t="str">
        <f>TEXT(Planning[[#This Row],[Mes]]*29,"mmmm")</f>
        <v>October</v>
      </c>
      <c r="S509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94" s="108"/>
      <c r="U5094" s="107" t="e">
        <f>IF(Planning[[#This Row],[Horas Planificadas]]&lt;&gt;0,+K5094/Planning[[#This Row],[Horas Planificadas]],0)</f>
        <v>#REF!</v>
      </c>
      <c r="V5094" s="43" t="e">
        <f>IF(Planning[[#This Row],[Horas Planificadas]]&lt;&gt;0,Planning[[#This Row],[Horas utilizadas]]/Planning[[#This Row],[Horas Planificadas]],0)</f>
        <v>#REF!</v>
      </c>
      <c r="W5094" s="44">
        <f>Planning[[#This Row],[Horas Planificadas]]+Planning[[#This Row],[Horas ajustadas adicionales]]</f>
        <v>120</v>
      </c>
    </row>
    <row r="5095" spans="1:23" ht="13.35" customHeight="1" x14ac:dyDescent="0.2">
      <c r="A5095" s="9" t="s">
        <v>204</v>
      </c>
      <c r="B5095" s="9" t="s">
        <v>808</v>
      </c>
      <c r="C5095" s="3">
        <v>117017</v>
      </c>
      <c r="D5095" s="3" t="s">
        <v>881</v>
      </c>
      <c r="E5095" s="4"/>
      <c r="F5095" s="3" t="s">
        <v>122</v>
      </c>
      <c r="G5095" s="9"/>
      <c r="H5095" s="9">
        <v>0</v>
      </c>
      <c r="I5095" s="12"/>
      <c r="J5095" s="5" t="e">
        <f>SUM(SUMIFS(#REF!,#REF!,Planning[[#This Row],[Tipo de Tarea y especialidad]],#REF!,Planning[[#This Row],[Proyectos Reiwa]]),SUMIFS(#REF!,#REF!,Planning[[#This Row],[Tipo de Tarea y especialidad]],#REF!,Planning[[#This Row],[Proyectos]]))</f>
        <v>#REF!</v>
      </c>
      <c r="K5095" s="5" t="e">
        <f>+Planning[[#This Row],[Horas Planificadas]]+Planning[[#This Row],[Horas ajustadas adicionales]]-Planning[[#This Row],[Horas utilizadas]]</f>
        <v>#REF!</v>
      </c>
      <c r="L5095" s="7">
        <v>0</v>
      </c>
      <c r="M5095" s="19" t="e">
        <f>Planning[[#This Row],[Saldo]]-Planning[[#This Row],[Saldo estimado]]</f>
        <v>#REF!</v>
      </c>
      <c r="N5095" s="60" t="e">
        <f>+SUMIFS(#REF!,#REF!,Planning[[#This Row],[Proyectos]],#REF!,Planning[[#This Row],[Tipo de Tarea y especialidad]])</f>
        <v>#REF!</v>
      </c>
      <c r="O5095" s="19">
        <f t="shared" si="159"/>
        <v>10</v>
      </c>
      <c r="P5095" s="19">
        <f t="shared" si="160"/>
        <v>2024</v>
      </c>
      <c r="Q50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95" s="34" t="str">
        <f>TEXT(Planning[[#This Row],[Mes]]*29,"mmmm")</f>
        <v>October</v>
      </c>
      <c r="S509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95" s="108" t="s">
        <v>883</v>
      </c>
      <c r="U5095" s="107">
        <f>IF(Planning[[#This Row],[Horas Planificadas]]&lt;&gt;0,+K5095/Planning[[#This Row],[Horas Planificadas]],0)</f>
        <v>0</v>
      </c>
      <c r="V5095" s="43">
        <f>IF(Planning[[#This Row],[Horas Planificadas]]&lt;&gt;0,Planning[[#This Row],[Horas utilizadas]]/Planning[[#This Row],[Horas Planificadas]],0)</f>
        <v>0</v>
      </c>
      <c r="W5095" s="44">
        <f>Planning[[#This Row],[Horas Planificadas]]+Planning[[#This Row],[Horas ajustadas adicionales]]</f>
        <v>0</v>
      </c>
    </row>
    <row r="5096" spans="1:23" ht="13.35" customHeight="1" x14ac:dyDescent="0.2">
      <c r="A5096" s="9" t="s">
        <v>204</v>
      </c>
      <c r="B5096" s="9" t="s">
        <v>808</v>
      </c>
      <c r="C5096" s="3">
        <v>117017</v>
      </c>
      <c r="D5096" s="3" t="s">
        <v>881</v>
      </c>
      <c r="E5096" s="4"/>
      <c r="F5096" s="3" t="s">
        <v>123</v>
      </c>
      <c r="G5096" s="9"/>
      <c r="H5096" s="9">
        <v>0</v>
      </c>
      <c r="I5096" s="12"/>
      <c r="J5096" s="5" t="e">
        <f>SUM(SUMIFS(#REF!,#REF!,Planning[[#This Row],[Tipo de Tarea y especialidad]],#REF!,Planning[[#This Row],[Proyectos Reiwa]]),SUMIFS(#REF!,#REF!,Planning[[#This Row],[Tipo de Tarea y especialidad]],#REF!,Planning[[#This Row],[Proyectos]]))</f>
        <v>#REF!</v>
      </c>
      <c r="K5096" s="5" t="e">
        <f>+Planning[[#This Row],[Horas Planificadas]]+Planning[[#This Row],[Horas ajustadas adicionales]]-Planning[[#This Row],[Horas utilizadas]]</f>
        <v>#REF!</v>
      </c>
      <c r="L5096" s="7">
        <v>0</v>
      </c>
      <c r="M5096" s="19" t="e">
        <f>Planning[[#This Row],[Saldo]]-Planning[[#This Row],[Saldo estimado]]</f>
        <v>#REF!</v>
      </c>
      <c r="N5096" s="60" t="e">
        <f>+SUMIFS(#REF!,#REF!,Planning[[#This Row],[Proyectos]],#REF!,Planning[[#This Row],[Tipo de Tarea y especialidad]])</f>
        <v>#REF!</v>
      </c>
      <c r="O5096" s="19">
        <f t="shared" si="159"/>
        <v>10</v>
      </c>
      <c r="P5096" s="19">
        <f t="shared" si="160"/>
        <v>2024</v>
      </c>
      <c r="Q50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96" s="34" t="str">
        <f>TEXT(Planning[[#This Row],[Mes]]*29,"mmmm")</f>
        <v>October</v>
      </c>
      <c r="S509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96" s="108" t="s">
        <v>884</v>
      </c>
      <c r="U5096" s="107">
        <f>IF(Planning[[#This Row],[Horas Planificadas]]&lt;&gt;0,+K5096/Planning[[#This Row],[Horas Planificadas]],0)</f>
        <v>0</v>
      </c>
      <c r="V5096" s="43">
        <f>IF(Planning[[#This Row],[Horas Planificadas]]&lt;&gt;0,Planning[[#This Row],[Horas utilizadas]]/Planning[[#This Row],[Horas Planificadas]],0)</f>
        <v>0</v>
      </c>
      <c r="W5096" s="44">
        <f>Planning[[#This Row],[Horas Planificadas]]+Planning[[#This Row],[Horas ajustadas adicionales]]</f>
        <v>0</v>
      </c>
    </row>
    <row r="5097" spans="1:23" ht="13.35" customHeight="1" x14ac:dyDescent="0.2">
      <c r="A5097" s="9" t="s">
        <v>204</v>
      </c>
      <c r="B5097" s="9" t="s">
        <v>808</v>
      </c>
      <c r="C5097" s="3">
        <v>117017</v>
      </c>
      <c r="D5097" s="3" t="s">
        <v>881</v>
      </c>
      <c r="E5097" s="4"/>
      <c r="F5097" s="3" t="s">
        <v>124</v>
      </c>
      <c r="G5097" s="9">
        <v>120</v>
      </c>
      <c r="H5097" s="9">
        <v>120</v>
      </c>
      <c r="I5097" s="12"/>
      <c r="J5097" s="5" t="e">
        <f>SUM(SUMIFS(#REF!,#REF!,Planning[[#This Row],[Tipo de Tarea y especialidad]],#REF!,Planning[[#This Row],[Proyectos Reiwa]]),SUMIFS(#REF!,#REF!,Planning[[#This Row],[Tipo de Tarea y especialidad]],#REF!,Planning[[#This Row],[Proyectos]]))</f>
        <v>#REF!</v>
      </c>
      <c r="K5097" s="5" t="e">
        <f>+Planning[[#This Row],[Horas Planificadas]]+Planning[[#This Row],[Horas ajustadas adicionales]]-Planning[[#This Row],[Horas utilizadas]]</f>
        <v>#REF!</v>
      </c>
      <c r="L5097" s="7">
        <v>0</v>
      </c>
      <c r="M5097" s="19" t="e">
        <f>Planning[[#This Row],[Saldo]]-Planning[[#This Row],[Saldo estimado]]</f>
        <v>#REF!</v>
      </c>
      <c r="N5097" s="60" t="e">
        <f>+SUMIFS(#REF!,#REF!,Planning[[#This Row],[Proyectos]],#REF!,Planning[[#This Row],[Tipo de Tarea y especialidad]])</f>
        <v>#REF!</v>
      </c>
      <c r="O5097" s="19">
        <f t="shared" si="159"/>
        <v>10</v>
      </c>
      <c r="P5097" s="19">
        <f t="shared" si="160"/>
        <v>2024</v>
      </c>
      <c r="Q50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97" s="34" t="str">
        <f>TEXT(Planning[[#This Row],[Mes]]*29,"mmmm")</f>
        <v>October</v>
      </c>
      <c r="S509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97" s="108"/>
      <c r="U5097" s="107" t="e">
        <f>IF(Planning[[#This Row],[Horas Planificadas]]&lt;&gt;0,+K5097/Planning[[#This Row],[Horas Planificadas]],0)</f>
        <v>#REF!</v>
      </c>
      <c r="V5097" s="43" t="e">
        <f>IF(Planning[[#This Row],[Horas Planificadas]]&lt;&gt;0,Planning[[#This Row],[Horas utilizadas]]/Planning[[#This Row],[Horas Planificadas]],0)</f>
        <v>#REF!</v>
      </c>
      <c r="W5097" s="44">
        <f>Planning[[#This Row],[Horas Planificadas]]+Planning[[#This Row],[Horas ajustadas adicionales]]</f>
        <v>120</v>
      </c>
    </row>
    <row r="5098" spans="1:23" ht="13.35" customHeight="1" x14ac:dyDescent="0.2">
      <c r="A5098" s="9" t="s">
        <v>204</v>
      </c>
      <c r="B5098" s="9" t="s">
        <v>808</v>
      </c>
      <c r="C5098" s="3">
        <v>117017</v>
      </c>
      <c r="D5098" s="3" t="s">
        <v>881</v>
      </c>
      <c r="E5098" s="4"/>
      <c r="F5098" s="3" t="s">
        <v>125</v>
      </c>
      <c r="G5098" s="9"/>
      <c r="H5098" s="9">
        <v>0</v>
      </c>
      <c r="I5098" s="12"/>
      <c r="J5098" s="5" t="e">
        <f>SUM(SUMIFS(#REF!,#REF!,Planning[[#This Row],[Tipo de Tarea y especialidad]],#REF!,Planning[[#This Row],[Proyectos Reiwa]]),SUMIFS(#REF!,#REF!,Planning[[#This Row],[Tipo de Tarea y especialidad]],#REF!,Planning[[#This Row],[Proyectos]]))</f>
        <v>#REF!</v>
      </c>
      <c r="K5098" s="5" t="e">
        <f>+Planning[[#This Row],[Horas Planificadas]]+Planning[[#This Row],[Horas ajustadas adicionales]]-Planning[[#This Row],[Horas utilizadas]]</f>
        <v>#REF!</v>
      </c>
      <c r="L5098" s="7">
        <v>0</v>
      </c>
      <c r="M5098" s="19" t="e">
        <f>Planning[[#This Row],[Saldo]]-Planning[[#This Row],[Saldo estimado]]</f>
        <v>#REF!</v>
      </c>
      <c r="N5098" s="60" t="e">
        <f>+SUMIFS(#REF!,#REF!,Planning[[#This Row],[Proyectos]],#REF!,Planning[[#This Row],[Tipo de Tarea y especialidad]])</f>
        <v>#REF!</v>
      </c>
      <c r="O5098" s="19">
        <f t="shared" si="159"/>
        <v>10</v>
      </c>
      <c r="P5098" s="19">
        <f t="shared" si="160"/>
        <v>2024</v>
      </c>
      <c r="Q50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98" s="34" t="str">
        <f>TEXT(Planning[[#This Row],[Mes]]*29,"mmmm")</f>
        <v>October</v>
      </c>
      <c r="S509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98" s="108" t="s">
        <v>885</v>
      </c>
      <c r="U5098" s="107">
        <f>IF(Planning[[#This Row],[Horas Planificadas]]&lt;&gt;0,+K5098/Planning[[#This Row],[Horas Planificadas]],0)</f>
        <v>0</v>
      </c>
      <c r="V5098" s="43">
        <f>IF(Planning[[#This Row],[Horas Planificadas]]&lt;&gt;0,Planning[[#This Row],[Horas utilizadas]]/Planning[[#This Row],[Horas Planificadas]],0)</f>
        <v>0</v>
      </c>
      <c r="W5098" s="44">
        <f>Planning[[#This Row],[Horas Planificadas]]+Planning[[#This Row],[Horas ajustadas adicionales]]</f>
        <v>0</v>
      </c>
    </row>
    <row r="5099" spans="1:23" ht="13.35" customHeight="1" x14ac:dyDescent="0.2">
      <c r="A5099" s="9" t="s">
        <v>204</v>
      </c>
      <c r="B5099" s="9" t="s">
        <v>808</v>
      </c>
      <c r="C5099" s="3">
        <v>117017</v>
      </c>
      <c r="D5099" s="3" t="s">
        <v>881</v>
      </c>
      <c r="E5099" s="4"/>
      <c r="F5099" s="3" t="s">
        <v>126</v>
      </c>
      <c r="G5099" s="9"/>
      <c r="H5099" s="9">
        <v>0</v>
      </c>
      <c r="I5099" s="12"/>
      <c r="J5099" s="5" t="e">
        <f>SUM(SUMIFS(#REF!,#REF!,Planning[[#This Row],[Tipo de Tarea y especialidad]],#REF!,Planning[[#This Row],[Proyectos Reiwa]]),SUMIFS(#REF!,#REF!,Planning[[#This Row],[Tipo de Tarea y especialidad]],#REF!,Planning[[#This Row],[Proyectos]]))</f>
        <v>#REF!</v>
      </c>
      <c r="K5099" s="5" t="e">
        <f>+Planning[[#This Row],[Horas Planificadas]]+Planning[[#This Row],[Horas ajustadas adicionales]]-Planning[[#This Row],[Horas utilizadas]]</f>
        <v>#REF!</v>
      </c>
      <c r="L5099" s="7">
        <v>0</v>
      </c>
      <c r="M5099" s="19" t="e">
        <f>Planning[[#This Row],[Saldo]]-Planning[[#This Row],[Saldo estimado]]</f>
        <v>#REF!</v>
      </c>
      <c r="N5099" s="60" t="e">
        <f>+SUMIFS(#REF!,#REF!,Planning[[#This Row],[Proyectos]],#REF!,Planning[[#This Row],[Tipo de Tarea y especialidad]])</f>
        <v>#REF!</v>
      </c>
      <c r="O5099" s="19">
        <f t="shared" si="159"/>
        <v>10</v>
      </c>
      <c r="P5099" s="19">
        <f t="shared" si="160"/>
        <v>2024</v>
      </c>
      <c r="Q50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099" s="34" t="str">
        <f>TEXT(Planning[[#This Row],[Mes]]*29,"mmmm")</f>
        <v>October</v>
      </c>
      <c r="S509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099" s="108" t="s">
        <v>886</v>
      </c>
      <c r="U5099" s="107">
        <f>IF(Planning[[#This Row],[Horas Planificadas]]&lt;&gt;0,+K5099/Planning[[#This Row],[Horas Planificadas]],0)</f>
        <v>0</v>
      </c>
      <c r="V5099" s="43">
        <f>IF(Planning[[#This Row],[Horas Planificadas]]&lt;&gt;0,Planning[[#This Row],[Horas utilizadas]]/Planning[[#This Row],[Horas Planificadas]],0)</f>
        <v>0</v>
      </c>
      <c r="W5099" s="44">
        <f>Planning[[#This Row],[Horas Planificadas]]+Planning[[#This Row],[Horas ajustadas adicionales]]</f>
        <v>0</v>
      </c>
    </row>
    <row r="5100" spans="1:23" ht="13.35" customHeight="1" x14ac:dyDescent="0.2">
      <c r="A5100" s="9" t="s">
        <v>204</v>
      </c>
      <c r="B5100" s="9" t="s">
        <v>808</v>
      </c>
      <c r="C5100" s="3">
        <v>117017</v>
      </c>
      <c r="D5100" s="3" t="s">
        <v>881</v>
      </c>
      <c r="E5100" s="4"/>
      <c r="F5100" s="3" t="s">
        <v>127</v>
      </c>
      <c r="G5100" s="9"/>
      <c r="H5100" s="9">
        <v>0</v>
      </c>
      <c r="I5100" s="12"/>
      <c r="J5100" s="5" t="e">
        <f>SUM(SUMIFS(#REF!,#REF!,Planning[[#This Row],[Tipo de Tarea y especialidad]],#REF!,Planning[[#This Row],[Proyectos Reiwa]]),SUMIFS(#REF!,#REF!,Planning[[#This Row],[Tipo de Tarea y especialidad]],#REF!,Planning[[#This Row],[Proyectos]]))</f>
        <v>#REF!</v>
      </c>
      <c r="K5100" s="5" t="e">
        <f>+Planning[[#This Row],[Horas Planificadas]]+Planning[[#This Row],[Horas ajustadas adicionales]]-Planning[[#This Row],[Horas utilizadas]]</f>
        <v>#REF!</v>
      </c>
      <c r="L5100" s="7">
        <v>0</v>
      </c>
      <c r="M5100" s="19" t="e">
        <f>Planning[[#This Row],[Saldo]]-Planning[[#This Row],[Saldo estimado]]</f>
        <v>#REF!</v>
      </c>
      <c r="N5100" s="60" t="e">
        <f>+SUMIFS(#REF!,#REF!,Planning[[#This Row],[Proyectos]],#REF!,Planning[[#This Row],[Tipo de Tarea y especialidad]])</f>
        <v>#REF!</v>
      </c>
      <c r="O5100" s="19">
        <f t="shared" si="159"/>
        <v>10</v>
      </c>
      <c r="P5100" s="19">
        <f t="shared" si="160"/>
        <v>2024</v>
      </c>
      <c r="Q51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00" s="34" t="str">
        <f>TEXT(Planning[[#This Row],[Mes]]*29,"mmmm")</f>
        <v>October</v>
      </c>
      <c r="S510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00" s="108" t="s">
        <v>887</v>
      </c>
      <c r="U5100" s="107">
        <f>IF(Planning[[#This Row],[Horas Planificadas]]&lt;&gt;0,+K5100/Planning[[#This Row],[Horas Planificadas]],0)</f>
        <v>0</v>
      </c>
      <c r="V5100" s="43">
        <f>IF(Planning[[#This Row],[Horas Planificadas]]&lt;&gt;0,Planning[[#This Row],[Horas utilizadas]]/Planning[[#This Row],[Horas Planificadas]],0)</f>
        <v>0</v>
      </c>
      <c r="W5100" s="44">
        <f>Planning[[#This Row],[Horas Planificadas]]+Planning[[#This Row],[Horas ajustadas adicionales]]</f>
        <v>0</v>
      </c>
    </row>
    <row r="5101" spans="1:23" ht="13.35" customHeight="1" x14ac:dyDescent="0.2">
      <c r="A5101" s="9" t="s">
        <v>204</v>
      </c>
      <c r="B5101" s="9" t="s">
        <v>808</v>
      </c>
      <c r="C5101" s="3">
        <v>117017</v>
      </c>
      <c r="D5101" s="3" t="s">
        <v>881</v>
      </c>
      <c r="E5101" s="4"/>
      <c r="F5101" s="3" t="s">
        <v>128</v>
      </c>
      <c r="G5101" s="9"/>
      <c r="H5101" s="9">
        <v>0</v>
      </c>
      <c r="I5101" s="12"/>
      <c r="J5101" s="5" t="e">
        <f>SUM(SUMIFS(#REF!,#REF!,Planning[[#This Row],[Tipo de Tarea y especialidad]],#REF!,Planning[[#This Row],[Proyectos Reiwa]]),SUMIFS(#REF!,#REF!,Planning[[#This Row],[Tipo de Tarea y especialidad]],#REF!,Planning[[#This Row],[Proyectos]]))</f>
        <v>#REF!</v>
      </c>
      <c r="K5101" s="5" t="e">
        <f>+Planning[[#This Row],[Horas Planificadas]]+Planning[[#This Row],[Horas ajustadas adicionales]]-Planning[[#This Row],[Horas utilizadas]]</f>
        <v>#REF!</v>
      </c>
      <c r="L5101" s="7">
        <v>0</v>
      </c>
      <c r="M5101" s="19" t="e">
        <f>Planning[[#This Row],[Saldo]]-Planning[[#This Row],[Saldo estimado]]</f>
        <v>#REF!</v>
      </c>
      <c r="N5101" s="60" t="e">
        <f>+SUMIFS(#REF!,#REF!,Planning[[#This Row],[Proyectos]],#REF!,Planning[[#This Row],[Tipo de Tarea y especialidad]])</f>
        <v>#REF!</v>
      </c>
      <c r="O5101" s="19">
        <f t="shared" si="159"/>
        <v>10</v>
      </c>
      <c r="P5101" s="19">
        <f t="shared" si="160"/>
        <v>2024</v>
      </c>
      <c r="Q51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01" s="34" t="str">
        <f>TEXT(Planning[[#This Row],[Mes]]*29,"mmmm")</f>
        <v>October</v>
      </c>
      <c r="S510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01" s="108" t="s">
        <v>888</v>
      </c>
      <c r="U5101" s="107">
        <f>IF(Planning[[#This Row],[Horas Planificadas]]&lt;&gt;0,+K5101/Planning[[#This Row],[Horas Planificadas]],0)</f>
        <v>0</v>
      </c>
      <c r="V5101" s="43">
        <f>IF(Planning[[#This Row],[Horas Planificadas]]&lt;&gt;0,Planning[[#This Row],[Horas utilizadas]]/Planning[[#This Row],[Horas Planificadas]],0)</f>
        <v>0</v>
      </c>
      <c r="W5101" s="44">
        <f>Planning[[#This Row],[Horas Planificadas]]+Planning[[#This Row],[Horas ajustadas adicionales]]</f>
        <v>0</v>
      </c>
    </row>
    <row r="5102" spans="1:23" ht="13.35" customHeight="1" x14ac:dyDescent="0.2">
      <c r="A5102" s="9" t="s">
        <v>204</v>
      </c>
      <c r="B5102" s="9" t="s">
        <v>808</v>
      </c>
      <c r="C5102" s="3">
        <v>117017</v>
      </c>
      <c r="D5102" s="3" t="s">
        <v>881</v>
      </c>
      <c r="E5102" s="4" t="s">
        <v>31</v>
      </c>
      <c r="F5102" s="3" t="s">
        <v>31</v>
      </c>
      <c r="G5102" s="9">
        <v>70</v>
      </c>
      <c r="H5102" s="17">
        <v>70</v>
      </c>
      <c r="I5102" s="18"/>
      <c r="J5102" s="14" t="e">
        <f>+SUMIFS(#REF!,#REF!,Planning[[#This Row],[Tarifa]],#REF!,Planning[[#This Row],[Proyectos]])</f>
        <v>#REF!</v>
      </c>
      <c r="K5102" s="14" t="e">
        <f>+Planning[[#This Row],[Horas Planificadas]]+Planning[[#This Row],[Horas ajustadas adicionales]]-Planning[[#This Row],[Horas utilizadas]]</f>
        <v>#REF!</v>
      </c>
      <c r="L5102" s="15" t="e">
        <f>Planning[[#This Row],[Saldo]]</f>
        <v>#REF!</v>
      </c>
      <c r="M5102" s="16" t="e">
        <f>Planning[[#This Row],[Saldo]]-Planning[[#This Row],[Saldo estimado]]</f>
        <v>#REF!</v>
      </c>
      <c r="N5102" s="60">
        <v>0</v>
      </c>
      <c r="O5102" s="16">
        <f t="shared" si="159"/>
        <v>10</v>
      </c>
      <c r="P5102" s="16">
        <f t="shared" si="160"/>
        <v>2024</v>
      </c>
      <c r="Q5102" s="16" t="e">
        <f>+SUMIFS(#REF!,#REF!,Planning[[#This Row],[Tarifa]],#REF!,Planning[[#This Row],[Proyectos]],#REF!,Planning[[#This Row],[Mes]],#REF!,Planning[[#This Row],[Año]])</f>
        <v>#REF!</v>
      </c>
      <c r="R5102" s="35" t="str">
        <f>TEXT(Planning[[#This Row],[Mes]]*29,"mmmm")</f>
        <v>October</v>
      </c>
      <c r="S510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02" s="108"/>
      <c r="U5102" s="107" t="e">
        <f>IF(Planning[[#This Row],[Horas Planificadas]]&lt;&gt;0,+K5102/Planning[[#This Row],[Horas Planificadas]],0)</f>
        <v>#REF!</v>
      </c>
      <c r="V5102" s="43" t="e">
        <f>IF(Planning[[#This Row],[Horas Planificadas]]&lt;&gt;0,Planning[[#This Row],[Horas utilizadas]]/Planning[[#This Row],[Horas Planificadas]],0)</f>
        <v>#REF!</v>
      </c>
      <c r="W5102" s="44">
        <f>Planning[[#This Row],[Horas Planificadas]]+Planning[[#This Row],[Horas ajustadas adicionales]]</f>
        <v>70</v>
      </c>
    </row>
    <row r="5103" spans="1:23" ht="13.35" customHeight="1" x14ac:dyDescent="0.2">
      <c r="A5103" s="9" t="s">
        <v>204</v>
      </c>
      <c r="B5103" s="9" t="s">
        <v>808</v>
      </c>
      <c r="C5103" s="3">
        <v>117017</v>
      </c>
      <c r="D5103" s="3" t="s">
        <v>881</v>
      </c>
      <c r="E5103" s="4" t="s">
        <v>32</v>
      </c>
      <c r="F5103" s="3"/>
      <c r="G5103" s="9">
        <f>+G5104+G5105+G5106</f>
        <v>280</v>
      </c>
      <c r="H5103" s="14">
        <f>SUM(H5104:H5106)</f>
        <v>280</v>
      </c>
      <c r="I5103" s="14"/>
      <c r="J5103" s="14" t="e">
        <f>SUM(J5104:J5106)</f>
        <v>#REF!</v>
      </c>
      <c r="K5103" s="14" t="e">
        <f>+Planning[[#This Row],[Horas Planificadas]]+Planning[[#This Row],[Horas ajustadas adicionales]]-Planning[[#This Row],[Horas utilizadas]]</f>
        <v>#REF!</v>
      </c>
      <c r="L5103" s="15">
        <f>SUM(L5104:L5106)</f>
        <v>0</v>
      </c>
      <c r="M5103" s="16" t="e">
        <f>SUM(M5104:M5106)</f>
        <v>#REF!</v>
      </c>
      <c r="N5103" s="60">
        <v>0</v>
      </c>
      <c r="O5103" s="16">
        <f t="shared" si="159"/>
        <v>10</v>
      </c>
      <c r="P5103" s="16">
        <f t="shared" si="160"/>
        <v>2024</v>
      </c>
      <c r="Q5103" s="16" t="e">
        <f>SUM(Q5104:Q5106)</f>
        <v>#REF!</v>
      </c>
      <c r="R5103" s="35" t="str">
        <f>TEXT(Planning[[#This Row],[Mes]]*29,"mmmm")</f>
        <v>October</v>
      </c>
      <c r="S510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03" s="108"/>
      <c r="U5103" s="107" t="e">
        <f>IF(Planning[[#This Row],[Horas Planificadas]]&lt;&gt;0,+K5103/Planning[[#This Row],[Horas Planificadas]],0)</f>
        <v>#REF!</v>
      </c>
      <c r="V5103" s="43" t="e">
        <f>IF(Planning[[#This Row],[Horas Planificadas]]&lt;&gt;0,Planning[[#This Row],[Horas utilizadas]]/Planning[[#This Row],[Horas Planificadas]],0)</f>
        <v>#REF!</v>
      </c>
      <c r="W5103" s="44">
        <f>Planning[[#This Row],[Horas Planificadas]]+Planning[[#This Row],[Horas ajustadas adicionales]]</f>
        <v>280</v>
      </c>
    </row>
    <row r="5104" spans="1:23" ht="13.35" customHeight="1" x14ac:dyDescent="0.2">
      <c r="A5104" s="9" t="s">
        <v>204</v>
      </c>
      <c r="B5104" s="9" t="s">
        <v>808</v>
      </c>
      <c r="C5104" s="3">
        <v>117017</v>
      </c>
      <c r="D5104" s="3" t="s">
        <v>881</v>
      </c>
      <c r="E5104" s="4"/>
      <c r="F5104" s="3" t="s">
        <v>129</v>
      </c>
      <c r="G5104" s="9"/>
      <c r="H5104" s="9">
        <v>0</v>
      </c>
      <c r="I5104" s="12"/>
      <c r="J5104" s="5" t="e">
        <f>SUM(SUMIFS(#REF!,#REF!,Planning[[#This Row],[Tipo de Tarea y especialidad]],#REF!,Planning[[#This Row],[Proyectos Reiwa]]),SUMIFS(#REF!,#REF!,Planning[[#This Row],[Tipo de Tarea y especialidad]],#REF!,Planning[[#This Row],[Proyectos]]))</f>
        <v>#REF!</v>
      </c>
      <c r="K5104" s="5" t="e">
        <f>+Planning[[#This Row],[Horas Planificadas]]+Planning[[#This Row],[Horas ajustadas adicionales]]-Planning[[#This Row],[Horas utilizadas]]</f>
        <v>#REF!</v>
      </c>
      <c r="L5104" s="7">
        <v>0</v>
      </c>
      <c r="M5104" s="19" t="e">
        <f>Planning[[#This Row],[Saldo]]-Planning[[#This Row],[Saldo estimado]]</f>
        <v>#REF!</v>
      </c>
      <c r="N5104" s="60" t="e">
        <f>+SUMIFS(#REF!,#REF!,Planning[[#This Row],[Proyectos]],#REF!,Planning[[#This Row],[Tipo de Tarea y especialidad]])</f>
        <v>#REF!</v>
      </c>
      <c r="O5104" s="19">
        <f t="shared" si="159"/>
        <v>10</v>
      </c>
      <c r="P5104" s="19">
        <f t="shared" si="160"/>
        <v>2024</v>
      </c>
      <c r="Q51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04" s="34" t="str">
        <f>TEXT(Planning[[#This Row],[Mes]]*29,"mmmm")</f>
        <v>October</v>
      </c>
      <c r="S510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04" s="108"/>
      <c r="U5104" s="107">
        <f>IF(Planning[[#This Row],[Horas Planificadas]]&lt;&gt;0,+K5104/Planning[[#This Row],[Horas Planificadas]],0)</f>
        <v>0</v>
      </c>
      <c r="V5104" s="43">
        <f>IF(Planning[[#This Row],[Horas Planificadas]]&lt;&gt;0,Planning[[#This Row],[Horas utilizadas]]/Planning[[#This Row],[Horas Planificadas]],0)</f>
        <v>0</v>
      </c>
      <c r="W5104" s="44">
        <f>Planning[[#This Row],[Horas Planificadas]]+Planning[[#This Row],[Horas ajustadas adicionales]]</f>
        <v>0</v>
      </c>
    </row>
    <row r="5105" spans="1:23" ht="13.35" customHeight="1" x14ac:dyDescent="0.2">
      <c r="A5105" s="9" t="s">
        <v>204</v>
      </c>
      <c r="B5105" s="9" t="s">
        <v>808</v>
      </c>
      <c r="C5105" s="3">
        <v>117017</v>
      </c>
      <c r="D5105" s="3" t="s">
        <v>881</v>
      </c>
      <c r="E5105" s="4"/>
      <c r="F5105" s="3" t="s">
        <v>130</v>
      </c>
      <c r="G5105" s="9"/>
      <c r="H5105" s="9">
        <v>0</v>
      </c>
      <c r="I5105" s="12"/>
      <c r="J5105" s="5" t="e">
        <f>SUM(SUMIFS(#REF!,#REF!,Planning[[#This Row],[Tipo de Tarea y especialidad]],#REF!,Planning[[#This Row],[Proyectos Reiwa]]),SUMIFS(#REF!,#REF!,Planning[[#This Row],[Tipo de Tarea y especialidad]],#REF!,Planning[[#This Row],[Proyectos]]))</f>
        <v>#REF!</v>
      </c>
      <c r="K5105" s="5" t="e">
        <f>+Planning[[#This Row],[Horas Planificadas]]+Planning[[#This Row],[Horas ajustadas adicionales]]-Planning[[#This Row],[Horas utilizadas]]</f>
        <v>#REF!</v>
      </c>
      <c r="L5105" s="7">
        <v>0</v>
      </c>
      <c r="M5105" s="19" t="e">
        <f>Planning[[#This Row],[Saldo]]-Planning[[#This Row],[Saldo estimado]]</f>
        <v>#REF!</v>
      </c>
      <c r="N5105" s="60" t="e">
        <f>+SUMIFS(#REF!,#REF!,Planning[[#This Row],[Proyectos]],#REF!,Planning[[#This Row],[Tipo de Tarea y especialidad]])</f>
        <v>#REF!</v>
      </c>
      <c r="O5105" s="19">
        <f t="shared" si="159"/>
        <v>10</v>
      </c>
      <c r="P5105" s="19">
        <f t="shared" si="160"/>
        <v>2024</v>
      </c>
      <c r="Q51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05" s="34" t="str">
        <f>TEXT(Planning[[#This Row],[Mes]]*29,"mmmm")</f>
        <v>October</v>
      </c>
      <c r="S510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05" s="108"/>
      <c r="U5105" s="107">
        <f>IF(Planning[[#This Row],[Horas Planificadas]]&lt;&gt;0,+K5105/Planning[[#This Row],[Horas Planificadas]],0)</f>
        <v>0</v>
      </c>
      <c r="V5105" s="43">
        <f>IF(Planning[[#This Row],[Horas Planificadas]]&lt;&gt;0,Planning[[#This Row],[Horas utilizadas]]/Planning[[#This Row],[Horas Planificadas]],0)</f>
        <v>0</v>
      </c>
      <c r="W5105" s="44">
        <f>Planning[[#This Row],[Horas Planificadas]]+Planning[[#This Row],[Horas ajustadas adicionales]]</f>
        <v>0</v>
      </c>
    </row>
    <row r="5106" spans="1:23" ht="13.35" customHeight="1" x14ac:dyDescent="0.2">
      <c r="A5106" s="9" t="s">
        <v>204</v>
      </c>
      <c r="B5106" s="9" t="s">
        <v>808</v>
      </c>
      <c r="C5106" s="3">
        <v>117017</v>
      </c>
      <c r="D5106" s="3" t="s">
        <v>881</v>
      </c>
      <c r="E5106" s="4"/>
      <c r="F5106" s="3" t="s">
        <v>131</v>
      </c>
      <c r="G5106" s="9">
        <v>280</v>
      </c>
      <c r="H5106" s="9">
        <v>280</v>
      </c>
      <c r="I5106" s="12"/>
      <c r="J5106" s="5" t="e">
        <f>SUM(SUMIFS(#REF!,#REF!,Planning[[#This Row],[Tipo de Tarea y especialidad]],#REF!,Planning[[#This Row],[Proyectos Reiwa]]),SUMIFS(#REF!,#REF!,Planning[[#This Row],[Tipo de Tarea y especialidad]],#REF!,Planning[[#This Row],[Proyectos]]))</f>
        <v>#REF!</v>
      </c>
      <c r="K5106" s="5" t="e">
        <f>+Planning[[#This Row],[Horas Planificadas]]+Planning[[#This Row],[Horas ajustadas adicionales]]-Planning[[#This Row],[Horas utilizadas]]</f>
        <v>#REF!</v>
      </c>
      <c r="L5106" s="7">
        <v>0</v>
      </c>
      <c r="M5106" s="19" t="e">
        <f>Planning[[#This Row],[Saldo]]-Planning[[#This Row],[Saldo estimado]]</f>
        <v>#REF!</v>
      </c>
      <c r="N5106" s="60" t="e">
        <f>+SUMIFS(#REF!,#REF!,Planning[[#This Row],[Proyectos]],#REF!,Planning[[#This Row],[Tipo de Tarea y especialidad]])</f>
        <v>#REF!</v>
      </c>
      <c r="O5106" s="19">
        <f t="shared" si="159"/>
        <v>10</v>
      </c>
      <c r="P5106" s="19">
        <f t="shared" si="160"/>
        <v>2024</v>
      </c>
      <c r="Q51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06" s="34" t="str">
        <f>TEXT(Planning[[#This Row],[Mes]]*29,"mmmm")</f>
        <v>October</v>
      </c>
      <c r="S510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06" s="109"/>
      <c r="U5106" s="107" t="e">
        <f>IF(Planning[[#This Row],[Horas Planificadas]]&lt;&gt;0,+K5106/Planning[[#This Row],[Horas Planificadas]],0)</f>
        <v>#REF!</v>
      </c>
      <c r="V5106" s="43" t="e">
        <f>IF(Planning[[#This Row],[Horas Planificadas]]&lt;&gt;0,Planning[[#This Row],[Horas utilizadas]]/Planning[[#This Row],[Horas Planificadas]],0)</f>
        <v>#REF!</v>
      </c>
      <c r="W5106" s="44">
        <f>Planning[[#This Row],[Horas Planificadas]]+Planning[[#This Row],[Horas ajustadas adicionales]]</f>
        <v>280</v>
      </c>
    </row>
    <row r="5107" spans="1:23" ht="13.35" customHeight="1" x14ac:dyDescent="0.2">
      <c r="A5107" s="9" t="s">
        <v>626</v>
      </c>
      <c r="B5107" s="9" t="s">
        <v>463</v>
      </c>
      <c r="C5107" s="3">
        <v>116911</v>
      </c>
      <c r="D5107" s="3" t="s">
        <v>889</v>
      </c>
      <c r="E5107" s="4" t="s">
        <v>28</v>
      </c>
      <c r="F5107" s="3"/>
      <c r="G5107" s="9">
        <v>1163</v>
      </c>
      <c r="H5107" s="14">
        <f>SUM(H5108:H5109)</f>
        <v>1178</v>
      </c>
      <c r="I5107" s="14"/>
      <c r="J5107" s="14" t="e">
        <f>SUM(J5108:J5109)</f>
        <v>#REF!</v>
      </c>
      <c r="K5107" s="14" t="e">
        <f>+Planning[[#This Row],[Horas Planificadas]]+Planning[[#This Row],[Horas ajustadas adicionales]]-Planning[[#This Row],[Horas utilizadas]]</f>
        <v>#REF!</v>
      </c>
      <c r="L5107" s="15">
        <f>SUM(L5108:L5109)</f>
        <v>216</v>
      </c>
      <c r="M5107" s="14" t="e">
        <f>SUM(M5108:M5109)</f>
        <v>#REF!</v>
      </c>
      <c r="N5107" s="66"/>
      <c r="O5107" s="14">
        <f t="shared" ref="O5107:O5170" si="161">$L$4</f>
        <v>10</v>
      </c>
      <c r="P5107" s="14">
        <f t="shared" ref="P5107:P5170" si="162">$M$4</f>
        <v>2024</v>
      </c>
      <c r="Q5107" s="28" t="e">
        <f>SUM(Q5108:Q5109)</f>
        <v>#REF!</v>
      </c>
      <c r="R5107" s="28" t="str">
        <f>TEXT(Planning[[#This Row],[Mes]]*29,"mmmm")</f>
        <v>October</v>
      </c>
      <c r="S5107" s="28" t="e">
        <f>SUM(S5108:S5109)</f>
        <v>#REF!</v>
      </c>
      <c r="T5107" s="152" t="s">
        <v>890</v>
      </c>
      <c r="U5107" s="43" t="e">
        <f>IF(Planning[[#This Row],[Horas Planificadas]]&lt;&gt;0,+K5107/Planning[[#This Row],[Horas Planificadas]],0)</f>
        <v>#REF!</v>
      </c>
      <c r="V5107" s="43" t="e">
        <f>IF(Planning[[#This Row],[Horas Planificadas]]&lt;&gt;0,Planning[[#This Row],[Horas utilizadas]]/Planning[[#This Row],[Horas Planificadas]],0)</f>
        <v>#REF!</v>
      </c>
      <c r="W5107" s="44">
        <f>Planning[[#This Row],[Horas Planificadas]]+Planning[[#This Row],[Horas ajustadas adicionales]]</f>
        <v>1178</v>
      </c>
    </row>
    <row r="5108" spans="1:23" ht="13.35" customHeight="1" x14ac:dyDescent="0.2">
      <c r="A5108" s="9" t="s">
        <v>626</v>
      </c>
      <c r="B5108" s="9" t="s">
        <v>463</v>
      </c>
      <c r="C5108" s="3">
        <v>116911</v>
      </c>
      <c r="D5108" s="3" t="s">
        <v>889</v>
      </c>
      <c r="E5108" s="4"/>
      <c r="F5108" s="3" t="s">
        <v>120</v>
      </c>
      <c r="G5108" s="9"/>
      <c r="H5108" s="9">
        <v>805</v>
      </c>
      <c r="I5108" s="12">
        <f>20+80</f>
        <v>100</v>
      </c>
      <c r="J5108" s="5" t="e">
        <f>SUM(SUMIFS(#REF!,#REF!,Planning[[#This Row],[Tipo de Tarea y especialidad]],#REF!,Planning[[#This Row],[Proyectos Reiwa]]),SUMIFS(#REF!,#REF!,Planning[[#This Row],[Tipo de Tarea y especialidad]],#REF!,Planning[[#This Row],[Proyectos]]))</f>
        <v>#REF!</v>
      </c>
      <c r="K5108" s="5" t="e">
        <f>+Planning[[#This Row],[Horas Planificadas]]+Planning[[#This Row],[Horas ajustadas adicionales]]-Planning[[#This Row],[Horas utilizadas]]</f>
        <v>#REF!</v>
      </c>
      <c r="L5108" s="7">
        <f>100-25</f>
        <v>75</v>
      </c>
      <c r="M5108" s="19" t="e">
        <f>Planning[[#This Row],[Saldo]]-Planning[[#This Row],[Saldo estimado]]</f>
        <v>#REF!</v>
      </c>
      <c r="N5108" s="60" t="e">
        <f>+SUMIFS(#REF!,#REF!,Planning[[#This Row],[Proyectos]],#REF!,Planning[[#This Row],[Tipo de Tarea y especialidad]])+SUMIFS(#REF!,#REF!,Planning[[#This Row],[Proyectos Reiwa]],#REF!,Planning[[#This Row],[Tipo de Tarea y especialidad]])</f>
        <v>#REF!</v>
      </c>
      <c r="O5108" s="19">
        <f t="shared" si="161"/>
        <v>10</v>
      </c>
      <c r="P5108" s="19">
        <f t="shared" si="162"/>
        <v>2024</v>
      </c>
      <c r="Q51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08" s="49" t="str">
        <f>TEXT(Planning[[#This Row],[Mes]]*29,"mmmm")</f>
        <v>October</v>
      </c>
      <c r="S510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08" s="156"/>
      <c r="U5108" s="43" t="e">
        <f>IF(Planning[[#This Row],[Horas Planificadas]]&lt;&gt;0,+K5108/Planning[[#This Row],[Horas Planificadas]],0)</f>
        <v>#REF!</v>
      </c>
      <c r="V5108" s="43" t="e">
        <f>IF(Planning[[#This Row],[Horas Planificadas]]&lt;&gt;0,Planning[[#This Row],[Horas utilizadas]]/Planning[[#This Row],[Horas Planificadas]],0)</f>
        <v>#REF!</v>
      </c>
      <c r="W5108" s="44">
        <f>Planning[[#This Row],[Horas Planificadas]]+Planning[[#This Row],[Horas ajustadas adicionales]]</f>
        <v>905</v>
      </c>
    </row>
    <row r="5109" spans="1:23" ht="13.35" customHeight="1" x14ac:dyDescent="0.2">
      <c r="A5109" s="9" t="s">
        <v>626</v>
      </c>
      <c r="B5109" s="9" t="s">
        <v>463</v>
      </c>
      <c r="C5109" s="3">
        <v>116911</v>
      </c>
      <c r="D5109" s="3" t="s">
        <v>889</v>
      </c>
      <c r="E5109" s="4"/>
      <c r="F5109" s="3" t="s">
        <v>121</v>
      </c>
      <c r="G5109" s="9"/>
      <c r="H5109" s="9">
        <v>373</v>
      </c>
      <c r="I5109" s="12">
        <f>90+150</f>
        <v>240</v>
      </c>
      <c r="J5109" s="5" t="e">
        <f>SUM(SUMIFS(#REF!,#REF!,Planning[[#This Row],[Tipo de Tarea y especialidad]],#REF!,Planning[[#This Row],[Proyectos Reiwa]]),SUMIFS(#REF!,#REF!,Planning[[#This Row],[Tipo de Tarea y especialidad]],#REF!,Planning[[#This Row],[Proyectos]]))</f>
        <v>#REF!</v>
      </c>
      <c r="K5109" s="5" t="e">
        <f>+Planning[[#This Row],[Horas Planificadas]]+Planning[[#This Row],[Horas ajustadas adicionales]]-Planning[[#This Row],[Horas utilizadas]]</f>
        <v>#REF!</v>
      </c>
      <c r="L5109" s="7">
        <f>150-9</f>
        <v>141</v>
      </c>
      <c r="M5109" s="19" t="e">
        <f>Planning[[#This Row],[Saldo]]-Planning[[#This Row],[Saldo estimado]]</f>
        <v>#REF!</v>
      </c>
      <c r="N5109" s="60" t="e">
        <f>+SUMIFS(#REF!,#REF!,Planning[[#This Row],[Proyectos]],#REF!,Planning[[#This Row],[Tipo de Tarea y especialidad]])+SUMIFS(#REF!,#REF!,Planning[[#This Row],[Proyectos Reiwa]],#REF!,Planning[[#This Row],[Tipo de Tarea y especialidad]])</f>
        <v>#REF!</v>
      </c>
      <c r="O5109" s="19">
        <f t="shared" si="161"/>
        <v>10</v>
      </c>
      <c r="P5109" s="19">
        <f t="shared" si="162"/>
        <v>2024</v>
      </c>
      <c r="Q51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09" s="49" t="str">
        <f>TEXT(Planning[[#This Row],[Mes]]*29,"mmmm")</f>
        <v>October</v>
      </c>
      <c r="S510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09" s="156"/>
      <c r="U5109" s="43" t="e">
        <f>IF(Planning[[#This Row],[Horas Planificadas]]&lt;&gt;0,+K5109/Planning[[#This Row],[Horas Planificadas]],0)</f>
        <v>#REF!</v>
      </c>
      <c r="V5109" s="43" t="e">
        <f>IF(Planning[[#This Row],[Horas Planificadas]]&lt;&gt;0,Planning[[#This Row],[Horas utilizadas]]/Planning[[#This Row],[Horas Planificadas]],0)</f>
        <v>#REF!</v>
      </c>
      <c r="W5109" s="44">
        <f>Planning[[#This Row],[Horas Planificadas]]+Planning[[#This Row],[Horas ajustadas adicionales]]</f>
        <v>613</v>
      </c>
    </row>
    <row r="5110" spans="1:23" ht="13.35" customHeight="1" x14ac:dyDescent="0.2">
      <c r="A5110" s="9" t="s">
        <v>626</v>
      </c>
      <c r="B5110" s="9" t="s">
        <v>463</v>
      </c>
      <c r="C5110" s="3">
        <v>116911</v>
      </c>
      <c r="D5110" s="3" t="s">
        <v>889</v>
      </c>
      <c r="E5110" s="4" t="s">
        <v>30</v>
      </c>
      <c r="F5110" s="3"/>
      <c r="G5110" s="9">
        <v>1505</v>
      </c>
      <c r="H5110" s="14">
        <f>SUM(H5111:H5117)</f>
        <v>1505</v>
      </c>
      <c r="I5110" s="14"/>
      <c r="J5110" s="14" t="e">
        <f>SUM(J5111:J5117)</f>
        <v>#REF!</v>
      </c>
      <c r="K5110" s="14" t="e">
        <f>+Planning[[#This Row],[Horas Planificadas]]+Planning[[#This Row],[Horas ajustadas adicionales]]-Planning[[#This Row],[Horas utilizadas]]</f>
        <v>#REF!</v>
      </c>
      <c r="L5110" s="15">
        <f>SUM(L5111:L5117)</f>
        <v>171</v>
      </c>
      <c r="M5110" s="16" t="e">
        <f>SUM(M5111:M5117)</f>
        <v>#REF!</v>
      </c>
      <c r="N5110" s="60" t="e">
        <f>+SUMIFS(#REF!,#REF!,Planning[[#This Row],[Proyectos]],#REF!,Planning[[#This Row],[Tipo de Tarea y especialidad]])+SUMIFS(#REF!,#REF!,Planning[[#This Row],[Proyectos Reiwa]],#REF!,Planning[[#This Row],[Tipo de Tarea y especialidad]])</f>
        <v>#REF!</v>
      </c>
      <c r="O5110" s="16">
        <f t="shared" si="161"/>
        <v>10</v>
      </c>
      <c r="P5110" s="16">
        <f t="shared" si="162"/>
        <v>2024</v>
      </c>
      <c r="Q5110" s="16" t="e">
        <f>SUM(Q5111:Q5117)</f>
        <v>#REF!</v>
      </c>
      <c r="R5110" s="16" t="str">
        <f>TEXT(Planning[[#This Row],[Mes]]*29,"mmmm")</f>
        <v>October</v>
      </c>
      <c r="S5110" s="16" t="e">
        <f>SUM(S5111:S5117)</f>
        <v>#REF!</v>
      </c>
      <c r="T5110" s="156"/>
      <c r="U5110" s="43" t="e">
        <f>IF(Planning[[#This Row],[Horas Planificadas]]&lt;&gt;0,+K5110/Planning[[#This Row],[Horas Planificadas]],0)</f>
        <v>#REF!</v>
      </c>
      <c r="V5110" s="43" t="e">
        <f>IF(Planning[[#This Row],[Horas Planificadas]]&lt;&gt;0,Planning[[#This Row],[Horas utilizadas]]/Planning[[#This Row],[Horas Planificadas]],0)</f>
        <v>#REF!</v>
      </c>
      <c r="W5110" s="44">
        <f>Planning[[#This Row],[Horas Planificadas]]+Planning[[#This Row],[Horas ajustadas adicionales]]</f>
        <v>1505</v>
      </c>
    </row>
    <row r="5111" spans="1:23" ht="13.35" customHeight="1" x14ac:dyDescent="0.2">
      <c r="A5111" s="9" t="s">
        <v>626</v>
      </c>
      <c r="B5111" s="9" t="s">
        <v>463</v>
      </c>
      <c r="C5111" s="3">
        <v>116911</v>
      </c>
      <c r="D5111" s="3" t="s">
        <v>889</v>
      </c>
      <c r="E5111" s="4"/>
      <c r="F5111" s="3" t="s">
        <v>122</v>
      </c>
      <c r="G5111" s="9"/>
      <c r="H5111" s="9">
        <v>371</v>
      </c>
      <c r="I5111" s="12"/>
      <c r="J5111" s="5" t="e">
        <f>SUM(SUMIFS(#REF!,#REF!,Planning[[#This Row],[Tipo de Tarea y especialidad]],#REF!,Planning[[#This Row],[Proyectos Reiwa]]),SUMIFS(#REF!,#REF!,Planning[[#This Row],[Tipo de Tarea y especialidad]],#REF!,Planning[[#This Row],[Proyectos]]))</f>
        <v>#REF!</v>
      </c>
      <c r="K5111" s="5" t="e">
        <f>+Planning[[#This Row],[Horas Planificadas]]+Planning[[#This Row],[Horas ajustadas adicionales]]-Planning[[#This Row],[Horas utilizadas]]</f>
        <v>#REF!</v>
      </c>
      <c r="L5111" s="7">
        <v>0</v>
      </c>
      <c r="M5111" s="19" t="e">
        <f>Planning[[#This Row],[Saldo]]-Planning[[#This Row],[Saldo estimado]]</f>
        <v>#REF!</v>
      </c>
      <c r="N5111" s="60" t="e">
        <f>+SUMIFS(#REF!,#REF!,Planning[[#This Row],[Proyectos]],#REF!,Planning[[#This Row],[Tipo de Tarea y especialidad]])+SUMIFS(#REF!,#REF!,Planning[[#This Row],[Proyectos Reiwa]],#REF!,Planning[[#This Row],[Tipo de Tarea y especialidad]])</f>
        <v>#REF!</v>
      </c>
      <c r="O5111" s="19">
        <f t="shared" si="161"/>
        <v>10</v>
      </c>
      <c r="P5111" s="19">
        <f t="shared" si="162"/>
        <v>2024</v>
      </c>
      <c r="Q51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11" s="49" t="str">
        <f>TEXT(Planning[[#This Row],[Mes]]*29,"mmmm")</f>
        <v>October</v>
      </c>
      <c r="S5111" s="49" t="e">
        <f>HLOOKUP(Planning[[#This Row],[Año]],Importadas_WL,3)</f>
        <v>#REF!</v>
      </c>
      <c r="T5111" s="156"/>
      <c r="U5111" s="43" t="e">
        <f>IF(Planning[[#This Row],[Horas Planificadas]]&lt;&gt;0,+K5111/Planning[[#This Row],[Horas Planificadas]],0)</f>
        <v>#REF!</v>
      </c>
      <c r="V5111" s="43" t="e">
        <f>IF(Planning[[#This Row],[Horas Planificadas]]&lt;&gt;0,Planning[[#This Row],[Horas utilizadas]]/Planning[[#This Row],[Horas Planificadas]],0)</f>
        <v>#REF!</v>
      </c>
      <c r="W5111" s="44">
        <f>Planning[[#This Row],[Horas Planificadas]]+Planning[[#This Row],[Horas ajustadas adicionales]]</f>
        <v>371</v>
      </c>
    </row>
    <row r="5112" spans="1:23" ht="13.35" customHeight="1" x14ac:dyDescent="0.2">
      <c r="A5112" s="9" t="s">
        <v>626</v>
      </c>
      <c r="B5112" s="9" t="s">
        <v>463</v>
      </c>
      <c r="C5112" s="3">
        <v>116911</v>
      </c>
      <c r="D5112" s="3" t="s">
        <v>889</v>
      </c>
      <c r="E5112" s="4"/>
      <c r="F5112" s="3" t="s">
        <v>123</v>
      </c>
      <c r="G5112" s="9"/>
      <c r="H5112" s="9">
        <v>417</v>
      </c>
      <c r="I5112" s="12"/>
      <c r="J5112" s="5" t="e">
        <f>SUM(SUMIFS(#REF!,#REF!,Planning[[#This Row],[Tipo de Tarea y especialidad]],#REF!,Planning[[#This Row],[Proyectos Reiwa]]),SUMIFS(#REF!,#REF!,Planning[[#This Row],[Tipo de Tarea y especialidad]],#REF!,Planning[[#This Row],[Proyectos]]))</f>
        <v>#REF!</v>
      </c>
      <c r="K5112" s="5" t="e">
        <f>+Planning[[#This Row],[Horas Planificadas]]+Planning[[#This Row],[Horas ajustadas adicionales]]-Planning[[#This Row],[Horas utilizadas]]</f>
        <v>#REF!</v>
      </c>
      <c r="L5112" s="7">
        <v>0</v>
      </c>
      <c r="M5112" s="19" t="e">
        <f>Planning[[#This Row],[Saldo]]-Planning[[#This Row],[Saldo estimado]]</f>
        <v>#REF!</v>
      </c>
      <c r="N5112" s="60" t="e">
        <f>+SUMIFS(#REF!,#REF!,Planning[[#This Row],[Proyectos]],#REF!,Planning[[#This Row],[Tipo de Tarea y especialidad]])+SUMIFS(#REF!,#REF!,Planning[[#This Row],[Proyectos Reiwa]],#REF!,Planning[[#This Row],[Tipo de Tarea y especialidad]])</f>
        <v>#REF!</v>
      </c>
      <c r="O5112" s="19">
        <f t="shared" si="161"/>
        <v>10</v>
      </c>
      <c r="P5112" s="19">
        <f t="shared" si="162"/>
        <v>2024</v>
      </c>
      <c r="Q51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12" s="49" t="str">
        <f>TEXT(Planning[[#This Row],[Mes]]*29,"mmmm")</f>
        <v>October</v>
      </c>
      <c r="S5112" s="49" t="e">
        <f>VLOOKUP(Planning[[#This Row],[Proyectos]],Importadas_WL,5)</f>
        <v>#REF!</v>
      </c>
      <c r="T5112" s="156"/>
      <c r="U5112" s="43" t="e">
        <f>IF(Planning[[#This Row],[Horas Planificadas]]&lt;&gt;0,+K5112/Planning[[#This Row],[Horas Planificadas]],0)</f>
        <v>#REF!</v>
      </c>
      <c r="V5112" s="43" t="e">
        <f>IF(Planning[[#This Row],[Horas Planificadas]]&lt;&gt;0,Planning[[#This Row],[Horas utilizadas]]/Planning[[#This Row],[Horas Planificadas]],0)</f>
        <v>#REF!</v>
      </c>
      <c r="W5112" s="44">
        <f>Planning[[#This Row],[Horas Planificadas]]+Planning[[#This Row],[Horas ajustadas adicionales]]</f>
        <v>417</v>
      </c>
    </row>
    <row r="5113" spans="1:23" ht="13.35" customHeight="1" x14ac:dyDescent="0.2">
      <c r="A5113" s="9" t="s">
        <v>626</v>
      </c>
      <c r="B5113" s="9" t="s">
        <v>463</v>
      </c>
      <c r="C5113" s="3">
        <v>116911</v>
      </c>
      <c r="D5113" s="3" t="s">
        <v>889</v>
      </c>
      <c r="E5113" s="4"/>
      <c r="F5113" s="3" t="s">
        <v>124</v>
      </c>
      <c r="G5113" s="9"/>
      <c r="H5113" s="9">
        <v>0</v>
      </c>
      <c r="I5113" s="12"/>
      <c r="J5113" s="5" t="e">
        <f>SUM(SUMIFS(#REF!,#REF!,Planning[[#This Row],[Tipo de Tarea y especialidad]],#REF!,Planning[[#This Row],[Proyectos Reiwa]]),SUMIFS(#REF!,#REF!,Planning[[#This Row],[Tipo de Tarea y especialidad]],#REF!,Planning[[#This Row],[Proyectos]]))</f>
        <v>#REF!</v>
      </c>
      <c r="K5113" s="5" t="e">
        <f>+Planning[[#This Row],[Horas Planificadas]]+Planning[[#This Row],[Horas ajustadas adicionales]]-Planning[[#This Row],[Horas utilizadas]]</f>
        <v>#REF!</v>
      </c>
      <c r="L5113" s="7">
        <v>0</v>
      </c>
      <c r="M5113" s="19" t="e">
        <f>Planning[[#This Row],[Saldo]]-Planning[[#This Row],[Saldo estimado]]</f>
        <v>#REF!</v>
      </c>
      <c r="N5113" s="60" t="e">
        <f>+SUMIFS(#REF!,#REF!,Planning[[#This Row],[Proyectos]],#REF!,Planning[[#This Row],[Tipo de Tarea y especialidad]])+SUMIFS(#REF!,#REF!,Planning[[#This Row],[Proyectos Reiwa]],#REF!,Planning[[#This Row],[Tipo de Tarea y especialidad]])</f>
        <v>#REF!</v>
      </c>
      <c r="O5113" s="19">
        <f t="shared" si="161"/>
        <v>10</v>
      </c>
      <c r="P5113" s="19">
        <f t="shared" si="162"/>
        <v>2024</v>
      </c>
      <c r="Q51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13" s="49" t="str">
        <f>TEXT(Planning[[#This Row],[Mes]]*29,"mmmm")</f>
        <v>October</v>
      </c>
      <c r="S511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13" s="156"/>
      <c r="U5113" s="43">
        <f>IF(Planning[[#This Row],[Horas Planificadas]]&lt;&gt;0,+K5113/Planning[[#This Row],[Horas Planificadas]],0)</f>
        <v>0</v>
      </c>
      <c r="V5113" s="43">
        <f>IF(Planning[[#This Row],[Horas Planificadas]]&lt;&gt;0,Planning[[#This Row],[Horas utilizadas]]/Planning[[#This Row],[Horas Planificadas]],0)</f>
        <v>0</v>
      </c>
      <c r="W5113" s="44">
        <f>Planning[[#This Row],[Horas Planificadas]]+Planning[[#This Row],[Horas ajustadas adicionales]]</f>
        <v>0</v>
      </c>
    </row>
    <row r="5114" spans="1:23" ht="13.35" customHeight="1" x14ac:dyDescent="0.2">
      <c r="A5114" s="9" t="s">
        <v>626</v>
      </c>
      <c r="B5114" s="9" t="s">
        <v>463</v>
      </c>
      <c r="C5114" s="3">
        <v>116911</v>
      </c>
      <c r="D5114" s="3" t="s">
        <v>889</v>
      </c>
      <c r="E5114" s="4"/>
      <c r="F5114" s="3" t="s">
        <v>125</v>
      </c>
      <c r="G5114" s="9"/>
      <c r="H5114" s="9">
        <v>207</v>
      </c>
      <c r="I5114" s="12"/>
      <c r="J5114" s="5" t="e">
        <f>SUM(SUMIFS(#REF!,#REF!,Planning[[#This Row],[Tipo de Tarea y especialidad]],#REF!,Planning[[#This Row],[Proyectos Reiwa]]),SUMIFS(#REF!,#REF!,Planning[[#This Row],[Tipo de Tarea y especialidad]],#REF!,Planning[[#This Row],[Proyectos]]))</f>
        <v>#REF!</v>
      </c>
      <c r="K5114" s="5" t="e">
        <f>+Planning[[#This Row],[Horas Planificadas]]+Planning[[#This Row],[Horas ajustadas adicionales]]-Planning[[#This Row],[Horas utilizadas]]</f>
        <v>#REF!</v>
      </c>
      <c r="L5114" s="7">
        <v>81</v>
      </c>
      <c r="M5114" s="19" t="e">
        <f>Planning[[#This Row],[Saldo]]-Planning[[#This Row],[Saldo estimado]]</f>
        <v>#REF!</v>
      </c>
      <c r="N5114" s="60" t="e">
        <f>+SUMIFS(#REF!,#REF!,Planning[[#This Row],[Proyectos]],#REF!,Planning[[#This Row],[Tipo de Tarea y especialidad]])+SUMIFS(#REF!,#REF!,Planning[[#This Row],[Proyectos Reiwa]],#REF!,Planning[[#This Row],[Tipo de Tarea y especialidad]])</f>
        <v>#REF!</v>
      </c>
      <c r="O5114" s="19">
        <f t="shared" si="161"/>
        <v>10</v>
      </c>
      <c r="P5114" s="19">
        <f t="shared" si="162"/>
        <v>2024</v>
      </c>
      <c r="Q51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14" s="49" t="str">
        <f>TEXT(Planning[[#This Row],[Mes]]*29,"mmmm")</f>
        <v>October</v>
      </c>
      <c r="S511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14" s="156"/>
      <c r="U5114" s="43" t="e">
        <f>IF(Planning[[#This Row],[Horas Planificadas]]&lt;&gt;0,+K5114/Planning[[#This Row],[Horas Planificadas]],0)</f>
        <v>#REF!</v>
      </c>
      <c r="V5114" s="43" t="e">
        <f>IF(Planning[[#This Row],[Horas Planificadas]]&lt;&gt;0,Planning[[#This Row],[Horas utilizadas]]/Planning[[#This Row],[Horas Planificadas]],0)</f>
        <v>#REF!</v>
      </c>
      <c r="W5114" s="44">
        <f>Planning[[#This Row],[Horas Planificadas]]+Planning[[#This Row],[Horas ajustadas adicionales]]</f>
        <v>207</v>
      </c>
    </row>
    <row r="5115" spans="1:23" ht="13.35" customHeight="1" x14ac:dyDescent="0.2">
      <c r="A5115" s="9" t="s">
        <v>626</v>
      </c>
      <c r="B5115" s="9" t="s">
        <v>463</v>
      </c>
      <c r="C5115" s="3">
        <v>116911</v>
      </c>
      <c r="D5115" s="3" t="s">
        <v>889</v>
      </c>
      <c r="E5115" s="4"/>
      <c r="F5115" s="3" t="s">
        <v>126</v>
      </c>
      <c r="G5115" s="9"/>
      <c r="H5115" s="9">
        <v>303</v>
      </c>
      <c r="I5115" s="12"/>
      <c r="J5115" s="5" t="e">
        <f>SUM(SUMIFS(#REF!,#REF!,Planning[[#This Row],[Tipo de Tarea y especialidad]],#REF!,Planning[[#This Row],[Proyectos Reiwa]]),SUMIFS(#REF!,#REF!,Planning[[#This Row],[Tipo de Tarea y especialidad]],#REF!,Planning[[#This Row],[Proyectos]]))</f>
        <v>#REF!</v>
      </c>
      <c r="K5115" s="5" t="e">
        <f>+Planning[[#This Row],[Horas Planificadas]]+Planning[[#This Row],[Horas ajustadas adicionales]]-Planning[[#This Row],[Horas utilizadas]]</f>
        <v>#REF!</v>
      </c>
      <c r="L5115" s="7">
        <v>45</v>
      </c>
      <c r="M5115" s="19" t="e">
        <f>Planning[[#This Row],[Saldo]]-Planning[[#This Row],[Saldo estimado]]</f>
        <v>#REF!</v>
      </c>
      <c r="N5115" s="60" t="e">
        <f>+SUMIFS(#REF!,#REF!,Planning[[#This Row],[Proyectos]],#REF!,Planning[[#This Row],[Tipo de Tarea y especialidad]])+SUMIFS(#REF!,#REF!,Planning[[#This Row],[Proyectos Reiwa]],#REF!,Planning[[#This Row],[Tipo de Tarea y especialidad]])</f>
        <v>#REF!</v>
      </c>
      <c r="O5115" s="19">
        <f t="shared" si="161"/>
        <v>10</v>
      </c>
      <c r="P5115" s="19">
        <f t="shared" si="162"/>
        <v>2024</v>
      </c>
      <c r="Q51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15" s="49" t="str">
        <f>TEXT(Planning[[#This Row],[Mes]]*29,"mmmm")</f>
        <v>October</v>
      </c>
      <c r="S511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15" s="156"/>
      <c r="U5115" s="43" t="e">
        <f>IF(Planning[[#This Row],[Horas Planificadas]]&lt;&gt;0,+K5115/Planning[[#This Row],[Horas Planificadas]],0)</f>
        <v>#REF!</v>
      </c>
      <c r="V5115" s="43" t="e">
        <f>IF(Planning[[#This Row],[Horas Planificadas]]&lt;&gt;0,Planning[[#This Row],[Horas utilizadas]]/Planning[[#This Row],[Horas Planificadas]],0)</f>
        <v>#REF!</v>
      </c>
      <c r="W5115" s="44">
        <f>Planning[[#This Row],[Horas Planificadas]]+Planning[[#This Row],[Horas ajustadas adicionales]]</f>
        <v>303</v>
      </c>
    </row>
    <row r="5116" spans="1:23" ht="13.35" customHeight="1" x14ac:dyDescent="0.2">
      <c r="A5116" s="9" t="s">
        <v>626</v>
      </c>
      <c r="B5116" s="9" t="s">
        <v>463</v>
      </c>
      <c r="C5116" s="3">
        <v>116911</v>
      </c>
      <c r="D5116" s="3" t="s">
        <v>889</v>
      </c>
      <c r="E5116" s="4"/>
      <c r="F5116" s="3" t="s">
        <v>127</v>
      </c>
      <c r="G5116" s="9"/>
      <c r="H5116" s="9">
        <v>207</v>
      </c>
      <c r="I5116" s="12"/>
      <c r="J5116" s="5" t="e">
        <f>SUM(SUMIFS(#REF!,#REF!,Planning[[#This Row],[Tipo de Tarea y especialidad]],#REF!,Planning[[#This Row],[Proyectos Reiwa]]),SUMIFS(#REF!,#REF!,Planning[[#This Row],[Tipo de Tarea y especialidad]],#REF!,Planning[[#This Row],[Proyectos]]))</f>
        <v>#REF!</v>
      </c>
      <c r="K5116" s="5" t="e">
        <f>+Planning[[#This Row],[Horas Planificadas]]+Planning[[#This Row],[Horas ajustadas adicionales]]-Planning[[#This Row],[Horas utilizadas]]</f>
        <v>#REF!</v>
      </c>
      <c r="L5116" s="7">
        <v>45</v>
      </c>
      <c r="M5116" s="19" t="e">
        <f>Planning[[#This Row],[Saldo]]-Planning[[#This Row],[Saldo estimado]]</f>
        <v>#REF!</v>
      </c>
      <c r="N5116" s="60" t="e">
        <f>+SUMIFS(#REF!,#REF!,Planning[[#This Row],[Proyectos]],#REF!,Planning[[#This Row],[Tipo de Tarea y especialidad]])+SUMIFS(#REF!,#REF!,Planning[[#This Row],[Proyectos Reiwa]],#REF!,Planning[[#This Row],[Tipo de Tarea y especialidad]])</f>
        <v>#REF!</v>
      </c>
      <c r="O5116" s="19">
        <f t="shared" si="161"/>
        <v>10</v>
      </c>
      <c r="P5116" s="19">
        <f t="shared" si="162"/>
        <v>2024</v>
      </c>
      <c r="Q51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16" s="49" t="str">
        <f>TEXT(Planning[[#This Row],[Mes]]*29,"mmmm")</f>
        <v>October</v>
      </c>
      <c r="S511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16" s="156"/>
      <c r="U5116" s="43" t="e">
        <f>IF(Planning[[#This Row],[Horas Planificadas]]&lt;&gt;0,+K5116/Planning[[#This Row],[Horas Planificadas]],0)</f>
        <v>#REF!</v>
      </c>
      <c r="V5116" s="43" t="e">
        <f>IF(Planning[[#This Row],[Horas Planificadas]]&lt;&gt;0,Planning[[#This Row],[Horas utilizadas]]/Planning[[#This Row],[Horas Planificadas]],0)</f>
        <v>#REF!</v>
      </c>
      <c r="W5116" s="44">
        <f>Planning[[#This Row],[Horas Planificadas]]+Planning[[#This Row],[Horas ajustadas adicionales]]</f>
        <v>207</v>
      </c>
    </row>
    <row r="5117" spans="1:23" ht="13.35" customHeight="1" x14ac:dyDescent="0.2">
      <c r="A5117" s="9" t="s">
        <v>626</v>
      </c>
      <c r="B5117" s="9" t="s">
        <v>463</v>
      </c>
      <c r="C5117" s="3">
        <v>116911</v>
      </c>
      <c r="D5117" s="3" t="s">
        <v>889</v>
      </c>
      <c r="E5117" s="4"/>
      <c r="F5117" s="3" t="s">
        <v>128</v>
      </c>
      <c r="G5117" s="9"/>
      <c r="H5117" s="9">
        <v>0</v>
      </c>
      <c r="I5117" s="12"/>
      <c r="J5117" s="5" t="e">
        <f>SUM(SUMIFS(#REF!,#REF!,Planning[[#This Row],[Tipo de Tarea y especialidad]],#REF!,Planning[[#This Row],[Proyectos Reiwa]]),SUMIFS(#REF!,#REF!,Planning[[#This Row],[Tipo de Tarea y especialidad]],#REF!,Planning[[#This Row],[Proyectos]]))</f>
        <v>#REF!</v>
      </c>
      <c r="K5117" s="5" t="e">
        <f>+Planning[[#This Row],[Horas Planificadas]]+Planning[[#This Row],[Horas ajustadas adicionales]]-Planning[[#This Row],[Horas utilizadas]]</f>
        <v>#REF!</v>
      </c>
      <c r="L5117" s="7">
        <v>0</v>
      </c>
      <c r="M5117" s="19" t="e">
        <f>Planning[[#This Row],[Saldo]]-Planning[[#This Row],[Saldo estimado]]</f>
        <v>#REF!</v>
      </c>
      <c r="N5117" s="60" t="e">
        <f>+SUMIFS(#REF!,#REF!,Planning[[#This Row],[Proyectos]],#REF!,Planning[[#This Row],[Tipo de Tarea y especialidad]])+SUMIFS(#REF!,#REF!,Planning[[#This Row],[Proyectos Reiwa]],#REF!,Planning[[#This Row],[Tipo de Tarea y especialidad]])</f>
        <v>#REF!</v>
      </c>
      <c r="O5117" s="19">
        <f t="shared" si="161"/>
        <v>10</v>
      </c>
      <c r="P5117" s="19">
        <f t="shared" si="162"/>
        <v>2024</v>
      </c>
      <c r="Q51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17" s="49" t="str">
        <f>TEXT(Planning[[#This Row],[Mes]]*29,"mmmm")</f>
        <v>October</v>
      </c>
      <c r="S511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17" s="156"/>
      <c r="U5117" s="43">
        <f>IF(Planning[[#This Row],[Horas Planificadas]]&lt;&gt;0,+K5117/Planning[[#This Row],[Horas Planificadas]],0)</f>
        <v>0</v>
      </c>
      <c r="V5117" s="43">
        <f>IF(Planning[[#This Row],[Horas Planificadas]]&lt;&gt;0,Planning[[#This Row],[Horas utilizadas]]/Planning[[#This Row],[Horas Planificadas]],0)</f>
        <v>0</v>
      </c>
      <c r="W5117" s="44">
        <f>Planning[[#This Row],[Horas Planificadas]]+Planning[[#This Row],[Horas ajustadas adicionales]]</f>
        <v>0</v>
      </c>
    </row>
    <row r="5118" spans="1:23" ht="13.35" customHeight="1" x14ac:dyDescent="0.2">
      <c r="A5118" s="9" t="s">
        <v>626</v>
      </c>
      <c r="B5118" s="9" t="s">
        <v>463</v>
      </c>
      <c r="C5118" s="3">
        <v>116911</v>
      </c>
      <c r="D5118" s="3" t="s">
        <v>889</v>
      </c>
      <c r="E5118" s="4" t="s">
        <v>31</v>
      </c>
      <c r="F5118" s="3" t="s">
        <v>31</v>
      </c>
      <c r="G5118" s="9">
        <v>253</v>
      </c>
      <c r="H5118" s="17">
        <v>253</v>
      </c>
      <c r="I5118" s="18"/>
      <c r="J5118" s="14" t="e">
        <f>+SUMIFS(#REF!,#REF!,Planning[[#This Row],[Tarifa]],#REF!,Planning[[#This Row],[Proyectos]])</f>
        <v>#REF!</v>
      </c>
      <c r="K5118" s="14" t="e">
        <f>+Planning[[#This Row],[Horas Planificadas]]+Planning[[#This Row],[Horas ajustadas adicionales]]-Planning[[#This Row],[Horas utilizadas]]</f>
        <v>#REF!</v>
      </c>
      <c r="L5118" s="15" t="e">
        <f>Planning[[#This Row],[Saldo]]</f>
        <v>#REF!</v>
      </c>
      <c r="M5118" s="16" t="e">
        <f>Planning[[#This Row],[Saldo]]-Planning[[#This Row],[Saldo estimado]]</f>
        <v>#REF!</v>
      </c>
      <c r="N5118" s="60" t="e">
        <f>+SUMIFS(#REF!,#REF!,Planning[[#This Row],[Proyectos]],#REF!,Planning[[#This Row],[Tipo de Tarea y especialidad]])+SUMIFS(#REF!,#REF!,Planning[[#This Row],[Proyectos Reiwa]],#REF!,Planning[[#This Row],[Tipo de Tarea y especialidad]])</f>
        <v>#REF!</v>
      </c>
      <c r="O5118" s="16">
        <f t="shared" si="161"/>
        <v>10</v>
      </c>
      <c r="P5118" s="16">
        <f t="shared" si="162"/>
        <v>2024</v>
      </c>
      <c r="Q5118" s="16" t="e">
        <f>+SUMIFS(#REF!,#REF!,Planning[[#This Row],[Tarifa]],#REF!,Planning[[#This Row],[Proyectos]],#REF!,Planning[[#This Row],[Mes]],#REF!,Planning[[#This Row],[Año]])</f>
        <v>#REF!</v>
      </c>
      <c r="R5118" s="50" t="str">
        <f>TEXT(Planning[[#This Row],[Mes]]*29,"mmmm")</f>
        <v>October</v>
      </c>
      <c r="S511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18" s="156"/>
      <c r="U5118" s="43" t="e">
        <f>IF(Planning[[#This Row],[Horas Planificadas]]&lt;&gt;0,+K5118/Planning[[#This Row],[Horas Planificadas]],0)</f>
        <v>#REF!</v>
      </c>
      <c r="V5118" s="43" t="e">
        <f>IF(Planning[[#This Row],[Horas Planificadas]]&lt;&gt;0,Planning[[#This Row],[Horas utilizadas]]/Planning[[#This Row],[Horas Planificadas]],0)</f>
        <v>#REF!</v>
      </c>
      <c r="W5118" s="44">
        <f>Planning[[#This Row],[Horas Planificadas]]+Planning[[#This Row],[Horas ajustadas adicionales]]</f>
        <v>253</v>
      </c>
    </row>
    <row r="5119" spans="1:23" ht="13.35" customHeight="1" x14ac:dyDescent="0.2">
      <c r="A5119" s="9" t="s">
        <v>626</v>
      </c>
      <c r="B5119" s="9" t="s">
        <v>463</v>
      </c>
      <c r="C5119" s="3">
        <v>116911</v>
      </c>
      <c r="D5119" s="3" t="s">
        <v>889</v>
      </c>
      <c r="E5119" s="4" t="s">
        <v>32</v>
      </c>
      <c r="F5119" s="3"/>
      <c r="G5119" s="9">
        <v>950</v>
      </c>
      <c r="H5119" s="14">
        <f>SUM(H5120:H5122)</f>
        <v>950</v>
      </c>
      <c r="I5119" s="14"/>
      <c r="J5119" s="14" t="e">
        <f>SUM(J5120:J5122)</f>
        <v>#REF!</v>
      </c>
      <c r="K5119" s="14" t="e">
        <f>+Planning[[#This Row],[Horas Planificadas]]+Planning[[#This Row],[Horas ajustadas adicionales]]-Planning[[#This Row],[Horas utilizadas]]</f>
        <v>#REF!</v>
      </c>
      <c r="L5119" s="15" t="e">
        <f>SUM(L5120:L5122)</f>
        <v>#REF!</v>
      </c>
      <c r="M5119" s="16" t="e">
        <f>SUM(M5120:M5122)</f>
        <v>#REF!</v>
      </c>
      <c r="N5119" s="60" t="e">
        <f>+SUMIFS(#REF!,#REF!,Planning[[#This Row],[Proyectos]],#REF!,Planning[[#This Row],[Tipo de Tarea y especialidad]])+SUMIFS(#REF!,#REF!,Planning[[#This Row],[Proyectos Reiwa]],#REF!,Planning[[#This Row],[Tipo de Tarea y especialidad]])</f>
        <v>#REF!</v>
      </c>
      <c r="O5119" s="16">
        <f t="shared" si="161"/>
        <v>10</v>
      </c>
      <c r="P5119" s="16">
        <f t="shared" si="162"/>
        <v>2024</v>
      </c>
      <c r="Q5119" s="16" t="e">
        <f>SUM(Q5120:Q5122)</f>
        <v>#REF!</v>
      </c>
      <c r="R5119" s="16" t="str">
        <f>TEXT(Planning[[#This Row],[Mes]]*29,"mmmm")</f>
        <v>October</v>
      </c>
      <c r="S5119" s="16" t="e">
        <f>SUM(S5120:S5122)</f>
        <v>#REF!</v>
      </c>
      <c r="T5119" s="156"/>
      <c r="U5119" s="43" t="e">
        <f>IF(Planning[[#This Row],[Horas Planificadas]]&lt;&gt;0,+K5119/Planning[[#This Row],[Horas Planificadas]],0)</f>
        <v>#REF!</v>
      </c>
      <c r="V5119" s="43" t="e">
        <f>IF(Planning[[#This Row],[Horas Planificadas]]&lt;&gt;0,Planning[[#This Row],[Horas utilizadas]]/Planning[[#This Row],[Horas Planificadas]],0)</f>
        <v>#REF!</v>
      </c>
      <c r="W5119" s="44">
        <f>Planning[[#This Row],[Horas Planificadas]]+Planning[[#This Row],[Horas ajustadas adicionales]]</f>
        <v>950</v>
      </c>
    </row>
    <row r="5120" spans="1:23" ht="13.35" customHeight="1" x14ac:dyDescent="0.2">
      <c r="A5120" s="9" t="s">
        <v>626</v>
      </c>
      <c r="B5120" s="9" t="s">
        <v>463</v>
      </c>
      <c r="C5120" s="3">
        <v>116911</v>
      </c>
      <c r="D5120" s="3" t="s">
        <v>889</v>
      </c>
      <c r="E5120" s="4"/>
      <c r="F5120" s="3" t="s">
        <v>129</v>
      </c>
      <c r="G5120" s="9"/>
      <c r="H5120" s="9">
        <v>570</v>
      </c>
      <c r="I5120" s="12"/>
      <c r="J5120" s="5" t="e">
        <f>SUM(SUMIFS(#REF!,#REF!,Planning[[#This Row],[Tipo de Tarea y especialidad]],#REF!,Planning[[#This Row],[Proyectos Reiwa]]),SUMIFS(#REF!,#REF!,Planning[[#This Row],[Tipo de Tarea y especialidad]],#REF!,Planning[[#This Row],[Proyectos]]))</f>
        <v>#REF!</v>
      </c>
      <c r="K5120" s="5" t="e">
        <f>+Planning[[#This Row],[Horas Planificadas]]+Planning[[#This Row],[Horas ajustadas adicionales]]-Planning[[#This Row],[Horas utilizadas]]</f>
        <v>#REF!</v>
      </c>
      <c r="L5120" s="7" t="e">
        <f>Planning[[#This Row],[Saldo]]</f>
        <v>#REF!</v>
      </c>
      <c r="M5120" s="19" t="e">
        <f>Planning[[#This Row],[Saldo]]-Planning[[#This Row],[Saldo estimado]]</f>
        <v>#REF!</v>
      </c>
      <c r="N5120" s="60" t="e">
        <f>+SUMIFS(#REF!,#REF!,Planning[[#This Row],[Proyectos]],#REF!,Planning[[#This Row],[Tipo de Tarea y especialidad]])+SUMIFS(#REF!,#REF!,Planning[[#This Row],[Proyectos Reiwa]],#REF!,Planning[[#This Row],[Tipo de Tarea y especialidad]])</f>
        <v>#REF!</v>
      </c>
      <c r="O5120" s="19">
        <f t="shared" si="161"/>
        <v>10</v>
      </c>
      <c r="P5120" s="19">
        <f t="shared" si="162"/>
        <v>2024</v>
      </c>
      <c r="Q51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20" s="49" t="str">
        <f>TEXT(Planning[[#This Row],[Mes]]*29,"mmmm")</f>
        <v>October</v>
      </c>
      <c r="S512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20" s="156"/>
      <c r="U5120" s="43" t="e">
        <f>IF(Planning[[#This Row],[Horas Planificadas]]&lt;&gt;0,+K5120/Planning[[#This Row],[Horas Planificadas]],0)</f>
        <v>#REF!</v>
      </c>
      <c r="V5120" s="43" t="e">
        <f>IF(Planning[[#This Row],[Horas Planificadas]]&lt;&gt;0,Planning[[#This Row],[Horas utilizadas]]/Planning[[#This Row],[Horas Planificadas]],0)</f>
        <v>#REF!</v>
      </c>
      <c r="W5120" s="44">
        <f>Planning[[#This Row],[Horas Planificadas]]+Planning[[#This Row],[Horas ajustadas adicionales]]</f>
        <v>570</v>
      </c>
    </row>
    <row r="5121" spans="1:23" ht="13.35" customHeight="1" x14ac:dyDescent="0.2">
      <c r="A5121" s="9" t="s">
        <v>626</v>
      </c>
      <c r="B5121" s="9" t="s">
        <v>463</v>
      </c>
      <c r="C5121" s="3">
        <v>116911</v>
      </c>
      <c r="D5121" s="3" t="s">
        <v>889</v>
      </c>
      <c r="E5121" s="4"/>
      <c r="F5121" s="3" t="s">
        <v>130</v>
      </c>
      <c r="G5121" s="9"/>
      <c r="H5121" s="9">
        <v>380</v>
      </c>
      <c r="I5121" s="12"/>
      <c r="J5121" s="5" t="e">
        <f>SUM(SUMIFS(#REF!,#REF!,Planning[[#This Row],[Tipo de Tarea y especialidad]],#REF!,Planning[[#This Row],[Proyectos Reiwa]]),SUMIFS(#REF!,#REF!,Planning[[#This Row],[Tipo de Tarea y especialidad]],#REF!,Planning[[#This Row],[Proyectos]]))</f>
        <v>#REF!</v>
      </c>
      <c r="K5121" s="5" t="e">
        <f>+Planning[[#This Row],[Horas Planificadas]]+Planning[[#This Row],[Horas ajustadas adicionales]]-Planning[[#This Row],[Horas utilizadas]]</f>
        <v>#REF!</v>
      </c>
      <c r="L5121" s="7" t="e">
        <f>Planning[[#This Row],[Saldo]]</f>
        <v>#REF!</v>
      </c>
      <c r="M5121" s="19" t="e">
        <f>Planning[[#This Row],[Saldo]]-Planning[[#This Row],[Saldo estimado]]</f>
        <v>#REF!</v>
      </c>
      <c r="N5121" s="60" t="e">
        <f>+SUMIFS(#REF!,#REF!,Planning[[#This Row],[Proyectos]],#REF!,Planning[[#This Row],[Tipo de Tarea y especialidad]])+SUMIFS(#REF!,#REF!,Planning[[#This Row],[Proyectos Reiwa]],#REF!,Planning[[#This Row],[Tipo de Tarea y especialidad]])</f>
        <v>#REF!</v>
      </c>
      <c r="O5121" s="19">
        <f t="shared" si="161"/>
        <v>10</v>
      </c>
      <c r="P5121" s="19">
        <f t="shared" si="162"/>
        <v>2024</v>
      </c>
      <c r="Q51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21" s="49" t="str">
        <f>TEXT(Planning[[#This Row],[Mes]]*29,"mmmm")</f>
        <v>October</v>
      </c>
      <c r="S512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21" s="156"/>
      <c r="U5121" s="43" t="e">
        <f>IF(Planning[[#This Row],[Horas Planificadas]]&lt;&gt;0,+K5121/Planning[[#This Row],[Horas Planificadas]],0)</f>
        <v>#REF!</v>
      </c>
      <c r="V5121" s="43" t="e">
        <f>IF(Planning[[#This Row],[Horas Planificadas]]&lt;&gt;0,Planning[[#This Row],[Horas utilizadas]]/Planning[[#This Row],[Horas Planificadas]],0)</f>
        <v>#REF!</v>
      </c>
      <c r="W5121" s="44">
        <f>Planning[[#This Row],[Horas Planificadas]]+Planning[[#This Row],[Horas ajustadas adicionales]]</f>
        <v>380</v>
      </c>
    </row>
    <row r="5122" spans="1:23" ht="13.35" customHeight="1" x14ac:dyDescent="0.2">
      <c r="A5122" s="9" t="s">
        <v>626</v>
      </c>
      <c r="B5122" s="9" t="s">
        <v>463</v>
      </c>
      <c r="C5122" s="3">
        <v>116911</v>
      </c>
      <c r="D5122" s="3" t="s">
        <v>889</v>
      </c>
      <c r="E5122" s="4"/>
      <c r="F5122" s="3" t="s">
        <v>131</v>
      </c>
      <c r="G5122" s="9"/>
      <c r="H5122" s="9"/>
      <c r="I5122" s="12"/>
      <c r="J5122" s="5" t="e">
        <f>SUM(SUMIFS(#REF!,#REF!,Planning[[#This Row],[Tipo de Tarea y especialidad]],#REF!,Planning[[#This Row],[Proyectos Reiwa]]),SUMIFS(#REF!,#REF!,Planning[[#This Row],[Tipo de Tarea y especialidad]],#REF!,Planning[[#This Row],[Proyectos]]))</f>
        <v>#REF!</v>
      </c>
      <c r="K5122" s="5" t="e">
        <f>+Planning[[#This Row],[Horas Planificadas]]+Planning[[#This Row],[Horas ajustadas adicionales]]-Planning[[#This Row],[Horas utilizadas]]</f>
        <v>#REF!</v>
      </c>
      <c r="L5122" s="7">
        <v>0</v>
      </c>
      <c r="M5122" s="19" t="e">
        <f>Planning[[#This Row],[Saldo]]-Planning[[#This Row],[Saldo estimado]]</f>
        <v>#REF!</v>
      </c>
      <c r="N5122" s="60" t="e">
        <f>+SUMIFS(#REF!,#REF!,Planning[[#This Row],[Proyectos]],#REF!,Planning[[#This Row],[Tipo de Tarea y especialidad]])+SUMIFS(#REF!,#REF!,Planning[[#This Row],[Proyectos Reiwa]],#REF!,Planning[[#This Row],[Tipo de Tarea y especialidad]])</f>
        <v>#REF!</v>
      </c>
      <c r="O5122" s="19">
        <f t="shared" si="161"/>
        <v>10</v>
      </c>
      <c r="P5122" s="19">
        <f t="shared" si="162"/>
        <v>2024</v>
      </c>
      <c r="Q51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22" s="51" t="str">
        <f>TEXT(Planning[[#This Row],[Mes]]*29,"mmmm")</f>
        <v>October</v>
      </c>
      <c r="S512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22" s="157"/>
      <c r="U5122" s="43">
        <f>IF(Planning[[#This Row],[Horas Planificadas]]&lt;&gt;0,+K5122/Planning[[#This Row],[Horas Planificadas]],0)</f>
        <v>0</v>
      </c>
      <c r="V5122" s="43">
        <f>IF(Planning[[#This Row],[Horas Planificadas]]&lt;&gt;0,Planning[[#This Row],[Horas utilizadas]]/Planning[[#This Row],[Horas Planificadas]],0)</f>
        <v>0</v>
      </c>
      <c r="W5122" s="44">
        <f>Planning[[#This Row],[Horas Planificadas]]+Planning[[#This Row],[Horas ajustadas adicionales]]</f>
        <v>0</v>
      </c>
    </row>
    <row r="5123" spans="1:23" ht="13.35" customHeight="1" x14ac:dyDescent="0.2">
      <c r="A5123" s="9" t="s">
        <v>626</v>
      </c>
      <c r="B5123" s="9" t="s">
        <v>205</v>
      </c>
      <c r="C5123" s="3"/>
      <c r="D5123" s="3" t="s">
        <v>891</v>
      </c>
      <c r="E5123" s="4" t="s">
        <v>28</v>
      </c>
      <c r="F5123" s="3"/>
      <c r="G5123" s="9">
        <v>144</v>
      </c>
      <c r="H5123" s="84">
        <f>SUM(H5124:H5125)</f>
        <v>144</v>
      </c>
      <c r="I5123" s="14"/>
      <c r="J5123" s="14" t="e">
        <f>SUM(J5124:J5125)</f>
        <v>#REF!</v>
      </c>
      <c r="K5123" s="14" t="e">
        <f>+Planning[[#This Row],[Horas Planificadas]]+Planning[[#This Row],[Horas ajustadas adicionales]]-Planning[[#This Row],[Horas utilizadas]]</f>
        <v>#REF!</v>
      </c>
      <c r="L5123" s="15" t="e">
        <f>SUM(L5124:L5125)</f>
        <v>#REF!</v>
      </c>
      <c r="M5123" s="14" t="e">
        <f>SUM(M5124:M5125)</f>
        <v>#REF!</v>
      </c>
      <c r="N5123" s="60" t="e">
        <f>+SUMIFS(#REF!,#REF!,Planning[[#This Row],[Proyectos]],#REF!,Planning[[#This Row],[Tipo de Tarea y especialidad]])+SUMIFS(#REF!,#REF!,Planning[[#This Row],[Proyectos Reiwa]],#REF!,Planning[[#This Row],[Tipo de Tarea y especialidad]])</f>
        <v>#REF!</v>
      </c>
      <c r="O5123" s="14">
        <f t="shared" si="161"/>
        <v>10</v>
      </c>
      <c r="P5123" s="14">
        <f t="shared" si="162"/>
        <v>2024</v>
      </c>
      <c r="Q5123" s="28" t="e">
        <f>SUM(Q5124:Q5125)</f>
        <v>#REF!</v>
      </c>
      <c r="R5123" s="24" t="str">
        <f>TEXT(Planning[[#This Row],[Mes]]*29,"mmmm")</f>
        <v>October</v>
      </c>
      <c r="S5123"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23" s="151" t="s">
        <v>892</v>
      </c>
      <c r="U5123" s="43" t="e">
        <f>IF(Planning[[#This Row],[Horas Planificadas]]&lt;&gt;0,+K5123/Planning[[#This Row],[Horas Planificadas]],0)</f>
        <v>#REF!</v>
      </c>
      <c r="V5123" s="43" t="e">
        <f>IF(Planning[[#This Row],[Horas Planificadas]]&lt;&gt;0,Planning[[#This Row],[Horas utilizadas]]/Planning[[#This Row],[Horas Planificadas]],0)</f>
        <v>#REF!</v>
      </c>
      <c r="W5123" s="44">
        <f>Planning[[#This Row],[Horas Planificadas]]+Planning[[#This Row],[Horas ajustadas adicionales]]</f>
        <v>144</v>
      </c>
    </row>
    <row r="5124" spans="1:23" ht="13.35" customHeight="1" x14ac:dyDescent="0.2">
      <c r="A5124" s="9" t="s">
        <v>626</v>
      </c>
      <c r="B5124" s="9" t="s">
        <v>205</v>
      </c>
      <c r="C5124" s="3"/>
      <c r="D5124" s="3" t="s">
        <v>891</v>
      </c>
      <c r="E5124" s="4"/>
      <c r="F5124" s="3" t="s">
        <v>120</v>
      </c>
      <c r="G5124" s="9"/>
      <c r="H5124" s="9"/>
      <c r="I5124" s="12"/>
      <c r="J5124" s="5" t="e">
        <f>SUM(SUMIFS(#REF!,#REF!,Planning[[#This Row],[Tipo de Tarea y especialidad]],#REF!,Planning[[#This Row],[Proyectos Reiwa]]),SUMIFS(#REF!,#REF!,Planning[[#This Row],[Tipo de Tarea y especialidad]],#REF!,Planning[[#This Row],[Proyectos]]))</f>
        <v>#REF!</v>
      </c>
      <c r="K5124" s="5" t="e">
        <f>+Planning[[#This Row],[Horas Planificadas]]+Planning[[#This Row],[Horas ajustadas adicionales]]-Planning[[#This Row],[Horas utilizadas]]</f>
        <v>#REF!</v>
      </c>
      <c r="L5124" s="7" t="e">
        <f>Planning[[#This Row],[Saldo]]</f>
        <v>#REF!</v>
      </c>
      <c r="M5124" s="19" t="e">
        <f>Planning[[#This Row],[Saldo]]-Planning[[#This Row],[Saldo estimado]]</f>
        <v>#REF!</v>
      </c>
      <c r="N5124" s="60" t="e">
        <f>+SUMIFS(#REF!,#REF!,Planning[[#This Row],[Proyectos]],#REF!,Planning[[#This Row],[Tipo de Tarea y especialidad]])+SUMIFS(#REF!,#REF!,Planning[[#This Row],[Proyectos Reiwa]],#REF!,Planning[[#This Row],[Tipo de Tarea y especialidad]])</f>
        <v>#REF!</v>
      </c>
      <c r="O5124" s="19">
        <f t="shared" si="161"/>
        <v>10</v>
      </c>
      <c r="P5124" s="19">
        <f t="shared" si="162"/>
        <v>2024</v>
      </c>
      <c r="Q51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24" s="49" t="str">
        <f>TEXT(Planning[[#This Row],[Mes]]*29,"mmmm")</f>
        <v>October</v>
      </c>
      <c r="S512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24" s="156"/>
      <c r="U5124" s="43">
        <f>IF(Planning[[#This Row],[Horas Planificadas]]&lt;&gt;0,+K5124/Planning[[#This Row],[Horas Planificadas]],0)</f>
        <v>0</v>
      </c>
      <c r="V5124" s="43">
        <f>IF(Planning[[#This Row],[Horas Planificadas]]&lt;&gt;0,Planning[[#This Row],[Horas utilizadas]]/Planning[[#This Row],[Horas Planificadas]],0)</f>
        <v>0</v>
      </c>
      <c r="W5124" s="44">
        <f>Planning[[#This Row],[Horas Planificadas]]+Planning[[#This Row],[Horas ajustadas adicionales]]</f>
        <v>0</v>
      </c>
    </row>
    <row r="5125" spans="1:23" ht="13.35" customHeight="1" x14ac:dyDescent="0.2">
      <c r="A5125" s="9" t="s">
        <v>626</v>
      </c>
      <c r="B5125" s="9" t="s">
        <v>205</v>
      </c>
      <c r="C5125" s="3"/>
      <c r="D5125" s="3" t="s">
        <v>891</v>
      </c>
      <c r="E5125" s="4"/>
      <c r="F5125" s="3" t="s">
        <v>121</v>
      </c>
      <c r="G5125" s="9"/>
      <c r="H5125" s="9">
        <v>144</v>
      </c>
      <c r="I5125" s="12"/>
      <c r="J5125" s="5" t="e">
        <f>SUM(SUMIFS(#REF!,#REF!,Planning[[#This Row],[Tipo de Tarea y especialidad]],#REF!,Planning[[#This Row],[Proyectos Reiwa]]),SUMIFS(#REF!,#REF!,Planning[[#This Row],[Tipo de Tarea y especialidad]],#REF!,Planning[[#This Row],[Proyectos]]))</f>
        <v>#REF!</v>
      </c>
      <c r="K5125" s="5" t="e">
        <f>+Planning[[#This Row],[Horas Planificadas]]+Planning[[#This Row],[Horas ajustadas adicionales]]-Planning[[#This Row],[Horas utilizadas]]</f>
        <v>#REF!</v>
      </c>
      <c r="L5125" s="7">
        <v>0</v>
      </c>
      <c r="M5125" s="19" t="e">
        <f>Planning[[#This Row],[Saldo]]-Planning[[#This Row],[Saldo estimado]]</f>
        <v>#REF!</v>
      </c>
      <c r="N5125" s="60" t="e">
        <f>+SUMIFS(#REF!,#REF!,Planning[[#This Row],[Proyectos]],#REF!,Planning[[#This Row],[Tipo de Tarea y especialidad]])+SUMIFS(#REF!,#REF!,Planning[[#This Row],[Proyectos Reiwa]],#REF!,Planning[[#This Row],[Tipo de Tarea y especialidad]])</f>
        <v>#REF!</v>
      </c>
      <c r="O5125" s="19">
        <f t="shared" si="161"/>
        <v>10</v>
      </c>
      <c r="P5125" s="19">
        <f t="shared" si="162"/>
        <v>2024</v>
      </c>
      <c r="Q51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25" s="49" t="str">
        <f>TEXT(Planning[[#This Row],[Mes]]*29,"mmmm")</f>
        <v>October</v>
      </c>
      <c r="S512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25" s="156"/>
      <c r="U5125" s="43" t="e">
        <f>IF(Planning[[#This Row],[Horas Planificadas]]&lt;&gt;0,+K5125/Planning[[#This Row],[Horas Planificadas]],0)</f>
        <v>#REF!</v>
      </c>
      <c r="V5125" s="43" t="e">
        <f>IF(Planning[[#This Row],[Horas Planificadas]]&lt;&gt;0,Planning[[#This Row],[Horas utilizadas]]/Planning[[#This Row],[Horas Planificadas]],0)</f>
        <v>#REF!</v>
      </c>
      <c r="W5125" s="44">
        <f>Planning[[#This Row],[Horas Planificadas]]+Planning[[#This Row],[Horas ajustadas adicionales]]</f>
        <v>144</v>
      </c>
    </row>
    <row r="5126" spans="1:23" ht="13.35" customHeight="1" x14ac:dyDescent="0.2">
      <c r="A5126" s="9" t="s">
        <v>626</v>
      </c>
      <c r="B5126" s="9" t="s">
        <v>205</v>
      </c>
      <c r="C5126" s="3"/>
      <c r="D5126" s="3" t="s">
        <v>891</v>
      </c>
      <c r="E5126" s="4" t="s">
        <v>30</v>
      </c>
      <c r="F5126" s="3"/>
      <c r="G5126" s="9">
        <v>738</v>
      </c>
      <c r="H5126" s="14">
        <f>SUM(H5127:H5133)</f>
        <v>738</v>
      </c>
      <c r="I5126" s="14"/>
      <c r="J5126" s="14" t="e">
        <f>SUM(J5127:J5133)</f>
        <v>#REF!</v>
      </c>
      <c r="K5126" s="14" t="e">
        <f>+Planning[[#This Row],[Horas Planificadas]]+Planning[[#This Row],[Horas ajustadas adicionales]]-Planning[[#This Row],[Horas utilizadas]]</f>
        <v>#REF!</v>
      </c>
      <c r="L5126" s="15" t="e">
        <f>SUM(L5127:L5133)</f>
        <v>#REF!</v>
      </c>
      <c r="M5126" s="16" t="e">
        <f>SUM(M5127:M5133)</f>
        <v>#REF!</v>
      </c>
      <c r="N5126" s="60" t="e">
        <f>+SUMIFS(#REF!,#REF!,Planning[[#This Row],[Proyectos]],#REF!,Planning[[#This Row],[Tipo de Tarea y especialidad]])+SUMIFS(#REF!,#REF!,Planning[[#This Row],[Proyectos Reiwa]],#REF!,Planning[[#This Row],[Tipo de Tarea y especialidad]])</f>
        <v>#REF!</v>
      </c>
      <c r="O5126" s="16">
        <f t="shared" si="161"/>
        <v>10</v>
      </c>
      <c r="P5126" s="16">
        <f t="shared" si="162"/>
        <v>2024</v>
      </c>
      <c r="Q5126" s="16" t="e">
        <f>SUM(Q5127:Q5133)</f>
        <v>#REF!</v>
      </c>
      <c r="R5126" s="50" t="str">
        <f>TEXT(Planning[[#This Row],[Mes]]*29,"mmmm")</f>
        <v>October</v>
      </c>
      <c r="S512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26" s="156"/>
      <c r="U5126" s="43" t="e">
        <f>IF(Planning[[#This Row],[Horas Planificadas]]&lt;&gt;0,+K5126/Planning[[#This Row],[Horas Planificadas]],0)</f>
        <v>#REF!</v>
      </c>
      <c r="V5126" s="43" t="e">
        <f>IF(Planning[[#This Row],[Horas Planificadas]]&lt;&gt;0,Planning[[#This Row],[Horas utilizadas]]/Planning[[#This Row],[Horas Planificadas]],0)</f>
        <v>#REF!</v>
      </c>
      <c r="W5126" s="44">
        <f>Planning[[#This Row],[Horas Planificadas]]+Planning[[#This Row],[Horas ajustadas adicionales]]</f>
        <v>738</v>
      </c>
    </row>
    <row r="5127" spans="1:23" ht="13.35" customHeight="1" x14ac:dyDescent="0.2">
      <c r="A5127" s="9" t="s">
        <v>626</v>
      </c>
      <c r="B5127" s="9" t="s">
        <v>205</v>
      </c>
      <c r="C5127" s="3"/>
      <c r="D5127" s="3" t="s">
        <v>891</v>
      </c>
      <c r="E5127" s="4"/>
      <c r="F5127" s="3" t="s">
        <v>122</v>
      </c>
      <c r="G5127" s="9"/>
      <c r="H5127" s="9"/>
      <c r="I5127" s="12"/>
      <c r="J5127" s="5" t="e">
        <f>SUM(SUMIFS(#REF!,#REF!,Planning[[#This Row],[Tipo de Tarea y especialidad]],#REF!,Planning[[#This Row],[Proyectos Reiwa]]),SUMIFS(#REF!,#REF!,Planning[[#This Row],[Tipo de Tarea y especialidad]],#REF!,Planning[[#This Row],[Proyectos]]))</f>
        <v>#REF!</v>
      </c>
      <c r="K5127" s="5" t="e">
        <f>+Planning[[#This Row],[Horas Planificadas]]+Planning[[#This Row],[Horas ajustadas adicionales]]-Planning[[#This Row],[Horas utilizadas]]</f>
        <v>#REF!</v>
      </c>
      <c r="L5127" s="7" t="e">
        <f>Planning[[#This Row],[Saldo]]</f>
        <v>#REF!</v>
      </c>
      <c r="M5127" s="19" t="e">
        <f>Planning[[#This Row],[Saldo]]-Planning[[#This Row],[Saldo estimado]]</f>
        <v>#REF!</v>
      </c>
      <c r="N5127" s="60" t="e">
        <f>+SUMIFS(#REF!,#REF!,Planning[[#This Row],[Proyectos]],#REF!,Planning[[#This Row],[Tipo de Tarea y especialidad]])+SUMIFS(#REF!,#REF!,Planning[[#This Row],[Proyectos Reiwa]],#REF!,Planning[[#This Row],[Tipo de Tarea y especialidad]])</f>
        <v>#REF!</v>
      </c>
      <c r="O5127" s="19">
        <f t="shared" si="161"/>
        <v>10</v>
      </c>
      <c r="P5127" s="19">
        <f t="shared" si="162"/>
        <v>2024</v>
      </c>
      <c r="Q51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27" s="49" t="str">
        <f>TEXT(Planning[[#This Row],[Mes]]*29,"mmmm")</f>
        <v>October</v>
      </c>
      <c r="S512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27" s="156"/>
      <c r="U5127" s="43">
        <f>IF(Planning[[#This Row],[Horas Planificadas]]&lt;&gt;0,+K5127/Planning[[#This Row],[Horas Planificadas]],0)</f>
        <v>0</v>
      </c>
      <c r="V5127" s="43">
        <f>IF(Planning[[#This Row],[Horas Planificadas]]&lt;&gt;0,Planning[[#This Row],[Horas utilizadas]]/Planning[[#This Row],[Horas Planificadas]],0)</f>
        <v>0</v>
      </c>
      <c r="W5127" s="44">
        <f>Planning[[#This Row],[Horas Planificadas]]+Planning[[#This Row],[Horas ajustadas adicionales]]</f>
        <v>0</v>
      </c>
    </row>
    <row r="5128" spans="1:23" ht="13.35" customHeight="1" x14ac:dyDescent="0.2">
      <c r="A5128" s="9" t="s">
        <v>626</v>
      </c>
      <c r="B5128" s="9" t="s">
        <v>205</v>
      </c>
      <c r="C5128" s="3"/>
      <c r="D5128" s="3" t="s">
        <v>891</v>
      </c>
      <c r="E5128" s="4"/>
      <c r="F5128" s="3" t="s">
        <v>123</v>
      </c>
      <c r="G5128" s="9"/>
      <c r="H5128" s="9">
        <v>450</v>
      </c>
      <c r="I5128" s="12"/>
      <c r="J5128" s="5" t="e">
        <f>SUM(SUMIFS(#REF!,#REF!,Planning[[#This Row],[Tipo de Tarea y especialidad]],#REF!,Planning[[#This Row],[Proyectos Reiwa]]),SUMIFS(#REF!,#REF!,Planning[[#This Row],[Tipo de Tarea y especialidad]],#REF!,Planning[[#This Row],[Proyectos]]))</f>
        <v>#REF!</v>
      </c>
      <c r="K5128" s="5" t="e">
        <f>+Planning[[#This Row],[Horas Planificadas]]+Planning[[#This Row],[Horas ajustadas adicionales]]-Planning[[#This Row],[Horas utilizadas]]</f>
        <v>#REF!</v>
      </c>
      <c r="L5128" s="7">
        <v>0</v>
      </c>
      <c r="M5128" s="19" t="e">
        <f>Planning[[#This Row],[Saldo]]-Planning[[#This Row],[Saldo estimado]]</f>
        <v>#REF!</v>
      </c>
      <c r="N5128" s="60" t="e">
        <f>+SUMIFS(#REF!,#REF!,Planning[[#This Row],[Proyectos]],#REF!,Planning[[#This Row],[Tipo de Tarea y especialidad]])+SUMIFS(#REF!,#REF!,Planning[[#This Row],[Proyectos Reiwa]],#REF!,Planning[[#This Row],[Tipo de Tarea y especialidad]])</f>
        <v>#REF!</v>
      </c>
      <c r="O5128" s="19">
        <f t="shared" si="161"/>
        <v>10</v>
      </c>
      <c r="P5128" s="19">
        <f t="shared" si="162"/>
        <v>2024</v>
      </c>
      <c r="Q51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28" s="49" t="str">
        <f>TEXT(Planning[[#This Row],[Mes]]*29,"mmmm")</f>
        <v>October</v>
      </c>
      <c r="S512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28" s="156"/>
      <c r="U5128" s="43" t="e">
        <f>IF(Planning[[#This Row],[Horas Planificadas]]&lt;&gt;0,+K5128/Planning[[#This Row],[Horas Planificadas]],0)</f>
        <v>#REF!</v>
      </c>
      <c r="V5128" s="43" t="e">
        <f>IF(Planning[[#This Row],[Horas Planificadas]]&lt;&gt;0,Planning[[#This Row],[Horas utilizadas]]/Planning[[#This Row],[Horas Planificadas]],0)</f>
        <v>#REF!</v>
      </c>
      <c r="W5128" s="44">
        <f>Planning[[#This Row],[Horas Planificadas]]+Planning[[#This Row],[Horas ajustadas adicionales]]</f>
        <v>450</v>
      </c>
    </row>
    <row r="5129" spans="1:23" ht="13.35" customHeight="1" x14ac:dyDescent="0.2">
      <c r="A5129" s="9" t="s">
        <v>626</v>
      </c>
      <c r="B5129" s="9" t="s">
        <v>205</v>
      </c>
      <c r="C5129" s="3"/>
      <c r="D5129" s="3" t="s">
        <v>891</v>
      </c>
      <c r="E5129" s="4"/>
      <c r="F5129" s="3" t="s">
        <v>124</v>
      </c>
      <c r="G5129" s="9"/>
      <c r="H5129" s="9"/>
      <c r="I5129" s="12"/>
      <c r="J5129" s="5" t="e">
        <f>SUM(SUMIFS(#REF!,#REF!,Planning[[#This Row],[Tipo de Tarea y especialidad]],#REF!,Planning[[#This Row],[Proyectos Reiwa]]),SUMIFS(#REF!,#REF!,Planning[[#This Row],[Tipo de Tarea y especialidad]],#REF!,Planning[[#This Row],[Proyectos]]))</f>
        <v>#REF!</v>
      </c>
      <c r="K5129" s="5" t="e">
        <f>+Planning[[#This Row],[Horas Planificadas]]+Planning[[#This Row],[Horas ajustadas adicionales]]-Planning[[#This Row],[Horas utilizadas]]</f>
        <v>#REF!</v>
      </c>
      <c r="L5129" s="7">
        <v>0</v>
      </c>
      <c r="M5129" s="19" t="e">
        <f>Planning[[#This Row],[Saldo]]-Planning[[#This Row],[Saldo estimado]]</f>
        <v>#REF!</v>
      </c>
      <c r="N5129" s="60" t="e">
        <f>+SUMIFS(#REF!,#REF!,Planning[[#This Row],[Proyectos]],#REF!,Planning[[#This Row],[Tipo de Tarea y especialidad]])+SUMIFS(#REF!,#REF!,Planning[[#This Row],[Proyectos Reiwa]],#REF!,Planning[[#This Row],[Tipo de Tarea y especialidad]])</f>
        <v>#REF!</v>
      </c>
      <c r="O5129" s="19">
        <f t="shared" si="161"/>
        <v>10</v>
      </c>
      <c r="P5129" s="19">
        <f t="shared" si="162"/>
        <v>2024</v>
      </c>
      <c r="Q51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29" s="49" t="str">
        <f>TEXT(Planning[[#This Row],[Mes]]*29,"mmmm")</f>
        <v>October</v>
      </c>
      <c r="S512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29" s="156"/>
      <c r="U5129" s="43">
        <f>IF(Planning[[#This Row],[Horas Planificadas]]&lt;&gt;0,+K5129/Planning[[#This Row],[Horas Planificadas]],0)</f>
        <v>0</v>
      </c>
      <c r="V5129" s="43">
        <f>IF(Planning[[#This Row],[Horas Planificadas]]&lt;&gt;0,Planning[[#This Row],[Horas utilizadas]]/Planning[[#This Row],[Horas Planificadas]],0)</f>
        <v>0</v>
      </c>
      <c r="W5129" s="44">
        <f>Planning[[#This Row],[Horas Planificadas]]+Planning[[#This Row],[Horas ajustadas adicionales]]</f>
        <v>0</v>
      </c>
    </row>
    <row r="5130" spans="1:23" ht="13.35" customHeight="1" x14ac:dyDescent="0.2">
      <c r="A5130" s="9" t="s">
        <v>626</v>
      </c>
      <c r="B5130" s="9" t="s">
        <v>205</v>
      </c>
      <c r="C5130" s="3"/>
      <c r="D5130" s="3" t="s">
        <v>891</v>
      </c>
      <c r="E5130" s="4"/>
      <c r="F5130" s="3" t="s">
        <v>125</v>
      </c>
      <c r="G5130" s="9"/>
      <c r="H5130" s="9">
        <v>162</v>
      </c>
      <c r="I5130" s="12"/>
      <c r="J5130" s="5" t="e">
        <f>SUM(SUMIFS(#REF!,#REF!,Planning[[#This Row],[Tipo de Tarea y especialidad]],#REF!,Planning[[#This Row],[Proyectos Reiwa]]),SUMIFS(#REF!,#REF!,Planning[[#This Row],[Tipo de Tarea y especialidad]],#REF!,Planning[[#This Row],[Proyectos]]))</f>
        <v>#REF!</v>
      </c>
      <c r="K5130" s="5" t="e">
        <f>+Planning[[#This Row],[Horas Planificadas]]+Planning[[#This Row],[Horas ajustadas adicionales]]-Planning[[#This Row],[Horas utilizadas]]</f>
        <v>#REF!</v>
      </c>
      <c r="L5130" s="7">
        <v>0</v>
      </c>
      <c r="M5130" s="19" t="e">
        <f>Planning[[#This Row],[Saldo]]-Planning[[#This Row],[Saldo estimado]]</f>
        <v>#REF!</v>
      </c>
      <c r="N5130" s="60" t="e">
        <f>+SUMIFS(#REF!,#REF!,Planning[[#This Row],[Proyectos]],#REF!,Planning[[#This Row],[Tipo de Tarea y especialidad]])+SUMIFS(#REF!,#REF!,Planning[[#This Row],[Proyectos Reiwa]],#REF!,Planning[[#This Row],[Tipo de Tarea y especialidad]])</f>
        <v>#REF!</v>
      </c>
      <c r="O5130" s="19">
        <f t="shared" si="161"/>
        <v>10</v>
      </c>
      <c r="P5130" s="19">
        <f t="shared" si="162"/>
        <v>2024</v>
      </c>
      <c r="Q51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30" s="49" t="str">
        <f>TEXT(Planning[[#This Row],[Mes]]*29,"mmmm")</f>
        <v>October</v>
      </c>
      <c r="S513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30" s="156"/>
      <c r="U5130" s="43" t="e">
        <f>IF(Planning[[#This Row],[Horas Planificadas]]&lt;&gt;0,+K5130/Planning[[#This Row],[Horas Planificadas]],0)</f>
        <v>#REF!</v>
      </c>
      <c r="V5130" s="43" t="e">
        <f>IF(Planning[[#This Row],[Horas Planificadas]]&lt;&gt;0,Planning[[#This Row],[Horas utilizadas]]/Planning[[#This Row],[Horas Planificadas]],0)</f>
        <v>#REF!</v>
      </c>
      <c r="W5130" s="44">
        <f>Planning[[#This Row],[Horas Planificadas]]+Planning[[#This Row],[Horas ajustadas adicionales]]</f>
        <v>162</v>
      </c>
    </row>
    <row r="5131" spans="1:23" ht="13.35" customHeight="1" x14ac:dyDescent="0.2">
      <c r="A5131" s="9" t="s">
        <v>626</v>
      </c>
      <c r="B5131" s="9" t="s">
        <v>205</v>
      </c>
      <c r="C5131" s="3"/>
      <c r="D5131" s="3" t="s">
        <v>891</v>
      </c>
      <c r="E5131" s="4"/>
      <c r="F5131" s="3" t="s">
        <v>126</v>
      </c>
      <c r="G5131" s="9"/>
      <c r="H5131" s="9"/>
      <c r="I5131" s="12"/>
      <c r="J5131" s="5" t="e">
        <f>SUM(SUMIFS(#REF!,#REF!,Planning[[#This Row],[Tipo de Tarea y especialidad]],#REF!,Planning[[#This Row],[Proyectos Reiwa]]),SUMIFS(#REF!,#REF!,Planning[[#This Row],[Tipo de Tarea y especialidad]],#REF!,Planning[[#This Row],[Proyectos]]))</f>
        <v>#REF!</v>
      </c>
      <c r="K5131" s="5" t="e">
        <f>+Planning[[#This Row],[Horas Planificadas]]+Planning[[#This Row],[Horas ajustadas adicionales]]-Planning[[#This Row],[Horas utilizadas]]</f>
        <v>#REF!</v>
      </c>
      <c r="L5131" s="7" t="e">
        <f>Planning[[#This Row],[Saldo]]</f>
        <v>#REF!</v>
      </c>
      <c r="M5131" s="19" t="e">
        <f>Planning[[#This Row],[Saldo]]-Planning[[#This Row],[Saldo estimado]]</f>
        <v>#REF!</v>
      </c>
      <c r="N5131" s="60" t="e">
        <f>+SUMIFS(#REF!,#REF!,Planning[[#This Row],[Proyectos]],#REF!,Planning[[#This Row],[Tipo de Tarea y especialidad]])+SUMIFS(#REF!,#REF!,Planning[[#This Row],[Proyectos Reiwa]],#REF!,Planning[[#This Row],[Tipo de Tarea y especialidad]])</f>
        <v>#REF!</v>
      </c>
      <c r="O5131" s="19">
        <f t="shared" si="161"/>
        <v>10</v>
      </c>
      <c r="P5131" s="19">
        <f t="shared" si="162"/>
        <v>2024</v>
      </c>
      <c r="Q51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31" s="49" t="str">
        <f>TEXT(Planning[[#This Row],[Mes]]*29,"mmmm")</f>
        <v>October</v>
      </c>
      <c r="S513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31" s="156"/>
      <c r="U5131" s="43">
        <f>IF(Planning[[#This Row],[Horas Planificadas]]&lt;&gt;0,+K5131/Planning[[#This Row],[Horas Planificadas]],0)</f>
        <v>0</v>
      </c>
      <c r="V5131" s="43">
        <f>IF(Planning[[#This Row],[Horas Planificadas]]&lt;&gt;0,Planning[[#This Row],[Horas utilizadas]]/Planning[[#This Row],[Horas Planificadas]],0)</f>
        <v>0</v>
      </c>
      <c r="W5131" s="44">
        <f>Planning[[#This Row],[Horas Planificadas]]+Planning[[#This Row],[Horas ajustadas adicionales]]</f>
        <v>0</v>
      </c>
    </row>
    <row r="5132" spans="1:23" ht="13.35" customHeight="1" x14ac:dyDescent="0.2">
      <c r="A5132" s="9" t="s">
        <v>626</v>
      </c>
      <c r="B5132" s="9" t="s">
        <v>205</v>
      </c>
      <c r="C5132" s="3"/>
      <c r="D5132" s="3" t="s">
        <v>891</v>
      </c>
      <c r="E5132" s="4"/>
      <c r="F5132" s="3" t="s">
        <v>127</v>
      </c>
      <c r="G5132" s="9"/>
      <c r="H5132" s="9">
        <v>126</v>
      </c>
      <c r="I5132" s="12"/>
      <c r="J5132" s="5" t="e">
        <f>SUM(SUMIFS(#REF!,#REF!,Planning[[#This Row],[Tipo de Tarea y especialidad]],#REF!,Planning[[#This Row],[Proyectos Reiwa]]),SUMIFS(#REF!,#REF!,Planning[[#This Row],[Tipo de Tarea y especialidad]],#REF!,Planning[[#This Row],[Proyectos]]))</f>
        <v>#REF!</v>
      </c>
      <c r="K5132" s="5" t="e">
        <f>+Planning[[#This Row],[Horas Planificadas]]+Planning[[#This Row],[Horas ajustadas adicionales]]-Planning[[#This Row],[Horas utilizadas]]</f>
        <v>#REF!</v>
      </c>
      <c r="L5132" s="7">
        <v>0</v>
      </c>
      <c r="M5132" s="19" t="e">
        <f>Planning[[#This Row],[Saldo]]-Planning[[#This Row],[Saldo estimado]]</f>
        <v>#REF!</v>
      </c>
      <c r="N5132" s="60" t="e">
        <f>+SUMIFS(#REF!,#REF!,Planning[[#This Row],[Proyectos]],#REF!,Planning[[#This Row],[Tipo de Tarea y especialidad]])+SUMIFS(#REF!,#REF!,Planning[[#This Row],[Proyectos Reiwa]],#REF!,Planning[[#This Row],[Tipo de Tarea y especialidad]])</f>
        <v>#REF!</v>
      </c>
      <c r="O5132" s="19">
        <f t="shared" si="161"/>
        <v>10</v>
      </c>
      <c r="P5132" s="19">
        <f t="shared" si="162"/>
        <v>2024</v>
      </c>
      <c r="Q51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32" s="49" t="str">
        <f>TEXT(Planning[[#This Row],[Mes]]*29,"mmmm")</f>
        <v>October</v>
      </c>
      <c r="S513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32" s="156"/>
      <c r="U5132" s="43" t="e">
        <f>IF(Planning[[#This Row],[Horas Planificadas]]&lt;&gt;0,+K5132/Planning[[#This Row],[Horas Planificadas]],0)</f>
        <v>#REF!</v>
      </c>
      <c r="V5132" s="43" t="e">
        <f>IF(Planning[[#This Row],[Horas Planificadas]]&lt;&gt;0,Planning[[#This Row],[Horas utilizadas]]/Planning[[#This Row],[Horas Planificadas]],0)</f>
        <v>#REF!</v>
      </c>
      <c r="W5132" s="44">
        <f>Planning[[#This Row],[Horas Planificadas]]+Planning[[#This Row],[Horas ajustadas adicionales]]</f>
        <v>126</v>
      </c>
    </row>
    <row r="5133" spans="1:23" ht="13.35" customHeight="1" x14ac:dyDescent="0.2">
      <c r="A5133" s="9" t="s">
        <v>626</v>
      </c>
      <c r="B5133" s="9" t="s">
        <v>205</v>
      </c>
      <c r="C5133" s="3"/>
      <c r="D5133" s="3" t="s">
        <v>891</v>
      </c>
      <c r="E5133" s="4"/>
      <c r="F5133" s="3" t="s">
        <v>128</v>
      </c>
      <c r="G5133" s="9"/>
      <c r="H5133" s="9">
        <v>0</v>
      </c>
      <c r="I5133" s="12"/>
      <c r="J5133" s="5" t="e">
        <f>SUM(SUMIFS(#REF!,#REF!,Planning[[#This Row],[Tipo de Tarea y especialidad]],#REF!,Planning[[#This Row],[Proyectos Reiwa]]),SUMIFS(#REF!,#REF!,Planning[[#This Row],[Tipo de Tarea y especialidad]],#REF!,Planning[[#This Row],[Proyectos]]))</f>
        <v>#REF!</v>
      </c>
      <c r="K5133" s="5" t="e">
        <f>+Planning[[#This Row],[Horas Planificadas]]+Planning[[#This Row],[Horas ajustadas adicionales]]-Planning[[#This Row],[Horas utilizadas]]</f>
        <v>#REF!</v>
      </c>
      <c r="L5133" s="7">
        <v>0</v>
      </c>
      <c r="M5133" s="19" t="e">
        <f>Planning[[#This Row],[Saldo]]-Planning[[#This Row],[Saldo estimado]]</f>
        <v>#REF!</v>
      </c>
      <c r="N5133" s="60" t="e">
        <f>+SUMIFS(#REF!,#REF!,Planning[[#This Row],[Proyectos]],#REF!,Planning[[#This Row],[Tipo de Tarea y especialidad]])+SUMIFS(#REF!,#REF!,Planning[[#This Row],[Proyectos Reiwa]],#REF!,Planning[[#This Row],[Tipo de Tarea y especialidad]])</f>
        <v>#REF!</v>
      </c>
      <c r="O5133" s="19">
        <f t="shared" si="161"/>
        <v>10</v>
      </c>
      <c r="P5133" s="19">
        <f t="shared" si="162"/>
        <v>2024</v>
      </c>
      <c r="Q51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33" s="49" t="str">
        <f>TEXT(Planning[[#This Row],[Mes]]*29,"mmmm")</f>
        <v>October</v>
      </c>
      <c r="S513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33" s="156"/>
      <c r="U5133" s="43">
        <f>IF(Planning[[#This Row],[Horas Planificadas]]&lt;&gt;0,+K5133/Planning[[#This Row],[Horas Planificadas]],0)</f>
        <v>0</v>
      </c>
      <c r="V5133" s="43">
        <f>IF(Planning[[#This Row],[Horas Planificadas]]&lt;&gt;0,Planning[[#This Row],[Horas utilizadas]]/Planning[[#This Row],[Horas Planificadas]],0)</f>
        <v>0</v>
      </c>
      <c r="W5133" s="44">
        <f>Planning[[#This Row],[Horas Planificadas]]+Planning[[#This Row],[Horas ajustadas adicionales]]</f>
        <v>0</v>
      </c>
    </row>
    <row r="5134" spans="1:23" ht="13.35" customHeight="1" x14ac:dyDescent="0.2">
      <c r="A5134" s="9" t="s">
        <v>626</v>
      </c>
      <c r="B5134" s="9" t="s">
        <v>205</v>
      </c>
      <c r="C5134" s="3"/>
      <c r="D5134" s="3" t="s">
        <v>891</v>
      </c>
      <c r="E5134" s="4" t="s">
        <v>31</v>
      </c>
      <c r="F5134" s="3" t="s">
        <v>31</v>
      </c>
      <c r="G5134" s="9">
        <v>100</v>
      </c>
      <c r="H5134" s="17">
        <v>100</v>
      </c>
      <c r="I5134" s="18"/>
      <c r="J5134" s="14" t="e">
        <f>+SUMIFS(#REF!,#REF!,Planning[[#This Row],[Tarifa]],#REF!,Planning[[#This Row],[Proyectos]])</f>
        <v>#REF!</v>
      </c>
      <c r="K5134" s="14" t="e">
        <f>+Planning[[#This Row],[Horas Planificadas]]+Planning[[#This Row],[Horas ajustadas adicionales]]-Planning[[#This Row],[Horas utilizadas]]</f>
        <v>#REF!</v>
      </c>
      <c r="L5134" s="15" t="e">
        <f>Planning[[#This Row],[Saldo]]</f>
        <v>#REF!</v>
      </c>
      <c r="M5134" s="16" t="e">
        <f>Planning[[#This Row],[Saldo]]-Planning[[#This Row],[Saldo estimado]]</f>
        <v>#REF!</v>
      </c>
      <c r="N5134" s="60" t="e">
        <f>+SUMIFS(#REF!,#REF!,Planning[[#This Row],[Proyectos]],#REF!,Planning[[#This Row],[Tipo de Tarea y especialidad]])+SUMIFS(#REF!,#REF!,Planning[[#This Row],[Proyectos Reiwa]],#REF!,Planning[[#This Row],[Tipo de Tarea y especialidad]])</f>
        <v>#REF!</v>
      </c>
      <c r="O5134" s="16">
        <f t="shared" si="161"/>
        <v>10</v>
      </c>
      <c r="P5134" s="16">
        <f t="shared" si="162"/>
        <v>2024</v>
      </c>
      <c r="Q5134" s="16" t="e">
        <f>+SUMIFS(#REF!,#REF!,Planning[[#This Row],[Tarifa]],#REF!,Planning[[#This Row],[Proyectos]],#REF!,Planning[[#This Row],[Mes]],#REF!,Planning[[#This Row],[Año]])</f>
        <v>#REF!</v>
      </c>
      <c r="R5134" s="50" t="str">
        <f>TEXT(Planning[[#This Row],[Mes]]*29,"mmmm")</f>
        <v>October</v>
      </c>
      <c r="S513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34" s="156"/>
      <c r="U5134" s="43" t="e">
        <f>IF(Planning[[#This Row],[Horas Planificadas]]&lt;&gt;0,+K5134/Planning[[#This Row],[Horas Planificadas]],0)</f>
        <v>#REF!</v>
      </c>
      <c r="V5134" s="43" t="e">
        <f>IF(Planning[[#This Row],[Horas Planificadas]]&lt;&gt;0,Planning[[#This Row],[Horas utilizadas]]/Planning[[#This Row],[Horas Planificadas]],0)</f>
        <v>#REF!</v>
      </c>
      <c r="W5134" s="44">
        <f>Planning[[#This Row],[Horas Planificadas]]+Planning[[#This Row],[Horas ajustadas adicionales]]</f>
        <v>100</v>
      </c>
    </row>
    <row r="5135" spans="1:23" ht="13.35" customHeight="1" x14ac:dyDescent="0.2">
      <c r="A5135" s="9" t="s">
        <v>626</v>
      </c>
      <c r="B5135" s="9" t="s">
        <v>205</v>
      </c>
      <c r="C5135" s="3"/>
      <c r="D5135" s="3" t="s">
        <v>891</v>
      </c>
      <c r="E5135" s="4" t="s">
        <v>32</v>
      </c>
      <c r="F5135" s="3"/>
      <c r="G5135" s="9">
        <v>160</v>
      </c>
      <c r="H5135" s="14">
        <f>SUM(H5136:H5138)</f>
        <v>160</v>
      </c>
      <c r="I5135" s="14"/>
      <c r="J5135" s="14" t="e">
        <f>SUM(J5136:J5138)</f>
        <v>#REF!</v>
      </c>
      <c r="K5135" s="14" t="e">
        <f>+Planning[[#This Row],[Horas Planificadas]]+Planning[[#This Row],[Horas ajustadas adicionales]]-Planning[[#This Row],[Horas utilizadas]]</f>
        <v>#REF!</v>
      </c>
      <c r="L5135" s="15" t="e">
        <f>SUM(L5136:L5138)</f>
        <v>#REF!</v>
      </c>
      <c r="M5135" s="16" t="e">
        <f>SUM(M5136:M5138)</f>
        <v>#REF!</v>
      </c>
      <c r="N5135" s="60" t="e">
        <f>+SUMIFS(#REF!,#REF!,Planning[[#This Row],[Proyectos]],#REF!,Planning[[#This Row],[Tipo de Tarea y especialidad]])+SUMIFS(#REF!,#REF!,Planning[[#This Row],[Proyectos Reiwa]],#REF!,Planning[[#This Row],[Tipo de Tarea y especialidad]])</f>
        <v>#REF!</v>
      </c>
      <c r="O5135" s="16">
        <f t="shared" si="161"/>
        <v>10</v>
      </c>
      <c r="P5135" s="16">
        <f t="shared" si="162"/>
        <v>2024</v>
      </c>
      <c r="Q5135" s="16" t="e">
        <f>SUM(Q5136:Q5138)</f>
        <v>#REF!</v>
      </c>
      <c r="R5135" s="50" t="str">
        <f>TEXT(Planning[[#This Row],[Mes]]*29,"mmmm")</f>
        <v>October</v>
      </c>
      <c r="S513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35" s="156"/>
      <c r="U5135" s="43" t="e">
        <f>IF(Planning[[#This Row],[Horas Planificadas]]&lt;&gt;0,+K5135/Planning[[#This Row],[Horas Planificadas]],0)</f>
        <v>#REF!</v>
      </c>
      <c r="V5135" s="43" t="e">
        <f>IF(Planning[[#This Row],[Horas Planificadas]]&lt;&gt;0,Planning[[#This Row],[Horas utilizadas]]/Planning[[#This Row],[Horas Planificadas]],0)</f>
        <v>#REF!</v>
      </c>
      <c r="W5135" s="44">
        <f>Planning[[#This Row],[Horas Planificadas]]+Planning[[#This Row],[Horas ajustadas adicionales]]</f>
        <v>160</v>
      </c>
    </row>
    <row r="5136" spans="1:23" ht="13.35" customHeight="1" x14ac:dyDescent="0.2">
      <c r="A5136" s="9" t="s">
        <v>626</v>
      </c>
      <c r="B5136" s="9" t="s">
        <v>205</v>
      </c>
      <c r="C5136" s="3"/>
      <c r="D5136" s="3" t="s">
        <v>891</v>
      </c>
      <c r="E5136" s="4"/>
      <c r="F5136" s="3" t="s">
        <v>129</v>
      </c>
      <c r="G5136" s="9"/>
      <c r="H5136" s="9"/>
      <c r="I5136" s="12"/>
      <c r="J5136" s="5" t="e">
        <f>SUM(SUMIFS(#REF!,#REF!,Planning[[#This Row],[Tipo de Tarea y especialidad]],#REF!,Planning[[#This Row],[Proyectos Reiwa]]),SUMIFS(#REF!,#REF!,Planning[[#This Row],[Tipo de Tarea y especialidad]],#REF!,Planning[[#This Row],[Proyectos]]))</f>
        <v>#REF!</v>
      </c>
      <c r="K5136" s="5" t="e">
        <f>+Planning[[#This Row],[Horas Planificadas]]+Planning[[#This Row],[Horas ajustadas adicionales]]-Planning[[#This Row],[Horas utilizadas]]</f>
        <v>#REF!</v>
      </c>
      <c r="L5136" s="7" t="e">
        <f>Planning[[#This Row],[Saldo]]</f>
        <v>#REF!</v>
      </c>
      <c r="M5136" s="19" t="e">
        <f>Planning[[#This Row],[Saldo]]-Planning[[#This Row],[Saldo estimado]]</f>
        <v>#REF!</v>
      </c>
      <c r="N5136" s="60" t="e">
        <f>+SUMIFS(#REF!,#REF!,Planning[[#This Row],[Proyectos]],#REF!,Planning[[#This Row],[Tipo de Tarea y especialidad]])+SUMIFS(#REF!,#REF!,Planning[[#This Row],[Proyectos Reiwa]],#REF!,Planning[[#This Row],[Tipo de Tarea y especialidad]])</f>
        <v>#REF!</v>
      </c>
      <c r="O5136" s="19">
        <f t="shared" si="161"/>
        <v>10</v>
      </c>
      <c r="P5136" s="19">
        <f t="shared" si="162"/>
        <v>2024</v>
      </c>
      <c r="Q51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36" s="49" t="str">
        <f>TEXT(Planning[[#This Row],[Mes]]*29,"mmmm")</f>
        <v>October</v>
      </c>
      <c r="S513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36" s="156"/>
      <c r="U5136" s="43">
        <f>IF(Planning[[#This Row],[Horas Planificadas]]&lt;&gt;0,+K5136/Planning[[#This Row],[Horas Planificadas]],0)</f>
        <v>0</v>
      </c>
      <c r="V5136" s="43">
        <f>IF(Planning[[#This Row],[Horas Planificadas]]&lt;&gt;0,Planning[[#This Row],[Horas utilizadas]]/Planning[[#This Row],[Horas Planificadas]],0)</f>
        <v>0</v>
      </c>
      <c r="W5136" s="44">
        <f>Planning[[#This Row],[Horas Planificadas]]+Planning[[#This Row],[Horas ajustadas adicionales]]</f>
        <v>0</v>
      </c>
    </row>
    <row r="5137" spans="1:23" ht="13.35" customHeight="1" x14ac:dyDescent="0.2">
      <c r="A5137" s="9" t="s">
        <v>626</v>
      </c>
      <c r="B5137" s="9" t="s">
        <v>205</v>
      </c>
      <c r="C5137" s="3"/>
      <c r="D5137" s="3" t="s">
        <v>891</v>
      </c>
      <c r="E5137" s="4"/>
      <c r="F5137" s="3" t="s">
        <v>130</v>
      </c>
      <c r="G5137" s="9"/>
      <c r="H5137" s="9">
        <v>160</v>
      </c>
      <c r="I5137" s="12"/>
      <c r="J5137" s="5" t="e">
        <f>SUM(SUMIFS(#REF!,#REF!,Planning[[#This Row],[Tipo de Tarea y especialidad]],#REF!,Planning[[#This Row],[Proyectos Reiwa]]),SUMIFS(#REF!,#REF!,Planning[[#This Row],[Tipo de Tarea y especialidad]],#REF!,Planning[[#This Row],[Proyectos]]))</f>
        <v>#REF!</v>
      </c>
      <c r="K5137" s="5" t="e">
        <f>+Planning[[#This Row],[Horas Planificadas]]+Planning[[#This Row],[Horas ajustadas adicionales]]-Planning[[#This Row],[Horas utilizadas]]</f>
        <v>#REF!</v>
      </c>
      <c r="L5137" s="7">
        <v>0</v>
      </c>
      <c r="M5137" s="19" t="e">
        <f>Planning[[#This Row],[Saldo]]-Planning[[#This Row],[Saldo estimado]]</f>
        <v>#REF!</v>
      </c>
      <c r="N5137" s="60" t="e">
        <f>+SUMIFS(#REF!,#REF!,Planning[[#This Row],[Proyectos]],#REF!,Planning[[#This Row],[Tipo de Tarea y especialidad]])+SUMIFS(#REF!,#REF!,Planning[[#This Row],[Proyectos Reiwa]],#REF!,Planning[[#This Row],[Tipo de Tarea y especialidad]])</f>
        <v>#REF!</v>
      </c>
      <c r="O5137" s="19">
        <f t="shared" si="161"/>
        <v>10</v>
      </c>
      <c r="P5137" s="19">
        <f t="shared" si="162"/>
        <v>2024</v>
      </c>
      <c r="Q51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37" s="49" t="str">
        <f>TEXT(Planning[[#This Row],[Mes]]*29,"mmmm")</f>
        <v>October</v>
      </c>
      <c r="S513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37" s="156"/>
      <c r="U5137" s="43" t="e">
        <f>IF(Planning[[#This Row],[Horas Planificadas]]&lt;&gt;0,+K5137/Planning[[#This Row],[Horas Planificadas]],0)</f>
        <v>#REF!</v>
      </c>
      <c r="V5137" s="43" t="e">
        <f>IF(Planning[[#This Row],[Horas Planificadas]]&lt;&gt;0,Planning[[#This Row],[Horas utilizadas]]/Planning[[#This Row],[Horas Planificadas]],0)</f>
        <v>#REF!</v>
      </c>
      <c r="W5137" s="44">
        <f>Planning[[#This Row],[Horas Planificadas]]+Planning[[#This Row],[Horas ajustadas adicionales]]</f>
        <v>160</v>
      </c>
    </row>
    <row r="5138" spans="1:23" ht="13.35" customHeight="1" x14ac:dyDescent="0.2">
      <c r="A5138" s="9" t="s">
        <v>626</v>
      </c>
      <c r="B5138" s="9" t="s">
        <v>205</v>
      </c>
      <c r="C5138" s="3"/>
      <c r="D5138" s="3" t="s">
        <v>891</v>
      </c>
      <c r="E5138" s="4"/>
      <c r="F5138" s="3" t="s">
        <v>131</v>
      </c>
      <c r="G5138" s="9"/>
      <c r="H5138" s="9"/>
      <c r="I5138" s="12"/>
      <c r="J5138" s="5" t="e">
        <f>SUM(SUMIFS(#REF!,#REF!,Planning[[#This Row],[Tipo de Tarea y especialidad]],#REF!,Planning[[#This Row],[Proyectos Reiwa]]),SUMIFS(#REF!,#REF!,Planning[[#This Row],[Tipo de Tarea y especialidad]],#REF!,Planning[[#This Row],[Proyectos]]))</f>
        <v>#REF!</v>
      </c>
      <c r="K5138" s="5" t="e">
        <f>+Planning[[#This Row],[Horas Planificadas]]+Planning[[#This Row],[Horas ajustadas adicionales]]-Planning[[#This Row],[Horas utilizadas]]</f>
        <v>#REF!</v>
      </c>
      <c r="L5138" s="7">
        <v>0</v>
      </c>
      <c r="M5138" s="19" t="e">
        <f>Planning[[#This Row],[Saldo]]-Planning[[#This Row],[Saldo estimado]]</f>
        <v>#REF!</v>
      </c>
      <c r="N5138" s="60" t="e">
        <f>+SUMIFS(#REF!,#REF!,Planning[[#This Row],[Proyectos]],#REF!,Planning[[#This Row],[Tipo de Tarea y especialidad]])+SUMIFS(#REF!,#REF!,Planning[[#This Row],[Proyectos Reiwa]],#REF!,Planning[[#This Row],[Tipo de Tarea y especialidad]])</f>
        <v>#REF!</v>
      </c>
      <c r="O5138" s="19">
        <f t="shared" si="161"/>
        <v>10</v>
      </c>
      <c r="P5138" s="19">
        <f t="shared" si="162"/>
        <v>2024</v>
      </c>
      <c r="Q51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38" s="51" t="str">
        <f>TEXT(Planning[[#This Row],[Mes]]*29,"mmmm")</f>
        <v>October</v>
      </c>
      <c r="S5138"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38" s="157"/>
      <c r="U5138" s="43">
        <f>IF(Planning[[#This Row],[Horas Planificadas]]&lt;&gt;0,+K5138/Planning[[#This Row],[Horas Planificadas]],0)</f>
        <v>0</v>
      </c>
      <c r="V5138" s="43">
        <f>IF(Planning[[#This Row],[Horas Planificadas]]&lt;&gt;0,Planning[[#This Row],[Horas utilizadas]]/Planning[[#This Row],[Horas Planificadas]],0)</f>
        <v>0</v>
      </c>
      <c r="W5138" s="44">
        <f>Planning[[#This Row],[Horas Planificadas]]+Planning[[#This Row],[Horas ajustadas adicionales]]</f>
        <v>0</v>
      </c>
    </row>
    <row r="5139" spans="1:23" ht="13.35" customHeight="1" x14ac:dyDescent="0.2">
      <c r="A5139" s="9" t="s">
        <v>626</v>
      </c>
      <c r="B5139" s="9" t="s">
        <v>178</v>
      </c>
      <c r="C5139" s="129">
        <v>117013</v>
      </c>
      <c r="D5139" s="3" t="s">
        <v>893</v>
      </c>
      <c r="E5139" s="4" t="s">
        <v>28</v>
      </c>
      <c r="F5139" s="3"/>
      <c r="G5139" s="9">
        <v>580</v>
      </c>
      <c r="H5139" s="14">
        <f>SUM(H5140:H5141)</f>
        <v>580</v>
      </c>
      <c r="I5139" s="14"/>
      <c r="J5139" s="14" t="e">
        <f>SUM(J5140:J5141)</f>
        <v>#REF!</v>
      </c>
      <c r="K5139" s="14" t="e">
        <f>+Planning[[#This Row],[Horas Planificadas]]+Planning[[#This Row],[Horas ajustadas adicionales]]-Planning[[#This Row],[Horas utilizadas]]</f>
        <v>#REF!</v>
      </c>
      <c r="L5139" s="15">
        <f>SUM(L5140:L5141)</f>
        <v>0</v>
      </c>
      <c r="M5139" s="14" t="e">
        <f>SUM(M5140:M5141)</f>
        <v>#REF!</v>
      </c>
      <c r="N5139" s="60" t="e">
        <f>+SUMIFS(#REF!,#REF!,Planning[[#This Row],[Proyectos]],#REF!,Planning[[#This Row],[Tipo de Tarea y especialidad]])+SUMIFS(#REF!,#REF!,Planning[[#This Row],[Proyectos Reiwa]],#REF!,Planning[[#This Row],[Tipo de Tarea y especialidad]])</f>
        <v>#REF!</v>
      </c>
      <c r="O5139" s="14">
        <f t="shared" si="161"/>
        <v>10</v>
      </c>
      <c r="P5139" s="14">
        <f t="shared" si="162"/>
        <v>2024</v>
      </c>
      <c r="Q5139" s="28" t="e">
        <f>SUM(Q5140:Q5141)</f>
        <v>#REF!</v>
      </c>
      <c r="R5139" s="24" t="str">
        <f>TEXT(Planning[[#This Row],[Mes]]*29,"mmmm")</f>
        <v>October</v>
      </c>
      <c r="S5139"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39" s="151" t="s">
        <v>894</v>
      </c>
      <c r="U5139" s="43" t="e">
        <f>IF(Planning[[#This Row],[Horas Planificadas]]&lt;&gt;0,+K5139/Planning[[#This Row],[Horas Planificadas]],0)</f>
        <v>#REF!</v>
      </c>
      <c r="V5139" s="43" t="e">
        <f>IF(Planning[[#This Row],[Horas Planificadas]]&lt;&gt;0,Planning[[#This Row],[Horas utilizadas]]/Planning[[#This Row],[Horas Planificadas]],0)</f>
        <v>#REF!</v>
      </c>
      <c r="W5139" s="44">
        <f>Planning[[#This Row],[Horas Planificadas]]+Planning[[#This Row],[Horas ajustadas adicionales]]</f>
        <v>580</v>
      </c>
    </row>
    <row r="5140" spans="1:23" ht="13.35" customHeight="1" x14ac:dyDescent="0.2">
      <c r="A5140" s="9" t="s">
        <v>626</v>
      </c>
      <c r="B5140" s="9" t="s">
        <v>178</v>
      </c>
      <c r="C5140" s="128">
        <v>117013</v>
      </c>
      <c r="D5140" s="3" t="s">
        <v>893</v>
      </c>
      <c r="E5140" s="4"/>
      <c r="F5140" s="3" t="s">
        <v>120</v>
      </c>
      <c r="G5140" s="9"/>
      <c r="H5140" s="9">
        <v>400</v>
      </c>
      <c r="I5140" s="12"/>
      <c r="J5140" s="5" t="e">
        <f>SUM(SUMIFS(#REF!,#REF!,Planning[[#This Row],[Tipo de Tarea y especialidad]],#REF!,Planning[[#This Row],[Proyectos Reiwa]]),SUMIFS(#REF!,#REF!,Planning[[#This Row],[Tipo de Tarea y especialidad]],#REF!,Planning[[#This Row],[Proyectos]]))</f>
        <v>#REF!</v>
      </c>
      <c r="K5140" s="5" t="e">
        <f>+Planning[[#This Row],[Horas Planificadas]]+Planning[[#This Row],[Horas ajustadas adicionales]]-Planning[[#This Row],[Horas utilizadas]]</f>
        <v>#REF!</v>
      </c>
      <c r="L5140" s="7">
        <v>0</v>
      </c>
      <c r="M5140" s="19" t="e">
        <f>Planning[[#This Row],[Saldo]]-Planning[[#This Row],[Saldo estimado]]</f>
        <v>#REF!</v>
      </c>
      <c r="N5140" s="60" t="e">
        <f>+SUMIFS(#REF!,#REF!,Planning[[#This Row],[Proyectos]],#REF!,Planning[[#This Row],[Tipo de Tarea y especialidad]])+SUMIFS(#REF!,#REF!,Planning[[#This Row],[Proyectos Reiwa]],#REF!,Planning[[#This Row],[Tipo de Tarea y especialidad]])</f>
        <v>#REF!</v>
      </c>
      <c r="O5140" s="19">
        <f t="shared" si="161"/>
        <v>10</v>
      </c>
      <c r="P5140" s="19">
        <f t="shared" si="162"/>
        <v>2024</v>
      </c>
      <c r="Q51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40" s="49" t="str">
        <f>TEXT(Planning[[#This Row],[Mes]]*29,"mmmm")</f>
        <v>October</v>
      </c>
      <c r="S514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40" s="152"/>
      <c r="U5140" s="43" t="e">
        <f>IF(Planning[[#This Row],[Horas Planificadas]]&lt;&gt;0,+K5140/Planning[[#This Row],[Horas Planificadas]],0)</f>
        <v>#REF!</v>
      </c>
      <c r="V5140" s="43" t="e">
        <f>IF(Planning[[#This Row],[Horas Planificadas]]&lt;&gt;0,Planning[[#This Row],[Horas utilizadas]]/Planning[[#This Row],[Horas Planificadas]],0)</f>
        <v>#REF!</v>
      </c>
      <c r="W5140" s="44">
        <f>Planning[[#This Row],[Horas Planificadas]]+Planning[[#This Row],[Horas ajustadas adicionales]]</f>
        <v>400</v>
      </c>
    </row>
    <row r="5141" spans="1:23" ht="13.35" customHeight="1" x14ac:dyDescent="0.2">
      <c r="A5141" s="9" t="s">
        <v>626</v>
      </c>
      <c r="B5141" s="9" t="s">
        <v>178</v>
      </c>
      <c r="C5141" s="129">
        <v>117013</v>
      </c>
      <c r="D5141" s="3" t="s">
        <v>893</v>
      </c>
      <c r="E5141" s="4"/>
      <c r="F5141" s="3" t="s">
        <v>121</v>
      </c>
      <c r="G5141" s="9"/>
      <c r="H5141" s="9">
        <v>180</v>
      </c>
      <c r="I5141" s="12"/>
      <c r="J5141" s="5" t="e">
        <f>SUM(SUMIFS(#REF!,#REF!,Planning[[#This Row],[Tipo de Tarea y especialidad]],#REF!,Planning[[#This Row],[Proyectos Reiwa]]),SUMIFS(#REF!,#REF!,Planning[[#This Row],[Tipo de Tarea y especialidad]],#REF!,Planning[[#This Row],[Proyectos]]))</f>
        <v>#REF!</v>
      </c>
      <c r="K5141" s="5" t="e">
        <f>+Planning[[#This Row],[Horas Planificadas]]+Planning[[#This Row],[Horas ajustadas adicionales]]-Planning[[#This Row],[Horas utilizadas]]</f>
        <v>#REF!</v>
      </c>
      <c r="L5141" s="7">
        <v>0</v>
      </c>
      <c r="M5141" s="19" t="e">
        <f>Planning[[#This Row],[Saldo]]-Planning[[#This Row],[Saldo estimado]]</f>
        <v>#REF!</v>
      </c>
      <c r="N5141" s="60" t="e">
        <f>+SUMIFS(#REF!,#REF!,Planning[[#This Row],[Proyectos]],#REF!,Planning[[#This Row],[Tipo de Tarea y especialidad]])+SUMIFS(#REF!,#REF!,Planning[[#This Row],[Proyectos Reiwa]],#REF!,Planning[[#This Row],[Tipo de Tarea y especialidad]])</f>
        <v>#REF!</v>
      </c>
      <c r="O5141" s="19">
        <f t="shared" si="161"/>
        <v>10</v>
      </c>
      <c r="P5141" s="19">
        <f t="shared" si="162"/>
        <v>2024</v>
      </c>
      <c r="Q51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41" s="49" t="str">
        <f>TEXT(Planning[[#This Row],[Mes]]*29,"mmmm")</f>
        <v>October</v>
      </c>
      <c r="S514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41" s="152"/>
      <c r="U5141" s="43" t="e">
        <f>IF(Planning[[#This Row],[Horas Planificadas]]&lt;&gt;0,+K5141/Planning[[#This Row],[Horas Planificadas]],0)</f>
        <v>#REF!</v>
      </c>
      <c r="V5141" s="43" t="e">
        <f>IF(Planning[[#This Row],[Horas Planificadas]]&lt;&gt;0,Planning[[#This Row],[Horas utilizadas]]/Planning[[#This Row],[Horas Planificadas]],0)</f>
        <v>#REF!</v>
      </c>
      <c r="W5141" s="44">
        <f>Planning[[#This Row],[Horas Planificadas]]+Planning[[#This Row],[Horas ajustadas adicionales]]</f>
        <v>180</v>
      </c>
    </row>
    <row r="5142" spans="1:23" ht="13.35" customHeight="1" x14ac:dyDescent="0.2">
      <c r="A5142" s="9" t="s">
        <v>626</v>
      </c>
      <c r="B5142" s="9" t="s">
        <v>178</v>
      </c>
      <c r="C5142" s="128">
        <v>117013</v>
      </c>
      <c r="D5142" s="3" t="s">
        <v>893</v>
      </c>
      <c r="E5142" s="4" t="s">
        <v>30</v>
      </c>
      <c r="F5142" s="3"/>
      <c r="G5142" s="9">
        <v>820</v>
      </c>
      <c r="H5142" s="14">
        <f>SUM(H5143:H5149)</f>
        <v>820</v>
      </c>
      <c r="I5142" s="14"/>
      <c r="J5142" s="14" t="e">
        <f>SUM(J5143:J5149)</f>
        <v>#REF!</v>
      </c>
      <c r="K5142" s="14" t="e">
        <f>+Planning[[#This Row],[Horas Planificadas]]+Planning[[#This Row],[Horas ajustadas adicionales]]-Planning[[#This Row],[Horas utilizadas]]</f>
        <v>#REF!</v>
      </c>
      <c r="L5142" s="15">
        <f>SUM(L5143:L5149)</f>
        <v>0</v>
      </c>
      <c r="M5142" s="16" t="e">
        <f>SUM(M5143:M5149)</f>
        <v>#REF!</v>
      </c>
      <c r="N5142" s="60" t="e">
        <f>+SUMIFS(#REF!,#REF!,Planning[[#This Row],[Proyectos]],#REF!,Planning[[#This Row],[Tipo de Tarea y especialidad]])+SUMIFS(#REF!,#REF!,Planning[[#This Row],[Proyectos Reiwa]],#REF!,Planning[[#This Row],[Tipo de Tarea y especialidad]])</f>
        <v>#REF!</v>
      </c>
      <c r="O5142" s="16">
        <f t="shared" si="161"/>
        <v>10</v>
      </c>
      <c r="P5142" s="16">
        <f t="shared" si="162"/>
        <v>2024</v>
      </c>
      <c r="Q5142" s="16" t="e">
        <f>SUM(Q5143:Q5149)</f>
        <v>#REF!</v>
      </c>
      <c r="R5142" s="50" t="str">
        <f>TEXT(Planning[[#This Row],[Mes]]*29,"mmmm")</f>
        <v>October</v>
      </c>
      <c r="S514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42" s="152"/>
      <c r="U5142" s="43" t="e">
        <f>IF(Planning[[#This Row],[Horas Planificadas]]&lt;&gt;0,+K5142/Planning[[#This Row],[Horas Planificadas]],0)</f>
        <v>#REF!</v>
      </c>
      <c r="V5142" s="43" t="e">
        <f>IF(Planning[[#This Row],[Horas Planificadas]]&lt;&gt;0,Planning[[#This Row],[Horas utilizadas]]/Planning[[#This Row],[Horas Planificadas]],0)</f>
        <v>#REF!</v>
      </c>
      <c r="W5142" s="44">
        <f>Planning[[#This Row],[Horas Planificadas]]+Planning[[#This Row],[Horas ajustadas adicionales]]</f>
        <v>820</v>
      </c>
    </row>
    <row r="5143" spans="1:23" ht="13.35" customHeight="1" x14ac:dyDescent="0.2">
      <c r="A5143" s="9" t="s">
        <v>626</v>
      </c>
      <c r="B5143" s="9" t="s">
        <v>178</v>
      </c>
      <c r="C5143" s="129">
        <v>117013</v>
      </c>
      <c r="D5143" s="3" t="s">
        <v>893</v>
      </c>
      <c r="E5143" s="4"/>
      <c r="F5143" s="3" t="s">
        <v>122</v>
      </c>
      <c r="G5143" s="9"/>
      <c r="H5143" s="9">
        <v>0</v>
      </c>
      <c r="I5143" s="12"/>
      <c r="J5143" s="5" t="e">
        <f>SUM(SUMIFS(#REF!,#REF!,Planning[[#This Row],[Tipo de Tarea y especialidad]],#REF!,Planning[[#This Row],[Proyectos Reiwa]]),SUMIFS(#REF!,#REF!,Planning[[#This Row],[Tipo de Tarea y especialidad]],#REF!,Planning[[#This Row],[Proyectos]]))</f>
        <v>#REF!</v>
      </c>
      <c r="K5143" s="5" t="e">
        <f>+Planning[[#This Row],[Horas Planificadas]]+Planning[[#This Row],[Horas ajustadas adicionales]]-Planning[[#This Row],[Horas utilizadas]]</f>
        <v>#REF!</v>
      </c>
      <c r="L5143" s="7">
        <v>0</v>
      </c>
      <c r="M5143" s="19" t="e">
        <f>Planning[[#This Row],[Saldo]]-Planning[[#This Row],[Saldo estimado]]</f>
        <v>#REF!</v>
      </c>
      <c r="N5143" s="60" t="e">
        <f>+SUMIFS(#REF!,#REF!,Planning[[#This Row],[Proyectos]],#REF!,Planning[[#This Row],[Tipo de Tarea y especialidad]])+SUMIFS(#REF!,#REF!,Planning[[#This Row],[Proyectos Reiwa]],#REF!,Planning[[#This Row],[Tipo de Tarea y especialidad]])</f>
        <v>#REF!</v>
      </c>
      <c r="O5143" s="19">
        <f t="shared" si="161"/>
        <v>10</v>
      </c>
      <c r="P5143" s="19">
        <f t="shared" si="162"/>
        <v>2024</v>
      </c>
      <c r="Q51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43" s="49" t="str">
        <f>TEXT(Planning[[#This Row],[Mes]]*29,"mmmm")</f>
        <v>October</v>
      </c>
      <c r="S514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43" s="152"/>
      <c r="U5143" s="43">
        <f>IF(Planning[[#This Row],[Horas Planificadas]]&lt;&gt;0,+K5143/Planning[[#This Row],[Horas Planificadas]],0)</f>
        <v>0</v>
      </c>
      <c r="V5143" s="43">
        <f>IF(Planning[[#This Row],[Horas Planificadas]]&lt;&gt;0,Planning[[#This Row],[Horas utilizadas]]/Planning[[#This Row],[Horas Planificadas]],0)</f>
        <v>0</v>
      </c>
      <c r="W5143" s="44">
        <f>Planning[[#This Row],[Horas Planificadas]]+Planning[[#This Row],[Horas ajustadas adicionales]]</f>
        <v>0</v>
      </c>
    </row>
    <row r="5144" spans="1:23" ht="13.35" customHeight="1" x14ac:dyDescent="0.2">
      <c r="A5144" s="9" t="s">
        <v>626</v>
      </c>
      <c r="B5144" s="9" t="s">
        <v>178</v>
      </c>
      <c r="C5144" s="128">
        <v>117013</v>
      </c>
      <c r="D5144" s="3" t="s">
        <v>893</v>
      </c>
      <c r="E5144" s="4"/>
      <c r="F5144" s="3" t="s">
        <v>123</v>
      </c>
      <c r="G5144" s="9"/>
      <c r="H5144" s="9">
        <v>486</v>
      </c>
      <c r="I5144" s="12"/>
      <c r="J5144" s="5" t="e">
        <f>SUM(SUMIFS(#REF!,#REF!,Planning[[#This Row],[Tipo de Tarea y especialidad]],#REF!,Planning[[#This Row],[Proyectos Reiwa]]),SUMIFS(#REF!,#REF!,Planning[[#This Row],[Tipo de Tarea y especialidad]],#REF!,Planning[[#This Row],[Proyectos]]))</f>
        <v>#REF!</v>
      </c>
      <c r="K5144" s="5" t="e">
        <f>+Planning[[#This Row],[Horas Planificadas]]+Planning[[#This Row],[Horas ajustadas adicionales]]-Planning[[#This Row],[Horas utilizadas]]</f>
        <v>#REF!</v>
      </c>
      <c r="L5144" s="7">
        <v>0</v>
      </c>
      <c r="M5144" s="19" t="e">
        <f>Planning[[#This Row],[Saldo]]-Planning[[#This Row],[Saldo estimado]]</f>
        <v>#REF!</v>
      </c>
      <c r="N5144" s="60" t="e">
        <f>+SUMIFS(#REF!,#REF!,Planning[[#This Row],[Proyectos]],#REF!,Planning[[#This Row],[Tipo de Tarea y especialidad]])+SUMIFS(#REF!,#REF!,Planning[[#This Row],[Proyectos Reiwa]],#REF!,Planning[[#This Row],[Tipo de Tarea y especialidad]])</f>
        <v>#REF!</v>
      </c>
      <c r="O5144" s="19">
        <f t="shared" si="161"/>
        <v>10</v>
      </c>
      <c r="P5144" s="19">
        <f t="shared" si="162"/>
        <v>2024</v>
      </c>
      <c r="Q51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44" s="49" t="str">
        <f>TEXT(Planning[[#This Row],[Mes]]*29,"mmmm")</f>
        <v>October</v>
      </c>
      <c r="S514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44" s="152"/>
      <c r="U5144" s="43" t="e">
        <f>IF(Planning[[#This Row],[Horas Planificadas]]&lt;&gt;0,+K5144/Planning[[#This Row],[Horas Planificadas]],0)</f>
        <v>#REF!</v>
      </c>
      <c r="V5144" s="43" t="e">
        <f>IF(Planning[[#This Row],[Horas Planificadas]]&lt;&gt;0,Planning[[#This Row],[Horas utilizadas]]/Planning[[#This Row],[Horas Planificadas]],0)</f>
        <v>#REF!</v>
      </c>
      <c r="W5144" s="44">
        <f>Planning[[#This Row],[Horas Planificadas]]+Planning[[#This Row],[Horas ajustadas adicionales]]</f>
        <v>486</v>
      </c>
    </row>
    <row r="5145" spans="1:23" ht="13.35" customHeight="1" x14ac:dyDescent="0.2">
      <c r="A5145" s="9" t="s">
        <v>626</v>
      </c>
      <c r="B5145" s="9" t="s">
        <v>178</v>
      </c>
      <c r="C5145" s="129">
        <v>117013</v>
      </c>
      <c r="D5145" s="3" t="s">
        <v>893</v>
      </c>
      <c r="E5145" s="4"/>
      <c r="F5145" s="3" t="s">
        <v>124</v>
      </c>
      <c r="G5145" s="9"/>
      <c r="H5145" s="9">
        <v>0</v>
      </c>
      <c r="I5145" s="12"/>
      <c r="J5145" s="5" t="e">
        <f>SUM(SUMIFS(#REF!,#REF!,Planning[[#This Row],[Tipo de Tarea y especialidad]],#REF!,Planning[[#This Row],[Proyectos Reiwa]]),SUMIFS(#REF!,#REF!,Planning[[#This Row],[Tipo de Tarea y especialidad]],#REF!,Planning[[#This Row],[Proyectos]]))</f>
        <v>#REF!</v>
      </c>
      <c r="K5145" s="5" t="e">
        <f>+Planning[[#This Row],[Horas Planificadas]]+Planning[[#This Row],[Horas ajustadas adicionales]]-Planning[[#This Row],[Horas utilizadas]]</f>
        <v>#REF!</v>
      </c>
      <c r="L5145" s="7">
        <v>0</v>
      </c>
      <c r="M5145" s="19" t="e">
        <f>Planning[[#This Row],[Saldo]]-Planning[[#This Row],[Saldo estimado]]</f>
        <v>#REF!</v>
      </c>
      <c r="N5145" s="60" t="e">
        <f>+SUMIFS(#REF!,#REF!,Planning[[#This Row],[Proyectos]],#REF!,Planning[[#This Row],[Tipo de Tarea y especialidad]])+SUMIFS(#REF!,#REF!,Planning[[#This Row],[Proyectos Reiwa]],#REF!,Planning[[#This Row],[Tipo de Tarea y especialidad]])</f>
        <v>#REF!</v>
      </c>
      <c r="O5145" s="19">
        <f t="shared" si="161"/>
        <v>10</v>
      </c>
      <c r="P5145" s="19">
        <f t="shared" si="162"/>
        <v>2024</v>
      </c>
      <c r="Q51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45" s="49" t="str">
        <f>TEXT(Planning[[#This Row],[Mes]]*29,"mmmm")</f>
        <v>October</v>
      </c>
      <c r="S514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45" s="152"/>
      <c r="U5145" s="43">
        <f>IF(Planning[[#This Row],[Horas Planificadas]]&lt;&gt;0,+K5145/Planning[[#This Row],[Horas Planificadas]],0)</f>
        <v>0</v>
      </c>
      <c r="V5145" s="43">
        <f>IF(Planning[[#This Row],[Horas Planificadas]]&lt;&gt;0,Planning[[#This Row],[Horas utilizadas]]/Planning[[#This Row],[Horas Planificadas]],0)</f>
        <v>0</v>
      </c>
      <c r="W5145" s="44">
        <f>Planning[[#This Row],[Horas Planificadas]]+Planning[[#This Row],[Horas ajustadas adicionales]]</f>
        <v>0</v>
      </c>
    </row>
    <row r="5146" spans="1:23" ht="13.35" customHeight="1" x14ac:dyDescent="0.2">
      <c r="A5146" s="9" t="s">
        <v>626</v>
      </c>
      <c r="B5146" s="9" t="s">
        <v>178</v>
      </c>
      <c r="C5146" s="128">
        <v>117013</v>
      </c>
      <c r="D5146" s="3" t="s">
        <v>893</v>
      </c>
      <c r="E5146" s="4"/>
      <c r="F5146" s="3" t="s">
        <v>125</v>
      </c>
      <c r="G5146" s="9"/>
      <c r="H5146" s="9">
        <v>100</v>
      </c>
      <c r="I5146" s="12"/>
      <c r="J5146" s="5" t="e">
        <f>SUM(SUMIFS(#REF!,#REF!,Planning[[#This Row],[Tipo de Tarea y especialidad]],#REF!,Planning[[#This Row],[Proyectos Reiwa]]),SUMIFS(#REF!,#REF!,Planning[[#This Row],[Tipo de Tarea y especialidad]],#REF!,Planning[[#This Row],[Proyectos]]))</f>
        <v>#REF!</v>
      </c>
      <c r="K5146" s="5" t="e">
        <f>+Planning[[#This Row],[Horas Planificadas]]+Planning[[#This Row],[Horas ajustadas adicionales]]-Planning[[#This Row],[Horas utilizadas]]</f>
        <v>#REF!</v>
      </c>
      <c r="L5146" s="7">
        <v>0</v>
      </c>
      <c r="M5146" s="19" t="e">
        <f>Planning[[#This Row],[Saldo]]-Planning[[#This Row],[Saldo estimado]]</f>
        <v>#REF!</v>
      </c>
      <c r="N5146" s="60" t="e">
        <f>+SUMIFS(#REF!,#REF!,Planning[[#This Row],[Proyectos]],#REF!,Planning[[#This Row],[Tipo de Tarea y especialidad]])+SUMIFS(#REF!,#REF!,Planning[[#This Row],[Proyectos Reiwa]],#REF!,Planning[[#This Row],[Tipo de Tarea y especialidad]])</f>
        <v>#REF!</v>
      </c>
      <c r="O5146" s="19">
        <f t="shared" si="161"/>
        <v>10</v>
      </c>
      <c r="P5146" s="19">
        <f t="shared" si="162"/>
        <v>2024</v>
      </c>
      <c r="Q51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46" s="49" t="str">
        <f>TEXT(Planning[[#This Row],[Mes]]*29,"mmmm")</f>
        <v>October</v>
      </c>
      <c r="S514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46" s="152"/>
      <c r="U5146" s="43" t="e">
        <f>IF(Planning[[#This Row],[Horas Planificadas]]&lt;&gt;0,+K5146/Planning[[#This Row],[Horas Planificadas]],0)</f>
        <v>#REF!</v>
      </c>
      <c r="V5146" s="43" t="e">
        <f>IF(Planning[[#This Row],[Horas Planificadas]]&lt;&gt;0,Planning[[#This Row],[Horas utilizadas]]/Planning[[#This Row],[Horas Planificadas]],0)</f>
        <v>#REF!</v>
      </c>
      <c r="W5146" s="44">
        <f>Planning[[#This Row],[Horas Planificadas]]+Planning[[#This Row],[Horas ajustadas adicionales]]</f>
        <v>100</v>
      </c>
    </row>
    <row r="5147" spans="1:23" ht="13.35" customHeight="1" x14ac:dyDescent="0.2">
      <c r="A5147" s="9" t="s">
        <v>626</v>
      </c>
      <c r="B5147" s="9" t="s">
        <v>178</v>
      </c>
      <c r="C5147" s="129">
        <v>117013</v>
      </c>
      <c r="D5147" s="3" t="s">
        <v>893</v>
      </c>
      <c r="E5147" s="4"/>
      <c r="F5147" s="3" t="s">
        <v>126</v>
      </c>
      <c r="G5147" s="9"/>
      <c r="H5147" s="9">
        <v>0</v>
      </c>
      <c r="I5147" s="12"/>
      <c r="J5147" s="5" t="e">
        <f>SUM(SUMIFS(#REF!,#REF!,Planning[[#This Row],[Tipo de Tarea y especialidad]],#REF!,Planning[[#This Row],[Proyectos Reiwa]]),SUMIFS(#REF!,#REF!,Planning[[#This Row],[Tipo de Tarea y especialidad]],#REF!,Planning[[#This Row],[Proyectos]]))</f>
        <v>#REF!</v>
      </c>
      <c r="K5147" s="5" t="e">
        <f>+Planning[[#This Row],[Horas Planificadas]]+Planning[[#This Row],[Horas ajustadas adicionales]]-Planning[[#This Row],[Horas utilizadas]]</f>
        <v>#REF!</v>
      </c>
      <c r="L5147" s="7">
        <v>0</v>
      </c>
      <c r="M5147" s="19" t="e">
        <f>Planning[[#This Row],[Saldo]]-Planning[[#This Row],[Saldo estimado]]</f>
        <v>#REF!</v>
      </c>
      <c r="N5147" s="60" t="e">
        <f>+SUMIFS(#REF!,#REF!,Planning[[#This Row],[Proyectos]],#REF!,Planning[[#This Row],[Tipo de Tarea y especialidad]])+SUMIFS(#REF!,#REF!,Planning[[#This Row],[Proyectos Reiwa]],#REF!,Planning[[#This Row],[Tipo de Tarea y especialidad]])</f>
        <v>#REF!</v>
      </c>
      <c r="O5147" s="19">
        <f t="shared" si="161"/>
        <v>10</v>
      </c>
      <c r="P5147" s="19">
        <f t="shared" si="162"/>
        <v>2024</v>
      </c>
      <c r="Q51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47" s="49" t="str">
        <f>TEXT(Planning[[#This Row],[Mes]]*29,"mmmm")</f>
        <v>October</v>
      </c>
      <c r="S514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47" s="152"/>
      <c r="U5147" s="43">
        <f>IF(Planning[[#This Row],[Horas Planificadas]]&lt;&gt;0,+K5147/Planning[[#This Row],[Horas Planificadas]],0)</f>
        <v>0</v>
      </c>
      <c r="V5147" s="43">
        <f>IF(Planning[[#This Row],[Horas Planificadas]]&lt;&gt;0,Planning[[#This Row],[Horas utilizadas]]/Planning[[#This Row],[Horas Planificadas]],0)</f>
        <v>0</v>
      </c>
      <c r="W5147" s="44">
        <f>Planning[[#This Row],[Horas Planificadas]]+Planning[[#This Row],[Horas ajustadas adicionales]]</f>
        <v>0</v>
      </c>
    </row>
    <row r="5148" spans="1:23" ht="13.35" customHeight="1" x14ac:dyDescent="0.2">
      <c r="A5148" s="9" t="s">
        <v>626</v>
      </c>
      <c r="B5148" s="9" t="s">
        <v>178</v>
      </c>
      <c r="C5148" s="128">
        <v>117013</v>
      </c>
      <c r="D5148" s="3" t="s">
        <v>893</v>
      </c>
      <c r="E5148" s="4"/>
      <c r="F5148" s="3" t="s">
        <v>127</v>
      </c>
      <c r="G5148" s="9"/>
      <c r="H5148" s="9">
        <v>234</v>
      </c>
      <c r="I5148" s="12"/>
      <c r="J5148" s="5" t="e">
        <f>SUM(SUMIFS(#REF!,#REF!,Planning[[#This Row],[Tipo de Tarea y especialidad]],#REF!,Planning[[#This Row],[Proyectos Reiwa]]),SUMIFS(#REF!,#REF!,Planning[[#This Row],[Tipo de Tarea y especialidad]],#REF!,Planning[[#This Row],[Proyectos]]))</f>
        <v>#REF!</v>
      </c>
      <c r="K5148" s="5" t="e">
        <f>+Planning[[#This Row],[Horas Planificadas]]+Planning[[#This Row],[Horas ajustadas adicionales]]-Planning[[#This Row],[Horas utilizadas]]</f>
        <v>#REF!</v>
      </c>
      <c r="L5148" s="7">
        <v>0</v>
      </c>
      <c r="M5148" s="19" t="e">
        <f>Planning[[#This Row],[Saldo]]-Planning[[#This Row],[Saldo estimado]]</f>
        <v>#REF!</v>
      </c>
      <c r="N5148" s="60" t="e">
        <f>+SUMIFS(#REF!,#REF!,Planning[[#This Row],[Proyectos]],#REF!,Planning[[#This Row],[Tipo de Tarea y especialidad]])+SUMIFS(#REF!,#REF!,Planning[[#This Row],[Proyectos Reiwa]],#REF!,Planning[[#This Row],[Tipo de Tarea y especialidad]])</f>
        <v>#REF!</v>
      </c>
      <c r="O5148" s="19">
        <f t="shared" si="161"/>
        <v>10</v>
      </c>
      <c r="P5148" s="19">
        <f t="shared" si="162"/>
        <v>2024</v>
      </c>
      <c r="Q51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48" s="49" t="str">
        <f>TEXT(Planning[[#This Row],[Mes]]*29,"mmmm")</f>
        <v>October</v>
      </c>
      <c r="S514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48" s="152"/>
      <c r="U5148" s="43" t="e">
        <f>IF(Planning[[#This Row],[Horas Planificadas]]&lt;&gt;0,+K5148/Planning[[#This Row],[Horas Planificadas]],0)</f>
        <v>#REF!</v>
      </c>
      <c r="V5148" s="43" t="e">
        <f>IF(Planning[[#This Row],[Horas Planificadas]]&lt;&gt;0,Planning[[#This Row],[Horas utilizadas]]/Planning[[#This Row],[Horas Planificadas]],0)</f>
        <v>#REF!</v>
      </c>
      <c r="W5148" s="44">
        <f>Planning[[#This Row],[Horas Planificadas]]+Planning[[#This Row],[Horas ajustadas adicionales]]</f>
        <v>234</v>
      </c>
    </row>
    <row r="5149" spans="1:23" ht="13.35" customHeight="1" x14ac:dyDescent="0.2">
      <c r="A5149" s="9" t="s">
        <v>626</v>
      </c>
      <c r="B5149" s="9" t="s">
        <v>178</v>
      </c>
      <c r="C5149" s="129">
        <v>117013</v>
      </c>
      <c r="D5149" s="3" t="s">
        <v>893</v>
      </c>
      <c r="E5149" s="4"/>
      <c r="F5149" s="3" t="s">
        <v>128</v>
      </c>
      <c r="G5149" s="9"/>
      <c r="H5149" s="9">
        <v>0</v>
      </c>
      <c r="I5149" s="12"/>
      <c r="J5149" s="5" t="e">
        <f>SUM(SUMIFS(#REF!,#REF!,Planning[[#This Row],[Tipo de Tarea y especialidad]],#REF!,Planning[[#This Row],[Proyectos Reiwa]]),SUMIFS(#REF!,#REF!,Planning[[#This Row],[Tipo de Tarea y especialidad]],#REF!,Planning[[#This Row],[Proyectos]]))</f>
        <v>#REF!</v>
      </c>
      <c r="K5149" s="5" t="e">
        <f>+Planning[[#This Row],[Horas Planificadas]]+Planning[[#This Row],[Horas ajustadas adicionales]]-Planning[[#This Row],[Horas utilizadas]]</f>
        <v>#REF!</v>
      </c>
      <c r="L5149" s="7">
        <v>0</v>
      </c>
      <c r="M5149" s="19" t="e">
        <f>Planning[[#This Row],[Saldo]]-Planning[[#This Row],[Saldo estimado]]</f>
        <v>#REF!</v>
      </c>
      <c r="N5149" s="60" t="e">
        <f>+SUMIFS(#REF!,#REF!,Planning[[#This Row],[Proyectos]],#REF!,Planning[[#This Row],[Tipo de Tarea y especialidad]])+SUMIFS(#REF!,#REF!,Planning[[#This Row],[Proyectos Reiwa]],#REF!,Planning[[#This Row],[Tipo de Tarea y especialidad]])</f>
        <v>#REF!</v>
      </c>
      <c r="O5149" s="19">
        <f t="shared" si="161"/>
        <v>10</v>
      </c>
      <c r="P5149" s="19">
        <f t="shared" si="162"/>
        <v>2024</v>
      </c>
      <c r="Q51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49" s="49" t="str">
        <f>TEXT(Planning[[#This Row],[Mes]]*29,"mmmm")</f>
        <v>October</v>
      </c>
      <c r="S514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49" s="152"/>
      <c r="U5149" s="43">
        <f>IF(Planning[[#This Row],[Horas Planificadas]]&lt;&gt;0,+K5149/Planning[[#This Row],[Horas Planificadas]],0)</f>
        <v>0</v>
      </c>
      <c r="V5149" s="43">
        <f>IF(Planning[[#This Row],[Horas Planificadas]]&lt;&gt;0,Planning[[#This Row],[Horas utilizadas]]/Planning[[#This Row],[Horas Planificadas]],0)</f>
        <v>0</v>
      </c>
      <c r="W5149" s="44">
        <f>Planning[[#This Row],[Horas Planificadas]]+Planning[[#This Row],[Horas ajustadas adicionales]]</f>
        <v>0</v>
      </c>
    </row>
    <row r="5150" spans="1:23" ht="13.35" customHeight="1" x14ac:dyDescent="0.2">
      <c r="A5150" s="9" t="s">
        <v>626</v>
      </c>
      <c r="B5150" s="9" t="s">
        <v>178</v>
      </c>
      <c r="C5150" s="128">
        <v>117013</v>
      </c>
      <c r="D5150" s="3" t="s">
        <v>893</v>
      </c>
      <c r="E5150" s="4" t="s">
        <v>31</v>
      </c>
      <c r="F5150" s="3" t="s">
        <v>31</v>
      </c>
      <c r="G5150" s="9">
        <v>100</v>
      </c>
      <c r="H5150" s="17">
        <v>100</v>
      </c>
      <c r="I5150" s="18"/>
      <c r="J5150" s="14" t="e">
        <f>+SUMIFS(#REF!,#REF!,Planning[[#This Row],[Tarifa]],#REF!,Planning[[#This Row],[Proyectos]])</f>
        <v>#REF!</v>
      </c>
      <c r="K5150" s="14" t="e">
        <f>+Planning[[#This Row],[Horas Planificadas]]+Planning[[#This Row],[Horas ajustadas adicionales]]-Planning[[#This Row],[Horas utilizadas]]</f>
        <v>#REF!</v>
      </c>
      <c r="L5150" s="15">
        <v>0</v>
      </c>
      <c r="M5150" s="16" t="e">
        <f>Planning[[#This Row],[Saldo]]-Planning[[#This Row],[Saldo estimado]]</f>
        <v>#REF!</v>
      </c>
      <c r="N5150" s="60" t="e">
        <f>+SUMIFS(#REF!,#REF!,Planning[[#This Row],[Proyectos]],#REF!,Planning[[#This Row],[Tipo de Tarea y especialidad]])+SUMIFS(#REF!,#REF!,Planning[[#This Row],[Proyectos Reiwa]],#REF!,Planning[[#This Row],[Tipo de Tarea y especialidad]])</f>
        <v>#REF!</v>
      </c>
      <c r="O5150" s="16">
        <f t="shared" si="161"/>
        <v>10</v>
      </c>
      <c r="P5150" s="16">
        <f t="shared" si="162"/>
        <v>2024</v>
      </c>
      <c r="Q5150" s="16" t="e">
        <f>+SUMIFS(#REF!,#REF!,Planning[[#This Row],[Tarifa]],#REF!,Planning[[#This Row],[Proyectos]],#REF!,Planning[[#This Row],[Mes]],#REF!,Planning[[#This Row],[Año]])</f>
        <v>#REF!</v>
      </c>
      <c r="R5150" s="50" t="str">
        <f>TEXT(Planning[[#This Row],[Mes]]*29,"mmmm")</f>
        <v>October</v>
      </c>
      <c r="S515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50" s="152"/>
      <c r="U5150" s="43" t="e">
        <f>IF(Planning[[#This Row],[Horas Planificadas]]&lt;&gt;0,+K5150/Planning[[#This Row],[Horas Planificadas]],0)</f>
        <v>#REF!</v>
      </c>
      <c r="V5150" s="43" t="e">
        <f>IF(Planning[[#This Row],[Horas Planificadas]]&lt;&gt;0,Planning[[#This Row],[Horas utilizadas]]/Planning[[#This Row],[Horas Planificadas]],0)</f>
        <v>#REF!</v>
      </c>
      <c r="W5150" s="44">
        <f>Planning[[#This Row],[Horas Planificadas]]+Planning[[#This Row],[Horas ajustadas adicionales]]</f>
        <v>100</v>
      </c>
    </row>
    <row r="5151" spans="1:23" ht="13.35" customHeight="1" x14ac:dyDescent="0.2">
      <c r="A5151" s="9" t="s">
        <v>626</v>
      </c>
      <c r="B5151" s="9" t="s">
        <v>178</v>
      </c>
      <c r="C5151" s="129">
        <v>117013</v>
      </c>
      <c r="D5151" s="3" t="s">
        <v>893</v>
      </c>
      <c r="E5151" s="4" t="s">
        <v>32</v>
      </c>
      <c r="F5151" s="3"/>
      <c r="G5151" s="9">
        <v>280</v>
      </c>
      <c r="H5151" s="14">
        <f>SUM(H5152:H5154)</f>
        <v>280</v>
      </c>
      <c r="I5151" s="14"/>
      <c r="J5151" s="14" t="e">
        <f>SUM(J5152:J5154)</f>
        <v>#REF!</v>
      </c>
      <c r="K5151" s="14" t="e">
        <f>+Planning[[#This Row],[Horas Planificadas]]+Planning[[#This Row],[Horas ajustadas adicionales]]-Planning[[#This Row],[Horas utilizadas]]</f>
        <v>#REF!</v>
      </c>
      <c r="L5151" s="15">
        <f>SUM(L5152:L5154)</f>
        <v>0</v>
      </c>
      <c r="M5151" s="16" t="e">
        <f>SUM(M5152:M5154)</f>
        <v>#REF!</v>
      </c>
      <c r="N5151" s="60" t="e">
        <f>+SUMIFS(#REF!,#REF!,Planning[[#This Row],[Proyectos]],#REF!,Planning[[#This Row],[Tipo de Tarea y especialidad]])+SUMIFS(#REF!,#REF!,Planning[[#This Row],[Proyectos Reiwa]],#REF!,Planning[[#This Row],[Tipo de Tarea y especialidad]])</f>
        <v>#REF!</v>
      </c>
      <c r="O5151" s="16">
        <f t="shared" si="161"/>
        <v>10</v>
      </c>
      <c r="P5151" s="16">
        <f t="shared" si="162"/>
        <v>2024</v>
      </c>
      <c r="Q5151" s="16" t="e">
        <f>SUM(Q5152:Q5154)</f>
        <v>#REF!</v>
      </c>
      <c r="R5151" s="50" t="str">
        <f>TEXT(Planning[[#This Row],[Mes]]*29,"mmmm")</f>
        <v>October</v>
      </c>
      <c r="S515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51" s="152"/>
      <c r="U5151" s="43" t="e">
        <f>IF(Planning[[#This Row],[Horas Planificadas]]&lt;&gt;0,+K5151/Planning[[#This Row],[Horas Planificadas]],0)</f>
        <v>#REF!</v>
      </c>
      <c r="V5151" s="43" t="e">
        <f>IF(Planning[[#This Row],[Horas Planificadas]]&lt;&gt;0,Planning[[#This Row],[Horas utilizadas]]/Planning[[#This Row],[Horas Planificadas]],0)</f>
        <v>#REF!</v>
      </c>
      <c r="W5151" s="44">
        <f>Planning[[#This Row],[Horas Planificadas]]+Planning[[#This Row],[Horas ajustadas adicionales]]</f>
        <v>280</v>
      </c>
    </row>
    <row r="5152" spans="1:23" ht="13.35" customHeight="1" x14ac:dyDescent="0.2">
      <c r="A5152" s="9" t="s">
        <v>626</v>
      </c>
      <c r="B5152" s="9" t="s">
        <v>178</v>
      </c>
      <c r="C5152" s="128">
        <v>117013</v>
      </c>
      <c r="D5152" s="3" t="s">
        <v>893</v>
      </c>
      <c r="E5152" s="4"/>
      <c r="F5152" s="3" t="s">
        <v>129</v>
      </c>
      <c r="G5152" s="9"/>
      <c r="H5152" s="9">
        <v>0</v>
      </c>
      <c r="I5152" s="12"/>
      <c r="J5152" s="5" t="e">
        <f>SUM(SUMIFS(#REF!,#REF!,Planning[[#This Row],[Tipo de Tarea y especialidad]],#REF!,Planning[[#This Row],[Proyectos Reiwa]]),SUMIFS(#REF!,#REF!,Planning[[#This Row],[Tipo de Tarea y especialidad]],#REF!,Planning[[#This Row],[Proyectos]]))</f>
        <v>#REF!</v>
      </c>
      <c r="K5152" s="5" t="e">
        <f>+Planning[[#This Row],[Horas Planificadas]]+Planning[[#This Row],[Horas ajustadas adicionales]]-Planning[[#This Row],[Horas utilizadas]]</f>
        <v>#REF!</v>
      </c>
      <c r="L5152" s="7">
        <v>0</v>
      </c>
      <c r="M5152" s="19" t="e">
        <f>Planning[[#This Row],[Saldo]]-Planning[[#This Row],[Saldo estimado]]</f>
        <v>#REF!</v>
      </c>
      <c r="N5152" s="60" t="e">
        <f>+SUMIFS(#REF!,#REF!,Planning[[#This Row],[Proyectos]],#REF!,Planning[[#This Row],[Tipo de Tarea y especialidad]])+SUMIFS(#REF!,#REF!,Planning[[#This Row],[Proyectos Reiwa]],#REF!,Planning[[#This Row],[Tipo de Tarea y especialidad]])</f>
        <v>#REF!</v>
      </c>
      <c r="O5152" s="19">
        <f t="shared" si="161"/>
        <v>10</v>
      </c>
      <c r="P5152" s="19">
        <f t="shared" si="162"/>
        <v>2024</v>
      </c>
      <c r="Q51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52" s="49" t="str">
        <f>TEXT(Planning[[#This Row],[Mes]]*29,"mmmm")</f>
        <v>October</v>
      </c>
      <c r="S515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52" s="152"/>
      <c r="U5152" s="43">
        <f>IF(Planning[[#This Row],[Horas Planificadas]]&lt;&gt;0,+K5152/Planning[[#This Row],[Horas Planificadas]],0)</f>
        <v>0</v>
      </c>
      <c r="V5152" s="43">
        <f>IF(Planning[[#This Row],[Horas Planificadas]]&lt;&gt;0,Planning[[#This Row],[Horas utilizadas]]/Planning[[#This Row],[Horas Planificadas]],0)</f>
        <v>0</v>
      </c>
      <c r="W5152" s="44">
        <f>Planning[[#This Row],[Horas Planificadas]]+Planning[[#This Row],[Horas ajustadas adicionales]]</f>
        <v>0</v>
      </c>
    </row>
    <row r="5153" spans="1:23" ht="13.35" customHeight="1" x14ac:dyDescent="0.2">
      <c r="A5153" s="9" t="s">
        <v>626</v>
      </c>
      <c r="B5153" s="9" t="s">
        <v>178</v>
      </c>
      <c r="C5153" s="129">
        <v>117013</v>
      </c>
      <c r="D5153" s="3" t="s">
        <v>893</v>
      </c>
      <c r="E5153" s="4"/>
      <c r="F5153" s="3" t="s">
        <v>130</v>
      </c>
      <c r="G5153" s="9"/>
      <c r="H5153" s="9">
        <v>280</v>
      </c>
      <c r="I5153" s="12"/>
      <c r="J5153" s="5" t="e">
        <f>SUM(SUMIFS(#REF!,#REF!,Planning[[#This Row],[Tipo de Tarea y especialidad]],#REF!,Planning[[#This Row],[Proyectos Reiwa]]),SUMIFS(#REF!,#REF!,Planning[[#This Row],[Tipo de Tarea y especialidad]],#REF!,Planning[[#This Row],[Proyectos]]))</f>
        <v>#REF!</v>
      </c>
      <c r="K5153" s="5" t="e">
        <f>+Planning[[#This Row],[Horas Planificadas]]+Planning[[#This Row],[Horas ajustadas adicionales]]-Planning[[#This Row],[Horas utilizadas]]</f>
        <v>#REF!</v>
      </c>
      <c r="L5153" s="7">
        <v>0</v>
      </c>
      <c r="M5153" s="19" t="e">
        <f>Planning[[#This Row],[Saldo]]-Planning[[#This Row],[Saldo estimado]]</f>
        <v>#REF!</v>
      </c>
      <c r="N5153" s="60" t="e">
        <f>+SUMIFS(#REF!,#REF!,Planning[[#This Row],[Proyectos]],#REF!,Planning[[#This Row],[Tipo de Tarea y especialidad]])+SUMIFS(#REF!,#REF!,Planning[[#This Row],[Proyectos Reiwa]],#REF!,Planning[[#This Row],[Tipo de Tarea y especialidad]])</f>
        <v>#REF!</v>
      </c>
      <c r="O5153" s="19">
        <f t="shared" si="161"/>
        <v>10</v>
      </c>
      <c r="P5153" s="19">
        <f t="shared" si="162"/>
        <v>2024</v>
      </c>
      <c r="Q51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53" s="49" t="str">
        <f>TEXT(Planning[[#This Row],[Mes]]*29,"mmmm")</f>
        <v>October</v>
      </c>
      <c r="S515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53" s="152"/>
      <c r="U5153" s="43" t="e">
        <f>IF(Planning[[#This Row],[Horas Planificadas]]&lt;&gt;0,+K5153/Planning[[#This Row],[Horas Planificadas]],0)</f>
        <v>#REF!</v>
      </c>
      <c r="V5153" s="43" t="e">
        <f>IF(Planning[[#This Row],[Horas Planificadas]]&lt;&gt;0,Planning[[#This Row],[Horas utilizadas]]/Planning[[#This Row],[Horas Planificadas]],0)</f>
        <v>#REF!</v>
      </c>
      <c r="W5153" s="44">
        <f>Planning[[#This Row],[Horas Planificadas]]+Planning[[#This Row],[Horas ajustadas adicionales]]</f>
        <v>280</v>
      </c>
    </row>
    <row r="5154" spans="1:23" ht="13.35" customHeight="1" x14ac:dyDescent="0.2">
      <c r="A5154" s="9" t="s">
        <v>626</v>
      </c>
      <c r="B5154" s="9" t="s">
        <v>178</v>
      </c>
      <c r="C5154" s="128">
        <v>117013</v>
      </c>
      <c r="D5154" s="3" t="s">
        <v>893</v>
      </c>
      <c r="E5154" s="4"/>
      <c r="F5154" s="3" t="s">
        <v>131</v>
      </c>
      <c r="G5154" s="9"/>
      <c r="H5154" s="9">
        <v>0</v>
      </c>
      <c r="I5154" s="12"/>
      <c r="J5154" s="5" t="e">
        <f>SUM(SUMIFS(#REF!,#REF!,Planning[[#This Row],[Tipo de Tarea y especialidad]],#REF!,Planning[[#This Row],[Proyectos Reiwa]]),SUMIFS(#REF!,#REF!,Planning[[#This Row],[Tipo de Tarea y especialidad]],#REF!,Planning[[#This Row],[Proyectos]]))</f>
        <v>#REF!</v>
      </c>
      <c r="K5154" s="5" t="e">
        <f>+Planning[[#This Row],[Horas Planificadas]]+Planning[[#This Row],[Horas ajustadas adicionales]]-Planning[[#This Row],[Horas utilizadas]]</f>
        <v>#REF!</v>
      </c>
      <c r="L5154" s="7">
        <v>0</v>
      </c>
      <c r="M5154" s="19" t="e">
        <f>Planning[[#This Row],[Saldo]]-Planning[[#This Row],[Saldo estimado]]</f>
        <v>#REF!</v>
      </c>
      <c r="N5154" s="60" t="e">
        <f>+SUMIFS(#REF!,#REF!,Planning[[#This Row],[Proyectos]],#REF!,Planning[[#This Row],[Tipo de Tarea y especialidad]])+SUMIFS(#REF!,#REF!,Planning[[#This Row],[Proyectos Reiwa]],#REF!,Planning[[#This Row],[Tipo de Tarea y especialidad]])</f>
        <v>#REF!</v>
      </c>
      <c r="O5154" s="19">
        <f t="shared" si="161"/>
        <v>10</v>
      </c>
      <c r="P5154" s="19">
        <f t="shared" si="162"/>
        <v>2024</v>
      </c>
      <c r="Q51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54" s="51" t="str">
        <f>TEXT(Planning[[#This Row],[Mes]]*29,"mmmm")</f>
        <v>October</v>
      </c>
      <c r="S5154"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54" s="153"/>
      <c r="U5154" s="43">
        <f>IF(Planning[[#This Row],[Horas Planificadas]]&lt;&gt;0,+K5154/Planning[[#This Row],[Horas Planificadas]],0)</f>
        <v>0</v>
      </c>
      <c r="V5154" s="43">
        <f>IF(Planning[[#This Row],[Horas Planificadas]]&lt;&gt;0,Planning[[#This Row],[Horas utilizadas]]/Planning[[#This Row],[Horas Planificadas]],0)</f>
        <v>0</v>
      </c>
      <c r="W5154" s="44">
        <f>Planning[[#This Row],[Horas Planificadas]]+Planning[[#This Row],[Horas ajustadas adicionales]]</f>
        <v>0</v>
      </c>
    </row>
    <row r="5155" spans="1:23" ht="13.35" customHeight="1" x14ac:dyDescent="0.2">
      <c r="A5155" s="9" t="s">
        <v>626</v>
      </c>
      <c r="B5155" s="9" t="s">
        <v>205</v>
      </c>
      <c r="C5155" s="3"/>
      <c r="D5155" s="3" t="s">
        <v>895</v>
      </c>
      <c r="E5155" s="4" t="s">
        <v>28</v>
      </c>
      <c r="F5155" s="3"/>
      <c r="G5155" s="9">
        <v>0</v>
      </c>
      <c r="H5155" s="14">
        <f>SUM(H5156:H5157)</f>
        <v>0</v>
      </c>
      <c r="I5155" s="14"/>
      <c r="J5155" s="14" t="e">
        <f>SUM(J5156:J5157)</f>
        <v>#REF!</v>
      </c>
      <c r="K5155" s="14" t="e">
        <f>+Planning[[#This Row],[Horas Planificadas]]+Planning[[#This Row],[Horas ajustadas adicionales]]-Planning[[#This Row],[Horas utilizadas]]</f>
        <v>#REF!</v>
      </c>
      <c r="L5155" s="15" t="e">
        <f>SUM(L5156:L5157)</f>
        <v>#REF!</v>
      </c>
      <c r="M5155" s="14" t="e">
        <f>SUM(M5156:M5157)</f>
        <v>#REF!</v>
      </c>
      <c r="N5155" s="60" t="e">
        <f>+SUMIFS(#REF!,#REF!,Planning[[#This Row],[Proyectos]],#REF!,Planning[[#This Row],[Tipo de Tarea y especialidad]])+SUMIFS(#REF!,#REF!,Planning[[#This Row],[Proyectos Reiwa]],#REF!,Planning[[#This Row],[Tipo de Tarea y especialidad]])</f>
        <v>#REF!</v>
      </c>
      <c r="O5155" s="14">
        <f t="shared" si="161"/>
        <v>10</v>
      </c>
      <c r="P5155" s="14">
        <f t="shared" si="162"/>
        <v>2024</v>
      </c>
      <c r="Q5155" s="28" t="e">
        <f>SUM(Q5156:Q5157)</f>
        <v>#REF!</v>
      </c>
      <c r="R5155" s="24" t="str">
        <f>TEXT(Planning[[#This Row],[Mes]]*29,"mmmm")</f>
        <v>October</v>
      </c>
      <c r="S5155"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55" s="151" t="s">
        <v>896</v>
      </c>
      <c r="U5155" s="43">
        <f>IF(Planning[[#This Row],[Horas Planificadas]]&lt;&gt;0,+K5155/Planning[[#This Row],[Horas Planificadas]],0)</f>
        <v>0</v>
      </c>
      <c r="V5155" s="43">
        <f>IF(Planning[[#This Row],[Horas Planificadas]]&lt;&gt;0,Planning[[#This Row],[Horas utilizadas]]/Planning[[#This Row],[Horas Planificadas]],0)</f>
        <v>0</v>
      </c>
      <c r="W5155" s="44">
        <f>Planning[[#This Row],[Horas Planificadas]]+Planning[[#This Row],[Horas ajustadas adicionales]]</f>
        <v>0</v>
      </c>
    </row>
    <row r="5156" spans="1:23" ht="13.35" customHeight="1" x14ac:dyDescent="0.2">
      <c r="A5156" s="9" t="s">
        <v>626</v>
      </c>
      <c r="B5156" s="9" t="s">
        <v>205</v>
      </c>
      <c r="C5156" s="3"/>
      <c r="D5156" s="3" t="s">
        <v>895</v>
      </c>
      <c r="E5156" s="4"/>
      <c r="F5156" s="3" t="s">
        <v>120</v>
      </c>
      <c r="G5156" s="9"/>
      <c r="H5156" s="9"/>
      <c r="I5156" s="12"/>
      <c r="J5156" s="5" t="e">
        <f>SUM(SUMIFS(#REF!,#REF!,Planning[[#This Row],[Tipo de Tarea y especialidad]],#REF!,Planning[[#This Row],[Proyectos Reiwa]]),SUMIFS(#REF!,#REF!,Planning[[#This Row],[Tipo de Tarea y especialidad]],#REF!,Planning[[#This Row],[Proyectos]]))</f>
        <v>#REF!</v>
      </c>
      <c r="K5156" s="5" t="e">
        <f>+Planning[[#This Row],[Horas Planificadas]]+Planning[[#This Row],[Horas ajustadas adicionales]]-Planning[[#This Row],[Horas utilizadas]]</f>
        <v>#REF!</v>
      </c>
      <c r="L5156" s="7" t="e">
        <f>Planning[[#This Row],[Saldo]]</f>
        <v>#REF!</v>
      </c>
      <c r="M5156" s="19" t="e">
        <f>Planning[[#This Row],[Saldo]]-Planning[[#This Row],[Saldo estimado]]</f>
        <v>#REF!</v>
      </c>
      <c r="N5156" s="60" t="e">
        <f>+SUMIFS(#REF!,#REF!,Planning[[#This Row],[Proyectos]],#REF!,Planning[[#This Row],[Tipo de Tarea y especialidad]])+SUMIFS(#REF!,#REF!,Planning[[#This Row],[Proyectos Reiwa]],#REF!,Planning[[#This Row],[Tipo de Tarea y especialidad]])</f>
        <v>#REF!</v>
      </c>
      <c r="O5156" s="19">
        <f t="shared" si="161"/>
        <v>10</v>
      </c>
      <c r="P5156" s="19">
        <f t="shared" si="162"/>
        <v>2024</v>
      </c>
      <c r="Q51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56" s="49" t="str">
        <f>TEXT(Planning[[#This Row],[Mes]]*29,"mmmm")</f>
        <v>October</v>
      </c>
      <c r="S515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56" s="156"/>
      <c r="U5156" s="43">
        <f>IF(Planning[[#This Row],[Horas Planificadas]]&lt;&gt;0,+K5156/Planning[[#This Row],[Horas Planificadas]],0)</f>
        <v>0</v>
      </c>
      <c r="V5156" s="43">
        <f>IF(Planning[[#This Row],[Horas Planificadas]]&lt;&gt;0,Planning[[#This Row],[Horas utilizadas]]/Planning[[#This Row],[Horas Planificadas]],0)</f>
        <v>0</v>
      </c>
      <c r="W5156" s="44">
        <f>Planning[[#This Row],[Horas Planificadas]]+Planning[[#This Row],[Horas ajustadas adicionales]]</f>
        <v>0</v>
      </c>
    </row>
    <row r="5157" spans="1:23" ht="13.35" customHeight="1" x14ac:dyDescent="0.2">
      <c r="A5157" s="9" t="s">
        <v>626</v>
      </c>
      <c r="B5157" s="9" t="s">
        <v>205</v>
      </c>
      <c r="C5157" s="3"/>
      <c r="D5157" s="3" t="s">
        <v>895</v>
      </c>
      <c r="E5157" s="4"/>
      <c r="F5157" s="3" t="s">
        <v>121</v>
      </c>
      <c r="G5157" s="9"/>
      <c r="H5157" s="9"/>
      <c r="I5157" s="12"/>
      <c r="J5157" s="5" t="e">
        <f>SUM(SUMIFS(#REF!,#REF!,Planning[[#This Row],[Tipo de Tarea y especialidad]],#REF!,Planning[[#This Row],[Proyectos Reiwa]]),SUMIFS(#REF!,#REF!,Planning[[#This Row],[Tipo de Tarea y especialidad]],#REF!,Planning[[#This Row],[Proyectos]]))</f>
        <v>#REF!</v>
      </c>
      <c r="K5157" s="5" t="e">
        <f>+Planning[[#This Row],[Horas Planificadas]]+Planning[[#This Row],[Horas ajustadas adicionales]]-Planning[[#This Row],[Horas utilizadas]]</f>
        <v>#REF!</v>
      </c>
      <c r="L5157" s="7" t="e">
        <f>Planning[[#This Row],[Saldo]]</f>
        <v>#REF!</v>
      </c>
      <c r="M5157" s="19" t="e">
        <f>Planning[[#This Row],[Saldo]]-Planning[[#This Row],[Saldo estimado]]</f>
        <v>#REF!</v>
      </c>
      <c r="N5157" s="60" t="e">
        <f>+SUMIFS(#REF!,#REF!,Planning[[#This Row],[Proyectos]],#REF!,Planning[[#This Row],[Tipo de Tarea y especialidad]])+SUMIFS(#REF!,#REF!,Planning[[#This Row],[Proyectos Reiwa]],#REF!,Planning[[#This Row],[Tipo de Tarea y especialidad]])</f>
        <v>#REF!</v>
      </c>
      <c r="O5157" s="19">
        <f t="shared" si="161"/>
        <v>10</v>
      </c>
      <c r="P5157" s="19">
        <f t="shared" si="162"/>
        <v>2024</v>
      </c>
      <c r="Q51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57" s="49" t="str">
        <f>TEXT(Planning[[#This Row],[Mes]]*29,"mmmm")</f>
        <v>October</v>
      </c>
      <c r="S515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57" s="156"/>
      <c r="U5157" s="43">
        <f>IF(Planning[[#This Row],[Horas Planificadas]]&lt;&gt;0,+K5157/Planning[[#This Row],[Horas Planificadas]],0)</f>
        <v>0</v>
      </c>
      <c r="V5157" s="43">
        <f>IF(Planning[[#This Row],[Horas Planificadas]]&lt;&gt;0,Planning[[#This Row],[Horas utilizadas]]/Planning[[#This Row],[Horas Planificadas]],0)</f>
        <v>0</v>
      </c>
      <c r="W5157" s="44">
        <f>Planning[[#This Row],[Horas Planificadas]]+Planning[[#This Row],[Horas ajustadas adicionales]]</f>
        <v>0</v>
      </c>
    </row>
    <row r="5158" spans="1:23" ht="13.35" customHeight="1" x14ac:dyDescent="0.2">
      <c r="A5158" s="9" t="s">
        <v>626</v>
      </c>
      <c r="B5158" s="9" t="s">
        <v>205</v>
      </c>
      <c r="C5158" s="3"/>
      <c r="D5158" s="3" t="s">
        <v>895</v>
      </c>
      <c r="E5158" s="4" t="s">
        <v>30</v>
      </c>
      <c r="F5158" s="3"/>
      <c r="G5158" s="9">
        <v>359</v>
      </c>
      <c r="H5158" s="14">
        <f>SUM(H5159:H5165)</f>
        <v>359</v>
      </c>
      <c r="I5158" s="14"/>
      <c r="J5158" s="14" t="e">
        <f>SUM(J5159:J5165)</f>
        <v>#REF!</v>
      </c>
      <c r="K5158" s="14" t="e">
        <f>+Planning[[#This Row],[Horas Planificadas]]+Planning[[#This Row],[Horas ajustadas adicionales]]-Planning[[#This Row],[Horas utilizadas]]</f>
        <v>#REF!</v>
      </c>
      <c r="L5158" s="15" t="e">
        <f>SUM(L5159:L5165)</f>
        <v>#REF!</v>
      </c>
      <c r="M5158" s="16" t="e">
        <f>SUM(M5159:M5165)</f>
        <v>#REF!</v>
      </c>
      <c r="N5158" s="60" t="e">
        <f>+SUMIFS(#REF!,#REF!,Planning[[#This Row],[Proyectos]],#REF!,Planning[[#This Row],[Tipo de Tarea y especialidad]])+SUMIFS(#REF!,#REF!,Planning[[#This Row],[Proyectos Reiwa]],#REF!,Planning[[#This Row],[Tipo de Tarea y especialidad]])</f>
        <v>#REF!</v>
      </c>
      <c r="O5158" s="16">
        <f t="shared" si="161"/>
        <v>10</v>
      </c>
      <c r="P5158" s="16">
        <f t="shared" si="162"/>
        <v>2024</v>
      </c>
      <c r="Q5158" s="16" t="e">
        <f>SUM(Q5159:Q5165)</f>
        <v>#REF!</v>
      </c>
      <c r="R5158" s="50" t="str">
        <f>TEXT(Planning[[#This Row],[Mes]]*29,"mmmm")</f>
        <v>October</v>
      </c>
      <c r="S515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58" s="156"/>
      <c r="U5158" s="43" t="e">
        <f>IF(Planning[[#This Row],[Horas Planificadas]]&lt;&gt;0,+K5158/Planning[[#This Row],[Horas Planificadas]],0)</f>
        <v>#REF!</v>
      </c>
      <c r="V5158" s="43" t="e">
        <f>IF(Planning[[#This Row],[Horas Planificadas]]&lt;&gt;0,Planning[[#This Row],[Horas utilizadas]]/Planning[[#This Row],[Horas Planificadas]],0)</f>
        <v>#REF!</v>
      </c>
      <c r="W5158" s="44">
        <f>Planning[[#This Row],[Horas Planificadas]]+Planning[[#This Row],[Horas ajustadas adicionales]]</f>
        <v>359</v>
      </c>
    </row>
    <row r="5159" spans="1:23" ht="13.35" customHeight="1" x14ac:dyDescent="0.2">
      <c r="A5159" s="9" t="s">
        <v>626</v>
      </c>
      <c r="B5159" s="9" t="s">
        <v>205</v>
      </c>
      <c r="C5159" s="3"/>
      <c r="D5159" s="3" t="s">
        <v>895</v>
      </c>
      <c r="E5159" s="4"/>
      <c r="F5159" s="3" t="s">
        <v>122</v>
      </c>
      <c r="G5159" s="9"/>
      <c r="H5159" s="9"/>
      <c r="I5159" s="12"/>
      <c r="J5159" s="5" t="e">
        <f>SUM(SUMIFS(#REF!,#REF!,Planning[[#This Row],[Tipo de Tarea y especialidad]],#REF!,Planning[[#This Row],[Proyectos Reiwa]]),SUMIFS(#REF!,#REF!,Planning[[#This Row],[Tipo de Tarea y especialidad]],#REF!,Planning[[#This Row],[Proyectos]]))</f>
        <v>#REF!</v>
      </c>
      <c r="K5159" s="5" t="e">
        <f>+Planning[[#This Row],[Horas Planificadas]]+Planning[[#This Row],[Horas ajustadas adicionales]]-Planning[[#This Row],[Horas utilizadas]]</f>
        <v>#REF!</v>
      </c>
      <c r="L5159" s="7" t="e">
        <f>Planning[[#This Row],[Saldo]]</f>
        <v>#REF!</v>
      </c>
      <c r="M5159" s="19" t="e">
        <f>Planning[[#This Row],[Saldo]]-Planning[[#This Row],[Saldo estimado]]</f>
        <v>#REF!</v>
      </c>
      <c r="N5159" s="60" t="e">
        <f>+SUMIFS(#REF!,#REF!,Planning[[#This Row],[Proyectos]],#REF!,Planning[[#This Row],[Tipo de Tarea y especialidad]])+SUMIFS(#REF!,#REF!,Planning[[#This Row],[Proyectos Reiwa]],#REF!,Planning[[#This Row],[Tipo de Tarea y especialidad]])</f>
        <v>#REF!</v>
      </c>
      <c r="O5159" s="19">
        <f t="shared" si="161"/>
        <v>10</v>
      </c>
      <c r="P5159" s="19">
        <f t="shared" si="162"/>
        <v>2024</v>
      </c>
      <c r="Q51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59" s="49" t="str">
        <f>TEXT(Planning[[#This Row],[Mes]]*29,"mmmm")</f>
        <v>October</v>
      </c>
      <c r="S515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59" s="156"/>
      <c r="U5159" s="43">
        <f>IF(Planning[[#This Row],[Horas Planificadas]]&lt;&gt;0,+K5159/Planning[[#This Row],[Horas Planificadas]],0)</f>
        <v>0</v>
      </c>
      <c r="V5159" s="43">
        <f>IF(Planning[[#This Row],[Horas Planificadas]]&lt;&gt;0,Planning[[#This Row],[Horas utilizadas]]/Planning[[#This Row],[Horas Planificadas]],0)</f>
        <v>0</v>
      </c>
      <c r="W5159" s="44">
        <f>Planning[[#This Row],[Horas Planificadas]]+Planning[[#This Row],[Horas ajustadas adicionales]]</f>
        <v>0</v>
      </c>
    </row>
    <row r="5160" spans="1:23" ht="13.35" customHeight="1" x14ac:dyDescent="0.2">
      <c r="A5160" s="9" t="s">
        <v>626</v>
      </c>
      <c r="B5160" s="9" t="s">
        <v>205</v>
      </c>
      <c r="C5160" s="3"/>
      <c r="D5160" s="3" t="s">
        <v>895</v>
      </c>
      <c r="E5160" s="4"/>
      <c r="F5160" s="3" t="s">
        <v>123</v>
      </c>
      <c r="G5160" s="9"/>
      <c r="H5160" s="9">
        <v>314</v>
      </c>
      <c r="I5160" s="12"/>
      <c r="J5160" s="5" t="e">
        <f>SUM(SUMIFS(#REF!,#REF!,Planning[[#This Row],[Tipo de Tarea y especialidad]],#REF!,Planning[[#This Row],[Proyectos Reiwa]]),SUMIFS(#REF!,#REF!,Planning[[#This Row],[Tipo de Tarea y especialidad]],#REF!,Planning[[#This Row],[Proyectos]]))</f>
        <v>#REF!</v>
      </c>
      <c r="K5160" s="5" t="e">
        <f>+Planning[[#This Row],[Horas Planificadas]]+Planning[[#This Row],[Horas ajustadas adicionales]]-Planning[[#This Row],[Horas utilizadas]]</f>
        <v>#REF!</v>
      </c>
      <c r="L5160" s="7">
        <v>0</v>
      </c>
      <c r="M5160" s="19" t="e">
        <f>Planning[[#This Row],[Saldo]]-Planning[[#This Row],[Saldo estimado]]</f>
        <v>#REF!</v>
      </c>
      <c r="N5160" s="60" t="e">
        <f>+SUMIFS(#REF!,#REF!,Planning[[#This Row],[Proyectos]],#REF!,Planning[[#This Row],[Tipo de Tarea y especialidad]])+SUMIFS(#REF!,#REF!,Planning[[#This Row],[Proyectos Reiwa]],#REF!,Planning[[#This Row],[Tipo de Tarea y especialidad]])</f>
        <v>#REF!</v>
      </c>
      <c r="O5160" s="19">
        <f t="shared" si="161"/>
        <v>10</v>
      </c>
      <c r="P5160" s="19">
        <f t="shared" si="162"/>
        <v>2024</v>
      </c>
      <c r="Q51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60" s="49" t="str">
        <f>TEXT(Planning[[#This Row],[Mes]]*29,"mmmm")</f>
        <v>October</v>
      </c>
      <c r="S516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60" s="156"/>
      <c r="U5160" s="43" t="e">
        <f>IF(Planning[[#This Row],[Horas Planificadas]]&lt;&gt;0,+K5160/Planning[[#This Row],[Horas Planificadas]],0)</f>
        <v>#REF!</v>
      </c>
      <c r="V5160" s="43" t="e">
        <f>IF(Planning[[#This Row],[Horas Planificadas]]&lt;&gt;0,Planning[[#This Row],[Horas utilizadas]]/Planning[[#This Row],[Horas Planificadas]],0)</f>
        <v>#REF!</v>
      </c>
      <c r="W5160" s="44">
        <f>Planning[[#This Row],[Horas Planificadas]]+Planning[[#This Row],[Horas ajustadas adicionales]]</f>
        <v>314</v>
      </c>
    </row>
    <row r="5161" spans="1:23" ht="13.35" customHeight="1" x14ac:dyDescent="0.2">
      <c r="A5161" s="9" t="s">
        <v>626</v>
      </c>
      <c r="B5161" s="9" t="s">
        <v>205</v>
      </c>
      <c r="C5161" s="3"/>
      <c r="D5161" s="3" t="s">
        <v>895</v>
      </c>
      <c r="E5161" s="4"/>
      <c r="F5161" s="3" t="s">
        <v>124</v>
      </c>
      <c r="G5161" s="9"/>
      <c r="H5161" s="9"/>
      <c r="I5161" s="12"/>
      <c r="J5161" s="5" t="e">
        <f>SUM(SUMIFS(#REF!,#REF!,Planning[[#This Row],[Tipo de Tarea y especialidad]],#REF!,Planning[[#This Row],[Proyectos Reiwa]]),SUMIFS(#REF!,#REF!,Planning[[#This Row],[Tipo de Tarea y especialidad]],#REF!,Planning[[#This Row],[Proyectos]]))</f>
        <v>#REF!</v>
      </c>
      <c r="K5161" s="5" t="e">
        <f>+Planning[[#This Row],[Horas Planificadas]]+Planning[[#This Row],[Horas ajustadas adicionales]]-Planning[[#This Row],[Horas utilizadas]]</f>
        <v>#REF!</v>
      </c>
      <c r="L5161" s="7">
        <v>0</v>
      </c>
      <c r="M5161" s="19" t="e">
        <f>Planning[[#This Row],[Saldo]]-Planning[[#This Row],[Saldo estimado]]</f>
        <v>#REF!</v>
      </c>
      <c r="N5161" s="60" t="e">
        <f>+SUMIFS(#REF!,#REF!,Planning[[#This Row],[Proyectos]],#REF!,Planning[[#This Row],[Tipo de Tarea y especialidad]])+SUMIFS(#REF!,#REF!,Planning[[#This Row],[Proyectos Reiwa]],#REF!,Planning[[#This Row],[Tipo de Tarea y especialidad]])</f>
        <v>#REF!</v>
      </c>
      <c r="O5161" s="19">
        <f t="shared" si="161"/>
        <v>10</v>
      </c>
      <c r="P5161" s="19">
        <f t="shared" si="162"/>
        <v>2024</v>
      </c>
      <c r="Q51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61" s="49" t="str">
        <f>TEXT(Planning[[#This Row],[Mes]]*29,"mmmm")</f>
        <v>October</v>
      </c>
      <c r="S516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61" s="156"/>
      <c r="U5161" s="43">
        <f>IF(Planning[[#This Row],[Horas Planificadas]]&lt;&gt;0,+K5161/Planning[[#This Row],[Horas Planificadas]],0)</f>
        <v>0</v>
      </c>
      <c r="V5161" s="43">
        <f>IF(Planning[[#This Row],[Horas Planificadas]]&lt;&gt;0,Planning[[#This Row],[Horas utilizadas]]/Planning[[#This Row],[Horas Planificadas]],0)</f>
        <v>0</v>
      </c>
      <c r="W5161" s="44">
        <f>Planning[[#This Row],[Horas Planificadas]]+Planning[[#This Row],[Horas ajustadas adicionales]]</f>
        <v>0</v>
      </c>
    </row>
    <row r="5162" spans="1:23" ht="13.35" customHeight="1" x14ac:dyDescent="0.2">
      <c r="A5162" s="9" t="s">
        <v>626</v>
      </c>
      <c r="B5162" s="9" t="s">
        <v>205</v>
      </c>
      <c r="C5162" s="3"/>
      <c r="D5162" s="3" t="s">
        <v>895</v>
      </c>
      <c r="E5162" s="4"/>
      <c r="F5162" s="3" t="s">
        <v>125</v>
      </c>
      <c r="G5162" s="9"/>
      <c r="H5162" s="9">
        <v>45</v>
      </c>
      <c r="I5162" s="12"/>
      <c r="J5162" s="5" t="e">
        <f>SUM(SUMIFS(#REF!,#REF!,Planning[[#This Row],[Tipo de Tarea y especialidad]],#REF!,Planning[[#This Row],[Proyectos Reiwa]]),SUMIFS(#REF!,#REF!,Planning[[#This Row],[Tipo de Tarea y especialidad]],#REF!,Planning[[#This Row],[Proyectos]]))</f>
        <v>#REF!</v>
      </c>
      <c r="K5162" s="5" t="e">
        <f>+Planning[[#This Row],[Horas Planificadas]]+Planning[[#This Row],[Horas ajustadas adicionales]]-Planning[[#This Row],[Horas utilizadas]]</f>
        <v>#REF!</v>
      </c>
      <c r="L5162" s="7">
        <v>0</v>
      </c>
      <c r="M5162" s="19" t="e">
        <f>Planning[[#This Row],[Saldo]]-Planning[[#This Row],[Saldo estimado]]</f>
        <v>#REF!</v>
      </c>
      <c r="N5162" s="60" t="e">
        <f>+SUMIFS(#REF!,#REF!,Planning[[#This Row],[Proyectos]],#REF!,Planning[[#This Row],[Tipo de Tarea y especialidad]])+SUMIFS(#REF!,#REF!,Planning[[#This Row],[Proyectos Reiwa]],#REF!,Planning[[#This Row],[Tipo de Tarea y especialidad]])</f>
        <v>#REF!</v>
      </c>
      <c r="O5162" s="19">
        <f t="shared" si="161"/>
        <v>10</v>
      </c>
      <c r="P5162" s="19">
        <f t="shared" si="162"/>
        <v>2024</v>
      </c>
      <c r="Q51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62" s="49" t="str">
        <f>TEXT(Planning[[#This Row],[Mes]]*29,"mmmm")</f>
        <v>October</v>
      </c>
      <c r="S516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62" s="156"/>
      <c r="U5162" s="43" t="e">
        <f>IF(Planning[[#This Row],[Horas Planificadas]]&lt;&gt;0,+K5162/Planning[[#This Row],[Horas Planificadas]],0)</f>
        <v>#REF!</v>
      </c>
      <c r="V5162" s="43" t="e">
        <f>IF(Planning[[#This Row],[Horas Planificadas]]&lt;&gt;0,Planning[[#This Row],[Horas utilizadas]]/Planning[[#This Row],[Horas Planificadas]],0)</f>
        <v>#REF!</v>
      </c>
      <c r="W5162" s="44">
        <f>Planning[[#This Row],[Horas Planificadas]]+Planning[[#This Row],[Horas ajustadas adicionales]]</f>
        <v>45</v>
      </c>
    </row>
    <row r="5163" spans="1:23" ht="13.35" customHeight="1" x14ac:dyDescent="0.2">
      <c r="A5163" s="9" t="s">
        <v>626</v>
      </c>
      <c r="B5163" s="9" t="s">
        <v>205</v>
      </c>
      <c r="C5163" s="3"/>
      <c r="D5163" s="3" t="s">
        <v>895</v>
      </c>
      <c r="E5163" s="4"/>
      <c r="F5163" s="3" t="s">
        <v>126</v>
      </c>
      <c r="G5163" s="9"/>
      <c r="H5163" s="9"/>
      <c r="I5163" s="12"/>
      <c r="J5163" s="5" t="e">
        <f>SUM(SUMIFS(#REF!,#REF!,Planning[[#This Row],[Tipo de Tarea y especialidad]],#REF!,Planning[[#This Row],[Proyectos Reiwa]]),SUMIFS(#REF!,#REF!,Planning[[#This Row],[Tipo de Tarea y especialidad]],#REF!,Planning[[#This Row],[Proyectos]]))</f>
        <v>#REF!</v>
      </c>
      <c r="K5163" s="5" t="e">
        <f>+Planning[[#This Row],[Horas Planificadas]]+Planning[[#This Row],[Horas ajustadas adicionales]]-Planning[[#This Row],[Horas utilizadas]]</f>
        <v>#REF!</v>
      </c>
      <c r="L5163" s="7" t="e">
        <f>Planning[[#This Row],[Saldo]]</f>
        <v>#REF!</v>
      </c>
      <c r="M5163" s="19" t="e">
        <f>Planning[[#This Row],[Saldo]]-Planning[[#This Row],[Saldo estimado]]</f>
        <v>#REF!</v>
      </c>
      <c r="N5163" s="60" t="e">
        <f>+SUMIFS(#REF!,#REF!,Planning[[#This Row],[Proyectos]],#REF!,Planning[[#This Row],[Tipo de Tarea y especialidad]])+SUMIFS(#REF!,#REF!,Planning[[#This Row],[Proyectos Reiwa]],#REF!,Planning[[#This Row],[Tipo de Tarea y especialidad]])</f>
        <v>#REF!</v>
      </c>
      <c r="O5163" s="19">
        <f t="shared" si="161"/>
        <v>10</v>
      </c>
      <c r="P5163" s="19">
        <f t="shared" si="162"/>
        <v>2024</v>
      </c>
      <c r="Q51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63" s="49" t="str">
        <f>TEXT(Planning[[#This Row],[Mes]]*29,"mmmm")</f>
        <v>October</v>
      </c>
      <c r="S516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63" s="156"/>
      <c r="U5163" s="43">
        <f>IF(Planning[[#This Row],[Horas Planificadas]]&lt;&gt;0,+K5163/Planning[[#This Row],[Horas Planificadas]],0)</f>
        <v>0</v>
      </c>
      <c r="V5163" s="43">
        <f>IF(Planning[[#This Row],[Horas Planificadas]]&lt;&gt;0,Planning[[#This Row],[Horas utilizadas]]/Planning[[#This Row],[Horas Planificadas]],0)</f>
        <v>0</v>
      </c>
      <c r="W5163" s="44">
        <f>Planning[[#This Row],[Horas Planificadas]]+Planning[[#This Row],[Horas ajustadas adicionales]]</f>
        <v>0</v>
      </c>
    </row>
    <row r="5164" spans="1:23" ht="13.35" customHeight="1" x14ac:dyDescent="0.2">
      <c r="A5164" s="9" t="s">
        <v>626</v>
      </c>
      <c r="B5164" s="9" t="s">
        <v>205</v>
      </c>
      <c r="C5164" s="3"/>
      <c r="D5164" s="3" t="s">
        <v>895</v>
      </c>
      <c r="E5164" s="4"/>
      <c r="F5164" s="3" t="s">
        <v>127</v>
      </c>
      <c r="G5164" s="9"/>
      <c r="H5164" s="9"/>
      <c r="I5164" s="12"/>
      <c r="J5164" s="5" t="e">
        <f>SUM(SUMIFS(#REF!,#REF!,Planning[[#This Row],[Tipo de Tarea y especialidad]],#REF!,Planning[[#This Row],[Proyectos Reiwa]]),SUMIFS(#REF!,#REF!,Planning[[#This Row],[Tipo de Tarea y especialidad]],#REF!,Planning[[#This Row],[Proyectos]]))</f>
        <v>#REF!</v>
      </c>
      <c r="K5164" s="5" t="e">
        <f>+Planning[[#This Row],[Horas Planificadas]]+Planning[[#This Row],[Horas ajustadas adicionales]]-Planning[[#This Row],[Horas utilizadas]]</f>
        <v>#REF!</v>
      </c>
      <c r="L5164" s="7" t="e">
        <f>Planning[[#This Row],[Saldo]]</f>
        <v>#REF!</v>
      </c>
      <c r="M5164" s="19" t="e">
        <f>Planning[[#This Row],[Saldo]]-Planning[[#This Row],[Saldo estimado]]</f>
        <v>#REF!</v>
      </c>
      <c r="N5164" s="60" t="e">
        <f>+SUMIFS(#REF!,#REF!,Planning[[#This Row],[Proyectos]],#REF!,Planning[[#This Row],[Tipo de Tarea y especialidad]])+SUMIFS(#REF!,#REF!,Planning[[#This Row],[Proyectos Reiwa]],#REF!,Planning[[#This Row],[Tipo de Tarea y especialidad]])</f>
        <v>#REF!</v>
      </c>
      <c r="O5164" s="19">
        <f t="shared" si="161"/>
        <v>10</v>
      </c>
      <c r="P5164" s="19">
        <f t="shared" si="162"/>
        <v>2024</v>
      </c>
      <c r="Q51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64" s="49" t="str">
        <f>TEXT(Planning[[#This Row],[Mes]]*29,"mmmm")</f>
        <v>October</v>
      </c>
      <c r="S516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64" s="156"/>
      <c r="U5164" s="43">
        <f>IF(Planning[[#This Row],[Horas Planificadas]]&lt;&gt;0,+K5164/Planning[[#This Row],[Horas Planificadas]],0)</f>
        <v>0</v>
      </c>
      <c r="V5164" s="43">
        <f>IF(Planning[[#This Row],[Horas Planificadas]]&lt;&gt;0,Planning[[#This Row],[Horas utilizadas]]/Planning[[#This Row],[Horas Planificadas]],0)</f>
        <v>0</v>
      </c>
      <c r="W5164" s="44">
        <f>Planning[[#This Row],[Horas Planificadas]]+Planning[[#This Row],[Horas ajustadas adicionales]]</f>
        <v>0</v>
      </c>
    </row>
    <row r="5165" spans="1:23" ht="13.35" customHeight="1" x14ac:dyDescent="0.2">
      <c r="A5165" s="9" t="s">
        <v>626</v>
      </c>
      <c r="B5165" s="9" t="s">
        <v>205</v>
      </c>
      <c r="C5165" s="3"/>
      <c r="D5165" s="3" t="s">
        <v>895</v>
      </c>
      <c r="E5165" s="4"/>
      <c r="F5165" s="3" t="s">
        <v>128</v>
      </c>
      <c r="G5165" s="9"/>
      <c r="H5165" s="9"/>
      <c r="I5165" s="12"/>
      <c r="J5165" s="5" t="e">
        <f>SUM(SUMIFS(#REF!,#REF!,Planning[[#This Row],[Tipo de Tarea y especialidad]],#REF!,Planning[[#This Row],[Proyectos Reiwa]]),SUMIFS(#REF!,#REF!,Planning[[#This Row],[Tipo de Tarea y especialidad]],#REF!,Planning[[#This Row],[Proyectos]]))</f>
        <v>#REF!</v>
      </c>
      <c r="K5165" s="5" t="e">
        <f>+Planning[[#This Row],[Horas Planificadas]]+Planning[[#This Row],[Horas ajustadas adicionales]]-Planning[[#This Row],[Horas utilizadas]]</f>
        <v>#REF!</v>
      </c>
      <c r="L5165" s="7">
        <v>0</v>
      </c>
      <c r="M5165" s="19" t="e">
        <f>Planning[[#This Row],[Saldo]]-Planning[[#This Row],[Saldo estimado]]</f>
        <v>#REF!</v>
      </c>
      <c r="N5165" s="60" t="e">
        <f>+SUMIFS(#REF!,#REF!,Planning[[#This Row],[Proyectos]],#REF!,Planning[[#This Row],[Tipo de Tarea y especialidad]])+SUMIFS(#REF!,#REF!,Planning[[#This Row],[Proyectos Reiwa]],#REF!,Planning[[#This Row],[Tipo de Tarea y especialidad]])</f>
        <v>#REF!</v>
      </c>
      <c r="O5165" s="19">
        <f t="shared" si="161"/>
        <v>10</v>
      </c>
      <c r="P5165" s="19">
        <f t="shared" si="162"/>
        <v>2024</v>
      </c>
      <c r="Q51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65" s="49" t="str">
        <f>TEXT(Planning[[#This Row],[Mes]]*29,"mmmm")</f>
        <v>October</v>
      </c>
      <c r="S516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65" s="156"/>
      <c r="U5165" s="43">
        <f>IF(Planning[[#This Row],[Horas Planificadas]]&lt;&gt;0,+K5165/Planning[[#This Row],[Horas Planificadas]],0)</f>
        <v>0</v>
      </c>
      <c r="V5165" s="43">
        <f>IF(Planning[[#This Row],[Horas Planificadas]]&lt;&gt;0,Planning[[#This Row],[Horas utilizadas]]/Planning[[#This Row],[Horas Planificadas]],0)</f>
        <v>0</v>
      </c>
      <c r="W5165" s="44">
        <f>Planning[[#This Row],[Horas Planificadas]]+Planning[[#This Row],[Horas ajustadas adicionales]]</f>
        <v>0</v>
      </c>
    </row>
    <row r="5166" spans="1:23" ht="13.35" customHeight="1" x14ac:dyDescent="0.2">
      <c r="A5166" s="9" t="s">
        <v>626</v>
      </c>
      <c r="B5166" s="9" t="s">
        <v>205</v>
      </c>
      <c r="C5166" s="3"/>
      <c r="D5166" s="3" t="s">
        <v>895</v>
      </c>
      <c r="E5166" s="4" t="s">
        <v>31</v>
      </c>
      <c r="F5166" s="3" t="s">
        <v>31</v>
      </c>
      <c r="G5166" s="9">
        <v>0</v>
      </c>
      <c r="H5166" s="17">
        <v>0</v>
      </c>
      <c r="I5166" s="18"/>
      <c r="J5166" s="14" t="e">
        <f>+SUMIFS(#REF!,#REF!,Planning[[#This Row],[Tarifa]],#REF!,Planning[[#This Row],[Proyectos]])</f>
        <v>#REF!</v>
      </c>
      <c r="K5166" s="14" t="e">
        <f>+Planning[[#This Row],[Horas Planificadas]]+Planning[[#This Row],[Horas ajustadas adicionales]]-Planning[[#This Row],[Horas utilizadas]]</f>
        <v>#REF!</v>
      </c>
      <c r="L5166" s="15">
        <v>0</v>
      </c>
      <c r="M5166" s="16" t="e">
        <f>Planning[[#This Row],[Saldo]]-Planning[[#This Row],[Saldo estimado]]</f>
        <v>#REF!</v>
      </c>
      <c r="N5166" s="60" t="e">
        <f>+SUMIFS(#REF!,#REF!,Planning[[#This Row],[Proyectos]],#REF!,Planning[[#This Row],[Tipo de Tarea y especialidad]])+SUMIFS(#REF!,#REF!,Planning[[#This Row],[Proyectos Reiwa]],#REF!,Planning[[#This Row],[Tipo de Tarea y especialidad]])</f>
        <v>#REF!</v>
      </c>
      <c r="O5166" s="16">
        <f t="shared" si="161"/>
        <v>10</v>
      </c>
      <c r="P5166" s="16">
        <f t="shared" si="162"/>
        <v>2024</v>
      </c>
      <c r="Q5166" s="16" t="e">
        <f>+SUMIFS(#REF!,#REF!,Planning[[#This Row],[Tarifa]],#REF!,Planning[[#This Row],[Proyectos]],#REF!,Planning[[#This Row],[Mes]],#REF!,Planning[[#This Row],[Año]])</f>
        <v>#REF!</v>
      </c>
      <c r="R5166" s="50" t="str">
        <f>TEXT(Planning[[#This Row],[Mes]]*29,"mmmm")</f>
        <v>October</v>
      </c>
      <c r="S516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66" s="156"/>
      <c r="U5166" s="43">
        <f>IF(Planning[[#This Row],[Horas Planificadas]]&lt;&gt;0,+K5166/Planning[[#This Row],[Horas Planificadas]],0)</f>
        <v>0</v>
      </c>
      <c r="V5166" s="43">
        <f>IF(Planning[[#This Row],[Horas Planificadas]]&lt;&gt;0,Planning[[#This Row],[Horas utilizadas]]/Planning[[#This Row],[Horas Planificadas]],0)</f>
        <v>0</v>
      </c>
      <c r="W5166" s="44">
        <f>Planning[[#This Row],[Horas Planificadas]]+Planning[[#This Row],[Horas ajustadas adicionales]]</f>
        <v>0</v>
      </c>
    </row>
    <row r="5167" spans="1:23" ht="13.35" customHeight="1" x14ac:dyDescent="0.2">
      <c r="A5167" s="9" t="s">
        <v>626</v>
      </c>
      <c r="B5167" s="9" t="s">
        <v>205</v>
      </c>
      <c r="C5167" s="3"/>
      <c r="D5167" s="3" t="s">
        <v>895</v>
      </c>
      <c r="E5167" s="4" t="s">
        <v>32</v>
      </c>
      <c r="F5167" s="3"/>
      <c r="G5167" s="9">
        <v>70</v>
      </c>
      <c r="H5167" s="14">
        <f>SUM(H5168:H5170)</f>
        <v>70</v>
      </c>
      <c r="I5167" s="14"/>
      <c r="J5167" s="14" t="e">
        <f>SUM(J5168:J5170)</f>
        <v>#REF!</v>
      </c>
      <c r="K5167" s="14" t="e">
        <f>+Planning[[#This Row],[Horas Planificadas]]+Planning[[#This Row],[Horas ajustadas adicionales]]-Planning[[#This Row],[Horas utilizadas]]</f>
        <v>#REF!</v>
      </c>
      <c r="L5167" s="15" t="e">
        <f>SUM(L5168:L5170)</f>
        <v>#REF!</v>
      </c>
      <c r="M5167" s="16" t="e">
        <f>SUM(M5168:M5170)</f>
        <v>#REF!</v>
      </c>
      <c r="N5167" s="60" t="e">
        <f>+SUMIFS(#REF!,#REF!,Planning[[#This Row],[Proyectos]],#REF!,Planning[[#This Row],[Tipo de Tarea y especialidad]])+SUMIFS(#REF!,#REF!,Planning[[#This Row],[Proyectos Reiwa]],#REF!,Planning[[#This Row],[Tipo de Tarea y especialidad]])</f>
        <v>#REF!</v>
      </c>
      <c r="O5167" s="16">
        <f t="shared" si="161"/>
        <v>10</v>
      </c>
      <c r="P5167" s="16">
        <f t="shared" si="162"/>
        <v>2024</v>
      </c>
      <c r="Q5167" s="16" t="e">
        <f>SUM(Q5168:Q5170)</f>
        <v>#REF!</v>
      </c>
      <c r="R5167" s="50" t="str">
        <f>TEXT(Planning[[#This Row],[Mes]]*29,"mmmm")</f>
        <v>October</v>
      </c>
      <c r="S516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67" s="156"/>
      <c r="U5167" s="43" t="e">
        <f>IF(Planning[[#This Row],[Horas Planificadas]]&lt;&gt;0,+K5167/Planning[[#This Row],[Horas Planificadas]],0)</f>
        <v>#REF!</v>
      </c>
      <c r="V5167" s="43" t="e">
        <f>IF(Planning[[#This Row],[Horas Planificadas]]&lt;&gt;0,Planning[[#This Row],[Horas utilizadas]]/Planning[[#This Row],[Horas Planificadas]],0)</f>
        <v>#REF!</v>
      </c>
      <c r="W5167" s="44">
        <f>Planning[[#This Row],[Horas Planificadas]]+Planning[[#This Row],[Horas ajustadas adicionales]]</f>
        <v>70</v>
      </c>
    </row>
    <row r="5168" spans="1:23" ht="13.35" customHeight="1" x14ac:dyDescent="0.2">
      <c r="A5168" s="9" t="s">
        <v>626</v>
      </c>
      <c r="B5168" s="9" t="s">
        <v>205</v>
      </c>
      <c r="C5168" s="3"/>
      <c r="D5168" s="3" t="s">
        <v>895</v>
      </c>
      <c r="E5168" s="4"/>
      <c r="F5168" s="3" t="s">
        <v>129</v>
      </c>
      <c r="G5168" s="9"/>
      <c r="H5168" s="9"/>
      <c r="I5168" s="12"/>
      <c r="J5168" s="5" t="e">
        <f>SUM(SUMIFS(#REF!,#REF!,Planning[[#This Row],[Tipo de Tarea y especialidad]],#REF!,Planning[[#This Row],[Proyectos Reiwa]]),SUMIFS(#REF!,#REF!,Planning[[#This Row],[Tipo de Tarea y especialidad]],#REF!,Planning[[#This Row],[Proyectos]]))</f>
        <v>#REF!</v>
      </c>
      <c r="K5168" s="5" t="e">
        <f>+Planning[[#This Row],[Horas Planificadas]]+Planning[[#This Row],[Horas ajustadas adicionales]]-Planning[[#This Row],[Horas utilizadas]]</f>
        <v>#REF!</v>
      </c>
      <c r="L5168" s="7" t="e">
        <f>Planning[[#This Row],[Saldo]]</f>
        <v>#REF!</v>
      </c>
      <c r="M5168" s="19" t="e">
        <f>Planning[[#This Row],[Saldo]]-Planning[[#This Row],[Saldo estimado]]</f>
        <v>#REF!</v>
      </c>
      <c r="N5168" s="60" t="e">
        <f>+SUMIFS(#REF!,#REF!,Planning[[#This Row],[Proyectos]],#REF!,Planning[[#This Row],[Tipo de Tarea y especialidad]])+SUMIFS(#REF!,#REF!,Planning[[#This Row],[Proyectos Reiwa]],#REF!,Planning[[#This Row],[Tipo de Tarea y especialidad]])</f>
        <v>#REF!</v>
      </c>
      <c r="O5168" s="19">
        <f t="shared" si="161"/>
        <v>10</v>
      </c>
      <c r="P5168" s="19">
        <f t="shared" si="162"/>
        <v>2024</v>
      </c>
      <c r="Q51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68" s="49" t="str">
        <f>TEXT(Planning[[#This Row],[Mes]]*29,"mmmm")</f>
        <v>October</v>
      </c>
      <c r="S516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68" s="156"/>
      <c r="U5168" s="43">
        <f>IF(Planning[[#This Row],[Horas Planificadas]]&lt;&gt;0,+K5168/Planning[[#This Row],[Horas Planificadas]],0)</f>
        <v>0</v>
      </c>
      <c r="V5168" s="43">
        <f>IF(Planning[[#This Row],[Horas Planificadas]]&lt;&gt;0,Planning[[#This Row],[Horas utilizadas]]/Planning[[#This Row],[Horas Planificadas]],0)</f>
        <v>0</v>
      </c>
      <c r="W5168" s="44">
        <f>Planning[[#This Row],[Horas Planificadas]]+Planning[[#This Row],[Horas ajustadas adicionales]]</f>
        <v>0</v>
      </c>
    </row>
    <row r="5169" spans="1:23" ht="13.35" customHeight="1" x14ac:dyDescent="0.2">
      <c r="A5169" s="9" t="s">
        <v>626</v>
      </c>
      <c r="B5169" s="9" t="s">
        <v>205</v>
      </c>
      <c r="C5169" s="3"/>
      <c r="D5169" s="3" t="s">
        <v>895</v>
      </c>
      <c r="E5169" s="4"/>
      <c r="F5169" s="3" t="s">
        <v>130</v>
      </c>
      <c r="G5169" s="9"/>
      <c r="H5169" s="9">
        <v>70</v>
      </c>
      <c r="I5169" s="12"/>
      <c r="J5169" s="5" t="e">
        <f>SUM(SUMIFS(#REF!,#REF!,Planning[[#This Row],[Tipo de Tarea y especialidad]],#REF!,Planning[[#This Row],[Proyectos Reiwa]]),SUMIFS(#REF!,#REF!,Planning[[#This Row],[Tipo de Tarea y especialidad]],#REF!,Planning[[#This Row],[Proyectos]]))</f>
        <v>#REF!</v>
      </c>
      <c r="K5169" s="5" t="e">
        <f>+Planning[[#This Row],[Horas Planificadas]]+Planning[[#This Row],[Horas ajustadas adicionales]]-Planning[[#This Row],[Horas utilizadas]]</f>
        <v>#REF!</v>
      </c>
      <c r="L5169" s="7">
        <v>0</v>
      </c>
      <c r="M5169" s="19" t="e">
        <f>Planning[[#This Row],[Saldo]]-Planning[[#This Row],[Saldo estimado]]</f>
        <v>#REF!</v>
      </c>
      <c r="N5169" s="60" t="e">
        <f>+SUMIFS(#REF!,#REF!,Planning[[#This Row],[Proyectos]],#REF!,Planning[[#This Row],[Tipo de Tarea y especialidad]])+SUMIFS(#REF!,#REF!,Planning[[#This Row],[Proyectos Reiwa]],#REF!,Planning[[#This Row],[Tipo de Tarea y especialidad]])</f>
        <v>#REF!</v>
      </c>
      <c r="O5169" s="19">
        <f t="shared" si="161"/>
        <v>10</v>
      </c>
      <c r="P5169" s="19">
        <f t="shared" si="162"/>
        <v>2024</v>
      </c>
      <c r="Q51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69" s="49" t="str">
        <f>TEXT(Planning[[#This Row],[Mes]]*29,"mmmm")</f>
        <v>October</v>
      </c>
      <c r="S516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69" s="156"/>
      <c r="U5169" s="43" t="e">
        <f>IF(Planning[[#This Row],[Horas Planificadas]]&lt;&gt;0,+K5169/Planning[[#This Row],[Horas Planificadas]],0)</f>
        <v>#REF!</v>
      </c>
      <c r="V5169" s="43" t="e">
        <f>IF(Planning[[#This Row],[Horas Planificadas]]&lt;&gt;0,Planning[[#This Row],[Horas utilizadas]]/Planning[[#This Row],[Horas Planificadas]],0)</f>
        <v>#REF!</v>
      </c>
      <c r="W5169" s="44">
        <f>Planning[[#This Row],[Horas Planificadas]]+Planning[[#This Row],[Horas ajustadas adicionales]]</f>
        <v>70</v>
      </c>
    </row>
    <row r="5170" spans="1:23" ht="13.35" customHeight="1" x14ac:dyDescent="0.2">
      <c r="A5170" s="9" t="s">
        <v>626</v>
      </c>
      <c r="B5170" s="9" t="s">
        <v>205</v>
      </c>
      <c r="C5170" s="3"/>
      <c r="D5170" s="3" t="s">
        <v>895</v>
      </c>
      <c r="E5170" s="4"/>
      <c r="F5170" s="3" t="s">
        <v>131</v>
      </c>
      <c r="G5170" s="9"/>
      <c r="H5170" s="9"/>
      <c r="I5170" s="12"/>
      <c r="J5170" s="5" t="e">
        <f>SUM(SUMIFS(#REF!,#REF!,Planning[[#This Row],[Tipo de Tarea y especialidad]],#REF!,Planning[[#This Row],[Proyectos Reiwa]]),SUMIFS(#REF!,#REF!,Planning[[#This Row],[Tipo de Tarea y especialidad]],#REF!,Planning[[#This Row],[Proyectos]]))</f>
        <v>#REF!</v>
      </c>
      <c r="K5170" s="5" t="e">
        <f>+Planning[[#This Row],[Horas Planificadas]]+Planning[[#This Row],[Horas ajustadas adicionales]]-Planning[[#This Row],[Horas utilizadas]]</f>
        <v>#REF!</v>
      </c>
      <c r="L5170" s="7">
        <v>0</v>
      </c>
      <c r="M5170" s="19" t="e">
        <f>Planning[[#This Row],[Saldo]]-Planning[[#This Row],[Saldo estimado]]</f>
        <v>#REF!</v>
      </c>
      <c r="N5170" s="60" t="e">
        <f>+SUMIFS(#REF!,#REF!,Planning[[#This Row],[Proyectos]],#REF!,Planning[[#This Row],[Tipo de Tarea y especialidad]])+SUMIFS(#REF!,#REF!,Planning[[#This Row],[Proyectos Reiwa]],#REF!,Planning[[#This Row],[Tipo de Tarea y especialidad]])</f>
        <v>#REF!</v>
      </c>
      <c r="O5170" s="19">
        <f t="shared" si="161"/>
        <v>10</v>
      </c>
      <c r="P5170" s="19">
        <f t="shared" si="162"/>
        <v>2024</v>
      </c>
      <c r="Q51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70" s="51" t="str">
        <f>TEXT(Planning[[#This Row],[Mes]]*29,"mmmm")</f>
        <v>October</v>
      </c>
      <c r="S5170"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70" s="157"/>
      <c r="U5170" s="43">
        <f>IF(Planning[[#This Row],[Horas Planificadas]]&lt;&gt;0,+K5170/Planning[[#This Row],[Horas Planificadas]],0)</f>
        <v>0</v>
      </c>
      <c r="V5170" s="43">
        <f>IF(Planning[[#This Row],[Horas Planificadas]]&lt;&gt;0,Planning[[#This Row],[Horas utilizadas]]/Planning[[#This Row],[Horas Planificadas]],0)</f>
        <v>0</v>
      </c>
      <c r="W5170" s="44">
        <f>Planning[[#This Row],[Horas Planificadas]]+Planning[[#This Row],[Horas ajustadas adicionales]]</f>
        <v>0</v>
      </c>
    </row>
    <row r="5171" spans="1:23" ht="13.35" customHeight="1" x14ac:dyDescent="0.2">
      <c r="A5171" s="7" t="s">
        <v>435</v>
      </c>
      <c r="B5171" s="7" t="s">
        <v>463</v>
      </c>
      <c r="C5171" s="3">
        <v>116923</v>
      </c>
      <c r="D5171" s="3" t="s">
        <v>897</v>
      </c>
      <c r="E5171" s="4" t="s">
        <v>28</v>
      </c>
      <c r="F5171" s="3"/>
      <c r="G5171" s="9">
        <v>435</v>
      </c>
      <c r="H5171" s="85">
        <f>SUM(H5172:H5173)</f>
        <v>435</v>
      </c>
      <c r="I5171" s="86"/>
      <c r="J5171" s="14" t="e">
        <f>SUM(J5172:J5173)</f>
        <v>#REF!</v>
      </c>
      <c r="K5171" s="84" t="e">
        <f>+Planning[[#This Row],[Horas Planificadas]]+Planning[[#This Row],[Horas ajustadas adicionales]]-Planning[[#This Row],[Horas utilizadas]]</f>
        <v>#REF!</v>
      </c>
      <c r="L5171" s="87">
        <f>SUM(L5172:L5173)</f>
        <v>45</v>
      </c>
      <c r="M5171" s="88" t="e">
        <f>SUM(M5172:M5173)</f>
        <v>#REF!</v>
      </c>
      <c r="N5171" s="60" t="e">
        <f>+SUMIFS(#REF!,#REF!,Planning[[#This Row],[Proyectos]],#REF!,Planning[[#This Row],[Tipo de Tarea y especialidad]])+SUMIFS(#REF!,#REF!,Planning[[#This Row],[Proyectos Reiwa]],#REF!,Planning[[#This Row],[Tipo de Tarea y especialidad]])</f>
        <v>#REF!</v>
      </c>
      <c r="O5171" s="34">
        <f t="shared" ref="O5171:O5234" si="163">$L$4</f>
        <v>10</v>
      </c>
      <c r="P5171" s="34">
        <f t="shared" ref="P5171:P5234" si="164">$M$4</f>
        <v>2024</v>
      </c>
      <c r="Q5171" s="28" t="e">
        <f>SUM(Q5172:Q5173)</f>
        <v>#REF!</v>
      </c>
      <c r="R5171" s="24" t="str">
        <f>TEXT(Planning[[#This Row],[Mes]]*29,"mmmm")</f>
        <v>October</v>
      </c>
      <c r="S5171"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71" s="151" t="s">
        <v>898</v>
      </c>
      <c r="U5171" s="43" t="e">
        <f>IF(Planning[[#This Row],[Horas Planificadas]]&lt;&gt;0,+K5171/Planning[[#This Row],[Horas Planificadas]],0)</f>
        <v>#REF!</v>
      </c>
      <c r="V5171" s="43" t="e">
        <f>IF(Planning[[#This Row],[Horas Planificadas]]&lt;&gt;0,Planning[[#This Row],[Horas utilizadas]]/Planning[[#This Row],[Horas Planificadas]],0)</f>
        <v>#REF!</v>
      </c>
      <c r="W5171" s="44">
        <f>Planning[[#This Row],[Horas Planificadas]]+Planning[[#This Row],[Horas ajustadas adicionales]]</f>
        <v>435</v>
      </c>
    </row>
    <row r="5172" spans="1:23" ht="13.35" customHeight="1" x14ac:dyDescent="0.2">
      <c r="A5172" s="9" t="s">
        <v>435</v>
      </c>
      <c r="B5172" s="9" t="s">
        <v>463</v>
      </c>
      <c r="C5172" s="3">
        <v>116923</v>
      </c>
      <c r="D5172" s="3" t="s">
        <v>897</v>
      </c>
      <c r="E5172" s="4"/>
      <c r="F5172" s="3" t="s">
        <v>120</v>
      </c>
      <c r="G5172" s="9"/>
      <c r="H5172" s="20">
        <v>300</v>
      </c>
      <c r="I5172" s="12"/>
      <c r="J5172" s="5" t="e">
        <f>SUM(SUMIFS(#REF!,#REF!,Planning[[#This Row],[Tipo de Tarea y especialidad]],#REF!,Planning[[#This Row],[Proyectos Reiwa]]),SUMIFS(#REF!,#REF!,Planning[[#This Row],[Tipo de Tarea y especialidad]],#REF!,Planning[[#This Row],[Proyectos]]))</f>
        <v>#REF!</v>
      </c>
      <c r="K5172" s="5" t="e">
        <f>+Planning[[#This Row],[Horas Planificadas]]+Planning[[#This Row],[Horas ajustadas adicionales]]-Planning[[#This Row],[Horas utilizadas]]</f>
        <v>#REF!</v>
      </c>
      <c r="L5172" s="7">
        <v>0</v>
      </c>
      <c r="M5172" s="19" t="e">
        <f>Planning[[#This Row],[Saldo]]-Planning[[#This Row],[Saldo estimado]]</f>
        <v>#REF!</v>
      </c>
      <c r="N5172" s="60" t="e">
        <f>+SUMIFS(#REF!,#REF!,Planning[[#This Row],[Proyectos]],#REF!,Planning[[#This Row],[Tipo de Tarea y especialidad]])+SUMIFS(#REF!,#REF!,Planning[[#This Row],[Proyectos Reiwa]],#REF!,Planning[[#This Row],[Tipo de Tarea y especialidad]])</f>
        <v>#REF!</v>
      </c>
      <c r="O5172" s="19">
        <f t="shared" si="163"/>
        <v>10</v>
      </c>
      <c r="P5172" s="19">
        <f t="shared" si="164"/>
        <v>2024</v>
      </c>
      <c r="Q51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72" s="49" t="str">
        <f>TEXT(Planning[[#This Row],[Mes]]*29,"mmmm")</f>
        <v>October</v>
      </c>
      <c r="S517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72" s="156"/>
      <c r="U5172" s="43" t="e">
        <f>IF(Planning[[#This Row],[Horas Planificadas]]&lt;&gt;0,+K5172/Planning[[#This Row],[Horas Planificadas]],0)</f>
        <v>#REF!</v>
      </c>
      <c r="V5172" s="43" t="e">
        <f>IF(Planning[[#This Row],[Horas Planificadas]]&lt;&gt;0,Planning[[#This Row],[Horas utilizadas]]/Planning[[#This Row],[Horas Planificadas]],0)</f>
        <v>#REF!</v>
      </c>
      <c r="W5172" s="44">
        <f>Planning[[#This Row],[Horas Planificadas]]+Planning[[#This Row],[Horas ajustadas adicionales]]</f>
        <v>300</v>
      </c>
    </row>
    <row r="5173" spans="1:23" ht="13.35" customHeight="1" x14ac:dyDescent="0.2">
      <c r="A5173" s="9" t="s">
        <v>435</v>
      </c>
      <c r="B5173" s="9" t="s">
        <v>463</v>
      </c>
      <c r="C5173" s="3">
        <v>116923</v>
      </c>
      <c r="D5173" s="3" t="s">
        <v>897</v>
      </c>
      <c r="E5173" s="4"/>
      <c r="F5173" s="3" t="s">
        <v>121</v>
      </c>
      <c r="G5173" s="9"/>
      <c r="H5173" s="20">
        <v>135</v>
      </c>
      <c r="I5173" s="12"/>
      <c r="J5173" s="5" t="e">
        <f>SUM(SUMIFS(#REF!,#REF!,Planning[[#This Row],[Tipo de Tarea y especialidad]],#REF!,Planning[[#This Row],[Proyectos Reiwa]]),SUMIFS(#REF!,#REF!,Planning[[#This Row],[Tipo de Tarea y especialidad]],#REF!,Planning[[#This Row],[Proyectos]]))</f>
        <v>#REF!</v>
      </c>
      <c r="K5173" s="5" t="e">
        <f>+Planning[[#This Row],[Horas Planificadas]]+Planning[[#This Row],[Horas ajustadas adicionales]]-Planning[[#This Row],[Horas utilizadas]]</f>
        <v>#REF!</v>
      </c>
      <c r="L5173" s="7">
        <v>45</v>
      </c>
      <c r="M5173" s="19" t="e">
        <f>Planning[[#This Row],[Saldo]]-Planning[[#This Row],[Saldo estimado]]</f>
        <v>#REF!</v>
      </c>
      <c r="N5173" s="60" t="e">
        <f>+SUMIFS(#REF!,#REF!,Planning[[#This Row],[Proyectos]],#REF!,Planning[[#This Row],[Tipo de Tarea y especialidad]])+SUMIFS(#REF!,#REF!,Planning[[#This Row],[Proyectos Reiwa]],#REF!,Planning[[#This Row],[Tipo de Tarea y especialidad]])</f>
        <v>#REF!</v>
      </c>
      <c r="O5173" s="19">
        <f t="shared" si="163"/>
        <v>10</v>
      </c>
      <c r="P5173" s="19">
        <f t="shared" si="164"/>
        <v>2024</v>
      </c>
      <c r="Q51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73" s="49" t="str">
        <f>TEXT(Planning[[#This Row],[Mes]]*29,"mmmm")</f>
        <v>October</v>
      </c>
      <c r="S517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73" s="156"/>
      <c r="U5173" s="43" t="e">
        <f>IF(Planning[[#This Row],[Horas Planificadas]]&lt;&gt;0,+K5173/Planning[[#This Row],[Horas Planificadas]],0)</f>
        <v>#REF!</v>
      </c>
      <c r="V5173" s="43" t="e">
        <f>IF(Planning[[#This Row],[Horas Planificadas]]&lt;&gt;0,Planning[[#This Row],[Horas utilizadas]]/Planning[[#This Row],[Horas Planificadas]],0)</f>
        <v>#REF!</v>
      </c>
      <c r="W5173" s="44">
        <f>Planning[[#This Row],[Horas Planificadas]]+Planning[[#This Row],[Horas ajustadas adicionales]]</f>
        <v>135</v>
      </c>
    </row>
    <row r="5174" spans="1:23" ht="13.35" customHeight="1" x14ac:dyDescent="0.2">
      <c r="A5174" s="9" t="s">
        <v>435</v>
      </c>
      <c r="B5174" s="9" t="s">
        <v>463</v>
      </c>
      <c r="C5174" s="3">
        <v>116923</v>
      </c>
      <c r="D5174" s="3" t="s">
        <v>897</v>
      </c>
      <c r="E5174" s="4" t="s">
        <v>30</v>
      </c>
      <c r="F5174" s="3"/>
      <c r="G5174" s="9">
        <v>802</v>
      </c>
      <c r="H5174" s="85">
        <f>SUM(H5175:H5181)</f>
        <v>802</v>
      </c>
      <c r="I5174" s="86"/>
      <c r="J5174" s="14" t="e">
        <f>SUM(J5175:J5181)</f>
        <v>#REF!</v>
      </c>
      <c r="K5174" s="84" t="e">
        <f>+Planning[[#This Row],[Horas Planificadas]]+Planning[[#This Row],[Horas ajustadas adicionales]]-Planning[[#This Row],[Horas utilizadas]]</f>
        <v>#REF!</v>
      </c>
      <c r="L5174" s="87" t="e">
        <f>SUM(L5175:L5181)</f>
        <v>#REF!</v>
      </c>
      <c r="M5174" s="88" t="e">
        <f>SUM(M5175:M5181)</f>
        <v>#REF!</v>
      </c>
      <c r="N5174" s="60" t="e">
        <f>+SUMIFS(#REF!,#REF!,Planning[[#This Row],[Proyectos]],#REF!,Planning[[#This Row],[Tipo de Tarea y especialidad]])+SUMIFS(#REF!,#REF!,Planning[[#This Row],[Proyectos Reiwa]],#REF!,Planning[[#This Row],[Tipo de Tarea y especialidad]])</f>
        <v>#REF!</v>
      </c>
      <c r="O5174" s="19">
        <f t="shared" si="163"/>
        <v>10</v>
      </c>
      <c r="P5174" s="19">
        <f t="shared" si="164"/>
        <v>2024</v>
      </c>
      <c r="Q5174" s="16" t="e">
        <f>SUM(Q5175:Q5181)</f>
        <v>#REF!</v>
      </c>
      <c r="R5174" s="50" t="str">
        <f>TEXT(Planning[[#This Row],[Mes]]*29,"mmmm")</f>
        <v>October</v>
      </c>
      <c r="S517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74" s="156"/>
      <c r="U5174" s="43" t="e">
        <f>IF(Planning[[#This Row],[Horas Planificadas]]&lt;&gt;0,+K5174/Planning[[#This Row],[Horas Planificadas]],0)</f>
        <v>#REF!</v>
      </c>
      <c r="V5174" s="43" t="e">
        <f>IF(Planning[[#This Row],[Horas Planificadas]]&lt;&gt;0,Planning[[#This Row],[Horas utilizadas]]/Planning[[#This Row],[Horas Planificadas]],0)</f>
        <v>#REF!</v>
      </c>
      <c r="W5174" s="44">
        <f>Planning[[#This Row],[Horas Planificadas]]+Planning[[#This Row],[Horas ajustadas adicionales]]</f>
        <v>802</v>
      </c>
    </row>
    <row r="5175" spans="1:23" ht="13.35" customHeight="1" x14ac:dyDescent="0.2">
      <c r="A5175" s="9" t="s">
        <v>435</v>
      </c>
      <c r="B5175" s="9" t="s">
        <v>463</v>
      </c>
      <c r="C5175" s="3">
        <v>116923</v>
      </c>
      <c r="D5175" s="3" t="s">
        <v>897</v>
      </c>
      <c r="E5175" s="4"/>
      <c r="F5175" s="3" t="s">
        <v>122</v>
      </c>
      <c r="G5175" s="9"/>
      <c r="H5175" s="20"/>
      <c r="I5175" s="12"/>
      <c r="J5175" s="5" t="e">
        <f>SUM(SUMIFS(#REF!,#REF!,Planning[[#This Row],[Tipo de Tarea y especialidad]],#REF!,Planning[[#This Row],[Proyectos Reiwa]]),SUMIFS(#REF!,#REF!,Planning[[#This Row],[Tipo de Tarea y especialidad]],#REF!,Planning[[#This Row],[Proyectos]]))</f>
        <v>#REF!</v>
      </c>
      <c r="K5175" s="5" t="e">
        <f>+Planning[[#This Row],[Horas Planificadas]]+Planning[[#This Row],[Horas ajustadas adicionales]]-Planning[[#This Row],[Horas utilizadas]]</f>
        <v>#REF!</v>
      </c>
      <c r="L5175" s="7" t="e">
        <f>Planning[[#This Row],[Saldo]]</f>
        <v>#REF!</v>
      </c>
      <c r="M5175" s="19" t="e">
        <f>Planning[[#This Row],[Saldo]]-Planning[[#This Row],[Saldo estimado]]</f>
        <v>#REF!</v>
      </c>
      <c r="N5175" s="60" t="e">
        <f>+SUMIFS(#REF!,#REF!,Planning[[#This Row],[Proyectos]],#REF!,Planning[[#This Row],[Tipo de Tarea y especialidad]])+SUMIFS(#REF!,#REF!,Planning[[#This Row],[Proyectos Reiwa]],#REF!,Planning[[#This Row],[Tipo de Tarea y especialidad]])</f>
        <v>#REF!</v>
      </c>
      <c r="O5175" s="19">
        <f t="shared" si="163"/>
        <v>10</v>
      </c>
      <c r="P5175" s="19">
        <f t="shared" si="164"/>
        <v>2024</v>
      </c>
      <c r="Q51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75" s="49" t="str">
        <f>TEXT(Planning[[#This Row],[Mes]]*29,"mmmm")</f>
        <v>October</v>
      </c>
      <c r="S517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75" s="156"/>
      <c r="U5175" s="43">
        <f>IF(Planning[[#This Row],[Horas Planificadas]]&lt;&gt;0,+K5175/Planning[[#This Row],[Horas Planificadas]],0)</f>
        <v>0</v>
      </c>
      <c r="V5175" s="43">
        <f>IF(Planning[[#This Row],[Horas Planificadas]]&lt;&gt;0,Planning[[#This Row],[Horas utilizadas]]/Planning[[#This Row],[Horas Planificadas]],0)</f>
        <v>0</v>
      </c>
      <c r="W5175" s="44">
        <f>Planning[[#This Row],[Horas Planificadas]]+Planning[[#This Row],[Horas ajustadas adicionales]]</f>
        <v>0</v>
      </c>
    </row>
    <row r="5176" spans="1:23" ht="13.35" customHeight="1" x14ac:dyDescent="0.2">
      <c r="A5176" s="9" t="s">
        <v>435</v>
      </c>
      <c r="B5176" s="9" t="s">
        <v>463</v>
      </c>
      <c r="C5176" s="3">
        <v>116923</v>
      </c>
      <c r="D5176" s="3" t="s">
        <v>897</v>
      </c>
      <c r="E5176" s="4"/>
      <c r="F5176" s="3" t="s">
        <v>123</v>
      </c>
      <c r="G5176" s="9"/>
      <c r="H5176" s="20">
        <v>162</v>
      </c>
      <c r="I5176" s="12"/>
      <c r="J5176" s="5" t="e">
        <f>SUM(SUMIFS(#REF!,#REF!,Planning[[#This Row],[Tipo de Tarea y especialidad]],#REF!,Planning[[#This Row],[Proyectos Reiwa]]),SUMIFS(#REF!,#REF!,Planning[[#This Row],[Tipo de Tarea y especialidad]],#REF!,Planning[[#This Row],[Proyectos]]))</f>
        <v>#REF!</v>
      </c>
      <c r="K5176" s="5" t="e">
        <f>+Planning[[#This Row],[Horas Planificadas]]+Planning[[#This Row],[Horas ajustadas adicionales]]-Planning[[#This Row],[Horas utilizadas]]</f>
        <v>#REF!</v>
      </c>
      <c r="L5176" s="7">
        <v>0</v>
      </c>
      <c r="M5176" s="19" t="e">
        <f>Planning[[#This Row],[Saldo]]-Planning[[#This Row],[Saldo estimado]]</f>
        <v>#REF!</v>
      </c>
      <c r="N5176" s="60" t="e">
        <f>+SUMIFS(#REF!,#REF!,Planning[[#This Row],[Proyectos]],#REF!,Planning[[#This Row],[Tipo de Tarea y especialidad]])+SUMIFS(#REF!,#REF!,Planning[[#This Row],[Proyectos Reiwa]],#REF!,Planning[[#This Row],[Tipo de Tarea y especialidad]])</f>
        <v>#REF!</v>
      </c>
      <c r="O5176" s="19">
        <f t="shared" si="163"/>
        <v>10</v>
      </c>
      <c r="P5176" s="19">
        <f t="shared" si="164"/>
        <v>2024</v>
      </c>
      <c r="Q51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76" s="49" t="str">
        <f>TEXT(Planning[[#This Row],[Mes]]*29,"mmmm")</f>
        <v>October</v>
      </c>
      <c r="S517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76" s="156"/>
      <c r="U5176" s="43" t="e">
        <f>IF(Planning[[#This Row],[Horas Planificadas]]&lt;&gt;0,+K5176/Planning[[#This Row],[Horas Planificadas]],0)</f>
        <v>#REF!</v>
      </c>
      <c r="V5176" s="43" t="e">
        <f>IF(Planning[[#This Row],[Horas Planificadas]]&lt;&gt;0,Planning[[#This Row],[Horas utilizadas]]/Planning[[#This Row],[Horas Planificadas]],0)</f>
        <v>#REF!</v>
      </c>
      <c r="W5176" s="44">
        <f>Planning[[#This Row],[Horas Planificadas]]+Planning[[#This Row],[Horas ajustadas adicionales]]</f>
        <v>162</v>
      </c>
    </row>
    <row r="5177" spans="1:23" ht="13.35" customHeight="1" x14ac:dyDescent="0.2">
      <c r="A5177" s="9" t="s">
        <v>435</v>
      </c>
      <c r="B5177" s="9" t="s">
        <v>463</v>
      </c>
      <c r="C5177" s="3">
        <v>116923</v>
      </c>
      <c r="D5177" s="3" t="s">
        <v>897</v>
      </c>
      <c r="E5177" s="4"/>
      <c r="F5177" s="3" t="s">
        <v>124</v>
      </c>
      <c r="G5177" s="9"/>
      <c r="H5177" s="20">
        <v>198</v>
      </c>
      <c r="I5177" s="12"/>
      <c r="J5177" s="5" t="e">
        <f>SUM(SUMIFS(#REF!,#REF!,Planning[[#This Row],[Tipo de Tarea y especialidad]],#REF!,Planning[[#This Row],[Proyectos Reiwa]]),SUMIFS(#REF!,#REF!,Planning[[#This Row],[Tipo de Tarea y especialidad]],#REF!,Planning[[#This Row],[Proyectos]]))</f>
        <v>#REF!</v>
      </c>
      <c r="K5177" s="5" t="e">
        <f>+Planning[[#This Row],[Horas Planificadas]]+Planning[[#This Row],[Horas ajustadas adicionales]]-Planning[[#This Row],[Horas utilizadas]]</f>
        <v>#REF!</v>
      </c>
      <c r="L5177" s="7" t="e">
        <f>Planning[[#This Row],[Saldo]]</f>
        <v>#REF!</v>
      </c>
      <c r="M5177" s="19" t="e">
        <f>Planning[[#This Row],[Saldo]]-Planning[[#This Row],[Saldo estimado]]</f>
        <v>#REF!</v>
      </c>
      <c r="N5177" s="60" t="e">
        <f>+SUMIFS(#REF!,#REF!,Planning[[#This Row],[Proyectos]],#REF!,Planning[[#This Row],[Tipo de Tarea y especialidad]])+SUMIFS(#REF!,#REF!,Planning[[#This Row],[Proyectos Reiwa]],#REF!,Planning[[#This Row],[Tipo de Tarea y especialidad]])</f>
        <v>#REF!</v>
      </c>
      <c r="O5177" s="19">
        <f t="shared" si="163"/>
        <v>10</v>
      </c>
      <c r="P5177" s="19">
        <f t="shared" si="164"/>
        <v>2024</v>
      </c>
      <c r="Q51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77" s="49" t="str">
        <f>TEXT(Planning[[#This Row],[Mes]]*29,"mmmm")</f>
        <v>October</v>
      </c>
      <c r="S517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77" s="156"/>
      <c r="U5177" s="43" t="e">
        <f>IF(Planning[[#This Row],[Horas Planificadas]]&lt;&gt;0,+K5177/Planning[[#This Row],[Horas Planificadas]],0)</f>
        <v>#REF!</v>
      </c>
      <c r="V5177" s="43" t="e">
        <f>IF(Planning[[#This Row],[Horas Planificadas]]&lt;&gt;0,Planning[[#This Row],[Horas utilizadas]]/Planning[[#This Row],[Horas Planificadas]],0)</f>
        <v>#REF!</v>
      </c>
      <c r="W5177" s="44">
        <f>Planning[[#This Row],[Horas Planificadas]]+Planning[[#This Row],[Horas ajustadas adicionales]]</f>
        <v>198</v>
      </c>
    </row>
    <row r="5178" spans="1:23" ht="13.35" customHeight="1" x14ac:dyDescent="0.2">
      <c r="A5178" s="9" t="s">
        <v>435</v>
      </c>
      <c r="B5178" s="9" t="s">
        <v>463</v>
      </c>
      <c r="C5178" s="3">
        <v>116923</v>
      </c>
      <c r="D5178" s="3" t="s">
        <v>897</v>
      </c>
      <c r="E5178" s="4"/>
      <c r="F5178" s="3" t="s">
        <v>125</v>
      </c>
      <c r="G5178" s="9"/>
      <c r="H5178" s="20">
        <v>199</v>
      </c>
      <c r="I5178" s="12"/>
      <c r="J5178" s="5" t="e">
        <f>SUM(SUMIFS(#REF!,#REF!,Planning[[#This Row],[Tipo de Tarea y especialidad]],#REF!,Planning[[#This Row],[Proyectos Reiwa]]),SUMIFS(#REF!,#REF!,Planning[[#This Row],[Tipo de Tarea y especialidad]],#REF!,Planning[[#This Row],[Proyectos]]))</f>
        <v>#REF!</v>
      </c>
      <c r="K5178" s="5" t="e">
        <f>+Planning[[#This Row],[Horas Planificadas]]+Planning[[#This Row],[Horas ajustadas adicionales]]-Planning[[#This Row],[Horas utilizadas]]</f>
        <v>#REF!</v>
      </c>
      <c r="L5178" s="7" t="e">
        <f>Planning[[#This Row],[Saldo]]</f>
        <v>#REF!</v>
      </c>
      <c r="M5178" s="19" t="e">
        <f>Planning[[#This Row],[Saldo]]-Planning[[#This Row],[Saldo estimado]]</f>
        <v>#REF!</v>
      </c>
      <c r="N5178" s="60" t="e">
        <f>+SUMIFS(#REF!,#REF!,Planning[[#This Row],[Proyectos]],#REF!,Planning[[#This Row],[Tipo de Tarea y especialidad]])+SUMIFS(#REF!,#REF!,Planning[[#This Row],[Proyectos Reiwa]],#REF!,Planning[[#This Row],[Tipo de Tarea y especialidad]])</f>
        <v>#REF!</v>
      </c>
      <c r="O5178" s="19">
        <f t="shared" si="163"/>
        <v>10</v>
      </c>
      <c r="P5178" s="19">
        <f t="shared" si="164"/>
        <v>2024</v>
      </c>
      <c r="Q51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78" s="49" t="str">
        <f>TEXT(Planning[[#This Row],[Mes]]*29,"mmmm")</f>
        <v>October</v>
      </c>
      <c r="S517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78" s="156"/>
      <c r="U5178" s="43" t="e">
        <f>IF(Planning[[#This Row],[Horas Planificadas]]&lt;&gt;0,+K5178/Planning[[#This Row],[Horas Planificadas]],0)</f>
        <v>#REF!</v>
      </c>
      <c r="V5178" s="43" t="e">
        <f>IF(Planning[[#This Row],[Horas Planificadas]]&lt;&gt;0,Planning[[#This Row],[Horas utilizadas]]/Planning[[#This Row],[Horas Planificadas]],0)</f>
        <v>#REF!</v>
      </c>
      <c r="W5178" s="44">
        <f>Planning[[#This Row],[Horas Planificadas]]+Planning[[#This Row],[Horas ajustadas adicionales]]</f>
        <v>199</v>
      </c>
    </row>
    <row r="5179" spans="1:23" ht="13.35" customHeight="1" x14ac:dyDescent="0.2">
      <c r="A5179" s="9" t="s">
        <v>435</v>
      </c>
      <c r="B5179" s="9" t="s">
        <v>463</v>
      </c>
      <c r="C5179" s="3">
        <v>116923</v>
      </c>
      <c r="D5179" s="3" t="s">
        <v>897</v>
      </c>
      <c r="E5179" s="4"/>
      <c r="F5179" s="3" t="s">
        <v>126</v>
      </c>
      <c r="G5179" s="9"/>
      <c r="H5179" s="20"/>
      <c r="I5179" s="12"/>
      <c r="J5179" s="5" t="e">
        <f>SUM(SUMIFS(#REF!,#REF!,Planning[[#This Row],[Tipo de Tarea y especialidad]],#REF!,Planning[[#This Row],[Proyectos Reiwa]]),SUMIFS(#REF!,#REF!,Planning[[#This Row],[Tipo de Tarea y especialidad]],#REF!,Planning[[#This Row],[Proyectos]]))</f>
        <v>#REF!</v>
      </c>
      <c r="K5179" s="5" t="e">
        <f>+Planning[[#This Row],[Horas Planificadas]]+Planning[[#This Row],[Horas ajustadas adicionales]]-Planning[[#This Row],[Horas utilizadas]]</f>
        <v>#REF!</v>
      </c>
      <c r="L5179" s="7" t="e">
        <f>Planning[[#This Row],[Saldo]]</f>
        <v>#REF!</v>
      </c>
      <c r="M5179" s="19" t="e">
        <f>Planning[[#This Row],[Saldo]]-Planning[[#This Row],[Saldo estimado]]</f>
        <v>#REF!</v>
      </c>
      <c r="N5179" s="60" t="e">
        <f>+SUMIFS(#REF!,#REF!,Planning[[#This Row],[Proyectos]],#REF!,Planning[[#This Row],[Tipo de Tarea y especialidad]])+SUMIFS(#REF!,#REF!,Planning[[#This Row],[Proyectos Reiwa]],#REF!,Planning[[#This Row],[Tipo de Tarea y especialidad]])</f>
        <v>#REF!</v>
      </c>
      <c r="O5179" s="19">
        <f t="shared" si="163"/>
        <v>10</v>
      </c>
      <c r="P5179" s="19">
        <f t="shared" si="164"/>
        <v>2024</v>
      </c>
      <c r="Q51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79" s="49" t="str">
        <f>TEXT(Planning[[#This Row],[Mes]]*29,"mmmm")</f>
        <v>October</v>
      </c>
      <c r="S517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79" s="156"/>
      <c r="U5179" s="43">
        <f>IF(Planning[[#This Row],[Horas Planificadas]]&lt;&gt;0,+K5179/Planning[[#This Row],[Horas Planificadas]],0)</f>
        <v>0</v>
      </c>
      <c r="V5179" s="43">
        <f>IF(Planning[[#This Row],[Horas Planificadas]]&lt;&gt;0,Planning[[#This Row],[Horas utilizadas]]/Planning[[#This Row],[Horas Planificadas]],0)</f>
        <v>0</v>
      </c>
      <c r="W5179" s="44">
        <f>Planning[[#This Row],[Horas Planificadas]]+Planning[[#This Row],[Horas ajustadas adicionales]]</f>
        <v>0</v>
      </c>
    </row>
    <row r="5180" spans="1:23" ht="13.35" customHeight="1" x14ac:dyDescent="0.2">
      <c r="A5180" s="9" t="s">
        <v>435</v>
      </c>
      <c r="B5180" s="9" t="s">
        <v>463</v>
      </c>
      <c r="C5180" s="3">
        <v>116923</v>
      </c>
      <c r="D5180" s="3" t="s">
        <v>897</v>
      </c>
      <c r="E5180" s="4"/>
      <c r="F5180" s="3" t="s">
        <v>127</v>
      </c>
      <c r="G5180" s="9"/>
      <c r="H5180" s="20">
        <v>108</v>
      </c>
      <c r="I5180" s="12"/>
      <c r="J5180" s="5" t="e">
        <f>SUM(SUMIFS(#REF!,#REF!,Planning[[#This Row],[Tipo de Tarea y especialidad]],#REF!,Planning[[#This Row],[Proyectos Reiwa]]),SUMIFS(#REF!,#REF!,Planning[[#This Row],[Tipo de Tarea y especialidad]],#REF!,Planning[[#This Row],[Proyectos]]))</f>
        <v>#REF!</v>
      </c>
      <c r="K5180" s="5" t="e">
        <f>+Planning[[#This Row],[Horas Planificadas]]+Planning[[#This Row],[Horas ajustadas adicionales]]-Planning[[#This Row],[Horas utilizadas]]</f>
        <v>#REF!</v>
      </c>
      <c r="L5180" s="7">
        <v>0</v>
      </c>
      <c r="M5180" s="19" t="e">
        <f>Planning[[#This Row],[Saldo]]-Planning[[#This Row],[Saldo estimado]]</f>
        <v>#REF!</v>
      </c>
      <c r="N5180" s="60" t="e">
        <f>+SUMIFS(#REF!,#REF!,Planning[[#This Row],[Proyectos]],#REF!,Planning[[#This Row],[Tipo de Tarea y especialidad]])+SUMIFS(#REF!,#REF!,Planning[[#This Row],[Proyectos Reiwa]],#REF!,Planning[[#This Row],[Tipo de Tarea y especialidad]])</f>
        <v>#REF!</v>
      </c>
      <c r="O5180" s="19">
        <f t="shared" si="163"/>
        <v>10</v>
      </c>
      <c r="P5180" s="19">
        <f t="shared" si="164"/>
        <v>2024</v>
      </c>
      <c r="Q51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80" s="49" t="str">
        <f>TEXT(Planning[[#This Row],[Mes]]*29,"mmmm")</f>
        <v>October</v>
      </c>
      <c r="S518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80" s="156"/>
      <c r="U5180" s="43" t="e">
        <f>IF(Planning[[#This Row],[Horas Planificadas]]&lt;&gt;0,+K5180/Planning[[#This Row],[Horas Planificadas]],0)</f>
        <v>#REF!</v>
      </c>
      <c r="V5180" s="43" t="e">
        <f>IF(Planning[[#This Row],[Horas Planificadas]]&lt;&gt;0,Planning[[#This Row],[Horas utilizadas]]/Planning[[#This Row],[Horas Planificadas]],0)</f>
        <v>#REF!</v>
      </c>
      <c r="W5180" s="44">
        <f>Planning[[#This Row],[Horas Planificadas]]+Planning[[#This Row],[Horas ajustadas adicionales]]</f>
        <v>108</v>
      </c>
    </row>
    <row r="5181" spans="1:23" ht="13.35" customHeight="1" x14ac:dyDescent="0.2">
      <c r="A5181" s="9" t="s">
        <v>435</v>
      </c>
      <c r="B5181" s="9" t="s">
        <v>463</v>
      </c>
      <c r="C5181" s="3">
        <v>116923</v>
      </c>
      <c r="D5181" s="3" t="s">
        <v>897</v>
      </c>
      <c r="E5181" s="4"/>
      <c r="F5181" s="3" t="s">
        <v>128</v>
      </c>
      <c r="G5181" s="9"/>
      <c r="H5181" s="20">
        <v>135</v>
      </c>
      <c r="I5181" s="12"/>
      <c r="J5181" s="5" t="e">
        <f>SUM(SUMIFS(#REF!,#REF!,Planning[[#This Row],[Tipo de Tarea y especialidad]],#REF!,Planning[[#This Row],[Proyectos Reiwa]]),SUMIFS(#REF!,#REF!,Planning[[#This Row],[Tipo de Tarea y especialidad]],#REF!,Planning[[#This Row],[Proyectos]]))</f>
        <v>#REF!</v>
      </c>
      <c r="K5181" s="5" t="e">
        <f>+Planning[[#This Row],[Horas Planificadas]]+Planning[[#This Row],[Horas ajustadas adicionales]]-Planning[[#This Row],[Horas utilizadas]]</f>
        <v>#REF!</v>
      </c>
      <c r="L5181" s="7" t="e">
        <f>Planning[[#This Row],[Saldo]]</f>
        <v>#REF!</v>
      </c>
      <c r="M5181" s="19" t="e">
        <f>Planning[[#This Row],[Saldo]]-Planning[[#This Row],[Saldo estimado]]</f>
        <v>#REF!</v>
      </c>
      <c r="N5181" s="60" t="e">
        <f>+SUMIFS(#REF!,#REF!,Planning[[#This Row],[Proyectos]],#REF!,Planning[[#This Row],[Tipo de Tarea y especialidad]])+SUMIFS(#REF!,#REF!,Planning[[#This Row],[Proyectos Reiwa]],#REF!,Planning[[#This Row],[Tipo de Tarea y especialidad]])</f>
        <v>#REF!</v>
      </c>
      <c r="O5181" s="19">
        <f t="shared" si="163"/>
        <v>10</v>
      </c>
      <c r="P5181" s="19">
        <f t="shared" si="164"/>
        <v>2024</v>
      </c>
      <c r="Q51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81" s="49" t="str">
        <f>TEXT(Planning[[#This Row],[Mes]]*29,"mmmm")</f>
        <v>October</v>
      </c>
      <c r="S518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81" s="156"/>
      <c r="U5181" s="43" t="e">
        <f>IF(Planning[[#This Row],[Horas Planificadas]]&lt;&gt;0,+K5181/Planning[[#This Row],[Horas Planificadas]],0)</f>
        <v>#REF!</v>
      </c>
      <c r="V5181" s="43" t="e">
        <f>IF(Planning[[#This Row],[Horas Planificadas]]&lt;&gt;0,Planning[[#This Row],[Horas utilizadas]]/Planning[[#This Row],[Horas Planificadas]],0)</f>
        <v>#REF!</v>
      </c>
      <c r="W5181" s="44">
        <f>Planning[[#This Row],[Horas Planificadas]]+Planning[[#This Row],[Horas ajustadas adicionales]]</f>
        <v>135</v>
      </c>
    </row>
    <row r="5182" spans="1:23" ht="13.35" customHeight="1" x14ac:dyDescent="0.2">
      <c r="A5182" s="9" t="s">
        <v>435</v>
      </c>
      <c r="B5182" s="9" t="s">
        <v>463</v>
      </c>
      <c r="C5182" s="3">
        <v>116923</v>
      </c>
      <c r="D5182" s="3" t="s">
        <v>897</v>
      </c>
      <c r="E5182" s="4" t="s">
        <v>31</v>
      </c>
      <c r="F5182" s="3" t="s">
        <v>31</v>
      </c>
      <c r="G5182" s="9">
        <v>134</v>
      </c>
      <c r="H5182" s="85">
        <v>134</v>
      </c>
      <c r="I5182" s="86"/>
      <c r="J5182" s="14" t="e">
        <f>+SUMIFS(#REF!,#REF!,Planning[[#This Row],[Tarifa]],#REF!,Planning[[#This Row],[Proyectos]])</f>
        <v>#REF!</v>
      </c>
      <c r="K5182" s="84" t="e">
        <f>+Planning[[#This Row],[Horas Planificadas]]+Planning[[#This Row],[Horas ajustadas adicionales]]-Planning[[#This Row],[Horas utilizadas]]</f>
        <v>#REF!</v>
      </c>
      <c r="L5182" s="87" t="e">
        <f>Planning[[#This Row],[Saldo]]</f>
        <v>#REF!</v>
      </c>
      <c r="M5182" s="88" t="e">
        <f>Planning[[#This Row],[Saldo]]-Planning[[#This Row],[Saldo estimado]]</f>
        <v>#REF!</v>
      </c>
      <c r="N5182" s="60" t="e">
        <f>+SUMIFS(#REF!,#REF!,Planning[[#This Row],[Proyectos]],#REF!,Planning[[#This Row],[Tipo de Tarea y especialidad]])+SUMIFS(#REF!,#REF!,Planning[[#This Row],[Proyectos Reiwa]],#REF!,Planning[[#This Row],[Tipo de Tarea y especialidad]])</f>
        <v>#REF!</v>
      </c>
      <c r="O5182" s="19">
        <f t="shared" si="163"/>
        <v>10</v>
      </c>
      <c r="P5182" s="19">
        <f t="shared" si="164"/>
        <v>2024</v>
      </c>
      <c r="Q5182" s="16" t="e">
        <f>+SUMIFS(#REF!,#REF!,Planning[[#This Row],[Tarifa]],#REF!,Planning[[#This Row],[Proyectos]],#REF!,Planning[[#This Row],[Mes]],#REF!,Planning[[#This Row],[Año]])</f>
        <v>#REF!</v>
      </c>
      <c r="R5182" s="50" t="str">
        <f>TEXT(Planning[[#This Row],[Mes]]*29,"mmmm")</f>
        <v>October</v>
      </c>
      <c r="S518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82" s="156"/>
      <c r="U5182" s="43" t="e">
        <f>IF(Planning[[#This Row],[Horas Planificadas]]&lt;&gt;0,+K5182/Planning[[#This Row],[Horas Planificadas]],0)</f>
        <v>#REF!</v>
      </c>
      <c r="V5182" s="43" t="e">
        <f>IF(Planning[[#This Row],[Horas Planificadas]]&lt;&gt;0,Planning[[#This Row],[Horas utilizadas]]/Planning[[#This Row],[Horas Planificadas]],0)</f>
        <v>#REF!</v>
      </c>
      <c r="W5182" s="44">
        <f>Planning[[#This Row],[Horas Planificadas]]+Planning[[#This Row],[Horas ajustadas adicionales]]</f>
        <v>134</v>
      </c>
    </row>
    <row r="5183" spans="1:23" ht="13.35" customHeight="1" x14ac:dyDescent="0.2">
      <c r="A5183" s="9" t="s">
        <v>435</v>
      </c>
      <c r="B5183" s="9" t="s">
        <v>463</v>
      </c>
      <c r="C5183" s="3">
        <v>116923</v>
      </c>
      <c r="D5183" s="3" t="s">
        <v>897</v>
      </c>
      <c r="E5183" s="4" t="s">
        <v>32</v>
      </c>
      <c r="F5183" s="3"/>
      <c r="G5183" s="9">
        <v>310</v>
      </c>
      <c r="H5183" s="85">
        <f>SUM(H5184:H5186)</f>
        <v>310</v>
      </c>
      <c r="I5183" s="86"/>
      <c r="J5183" s="14" t="e">
        <f>SUM(J5184:J5186)</f>
        <v>#REF!</v>
      </c>
      <c r="K5183" s="84" t="e">
        <f>+Planning[[#This Row],[Horas Planificadas]]+Planning[[#This Row],[Horas ajustadas adicionales]]-Planning[[#This Row],[Horas utilizadas]]</f>
        <v>#REF!</v>
      </c>
      <c r="L5183" s="87" t="e">
        <f>SUM(L5184:L5186)</f>
        <v>#REF!</v>
      </c>
      <c r="M5183" s="88" t="e">
        <f>SUM(M5184:M5186)</f>
        <v>#REF!</v>
      </c>
      <c r="N5183" s="60" t="e">
        <f>+SUMIFS(#REF!,#REF!,Planning[[#This Row],[Proyectos]],#REF!,Planning[[#This Row],[Tipo de Tarea y especialidad]])+SUMIFS(#REF!,#REF!,Planning[[#This Row],[Proyectos Reiwa]],#REF!,Planning[[#This Row],[Tipo de Tarea y especialidad]])</f>
        <v>#REF!</v>
      </c>
      <c r="O5183" s="19">
        <f t="shared" si="163"/>
        <v>10</v>
      </c>
      <c r="P5183" s="19">
        <f t="shared" si="164"/>
        <v>2024</v>
      </c>
      <c r="Q5183" s="16" t="e">
        <f>SUM(Q5184:Q5186)</f>
        <v>#REF!</v>
      </c>
      <c r="R5183" s="50" t="str">
        <f>TEXT(Planning[[#This Row],[Mes]]*29,"mmmm")</f>
        <v>October</v>
      </c>
      <c r="S518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83" s="156"/>
      <c r="U5183" s="43" t="e">
        <f>IF(Planning[[#This Row],[Horas Planificadas]]&lt;&gt;0,+K5183/Planning[[#This Row],[Horas Planificadas]],0)</f>
        <v>#REF!</v>
      </c>
      <c r="V5183" s="43" t="e">
        <f>IF(Planning[[#This Row],[Horas Planificadas]]&lt;&gt;0,Planning[[#This Row],[Horas utilizadas]]/Planning[[#This Row],[Horas Planificadas]],0)</f>
        <v>#REF!</v>
      </c>
      <c r="W5183" s="44">
        <f>Planning[[#This Row],[Horas Planificadas]]+Planning[[#This Row],[Horas ajustadas adicionales]]</f>
        <v>310</v>
      </c>
    </row>
    <row r="5184" spans="1:23" ht="13.35" customHeight="1" x14ac:dyDescent="0.2">
      <c r="A5184" s="9" t="s">
        <v>435</v>
      </c>
      <c r="B5184" s="9" t="s">
        <v>463</v>
      </c>
      <c r="C5184" s="3">
        <v>116923</v>
      </c>
      <c r="D5184" s="3" t="s">
        <v>897</v>
      </c>
      <c r="E5184" s="4"/>
      <c r="F5184" s="3" t="s">
        <v>129</v>
      </c>
      <c r="G5184" s="11"/>
      <c r="H5184" s="20"/>
      <c r="I5184" s="12"/>
      <c r="J5184" s="5" t="e">
        <f>SUM(SUMIFS(#REF!,#REF!,Planning[[#This Row],[Tipo de Tarea y especialidad]],#REF!,Planning[[#This Row],[Proyectos Reiwa]]),SUMIFS(#REF!,#REF!,Planning[[#This Row],[Tipo de Tarea y especialidad]],#REF!,Planning[[#This Row],[Proyectos]]))</f>
        <v>#REF!</v>
      </c>
      <c r="K5184" s="5" t="e">
        <f>+Planning[[#This Row],[Horas Planificadas]]+Planning[[#This Row],[Horas ajustadas adicionales]]-Planning[[#This Row],[Horas utilizadas]]</f>
        <v>#REF!</v>
      </c>
      <c r="L5184" s="7" t="e">
        <f>Planning[[#This Row],[Saldo]]</f>
        <v>#REF!</v>
      </c>
      <c r="M5184" s="19" t="e">
        <f>Planning[[#This Row],[Saldo]]-Planning[[#This Row],[Saldo estimado]]</f>
        <v>#REF!</v>
      </c>
      <c r="N5184" s="60" t="e">
        <f>+SUMIFS(#REF!,#REF!,Planning[[#This Row],[Proyectos]],#REF!,Planning[[#This Row],[Tipo de Tarea y especialidad]])+SUMIFS(#REF!,#REF!,Planning[[#This Row],[Proyectos Reiwa]],#REF!,Planning[[#This Row],[Tipo de Tarea y especialidad]])</f>
        <v>#REF!</v>
      </c>
      <c r="O5184" s="19">
        <f t="shared" si="163"/>
        <v>10</v>
      </c>
      <c r="P5184" s="19">
        <f t="shared" si="164"/>
        <v>2024</v>
      </c>
      <c r="Q51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84" s="49" t="str">
        <f>TEXT(Planning[[#This Row],[Mes]]*29,"mmmm")</f>
        <v>October</v>
      </c>
      <c r="S518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84" s="156"/>
      <c r="U5184" s="43">
        <f>IF(Planning[[#This Row],[Horas Planificadas]]&lt;&gt;0,+K5184/Planning[[#This Row],[Horas Planificadas]],0)</f>
        <v>0</v>
      </c>
      <c r="V5184" s="43">
        <f>IF(Planning[[#This Row],[Horas Planificadas]]&lt;&gt;0,Planning[[#This Row],[Horas utilizadas]]/Planning[[#This Row],[Horas Planificadas]],0)</f>
        <v>0</v>
      </c>
      <c r="W5184" s="44">
        <f>Planning[[#This Row],[Horas Planificadas]]+Planning[[#This Row],[Horas ajustadas adicionales]]</f>
        <v>0</v>
      </c>
    </row>
    <row r="5185" spans="1:23" ht="13.35" customHeight="1" x14ac:dyDescent="0.2">
      <c r="A5185" s="9" t="s">
        <v>435</v>
      </c>
      <c r="B5185" s="9" t="s">
        <v>463</v>
      </c>
      <c r="C5185" s="3">
        <v>116923</v>
      </c>
      <c r="D5185" s="3" t="s">
        <v>897</v>
      </c>
      <c r="E5185" s="4"/>
      <c r="F5185" s="3" t="s">
        <v>130</v>
      </c>
      <c r="G5185" s="11"/>
      <c r="H5185" s="20">
        <v>70</v>
      </c>
      <c r="I5185" s="12"/>
      <c r="J5185" s="5" t="e">
        <f>SUM(SUMIFS(#REF!,#REF!,Planning[[#This Row],[Tipo de Tarea y especialidad]],#REF!,Planning[[#This Row],[Proyectos Reiwa]]),SUMIFS(#REF!,#REF!,Planning[[#This Row],[Tipo de Tarea y especialidad]],#REF!,Planning[[#This Row],[Proyectos]]))</f>
        <v>#REF!</v>
      </c>
      <c r="K5185" s="5" t="e">
        <f>+Planning[[#This Row],[Horas Planificadas]]+Planning[[#This Row],[Horas ajustadas adicionales]]-Planning[[#This Row],[Horas utilizadas]]</f>
        <v>#REF!</v>
      </c>
      <c r="L5185" s="7">
        <v>0</v>
      </c>
      <c r="M5185" s="19" t="e">
        <f>Planning[[#This Row],[Saldo]]-Planning[[#This Row],[Saldo estimado]]</f>
        <v>#REF!</v>
      </c>
      <c r="N5185" s="60" t="e">
        <f>+SUMIFS(#REF!,#REF!,Planning[[#This Row],[Proyectos]],#REF!,Planning[[#This Row],[Tipo de Tarea y especialidad]])+SUMIFS(#REF!,#REF!,Planning[[#This Row],[Proyectos Reiwa]],#REF!,Planning[[#This Row],[Tipo de Tarea y especialidad]])</f>
        <v>#REF!</v>
      </c>
      <c r="O5185" s="19">
        <f t="shared" si="163"/>
        <v>10</v>
      </c>
      <c r="P5185" s="19">
        <f t="shared" si="164"/>
        <v>2024</v>
      </c>
      <c r="Q51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85" s="49" t="str">
        <f>TEXT(Planning[[#This Row],[Mes]]*29,"mmmm")</f>
        <v>October</v>
      </c>
      <c r="S518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85" s="156"/>
      <c r="U5185" s="43" t="e">
        <f>IF(Planning[[#This Row],[Horas Planificadas]]&lt;&gt;0,+K5185/Planning[[#This Row],[Horas Planificadas]],0)</f>
        <v>#REF!</v>
      </c>
      <c r="V5185" s="43" t="e">
        <f>IF(Planning[[#This Row],[Horas Planificadas]]&lt;&gt;0,Planning[[#This Row],[Horas utilizadas]]/Planning[[#This Row],[Horas Planificadas]],0)</f>
        <v>#REF!</v>
      </c>
      <c r="W5185" s="44">
        <f>Planning[[#This Row],[Horas Planificadas]]+Planning[[#This Row],[Horas ajustadas adicionales]]</f>
        <v>70</v>
      </c>
    </row>
    <row r="5186" spans="1:23" ht="13.35" customHeight="1" x14ac:dyDescent="0.2">
      <c r="A5186" s="9" t="s">
        <v>435</v>
      </c>
      <c r="B5186" s="9" t="s">
        <v>463</v>
      </c>
      <c r="C5186" s="3">
        <v>116923</v>
      </c>
      <c r="D5186" s="3" t="s">
        <v>897</v>
      </c>
      <c r="E5186" s="4"/>
      <c r="F5186" s="3" t="s">
        <v>131</v>
      </c>
      <c r="G5186" s="11"/>
      <c r="H5186" s="20">
        <v>240</v>
      </c>
      <c r="I5186" s="12"/>
      <c r="J5186" s="5" t="e">
        <f>SUM(SUMIFS(#REF!,#REF!,Planning[[#This Row],[Tipo de Tarea y especialidad]],#REF!,Planning[[#This Row],[Proyectos Reiwa]]),SUMIFS(#REF!,#REF!,Planning[[#This Row],[Tipo de Tarea y especialidad]],#REF!,Planning[[#This Row],[Proyectos]]))</f>
        <v>#REF!</v>
      </c>
      <c r="K5186" s="5" t="e">
        <f>+Planning[[#This Row],[Horas Planificadas]]+Planning[[#This Row],[Horas ajustadas adicionales]]-Planning[[#This Row],[Horas utilizadas]]</f>
        <v>#REF!</v>
      </c>
      <c r="L5186" s="7" t="e">
        <f>Planning[[#This Row],[Saldo]]</f>
        <v>#REF!</v>
      </c>
      <c r="M5186" s="19" t="e">
        <f>Planning[[#This Row],[Saldo]]-Planning[[#This Row],[Saldo estimado]]</f>
        <v>#REF!</v>
      </c>
      <c r="N5186" s="60" t="e">
        <f>+SUMIFS(#REF!,#REF!,Planning[[#This Row],[Proyectos]],#REF!,Planning[[#This Row],[Tipo de Tarea y especialidad]])+SUMIFS(#REF!,#REF!,Planning[[#This Row],[Proyectos Reiwa]],#REF!,Planning[[#This Row],[Tipo de Tarea y especialidad]])</f>
        <v>#REF!</v>
      </c>
      <c r="O5186" s="19">
        <f t="shared" si="163"/>
        <v>10</v>
      </c>
      <c r="P5186" s="19">
        <f t="shared" si="164"/>
        <v>2024</v>
      </c>
      <c r="Q51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86" s="51" t="str">
        <f>TEXT(Planning[[#This Row],[Mes]]*29,"mmmm")</f>
        <v>October</v>
      </c>
      <c r="S5186"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86" s="157"/>
      <c r="U5186" s="43" t="e">
        <f>IF(Planning[[#This Row],[Horas Planificadas]]&lt;&gt;0,+K5186/Planning[[#This Row],[Horas Planificadas]],0)</f>
        <v>#REF!</v>
      </c>
      <c r="V5186" s="43" t="e">
        <f>IF(Planning[[#This Row],[Horas Planificadas]]&lt;&gt;0,Planning[[#This Row],[Horas utilizadas]]/Planning[[#This Row],[Horas Planificadas]],0)</f>
        <v>#REF!</v>
      </c>
      <c r="W5186" s="44">
        <f>Planning[[#This Row],[Horas Planificadas]]+Planning[[#This Row],[Horas ajustadas adicionales]]</f>
        <v>240</v>
      </c>
    </row>
    <row r="5187" spans="1:23" ht="13.35" customHeight="1" x14ac:dyDescent="0.2">
      <c r="A5187" s="9" t="s">
        <v>483</v>
      </c>
      <c r="B5187" s="9" t="s">
        <v>178</v>
      </c>
      <c r="C5187" s="3">
        <v>117016</v>
      </c>
      <c r="D5187" s="3" t="s">
        <v>899</v>
      </c>
      <c r="E5187" s="4" t="s">
        <v>28</v>
      </c>
      <c r="F5187" s="3"/>
      <c r="G5187" s="9">
        <v>0</v>
      </c>
      <c r="H5187" s="14">
        <f>SUM(H5188:H5189)</f>
        <v>0</v>
      </c>
      <c r="I5187" s="14"/>
      <c r="J5187" s="14" t="e">
        <f>SUM(J5188:J5189)</f>
        <v>#REF!</v>
      </c>
      <c r="K5187" s="14" t="e">
        <f>+Planning[[#This Row],[Horas Planificadas]]+Planning[[#This Row],[Horas ajustadas adicionales]]-Planning[[#This Row],[Horas utilizadas]]</f>
        <v>#REF!</v>
      </c>
      <c r="L5187" s="15" t="e">
        <f>SUM(L5188:L5189)</f>
        <v>#REF!</v>
      </c>
      <c r="M5187" s="14" t="e">
        <f>SUM(M5188:M5189)</f>
        <v>#REF!</v>
      </c>
      <c r="N5187" s="60" t="e">
        <f>+SUMIFS(#REF!,#REF!,Planning[[#This Row],[Proyectos]],#REF!,Planning[[#This Row],[Tipo de Tarea y especialidad]])+SUMIFS(#REF!,#REF!,Planning[[#This Row],[Proyectos Reiwa]],#REF!,Planning[[#This Row],[Tipo de Tarea y especialidad]])</f>
        <v>#REF!</v>
      </c>
      <c r="O5187" s="14">
        <f t="shared" si="163"/>
        <v>10</v>
      </c>
      <c r="P5187" s="14">
        <f t="shared" si="164"/>
        <v>2024</v>
      </c>
      <c r="Q5187" s="28" t="e">
        <f>SUM(Q5188:Q5189)</f>
        <v>#REF!</v>
      </c>
      <c r="R5187" s="24" t="str">
        <f>TEXT(Planning[[#This Row],[Mes]]*29,"mmmm")</f>
        <v>October</v>
      </c>
      <c r="S518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87" s="151" t="s">
        <v>900</v>
      </c>
      <c r="U5187" s="43">
        <f>IF(Planning[[#This Row],[Horas Planificadas]]&lt;&gt;0,+K5187/Planning[[#This Row],[Horas Planificadas]],0)</f>
        <v>0</v>
      </c>
      <c r="V5187" s="43">
        <f>IF(Planning[[#This Row],[Horas Planificadas]]&lt;&gt;0,Planning[[#This Row],[Horas utilizadas]]/Planning[[#This Row],[Horas Planificadas]],0)</f>
        <v>0</v>
      </c>
      <c r="W5187" s="44">
        <f>Planning[[#This Row],[Horas Planificadas]]+Planning[[#This Row],[Horas ajustadas adicionales]]</f>
        <v>0</v>
      </c>
    </row>
    <row r="5188" spans="1:23" ht="13.35" customHeight="1" x14ac:dyDescent="0.2">
      <c r="A5188" s="9" t="s">
        <v>483</v>
      </c>
      <c r="B5188" s="9" t="s">
        <v>178</v>
      </c>
      <c r="C5188" s="3">
        <v>117016</v>
      </c>
      <c r="D5188" s="3" t="s">
        <v>899</v>
      </c>
      <c r="E5188" s="4"/>
      <c r="F5188" s="3" t="s">
        <v>120</v>
      </c>
      <c r="G5188" s="9"/>
      <c r="H5188" s="9">
        <v>0</v>
      </c>
      <c r="I5188" s="12"/>
      <c r="J5188" s="5" t="e">
        <f>SUM(SUMIFS(#REF!,#REF!,Planning[[#This Row],[Tipo de Tarea y especialidad]],#REF!,Planning[[#This Row],[Proyectos Reiwa]]),SUMIFS(#REF!,#REF!,Planning[[#This Row],[Tipo de Tarea y especialidad]],#REF!,Planning[[#This Row],[Proyectos]]))</f>
        <v>#REF!</v>
      </c>
      <c r="K5188" s="5" t="e">
        <f>+Planning[[#This Row],[Horas Planificadas]]+Planning[[#This Row],[Horas ajustadas adicionales]]-Planning[[#This Row],[Horas utilizadas]]</f>
        <v>#REF!</v>
      </c>
      <c r="L5188" s="7" t="e">
        <f>Planning[[#This Row],[Saldo]]</f>
        <v>#REF!</v>
      </c>
      <c r="M5188" s="19" t="e">
        <f>Planning[[#This Row],[Saldo]]-Planning[[#This Row],[Saldo estimado]]</f>
        <v>#REF!</v>
      </c>
      <c r="N5188" s="60" t="e">
        <f>+SUMIFS(#REF!,#REF!,Planning[[#This Row],[Proyectos]],#REF!,Planning[[#This Row],[Tipo de Tarea y especialidad]])+SUMIFS(#REF!,#REF!,Planning[[#This Row],[Proyectos Reiwa]],#REF!,Planning[[#This Row],[Tipo de Tarea y especialidad]])</f>
        <v>#REF!</v>
      </c>
      <c r="O5188" s="19">
        <f t="shared" si="163"/>
        <v>10</v>
      </c>
      <c r="P5188" s="19">
        <f t="shared" si="164"/>
        <v>2024</v>
      </c>
      <c r="Q51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88" s="49" t="str">
        <f>TEXT(Planning[[#This Row],[Mes]]*29,"mmmm")</f>
        <v>October</v>
      </c>
      <c r="S518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88" s="152"/>
      <c r="U5188" s="43">
        <f>IF(Planning[[#This Row],[Horas Planificadas]]&lt;&gt;0,+K5188/Planning[[#This Row],[Horas Planificadas]],0)</f>
        <v>0</v>
      </c>
      <c r="V5188" s="43">
        <f>IF(Planning[[#This Row],[Horas Planificadas]]&lt;&gt;0,Planning[[#This Row],[Horas utilizadas]]/Planning[[#This Row],[Horas Planificadas]],0)</f>
        <v>0</v>
      </c>
      <c r="W5188" s="44">
        <f>Planning[[#This Row],[Horas Planificadas]]+Planning[[#This Row],[Horas ajustadas adicionales]]</f>
        <v>0</v>
      </c>
    </row>
    <row r="5189" spans="1:23" ht="13.35" customHeight="1" x14ac:dyDescent="0.2">
      <c r="A5189" s="9" t="s">
        <v>483</v>
      </c>
      <c r="B5189" s="9" t="s">
        <v>178</v>
      </c>
      <c r="C5189" s="3">
        <v>117016</v>
      </c>
      <c r="D5189" s="3" t="s">
        <v>899</v>
      </c>
      <c r="E5189" s="4"/>
      <c r="F5189" s="3" t="s">
        <v>121</v>
      </c>
      <c r="G5189" s="9"/>
      <c r="H5189" s="9">
        <v>0</v>
      </c>
      <c r="I5189" s="12"/>
      <c r="J5189" s="5" t="e">
        <f>SUM(SUMIFS(#REF!,#REF!,Planning[[#This Row],[Tipo de Tarea y especialidad]],#REF!,Planning[[#This Row],[Proyectos Reiwa]]),SUMIFS(#REF!,#REF!,Planning[[#This Row],[Tipo de Tarea y especialidad]],#REF!,Planning[[#This Row],[Proyectos]]))</f>
        <v>#REF!</v>
      </c>
      <c r="K5189" s="5" t="e">
        <f>+Planning[[#This Row],[Horas Planificadas]]+Planning[[#This Row],[Horas ajustadas adicionales]]-Planning[[#This Row],[Horas utilizadas]]</f>
        <v>#REF!</v>
      </c>
      <c r="L5189" s="7" t="e">
        <f>Planning[[#This Row],[Saldo]]</f>
        <v>#REF!</v>
      </c>
      <c r="M5189" s="19" t="e">
        <f>Planning[[#This Row],[Saldo]]-Planning[[#This Row],[Saldo estimado]]</f>
        <v>#REF!</v>
      </c>
      <c r="N5189" s="60" t="e">
        <f>+SUMIFS(#REF!,#REF!,Planning[[#This Row],[Proyectos]],#REF!,Planning[[#This Row],[Tipo de Tarea y especialidad]])+SUMIFS(#REF!,#REF!,Planning[[#This Row],[Proyectos Reiwa]],#REF!,Planning[[#This Row],[Tipo de Tarea y especialidad]])</f>
        <v>#REF!</v>
      </c>
      <c r="O5189" s="19">
        <f t="shared" si="163"/>
        <v>10</v>
      </c>
      <c r="P5189" s="19">
        <f t="shared" si="164"/>
        <v>2024</v>
      </c>
      <c r="Q51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89" s="49" t="str">
        <f>TEXT(Planning[[#This Row],[Mes]]*29,"mmmm")</f>
        <v>October</v>
      </c>
      <c r="S518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89" s="152"/>
      <c r="U5189" s="43">
        <f>IF(Planning[[#This Row],[Horas Planificadas]]&lt;&gt;0,+K5189/Planning[[#This Row],[Horas Planificadas]],0)</f>
        <v>0</v>
      </c>
      <c r="V5189" s="43">
        <f>IF(Planning[[#This Row],[Horas Planificadas]]&lt;&gt;0,Planning[[#This Row],[Horas utilizadas]]/Planning[[#This Row],[Horas Planificadas]],0)</f>
        <v>0</v>
      </c>
      <c r="W5189" s="44">
        <f>Planning[[#This Row],[Horas Planificadas]]+Planning[[#This Row],[Horas ajustadas adicionales]]</f>
        <v>0</v>
      </c>
    </row>
    <row r="5190" spans="1:23" ht="13.35" customHeight="1" x14ac:dyDescent="0.2">
      <c r="A5190" s="9" t="s">
        <v>483</v>
      </c>
      <c r="B5190" s="9" t="s">
        <v>178</v>
      </c>
      <c r="C5190" s="3">
        <v>117016</v>
      </c>
      <c r="D5190" s="3" t="s">
        <v>899</v>
      </c>
      <c r="E5190" s="4" t="s">
        <v>30</v>
      </c>
      <c r="F5190" s="3"/>
      <c r="G5190" s="9">
        <v>56</v>
      </c>
      <c r="H5190" s="14">
        <f>SUM(H5191:H5197)</f>
        <v>56</v>
      </c>
      <c r="I5190" s="14"/>
      <c r="J5190" s="14" t="e">
        <f>SUM(J5191:J5197)</f>
        <v>#REF!</v>
      </c>
      <c r="K5190" s="14" t="e">
        <f>+Planning[[#This Row],[Horas Planificadas]]+Planning[[#This Row],[Horas ajustadas adicionales]]-Planning[[#This Row],[Horas utilizadas]]</f>
        <v>#REF!</v>
      </c>
      <c r="L5190" s="15" t="e">
        <f>SUM(L5191:L5197)</f>
        <v>#REF!</v>
      </c>
      <c r="M5190" s="16" t="e">
        <f>SUM(M5191:M5197)</f>
        <v>#REF!</v>
      </c>
      <c r="N5190" s="60" t="e">
        <f>+SUMIFS(#REF!,#REF!,Planning[[#This Row],[Proyectos]],#REF!,Planning[[#This Row],[Tipo de Tarea y especialidad]])+SUMIFS(#REF!,#REF!,Planning[[#This Row],[Proyectos Reiwa]],#REF!,Planning[[#This Row],[Tipo de Tarea y especialidad]])</f>
        <v>#REF!</v>
      </c>
      <c r="O5190" s="16">
        <f t="shared" si="163"/>
        <v>10</v>
      </c>
      <c r="P5190" s="16">
        <f t="shared" si="164"/>
        <v>2024</v>
      </c>
      <c r="Q5190" s="16" t="e">
        <f>SUM(Q5191:Q5197)</f>
        <v>#REF!</v>
      </c>
      <c r="R5190" s="50" t="str">
        <f>TEXT(Planning[[#This Row],[Mes]]*29,"mmmm")</f>
        <v>October</v>
      </c>
      <c r="S519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90" s="152"/>
      <c r="U5190" s="43" t="e">
        <f>IF(Planning[[#This Row],[Horas Planificadas]]&lt;&gt;0,+K5190/Planning[[#This Row],[Horas Planificadas]],0)</f>
        <v>#REF!</v>
      </c>
      <c r="V5190" s="43" t="e">
        <f>IF(Planning[[#This Row],[Horas Planificadas]]&lt;&gt;0,Planning[[#This Row],[Horas utilizadas]]/Planning[[#This Row],[Horas Planificadas]],0)</f>
        <v>#REF!</v>
      </c>
      <c r="W5190" s="44">
        <f>Planning[[#This Row],[Horas Planificadas]]+Planning[[#This Row],[Horas ajustadas adicionales]]</f>
        <v>56</v>
      </c>
    </row>
    <row r="5191" spans="1:23" ht="13.35" customHeight="1" x14ac:dyDescent="0.2">
      <c r="A5191" s="9" t="s">
        <v>483</v>
      </c>
      <c r="B5191" s="9" t="s">
        <v>178</v>
      </c>
      <c r="C5191" s="3">
        <v>117016</v>
      </c>
      <c r="D5191" s="3" t="s">
        <v>899</v>
      </c>
      <c r="E5191" s="4"/>
      <c r="F5191" s="3" t="s">
        <v>122</v>
      </c>
      <c r="G5191" s="9"/>
      <c r="H5191" s="9">
        <v>0</v>
      </c>
      <c r="I5191" s="12"/>
      <c r="J5191" s="5" t="e">
        <f>SUM(SUMIFS(#REF!,#REF!,Planning[[#This Row],[Tipo de Tarea y especialidad]],#REF!,Planning[[#This Row],[Proyectos Reiwa]]),SUMIFS(#REF!,#REF!,Planning[[#This Row],[Tipo de Tarea y especialidad]],#REF!,Planning[[#This Row],[Proyectos]]))</f>
        <v>#REF!</v>
      </c>
      <c r="K5191" s="5" t="e">
        <f>+Planning[[#This Row],[Horas Planificadas]]+Planning[[#This Row],[Horas ajustadas adicionales]]-Planning[[#This Row],[Horas utilizadas]]</f>
        <v>#REF!</v>
      </c>
      <c r="L5191" s="7" t="e">
        <f>Planning[[#This Row],[Saldo]]</f>
        <v>#REF!</v>
      </c>
      <c r="M5191" s="19" t="e">
        <f>Planning[[#This Row],[Saldo]]-Planning[[#This Row],[Saldo estimado]]</f>
        <v>#REF!</v>
      </c>
      <c r="N5191" s="60" t="e">
        <f>+SUMIFS(#REF!,#REF!,Planning[[#This Row],[Proyectos]],#REF!,Planning[[#This Row],[Tipo de Tarea y especialidad]])+SUMIFS(#REF!,#REF!,Planning[[#This Row],[Proyectos Reiwa]],#REF!,Planning[[#This Row],[Tipo de Tarea y especialidad]])</f>
        <v>#REF!</v>
      </c>
      <c r="O5191" s="19">
        <f t="shared" si="163"/>
        <v>10</v>
      </c>
      <c r="P5191" s="19">
        <f t="shared" si="164"/>
        <v>2024</v>
      </c>
      <c r="Q51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91" s="49" t="str">
        <f>TEXT(Planning[[#This Row],[Mes]]*29,"mmmm")</f>
        <v>October</v>
      </c>
      <c r="S519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91" s="152"/>
      <c r="U5191" s="43">
        <f>IF(Planning[[#This Row],[Horas Planificadas]]&lt;&gt;0,+K5191/Planning[[#This Row],[Horas Planificadas]],0)</f>
        <v>0</v>
      </c>
      <c r="V5191" s="43">
        <f>IF(Planning[[#This Row],[Horas Planificadas]]&lt;&gt;0,Planning[[#This Row],[Horas utilizadas]]/Planning[[#This Row],[Horas Planificadas]],0)</f>
        <v>0</v>
      </c>
      <c r="W5191" s="44">
        <f>Planning[[#This Row],[Horas Planificadas]]+Planning[[#This Row],[Horas ajustadas adicionales]]</f>
        <v>0</v>
      </c>
    </row>
    <row r="5192" spans="1:23" ht="13.35" customHeight="1" x14ac:dyDescent="0.2">
      <c r="A5192" s="9" t="s">
        <v>483</v>
      </c>
      <c r="B5192" s="9" t="s">
        <v>178</v>
      </c>
      <c r="C5192" s="3">
        <v>117016</v>
      </c>
      <c r="D5192" s="3" t="s">
        <v>899</v>
      </c>
      <c r="E5192" s="4"/>
      <c r="F5192" s="3" t="s">
        <v>123</v>
      </c>
      <c r="G5192" s="9"/>
      <c r="H5192" s="9">
        <v>0</v>
      </c>
      <c r="I5192" s="12"/>
      <c r="J5192" s="5" t="e">
        <f>SUM(SUMIFS(#REF!,#REF!,Planning[[#This Row],[Tipo de Tarea y especialidad]],#REF!,Planning[[#This Row],[Proyectos Reiwa]]),SUMIFS(#REF!,#REF!,Planning[[#This Row],[Tipo de Tarea y especialidad]],#REF!,Planning[[#This Row],[Proyectos]]))</f>
        <v>#REF!</v>
      </c>
      <c r="K5192" s="5" t="e">
        <f>+Planning[[#This Row],[Horas Planificadas]]+Planning[[#This Row],[Horas ajustadas adicionales]]-Planning[[#This Row],[Horas utilizadas]]</f>
        <v>#REF!</v>
      </c>
      <c r="L5192" s="7">
        <v>0</v>
      </c>
      <c r="M5192" s="19" t="e">
        <f>Planning[[#This Row],[Saldo]]-Planning[[#This Row],[Saldo estimado]]</f>
        <v>#REF!</v>
      </c>
      <c r="N5192" s="60" t="e">
        <f>+SUMIFS(#REF!,#REF!,Planning[[#This Row],[Proyectos]],#REF!,Planning[[#This Row],[Tipo de Tarea y especialidad]])+SUMIFS(#REF!,#REF!,Planning[[#This Row],[Proyectos Reiwa]],#REF!,Planning[[#This Row],[Tipo de Tarea y especialidad]])</f>
        <v>#REF!</v>
      </c>
      <c r="O5192" s="19">
        <f t="shared" si="163"/>
        <v>10</v>
      </c>
      <c r="P5192" s="19">
        <f t="shared" si="164"/>
        <v>2024</v>
      </c>
      <c r="Q51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92" s="49" t="str">
        <f>TEXT(Planning[[#This Row],[Mes]]*29,"mmmm")</f>
        <v>October</v>
      </c>
      <c r="S519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92" s="152"/>
      <c r="U5192" s="43">
        <f>IF(Planning[[#This Row],[Horas Planificadas]]&lt;&gt;0,+K5192/Planning[[#This Row],[Horas Planificadas]],0)</f>
        <v>0</v>
      </c>
      <c r="V5192" s="43">
        <f>IF(Planning[[#This Row],[Horas Planificadas]]&lt;&gt;0,Planning[[#This Row],[Horas utilizadas]]/Planning[[#This Row],[Horas Planificadas]],0)</f>
        <v>0</v>
      </c>
      <c r="W5192" s="44">
        <f>Planning[[#This Row],[Horas Planificadas]]+Planning[[#This Row],[Horas ajustadas adicionales]]</f>
        <v>0</v>
      </c>
    </row>
    <row r="5193" spans="1:23" ht="13.35" customHeight="1" x14ac:dyDescent="0.2">
      <c r="A5193" s="9" t="s">
        <v>483</v>
      </c>
      <c r="B5193" s="9" t="s">
        <v>178</v>
      </c>
      <c r="C5193" s="3">
        <v>117016</v>
      </c>
      <c r="D5193" s="3" t="s">
        <v>899</v>
      </c>
      <c r="E5193" s="4"/>
      <c r="F5193" s="3" t="s">
        <v>124</v>
      </c>
      <c r="G5193" s="9"/>
      <c r="H5193" s="9">
        <v>0</v>
      </c>
      <c r="I5193" s="12"/>
      <c r="J5193" s="5" t="e">
        <f>SUM(SUMIFS(#REF!,#REF!,Planning[[#This Row],[Tipo de Tarea y especialidad]],#REF!,Planning[[#This Row],[Proyectos Reiwa]]),SUMIFS(#REF!,#REF!,Planning[[#This Row],[Tipo de Tarea y especialidad]],#REF!,Planning[[#This Row],[Proyectos]]))</f>
        <v>#REF!</v>
      </c>
      <c r="K5193" s="5" t="e">
        <f>+Planning[[#This Row],[Horas Planificadas]]+Planning[[#This Row],[Horas ajustadas adicionales]]-Planning[[#This Row],[Horas utilizadas]]</f>
        <v>#REF!</v>
      </c>
      <c r="L5193" s="7">
        <v>0</v>
      </c>
      <c r="M5193" s="19" t="e">
        <f>Planning[[#This Row],[Saldo]]-Planning[[#This Row],[Saldo estimado]]</f>
        <v>#REF!</v>
      </c>
      <c r="N5193" s="60" t="e">
        <f>+SUMIFS(#REF!,#REF!,Planning[[#This Row],[Proyectos]],#REF!,Planning[[#This Row],[Tipo de Tarea y especialidad]])+SUMIFS(#REF!,#REF!,Planning[[#This Row],[Proyectos Reiwa]],#REF!,Planning[[#This Row],[Tipo de Tarea y especialidad]])</f>
        <v>#REF!</v>
      </c>
      <c r="O5193" s="19">
        <f t="shared" si="163"/>
        <v>10</v>
      </c>
      <c r="P5193" s="19">
        <f t="shared" si="164"/>
        <v>2024</v>
      </c>
      <c r="Q51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93" s="49" t="str">
        <f>TEXT(Planning[[#This Row],[Mes]]*29,"mmmm")</f>
        <v>October</v>
      </c>
      <c r="S519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93" s="152"/>
      <c r="U5193" s="43">
        <f>IF(Planning[[#This Row],[Horas Planificadas]]&lt;&gt;0,+K5193/Planning[[#This Row],[Horas Planificadas]],0)</f>
        <v>0</v>
      </c>
      <c r="V5193" s="43">
        <f>IF(Planning[[#This Row],[Horas Planificadas]]&lt;&gt;0,Planning[[#This Row],[Horas utilizadas]]/Planning[[#This Row],[Horas Planificadas]],0)</f>
        <v>0</v>
      </c>
      <c r="W5193" s="44">
        <f>Planning[[#This Row],[Horas Planificadas]]+Planning[[#This Row],[Horas ajustadas adicionales]]</f>
        <v>0</v>
      </c>
    </row>
    <row r="5194" spans="1:23" ht="13.35" customHeight="1" x14ac:dyDescent="0.2">
      <c r="A5194" s="9" t="s">
        <v>483</v>
      </c>
      <c r="B5194" s="9" t="s">
        <v>178</v>
      </c>
      <c r="C5194" s="3">
        <v>117016</v>
      </c>
      <c r="D5194" s="3" t="s">
        <v>899</v>
      </c>
      <c r="E5194" s="4"/>
      <c r="F5194" s="3" t="s">
        <v>125</v>
      </c>
      <c r="G5194" s="9"/>
      <c r="H5194" s="9">
        <v>18</v>
      </c>
      <c r="I5194" s="12"/>
      <c r="J5194" s="5" t="e">
        <f>SUM(SUMIFS(#REF!,#REF!,Planning[[#This Row],[Tipo de Tarea y especialidad]],#REF!,Planning[[#This Row],[Proyectos Reiwa]]),SUMIFS(#REF!,#REF!,Planning[[#This Row],[Tipo de Tarea y especialidad]],#REF!,Planning[[#This Row],[Proyectos]]))</f>
        <v>#REF!</v>
      </c>
      <c r="K5194" s="5" t="e">
        <f>+Planning[[#This Row],[Horas Planificadas]]+Planning[[#This Row],[Horas ajustadas adicionales]]-Planning[[#This Row],[Horas utilizadas]]</f>
        <v>#REF!</v>
      </c>
      <c r="L5194" s="7">
        <v>0</v>
      </c>
      <c r="M5194" s="19" t="e">
        <f>Planning[[#This Row],[Saldo]]-Planning[[#This Row],[Saldo estimado]]</f>
        <v>#REF!</v>
      </c>
      <c r="N5194" s="60" t="e">
        <f>+SUMIFS(#REF!,#REF!,Planning[[#This Row],[Proyectos]],#REF!,Planning[[#This Row],[Tipo de Tarea y especialidad]])+SUMIFS(#REF!,#REF!,Planning[[#This Row],[Proyectos Reiwa]],#REF!,Planning[[#This Row],[Tipo de Tarea y especialidad]])</f>
        <v>#REF!</v>
      </c>
      <c r="O5194" s="19">
        <f t="shared" si="163"/>
        <v>10</v>
      </c>
      <c r="P5194" s="19">
        <f t="shared" si="164"/>
        <v>2024</v>
      </c>
      <c r="Q51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94" s="49" t="str">
        <f>TEXT(Planning[[#This Row],[Mes]]*29,"mmmm")</f>
        <v>October</v>
      </c>
      <c r="S519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94" s="152"/>
      <c r="U5194" s="43" t="e">
        <f>IF(Planning[[#This Row],[Horas Planificadas]]&lt;&gt;0,+K5194/Planning[[#This Row],[Horas Planificadas]],0)</f>
        <v>#REF!</v>
      </c>
      <c r="V5194" s="43" t="e">
        <f>IF(Planning[[#This Row],[Horas Planificadas]]&lt;&gt;0,Planning[[#This Row],[Horas utilizadas]]/Planning[[#This Row],[Horas Planificadas]],0)</f>
        <v>#REF!</v>
      </c>
      <c r="W5194" s="44">
        <f>Planning[[#This Row],[Horas Planificadas]]+Planning[[#This Row],[Horas ajustadas adicionales]]</f>
        <v>18</v>
      </c>
    </row>
    <row r="5195" spans="1:23" ht="13.35" customHeight="1" x14ac:dyDescent="0.2">
      <c r="A5195" s="9" t="s">
        <v>483</v>
      </c>
      <c r="B5195" s="9" t="s">
        <v>178</v>
      </c>
      <c r="C5195" s="3">
        <v>117016</v>
      </c>
      <c r="D5195" s="3" t="s">
        <v>899</v>
      </c>
      <c r="E5195" s="4"/>
      <c r="F5195" s="3" t="s">
        <v>126</v>
      </c>
      <c r="G5195" s="9"/>
      <c r="H5195" s="9">
        <v>0</v>
      </c>
      <c r="I5195" s="12"/>
      <c r="J5195" s="5" t="e">
        <f>SUM(SUMIFS(#REF!,#REF!,Planning[[#This Row],[Tipo de Tarea y especialidad]],#REF!,Planning[[#This Row],[Proyectos Reiwa]]),SUMIFS(#REF!,#REF!,Planning[[#This Row],[Tipo de Tarea y especialidad]],#REF!,Planning[[#This Row],[Proyectos]]))</f>
        <v>#REF!</v>
      </c>
      <c r="K5195" s="5" t="e">
        <f>+Planning[[#This Row],[Horas Planificadas]]+Planning[[#This Row],[Horas ajustadas adicionales]]-Planning[[#This Row],[Horas utilizadas]]</f>
        <v>#REF!</v>
      </c>
      <c r="L5195" s="7" t="e">
        <f>Planning[[#This Row],[Saldo]]</f>
        <v>#REF!</v>
      </c>
      <c r="M5195" s="19" t="e">
        <f>Planning[[#This Row],[Saldo]]-Planning[[#This Row],[Saldo estimado]]</f>
        <v>#REF!</v>
      </c>
      <c r="N5195" s="60" t="e">
        <f>+SUMIFS(#REF!,#REF!,Planning[[#This Row],[Proyectos]],#REF!,Planning[[#This Row],[Tipo de Tarea y especialidad]])+SUMIFS(#REF!,#REF!,Planning[[#This Row],[Proyectos Reiwa]],#REF!,Planning[[#This Row],[Tipo de Tarea y especialidad]])</f>
        <v>#REF!</v>
      </c>
      <c r="O5195" s="19">
        <f t="shared" si="163"/>
        <v>10</v>
      </c>
      <c r="P5195" s="19">
        <f t="shared" si="164"/>
        <v>2024</v>
      </c>
      <c r="Q51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95" s="49" t="str">
        <f>TEXT(Planning[[#This Row],[Mes]]*29,"mmmm")</f>
        <v>October</v>
      </c>
      <c r="S519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95" s="152"/>
      <c r="U5195" s="43">
        <f>IF(Planning[[#This Row],[Horas Planificadas]]&lt;&gt;0,+K5195/Planning[[#This Row],[Horas Planificadas]],0)</f>
        <v>0</v>
      </c>
      <c r="V5195" s="43">
        <f>IF(Planning[[#This Row],[Horas Planificadas]]&lt;&gt;0,Planning[[#This Row],[Horas utilizadas]]/Planning[[#This Row],[Horas Planificadas]],0)</f>
        <v>0</v>
      </c>
      <c r="W5195" s="44">
        <f>Planning[[#This Row],[Horas Planificadas]]+Planning[[#This Row],[Horas ajustadas adicionales]]</f>
        <v>0</v>
      </c>
    </row>
    <row r="5196" spans="1:23" ht="13.35" customHeight="1" x14ac:dyDescent="0.2">
      <c r="A5196" s="9" t="s">
        <v>483</v>
      </c>
      <c r="B5196" s="9" t="s">
        <v>178</v>
      </c>
      <c r="C5196" s="3">
        <v>117016</v>
      </c>
      <c r="D5196" s="3" t="s">
        <v>899</v>
      </c>
      <c r="E5196" s="4"/>
      <c r="F5196" s="3" t="s">
        <v>127</v>
      </c>
      <c r="G5196" s="9"/>
      <c r="H5196" s="9">
        <v>38</v>
      </c>
      <c r="I5196" s="12">
        <v>2</v>
      </c>
      <c r="J5196" s="5" t="e">
        <f>SUM(SUMIFS(#REF!,#REF!,Planning[[#This Row],[Tipo de Tarea y especialidad]],#REF!,Planning[[#This Row],[Proyectos Reiwa]]),SUMIFS(#REF!,#REF!,Planning[[#This Row],[Tipo de Tarea y especialidad]],#REF!,Planning[[#This Row],[Proyectos]]))</f>
        <v>#REF!</v>
      </c>
      <c r="K5196" s="5" t="e">
        <f>+Planning[[#This Row],[Horas Planificadas]]+Planning[[#This Row],[Horas ajustadas adicionales]]-Planning[[#This Row],[Horas utilizadas]]</f>
        <v>#REF!</v>
      </c>
      <c r="L5196" s="7">
        <v>0</v>
      </c>
      <c r="M5196" s="19" t="e">
        <f>Planning[[#This Row],[Saldo]]-Planning[[#This Row],[Saldo estimado]]</f>
        <v>#REF!</v>
      </c>
      <c r="N5196" s="60" t="e">
        <f>+SUMIFS(#REF!,#REF!,Planning[[#This Row],[Proyectos]],#REF!,Planning[[#This Row],[Tipo de Tarea y especialidad]])+SUMIFS(#REF!,#REF!,Planning[[#This Row],[Proyectos Reiwa]],#REF!,Planning[[#This Row],[Tipo de Tarea y especialidad]])</f>
        <v>#REF!</v>
      </c>
      <c r="O5196" s="19">
        <f t="shared" si="163"/>
        <v>10</v>
      </c>
      <c r="P5196" s="19">
        <f t="shared" si="164"/>
        <v>2024</v>
      </c>
      <c r="Q51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96" s="49" t="str">
        <f>TEXT(Planning[[#This Row],[Mes]]*29,"mmmm")</f>
        <v>October</v>
      </c>
      <c r="S519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96" s="152"/>
      <c r="U5196" s="43" t="e">
        <f>IF(Planning[[#This Row],[Horas Planificadas]]&lt;&gt;0,+K5196/Planning[[#This Row],[Horas Planificadas]],0)</f>
        <v>#REF!</v>
      </c>
      <c r="V5196" s="43" t="e">
        <f>IF(Planning[[#This Row],[Horas Planificadas]]&lt;&gt;0,Planning[[#This Row],[Horas utilizadas]]/Planning[[#This Row],[Horas Planificadas]],0)</f>
        <v>#REF!</v>
      </c>
      <c r="W5196" s="44">
        <f>Planning[[#This Row],[Horas Planificadas]]+Planning[[#This Row],[Horas ajustadas adicionales]]</f>
        <v>40</v>
      </c>
    </row>
    <row r="5197" spans="1:23" ht="13.35" customHeight="1" x14ac:dyDescent="0.2">
      <c r="A5197" s="9" t="s">
        <v>483</v>
      </c>
      <c r="B5197" s="9" t="s">
        <v>178</v>
      </c>
      <c r="C5197" s="3">
        <v>117016</v>
      </c>
      <c r="D5197" s="3" t="s">
        <v>899</v>
      </c>
      <c r="E5197" s="4"/>
      <c r="F5197" s="3" t="s">
        <v>128</v>
      </c>
      <c r="G5197" s="9"/>
      <c r="H5197" s="9">
        <v>0</v>
      </c>
      <c r="I5197" s="12"/>
      <c r="J5197" s="5" t="e">
        <f>SUM(SUMIFS(#REF!,#REF!,Planning[[#This Row],[Tipo de Tarea y especialidad]],#REF!,Planning[[#This Row],[Proyectos Reiwa]]),SUMIFS(#REF!,#REF!,Planning[[#This Row],[Tipo de Tarea y especialidad]],#REF!,Planning[[#This Row],[Proyectos]]))</f>
        <v>#REF!</v>
      </c>
      <c r="K5197" s="5" t="e">
        <f>+Planning[[#This Row],[Horas Planificadas]]+Planning[[#This Row],[Horas ajustadas adicionales]]-Planning[[#This Row],[Horas utilizadas]]</f>
        <v>#REF!</v>
      </c>
      <c r="L5197" s="7">
        <v>0</v>
      </c>
      <c r="M5197" s="19" t="e">
        <f>Planning[[#This Row],[Saldo]]-Planning[[#This Row],[Saldo estimado]]</f>
        <v>#REF!</v>
      </c>
      <c r="N5197" s="60" t="e">
        <f>+SUMIFS(#REF!,#REF!,Planning[[#This Row],[Proyectos]],#REF!,Planning[[#This Row],[Tipo de Tarea y especialidad]])+SUMIFS(#REF!,#REF!,Planning[[#This Row],[Proyectos Reiwa]],#REF!,Planning[[#This Row],[Tipo de Tarea y especialidad]])</f>
        <v>#REF!</v>
      </c>
      <c r="O5197" s="19">
        <f t="shared" si="163"/>
        <v>10</v>
      </c>
      <c r="P5197" s="19">
        <f t="shared" si="164"/>
        <v>2024</v>
      </c>
      <c r="Q51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197" s="49" t="str">
        <f>TEXT(Planning[[#This Row],[Mes]]*29,"mmmm")</f>
        <v>October</v>
      </c>
      <c r="S519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97" s="152"/>
      <c r="U5197" s="43">
        <f>IF(Planning[[#This Row],[Horas Planificadas]]&lt;&gt;0,+K5197/Planning[[#This Row],[Horas Planificadas]],0)</f>
        <v>0</v>
      </c>
      <c r="V5197" s="43">
        <f>IF(Planning[[#This Row],[Horas Planificadas]]&lt;&gt;0,Planning[[#This Row],[Horas utilizadas]]/Planning[[#This Row],[Horas Planificadas]],0)</f>
        <v>0</v>
      </c>
      <c r="W5197" s="44">
        <f>Planning[[#This Row],[Horas Planificadas]]+Planning[[#This Row],[Horas ajustadas adicionales]]</f>
        <v>0</v>
      </c>
    </row>
    <row r="5198" spans="1:23" ht="13.35" customHeight="1" x14ac:dyDescent="0.2">
      <c r="A5198" s="9" t="s">
        <v>483</v>
      </c>
      <c r="B5198" s="9" t="s">
        <v>178</v>
      </c>
      <c r="C5198" s="3">
        <v>117016</v>
      </c>
      <c r="D5198" s="3" t="s">
        <v>899</v>
      </c>
      <c r="E5198" s="4" t="s">
        <v>31</v>
      </c>
      <c r="F5198" s="3" t="s">
        <v>31</v>
      </c>
      <c r="G5198" s="9">
        <v>7</v>
      </c>
      <c r="H5198" s="17">
        <v>7</v>
      </c>
      <c r="I5198" s="18">
        <v>2</v>
      </c>
      <c r="J5198" s="14" t="e">
        <f>+SUMIFS(#REF!,#REF!,Planning[[#This Row],[Tarifa]],#REF!,Planning[[#This Row],[Proyectos]])</f>
        <v>#REF!</v>
      </c>
      <c r="K5198" s="14" t="e">
        <f>+Planning[[#This Row],[Horas Planificadas]]+Planning[[#This Row],[Horas ajustadas adicionales]]-Planning[[#This Row],[Horas utilizadas]]</f>
        <v>#REF!</v>
      </c>
      <c r="L5198" s="15">
        <v>0</v>
      </c>
      <c r="M5198" s="16" t="e">
        <f>Planning[[#This Row],[Saldo]]-Planning[[#This Row],[Saldo estimado]]</f>
        <v>#REF!</v>
      </c>
      <c r="N5198" s="60" t="e">
        <f>+SUMIFS(#REF!,#REF!,Planning[[#This Row],[Proyectos]],#REF!,Planning[[#This Row],[Tipo de Tarea y especialidad]])+SUMIFS(#REF!,#REF!,Planning[[#This Row],[Proyectos Reiwa]],#REF!,Planning[[#This Row],[Tipo de Tarea y especialidad]])</f>
        <v>#REF!</v>
      </c>
      <c r="O5198" s="16">
        <f t="shared" si="163"/>
        <v>10</v>
      </c>
      <c r="P5198" s="16">
        <f t="shared" si="164"/>
        <v>2024</v>
      </c>
      <c r="Q5198" s="16" t="e">
        <f>+SUMIFS(#REF!,#REF!,Planning[[#This Row],[Tarifa]],#REF!,Planning[[#This Row],[Proyectos]],#REF!,Planning[[#This Row],[Mes]],#REF!,Planning[[#This Row],[Año]])</f>
        <v>#REF!</v>
      </c>
      <c r="R5198" s="50" t="str">
        <f>TEXT(Planning[[#This Row],[Mes]]*29,"mmmm")</f>
        <v>October</v>
      </c>
      <c r="S519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98" s="152"/>
      <c r="U5198" s="43" t="e">
        <f>IF(Planning[[#This Row],[Horas Planificadas]]&lt;&gt;0,+K5198/Planning[[#This Row],[Horas Planificadas]],0)</f>
        <v>#REF!</v>
      </c>
      <c r="V5198" s="43" t="e">
        <f>IF(Planning[[#This Row],[Horas Planificadas]]&lt;&gt;0,Planning[[#This Row],[Horas utilizadas]]/Planning[[#This Row],[Horas Planificadas]],0)</f>
        <v>#REF!</v>
      </c>
      <c r="W5198" s="44">
        <f>Planning[[#This Row],[Horas Planificadas]]+Planning[[#This Row],[Horas ajustadas adicionales]]</f>
        <v>9</v>
      </c>
    </row>
    <row r="5199" spans="1:23" ht="13.35" customHeight="1" x14ac:dyDescent="0.2">
      <c r="A5199" s="9" t="s">
        <v>483</v>
      </c>
      <c r="B5199" s="9" t="s">
        <v>178</v>
      </c>
      <c r="C5199" s="3">
        <v>117016</v>
      </c>
      <c r="D5199" s="3" t="s">
        <v>899</v>
      </c>
      <c r="E5199" s="4" t="s">
        <v>32</v>
      </c>
      <c r="F5199" s="3"/>
      <c r="G5199" s="9">
        <v>20</v>
      </c>
      <c r="H5199" s="14">
        <f>SUM(H5200:H5202)</f>
        <v>20</v>
      </c>
      <c r="I5199" s="14"/>
      <c r="J5199" s="14" t="e">
        <f>SUM(J5200:J5202)</f>
        <v>#REF!</v>
      </c>
      <c r="K5199" s="14" t="e">
        <f>+Planning[[#This Row],[Horas Planificadas]]+Planning[[#This Row],[Horas ajustadas adicionales]]-Planning[[#This Row],[Horas utilizadas]]</f>
        <v>#REF!</v>
      </c>
      <c r="L5199" s="15" t="e">
        <f>SUM(L5200:L5202)</f>
        <v>#REF!</v>
      </c>
      <c r="M5199" s="16" t="e">
        <f>SUM(M5200:M5202)</f>
        <v>#REF!</v>
      </c>
      <c r="N5199" s="60" t="e">
        <f>+SUMIFS(#REF!,#REF!,Planning[[#This Row],[Proyectos]],#REF!,Planning[[#This Row],[Tipo de Tarea y especialidad]])+SUMIFS(#REF!,#REF!,Planning[[#This Row],[Proyectos Reiwa]],#REF!,Planning[[#This Row],[Tipo de Tarea y especialidad]])</f>
        <v>#REF!</v>
      </c>
      <c r="O5199" s="16">
        <f t="shared" si="163"/>
        <v>10</v>
      </c>
      <c r="P5199" s="16">
        <f t="shared" si="164"/>
        <v>2024</v>
      </c>
      <c r="Q5199" s="16" t="e">
        <f>SUM(Q5200:Q5202)</f>
        <v>#REF!</v>
      </c>
      <c r="R5199" s="50" t="str">
        <f>TEXT(Planning[[#This Row],[Mes]]*29,"mmmm")</f>
        <v>October</v>
      </c>
      <c r="S519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199" s="152"/>
      <c r="U5199" s="43" t="e">
        <f>IF(Planning[[#This Row],[Horas Planificadas]]&lt;&gt;0,+K5199/Planning[[#This Row],[Horas Planificadas]],0)</f>
        <v>#REF!</v>
      </c>
      <c r="V5199" s="43" t="e">
        <f>IF(Planning[[#This Row],[Horas Planificadas]]&lt;&gt;0,Planning[[#This Row],[Horas utilizadas]]/Planning[[#This Row],[Horas Planificadas]],0)</f>
        <v>#REF!</v>
      </c>
      <c r="W5199" s="44">
        <f>Planning[[#This Row],[Horas Planificadas]]+Planning[[#This Row],[Horas ajustadas adicionales]]</f>
        <v>20</v>
      </c>
    </row>
    <row r="5200" spans="1:23" ht="13.35" customHeight="1" x14ac:dyDescent="0.2">
      <c r="A5200" s="9" t="s">
        <v>483</v>
      </c>
      <c r="B5200" s="9" t="s">
        <v>178</v>
      </c>
      <c r="C5200" s="3">
        <v>117016</v>
      </c>
      <c r="D5200" s="3" t="s">
        <v>899</v>
      </c>
      <c r="E5200" s="4"/>
      <c r="F5200" s="3" t="s">
        <v>129</v>
      </c>
      <c r="G5200" s="9"/>
      <c r="H5200" s="9">
        <v>0</v>
      </c>
      <c r="I5200" s="12"/>
      <c r="J5200" s="5" t="e">
        <f>SUM(SUMIFS(#REF!,#REF!,Planning[[#This Row],[Tipo de Tarea y especialidad]],#REF!,Planning[[#This Row],[Proyectos Reiwa]]),SUMIFS(#REF!,#REF!,Planning[[#This Row],[Tipo de Tarea y especialidad]],#REF!,Planning[[#This Row],[Proyectos]]))</f>
        <v>#REF!</v>
      </c>
      <c r="K5200" s="5" t="e">
        <f>+Planning[[#This Row],[Horas Planificadas]]+Planning[[#This Row],[Horas ajustadas adicionales]]-Planning[[#This Row],[Horas utilizadas]]</f>
        <v>#REF!</v>
      </c>
      <c r="L5200" s="7" t="e">
        <f>Planning[[#This Row],[Saldo]]</f>
        <v>#REF!</v>
      </c>
      <c r="M5200" s="19" t="e">
        <f>Planning[[#This Row],[Saldo]]-Planning[[#This Row],[Saldo estimado]]</f>
        <v>#REF!</v>
      </c>
      <c r="N5200" s="60" t="e">
        <f>+SUMIFS(#REF!,#REF!,Planning[[#This Row],[Proyectos]],#REF!,Planning[[#This Row],[Tipo de Tarea y especialidad]])+SUMIFS(#REF!,#REF!,Planning[[#This Row],[Proyectos Reiwa]],#REF!,Planning[[#This Row],[Tipo de Tarea y especialidad]])</f>
        <v>#REF!</v>
      </c>
      <c r="O5200" s="19">
        <f t="shared" si="163"/>
        <v>10</v>
      </c>
      <c r="P5200" s="19">
        <f t="shared" si="164"/>
        <v>2024</v>
      </c>
      <c r="Q52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00" s="49" t="str">
        <f>TEXT(Planning[[#This Row],[Mes]]*29,"mmmm")</f>
        <v>October</v>
      </c>
      <c r="S520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00" s="152"/>
      <c r="U5200" s="43">
        <f>IF(Planning[[#This Row],[Horas Planificadas]]&lt;&gt;0,+K5200/Planning[[#This Row],[Horas Planificadas]],0)</f>
        <v>0</v>
      </c>
      <c r="V5200" s="43">
        <f>IF(Planning[[#This Row],[Horas Planificadas]]&lt;&gt;0,Planning[[#This Row],[Horas utilizadas]]/Planning[[#This Row],[Horas Planificadas]],0)</f>
        <v>0</v>
      </c>
      <c r="W5200" s="44">
        <f>Planning[[#This Row],[Horas Planificadas]]+Planning[[#This Row],[Horas ajustadas adicionales]]</f>
        <v>0</v>
      </c>
    </row>
    <row r="5201" spans="1:23" ht="13.35" customHeight="1" x14ac:dyDescent="0.2">
      <c r="A5201" s="9" t="s">
        <v>483</v>
      </c>
      <c r="B5201" s="9" t="s">
        <v>178</v>
      </c>
      <c r="C5201" s="3">
        <v>117016</v>
      </c>
      <c r="D5201" s="3" t="s">
        <v>899</v>
      </c>
      <c r="E5201" s="4"/>
      <c r="F5201" s="3" t="s">
        <v>130</v>
      </c>
      <c r="G5201" s="9"/>
      <c r="H5201" s="9">
        <v>20</v>
      </c>
      <c r="I5201" s="12">
        <v>20</v>
      </c>
      <c r="J5201" s="5" t="e">
        <f>SUM(SUMIFS(#REF!,#REF!,Planning[[#This Row],[Tipo de Tarea y especialidad]],#REF!,Planning[[#This Row],[Proyectos Reiwa]]),SUMIFS(#REF!,#REF!,Planning[[#This Row],[Tipo de Tarea y especialidad]],#REF!,Planning[[#This Row],[Proyectos]]))</f>
        <v>#REF!</v>
      </c>
      <c r="K5201" s="5" t="e">
        <f>+Planning[[#This Row],[Horas Planificadas]]+Planning[[#This Row],[Horas ajustadas adicionales]]-Planning[[#This Row],[Horas utilizadas]]</f>
        <v>#REF!</v>
      </c>
      <c r="L5201" s="7">
        <v>0</v>
      </c>
      <c r="M5201" s="19" t="e">
        <f>Planning[[#This Row],[Saldo]]-Planning[[#This Row],[Saldo estimado]]</f>
        <v>#REF!</v>
      </c>
      <c r="N5201" s="60" t="e">
        <f>+SUMIFS(#REF!,#REF!,Planning[[#This Row],[Proyectos]],#REF!,Planning[[#This Row],[Tipo de Tarea y especialidad]])+SUMIFS(#REF!,#REF!,Planning[[#This Row],[Proyectos Reiwa]],#REF!,Planning[[#This Row],[Tipo de Tarea y especialidad]])</f>
        <v>#REF!</v>
      </c>
      <c r="O5201" s="19">
        <f t="shared" si="163"/>
        <v>10</v>
      </c>
      <c r="P5201" s="19">
        <f t="shared" si="164"/>
        <v>2024</v>
      </c>
      <c r="Q52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01" s="49" t="str">
        <f>TEXT(Planning[[#This Row],[Mes]]*29,"mmmm")</f>
        <v>October</v>
      </c>
      <c r="S520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01" s="152"/>
      <c r="U5201" s="43" t="e">
        <f>IF(Planning[[#This Row],[Horas Planificadas]]&lt;&gt;0,+K5201/Planning[[#This Row],[Horas Planificadas]],0)</f>
        <v>#REF!</v>
      </c>
      <c r="V5201" s="43" t="e">
        <f>IF(Planning[[#This Row],[Horas Planificadas]]&lt;&gt;0,Planning[[#This Row],[Horas utilizadas]]/Planning[[#This Row],[Horas Planificadas]],0)</f>
        <v>#REF!</v>
      </c>
      <c r="W5201" s="44">
        <f>Planning[[#This Row],[Horas Planificadas]]+Planning[[#This Row],[Horas ajustadas adicionales]]</f>
        <v>40</v>
      </c>
    </row>
    <row r="5202" spans="1:23" ht="13.35" customHeight="1" x14ac:dyDescent="0.2">
      <c r="A5202" s="9" t="s">
        <v>483</v>
      </c>
      <c r="B5202" s="9" t="s">
        <v>178</v>
      </c>
      <c r="C5202" s="3">
        <v>117016</v>
      </c>
      <c r="D5202" s="3" t="s">
        <v>899</v>
      </c>
      <c r="E5202" s="4"/>
      <c r="F5202" s="3" t="s">
        <v>131</v>
      </c>
      <c r="G5202" s="9"/>
      <c r="H5202" s="9">
        <v>0</v>
      </c>
      <c r="I5202" s="12"/>
      <c r="J5202" s="5" t="e">
        <f>SUM(SUMIFS(#REF!,#REF!,Planning[[#This Row],[Tipo de Tarea y especialidad]],#REF!,Planning[[#This Row],[Proyectos Reiwa]]),SUMIFS(#REF!,#REF!,Planning[[#This Row],[Tipo de Tarea y especialidad]],#REF!,Planning[[#This Row],[Proyectos]]))</f>
        <v>#REF!</v>
      </c>
      <c r="K5202" s="5" t="e">
        <f>+Planning[[#This Row],[Horas Planificadas]]+Planning[[#This Row],[Horas ajustadas adicionales]]-Planning[[#This Row],[Horas utilizadas]]</f>
        <v>#REF!</v>
      </c>
      <c r="L5202" s="7">
        <v>0</v>
      </c>
      <c r="M5202" s="19" t="e">
        <f>Planning[[#This Row],[Saldo]]-Planning[[#This Row],[Saldo estimado]]</f>
        <v>#REF!</v>
      </c>
      <c r="N5202" s="60" t="e">
        <f>+SUMIFS(#REF!,#REF!,Planning[[#This Row],[Proyectos]],#REF!,Planning[[#This Row],[Tipo de Tarea y especialidad]])+SUMIFS(#REF!,#REF!,Planning[[#This Row],[Proyectos Reiwa]],#REF!,Planning[[#This Row],[Tipo de Tarea y especialidad]])</f>
        <v>#REF!</v>
      </c>
      <c r="O5202" s="19">
        <f t="shared" si="163"/>
        <v>10</v>
      </c>
      <c r="P5202" s="19">
        <f t="shared" si="164"/>
        <v>2024</v>
      </c>
      <c r="Q52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02" s="51" t="str">
        <f>TEXT(Planning[[#This Row],[Mes]]*29,"mmmm")</f>
        <v>October</v>
      </c>
      <c r="S520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02" s="153"/>
      <c r="U5202" s="43">
        <f>IF(Planning[[#This Row],[Horas Planificadas]]&lt;&gt;0,+K5202/Planning[[#This Row],[Horas Planificadas]],0)</f>
        <v>0</v>
      </c>
      <c r="V5202" s="43">
        <f>IF(Planning[[#This Row],[Horas Planificadas]]&lt;&gt;0,Planning[[#This Row],[Horas utilizadas]]/Planning[[#This Row],[Horas Planificadas]],0)</f>
        <v>0</v>
      </c>
      <c r="W5202" s="44">
        <f>Planning[[#This Row],[Horas Planificadas]]+Planning[[#This Row],[Horas ajustadas adicionales]]</f>
        <v>0</v>
      </c>
    </row>
    <row r="5203" spans="1:23" ht="13.35" customHeight="1" x14ac:dyDescent="0.2">
      <c r="A5203" s="9" t="s">
        <v>483</v>
      </c>
      <c r="B5203" s="9" t="s">
        <v>178</v>
      </c>
      <c r="C5203" s="3">
        <v>117020</v>
      </c>
      <c r="D5203" s="3" t="s">
        <v>901</v>
      </c>
      <c r="E5203" s="4" t="s">
        <v>28</v>
      </c>
      <c r="F5203" s="3"/>
      <c r="G5203" s="9">
        <v>0</v>
      </c>
      <c r="H5203" s="14">
        <f>SUM(H5204:H5205)</f>
        <v>0</v>
      </c>
      <c r="I5203" s="14"/>
      <c r="J5203" s="14" t="e">
        <f>SUM(J5204:J5205)</f>
        <v>#REF!</v>
      </c>
      <c r="K5203" s="14" t="e">
        <f>+Planning[[#This Row],[Horas Planificadas]]+Planning[[#This Row],[Horas ajustadas adicionales]]-Planning[[#This Row],[Horas utilizadas]]</f>
        <v>#REF!</v>
      </c>
      <c r="L5203" s="15" t="e">
        <f>SUM(L5204:L5205)</f>
        <v>#REF!</v>
      </c>
      <c r="M5203" s="14" t="e">
        <f>SUM(M5204:M5205)</f>
        <v>#REF!</v>
      </c>
      <c r="N5203" s="60" t="e">
        <f>+SUMIFS(#REF!,#REF!,Planning[[#This Row],[Proyectos]],#REF!,Planning[[#This Row],[Tipo de Tarea y especialidad]])+SUMIFS(#REF!,#REF!,Planning[[#This Row],[Proyectos Reiwa]],#REF!,Planning[[#This Row],[Tipo de Tarea y especialidad]])</f>
        <v>#REF!</v>
      </c>
      <c r="O5203" s="14">
        <f t="shared" si="163"/>
        <v>10</v>
      </c>
      <c r="P5203" s="14">
        <f t="shared" si="164"/>
        <v>2024</v>
      </c>
      <c r="Q5203" s="28" t="e">
        <f>SUM(Q5204:Q5205)</f>
        <v>#REF!</v>
      </c>
      <c r="R5203" s="24" t="str">
        <f>TEXT(Planning[[#This Row],[Mes]]*29,"mmmm")</f>
        <v>October</v>
      </c>
      <c r="S5203"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03" s="151" t="s">
        <v>902</v>
      </c>
      <c r="U5203" s="43">
        <f>IF(Planning[[#This Row],[Horas Planificadas]]&lt;&gt;0,+K5203/Planning[[#This Row],[Horas Planificadas]],0)</f>
        <v>0</v>
      </c>
      <c r="V5203" s="43">
        <f>IF(Planning[[#This Row],[Horas Planificadas]]&lt;&gt;0,Planning[[#This Row],[Horas utilizadas]]/Planning[[#This Row],[Horas Planificadas]],0)</f>
        <v>0</v>
      </c>
      <c r="W5203" s="44">
        <f>Planning[[#This Row],[Horas Planificadas]]+Planning[[#This Row],[Horas ajustadas adicionales]]</f>
        <v>0</v>
      </c>
    </row>
    <row r="5204" spans="1:23" ht="13.35" customHeight="1" x14ac:dyDescent="0.2">
      <c r="A5204" s="9" t="s">
        <v>483</v>
      </c>
      <c r="B5204" s="9" t="s">
        <v>178</v>
      </c>
      <c r="C5204" s="3">
        <v>117020</v>
      </c>
      <c r="D5204" s="3" t="s">
        <v>901</v>
      </c>
      <c r="E5204" s="4"/>
      <c r="F5204" s="3" t="s">
        <v>120</v>
      </c>
      <c r="G5204" s="9"/>
      <c r="H5204" s="9">
        <v>0</v>
      </c>
      <c r="I5204" s="12"/>
      <c r="J5204" s="5" t="e">
        <f>SUM(SUMIFS(#REF!,#REF!,Planning[[#This Row],[Tipo de Tarea y especialidad]],#REF!,Planning[[#This Row],[Proyectos Reiwa]]),SUMIFS(#REF!,#REF!,Planning[[#This Row],[Tipo de Tarea y especialidad]],#REF!,Planning[[#This Row],[Proyectos]]))</f>
        <v>#REF!</v>
      </c>
      <c r="K5204" s="5" t="e">
        <f>+Planning[[#This Row],[Horas Planificadas]]+Planning[[#This Row],[Horas ajustadas adicionales]]-Planning[[#This Row],[Horas utilizadas]]</f>
        <v>#REF!</v>
      </c>
      <c r="L5204" s="7" t="e">
        <f>Planning[[#This Row],[Saldo]]</f>
        <v>#REF!</v>
      </c>
      <c r="M5204" s="19" t="e">
        <f>Planning[[#This Row],[Saldo]]-Planning[[#This Row],[Saldo estimado]]</f>
        <v>#REF!</v>
      </c>
      <c r="N5204" s="60" t="e">
        <f>+SUMIFS(#REF!,#REF!,Planning[[#This Row],[Proyectos]],#REF!,Planning[[#This Row],[Tipo de Tarea y especialidad]])+SUMIFS(#REF!,#REF!,Planning[[#This Row],[Proyectos Reiwa]],#REF!,Planning[[#This Row],[Tipo de Tarea y especialidad]])</f>
        <v>#REF!</v>
      </c>
      <c r="O5204" s="19">
        <f t="shared" si="163"/>
        <v>10</v>
      </c>
      <c r="P5204" s="19">
        <f t="shared" si="164"/>
        <v>2024</v>
      </c>
      <c r="Q52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04" s="49" t="str">
        <f>TEXT(Planning[[#This Row],[Mes]]*29,"mmmm")</f>
        <v>October</v>
      </c>
      <c r="S520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04" s="152"/>
      <c r="U5204" s="43">
        <f>IF(Planning[[#This Row],[Horas Planificadas]]&lt;&gt;0,+K5204/Planning[[#This Row],[Horas Planificadas]],0)</f>
        <v>0</v>
      </c>
      <c r="V5204" s="43">
        <f>IF(Planning[[#This Row],[Horas Planificadas]]&lt;&gt;0,Planning[[#This Row],[Horas utilizadas]]/Planning[[#This Row],[Horas Planificadas]],0)</f>
        <v>0</v>
      </c>
      <c r="W5204" s="44">
        <f>Planning[[#This Row],[Horas Planificadas]]+Planning[[#This Row],[Horas ajustadas adicionales]]</f>
        <v>0</v>
      </c>
    </row>
    <row r="5205" spans="1:23" ht="13.35" customHeight="1" x14ac:dyDescent="0.2">
      <c r="A5205" s="9" t="s">
        <v>483</v>
      </c>
      <c r="B5205" s="9" t="s">
        <v>178</v>
      </c>
      <c r="C5205" s="3">
        <v>117020</v>
      </c>
      <c r="D5205" s="3" t="s">
        <v>901</v>
      </c>
      <c r="E5205" s="4"/>
      <c r="F5205" s="3" t="s">
        <v>121</v>
      </c>
      <c r="G5205" s="9"/>
      <c r="H5205" s="9">
        <v>0</v>
      </c>
      <c r="I5205" s="12"/>
      <c r="J5205" s="5" t="e">
        <f>SUM(SUMIFS(#REF!,#REF!,Planning[[#This Row],[Tipo de Tarea y especialidad]],#REF!,Planning[[#This Row],[Proyectos Reiwa]]),SUMIFS(#REF!,#REF!,Planning[[#This Row],[Tipo de Tarea y especialidad]],#REF!,Planning[[#This Row],[Proyectos]]))</f>
        <v>#REF!</v>
      </c>
      <c r="K5205" s="5" t="e">
        <f>+Planning[[#This Row],[Horas Planificadas]]+Planning[[#This Row],[Horas ajustadas adicionales]]-Planning[[#This Row],[Horas utilizadas]]</f>
        <v>#REF!</v>
      </c>
      <c r="L5205" s="7" t="e">
        <f>Planning[[#This Row],[Saldo]]</f>
        <v>#REF!</v>
      </c>
      <c r="M5205" s="19" t="e">
        <f>Planning[[#This Row],[Saldo]]-Planning[[#This Row],[Saldo estimado]]</f>
        <v>#REF!</v>
      </c>
      <c r="N5205" s="60" t="e">
        <f>+SUMIFS(#REF!,#REF!,Planning[[#This Row],[Proyectos]],#REF!,Planning[[#This Row],[Tipo de Tarea y especialidad]])+SUMIFS(#REF!,#REF!,Planning[[#This Row],[Proyectos Reiwa]],#REF!,Planning[[#This Row],[Tipo de Tarea y especialidad]])</f>
        <v>#REF!</v>
      </c>
      <c r="O5205" s="19">
        <f t="shared" si="163"/>
        <v>10</v>
      </c>
      <c r="P5205" s="19">
        <f t="shared" si="164"/>
        <v>2024</v>
      </c>
      <c r="Q52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05" s="49" t="str">
        <f>TEXT(Planning[[#This Row],[Mes]]*29,"mmmm")</f>
        <v>October</v>
      </c>
      <c r="S520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05" s="152"/>
      <c r="U5205" s="43">
        <f>IF(Planning[[#This Row],[Horas Planificadas]]&lt;&gt;0,+K5205/Planning[[#This Row],[Horas Planificadas]],0)</f>
        <v>0</v>
      </c>
      <c r="V5205" s="43">
        <f>IF(Planning[[#This Row],[Horas Planificadas]]&lt;&gt;0,Planning[[#This Row],[Horas utilizadas]]/Planning[[#This Row],[Horas Planificadas]],0)</f>
        <v>0</v>
      </c>
      <c r="W5205" s="44">
        <f>Planning[[#This Row],[Horas Planificadas]]+Planning[[#This Row],[Horas ajustadas adicionales]]</f>
        <v>0</v>
      </c>
    </row>
    <row r="5206" spans="1:23" ht="13.35" customHeight="1" x14ac:dyDescent="0.2">
      <c r="A5206" s="9" t="s">
        <v>483</v>
      </c>
      <c r="B5206" s="9" t="s">
        <v>178</v>
      </c>
      <c r="C5206" s="3">
        <v>117020</v>
      </c>
      <c r="D5206" s="3" t="s">
        <v>901</v>
      </c>
      <c r="E5206" s="4" t="s">
        <v>30</v>
      </c>
      <c r="F5206" s="3"/>
      <c r="G5206" s="9">
        <v>60</v>
      </c>
      <c r="H5206" s="14">
        <f>SUM(H5207:H5213)</f>
        <v>60</v>
      </c>
      <c r="I5206" s="14"/>
      <c r="J5206" s="14" t="e">
        <f>SUM(J5207:J5213)</f>
        <v>#REF!</v>
      </c>
      <c r="K5206" s="14" t="e">
        <f>+Planning[[#This Row],[Horas Planificadas]]+Planning[[#This Row],[Horas ajustadas adicionales]]-Planning[[#This Row],[Horas utilizadas]]</f>
        <v>#REF!</v>
      </c>
      <c r="L5206" s="15" t="e">
        <f>SUM(L5207:L5213)</f>
        <v>#REF!</v>
      </c>
      <c r="M5206" s="16" t="e">
        <f>SUM(M5207:M5213)</f>
        <v>#REF!</v>
      </c>
      <c r="N5206" s="60" t="e">
        <f>+SUMIFS(#REF!,#REF!,Planning[[#This Row],[Proyectos]],#REF!,Planning[[#This Row],[Tipo de Tarea y especialidad]])+SUMIFS(#REF!,#REF!,Planning[[#This Row],[Proyectos Reiwa]],#REF!,Planning[[#This Row],[Tipo de Tarea y especialidad]])</f>
        <v>#REF!</v>
      </c>
      <c r="O5206" s="16">
        <f t="shared" si="163"/>
        <v>10</v>
      </c>
      <c r="P5206" s="16">
        <f t="shared" si="164"/>
        <v>2024</v>
      </c>
      <c r="Q5206" s="16" t="e">
        <f>SUM(Q5207:Q5213)</f>
        <v>#REF!</v>
      </c>
      <c r="R5206" s="50" t="str">
        <f>TEXT(Planning[[#This Row],[Mes]]*29,"mmmm")</f>
        <v>October</v>
      </c>
      <c r="S520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06" s="152"/>
      <c r="U5206" s="43" t="e">
        <f>IF(Planning[[#This Row],[Horas Planificadas]]&lt;&gt;0,+K5206/Planning[[#This Row],[Horas Planificadas]],0)</f>
        <v>#REF!</v>
      </c>
      <c r="V5206" s="43" t="e">
        <f>IF(Planning[[#This Row],[Horas Planificadas]]&lt;&gt;0,Planning[[#This Row],[Horas utilizadas]]/Planning[[#This Row],[Horas Planificadas]],0)</f>
        <v>#REF!</v>
      </c>
      <c r="W5206" s="44">
        <f>Planning[[#This Row],[Horas Planificadas]]+Planning[[#This Row],[Horas ajustadas adicionales]]</f>
        <v>60</v>
      </c>
    </row>
    <row r="5207" spans="1:23" ht="13.35" customHeight="1" x14ac:dyDescent="0.2">
      <c r="A5207" s="9" t="s">
        <v>483</v>
      </c>
      <c r="B5207" s="9" t="s">
        <v>178</v>
      </c>
      <c r="C5207" s="3">
        <v>117020</v>
      </c>
      <c r="D5207" s="3" t="s">
        <v>901</v>
      </c>
      <c r="E5207" s="4"/>
      <c r="F5207" s="3" t="s">
        <v>122</v>
      </c>
      <c r="G5207" s="9"/>
      <c r="H5207" s="9">
        <v>0</v>
      </c>
      <c r="I5207" s="12"/>
      <c r="J5207" s="5" t="e">
        <f>SUM(SUMIFS(#REF!,#REF!,Planning[[#This Row],[Tipo de Tarea y especialidad]],#REF!,Planning[[#This Row],[Proyectos Reiwa]]),SUMIFS(#REF!,#REF!,Planning[[#This Row],[Tipo de Tarea y especialidad]],#REF!,Planning[[#This Row],[Proyectos]]))</f>
        <v>#REF!</v>
      </c>
      <c r="K5207" s="5" t="e">
        <f>+Planning[[#This Row],[Horas Planificadas]]+Planning[[#This Row],[Horas ajustadas adicionales]]-Planning[[#This Row],[Horas utilizadas]]</f>
        <v>#REF!</v>
      </c>
      <c r="L5207" s="7" t="e">
        <f>Planning[[#This Row],[Saldo]]</f>
        <v>#REF!</v>
      </c>
      <c r="M5207" s="19" t="e">
        <f>Planning[[#This Row],[Saldo]]-Planning[[#This Row],[Saldo estimado]]</f>
        <v>#REF!</v>
      </c>
      <c r="N5207" s="60" t="e">
        <f>+SUMIFS(#REF!,#REF!,Planning[[#This Row],[Proyectos]],#REF!,Planning[[#This Row],[Tipo de Tarea y especialidad]])+SUMIFS(#REF!,#REF!,Planning[[#This Row],[Proyectos Reiwa]],#REF!,Planning[[#This Row],[Tipo de Tarea y especialidad]])</f>
        <v>#REF!</v>
      </c>
      <c r="O5207" s="19">
        <f t="shared" si="163"/>
        <v>10</v>
      </c>
      <c r="P5207" s="19">
        <f t="shared" si="164"/>
        <v>2024</v>
      </c>
      <c r="Q52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07" s="49" t="str">
        <f>TEXT(Planning[[#This Row],[Mes]]*29,"mmmm")</f>
        <v>October</v>
      </c>
      <c r="S520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07" s="152"/>
      <c r="U5207" s="43">
        <f>IF(Planning[[#This Row],[Horas Planificadas]]&lt;&gt;0,+K5207/Planning[[#This Row],[Horas Planificadas]],0)</f>
        <v>0</v>
      </c>
      <c r="V5207" s="43">
        <f>IF(Planning[[#This Row],[Horas Planificadas]]&lt;&gt;0,Planning[[#This Row],[Horas utilizadas]]/Planning[[#This Row],[Horas Planificadas]],0)</f>
        <v>0</v>
      </c>
      <c r="W5207" s="44">
        <f>Planning[[#This Row],[Horas Planificadas]]+Planning[[#This Row],[Horas ajustadas adicionales]]</f>
        <v>0</v>
      </c>
    </row>
    <row r="5208" spans="1:23" ht="13.35" customHeight="1" x14ac:dyDescent="0.2">
      <c r="A5208" s="9" t="s">
        <v>483</v>
      </c>
      <c r="B5208" s="9" t="s">
        <v>178</v>
      </c>
      <c r="C5208" s="3">
        <v>117020</v>
      </c>
      <c r="D5208" s="3" t="s">
        <v>901</v>
      </c>
      <c r="E5208" s="4"/>
      <c r="F5208" s="3" t="s">
        <v>123</v>
      </c>
      <c r="G5208" s="9"/>
      <c r="H5208" s="9">
        <v>0</v>
      </c>
      <c r="I5208" s="12"/>
      <c r="J5208" s="5" t="e">
        <f>SUM(SUMIFS(#REF!,#REF!,Planning[[#This Row],[Tipo de Tarea y especialidad]],#REF!,Planning[[#This Row],[Proyectos Reiwa]]),SUMIFS(#REF!,#REF!,Planning[[#This Row],[Tipo de Tarea y especialidad]],#REF!,Planning[[#This Row],[Proyectos]]))</f>
        <v>#REF!</v>
      </c>
      <c r="K5208" s="5" t="e">
        <f>+Planning[[#This Row],[Horas Planificadas]]+Planning[[#This Row],[Horas ajustadas adicionales]]-Planning[[#This Row],[Horas utilizadas]]</f>
        <v>#REF!</v>
      </c>
      <c r="L5208" s="7">
        <v>0</v>
      </c>
      <c r="M5208" s="19" t="e">
        <f>Planning[[#This Row],[Saldo]]-Planning[[#This Row],[Saldo estimado]]</f>
        <v>#REF!</v>
      </c>
      <c r="N5208" s="60" t="e">
        <f>+SUMIFS(#REF!,#REF!,Planning[[#This Row],[Proyectos]],#REF!,Planning[[#This Row],[Tipo de Tarea y especialidad]])+SUMIFS(#REF!,#REF!,Planning[[#This Row],[Proyectos Reiwa]],#REF!,Planning[[#This Row],[Tipo de Tarea y especialidad]])</f>
        <v>#REF!</v>
      </c>
      <c r="O5208" s="19">
        <f t="shared" si="163"/>
        <v>10</v>
      </c>
      <c r="P5208" s="19">
        <f t="shared" si="164"/>
        <v>2024</v>
      </c>
      <c r="Q52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08" s="49" t="str">
        <f>TEXT(Planning[[#This Row],[Mes]]*29,"mmmm")</f>
        <v>October</v>
      </c>
      <c r="S520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08" s="152"/>
      <c r="U5208" s="43">
        <f>IF(Planning[[#This Row],[Horas Planificadas]]&lt;&gt;0,+K5208/Planning[[#This Row],[Horas Planificadas]],0)</f>
        <v>0</v>
      </c>
      <c r="V5208" s="43">
        <f>IF(Planning[[#This Row],[Horas Planificadas]]&lt;&gt;0,Planning[[#This Row],[Horas utilizadas]]/Planning[[#This Row],[Horas Planificadas]],0)</f>
        <v>0</v>
      </c>
      <c r="W5208" s="44">
        <f>Planning[[#This Row],[Horas Planificadas]]+Planning[[#This Row],[Horas ajustadas adicionales]]</f>
        <v>0</v>
      </c>
    </row>
    <row r="5209" spans="1:23" ht="13.35" customHeight="1" x14ac:dyDescent="0.2">
      <c r="A5209" s="9" t="s">
        <v>483</v>
      </c>
      <c r="B5209" s="9" t="s">
        <v>178</v>
      </c>
      <c r="C5209" s="3">
        <v>117020</v>
      </c>
      <c r="D5209" s="3" t="s">
        <v>901</v>
      </c>
      <c r="E5209" s="4"/>
      <c r="F5209" s="3" t="s">
        <v>124</v>
      </c>
      <c r="G5209" s="9"/>
      <c r="H5209" s="9">
        <v>0</v>
      </c>
      <c r="I5209" s="12"/>
      <c r="J5209" s="5" t="e">
        <f>SUM(SUMIFS(#REF!,#REF!,Planning[[#This Row],[Tipo de Tarea y especialidad]],#REF!,Planning[[#This Row],[Proyectos Reiwa]]),SUMIFS(#REF!,#REF!,Planning[[#This Row],[Tipo de Tarea y especialidad]],#REF!,Planning[[#This Row],[Proyectos]]))</f>
        <v>#REF!</v>
      </c>
      <c r="K5209" s="5" t="e">
        <f>+Planning[[#This Row],[Horas Planificadas]]+Planning[[#This Row],[Horas ajustadas adicionales]]-Planning[[#This Row],[Horas utilizadas]]</f>
        <v>#REF!</v>
      </c>
      <c r="L5209" s="7">
        <v>0</v>
      </c>
      <c r="M5209" s="19" t="e">
        <f>Planning[[#This Row],[Saldo]]-Planning[[#This Row],[Saldo estimado]]</f>
        <v>#REF!</v>
      </c>
      <c r="N5209" s="60" t="e">
        <f>+SUMIFS(#REF!,#REF!,Planning[[#This Row],[Proyectos]],#REF!,Planning[[#This Row],[Tipo de Tarea y especialidad]])+SUMIFS(#REF!,#REF!,Planning[[#This Row],[Proyectos Reiwa]],#REF!,Planning[[#This Row],[Tipo de Tarea y especialidad]])</f>
        <v>#REF!</v>
      </c>
      <c r="O5209" s="19">
        <f t="shared" si="163"/>
        <v>10</v>
      </c>
      <c r="P5209" s="19">
        <f t="shared" si="164"/>
        <v>2024</v>
      </c>
      <c r="Q52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09" s="49" t="str">
        <f>TEXT(Planning[[#This Row],[Mes]]*29,"mmmm")</f>
        <v>October</v>
      </c>
      <c r="S520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09" s="152"/>
      <c r="U5209" s="43">
        <f>IF(Planning[[#This Row],[Horas Planificadas]]&lt;&gt;0,+K5209/Planning[[#This Row],[Horas Planificadas]],0)</f>
        <v>0</v>
      </c>
      <c r="V5209" s="43">
        <f>IF(Planning[[#This Row],[Horas Planificadas]]&lt;&gt;0,Planning[[#This Row],[Horas utilizadas]]/Planning[[#This Row],[Horas Planificadas]],0)</f>
        <v>0</v>
      </c>
      <c r="W5209" s="44">
        <f>Planning[[#This Row],[Horas Planificadas]]+Planning[[#This Row],[Horas ajustadas adicionales]]</f>
        <v>0</v>
      </c>
    </row>
    <row r="5210" spans="1:23" ht="13.35" customHeight="1" x14ac:dyDescent="0.2">
      <c r="A5210" s="9" t="s">
        <v>483</v>
      </c>
      <c r="B5210" s="9" t="s">
        <v>178</v>
      </c>
      <c r="C5210" s="3">
        <v>117020</v>
      </c>
      <c r="D5210" s="3" t="s">
        <v>901</v>
      </c>
      <c r="E5210" s="4"/>
      <c r="F5210" s="3" t="s">
        <v>125</v>
      </c>
      <c r="G5210" s="9"/>
      <c r="H5210" s="9">
        <v>12</v>
      </c>
      <c r="I5210" s="12"/>
      <c r="J5210" s="5" t="e">
        <f>SUM(SUMIFS(#REF!,#REF!,Planning[[#This Row],[Tipo de Tarea y especialidad]],#REF!,Planning[[#This Row],[Proyectos Reiwa]]),SUMIFS(#REF!,#REF!,Planning[[#This Row],[Tipo de Tarea y especialidad]],#REF!,Planning[[#This Row],[Proyectos]]))</f>
        <v>#REF!</v>
      </c>
      <c r="K5210" s="5" t="e">
        <f>+Planning[[#This Row],[Horas Planificadas]]+Planning[[#This Row],[Horas ajustadas adicionales]]-Planning[[#This Row],[Horas utilizadas]]</f>
        <v>#REF!</v>
      </c>
      <c r="L5210" s="7">
        <v>0</v>
      </c>
      <c r="M5210" s="19" t="e">
        <f>Planning[[#This Row],[Saldo]]-Planning[[#This Row],[Saldo estimado]]</f>
        <v>#REF!</v>
      </c>
      <c r="N5210" s="60" t="e">
        <f>+SUMIFS(#REF!,#REF!,Planning[[#This Row],[Proyectos]],#REF!,Planning[[#This Row],[Tipo de Tarea y especialidad]])+SUMIFS(#REF!,#REF!,Planning[[#This Row],[Proyectos Reiwa]],#REF!,Planning[[#This Row],[Tipo de Tarea y especialidad]])</f>
        <v>#REF!</v>
      </c>
      <c r="O5210" s="19">
        <f t="shared" si="163"/>
        <v>10</v>
      </c>
      <c r="P5210" s="19">
        <f t="shared" si="164"/>
        <v>2024</v>
      </c>
      <c r="Q52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10" s="49" t="str">
        <f>TEXT(Planning[[#This Row],[Mes]]*29,"mmmm")</f>
        <v>October</v>
      </c>
      <c r="S521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10" s="152"/>
      <c r="U5210" s="43" t="e">
        <f>IF(Planning[[#This Row],[Horas Planificadas]]&lt;&gt;0,+K5210/Planning[[#This Row],[Horas Planificadas]],0)</f>
        <v>#REF!</v>
      </c>
      <c r="V5210" s="43" t="e">
        <f>IF(Planning[[#This Row],[Horas Planificadas]]&lt;&gt;0,Planning[[#This Row],[Horas utilizadas]]/Planning[[#This Row],[Horas Planificadas]],0)</f>
        <v>#REF!</v>
      </c>
      <c r="W5210" s="44">
        <f>Planning[[#This Row],[Horas Planificadas]]+Planning[[#This Row],[Horas ajustadas adicionales]]</f>
        <v>12</v>
      </c>
    </row>
    <row r="5211" spans="1:23" ht="13.35" customHeight="1" x14ac:dyDescent="0.2">
      <c r="A5211" s="9" t="s">
        <v>483</v>
      </c>
      <c r="B5211" s="9" t="s">
        <v>178</v>
      </c>
      <c r="C5211" s="3">
        <v>117020</v>
      </c>
      <c r="D5211" s="3" t="s">
        <v>901</v>
      </c>
      <c r="E5211" s="4"/>
      <c r="F5211" s="3" t="s">
        <v>126</v>
      </c>
      <c r="G5211" s="9"/>
      <c r="H5211" s="9">
        <v>0</v>
      </c>
      <c r="I5211" s="12"/>
      <c r="J5211" s="5" t="e">
        <f>SUM(SUMIFS(#REF!,#REF!,Planning[[#This Row],[Tipo de Tarea y especialidad]],#REF!,Planning[[#This Row],[Proyectos Reiwa]]),SUMIFS(#REF!,#REF!,Planning[[#This Row],[Tipo de Tarea y especialidad]],#REF!,Planning[[#This Row],[Proyectos]]))</f>
        <v>#REF!</v>
      </c>
      <c r="K5211" s="5" t="e">
        <f>+Planning[[#This Row],[Horas Planificadas]]+Planning[[#This Row],[Horas ajustadas adicionales]]-Planning[[#This Row],[Horas utilizadas]]</f>
        <v>#REF!</v>
      </c>
      <c r="L5211" s="7">
        <v>0</v>
      </c>
      <c r="M5211" s="19" t="e">
        <f>Planning[[#This Row],[Saldo]]-Planning[[#This Row],[Saldo estimado]]</f>
        <v>#REF!</v>
      </c>
      <c r="N5211" s="60" t="e">
        <f>+SUMIFS(#REF!,#REF!,Planning[[#This Row],[Proyectos]],#REF!,Planning[[#This Row],[Tipo de Tarea y especialidad]])+SUMIFS(#REF!,#REF!,Planning[[#This Row],[Proyectos Reiwa]],#REF!,Planning[[#This Row],[Tipo de Tarea y especialidad]])</f>
        <v>#REF!</v>
      </c>
      <c r="O5211" s="19">
        <f t="shared" si="163"/>
        <v>10</v>
      </c>
      <c r="P5211" s="19">
        <f t="shared" si="164"/>
        <v>2024</v>
      </c>
      <c r="Q52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11" s="49" t="str">
        <f>TEXT(Planning[[#This Row],[Mes]]*29,"mmmm")</f>
        <v>October</v>
      </c>
      <c r="S521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11" s="152"/>
      <c r="U5211" s="43">
        <f>IF(Planning[[#This Row],[Horas Planificadas]]&lt;&gt;0,+K5211/Planning[[#This Row],[Horas Planificadas]],0)</f>
        <v>0</v>
      </c>
      <c r="V5211" s="43">
        <f>IF(Planning[[#This Row],[Horas Planificadas]]&lt;&gt;0,Planning[[#This Row],[Horas utilizadas]]/Planning[[#This Row],[Horas Planificadas]],0)</f>
        <v>0</v>
      </c>
      <c r="W5211" s="44">
        <f>Planning[[#This Row],[Horas Planificadas]]+Planning[[#This Row],[Horas ajustadas adicionales]]</f>
        <v>0</v>
      </c>
    </row>
    <row r="5212" spans="1:23" ht="13.35" customHeight="1" x14ac:dyDescent="0.2">
      <c r="A5212" s="9" t="s">
        <v>483</v>
      </c>
      <c r="B5212" s="9" t="s">
        <v>178</v>
      </c>
      <c r="C5212" s="3">
        <v>117020</v>
      </c>
      <c r="D5212" s="3" t="s">
        <v>901</v>
      </c>
      <c r="E5212" s="4"/>
      <c r="F5212" s="3" t="s">
        <v>127</v>
      </c>
      <c r="G5212" s="9"/>
      <c r="H5212" s="9">
        <v>48</v>
      </c>
      <c r="I5212" s="12"/>
      <c r="J5212" s="5" t="e">
        <f>SUM(SUMIFS(#REF!,#REF!,Planning[[#This Row],[Tipo de Tarea y especialidad]],#REF!,Planning[[#This Row],[Proyectos Reiwa]]),SUMIFS(#REF!,#REF!,Planning[[#This Row],[Tipo de Tarea y especialidad]],#REF!,Planning[[#This Row],[Proyectos]]))</f>
        <v>#REF!</v>
      </c>
      <c r="K5212" s="5" t="e">
        <f>+Planning[[#This Row],[Horas Planificadas]]+Planning[[#This Row],[Horas ajustadas adicionales]]-Planning[[#This Row],[Horas utilizadas]]</f>
        <v>#REF!</v>
      </c>
      <c r="L5212" s="7">
        <v>0</v>
      </c>
      <c r="M5212" s="19" t="e">
        <f>Planning[[#This Row],[Saldo]]-Planning[[#This Row],[Saldo estimado]]</f>
        <v>#REF!</v>
      </c>
      <c r="N5212" s="60" t="e">
        <f>+SUMIFS(#REF!,#REF!,Planning[[#This Row],[Proyectos]],#REF!,Planning[[#This Row],[Tipo de Tarea y especialidad]])+SUMIFS(#REF!,#REF!,Planning[[#This Row],[Proyectos Reiwa]],#REF!,Planning[[#This Row],[Tipo de Tarea y especialidad]])</f>
        <v>#REF!</v>
      </c>
      <c r="O5212" s="19">
        <f t="shared" si="163"/>
        <v>10</v>
      </c>
      <c r="P5212" s="19">
        <f t="shared" si="164"/>
        <v>2024</v>
      </c>
      <c r="Q52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12" s="49" t="str">
        <f>TEXT(Planning[[#This Row],[Mes]]*29,"mmmm")</f>
        <v>October</v>
      </c>
      <c r="S521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12" s="152"/>
      <c r="U5212" s="43" t="e">
        <f>IF(Planning[[#This Row],[Horas Planificadas]]&lt;&gt;0,+K5212/Planning[[#This Row],[Horas Planificadas]],0)</f>
        <v>#REF!</v>
      </c>
      <c r="V5212" s="43" t="e">
        <f>IF(Planning[[#This Row],[Horas Planificadas]]&lt;&gt;0,Planning[[#This Row],[Horas utilizadas]]/Planning[[#This Row],[Horas Planificadas]],0)</f>
        <v>#REF!</v>
      </c>
      <c r="W5212" s="44">
        <f>Planning[[#This Row],[Horas Planificadas]]+Planning[[#This Row],[Horas ajustadas adicionales]]</f>
        <v>48</v>
      </c>
    </row>
    <row r="5213" spans="1:23" ht="13.35" customHeight="1" x14ac:dyDescent="0.2">
      <c r="A5213" s="9" t="s">
        <v>483</v>
      </c>
      <c r="B5213" s="9" t="s">
        <v>178</v>
      </c>
      <c r="C5213" s="3">
        <v>117020</v>
      </c>
      <c r="D5213" s="3" t="s">
        <v>901</v>
      </c>
      <c r="E5213" s="4"/>
      <c r="F5213" s="3" t="s">
        <v>128</v>
      </c>
      <c r="G5213" s="9"/>
      <c r="H5213" s="9">
        <v>0</v>
      </c>
      <c r="I5213" s="12"/>
      <c r="J5213" s="5" t="e">
        <f>SUM(SUMIFS(#REF!,#REF!,Planning[[#This Row],[Tipo de Tarea y especialidad]],#REF!,Planning[[#This Row],[Proyectos Reiwa]]),SUMIFS(#REF!,#REF!,Planning[[#This Row],[Tipo de Tarea y especialidad]],#REF!,Planning[[#This Row],[Proyectos]]))</f>
        <v>#REF!</v>
      </c>
      <c r="K5213" s="5" t="e">
        <f>+Planning[[#This Row],[Horas Planificadas]]+Planning[[#This Row],[Horas ajustadas adicionales]]-Planning[[#This Row],[Horas utilizadas]]</f>
        <v>#REF!</v>
      </c>
      <c r="L5213" s="7">
        <v>0</v>
      </c>
      <c r="M5213" s="19" t="e">
        <f>Planning[[#This Row],[Saldo]]-Planning[[#This Row],[Saldo estimado]]</f>
        <v>#REF!</v>
      </c>
      <c r="N5213" s="60" t="e">
        <f>+SUMIFS(#REF!,#REF!,Planning[[#This Row],[Proyectos]],#REF!,Planning[[#This Row],[Tipo de Tarea y especialidad]])+SUMIFS(#REF!,#REF!,Planning[[#This Row],[Proyectos Reiwa]],#REF!,Planning[[#This Row],[Tipo de Tarea y especialidad]])</f>
        <v>#REF!</v>
      </c>
      <c r="O5213" s="19">
        <f t="shared" si="163"/>
        <v>10</v>
      </c>
      <c r="P5213" s="19">
        <f t="shared" si="164"/>
        <v>2024</v>
      </c>
      <c r="Q52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13" s="49" t="str">
        <f>TEXT(Planning[[#This Row],[Mes]]*29,"mmmm")</f>
        <v>October</v>
      </c>
      <c r="S521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13" s="152"/>
      <c r="U5213" s="43">
        <f>IF(Planning[[#This Row],[Horas Planificadas]]&lt;&gt;0,+K5213/Planning[[#This Row],[Horas Planificadas]],0)</f>
        <v>0</v>
      </c>
      <c r="V5213" s="43">
        <f>IF(Planning[[#This Row],[Horas Planificadas]]&lt;&gt;0,Planning[[#This Row],[Horas utilizadas]]/Planning[[#This Row],[Horas Planificadas]],0)</f>
        <v>0</v>
      </c>
      <c r="W5213" s="44">
        <f>Planning[[#This Row],[Horas Planificadas]]+Planning[[#This Row],[Horas ajustadas adicionales]]</f>
        <v>0</v>
      </c>
    </row>
    <row r="5214" spans="1:23" ht="13.35" customHeight="1" x14ac:dyDescent="0.2">
      <c r="A5214" s="9" t="s">
        <v>483</v>
      </c>
      <c r="B5214" s="9" t="s">
        <v>178</v>
      </c>
      <c r="C5214" s="3">
        <v>117020</v>
      </c>
      <c r="D5214" s="3" t="s">
        <v>901</v>
      </c>
      <c r="E5214" s="4" t="s">
        <v>31</v>
      </c>
      <c r="F5214" s="3" t="s">
        <v>31</v>
      </c>
      <c r="G5214" s="9">
        <v>16</v>
      </c>
      <c r="H5214" s="17">
        <v>16</v>
      </c>
      <c r="I5214" s="18"/>
      <c r="J5214" s="14" t="e">
        <f>+SUMIFS(#REF!,#REF!,Planning[[#This Row],[Tarifa]],#REF!,Planning[[#This Row],[Proyectos]])</f>
        <v>#REF!</v>
      </c>
      <c r="K5214" s="14" t="e">
        <f>+Planning[[#This Row],[Horas Planificadas]]+Planning[[#This Row],[Horas ajustadas adicionales]]-Planning[[#This Row],[Horas utilizadas]]</f>
        <v>#REF!</v>
      </c>
      <c r="L5214" s="15">
        <v>0</v>
      </c>
      <c r="M5214" s="16" t="e">
        <f>Planning[[#This Row],[Saldo]]-Planning[[#This Row],[Saldo estimado]]</f>
        <v>#REF!</v>
      </c>
      <c r="N5214" s="60" t="e">
        <f>+SUMIFS(#REF!,#REF!,Planning[[#This Row],[Proyectos]],#REF!,Planning[[#This Row],[Tipo de Tarea y especialidad]])+SUMIFS(#REF!,#REF!,Planning[[#This Row],[Proyectos Reiwa]],#REF!,Planning[[#This Row],[Tipo de Tarea y especialidad]])</f>
        <v>#REF!</v>
      </c>
      <c r="O5214" s="16">
        <f t="shared" si="163"/>
        <v>10</v>
      </c>
      <c r="P5214" s="16">
        <f t="shared" si="164"/>
        <v>2024</v>
      </c>
      <c r="Q5214" s="16" t="e">
        <f>+SUMIFS(#REF!,#REF!,Planning[[#This Row],[Tarifa]],#REF!,Planning[[#This Row],[Proyectos]],#REF!,Planning[[#This Row],[Mes]],#REF!,Planning[[#This Row],[Año]])</f>
        <v>#REF!</v>
      </c>
      <c r="R5214" s="50" t="str">
        <f>TEXT(Planning[[#This Row],[Mes]]*29,"mmmm")</f>
        <v>October</v>
      </c>
      <c r="S521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14" s="152"/>
      <c r="U5214" s="43" t="e">
        <f>IF(Planning[[#This Row],[Horas Planificadas]]&lt;&gt;0,+K5214/Planning[[#This Row],[Horas Planificadas]],0)</f>
        <v>#REF!</v>
      </c>
      <c r="V5214" s="43" t="e">
        <f>IF(Planning[[#This Row],[Horas Planificadas]]&lt;&gt;0,Planning[[#This Row],[Horas utilizadas]]/Planning[[#This Row],[Horas Planificadas]],0)</f>
        <v>#REF!</v>
      </c>
      <c r="W5214" s="44">
        <f>Planning[[#This Row],[Horas Planificadas]]+Planning[[#This Row],[Horas ajustadas adicionales]]</f>
        <v>16</v>
      </c>
    </row>
    <row r="5215" spans="1:23" ht="13.35" customHeight="1" x14ac:dyDescent="0.2">
      <c r="A5215" s="9" t="s">
        <v>483</v>
      </c>
      <c r="B5215" s="9" t="s">
        <v>178</v>
      </c>
      <c r="C5215" s="3">
        <v>117020</v>
      </c>
      <c r="D5215" s="3" t="s">
        <v>901</v>
      </c>
      <c r="E5215" s="4" t="s">
        <v>32</v>
      </c>
      <c r="F5215" s="3"/>
      <c r="G5215" s="9">
        <v>30</v>
      </c>
      <c r="H5215" s="14">
        <f>SUM(H5216:H5218)</f>
        <v>30</v>
      </c>
      <c r="I5215" s="14"/>
      <c r="J5215" s="14" t="e">
        <f>SUM(J5216:J5218)</f>
        <v>#REF!</v>
      </c>
      <c r="K5215" s="14" t="e">
        <f>+Planning[[#This Row],[Horas Planificadas]]+Planning[[#This Row],[Horas ajustadas adicionales]]-Planning[[#This Row],[Horas utilizadas]]</f>
        <v>#REF!</v>
      </c>
      <c r="L5215" s="15" t="e">
        <f>SUM(L5216:L5218)</f>
        <v>#REF!</v>
      </c>
      <c r="M5215" s="16" t="e">
        <f>SUM(M5216:M5218)</f>
        <v>#REF!</v>
      </c>
      <c r="N5215" s="60" t="e">
        <f>+SUMIFS(#REF!,#REF!,Planning[[#This Row],[Proyectos]],#REF!,Planning[[#This Row],[Tipo de Tarea y especialidad]])+SUMIFS(#REF!,#REF!,Planning[[#This Row],[Proyectos Reiwa]],#REF!,Planning[[#This Row],[Tipo de Tarea y especialidad]])</f>
        <v>#REF!</v>
      </c>
      <c r="O5215" s="16">
        <f t="shared" si="163"/>
        <v>10</v>
      </c>
      <c r="P5215" s="16">
        <f t="shared" si="164"/>
        <v>2024</v>
      </c>
      <c r="Q5215" s="16" t="e">
        <f>SUM(Q5216:Q5218)</f>
        <v>#REF!</v>
      </c>
      <c r="R5215" s="50" t="str">
        <f>TEXT(Planning[[#This Row],[Mes]]*29,"mmmm")</f>
        <v>October</v>
      </c>
      <c r="S521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15" s="152"/>
      <c r="U5215" s="43" t="e">
        <f>IF(Planning[[#This Row],[Horas Planificadas]]&lt;&gt;0,+K5215/Planning[[#This Row],[Horas Planificadas]],0)</f>
        <v>#REF!</v>
      </c>
      <c r="V5215" s="43" t="e">
        <f>IF(Planning[[#This Row],[Horas Planificadas]]&lt;&gt;0,Planning[[#This Row],[Horas utilizadas]]/Planning[[#This Row],[Horas Planificadas]],0)</f>
        <v>#REF!</v>
      </c>
      <c r="W5215" s="44">
        <f>Planning[[#This Row],[Horas Planificadas]]+Planning[[#This Row],[Horas ajustadas adicionales]]</f>
        <v>30</v>
      </c>
    </row>
    <row r="5216" spans="1:23" ht="13.35" customHeight="1" x14ac:dyDescent="0.2">
      <c r="A5216" s="9" t="s">
        <v>483</v>
      </c>
      <c r="B5216" s="9" t="s">
        <v>178</v>
      </c>
      <c r="C5216" s="3">
        <v>117020</v>
      </c>
      <c r="D5216" s="3" t="s">
        <v>901</v>
      </c>
      <c r="E5216" s="4"/>
      <c r="F5216" s="3" t="s">
        <v>129</v>
      </c>
      <c r="G5216" s="9"/>
      <c r="H5216" s="9">
        <v>0</v>
      </c>
      <c r="I5216" s="12"/>
      <c r="J5216" s="5" t="e">
        <f>SUM(SUMIFS(#REF!,#REF!,Planning[[#This Row],[Tipo de Tarea y especialidad]],#REF!,Planning[[#This Row],[Proyectos Reiwa]]),SUMIFS(#REF!,#REF!,Planning[[#This Row],[Tipo de Tarea y especialidad]],#REF!,Planning[[#This Row],[Proyectos]]))</f>
        <v>#REF!</v>
      </c>
      <c r="K5216" s="5" t="e">
        <f>+Planning[[#This Row],[Horas Planificadas]]+Planning[[#This Row],[Horas ajustadas adicionales]]-Planning[[#This Row],[Horas utilizadas]]</f>
        <v>#REF!</v>
      </c>
      <c r="L5216" s="7" t="e">
        <f>Planning[[#This Row],[Saldo]]</f>
        <v>#REF!</v>
      </c>
      <c r="M5216" s="19" t="e">
        <f>Planning[[#This Row],[Saldo]]-Planning[[#This Row],[Saldo estimado]]</f>
        <v>#REF!</v>
      </c>
      <c r="N5216" s="60" t="e">
        <f>+SUMIFS(#REF!,#REF!,Planning[[#This Row],[Proyectos]],#REF!,Planning[[#This Row],[Tipo de Tarea y especialidad]])+SUMIFS(#REF!,#REF!,Planning[[#This Row],[Proyectos Reiwa]],#REF!,Planning[[#This Row],[Tipo de Tarea y especialidad]])</f>
        <v>#REF!</v>
      </c>
      <c r="O5216" s="19">
        <f t="shared" si="163"/>
        <v>10</v>
      </c>
      <c r="P5216" s="19">
        <f t="shared" si="164"/>
        <v>2024</v>
      </c>
      <c r="Q52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16" s="49" t="str">
        <f>TEXT(Planning[[#This Row],[Mes]]*29,"mmmm")</f>
        <v>October</v>
      </c>
      <c r="S521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16" s="152"/>
      <c r="U5216" s="43">
        <f>IF(Planning[[#This Row],[Horas Planificadas]]&lt;&gt;0,+K5216/Planning[[#This Row],[Horas Planificadas]],0)</f>
        <v>0</v>
      </c>
      <c r="V5216" s="43">
        <f>IF(Planning[[#This Row],[Horas Planificadas]]&lt;&gt;0,Planning[[#This Row],[Horas utilizadas]]/Planning[[#This Row],[Horas Planificadas]],0)</f>
        <v>0</v>
      </c>
      <c r="W5216" s="44">
        <f>Planning[[#This Row],[Horas Planificadas]]+Planning[[#This Row],[Horas ajustadas adicionales]]</f>
        <v>0</v>
      </c>
    </row>
    <row r="5217" spans="1:23" ht="13.35" customHeight="1" x14ac:dyDescent="0.2">
      <c r="A5217" s="9" t="s">
        <v>483</v>
      </c>
      <c r="B5217" s="9" t="s">
        <v>178</v>
      </c>
      <c r="C5217" s="3">
        <v>117020</v>
      </c>
      <c r="D5217" s="3" t="s">
        <v>901</v>
      </c>
      <c r="E5217" s="4"/>
      <c r="F5217" s="3" t="s">
        <v>130</v>
      </c>
      <c r="G5217" s="9"/>
      <c r="H5217" s="9">
        <v>30</v>
      </c>
      <c r="I5217" s="12"/>
      <c r="J5217" s="5" t="e">
        <f>SUM(SUMIFS(#REF!,#REF!,Planning[[#This Row],[Tipo de Tarea y especialidad]],#REF!,Planning[[#This Row],[Proyectos Reiwa]]),SUMIFS(#REF!,#REF!,Planning[[#This Row],[Tipo de Tarea y especialidad]],#REF!,Planning[[#This Row],[Proyectos]]))</f>
        <v>#REF!</v>
      </c>
      <c r="K5217" s="5" t="e">
        <f>+Planning[[#This Row],[Horas Planificadas]]+Planning[[#This Row],[Horas ajustadas adicionales]]-Planning[[#This Row],[Horas utilizadas]]</f>
        <v>#REF!</v>
      </c>
      <c r="L5217" s="7">
        <v>0</v>
      </c>
      <c r="M5217" s="19" t="e">
        <f>Planning[[#This Row],[Saldo]]-Planning[[#This Row],[Saldo estimado]]</f>
        <v>#REF!</v>
      </c>
      <c r="N5217" s="60" t="e">
        <f>+SUMIFS(#REF!,#REF!,Planning[[#This Row],[Proyectos]],#REF!,Planning[[#This Row],[Tipo de Tarea y especialidad]])+SUMIFS(#REF!,#REF!,Planning[[#This Row],[Proyectos Reiwa]],#REF!,Planning[[#This Row],[Tipo de Tarea y especialidad]])</f>
        <v>#REF!</v>
      </c>
      <c r="O5217" s="19">
        <f t="shared" si="163"/>
        <v>10</v>
      </c>
      <c r="P5217" s="19">
        <f t="shared" si="164"/>
        <v>2024</v>
      </c>
      <c r="Q52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17" s="49" t="str">
        <f>TEXT(Planning[[#This Row],[Mes]]*29,"mmmm")</f>
        <v>October</v>
      </c>
      <c r="S521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17" s="152"/>
      <c r="U5217" s="43" t="e">
        <f>IF(Planning[[#This Row],[Horas Planificadas]]&lt;&gt;0,+K5217/Planning[[#This Row],[Horas Planificadas]],0)</f>
        <v>#REF!</v>
      </c>
      <c r="V5217" s="43" t="e">
        <f>IF(Planning[[#This Row],[Horas Planificadas]]&lt;&gt;0,Planning[[#This Row],[Horas utilizadas]]/Planning[[#This Row],[Horas Planificadas]],0)</f>
        <v>#REF!</v>
      </c>
      <c r="W5217" s="44">
        <f>Planning[[#This Row],[Horas Planificadas]]+Planning[[#This Row],[Horas ajustadas adicionales]]</f>
        <v>30</v>
      </c>
    </row>
    <row r="5218" spans="1:23" ht="13.35" customHeight="1" x14ac:dyDescent="0.2">
      <c r="A5218" s="9" t="s">
        <v>483</v>
      </c>
      <c r="B5218" s="9" t="s">
        <v>178</v>
      </c>
      <c r="C5218" s="3">
        <v>117020</v>
      </c>
      <c r="D5218" s="3" t="s">
        <v>901</v>
      </c>
      <c r="E5218" s="4"/>
      <c r="F5218" s="3" t="s">
        <v>131</v>
      </c>
      <c r="G5218" s="9"/>
      <c r="H5218" s="9">
        <v>0</v>
      </c>
      <c r="I5218" s="12"/>
      <c r="J5218" s="5" t="e">
        <f>SUM(SUMIFS(#REF!,#REF!,Planning[[#This Row],[Tipo de Tarea y especialidad]],#REF!,Planning[[#This Row],[Proyectos Reiwa]]),SUMIFS(#REF!,#REF!,Planning[[#This Row],[Tipo de Tarea y especialidad]],#REF!,Planning[[#This Row],[Proyectos]]))</f>
        <v>#REF!</v>
      </c>
      <c r="K5218" s="5" t="e">
        <f>+Planning[[#This Row],[Horas Planificadas]]+Planning[[#This Row],[Horas ajustadas adicionales]]-Planning[[#This Row],[Horas utilizadas]]</f>
        <v>#REF!</v>
      </c>
      <c r="L5218" s="7">
        <v>0</v>
      </c>
      <c r="M5218" s="19" t="e">
        <f>Planning[[#This Row],[Saldo]]-Planning[[#This Row],[Saldo estimado]]</f>
        <v>#REF!</v>
      </c>
      <c r="N5218" s="60" t="e">
        <f>+SUMIFS(#REF!,#REF!,Planning[[#This Row],[Proyectos]],#REF!,Planning[[#This Row],[Tipo de Tarea y especialidad]])+SUMIFS(#REF!,#REF!,Planning[[#This Row],[Proyectos Reiwa]],#REF!,Planning[[#This Row],[Tipo de Tarea y especialidad]])</f>
        <v>#REF!</v>
      </c>
      <c r="O5218" s="19">
        <f t="shared" si="163"/>
        <v>10</v>
      </c>
      <c r="P5218" s="19">
        <f t="shared" si="164"/>
        <v>2024</v>
      </c>
      <c r="Q52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18" s="51" t="str">
        <f>TEXT(Planning[[#This Row],[Mes]]*29,"mmmm")</f>
        <v>October</v>
      </c>
      <c r="S5218"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18" s="153"/>
      <c r="U5218" s="43">
        <f>IF(Planning[[#This Row],[Horas Planificadas]]&lt;&gt;0,+K5218/Planning[[#This Row],[Horas Planificadas]],0)</f>
        <v>0</v>
      </c>
      <c r="V5218" s="43">
        <f>IF(Planning[[#This Row],[Horas Planificadas]]&lt;&gt;0,Planning[[#This Row],[Horas utilizadas]]/Planning[[#This Row],[Horas Planificadas]],0)</f>
        <v>0</v>
      </c>
      <c r="W5218" s="44">
        <f>Planning[[#This Row],[Horas Planificadas]]+Planning[[#This Row],[Horas ajustadas adicionales]]</f>
        <v>0</v>
      </c>
    </row>
    <row r="5219" spans="1:23" ht="13.35" customHeight="1" x14ac:dyDescent="0.2">
      <c r="A5219" s="9" t="s">
        <v>626</v>
      </c>
      <c r="B5219" s="9" t="s">
        <v>178</v>
      </c>
      <c r="C5219" s="3">
        <v>116909</v>
      </c>
      <c r="D5219" s="3" t="s">
        <v>903</v>
      </c>
      <c r="E5219" s="4" t="s">
        <v>28</v>
      </c>
      <c r="F5219" s="3"/>
      <c r="G5219" s="9">
        <v>0</v>
      </c>
      <c r="H5219" s="14">
        <f>SUM(H5220:H5221)</f>
        <v>0</v>
      </c>
      <c r="I5219" s="14"/>
      <c r="J5219" s="14" t="e">
        <f>SUM(J5220:J5221)</f>
        <v>#REF!</v>
      </c>
      <c r="K5219" s="14" t="e">
        <f>+Planning[[#This Row],[Horas Planificadas]]+Planning[[#This Row],[Horas ajustadas adicionales]]-Planning[[#This Row],[Horas utilizadas]]</f>
        <v>#REF!</v>
      </c>
      <c r="L5219" s="15" t="e">
        <f>SUM(L5220:L5221)</f>
        <v>#REF!</v>
      </c>
      <c r="M5219" s="14" t="e">
        <f>SUM(M5220:M5221)</f>
        <v>#REF!</v>
      </c>
      <c r="N5219" s="60" t="e">
        <f>+SUMIFS(#REF!,#REF!,Planning[[#This Row],[Proyectos]],#REF!,Planning[[#This Row],[Tipo de Tarea y especialidad]])+SUMIFS(#REF!,#REF!,Planning[[#This Row],[Proyectos Reiwa]],#REF!,Planning[[#This Row],[Tipo de Tarea y especialidad]])</f>
        <v>#REF!</v>
      </c>
      <c r="O5219" s="14">
        <f t="shared" si="163"/>
        <v>10</v>
      </c>
      <c r="P5219" s="14">
        <f t="shared" si="164"/>
        <v>2024</v>
      </c>
      <c r="Q5219" s="28" t="e">
        <f>SUM(Q5220:Q5221)</f>
        <v>#REF!</v>
      </c>
      <c r="R5219" s="24" t="str">
        <f>TEXT(Planning[[#This Row],[Mes]]*29,"mmmm")</f>
        <v>October</v>
      </c>
      <c r="S5219"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19" s="151" t="s">
        <v>902</v>
      </c>
      <c r="U5219" s="43">
        <f>IF(Planning[[#This Row],[Horas Planificadas]]&lt;&gt;0,+K5219/Planning[[#This Row],[Horas Planificadas]],0)</f>
        <v>0</v>
      </c>
      <c r="V5219" s="43">
        <f>IF(Planning[[#This Row],[Horas Planificadas]]&lt;&gt;0,Planning[[#This Row],[Horas utilizadas]]/Planning[[#This Row],[Horas Planificadas]],0)</f>
        <v>0</v>
      </c>
      <c r="W5219" s="44">
        <f>Planning[[#This Row],[Horas Planificadas]]+Planning[[#This Row],[Horas ajustadas adicionales]]</f>
        <v>0</v>
      </c>
    </row>
    <row r="5220" spans="1:23" ht="13.35" customHeight="1" x14ac:dyDescent="0.2">
      <c r="A5220" s="9" t="s">
        <v>626</v>
      </c>
      <c r="B5220" s="9" t="s">
        <v>178</v>
      </c>
      <c r="C5220" s="3">
        <v>116909</v>
      </c>
      <c r="D5220" s="3" t="s">
        <v>903</v>
      </c>
      <c r="E5220" s="4"/>
      <c r="F5220" s="3" t="s">
        <v>120</v>
      </c>
      <c r="G5220" s="9"/>
      <c r="H5220" s="9">
        <v>0</v>
      </c>
      <c r="I5220" s="12"/>
      <c r="J5220" s="5" t="e">
        <f>SUM(SUMIFS(#REF!,#REF!,Planning[[#This Row],[Tipo de Tarea y especialidad]],#REF!,Planning[[#This Row],[Proyectos Reiwa]]),SUMIFS(#REF!,#REF!,Planning[[#This Row],[Tipo de Tarea y especialidad]],#REF!,Planning[[#This Row],[Proyectos]]))</f>
        <v>#REF!</v>
      </c>
      <c r="K5220" s="5" t="e">
        <f>+Planning[[#This Row],[Horas Planificadas]]+Planning[[#This Row],[Horas ajustadas adicionales]]-Planning[[#This Row],[Horas utilizadas]]</f>
        <v>#REF!</v>
      </c>
      <c r="L5220" s="7" t="e">
        <f>Planning[[#This Row],[Saldo]]</f>
        <v>#REF!</v>
      </c>
      <c r="M5220" s="19" t="e">
        <f>Planning[[#This Row],[Saldo]]-Planning[[#This Row],[Saldo estimado]]</f>
        <v>#REF!</v>
      </c>
      <c r="N5220" s="60" t="e">
        <f>+SUMIFS(#REF!,#REF!,Planning[[#This Row],[Proyectos]],#REF!,Planning[[#This Row],[Tipo de Tarea y especialidad]])+SUMIFS(#REF!,#REF!,Planning[[#This Row],[Proyectos Reiwa]],#REF!,Planning[[#This Row],[Tipo de Tarea y especialidad]])</f>
        <v>#REF!</v>
      </c>
      <c r="O5220" s="19">
        <f t="shared" si="163"/>
        <v>10</v>
      </c>
      <c r="P5220" s="19">
        <f t="shared" si="164"/>
        <v>2024</v>
      </c>
      <c r="Q52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20" s="49" t="str">
        <f>TEXT(Planning[[#This Row],[Mes]]*29,"mmmm")</f>
        <v>October</v>
      </c>
      <c r="S522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20" s="152"/>
      <c r="U5220" s="43">
        <f>IF(Planning[[#This Row],[Horas Planificadas]]&lt;&gt;0,+K5220/Planning[[#This Row],[Horas Planificadas]],0)</f>
        <v>0</v>
      </c>
      <c r="V5220" s="43">
        <f>IF(Planning[[#This Row],[Horas Planificadas]]&lt;&gt;0,Planning[[#This Row],[Horas utilizadas]]/Planning[[#This Row],[Horas Planificadas]],0)</f>
        <v>0</v>
      </c>
      <c r="W5220" s="44">
        <f>Planning[[#This Row],[Horas Planificadas]]+Planning[[#This Row],[Horas ajustadas adicionales]]</f>
        <v>0</v>
      </c>
    </row>
    <row r="5221" spans="1:23" ht="13.35" customHeight="1" x14ac:dyDescent="0.2">
      <c r="A5221" s="9" t="s">
        <v>626</v>
      </c>
      <c r="B5221" s="9" t="s">
        <v>178</v>
      </c>
      <c r="C5221" s="3">
        <v>116909</v>
      </c>
      <c r="D5221" s="3" t="s">
        <v>903</v>
      </c>
      <c r="E5221" s="4"/>
      <c r="F5221" s="3" t="s">
        <v>121</v>
      </c>
      <c r="G5221" s="9"/>
      <c r="H5221" s="9">
        <v>0</v>
      </c>
      <c r="I5221" s="12"/>
      <c r="J5221" s="5" t="e">
        <f>SUM(SUMIFS(#REF!,#REF!,Planning[[#This Row],[Tipo de Tarea y especialidad]],#REF!,Planning[[#This Row],[Proyectos Reiwa]]),SUMIFS(#REF!,#REF!,Planning[[#This Row],[Tipo de Tarea y especialidad]],#REF!,Planning[[#This Row],[Proyectos]]))</f>
        <v>#REF!</v>
      </c>
      <c r="K5221" s="5" t="e">
        <f>+Planning[[#This Row],[Horas Planificadas]]+Planning[[#This Row],[Horas ajustadas adicionales]]-Planning[[#This Row],[Horas utilizadas]]</f>
        <v>#REF!</v>
      </c>
      <c r="L5221" s="7" t="e">
        <f>Planning[[#This Row],[Saldo]]</f>
        <v>#REF!</v>
      </c>
      <c r="M5221" s="19" t="e">
        <f>Planning[[#This Row],[Saldo]]-Planning[[#This Row],[Saldo estimado]]</f>
        <v>#REF!</v>
      </c>
      <c r="N5221" s="60" t="e">
        <f>+SUMIFS(#REF!,#REF!,Planning[[#This Row],[Proyectos]],#REF!,Planning[[#This Row],[Tipo de Tarea y especialidad]])+SUMIFS(#REF!,#REF!,Planning[[#This Row],[Proyectos Reiwa]],#REF!,Planning[[#This Row],[Tipo de Tarea y especialidad]])</f>
        <v>#REF!</v>
      </c>
      <c r="O5221" s="19">
        <f t="shared" si="163"/>
        <v>10</v>
      </c>
      <c r="P5221" s="19">
        <f t="shared" si="164"/>
        <v>2024</v>
      </c>
      <c r="Q52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21" s="49" t="str">
        <f>TEXT(Planning[[#This Row],[Mes]]*29,"mmmm")</f>
        <v>October</v>
      </c>
      <c r="S522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21" s="152"/>
      <c r="U5221" s="43">
        <f>IF(Planning[[#This Row],[Horas Planificadas]]&lt;&gt;0,+K5221/Planning[[#This Row],[Horas Planificadas]],0)</f>
        <v>0</v>
      </c>
      <c r="V5221" s="43">
        <f>IF(Planning[[#This Row],[Horas Planificadas]]&lt;&gt;0,Planning[[#This Row],[Horas utilizadas]]/Planning[[#This Row],[Horas Planificadas]],0)</f>
        <v>0</v>
      </c>
      <c r="W5221" s="44">
        <f>Planning[[#This Row],[Horas Planificadas]]+Planning[[#This Row],[Horas ajustadas adicionales]]</f>
        <v>0</v>
      </c>
    </row>
    <row r="5222" spans="1:23" ht="13.35" customHeight="1" x14ac:dyDescent="0.2">
      <c r="A5222" s="9" t="s">
        <v>626</v>
      </c>
      <c r="B5222" s="9" t="s">
        <v>178</v>
      </c>
      <c r="C5222" s="3">
        <v>116909</v>
      </c>
      <c r="D5222" s="3" t="s">
        <v>903</v>
      </c>
      <c r="E5222" s="4" t="s">
        <v>30</v>
      </c>
      <c r="F5222" s="3"/>
      <c r="G5222" s="9">
        <v>468</v>
      </c>
      <c r="H5222" s="14">
        <f>SUM(H5223:H5229)</f>
        <v>468</v>
      </c>
      <c r="I5222" s="14"/>
      <c r="J5222" s="14" t="e">
        <f>SUM(J5223:J5229)</f>
        <v>#REF!</v>
      </c>
      <c r="K5222" s="14" t="e">
        <f>+Planning[[#This Row],[Horas Planificadas]]+Planning[[#This Row],[Horas ajustadas adicionales]]-Planning[[#This Row],[Horas utilizadas]]</f>
        <v>#REF!</v>
      </c>
      <c r="L5222" s="15" t="e">
        <f>SUM(L5223:L5229)</f>
        <v>#REF!</v>
      </c>
      <c r="M5222" s="16" t="e">
        <f>SUM(M5223:M5229)</f>
        <v>#REF!</v>
      </c>
      <c r="N5222" s="60" t="e">
        <f>+SUMIFS(#REF!,#REF!,Planning[[#This Row],[Proyectos]],#REF!,Planning[[#This Row],[Tipo de Tarea y especialidad]])+SUMIFS(#REF!,#REF!,Planning[[#This Row],[Proyectos Reiwa]],#REF!,Planning[[#This Row],[Tipo de Tarea y especialidad]])</f>
        <v>#REF!</v>
      </c>
      <c r="O5222" s="16">
        <f t="shared" si="163"/>
        <v>10</v>
      </c>
      <c r="P5222" s="16">
        <f t="shared" si="164"/>
        <v>2024</v>
      </c>
      <c r="Q5222" s="16" t="e">
        <f>SUM(Q5223:Q5229)</f>
        <v>#REF!</v>
      </c>
      <c r="R5222" s="50" t="str">
        <f>TEXT(Planning[[#This Row],[Mes]]*29,"mmmm")</f>
        <v>October</v>
      </c>
      <c r="S522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22" s="152"/>
      <c r="U5222" s="43" t="e">
        <f>IF(Planning[[#This Row],[Horas Planificadas]]&lt;&gt;0,+K5222/Planning[[#This Row],[Horas Planificadas]],0)</f>
        <v>#REF!</v>
      </c>
      <c r="V5222" s="43" t="e">
        <f>IF(Planning[[#This Row],[Horas Planificadas]]&lt;&gt;0,Planning[[#This Row],[Horas utilizadas]]/Planning[[#This Row],[Horas Planificadas]],0)</f>
        <v>#REF!</v>
      </c>
      <c r="W5222" s="44">
        <f>Planning[[#This Row],[Horas Planificadas]]+Planning[[#This Row],[Horas ajustadas adicionales]]</f>
        <v>468</v>
      </c>
    </row>
    <row r="5223" spans="1:23" ht="13.35" customHeight="1" x14ac:dyDescent="0.2">
      <c r="A5223" s="9" t="s">
        <v>626</v>
      </c>
      <c r="B5223" s="9" t="s">
        <v>178</v>
      </c>
      <c r="C5223" s="3">
        <v>116909</v>
      </c>
      <c r="D5223" s="3" t="s">
        <v>903</v>
      </c>
      <c r="E5223" s="4"/>
      <c r="F5223" s="3" t="s">
        <v>122</v>
      </c>
      <c r="G5223" s="9"/>
      <c r="H5223" s="9">
        <v>0</v>
      </c>
      <c r="I5223" s="12"/>
      <c r="J5223" s="5" t="e">
        <f>SUM(SUMIFS(#REF!,#REF!,Planning[[#This Row],[Tipo de Tarea y especialidad]],#REF!,Planning[[#This Row],[Proyectos Reiwa]]),SUMIFS(#REF!,#REF!,Planning[[#This Row],[Tipo de Tarea y especialidad]],#REF!,Planning[[#This Row],[Proyectos]]))</f>
        <v>#REF!</v>
      </c>
      <c r="K5223" s="5" t="e">
        <f>+Planning[[#This Row],[Horas Planificadas]]+Planning[[#This Row],[Horas ajustadas adicionales]]-Planning[[#This Row],[Horas utilizadas]]</f>
        <v>#REF!</v>
      </c>
      <c r="L5223" s="7" t="e">
        <f>Planning[[#This Row],[Saldo]]</f>
        <v>#REF!</v>
      </c>
      <c r="M5223" s="19" t="e">
        <f>Planning[[#This Row],[Saldo]]-Planning[[#This Row],[Saldo estimado]]</f>
        <v>#REF!</v>
      </c>
      <c r="N5223" s="60" t="e">
        <f>+SUMIFS(#REF!,#REF!,Planning[[#This Row],[Proyectos]],#REF!,Planning[[#This Row],[Tipo de Tarea y especialidad]])+SUMIFS(#REF!,#REF!,Planning[[#This Row],[Proyectos Reiwa]],#REF!,Planning[[#This Row],[Tipo de Tarea y especialidad]])</f>
        <v>#REF!</v>
      </c>
      <c r="O5223" s="19">
        <f t="shared" si="163"/>
        <v>10</v>
      </c>
      <c r="P5223" s="19">
        <f t="shared" si="164"/>
        <v>2024</v>
      </c>
      <c r="Q52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23" s="49" t="str">
        <f>TEXT(Planning[[#This Row],[Mes]]*29,"mmmm")</f>
        <v>October</v>
      </c>
      <c r="S522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23" s="152"/>
      <c r="U5223" s="43">
        <f>IF(Planning[[#This Row],[Horas Planificadas]]&lt;&gt;0,+K5223/Planning[[#This Row],[Horas Planificadas]],0)</f>
        <v>0</v>
      </c>
      <c r="V5223" s="43">
        <f>IF(Planning[[#This Row],[Horas Planificadas]]&lt;&gt;0,Planning[[#This Row],[Horas utilizadas]]/Planning[[#This Row],[Horas Planificadas]],0)</f>
        <v>0</v>
      </c>
      <c r="W5223" s="44">
        <f>Planning[[#This Row],[Horas Planificadas]]+Planning[[#This Row],[Horas ajustadas adicionales]]</f>
        <v>0</v>
      </c>
    </row>
    <row r="5224" spans="1:23" ht="13.35" customHeight="1" x14ac:dyDescent="0.2">
      <c r="A5224" s="9" t="s">
        <v>626</v>
      </c>
      <c r="B5224" s="9" t="s">
        <v>178</v>
      </c>
      <c r="C5224" s="3">
        <v>116909</v>
      </c>
      <c r="D5224" s="3" t="s">
        <v>903</v>
      </c>
      <c r="E5224" s="4"/>
      <c r="F5224" s="3" t="s">
        <v>123</v>
      </c>
      <c r="G5224" s="9"/>
      <c r="H5224" s="9">
        <v>270</v>
      </c>
      <c r="I5224" s="12"/>
      <c r="J5224" s="5" t="e">
        <f>SUM(SUMIFS(#REF!,#REF!,Planning[[#This Row],[Tipo de Tarea y especialidad]],#REF!,Planning[[#This Row],[Proyectos Reiwa]]),SUMIFS(#REF!,#REF!,Planning[[#This Row],[Tipo de Tarea y especialidad]],#REF!,Planning[[#This Row],[Proyectos]]))</f>
        <v>#REF!</v>
      </c>
      <c r="K5224" s="5" t="e">
        <f>+Planning[[#This Row],[Horas Planificadas]]+Planning[[#This Row],[Horas ajustadas adicionales]]-Planning[[#This Row],[Horas utilizadas]]</f>
        <v>#REF!</v>
      </c>
      <c r="L5224" s="7">
        <v>0</v>
      </c>
      <c r="M5224" s="19" t="e">
        <f>Planning[[#This Row],[Saldo]]-Planning[[#This Row],[Saldo estimado]]</f>
        <v>#REF!</v>
      </c>
      <c r="N5224" s="60" t="e">
        <f>+SUMIFS(#REF!,#REF!,Planning[[#This Row],[Proyectos]],#REF!,Planning[[#This Row],[Tipo de Tarea y especialidad]])+SUMIFS(#REF!,#REF!,Planning[[#This Row],[Proyectos Reiwa]],#REF!,Planning[[#This Row],[Tipo de Tarea y especialidad]])</f>
        <v>#REF!</v>
      </c>
      <c r="O5224" s="19">
        <f t="shared" si="163"/>
        <v>10</v>
      </c>
      <c r="P5224" s="19">
        <f t="shared" si="164"/>
        <v>2024</v>
      </c>
      <c r="Q52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24" s="49" t="str">
        <f>TEXT(Planning[[#This Row],[Mes]]*29,"mmmm")</f>
        <v>October</v>
      </c>
      <c r="S522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24" s="152"/>
      <c r="U5224" s="43" t="e">
        <f>IF(Planning[[#This Row],[Horas Planificadas]]&lt;&gt;0,+K5224/Planning[[#This Row],[Horas Planificadas]],0)</f>
        <v>#REF!</v>
      </c>
      <c r="V5224" s="43" t="e">
        <f>IF(Planning[[#This Row],[Horas Planificadas]]&lt;&gt;0,Planning[[#This Row],[Horas utilizadas]]/Planning[[#This Row],[Horas Planificadas]],0)</f>
        <v>#REF!</v>
      </c>
      <c r="W5224" s="44">
        <f>Planning[[#This Row],[Horas Planificadas]]+Planning[[#This Row],[Horas ajustadas adicionales]]</f>
        <v>270</v>
      </c>
    </row>
    <row r="5225" spans="1:23" ht="13.35" customHeight="1" x14ac:dyDescent="0.2">
      <c r="A5225" s="9" t="s">
        <v>626</v>
      </c>
      <c r="B5225" s="9" t="s">
        <v>178</v>
      </c>
      <c r="C5225" s="3">
        <v>116909</v>
      </c>
      <c r="D5225" s="3" t="s">
        <v>903</v>
      </c>
      <c r="E5225" s="4"/>
      <c r="F5225" s="3" t="s">
        <v>124</v>
      </c>
      <c r="G5225" s="9"/>
      <c r="H5225" s="9">
        <v>0</v>
      </c>
      <c r="I5225" s="12"/>
      <c r="J5225" s="5" t="e">
        <f>SUM(SUMIFS(#REF!,#REF!,Planning[[#This Row],[Tipo de Tarea y especialidad]],#REF!,Planning[[#This Row],[Proyectos Reiwa]]),SUMIFS(#REF!,#REF!,Planning[[#This Row],[Tipo de Tarea y especialidad]],#REF!,Planning[[#This Row],[Proyectos]]))</f>
        <v>#REF!</v>
      </c>
      <c r="K5225" s="5" t="e">
        <f>+Planning[[#This Row],[Horas Planificadas]]+Planning[[#This Row],[Horas ajustadas adicionales]]-Planning[[#This Row],[Horas utilizadas]]</f>
        <v>#REF!</v>
      </c>
      <c r="L5225" s="7">
        <v>0</v>
      </c>
      <c r="M5225" s="19" t="e">
        <f>Planning[[#This Row],[Saldo]]-Planning[[#This Row],[Saldo estimado]]</f>
        <v>#REF!</v>
      </c>
      <c r="N5225" s="60" t="e">
        <f>+SUMIFS(#REF!,#REF!,Planning[[#This Row],[Proyectos]],#REF!,Planning[[#This Row],[Tipo de Tarea y especialidad]])+SUMIFS(#REF!,#REF!,Planning[[#This Row],[Proyectos Reiwa]],#REF!,Planning[[#This Row],[Tipo de Tarea y especialidad]])</f>
        <v>#REF!</v>
      </c>
      <c r="O5225" s="19">
        <f t="shared" si="163"/>
        <v>10</v>
      </c>
      <c r="P5225" s="19">
        <f t="shared" si="164"/>
        <v>2024</v>
      </c>
      <c r="Q52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25" s="49" t="str">
        <f>TEXT(Planning[[#This Row],[Mes]]*29,"mmmm")</f>
        <v>October</v>
      </c>
      <c r="S522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25" s="152"/>
      <c r="U5225" s="43">
        <f>IF(Planning[[#This Row],[Horas Planificadas]]&lt;&gt;0,+K5225/Planning[[#This Row],[Horas Planificadas]],0)</f>
        <v>0</v>
      </c>
      <c r="V5225" s="43">
        <f>IF(Planning[[#This Row],[Horas Planificadas]]&lt;&gt;0,Planning[[#This Row],[Horas utilizadas]]/Planning[[#This Row],[Horas Planificadas]],0)</f>
        <v>0</v>
      </c>
      <c r="W5225" s="44">
        <f>Planning[[#This Row],[Horas Planificadas]]+Planning[[#This Row],[Horas ajustadas adicionales]]</f>
        <v>0</v>
      </c>
    </row>
    <row r="5226" spans="1:23" ht="13.35" customHeight="1" x14ac:dyDescent="0.2">
      <c r="A5226" s="9" t="s">
        <v>626</v>
      </c>
      <c r="B5226" s="9" t="s">
        <v>178</v>
      </c>
      <c r="C5226" s="3">
        <v>116909</v>
      </c>
      <c r="D5226" s="3" t="s">
        <v>903</v>
      </c>
      <c r="E5226" s="4"/>
      <c r="F5226" s="3" t="s">
        <v>125</v>
      </c>
      <c r="G5226" s="9"/>
      <c r="H5226" s="9">
        <v>198</v>
      </c>
      <c r="I5226" s="12"/>
      <c r="J5226" s="5" t="e">
        <f>SUM(SUMIFS(#REF!,#REF!,Planning[[#This Row],[Tipo de Tarea y especialidad]],#REF!,Planning[[#This Row],[Proyectos Reiwa]]),SUMIFS(#REF!,#REF!,Planning[[#This Row],[Tipo de Tarea y especialidad]],#REF!,Planning[[#This Row],[Proyectos]]))</f>
        <v>#REF!</v>
      </c>
      <c r="K5226" s="5" t="e">
        <f>+Planning[[#This Row],[Horas Planificadas]]+Planning[[#This Row],[Horas ajustadas adicionales]]-Planning[[#This Row],[Horas utilizadas]]</f>
        <v>#REF!</v>
      </c>
      <c r="L5226" s="7">
        <v>0</v>
      </c>
      <c r="M5226" s="19" t="e">
        <f>Planning[[#This Row],[Saldo]]-Planning[[#This Row],[Saldo estimado]]</f>
        <v>#REF!</v>
      </c>
      <c r="N5226" s="60" t="e">
        <f>+SUMIFS(#REF!,#REF!,Planning[[#This Row],[Proyectos]],#REF!,Planning[[#This Row],[Tipo de Tarea y especialidad]])+SUMIFS(#REF!,#REF!,Planning[[#This Row],[Proyectos Reiwa]],#REF!,Planning[[#This Row],[Tipo de Tarea y especialidad]])</f>
        <v>#REF!</v>
      </c>
      <c r="O5226" s="19">
        <f t="shared" si="163"/>
        <v>10</v>
      </c>
      <c r="P5226" s="19">
        <f t="shared" si="164"/>
        <v>2024</v>
      </c>
      <c r="Q52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26" s="49" t="str">
        <f>TEXT(Planning[[#This Row],[Mes]]*29,"mmmm")</f>
        <v>October</v>
      </c>
      <c r="S522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26" s="152"/>
      <c r="U5226" s="43" t="e">
        <f>IF(Planning[[#This Row],[Horas Planificadas]]&lt;&gt;0,+K5226/Planning[[#This Row],[Horas Planificadas]],0)</f>
        <v>#REF!</v>
      </c>
      <c r="V5226" s="43" t="e">
        <f>IF(Planning[[#This Row],[Horas Planificadas]]&lt;&gt;0,Planning[[#This Row],[Horas utilizadas]]/Planning[[#This Row],[Horas Planificadas]],0)</f>
        <v>#REF!</v>
      </c>
      <c r="W5226" s="44">
        <f>Planning[[#This Row],[Horas Planificadas]]+Planning[[#This Row],[Horas ajustadas adicionales]]</f>
        <v>198</v>
      </c>
    </row>
    <row r="5227" spans="1:23" ht="13.35" customHeight="1" x14ac:dyDescent="0.2">
      <c r="A5227" s="9" t="s">
        <v>626</v>
      </c>
      <c r="B5227" s="9" t="s">
        <v>178</v>
      </c>
      <c r="C5227" s="3">
        <v>116909</v>
      </c>
      <c r="D5227" s="3" t="s">
        <v>903</v>
      </c>
      <c r="E5227" s="4"/>
      <c r="F5227" s="3" t="s">
        <v>126</v>
      </c>
      <c r="G5227" s="9"/>
      <c r="H5227" s="9">
        <v>0</v>
      </c>
      <c r="I5227" s="12"/>
      <c r="J5227" s="5" t="e">
        <f>SUM(SUMIFS(#REF!,#REF!,Planning[[#This Row],[Tipo de Tarea y especialidad]],#REF!,Planning[[#This Row],[Proyectos Reiwa]]),SUMIFS(#REF!,#REF!,Planning[[#This Row],[Tipo de Tarea y especialidad]],#REF!,Planning[[#This Row],[Proyectos]]))</f>
        <v>#REF!</v>
      </c>
      <c r="K5227" s="5" t="e">
        <f>+Planning[[#This Row],[Horas Planificadas]]+Planning[[#This Row],[Horas ajustadas adicionales]]-Planning[[#This Row],[Horas utilizadas]]</f>
        <v>#REF!</v>
      </c>
      <c r="L5227" s="7" t="e">
        <f>Planning[[#This Row],[Saldo]]</f>
        <v>#REF!</v>
      </c>
      <c r="M5227" s="19" t="e">
        <f>Planning[[#This Row],[Saldo]]-Planning[[#This Row],[Saldo estimado]]</f>
        <v>#REF!</v>
      </c>
      <c r="N5227" s="60" t="e">
        <f>+SUMIFS(#REF!,#REF!,Planning[[#This Row],[Proyectos]],#REF!,Planning[[#This Row],[Tipo de Tarea y especialidad]])+SUMIFS(#REF!,#REF!,Planning[[#This Row],[Proyectos Reiwa]],#REF!,Planning[[#This Row],[Tipo de Tarea y especialidad]])</f>
        <v>#REF!</v>
      </c>
      <c r="O5227" s="19">
        <f t="shared" si="163"/>
        <v>10</v>
      </c>
      <c r="P5227" s="19">
        <f t="shared" si="164"/>
        <v>2024</v>
      </c>
      <c r="Q52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27" s="49" t="str">
        <f>TEXT(Planning[[#This Row],[Mes]]*29,"mmmm")</f>
        <v>October</v>
      </c>
      <c r="S522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27" s="152"/>
      <c r="U5227" s="43">
        <f>IF(Planning[[#This Row],[Horas Planificadas]]&lt;&gt;0,+K5227/Planning[[#This Row],[Horas Planificadas]],0)</f>
        <v>0</v>
      </c>
      <c r="V5227" s="43">
        <f>IF(Planning[[#This Row],[Horas Planificadas]]&lt;&gt;0,Planning[[#This Row],[Horas utilizadas]]/Planning[[#This Row],[Horas Planificadas]],0)</f>
        <v>0</v>
      </c>
      <c r="W5227" s="44">
        <f>Planning[[#This Row],[Horas Planificadas]]+Planning[[#This Row],[Horas ajustadas adicionales]]</f>
        <v>0</v>
      </c>
    </row>
    <row r="5228" spans="1:23" ht="13.35" customHeight="1" x14ac:dyDescent="0.2">
      <c r="A5228" s="9" t="s">
        <v>626</v>
      </c>
      <c r="B5228" s="9" t="s">
        <v>178</v>
      </c>
      <c r="C5228" s="3">
        <v>116909</v>
      </c>
      <c r="D5228" s="3" t="s">
        <v>903</v>
      </c>
      <c r="E5228" s="4"/>
      <c r="F5228" s="3" t="s">
        <v>127</v>
      </c>
      <c r="G5228" s="9"/>
      <c r="H5228" s="9">
        <v>0</v>
      </c>
      <c r="I5228" s="12"/>
      <c r="J5228" s="5" t="e">
        <f>SUM(SUMIFS(#REF!,#REF!,Planning[[#This Row],[Tipo de Tarea y especialidad]],#REF!,Planning[[#This Row],[Proyectos Reiwa]]),SUMIFS(#REF!,#REF!,Planning[[#This Row],[Tipo de Tarea y especialidad]],#REF!,Planning[[#This Row],[Proyectos]]))</f>
        <v>#REF!</v>
      </c>
      <c r="K5228" s="5" t="e">
        <f>+Planning[[#This Row],[Horas Planificadas]]+Planning[[#This Row],[Horas ajustadas adicionales]]-Planning[[#This Row],[Horas utilizadas]]</f>
        <v>#REF!</v>
      </c>
      <c r="L5228" s="7" t="e">
        <f>Planning[[#This Row],[Saldo]]</f>
        <v>#REF!</v>
      </c>
      <c r="M5228" s="19" t="e">
        <f>Planning[[#This Row],[Saldo]]-Planning[[#This Row],[Saldo estimado]]</f>
        <v>#REF!</v>
      </c>
      <c r="N5228" s="60" t="e">
        <f>+SUMIFS(#REF!,#REF!,Planning[[#This Row],[Proyectos]],#REF!,Planning[[#This Row],[Tipo de Tarea y especialidad]])+SUMIFS(#REF!,#REF!,Planning[[#This Row],[Proyectos Reiwa]],#REF!,Planning[[#This Row],[Tipo de Tarea y especialidad]])</f>
        <v>#REF!</v>
      </c>
      <c r="O5228" s="19">
        <f t="shared" si="163"/>
        <v>10</v>
      </c>
      <c r="P5228" s="19">
        <f t="shared" si="164"/>
        <v>2024</v>
      </c>
      <c r="Q52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28" s="49" t="str">
        <f>TEXT(Planning[[#This Row],[Mes]]*29,"mmmm")</f>
        <v>October</v>
      </c>
      <c r="S522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28" s="152"/>
      <c r="U5228" s="43">
        <f>IF(Planning[[#This Row],[Horas Planificadas]]&lt;&gt;0,+K5228/Planning[[#This Row],[Horas Planificadas]],0)</f>
        <v>0</v>
      </c>
      <c r="V5228" s="43">
        <f>IF(Planning[[#This Row],[Horas Planificadas]]&lt;&gt;0,Planning[[#This Row],[Horas utilizadas]]/Planning[[#This Row],[Horas Planificadas]],0)</f>
        <v>0</v>
      </c>
      <c r="W5228" s="44">
        <f>Planning[[#This Row],[Horas Planificadas]]+Planning[[#This Row],[Horas ajustadas adicionales]]</f>
        <v>0</v>
      </c>
    </row>
    <row r="5229" spans="1:23" ht="13.35" customHeight="1" x14ac:dyDescent="0.2">
      <c r="A5229" s="9" t="s">
        <v>626</v>
      </c>
      <c r="B5229" s="9" t="s">
        <v>178</v>
      </c>
      <c r="C5229" s="3">
        <v>116909</v>
      </c>
      <c r="D5229" s="3" t="s">
        <v>903</v>
      </c>
      <c r="E5229" s="4"/>
      <c r="F5229" s="3" t="s">
        <v>128</v>
      </c>
      <c r="G5229" s="9"/>
      <c r="H5229" s="9">
        <v>0</v>
      </c>
      <c r="I5229" s="12"/>
      <c r="J5229" s="5" t="e">
        <f>SUM(SUMIFS(#REF!,#REF!,Planning[[#This Row],[Tipo de Tarea y especialidad]],#REF!,Planning[[#This Row],[Proyectos Reiwa]]),SUMIFS(#REF!,#REF!,Planning[[#This Row],[Tipo de Tarea y especialidad]],#REF!,Planning[[#This Row],[Proyectos]]))</f>
        <v>#REF!</v>
      </c>
      <c r="K5229" s="5" t="e">
        <f>+Planning[[#This Row],[Horas Planificadas]]+Planning[[#This Row],[Horas ajustadas adicionales]]-Planning[[#This Row],[Horas utilizadas]]</f>
        <v>#REF!</v>
      </c>
      <c r="L5229" s="7">
        <v>0</v>
      </c>
      <c r="M5229" s="19" t="e">
        <f>Planning[[#This Row],[Saldo]]-Planning[[#This Row],[Saldo estimado]]</f>
        <v>#REF!</v>
      </c>
      <c r="N5229" s="60" t="e">
        <f>+SUMIFS(#REF!,#REF!,Planning[[#This Row],[Proyectos]],#REF!,Planning[[#This Row],[Tipo de Tarea y especialidad]])+SUMIFS(#REF!,#REF!,Planning[[#This Row],[Proyectos Reiwa]],#REF!,Planning[[#This Row],[Tipo de Tarea y especialidad]])</f>
        <v>#REF!</v>
      </c>
      <c r="O5229" s="19">
        <f t="shared" si="163"/>
        <v>10</v>
      </c>
      <c r="P5229" s="19">
        <f t="shared" si="164"/>
        <v>2024</v>
      </c>
      <c r="Q52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29" s="49" t="str">
        <f>TEXT(Planning[[#This Row],[Mes]]*29,"mmmm")</f>
        <v>October</v>
      </c>
      <c r="S522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29" s="152"/>
      <c r="U5229" s="43">
        <f>IF(Planning[[#This Row],[Horas Planificadas]]&lt;&gt;0,+K5229/Planning[[#This Row],[Horas Planificadas]],0)</f>
        <v>0</v>
      </c>
      <c r="V5229" s="43">
        <f>IF(Planning[[#This Row],[Horas Planificadas]]&lt;&gt;0,Planning[[#This Row],[Horas utilizadas]]/Planning[[#This Row],[Horas Planificadas]],0)</f>
        <v>0</v>
      </c>
      <c r="W5229" s="44">
        <f>Planning[[#This Row],[Horas Planificadas]]+Planning[[#This Row],[Horas ajustadas adicionales]]</f>
        <v>0</v>
      </c>
    </row>
    <row r="5230" spans="1:23" ht="13.35" customHeight="1" x14ac:dyDescent="0.2">
      <c r="A5230" s="9" t="s">
        <v>626</v>
      </c>
      <c r="B5230" s="9" t="s">
        <v>178</v>
      </c>
      <c r="C5230" s="3">
        <v>116909</v>
      </c>
      <c r="D5230" s="3" t="s">
        <v>903</v>
      </c>
      <c r="E5230" s="4" t="s">
        <v>31</v>
      </c>
      <c r="F5230" s="3" t="s">
        <v>31</v>
      </c>
      <c r="G5230" s="9">
        <v>36</v>
      </c>
      <c r="H5230" s="17">
        <v>36</v>
      </c>
      <c r="I5230" s="18"/>
      <c r="J5230" s="14" t="e">
        <f>+SUMIFS(#REF!,#REF!,Planning[[#This Row],[Tarifa]],#REF!,Planning[[#This Row],[Proyectos]])</f>
        <v>#REF!</v>
      </c>
      <c r="K5230" s="14" t="e">
        <f>+Planning[[#This Row],[Horas Planificadas]]+Planning[[#This Row],[Horas ajustadas adicionales]]-Planning[[#This Row],[Horas utilizadas]]</f>
        <v>#REF!</v>
      </c>
      <c r="L5230" s="15">
        <v>0</v>
      </c>
      <c r="M5230" s="16" t="e">
        <f>Planning[[#This Row],[Saldo]]-Planning[[#This Row],[Saldo estimado]]</f>
        <v>#REF!</v>
      </c>
      <c r="N5230" s="60" t="e">
        <f>+SUMIFS(#REF!,#REF!,Planning[[#This Row],[Proyectos]],#REF!,Planning[[#This Row],[Tipo de Tarea y especialidad]])+SUMIFS(#REF!,#REF!,Planning[[#This Row],[Proyectos Reiwa]],#REF!,Planning[[#This Row],[Tipo de Tarea y especialidad]])</f>
        <v>#REF!</v>
      </c>
      <c r="O5230" s="16">
        <f t="shared" si="163"/>
        <v>10</v>
      </c>
      <c r="P5230" s="16">
        <f t="shared" si="164"/>
        <v>2024</v>
      </c>
      <c r="Q5230" s="16" t="e">
        <f>+SUMIFS(#REF!,#REF!,Planning[[#This Row],[Tarifa]],#REF!,Planning[[#This Row],[Proyectos]],#REF!,Planning[[#This Row],[Mes]],#REF!,Planning[[#This Row],[Año]])</f>
        <v>#REF!</v>
      </c>
      <c r="R5230" s="50" t="str">
        <f>TEXT(Planning[[#This Row],[Mes]]*29,"mmmm")</f>
        <v>October</v>
      </c>
      <c r="S523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30" s="152"/>
      <c r="U5230" s="43" t="e">
        <f>IF(Planning[[#This Row],[Horas Planificadas]]&lt;&gt;0,+K5230/Planning[[#This Row],[Horas Planificadas]],0)</f>
        <v>#REF!</v>
      </c>
      <c r="V5230" s="43" t="e">
        <f>IF(Planning[[#This Row],[Horas Planificadas]]&lt;&gt;0,Planning[[#This Row],[Horas utilizadas]]/Planning[[#This Row],[Horas Planificadas]],0)</f>
        <v>#REF!</v>
      </c>
      <c r="W5230" s="44">
        <f>Planning[[#This Row],[Horas Planificadas]]+Planning[[#This Row],[Horas ajustadas adicionales]]</f>
        <v>36</v>
      </c>
    </row>
    <row r="5231" spans="1:23" ht="13.35" customHeight="1" x14ac:dyDescent="0.2">
      <c r="A5231" s="9" t="s">
        <v>626</v>
      </c>
      <c r="B5231" s="9" t="s">
        <v>178</v>
      </c>
      <c r="C5231" s="3">
        <v>116909</v>
      </c>
      <c r="D5231" s="3" t="s">
        <v>903</v>
      </c>
      <c r="E5231" s="4" t="s">
        <v>32</v>
      </c>
      <c r="F5231" s="3"/>
      <c r="G5231" s="9">
        <v>0</v>
      </c>
      <c r="H5231" s="14">
        <f>SUM(H5232:H5234)</f>
        <v>0</v>
      </c>
      <c r="I5231" s="14"/>
      <c r="J5231" s="14" t="e">
        <f>SUM(J5232:J5234)</f>
        <v>#REF!</v>
      </c>
      <c r="K5231" s="14" t="e">
        <f>+Planning[[#This Row],[Horas Planificadas]]+Planning[[#This Row],[Horas ajustadas adicionales]]-Planning[[#This Row],[Horas utilizadas]]</f>
        <v>#REF!</v>
      </c>
      <c r="L5231" s="15" t="e">
        <f>SUM(L5232:L5234)</f>
        <v>#REF!</v>
      </c>
      <c r="M5231" s="16" t="e">
        <f>SUM(M5232:M5234)</f>
        <v>#REF!</v>
      </c>
      <c r="N5231" s="60" t="e">
        <f>+SUMIFS(#REF!,#REF!,Planning[[#This Row],[Proyectos]],#REF!,Planning[[#This Row],[Tipo de Tarea y especialidad]])+SUMIFS(#REF!,#REF!,Planning[[#This Row],[Proyectos Reiwa]],#REF!,Planning[[#This Row],[Tipo de Tarea y especialidad]])</f>
        <v>#REF!</v>
      </c>
      <c r="O5231" s="16">
        <f t="shared" si="163"/>
        <v>10</v>
      </c>
      <c r="P5231" s="16">
        <f t="shared" si="164"/>
        <v>2024</v>
      </c>
      <c r="Q5231" s="16" t="e">
        <f>SUM(Q5232:Q5234)</f>
        <v>#REF!</v>
      </c>
      <c r="R5231" s="50" t="str">
        <f>TEXT(Planning[[#This Row],[Mes]]*29,"mmmm")</f>
        <v>October</v>
      </c>
      <c r="S523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31" s="152"/>
      <c r="U5231" s="43">
        <f>IF(Planning[[#This Row],[Horas Planificadas]]&lt;&gt;0,+K5231/Planning[[#This Row],[Horas Planificadas]],0)</f>
        <v>0</v>
      </c>
      <c r="V5231" s="43">
        <f>IF(Planning[[#This Row],[Horas Planificadas]]&lt;&gt;0,Planning[[#This Row],[Horas utilizadas]]/Planning[[#This Row],[Horas Planificadas]],0)</f>
        <v>0</v>
      </c>
      <c r="W5231" s="44">
        <f>Planning[[#This Row],[Horas Planificadas]]+Planning[[#This Row],[Horas ajustadas adicionales]]</f>
        <v>0</v>
      </c>
    </row>
    <row r="5232" spans="1:23" ht="13.35" customHeight="1" x14ac:dyDescent="0.2">
      <c r="A5232" s="9" t="s">
        <v>626</v>
      </c>
      <c r="B5232" s="9" t="s">
        <v>178</v>
      </c>
      <c r="C5232" s="3">
        <v>116909</v>
      </c>
      <c r="D5232" s="3" t="s">
        <v>903</v>
      </c>
      <c r="E5232" s="4"/>
      <c r="F5232" s="3" t="s">
        <v>129</v>
      </c>
      <c r="G5232" s="9"/>
      <c r="H5232" s="9">
        <v>0</v>
      </c>
      <c r="I5232" s="12"/>
      <c r="J5232" s="5" t="e">
        <f>SUM(SUMIFS(#REF!,#REF!,Planning[[#This Row],[Tipo de Tarea y especialidad]],#REF!,Planning[[#This Row],[Proyectos Reiwa]]),SUMIFS(#REF!,#REF!,Planning[[#This Row],[Tipo de Tarea y especialidad]],#REF!,Planning[[#This Row],[Proyectos]]))</f>
        <v>#REF!</v>
      </c>
      <c r="K5232" s="5" t="e">
        <f>+Planning[[#This Row],[Horas Planificadas]]+Planning[[#This Row],[Horas ajustadas adicionales]]-Planning[[#This Row],[Horas utilizadas]]</f>
        <v>#REF!</v>
      </c>
      <c r="L5232" s="7" t="e">
        <f>Planning[[#This Row],[Saldo]]</f>
        <v>#REF!</v>
      </c>
      <c r="M5232" s="19" t="e">
        <f>Planning[[#This Row],[Saldo]]-Planning[[#This Row],[Saldo estimado]]</f>
        <v>#REF!</v>
      </c>
      <c r="N5232" s="60" t="e">
        <f>+SUMIFS(#REF!,#REF!,Planning[[#This Row],[Proyectos]],#REF!,Planning[[#This Row],[Tipo de Tarea y especialidad]])+SUMIFS(#REF!,#REF!,Planning[[#This Row],[Proyectos Reiwa]],#REF!,Planning[[#This Row],[Tipo de Tarea y especialidad]])</f>
        <v>#REF!</v>
      </c>
      <c r="O5232" s="19">
        <f t="shared" si="163"/>
        <v>10</v>
      </c>
      <c r="P5232" s="19">
        <f t="shared" si="164"/>
        <v>2024</v>
      </c>
      <c r="Q52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32" s="49" t="str">
        <f>TEXT(Planning[[#This Row],[Mes]]*29,"mmmm")</f>
        <v>October</v>
      </c>
      <c r="S523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32" s="152"/>
      <c r="U5232" s="43">
        <f>IF(Planning[[#This Row],[Horas Planificadas]]&lt;&gt;0,+K5232/Planning[[#This Row],[Horas Planificadas]],0)</f>
        <v>0</v>
      </c>
      <c r="V5232" s="43">
        <f>IF(Planning[[#This Row],[Horas Planificadas]]&lt;&gt;0,Planning[[#This Row],[Horas utilizadas]]/Planning[[#This Row],[Horas Planificadas]],0)</f>
        <v>0</v>
      </c>
      <c r="W5232" s="44">
        <f>Planning[[#This Row],[Horas Planificadas]]+Planning[[#This Row],[Horas ajustadas adicionales]]</f>
        <v>0</v>
      </c>
    </row>
    <row r="5233" spans="1:23" ht="13.35" customHeight="1" x14ac:dyDescent="0.2">
      <c r="A5233" s="9" t="s">
        <v>626</v>
      </c>
      <c r="B5233" s="9" t="s">
        <v>178</v>
      </c>
      <c r="C5233" s="3">
        <v>116909</v>
      </c>
      <c r="D5233" s="3" t="s">
        <v>903</v>
      </c>
      <c r="E5233" s="4"/>
      <c r="F5233" s="3" t="s">
        <v>130</v>
      </c>
      <c r="G5233" s="9"/>
      <c r="H5233" s="9">
        <v>0</v>
      </c>
      <c r="I5233" s="12"/>
      <c r="J5233" s="5" t="e">
        <f>SUM(SUMIFS(#REF!,#REF!,Planning[[#This Row],[Tipo de Tarea y especialidad]],#REF!,Planning[[#This Row],[Proyectos Reiwa]]),SUMIFS(#REF!,#REF!,Planning[[#This Row],[Tipo de Tarea y especialidad]],#REF!,Planning[[#This Row],[Proyectos]]))</f>
        <v>#REF!</v>
      </c>
      <c r="K5233" s="5" t="e">
        <f>+Planning[[#This Row],[Horas Planificadas]]+Planning[[#This Row],[Horas ajustadas adicionales]]-Planning[[#This Row],[Horas utilizadas]]</f>
        <v>#REF!</v>
      </c>
      <c r="L5233" s="7" t="e">
        <f>Planning[[#This Row],[Saldo]]</f>
        <v>#REF!</v>
      </c>
      <c r="M5233" s="19" t="e">
        <f>Planning[[#This Row],[Saldo]]-Planning[[#This Row],[Saldo estimado]]</f>
        <v>#REF!</v>
      </c>
      <c r="N5233" s="60" t="e">
        <f>+SUMIFS(#REF!,#REF!,Planning[[#This Row],[Proyectos]],#REF!,Planning[[#This Row],[Tipo de Tarea y especialidad]])+SUMIFS(#REF!,#REF!,Planning[[#This Row],[Proyectos Reiwa]],#REF!,Planning[[#This Row],[Tipo de Tarea y especialidad]])</f>
        <v>#REF!</v>
      </c>
      <c r="O5233" s="19">
        <f t="shared" si="163"/>
        <v>10</v>
      </c>
      <c r="P5233" s="19">
        <f t="shared" si="164"/>
        <v>2024</v>
      </c>
      <c r="Q52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33" s="49" t="str">
        <f>TEXT(Planning[[#This Row],[Mes]]*29,"mmmm")</f>
        <v>October</v>
      </c>
      <c r="S523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33" s="152"/>
      <c r="U5233" s="43">
        <f>IF(Planning[[#This Row],[Horas Planificadas]]&lt;&gt;0,+K5233/Planning[[#This Row],[Horas Planificadas]],0)</f>
        <v>0</v>
      </c>
      <c r="V5233" s="43">
        <f>IF(Planning[[#This Row],[Horas Planificadas]]&lt;&gt;0,Planning[[#This Row],[Horas utilizadas]]/Planning[[#This Row],[Horas Planificadas]],0)</f>
        <v>0</v>
      </c>
      <c r="W5233" s="44">
        <f>Planning[[#This Row],[Horas Planificadas]]+Planning[[#This Row],[Horas ajustadas adicionales]]</f>
        <v>0</v>
      </c>
    </row>
    <row r="5234" spans="1:23" ht="13.35" customHeight="1" x14ac:dyDescent="0.2">
      <c r="A5234" s="9" t="s">
        <v>626</v>
      </c>
      <c r="B5234" s="9" t="s">
        <v>178</v>
      </c>
      <c r="C5234" s="3">
        <v>116909</v>
      </c>
      <c r="D5234" s="3" t="s">
        <v>903</v>
      </c>
      <c r="E5234" s="4"/>
      <c r="F5234" s="3" t="s">
        <v>131</v>
      </c>
      <c r="G5234" s="9"/>
      <c r="H5234" s="9">
        <v>0</v>
      </c>
      <c r="I5234" s="12"/>
      <c r="J5234" s="5" t="e">
        <f>SUM(SUMIFS(#REF!,#REF!,Planning[[#This Row],[Tipo de Tarea y especialidad]],#REF!,Planning[[#This Row],[Proyectos Reiwa]]),SUMIFS(#REF!,#REF!,Planning[[#This Row],[Tipo de Tarea y especialidad]],#REF!,Planning[[#This Row],[Proyectos]]))</f>
        <v>#REF!</v>
      </c>
      <c r="K5234" s="5" t="e">
        <f>+Planning[[#This Row],[Horas Planificadas]]+Planning[[#This Row],[Horas ajustadas adicionales]]-Planning[[#This Row],[Horas utilizadas]]</f>
        <v>#REF!</v>
      </c>
      <c r="L5234" s="7">
        <v>0</v>
      </c>
      <c r="M5234" s="19" t="e">
        <f>Planning[[#This Row],[Saldo]]-Planning[[#This Row],[Saldo estimado]]</f>
        <v>#REF!</v>
      </c>
      <c r="N5234" s="60" t="e">
        <f>+SUMIFS(#REF!,#REF!,Planning[[#This Row],[Proyectos]],#REF!,Planning[[#This Row],[Tipo de Tarea y especialidad]])+SUMIFS(#REF!,#REF!,Planning[[#This Row],[Proyectos Reiwa]],#REF!,Planning[[#This Row],[Tipo de Tarea y especialidad]])</f>
        <v>#REF!</v>
      </c>
      <c r="O5234" s="19">
        <f t="shared" si="163"/>
        <v>10</v>
      </c>
      <c r="P5234" s="19">
        <f t="shared" si="164"/>
        <v>2024</v>
      </c>
      <c r="Q52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34" s="51" t="str">
        <f>TEXT(Planning[[#This Row],[Mes]]*29,"mmmm")</f>
        <v>October</v>
      </c>
      <c r="S5234"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34" s="153"/>
      <c r="U5234" s="43">
        <f>IF(Planning[[#This Row],[Horas Planificadas]]&lt;&gt;0,+K5234/Planning[[#This Row],[Horas Planificadas]],0)</f>
        <v>0</v>
      </c>
      <c r="V5234" s="43">
        <f>IF(Planning[[#This Row],[Horas Planificadas]]&lt;&gt;0,Planning[[#This Row],[Horas utilizadas]]/Planning[[#This Row],[Horas Planificadas]],0)</f>
        <v>0</v>
      </c>
      <c r="W5234" s="44">
        <f>Planning[[#This Row],[Horas Planificadas]]+Planning[[#This Row],[Horas ajustadas adicionales]]</f>
        <v>0</v>
      </c>
    </row>
    <row r="5235" spans="1:23" ht="13.35" customHeight="1" x14ac:dyDescent="0.2">
      <c r="A5235" s="9" t="s">
        <v>204</v>
      </c>
      <c r="B5235" s="9" t="s">
        <v>904</v>
      </c>
      <c r="C5235" s="3">
        <v>117204</v>
      </c>
      <c r="D5235" s="3" t="s">
        <v>905</v>
      </c>
      <c r="E5235" s="4" t="s">
        <v>28</v>
      </c>
      <c r="F5235" s="3"/>
      <c r="G5235" s="9">
        <v>1186</v>
      </c>
      <c r="H5235" s="14">
        <f>SUM(H5236:H5237)</f>
        <v>1186</v>
      </c>
      <c r="I5235" s="14"/>
      <c r="J5235" s="14" t="e">
        <f>SUM(J5236:J5237)</f>
        <v>#REF!</v>
      </c>
      <c r="K5235" s="14" t="e">
        <f>+Planning[[#This Row],[Horas Planificadas]]+Planning[[#This Row],[Horas ajustadas adicionales]]-Planning[[#This Row],[Horas utilizadas]]</f>
        <v>#REF!</v>
      </c>
      <c r="L5235" s="15">
        <f>SUM(L5236:L5237)</f>
        <v>381</v>
      </c>
      <c r="M5235" s="14" t="e">
        <f>SUM(M5236:M5237)</f>
        <v>#REF!</v>
      </c>
      <c r="N5235" s="60" t="e">
        <f>+SUMIFS(#REF!,#REF!,Planning[[#This Row],[Proyectos]],#REF!,Planning[[#This Row],[Tipo de Tarea y especialidad]])+SUMIFS(#REF!,#REF!,Planning[[#This Row],[Proyectos Reiwa]],#REF!,Planning[[#This Row],[Tipo de Tarea y especialidad]])</f>
        <v>#REF!</v>
      </c>
      <c r="O5235" s="14">
        <f t="shared" ref="O5235:O5298" si="165">$L$4</f>
        <v>10</v>
      </c>
      <c r="P5235" s="14">
        <f t="shared" ref="P5235:P5298" si="166">$M$4</f>
        <v>2024</v>
      </c>
      <c r="Q5235" s="28" t="e">
        <f>SUM(Q5236:Q5237)</f>
        <v>#REF!</v>
      </c>
      <c r="R5235" s="24" t="str">
        <f>TEXT(Planning[[#This Row],[Mes]]*29,"mmmm")</f>
        <v>October</v>
      </c>
      <c r="S5235"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35" s="151" t="s">
        <v>906</v>
      </c>
      <c r="U5235" s="43" t="e">
        <f>IF(Planning[[#This Row],[Horas Planificadas]]&lt;&gt;0,+K5235/Planning[[#This Row],[Horas Planificadas]],0)</f>
        <v>#REF!</v>
      </c>
      <c r="V5235" s="43" t="e">
        <f>IF(Planning[[#This Row],[Horas Planificadas]]&lt;&gt;0,Planning[[#This Row],[Horas utilizadas]]/Planning[[#This Row],[Horas Planificadas]],0)</f>
        <v>#REF!</v>
      </c>
      <c r="W5235" s="44">
        <f>Planning[[#This Row],[Horas Planificadas]]+Planning[[#This Row],[Horas ajustadas adicionales]]</f>
        <v>1186</v>
      </c>
    </row>
    <row r="5236" spans="1:23" ht="13.35" customHeight="1" x14ac:dyDescent="0.2">
      <c r="A5236" s="9" t="s">
        <v>204</v>
      </c>
      <c r="B5236" s="9" t="s">
        <v>904</v>
      </c>
      <c r="C5236" s="120">
        <v>117204</v>
      </c>
      <c r="D5236" s="3" t="s">
        <v>905</v>
      </c>
      <c r="E5236" s="4"/>
      <c r="F5236" s="3" t="s">
        <v>120</v>
      </c>
      <c r="G5236" s="9"/>
      <c r="H5236" s="9">
        <v>707</v>
      </c>
      <c r="I5236" s="12">
        <v>72</v>
      </c>
      <c r="J5236" s="5" t="e">
        <f>SUM(SUMIFS(#REF!,#REF!,Planning[[#This Row],[Tipo de Tarea y especialidad]],#REF!,Planning[[#This Row],[Proyectos Reiwa]]),SUMIFS(#REF!,#REF!,Planning[[#This Row],[Tipo de Tarea y especialidad]],#REF!,Planning[[#This Row],[Proyectos]]))</f>
        <v>#REF!</v>
      </c>
      <c r="K5236" s="5" t="e">
        <f>+Planning[[#This Row],[Horas Planificadas]]+Planning[[#This Row],[Horas ajustadas adicionales]]-Planning[[#This Row],[Horas utilizadas]]</f>
        <v>#REF!</v>
      </c>
      <c r="L5236" s="7">
        <v>225</v>
      </c>
      <c r="M5236" s="19" t="e">
        <f>Planning[[#This Row],[Saldo]]-Planning[[#This Row],[Saldo estimado]]</f>
        <v>#REF!</v>
      </c>
      <c r="N5236" s="60" t="e">
        <f>+SUMIFS(#REF!,#REF!,Planning[[#This Row],[Proyectos]],#REF!,Planning[[#This Row],[Tipo de Tarea y especialidad]])+SUMIFS(#REF!,#REF!,Planning[[#This Row],[Proyectos Reiwa]],#REF!,Planning[[#This Row],[Tipo de Tarea y especialidad]])</f>
        <v>#REF!</v>
      </c>
      <c r="O5236" s="19">
        <f t="shared" si="165"/>
        <v>10</v>
      </c>
      <c r="P5236" s="19">
        <f t="shared" si="166"/>
        <v>2024</v>
      </c>
      <c r="Q52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36" s="49" t="str">
        <f>TEXT(Planning[[#This Row],[Mes]]*29,"mmmm")</f>
        <v>October</v>
      </c>
      <c r="S523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36" s="152"/>
      <c r="U5236" s="43" t="e">
        <f>IF(Planning[[#This Row],[Horas Planificadas]]&lt;&gt;0,+K5236/Planning[[#This Row],[Horas Planificadas]],0)</f>
        <v>#REF!</v>
      </c>
      <c r="V5236" s="43" t="e">
        <f>IF(Planning[[#This Row],[Horas Planificadas]]&lt;&gt;0,Planning[[#This Row],[Horas utilizadas]]/Planning[[#This Row],[Horas Planificadas]],0)</f>
        <v>#REF!</v>
      </c>
      <c r="W5236" s="44">
        <f>Planning[[#This Row],[Horas Planificadas]]+Planning[[#This Row],[Horas ajustadas adicionales]]</f>
        <v>779</v>
      </c>
    </row>
    <row r="5237" spans="1:23" ht="13.35" customHeight="1" x14ac:dyDescent="0.2">
      <c r="A5237" s="9" t="s">
        <v>204</v>
      </c>
      <c r="B5237" s="9" t="s">
        <v>904</v>
      </c>
      <c r="C5237" s="120">
        <v>117204</v>
      </c>
      <c r="D5237" s="3" t="s">
        <v>905</v>
      </c>
      <c r="E5237" s="4"/>
      <c r="F5237" s="3" t="s">
        <v>121</v>
      </c>
      <c r="G5237" s="9"/>
      <c r="H5237" s="9">
        <v>479</v>
      </c>
      <c r="I5237" s="12">
        <v>127</v>
      </c>
      <c r="J5237" s="5" t="e">
        <f>SUM(SUMIFS(#REF!,#REF!,Planning[[#This Row],[Tipo de Tarea y especialidad]],#REF!,Planning[[#This Row],[Proyectos Reiwa]]),SUMIFS(#REF!,#REF!,Planning[[#This Row],[Tipo de Tarea y especialidad]],#REF!,Planning[[#This Row],[Proyectos]]))</f>
        <v>#REF!</v>
      </c>
      <c r="K5237" s="5" t="e">
        <f>+Planning[[#This Row],[Horas Planificadas]]+Planning[[#This Row],[Horas ajustadas adicionales]]-Planning[[#This Row],[Horas utilizadas]]</f>
        <v>#REF!</v>
      </c>
      <c r="L5237" s="7">
        <v>156</v>
      </c>
      <c r="M5237" s="19" t="e">
        <f>Planning[[#This Row],[Saldo]]-Planning[[#This Row],[Saldo estimado]]</f>
        <v>#REF!</v>
      </c>
      <c r="N5237" s="60" t="e">
        <f>+SUMIFS(#REF!,#REF!,Planning[[#This Row],[Proyectos]],#REF!,Planning[[#This Row],[Tipo de Tarea y especialidad]])+SUMIFS(#REF!,#REF!,Planning[[#This Row],[Proyectos Reiwa]],#REF!,Planning[[#This Row],[Tipo de Tarea y especialidad]])</f>
        <v>#REF!</v>
      </c>
      <c r="O5237" s="19">
        <f t="shared" si="165"/>
        <v>10</v>
      </c>
      <c r="P5237" s="19">
        <f t="shared" si="166"/>
        <v>2024</v>
      </c>
      <c r="Q52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37" s="49" t="str">
        <f>TEXT(Planning[[#This Row],[Mes]]*29,"mmmm")</f>
        <v>October</v>
      </c>
      <c r="S523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37" s="152"/>
      <c r="U5237" s="43" t="e">
        <f>IF(Planning[[#This Row],[Horas Planificadas]]&lt;&gt;0,+K5237/Planning[[#This Row],[Horas Planificadas]],0)</f>
        <v>#REF!</v>
      </c>
      <c r="V5237" s="43" t="e">
        <f>IF(Planning[[#This Row],[Horas Planificadas]]&lt;&gt;0,Planning[[#This Row],[Horas utilizadas]]/Planning[[#This Row],[Horas Planificadas]],0)</f>
        <v>#REF!</v>
      </c>
      <c r="W5237" s="44">
        <f>Planning[[#This Row],[Horas Planificadas]]+Planning[[#This Row],[Horas ajustadas adicionales]]</f>
        <v>606</v>
      </c>
    </row>
    <row r="5238" spans="1:23" ht="13.35" customHeight="1" x14ac:dyDescent="0.2">
      <c r="A5238" s="9" t="s">
        <v>204</v>
      </c>
      <c r="B5238" s="9" t="s">
        <v>904</v>
      </c>
      <c r="C5238" s="120">
        <v>117204</v>
      </c>
      <c r="D5238" s="3" t="s">
        <v>905</v>
      </c>
      <c r="E5238" s="4" t="s">
        <v>30</v>
      </c>
      <c r="F5238" s="3"/>
      <c r="G5238" s="9">
        <v>1496</v>
      </c>
      <c r="H5238" s="14">
        <f>SUM(H5239:H5245)</f>
        <v>1496</v>
      </c>
      <c r="I5238" s="14"/>
      <c r="J5238" s="14" t="e">
        <f>SUM(J5239:J5245)</f>
        <v>#REF!</v>
      </c>
      <c r="K5238" s="14" t="e">
        <f>+Planning[[#This Row],[Horas Planificadas]]+Planning[[#This Row],[Horas ajustadas adicionales]]-Planning[[#This Row],[Horas utilizadas]]</f>
        <v>#REF!</v>
      </c>
      <c r="L5238" s="15" t="e">
        <f>SUM(L5239:L5245)</f>
        <v>#REF!</v>
      </c>
      <c r="M5238" s="16" t="e">
        <f>SUM(M5239:M5245)</f>
        <v>#REF!</v>
      </c>
      <c r="N5238" s="60" t="e">
        <f>+SUMIFS(#REF!,#REF!,Planning[[#This Row],[Proyectos]],#REF!,Planning[[#This Row],[Tipo de Tarea y especialidad]])+SUMIFS(#REF!,#REF!,Planning[[#This Row],[Proyectos Reiwa]],#REF!,Planning[[#This Row],[Tipo de Tarea y especialidad]])</f>
        <v>#REF!</v>
      </c>
      <c r="O5238" s="16">
        <f t="shared" si="165"/>
        <v>10</v>
      </c>
      <c r="P5238" s="16">
        <f t="shared" si="166"/>
        <v>2024</v>
      </c>
      <c r="Q5238" s="16" t="e">
        <f>SUM(Q5239:Q5245)</f>
        <v>#REF!</v>
      </c>
      <c r="R5238" s="50" t="str">
        <f>TEXT(Planning[[#This Row],[Mes]]*29,"mmmm")</f>
        <v>October</v>
      </c>
      <c r="S523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38" s="152"/>
      <c r="U5238" s="43" t="e">
        <f>IF(Planning[[#This Row],[Horas Planificadas]]&lt;&gt;0,+K5238/Planning[[#This Row],[Horas Planificadas]],0)</f>
        <v>#REF!</v>
      </c>
      <c r="V5238" s="43" t="e">
        <f>IF(Planning[[#This Row],[Horas Planificadas]]&lt;&gt;0,Planning[[#This Row],[Horas utilizadas]]/Planning[[#This Row],[Horas Planificadas]],0)</f>
        <v>#REF!</v>
      </c>
      <c r="W5238" s="44">
        <f>Planning[[#This Row],[Horas Planificadas]]+Planning[[#This Row],[Horas ajustadas adicionales]]</f>
        <v>1496</v>
      </c>
    </row>
    <row r="5239" spans="1:23" ht="13.35" customHeight="1" x14ac:dyDescent="0.2">
      <c r="A5239" s="9" t="s">
        <v>204</v>
      </c>
      <c r="B5239" s="9" t="s">
        <v>904</v>
      </c>
      <c r="C5239" s="120">
        <v>117204</v>
      </c>
      <c r="D5239" s="3" t="s">
        <v>905</v>
      </c>
      <c r="E5239" s="4"/>
      <c r="F5239" s="3" t="s">
        <v>122</v>
      </c>
      <c r="G5239" s="9"/>
      <c r="H5239" s="9">
        <v>235</v>
      </c>
      <c r="I5239" s="12">
        <v>108</v>
      </c>
      <c r="J5239" s="5" t="e">
        <f>SUM(SUMIFS(#REF!,#REF!,Planning[[#This Row],[Tipo de Tarea y especialidad]],#REF!,Planning[[#This Row],[Proyectos Reiwa]]),SUMIFS(#REF!,#REF!,Planning[[#This Row],[Tipo de Tarea y especialidad]],#REF!,Planning[[#This Row],[Proyectos]]))</f>
        <v>#REF!</v>
      </c>
      <c r="K5239" s="5" t="e">
        <f>+Planning[[#This Row],[Horas Planificadas]]+Planning[[#This Row],[Horas ajustadas adicionales]]-Planning[[#This Row],[Horas utilizadas]]</f>
        <v>#REF!</v>
      </c>
      <c r="L5239" s="7">
        <v>91</v>
      </c>
      <c r="M5239" s="19" t="e">
        <f>Planning[[#This Row],[Saldo]]-Planning[[#This Row],[Saldo estimado]]</f>
        <v>#REF!</v>
      </c>
      <c r="N5239" s="60" t="e">
        <f>+SUMIFS(#REF!,#REF!,Planning[[#This Row],[Proyectos]],#REF!,Planning[[#This Row],[Tipo de Tarea y especialidad]])+SUMIFS(#REF!,#REF!,Planning[[#This Row],[Proyectos Reiwa]],#REF!,Planning[[#This Row],[Tipo de Tarea y especialidad]])</f>
        <v>#REF!</v>
      </c>
      <c r="O5239" s="19">
        <f t="shared" si="165"/>
        <v>10</v>
      </c>
      <c r="P5239" s="19">
        <f t="shared" si="166"/>
        <v>2024</v>
      </c>
      <c r="Q52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39" s="49" t="str">
        <f>TEXT(Planning[[#This Row],[Mes]]*29,"mmmm")</f>
        <v>October</v>
      </c>
      <c r="S523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39" s="152"/>
      <c r="U5239" s="43" t="e">
        <f>IF(Planning[[#This Row],[Horas Planificadas]]&lt;&gt;0,+K5239/Planning[[#This Row],[Horas Planificadas]],0)</f>
        <v>#REF!</v>
      </c>
      <c r="V5239" s="43" t="e">
        <f>IF(Planning[[#This Row],[Horas Planificadas]]&lt;&gt;0,Planning[[#This Row],[Horas utilizadas]]/Planning[[#This Row],[Horas Planificadas]],0)</f>
        <v>#REF!</v>
      </c>
      <c r="W5239" s="44">
        <f>Planning[[#This Row],[Horas Planificadas]]+Planning[[#This Row],[Horas ajustadas adicionales]]</f>
        <v>343</v>
      </c>
    </row>
    <row r="5240" spans="1:23" ht="13.35" customHeight="1" x14ac:dyDescent="0.2">
      <c r="A5240" s="9" t="s">
        <v>204</v>
      </c>
      <c r="B5240" s="9" t="s">
        <v>904</v>
      </c>
      <c r="C5240" s="120">
        <v>117204</v>
      </c>
      <c r="D5240" s="3" t="s">
        <v>905</v>
      </c>
      <c r="E5240" s="4"/>
      <c r="F5240" s="3" t="s">
        <v>123</v>
      </c>
      <c r="G5240" s="9"/>
      <c r="H5240" s="9">
        <v>470</v>
      </c>
      <c r="I5240" s="12">
        <v>18</v>
      </c>
      <c r="J5240" s="5" t="e">
        <f>SUM(SUMIFS(#REF!,#REF!,Planning[[#This Row],[Tipo de Tarea y especialidad]],#REF!,Planning[[#This Row],[Proyectos Reiwa]]),SUMIFS(#REF!,#REF!,Planning[[#This Row],[Tipo de Tarea y especialidad]],#REF!,Planning[[#This Row],[Proyectos]]))</f>
        <v>#REF!</v>
      </c>
      <c r="K5240" s="5" t="e">
        <f>+Planning[[#This Row],[Horas Planificadas]]+Planning[[#This Row],[Horas ajustadas adicionales]]-Planning[[#This Row],[Horas utilizadas]]</f>
        <v>#REF!</v>
      </c>
      <c r="L5240" s="7">
        <v>245</v>
      </c>
      <c r="M5240" s="19" t="e">
        <f>Planning[[#This Row],[Saldo]]-Planning[[#This Row],[Saldo estimado]]</f>
        <v>#REF!</v>
      </c>
      <c r="N5240" s="60" t="e">
        <f>+SUMIFS(#REF!,#REF!,Planning[[#This Row],[Proyectos]],#REF!,Planning[[#This Row],[Tipo de Tarea y especialidad]])+SUMIFS(#REF!,#REF!,Planning[[#This Row],[Proyectos Reiwa]],#REF!,Planning[[#This Row],[Tipo de Tarea y especialidad]])</f>
        <v>#REF!</v>
      </c>
      <c r="O5240" s="19">
        <f t="shared" si="165"/>
        <v>10</v>
      </c>
      <c r="P5240" s="19">
        <f t="shared" si="166"/>
        <v>2024</v>
      </c>
      <c r="Q52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40" s="49" t="str">
        <f>TEXT(Planning[[#This Row],[Mes]]*29,"mmmm")</f>
        <v>October</v>
      </c>
      <c r="S524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40" s="152"/>
      <c r="U5240" s="43" t="e">
        <f>IF(Planning[[#This Row],[Horas Planificadas]]&lt;&gt;0,+K5240/Planning[[#This Row],[Horas Planificadas]],0)</f>
        <v>#REF!</v>
      </c>
      <c r="V5240" s="43" t="e">
        <f>IF(Planning[[#This Row],[Horas Planificadas]]&lt;&gt;0,Planning[[#This Row],[Horas utilizadas]]/Planning[[#This Row],[Horas Planificadas]],0)</f>
        <v>#REF!</v>
      </c>
      <c r="W5240" s="44">
        <f>Planning[[#This Row],[Horas Planificadas]]+Planning[[#This Row],[Horas ajustadas adicionales]]</f>
        <v>488</v>
      </c>
    </row>
    <row r="5241" spans="1:23" ht="13.35" customHeight="1" x14ac:dyDescent="0.2">
      <c r="A5241" s="9" t="s">
        <v>204</v>
      </c>
      <c r="B5241" s="9" t="s">
        <v>904</v>
      </c>
      <c r="C5241" s="120">
        <v>117204</v>
      </c>
      <c r="D5241" s="3" t="s">
        <v>905</v>
      </c>
      <c r="E5241" s="4"/>
      <c r="F5241" s="3" t="s">
        <v>124</v>
      </c>
      <c r="G5241" s="9"/>
      <c r="H5241" s="9">
        <v>63</v>
      </c>
      <c r="I5241" s="12">
        <v>0</v>
      </c>
      <c r="J5241" s="5" t="e">
        <f>SUM(SUMIFS(#REF!,#REF!,Planning[[#This Row],[Tipo de Tarea y especialidad]],#REF!,Planning[[#This Row],[Proyectos Reiwa]]),SUMIFS(#REF!,#REF!,Planning[[#This Row],[Tipo de Tarea y especialidad]],#REF!,Planning[[#This Row],[Proyectos]]))</f>
        <v>#REF!</v>
      </c>
      <c r="K5241" s="5" t="e">
        <f>+Planning[[#This Row],[Horas Planificadas]]+Planning[[#This Row],[Horas ajustadas adicionales]]-Planning[[#This Row],[Horas utilizadas]]</f>
        <v>#REF!</v>
      </c>
      <c r="L5241" s="7">
        <v>0</v>
      </c>
      <c r="M5241" s="19" t="e">
        <f>Planning[[#This Row],[Saldo]]-Planning[[#This Row],[Saldo estimado]]</f>
        <v>#REF!</v>
      </c>
      <c r="N5241" s="60" t="e">
        <f>+SUMIFS(#REF!,#REF!,Planning[[#This Row],[Proyectos]],#REF!,Planning[[#This Row],[Tipo de Tarea y especialidad]])+SUMIFS(#REF!,#REF!,Planning[[#This Row],[Proyectos Reiwa]],#REF!,Planning[[#This Row],[Tipo de Tarea y especialidad]])</f>
        <v>#REF!</v>
      </c>
      <c r="O5241" s="19">
        <f t="shared" si="165"/>
        <v>10</v>
      </c>
      <c r="P5241" s="19">
        <f t="shared" si="166"/>
        <v>2024</v>
      </c>
      <c r="Q52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41" s="49" t="str">
        <f>TEXT(Planning[[#This Row],[Mes]]*29,"mmmm")</f>
        <v>October</v>
      </c>
      <c r="S524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41" s="152"/>
      <c r="U5241" s="43" t="e">
        <f>IF(Planning[[#This Row],[Horas Planificadas]]&lt;&gt;0,+K5241/Planning[[#This Row],[Horas Planificadas]],0)</f>
        <v>#REF!</v>
      </c>
      <c r="V5241" s="43" t="e">
        <f>IF(Planning[[#This Row],[Horas Planificadas]]&lt;&gt;0,Planning[[#This Row],[Horas utilizadas]]/Planning[[#This Row],[Horas Planificadas]],0)</f>
        <v>#REF!</v>
      </c>
      <c r="W5241" s="44">
        <f>Planning[[#This Row],[Horas Planificadas]]+Planning[[#This Row],[Horas ajustadas adicionales]]</f>
        <v>63</v>
      </c>
    </row>
    <row r="5242" spans="1:23" ht="13.35" customHeight="1" x14ac:dyDescent="0.2">
      <c r="A5242" s="9" t="s">
        <v>204</v>
      </c>
      <c r="B5242" s="9" t="s">
        <v>904</v>
      </c>
      <c r="C5242" s="120">
        <v>117204</v>
      </c>
      <c r="D5242" s="3" t="s">
        <v>905</v>
      </c>
      <c r="E5242" s="4"/>
      <c r="F5242" s="3" t="s">
        <v>125</v>
      </c>
      <c r="G5242" s="9"/>
      <c r="H5242" s="9">
        <v>216</v>
      </c>
      <c r="I5242" s="12">
        <v>72</v>
      </c>
      <c r="J5242" s="5" t="e">
        <f>SUM(SUMIFS(#REF!,#REF!,Planning[[#This Row],[Tipo de Tarea y especialidad]],#REF!,Planning[[#This Row],[Proyectos Reiwa]]),SUMIFS(#REF!,#REF!,Planning[[#This Row],[Tipo de Tarea y especialidad]],#REF!,Planning[[#This Row],[Proyectos]]))</f>
        <v>#REF!</v>
      </c>
      <c r="K5242" s="5" t="e">
        <f>+Planning[[#This Row],[Horas Planificadas]]+Planning[[#This Row],[Horas ajustadas adicionales]]-Planning[[#This Row],[Horas utilizadas]]</f>
        <v>#REF!</v>
      </c>
      <c r="L5242" s="7" t="e">
        <f>Planning[[#This Row],[Saldo]]</f>
        <v>#REF!</v>
      </c>
      <c r="M5242" s="19" t="e">
        <f>Planning[[#This Row],[Saldo]]-Planning[[#This Row],[Saldo estimado]]</f>
        <v>#REF!</v>
      </c>
      <c r="N5242" s="60" t="e">
        <f>+SUMIFS(#REF!,#REF!,Planning[[#This Row],[Proyectos]],#REF!,Planning[[#This Row],[Tipo de Tarea y especialidad]])+SUMIFS(#REF!,#REF!,Planning[[#This Row],[Proyectos Reiwa]],#REF!,Planning[[#This Row],[Tipo de Tarea y especialidad]])</f>
        <v>#REF!</v>
      </c>
      <c r="O5242" s="19">
        <f t="shared" si="165"/>
        <v>10</v>
      </c>
      <c r="P5242" s="19">
        <f t="shared" si="166"/>
        <v>2024</v>
      </c>
      <c r="Q52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42" s="49" t="str">
        <f>TEXT(Planning[[#This Row],[Mes]]*29,"mmmm")</f>
        <v>October</v>
      </c>
      <c r="S524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42" s="152"/>
      <c r="U5242" s="43" t="e">
        <f>IF(Planning[[#This Row],[Horas Planificadas]]&lt;&gt;0,+K5242/Planning[[#This Row],[Horas Planificadas]],0)</f>
        <v>#REF!</v>
      </c>
      <c r="V5242" s="43" t="e">
        <f>IF(Planning[[#This Row],[Horas Planificadas]]&lt;&gt;0,Planning[[#This Row],[Horas utilizadas]]/Planning[[#This Row],[Horas Planificadas]],0)</f>
        <v>#REF!</v>
      </c>
      <c r="W5242" s="44">
        <f>Planning[[#This Row],[Horas Planificadas]]+Planning[[#This Row],[Horas ajustadas adicionales]]</f>
        <v>288</v>
      </c>
    </row>
    <row r="5243" spans="1:23" ht="13.35" customHeight="1" x14ac:dyDescent="0.2">
      <c r="A5243" s="9" t="s">
        <v>204</v>
      </c>
      <c r="B5243" s="9" t="s">
        <v>904</v>
      </c>
      <c r="C5243" s="120">
        <v>117204</v>
      </c>
      <c r="D5243" s="3" t="s">
        <v>905</v>
      </c>
      <c r="E5243" s="4"/>
      <c r="F5243" s="3" t="s">
        <v>126</v>
      </c>
      <c r="G5243" s="9"/>
      <c r="H5243" s="9">
        <v>278</v>
      </c>
      <c r="I5243" s="12">
        <v>27</v>
      </c>
      <c r="J5243" s="5" t="e">
        <f>SUM(SUMIFS(#REF!,#REF!,Planning[[#This Row],[Tipo de Tarea y especialidad]],#REF!,Planning[[#This Row],[Proyectos Reiwa]]),SUMIFS(#REF!,#REF!,Planning[[#This Row],[Tipo de Tarea y especialidad]],#REF!,Planning[[#This Row],[Proyectos]]))</f>
        <v>#REF!</v>
      </c>
      <c r="K5243" s="5" t="e">
        <f>+Planning[[#This Row],[Horas Planificadas]]+Planning[[#This Row],[Horas ajustadas adicionales]]-Planning[[#This Row],[Horas utilizadas]]</f>
        <v>#REF!</v>
      </c>
      <c r="L5243" s="7" t="e">
        <f>Planning[[#This Row],[Saldo]]</f>
        <v>#REF!</v>
      </c>
      <c r="M5243" s="19" t="e">
        <f>Planning[[#This Row],[Saldo]]-Planning[[#This Row],[Saldo estimado]]</f>
        <v>#REF!</v>
      </c>
      <c r="N5243" s="60" t="e">
        <f>+SUMIFS(#REF!,#REF!,Planning[[#This Row],[Proyectos]],#REF!,Planning[[#This Row],[Tipo de Tarea y especialidad]])+SUMIFS(#REF!,#REF!,Planning[[#This Row],[Proyectos Reiwa]],#REF!,Planning[[#This Row],[Tipo de Tarea y especialidad]])</f>
        <v>#REF!</v>
      </c>
      <c r="O5243" s="19">
        <f t="shared" si="165"/>
        <v>10</v>
      </c>
      <c r="P5243" s="19">
        <f t="shared" si="166"/>
        <v>2024</v>
      </c>
      <c r="Q52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43" s="49" t="str">
        <f>TEXT(Planning[[#This Row],[Mes]]*29,"mmmm")</f>
        <v>October</v>
      </c>
      <c r="S524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43" s="152"/>
      <c r="U5243" s="43" t="e">
        <f>IF(Planning[[#This Row],[Horas Planificadas]]&lt;&gt;0,+K5243/Planning[[#This Row],[Horas Planificadas]],0)</f>
        <v>#REF!</v>
      </c>
      <c r="V5243" s="43" t="e">
        <f>IF(Planning[[#This Row],[Horas Planificadas]]&lt;&gt;0,Planning[[#This Row],[Horas utilizadas]]/Planning[[#This Row],[Horas Planificadas]],0)</f>
        <v>#REF!</v>
      </c>
      <c r="W5243" s="44">
        <f>Planning[[#This Row],[Horas Planificadas]]+Planning[[#This Row],[Horas ajustadas adicionales]]</f>
        <v>305</v>
      </c>
    </row>
    <row r="5244" spans="1:23" ht="13.35" customHeight="1" x14ac:dyDescent="0.2">
      <c r="A5244" s="9" t="s">
        <v>204</v>
      </c>
      <c r="B5244" s="9" t="s">
        <v>904</v>
      </c>
      <c r="C5244" s="120">
        <v>117204</v>
      </c>
      <c r="D5244" s="3" t="s">
        <v>905</v>
      </c>
      <c r="E5244" s="4"/>
      <c r="F5244" s="3" t="s">
        <v>127</v>
      </c>
      <c r="G5244" s="9"/>
      <c r="H5244" s="9">
        <v>189</v>
      </c>
      <c r="I5244" s="12">
        <v>18</v>
      </c>
      <c r="J5244" s="5" t="e">
        <f>SUM(SUMIFS(#REF!,#REF!,Planning[[#This Row],[Tipo de Tarea y especialidad]],#REF!,Planning[[#This Row],[Proyectos Reiwa]]),SUMIFS(#REF!,#REF!,Planning[[#This Row],[Tipo de Tarea y especialidad]],#REF!,Planning[[#This Row],[Proyectos]]))</f>
        <v>#REF!</v>
      </c>
      <c r="K5244" s="5" t="e">
        <f>+Planning[[#This Row],[Horas Planificadas]]+Planning[[#This Row],[Horas ajustadas adicionales]]-Planning[[#This Row],[Horas utilizadas]]</f>
        <v>#REF!</v>
      </c>
      <c r="L5244" s="7" t="e">
        <f>Planning[[#This Row],[Saldo]]</f>
        <v>#REF!</v>
      </c>
      <c r="M5244" s="19" t="e">
        <f>Planning[[#This Row],[Saldo]]-Planning[[#This Row],[Saldo estimado]]</f>
        <v>#REF!</v>
      </c>
      <c r="N5244" s="60" t="e">
        <f>+SUMIFS(#REF!,#REF!,Planning[[#This Row],[Proyectos]],#REF!,Planning[[#This Row],[Tipo de Tarea y especialidad]])+SUMIFS(#REF!,#REF!,Planning[[#This Row],[Proyectos Reiwa]],#REF!,Planning[[#This Row],[Tipo de Tarea y especialidad]])</f>
        <v>#REF!</v>
      </c>
      <c r="O5244" s="19">
        <f t="shared" si="165"/>
        <v>10</v>
      </c>
      <c r="P5244" s="19">
        <f t="shared" si="166"/>
        <v>2024</v>
      </c>
      <c r="Q52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44" s="49" t="str">
        <f>TEXT(Planning[[#This Row],[Mes]]*29,"mmmm")</f>
        <v>October</v>
      </c>
      <c r="S524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44" s="152"/>
      <c r="U5244" s="43" t="e">
        <f>IF(Planning[[#This Row],[Horas Planificadas]]&lt;&gt;0,+K5244/Planning[[#This Row],[Horas Planificadas]],0)</f>
        <v>#REF!</v>
      </c>
      <c r="V5244" s="43" t="e">
        <f>IF(Planning[[#This Row],[Horas Planificadas]]&lt;&gt;0,Planning[[#This Row],[Horas utilizadas]]/Planning[[#This Row],[Horas Planificadas]],0)</f>
        <v>#REF!</v>
      </c>
      <c r="W5244" s="44">
        <f>Planning[[#This Row],[Horas Planificadas]]+Planning[[#This Row],[Horas ajustadas adicionales]]</f>
        <v>207</v>
      </c>
    </row>
    <row r="5245" spans="1:23" ht="13.35" customHeight="1" x14ac:dyDescent="0.2">
      <c r="A5245" s="9" t="s">
        <v>204</v>
      </c>
      <c r="B5245" s="9" t="s">
        <v>904</v>
      </c>
      <c r="C5245" s="120">
        <v>117204</v>
      </c>
      <c r="D5245" s="3" t="s">
        <v>905</v>
      </c>
      <c r="E5245" s="4"/>
      <c r="F5245" s="3" t="s">
        <v>128</v>
      </c>
      <c r="G5245" s="9"/>
      <c r="H5245" s="9">
        <v>45</v>
      </c>
      <c r="I5245" s="12">
        <v>0</v>
      </c>
      <c r="J5245" s="5" t="e">
        <f>SUM(SUMIFS(#REF!,#REF!,Planning[[#This Row],[Tipo de Tarea y especialidad]],#REF!,Planning[[#This Row],[Proyectos Reiwa]]),SUMIFS(#REF!,#REF!,Planning[[#This Row],[Tipo de Tarea y especialidad]],#REF!,Planning[[#This Row],[Proyectos]]))</f>
        <v>#REF!</v>
      </c>
      <c r="K5245" s="5" t="e">
        <f>+Planning[[#This Row],[Horas Planificadas]]+Planning[[#This Row],[Horas ajustadas adicionales]]-Planning[[#This Row],[Horas utilizadas]]</f>
        <v>#REF!</v>
      </c>
      <c r="L5245" s="7">
        <v>45</v>
      </c>
      <c r="M5245" s="19" t="e">
        <f>Planning[[#This Row],[Saldo]]-Planning[[#This Row],[Saldo estimado]]</f>
        <v>#REF!</v>
      </c>
      <c r="N5245" s="60" t="e">
        <f>+SUMIFS(#REF!,#REF!,Planning[[#This Row],[Proyectos]],#REF!,Planning[[#This Row],[Tipo de Tarea y especialidad]])+SUMIFS(#REF!,#REF!,Planning[[#This Row],[Proyectos Reiwa]],#REF!,Planning[[#This Row],[Tipo de Tarea y especialidad]])</f>
        <v>#REF!</v>
      </c>
      <c r="O5245" s="19">
        <f t="shared" si="165"/>
        <v>10</v>
      </c>
      <c r="P5245" s="19">
        <f t="shared" si="166"/>
        <v>2024</v>
      </c>
      <c r="Q52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45" s="49" t="str">
        <f>TEXT(Planning[[#This Row],[Mes]]*29,"mmmm")</f>
        <v>October</v>
      </c>
      <c r="S524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45" s="152"/>
      <c r="U5245" s="43" t="e">
        <f>IF(Planning[[#This Row],[Horas Planificadas]]&lt;&gt;0,+K5245/Planning[[#This Row],[Horas Planificadas]],0)</f>
        <v>#REF!</v>
      </c>
      <c r="V5245" s="43" t="e">
        <f>IF(Planning[[#This Row],[Horas Planificadas]]&lt;&gt;0,Planning[[#This Row],[Horas utilizadas]]/Planning[[#This Row],[Horas Planificadas]],0)</f>
        <v>#REF!</v>
      </c>
      <c r="W5245" s="44">
        <f>Planning[[#This Row],[Horas Planificadas]]+Planning[[#This Row],[Horas ajustadas adicionales]]</f>
        <v>45</v>
      </c>
    </row>
    <row r="5246" spans="1:23" ht="13.35" customHeight="1" x14ac:dyDescent="0.2">
      <c r="A5246" s="9" t="s">
        <v>204</v>
      </c>
      <c r="B5246" s="9" t="s">
        <v>904</v>
      </c>
      <c r="C5246" s="120">
        <v>117204</v>
      </c>
      <c r="D5246" s="3" t="s">
        <v>905</v>
      </c>
      <c r="E5246" s="4" t="s">
        <v>31</v>
      </c>
      <c r="F5246" s="3" t="s">
        <v>31</v>
      </c>
      <c r="G5246" s="9">
        <v>150</v>
      </c>
      <c r="H5246" s="17">
        <v>150</v>
      </c>
      <c r="I5246" s="18">
        <v>63</v>
      </c>
      <c r="J5246" s="14" t="e">
        <f>+SUMIFS(#REF!,#REF!,Planning[[#This Row],[Tarifa]],#REF!,Planning[[#This Row],[Proyectos]])</f>
        <v>#REF!</v>
      </c>
      <c r="K5246" s="14" t="e">
        <f>+Planning[[#This Row],[Horas Planificadas]]+Planning[[#This Row],[Horas ajustadas adicionales]]-Planning[[#This Row],[Horas utilizadas]]</f>
        <v>#REF!</v>
      </c>
      <c r="L5246" s="15" t="e">
        <f>Planning[[#This Row],[Saldo]]</f>
        <v>#REF!</v>
      </c>
      <c r="M5246" s="16" t="e">
        <f>Planning[[#This Row],[Saldo]]-Planning[[#This Row],[Saldo estimado]]</f>
        <v>#REF!</v>
      </c>
      <c r="N5246" s="60" t="e">
        <f>+SUMIFS(#REF!,#REF!,Planning[[#This Row],[Proyectos]],#REF!,Planning[[#This Row],[Tipo de Tarea y especialidad]])+SUMIFS(#REF!,#REF!,Planning[[#This Row],[Proyectos Reiwa]],#REF!,Planning[[#This Row],[Tipo de Tarea y especialidad]])</f>
        <v>#REF!</v>
      </c>
      <c r="O5246" s="16">
        <f t="shared" si="165"/>
        <v>10</v>
      </c>
      <c r="P5246" s="16">
        <f t="shared" si="166"/>
        <v>2024</v>
      </c>
      <c r="Q5246" s="16" t="e">
        <f>+SUMIFS(#REF!,#REF!,Planning[[#This Row],[Tarifa]],#REF!,Planning[[#This Row],[Proyectos]],#REF!,Planning[[#This Row],[Mes]],#REF!,Planning[[#This Row],[Año]])</f>
        <v>#REF!</v>
      </c>
      <c r="R5246" s="50" t="str">
        <f>TEXT(Planning[[#This Row],[Mes]]*29,"mmmm")</f>
        <v>October</v>
      </c>
      <c r="S524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46" s="152"/>
      <c r="U5246" s="43" t="e">
        <f>IF(Planning[[#This Row],[Horas Planificadas]]&lt;&gt;0,+K5246/Planning[[#This Row],[Horas Planificadas]],0)</f>
        <v>#REF!</v>
      </c>
      <c r="V5246" s="43" t="e">
        <f>IF(Planning[[#This Row],[Horas Planificadas]]&lt;&gt;0,Planning[[#This Row],[Horas utilizadas]]/Planning[[#This Row],[Horas Planificadas]],0)</f>
        <v>#REF!</v>
      </c>
      <c r="W5246" s="44">
        <f>Planning[[#This Row],[Horas Planificadas]]+Planning[[#This Row],[Horas ajustadas adicionales]]</f>
        <v>213</v>
      </c>
    </row>
    <row r="5247" spans="1:23" ht="13.35" customHeight="1" x14ac:dyDescent="0.2">
      <c r="A5247" s="9" t="s">
        <v>204</v>
      </c>
      <c r="B5247" s="9" t="s">
        <v>904</v>
      </c>
      <c r="C5247" s="120">
        <v>117204</v>
      </c>
      <c r="D5247" s="3" t="s">
        <v>905</v>
      </c>
      <c r="E5247" s="4" t="s">
        <v>32</v>
      </c>
      <c r="F5247" s="3"/>
      <c r="G5247" s="9">
        <v>1020</v>
      </c>
      <c r="H5247" s="14">
        <f>SUM(H5248:H5250)</f>
        <v>1020</v>
      </c>
      <c r="I5247" s="14"/>
      <c r="J5247" s="14" t="e">
        <f>SUM(J5248:J5250)</f>
        <v>#REF!</v>
      </c>
      <c r="K5247" s="14" t="e">
        <f>+Planning[[#This Row],[Horas Planificadas]]+Planning[[#This Row],[Horas ajustadas adicionales]]-Planning[[#This Row],[Horas utilizadas]]</f>
        <v>#REF!</v>
      </c>
      <c r="L5247" s="15" t="e">
        <f>SUM(L5248:L5250)</f>
        <v>#REF!</v>
      </c>
      <c r="M5247" s="16" t="e">
        <f>SUM(M5248:M5250)</f>
        <v>#REF!</v>
      </c>
      <c r="N5247" s="60" t="e">
        <f>+SUMIFS(#REF!,#REF!,Planning[[#This Row],[Proyectos]],#REF!,Planning[[#This Row],[Tipo de Tarea y especialidad]])+SUMIFS(#REF!,#REF!,Planning[[#This Row],[Proyectos Reiwa]],#REF!,Planning[[#This Row],[Tipo de Tarea y especialidad]])</f>
        <v>#REF!</v>
      </c>
      <c r="O5247" s="16">
        <f t="shared" si="165"/>
        <v>10</v>
      </c>
      <c r="P5247" s="16">
        <f t="shared" si="166"/>
        <v>2024</v>
      </c>
      <c r="Q5247" s="16" t="e">
        <f>SUM(Q5248:Q5250)</f>
        <v>#REF!</v>
      </c>
      <c r="R5247" s="50" t="str">
        <f>TEXT(Planning[[#This Row],[Mes]]*29,"mmmm")</f>
        <v>October</v>
      </c>
      <c r="S524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47" s="152"/>
      <c r="U5247" s="43" t="e">
        <f>IF(Planning[[#This Row],[Horas Planificadas]]&lt;&gt;0,+K5247/Planning[[#This Row],[Horas Planificadas]],0)</f>
        <v>#REF!</v>
      </c>
      <c r="V5247" s="43" t="e">
        <f>IF(Planning[[#This Row],[Horas Planificadas]]&lt;&gt;0,Planning[[#This Row],[Horas utilizadas]]/Planning[[#This Row],[Horas Planificadas]],0)</f>
        <v>#REF!</v>
      </c>
      <c r="W5247" s="44">
        <f>Planning[[#This Row],[Horas Planificadas]]+Planning[[#This Row],[Horas ajustadas adicionales]]</f>
        <v>1020</v>
      </c>
    </row>
    <row r="5248" spans="1:23" ht="13.35" customHeight="1" x14ac:dyDescent="0.2">
      <c r="A5248" s="9" t="s">
        <v>204</v>
      </c>
      <c r="B5248" s="9" t="s">
        <v>904</v>
      </c>
      <c r="C5248" s="120">
        <v>117204</v>
      </c>
      <c r="D5248" s="3" t="s">
        <v>905</v>
      </c>
      <c r="E5248" s="4"/>
      <c r="F5248" s="3" t="s">
        <v>129</v>
      </c>
      <c r="G5248" s="9"/>
      <c r="H5248" s="9">
        <v>450</v>
      </c>
      <c r="I5248" s="12">
        <v>-120</v>
      </c>
      <c r="J5248" s="5" t="e">
        <f>SUM(SUMIFS(#REF!,#REF!,Planning[[#This Row],[Tipo de Tarea y especialidad]],#REF!,Planning[[#This Row],[Proyectos Reiwa]]),SUMIFS(#REF!,#REF!,Planning[[#This Row],[Tipo de Tarea y especialidad]],#REF!,Planning[[#This Row],[Proyectos]]))</f>
        <v>#REF!</v>
      </c>
      <c r="K5248" s="5" t="e">
        <f>+Planning[[#This Row],[Horas Planificadas]]+Planning[[#This Row],[Horas ajustadas adicionales]]-Planning[[#This Row],[Horas utilizadas]]</f>
        <v>#REF!</v>
      </c>
      <c r="L5248" s="7" t="e">
        <f>Planning[[#This Row],[Saldo]]</f>
        <v>#REF!</v>
      </c>
      <c r="M5248" s="19" t="e">
        <f>Planning[[#This Row],[Saldo]]-Planning[[#This Row],[Saldo estimado]]</f>
        <v>#REF!</v>
      </c>
      <c r="N5248" s="60" t="e">
        <f>+SUMIFS(#REF!,#REF!,Planning[[#This Row],[Proyectos]],#REF!,Planning[[#This Row],[Tipo de Tarea y especialidad]])+SUMIFS(#REF!,#REF!,Planning[[#This Row],[Proyectos Reiwa]],#REF!,Planning[[#This Row],[Tipo de Tarea y especialidad]])</f>
        <v>#REF!</v>
      </c>
      <c r="O5248" s="19">
        <f t="shared" si="165"/>
        <v>10</v>
      </c>
      <c r="P5248" s="19">
        <f t="shared" si="166"/>
        <v>2024</v>
      </c>
      <c r="Q52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48" s="49" t="str">
        <f>TEXT(Planning[[#This Row],[Mes]]*29,"mmmm")</f>
        <v>October</v>
      </c>
      <c r="S524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48" s="152"/>
      <c r="U5248" s="43" t="e">
        <f>IF(Planning[[#This Row],[Horas Planificadas]]&lt;&gt;0,+K5248/Planning[[#This Row],[Horas Planificadas]],0)</f>
        <v>#REF!</v>
      </c>
      <c r="V5248" s="43" t="e">
        <f>IF(Planning[[#This Row],[Horas Planificadas]]&lt;&gt;0,Planning[[#This Row],[Horas utilizadas]]/Planning[[#This Row],[Horas Planificadas]],0)</f>
        <v>#REF!</v>
      </c>
      <c r="W5248" s="44">
        <f>Planning[[#This Row],[Horas Planificadas]]+Planning[[#This Row],[Horas ajustadas adicionales]]</f>
        <v>330</v>
      </c>
    </row>
    <row r="5249" spans="1:23" ht="13.35" customHeight="1" x14ac:dyDescent="0.2">
      <c r="A5249" s="9" t="s">
        <v>204</v>
      </c>
      <c r="B5249" s="9" t="s">
        <v>904</v>
      </c>
      <c r="C5249" s="120">
        <v>117204</v>
      </c>
      <c r="D5249" s="3" t="s">
        <v>905</v>
      </c>
      <c r="E5249" s="4"/>
      <c r="F5249" s="3" t="s">
        <v>130</v>
      </c>
      <c r="G5249" s="9"/>
      <c r="H5249" s="9">
        <v>370</v>
      </c>
      <c r="I5249" s="12">
        <v>-40</v>
      </c>
      <c r="J5249" s="5" t="e">
        <f>SUM(SUMIFS(#REF!,#REF!,Planning[[#This Row],[Tipo de Tarea y especialidad]],#REF!,Planning[[#This Row],[Proyectos Reiwa]]),SUMIFS(#REF!,#REF!,Planning[[#This Row],[Tipo de Tarea y especialidad]],#REF!,Planning[[#This Row],[Proyectos]]))</f>
        <v>#REF!</v>
      </c>
      <c r="K5249" s="5" t="e">
        <f>+Planning[[#This Row],[Horas Planificadas]]+Planning[[#This Row],[Horas ajustadas adicionales]]-Planning[[#This Row],[Horas utilizadas]]</f>
        <v>#REF!</v>
      </c>
      <c r="L5249" s="7" t="e">
        <f>Planning[[#This Row],[Saldo]]</f>
        <v>#REF!</v>
      </c>
      <c r="M5249" s="19" t="e">
        <f>Planning[[#This Row],[Saldo]]-Planning[[#This Row],[Saldo estimado]]</f>
        <v>#REF!</v>
      </c>
      <c r="N5249" s="60" t="e">
        <f>+SUMIFS(#REF!,#REF!,Planning[[#This Row],[Proyectos]],#REF!,Planning[[#This Row],[Tipo de Tarea y especialidad]])+SUMIFS(#REF!,#REF!,Planning[[#This Row],[Proyectos Reiwa]],#REF!,Planning[[#This Row],[Tipo de Tarea y especialidad]])</f>
        <v>#REF!</v>
      </c>
      <c r="O5249" s="19">
        <f t="shared" si="165"/>
        <v>10</v>
      </c>
      <c r="P5249" s="19">
        <f t="shared" si="166"/>
        <v>2024</v>
      </c>
      <c r="Q52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49" s="49" t="str">
        <f>TEXT(Planning[[#This Row],[Mes]]*29,"mmmm")</f>
        <v>October</v>
      </c>
      <c r="S524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49" s="152"/>
      <c r="U5249" s="43" t="e">
        <f>IF(Planning[[#This Row],[Horas Planificadas]]&lt;&gt;0,+K5249/Planning[[#This Row],[Horas Planificadas]],0)</f>
        <v>#REF!</v>
      </c>
      <c r="V5249" s="43" t="e">
        <f>IF(Planning[[#This Row],[Horas Planificadas]]&lt;&gt;0,Planning[[#This Row],[Horas utilizadas]]/Planning[[#This Row],[Horas Planificadas]],0)</f>
        <v>#REF!</v>
      </c>
      <c r="W5249" s="44">
        <f>Planning[[#This Row],[Horas Planificadas]]+Planning[[#This Row],[Horas ajustadas adicionales]]</f>
        <v>330</v>
      </c>
    </row>
    <row r="5250" spans="1:23" ht="13.35" customHeight="1" x14ac:dyDescent="0.2">
      <c r="A5250" s="9" t="s">
        <v>204</v>
      </c>
      <c r="B5250" s="9" t="s">
        <v>904</v>
      </c>
      <c r="C5250" s="120">
        <v>117204</v>
      </c>
      <c r="D5250" s="3" t="s">
        <v>905</v>
      </c>
      <c r="E5250" s="4"/>
      <c r="F5250" s="3" t="s">
        <v>131</v>
      </c>
      <c r="G5250" s="9"/>
      <c r="H5250" s="9">
        <v>200</v>
      </c>
      <c r="I5250" s="12">
        <v>0</v>
      </c>
      <c r="J5250" s="5" t="e">
        <f>SUM(SUMIFS(#REF!,#REF!,Planning[[#This Row],[Tipo de Tarea y especialidad]],#REF!,Planning[[#This Row],[Proyectos Reiwa]]),SUMIFS(#REF!,#REF!,Planning[[#This Row],[Tipo de Tarea y especialidad]],#REF!,Planning[[#This Row],[Proyectos]]))</f>
        <v>#REF!</v>
      </c>
      <c r="K5250" s="5" t="e">
        <f>+Planning[[#This Row],[Horas Planificadas]]+Planning[[#This Row],[Horas ajustadas adicionales]]-Planning[[#This Row],[Horas utilizadas]]</f>
        <v>#REF!</v>
      </c>
      <c r="L5250" s="7">
        <v>200</v>
      </c>
      <c r="M5250" s="19" t="e">
        <f>Planning[[#This Row],[Saldo]]-Planning[[#This Row],[Saldo estimado]]</f>
        <v>#REF!</v>
      </c>
      <c r="N5250" s="60" t="e">
        <f>+SUMIFS(#REF!,#REF!,Planning[[#This Row],[Proyectos]],#REF!,Planning[[#This Row],[Tipo de Tarea y especialidad]])+SUMIFS(#REF!,#REF!,Planning[[#This Row],[Proyectos Reiwa]],#REF!,Planning[[#This Row],[Tipo de Tarea y especialidad]])</f>
        <v>#REF!</v>
      </c>
      <c r="O5250" s="19">
        <f t="shared" si="165"/>
        <v>10</v>
      </c>
      <c r="P5250" s="19">
        <f t="shared" si="166"/>
        <v>2024</v>
      </c>
      <c r="Q52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50" s="51" t="str">
        <f>TEXT(Planning[[#This Row],[Mes]]*29,"mmmm")</f>
        <v>October</v>
      </c>
      <c r="S5250"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50" s="153"/>
      <c r="U5250" s="43" t="e">
        <f>IF(Planning[[#This Row],[Horas Planificadas]]&lt;&gt;0,+K5250/Planning[[#This Row],[Horas Planificadas]],0)</f>
        <v>#REF!</v>
      </c>
      <c r="V5250" s="43" t="e">
        <f>IF(Planning[[#This Row],[Horas Planificadas]]&lt;&gt;0,Planning[[#This Row],[Horas utilizadas]]/Planning[[#This Row],[Horas Planificadas]],0)</f>
        <v>#REF!</v>
      </c>
      <c r="W5250" s="44">
        <f>Planning[[#This Row],[Horas Planificadas]]+Planning[[#This Row],[Horas ajustadas adicionales]]</f>
        <v>200</v>
      </c>
    </row>
    <row r="5251" spans="1:23" ht="13.35" customHeight="1" x14ac:dyDescent="0.2">
      <c r="A5251" s="9" t="s">
        <v>626</v>
      </c>
      <c r="B5251" s="9" t="s">
        <v>582</v>
      </c>
      <c r="C5251" s="129">
        <v>117025</v>
      </c>
      <c r="D5251" s="3" t="s">
        <v>907</v>
      </c>
      <c r="E5251" s="4" t="s">
        <v>28</v>
      </c>
      <c r="F5251" s="3"/>
      <c r="G5251" s="9">
        <v>207</v>
      </c>
      <c r="H5251" s="14">
        <f>SUM(H5252:H5253)</f>
        <v>207</v>
      </c>
      <c r="I5251" s="14"/>
      <c r="J5251" s="14" t="e">
        <f>SUM(J5252:J5253)</f>
        <v>#REF!</v>
      </c>
      <c r="K5251" s="14" t="e">
        <f>+Planning[[#This Row],[Horas Planificadas]]+Planning[[#This Row],[Horas ajustadas adicionales]]-Planning[[#This Row],[Horas utilizadas]]</f>
        <v>#REF!</v>
      </c>
      <c r="L5251" s="15">
        <f>SUM(L5252:L5253)</f>
        <v>9</v>
      </c>
      <c r="M5251" s="14" t="e">
        <f>SUM(M5252:M5253)</f>
        <v>#REF!</v>
      </c>
      <c r="N5251" s="60" t="e">
        <f>+SUMIFS(#REF!,#REF!,Planning[[#This Row],[Proyectos]],#REF!,Planning[[#This Row],[Tipo de Tarea y especialidad]])+SUMIFS(#REF!,#REF!,Planning[[#This Row],[Proyectos Reiwa]],#REF!,Planning[[#This Row],[Tipo de Tarea y especialidad]])</f>
        <v>#REF!</v>
      </c>
      <c r="O5251" s="14">
        <f t="shared" si="165"/>
        <v>10</v>
      </c>
      <c r="P5251" s="14">
        <f t="shared" si="166"/>
        <v>2024</v>
      </c>
      <c r="Q5251" s="28" t="e">
        <f>SUM(Q5252:Q5253)</f>
        <v>#REF!</v>
      </c>
      <c r="R5251" s="24" t="str">
        <f>TEXT(Planning[[#This Row],[Mes]]*29,"mmmm")</f>
        <v>October</v>
      </c>
      <c r="S5251"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51" s="151" t="s">
        <v>908</v>
      </c>
      <c r="U5251" s="43" t="e">
        <f>IF(Planning[[#This Row],[Horas Planificadas]]&lt;&gt;0,+K5251/Planning[[#This Row],[Horas Planificadas]],0)</f>
        <v>#REF!</v>
      </c>
      <c r="V5251" s="43" t="e">
        <f>IF(Planning[[#This Row],[Horas Planificadas]]&lt;&gt;0,Planning[[#This Row],[Horas utilizadas]]/Planning[[#This Row],[Horas Planificadas]],0)</f>
        <v>#REF!</v>
      </c>
      <c r="W5251" s="44">
        <f>Planning[[#This Row],[Horas Planificadas]]+Planning[[#This Row],[Horas ajustadas adicionales]]</f>
        <v>207</v>
      </c>
    </row>
    <row r="5252" spans="1:23" ht="13.35" customHeight="1" x14ac:dyDescent="0.2">
      <c r="A5252" s="9" t="s">
        <v>626</v>
      </c>
      <c r="B5252" s="9" t="s">
        <v>582</v>
      </c>
      <c r="C5252" s="128">
        <v>117025</v>
      </c>
      <c r="D5252" s="3" t="s">
        <v>907</v>
      </c>
      <c r="E5252" s="4"/>
      <c r="F5252" s="3" t="s">
        <v>120</v>
      </c>
      <c r="G5252" s="9"/>
      <c r="H5252" s="9">
        <v>135</v>
      </c>
      <c r="I5252" s="12"/>
      <c r="J5252" s="5" t="e">
        <f>SUM(SUMIFS(#REF!,#REF!,Planning[[#This Row],[Tipo de Tarea y especialidad]],#REF!,Planning[[#This Row],[Proyectos Reiwa]]),SUMIFS(#REF!,#REF!,Planning[[#This Row],[Tipo de Tarea y especialidad]],#REF!,Planning[[#This Row],[Proyectos]]))</f>
        <v>#REF!</v>
      </c>
      <c r="K5252" s="5" t="e">
        <f>+Planning[[#This Row],[Horas Planificadas]]+Planning[[#This Row],[Horas ajustadas adicionales]]-Planning[[#This Row],[Horas utilizadas]]</f>
        <v>#REF!</v>
      </c>
      <c r="L5252" s="7">
        <v>0</v>
      </c>
      <c r="M5252" s="19" t="e">
        <f>Planning[[#This Row],[Saldo]]-Planning[[#This Row],[Saldo estimado]]</f>
        <v>#REF!</v>
      </c>
      <c r="N5252" s="60" t="e">
        <f>+SUMIFS(#REF!,#REF!,Planning[[#This Row],[Proyectos]],#REF!,Planning[[#This Row],[Tipo de Tarea y especialidad]])+SUMIFS(#REF!,#REF!,Planning[[#This Row],[Proyectos Reiwa]],#REF!,Planning[[#This Row],[Tipo de Tarea y especialidad]])</f>
        <v>#REF!</v>
      </c>
      <c r="O5252" s="19">
        <f t="shared" si="165"/>
        <v>10</v>
      </c>
      <c r="P5252" s="19">
        <f t="shared" si="166"/>
        <v>2024</v>
      </c>
      <c r="Q52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52" s="49" t="str">
        <f>TEXT(Planning[[#This Row],[Mes]]*29,"mmmm")</f>
        <v>October</v>
      </c>
      <c r="S525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52" s="152"/>
      <c r="U5252" s="43" t="e">
        <f>IF(Planning[[#This Row],[Horas Planificadas]]&lt;&gt;0,+K5252/Planning[[#This Row],[Horas Planificadas]],0)</f>
        <v>#REF!</v>
      </c>
      <c r="V5252" s="43" t="e">
        <f>IF(Planning[[#This Row],[Horas Planificadas]]&lt;&gt;0,Planning[[#This Row],[Horas utilizadas]]/Planning[[#This Row],[Horas Planificadas]],0)</f>
        <v>#REF!</v>
      </c>
      <c r="W5252" s="44">
        <f>Planning[[#This Row],[Horas Planificadas]]+Planning[[#This Row],[Horas ajustadas adicionales]]</f>
        <v>135</v>
      </c>
    </row>
    <row r="5253" spans="1:23" ht="13.35" customHeight="1" x14ac:dyDescent="0.2">
      <c r="A5253" s="9" t="s">
        <v>626</v>
      </c>
      <c r="B5253" s="9" t="s">
        <v>582</v>
      </c>
      <c r="C5253" s="129">
        <v>117025</v>
      </c>
      <c r="D5253" s="3" t="s">
        <v>907</v>
      </c>
      <c r="E5253" s="4"/>
      <c r="F5253" s="3" t="s">
        <v>121</v>
      </c>
      <c r="G5253" s="9"/>
      <c r="H5253" s="9">
        <v>72</v>
      </c>
      <c r="I5253" s="12"/>
      <c r="J5253" s="5" t="e">
        <f>SUM(SUMIFS(#REF!,#REF!,Planning[[#This Row],[Tipo de Tarea y especialidad]],#REF!,Planning[[#This Row],[Proyectos Reiwa]]),SUMIFS(#REF!,#REF!,Planning[[#This Row],[Tipo de Tarea y especialidad]],#REF!,Planning[[#This Row],[Proyectos]]))</f>
        <v>#REF!</v>
      </c>
      <c r="K5253" s="5" t="e">
        <f>+Planning[[#This Row],[Horas Planificadas]]+Planning[[#This Row],[Horas ajustadas adicionales]]-Planning[[#This Row],[Horas utilizadas]]</f>
        <v>#REF!</v>
      </c>
      <c r="L5253" s="7">
        <v>9</v>
      </c>
      <c r="M5253" s="19" t="e">
        <f>Planning[[#This Row],[Saldo]]-Planning[[#This Row],[Saldo estimado]]</f>
        <v>#REF!</v>
      </c>
      <c r="N5253" s="60" t="e">
        <f>+SUMIFS(#REF!,#REF!,Planning[[#This Row],[Proyectos]],#REF!,Planning[[#This Row],[Tipo de Tarea y especialidad]])+SUMIFS(#REF!,#REF!,Planning[[#This Row],[Proyectos Reiwa]],#REF!,Planning[[#This Row],[Tipo de Tarea y especialidad]])</f>
        <v>#REF!</v>
      </c>
      <c r="O5253" s="19">
        <f t="shared" si="165"/>
        <v>10</v>
      </c>
      <c r="P5253" s="19">
        <f t="shared" si="166"/>
        <v>2024</v>
      </c>
      <c r="Q52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53" s="49" t="str">
        <f>TEXT(Planning[[#This Row],[Mes]]*29,"mmmm")</f>
        <v>October</v>
      </c>
      <c r="S525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53" s="152"/>
      <c r="U5253" s="43" t="e">
        <f>IF(Planning[[#This Row],[Horas Planificadas]]&lt;&gt;0,+K5253/Planning[[#This Row],[Horas Planificadas]],0)</f>
        <v>#REF!</v>
      </c>
      <c r="V5253" s="43" t="e">
        <f>IF(Planning[[#This Row],[Horas Planificadas]]&lt;&gt;0,Planning[[#This Row],[Horas utilizadas]]/Planning[[#This Row],[Horas Planificadas]],0)</f>
        <v>#REF!</v>
      </c>
      <c r="W5253" s="44">
        <f>Planning[[#This Row],[Horas Planificadas]]+Planning[[#This Row],[Horas ajustadas adicionales]]</f>
        <v>72</v>
      </c>
    </row>
    <row r="5254" spans="1:23" ht="13.35" customHeight="1" x14ac:dyDescent="0.2">
      <c r="A5254" s="9" t="s">
        <v>626</v>
      </c>
      <c r="B5254" s="9" t="s">
        <v>582</v>
      </c>
      <c r="C5254" s="128">
        <v>117025</v>
      </c>
      <c r="D5254" s="3" t="s">
        <v>907</v>
      </c>
      <c r="E5254" s="4" t="s">
        <v>30</v>
      </c>
      <c r="F5254" s="3"/>
      <c r="G5254" s="9">
        <v>177</v>
      </c>
      <c r="H5254" s="14">
        <f>SUM(H5255:H5261)</f>
        <v>177</v>
      </c>
      <c r="I5254" s="14"/>
      <c r="J5254" s="14" t="e">
        <f>SUM(J5255:J5261)</f>
        <v>#REF!</v>
      </c>
      <c r="K5254" s="14" t="e">
        <f>+Planning[[#This Row],[Horas Planificadas]]+Planning[[#This Row],[Horas ajustadas adicionales]]-Planning[[#This Row],[Horas utilizadas]]</f>
        <v>#REF!</v>
      </c>
      <c r="L5254" s="15">
        <f>SUM(L5255:L5261)</f>
        <v>0</v>
      </c>
      <c r="M5254" s="16" t="e">
        <f>SUM(M5255:M5261)</f>
        <v>#REF!</v>
      </c>
      <c r="N5254" s="60" t="e">
        <f>+SUMIFS(#REF!,#REF!,Planning[[#This Row],[Proyectos]],#REF!,Planning[[#This Row],[Tipo de Tarea y especialidad]])+SUMIFS(#REF!,#REF!,Planning[[#This Row],[Proyectos Reiwa]],#REF!,Planning[[#This Row],[Tipo de Tarea y especialidad]])</f>
        <v>#REF!</v>
      </c>
      <c r="O5254" s="16">
        <f t="shared" si="165"/>
        <v>10</v>
      </c>
      <c r="P5254" s="16">
        <f t="shared" si="166"/>
        <v>2024</v>
      </c>
      <c r="Q5254" s="16" t="e">
        <f>SUM(Q5255:Q5261)</f>
        <v>#REF!</v>
      </c>
      <c r="R5254" s="50" t="str">
        <f>TEXT(Planning[[#This Row],[Mes]]*29,"mmmm")</f>
        <v>October</v>
      </c>
      <c r="S525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54" s="152"/>
      <c r="U5254" s="43" t="e">
        <f>IF(Planning[[#This Row],[Horas Planificadas]]&lt;&gt;0,+K5254/Planning[[#This Row],[Horas Planificadas]],0)</f>
        <v>#REF!</v>
      </c>
      <c r="V5254" s="43" t="e">
        <f>IF(Planning[[#This Row],[Horas Planificadas]]&lt;&gt;0,Planning[[#This Row],[Horas utilizadas]]/Planning[[#This Row],[Horas Planificadas]],0)</f>
        <v>#REF!</v>
      </c>
      <c r="W5254" s="44">
        <f>Planning[[#This Row],[Horas Planificadas]]+Planning[[#This Row],[Horas ajustadas adicionales]]</f>
        <v>177</v>
      </c>
    </row>
    <row r="5255" spans="1:23" ht="13.35" customHeight="1" x14ac:dyDescent="0.2">
      <c r="A5255" s="9" t="s">
        <v>626</v>
      </c>
      <c r="B5255" s="9" t="s">
        <v>582</v>
      </c>
      <c r="C5255" s="129">
        <v>117025</v>
      </c>
      <c r="D5255" s="3" t="s">
        <v>907</v>
      </c>
      <c r="E5255" s="4"/>
      <c r="F5255" s="3" t="s">
        <v>122</v>
      </c>
      <c r="G5255" s="9"/>
      <c r="H5255" s="9">
        <v>0</v>
      </c>
      <c r="I5255" s="12"/>
      <c r="J5255" s="5" t="e">
        <f>SUM(SUMIFS(#REF!,#REF!,Planning[[#This Row],[Tipo de Tarea y especialidad]],#REF!,Planning[[#This Row],[Proyectos Reiwa]]),SUMIFS(#REF!,#REF!,Planning[[#This Row],[Tipo de Tarea y especialidad]],#REF!,Planning[[#This Row],[Proyectos]]))</f>
        <v>#REF!</v>
      </c>
      <c r="K5255" s="5" t="e">
        <f>+Planning[[#This Row],[Horas Planificadas]]+Planning[[#This Row],[Horas ajustadas adicionales]]-Planning[[#This Row],[Horas utilizadas]]</f>
        <v>#REF!</v>
      </c>
      <c r="L5255" s="7">
        <v>0</v>
      </c>
      <c r="M5255" s="19" t="e">
        <f>Planning[[#This Row],[Saldo]]-Planning[[#This Row],[Saldo estimado]]</f>
        <v>#REF!</v>
      </c>
      <c r="N5255" s="60" t="e">
        <f>+SUMIFS(#REF!,#REF!,Planning[[#This Row],[Proyectos]],#REF!,Planning[[#This Row],[Tipo de Tarea y especialidad]])+SUMIFS(#REF!,#REF!,Planning[[#This Row],[Proyectos Reiwa]],#REF!,Planning[[#This Row],[Tipo de Tarea y especialidad]])</f>
        <v>#REF!</v>
      </c>
      <c r="O5255" s="19">
        <f t="shared" si="165"/>
        <v>10</v>
      </c>
      <c r="P5255" s="19">
        <f t="shared" si="166"/>
        <v>2024</v>
      </c>
      <c r="Q52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55" s="49" t="str">
        <f>TEXT(Planning[[#This Row],[Mes]]*29,"mmmm")</f>
        <v>October</v>
      </c>
      <c r="S525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55" s="152"/>
      <c r="U5255" s="43">
        <f>IF(Planning[[#This Row],[Horas Planificadas]]&lt;&gt;0,+K5255/Planning[[#This Row],[Horas Planificadas]],0)</f>
        <v>0</v>
      </c>
      <c r="V5255" s="43">
        <f>IF(Planning[[#This Row],[Horas Planificadas]]&lt;&gt;0,Planning[[#This Row],[Horas utilizadas]]/Planning[[#This Row],[Horas Planificadas]],0)</f>
        <v>0</v>
      </c>
      <c r="W5255" s="44">
        <f>Planning[[#This Row],[Horas Planificadas]]+Planning[[#This Row],[Horas ajustadas adicionales]]</f>
        <v>0</v>
      </c>
    </row>
    <row r="5256" spans="1:23" ht="13.35" customHeight="1" x14ac:dyDescent="0.2">
      <c r="A5256" s="9" t="s">
        <v>626</v>
      </c>
      <c r="B5256" s="9" t="s">
        <v>582</v>
      </c>
      <c r="C5256" s="128">
        <v>117025</v>
      </c>
      <c r="D5256" s="3" t="s">
        <v>907</v>
      </c>
      <c r="E5256" s="4"/>
      <c r="F5256" s="3" t="s">
        <v>123</v>
      </c>
      <c r="G5256" s="9"/>
      <c r="H5256" s="9">
        <v>72</v>
      </c>
      <c r="I5256" s="12"/>
      <c r="J5256" s="5" t="e">
        <f>SUM(SUMIFS(#REF!,#REF!,Planning[[#This Row],[Tipo de Tarea y especialidad]],#REF!,Planning[[#This Row],[Proyectos Reiwa]]),SUMIFS(#REF!,#REF!,Planning[[#This Row],[Tipo de Tarea y especialidad]],#REF!,Planning[[#This Row],[Proyectos]]))</f>
        <v>#REF!</v>
      </c>
      <c r="K5256" s="5" t="e">
        <f>+Planning[[#This Row],[Horas Planificadas]]+Planning[[#This Row],[Horas ajustadas adicionales]]-Planning[[#This Row],[Horas utilizadas]]</f>
        <v>#REF!</v>
      </c>
      <c r="L5256" s="7">
        <v>0</v>
      </c>
      <c r="M5256" s="19" t="e">
        <f>Planning[[#This Row],[Saldo]]-Planning[[#This Row],[Saldo estimado]]</f>
        <v>#REF!</v>
      </c>
      <c r="N5256" s="60" t="e">
        <f>+SUMIFS(#REF!,#REF!,Planning[[#This Row],[Proyectos]],#REF!,Planning[[#This Row],[Tipo de Tarea y especialidad]])+SUMIFS(#REF!,#REF!,Planning[[#This Row],[Proyectos Reiwa]],#REF!,Planning[[#This Row],[Tipo de Tarea y especialidad]])</f>
        <v>#REF!</v>
      </c>
      <c r="O5256" s="19">
        <f t="shared" si="165"/>
        <v>10</v>
      </c>
      <c r="P5256" s="19">
        <f t="shared" si="166"/>
        <v>2024</v>
      </c>
      <c r="Q52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56" s="49" t="str">
        <f>TEXT(Planning[[#This Row],[Mes]]*29,"mmmm")</f>
        <v>October</v>
      </c>
      <c r="S525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56" s="152"/>
      <c r="U5256" s="43" t="e">
        <f>IF(Planning[[#This Row],[Horas Planificadas]]&lt;&gt;0,+K5256/Planning[[#This Row],[Horas Planificadas]],0)</f>
        <v>#REF!</v>
      </c>
      <c r="V5256" s="43" t="e">
        <f>IF(Planning[[#This Row],[Horas Planificadas]]&lt;&gt;0,Planning[[#This Row],[Horas utilizadas]]/Planning[[#This Row],[Horas Planificadas]],0)</f>
        <v>#REF!</v>
      </c>
      <c r="W5256" s="44">
        <f>Planning[[#This Row],[Horas Planificadas]]+Planning[[#This Row],[Horas ajustadas adicionales]]</f>
        <v>72</v>
      </c>
    </row>
    <row r="5257" spans="1:23" ht="13.35" customHeight="1" x14ac:dyDescent="0.2">
      <c r="A5257" s="9" t="s">
        <v>626</v>
      </c>
      <c r="B5257" s="9" t="s">
        <v>582</v>
      </c>
      <c r="C5257" s="129">
        <v>117025</v>
      </c>
      <c r="D5257" s="3" t="s">
        <v>907</v>
      </c>
      <c r="E5257" s="4"/>
      <c r="F5257" s="3" t="s">
        <v>124</v>
      </c>
      <c r="G5257" s="9"/>
      <c r="H5257" s="9">
        <v>0</v>
      </c>
      <c r="I5257" s="12"/>
      <c r="J5257" s="5" t="e">
        <f>SUM(SUMIFS(#REF!,#REF!,Planning[[#This Row],[Tipo de Tarea y especialidad]],#REF!,Planning[[#This Row],[Proyectos Reiwa]]),SUMIFS(#REF!,#REF!,Planning[[#This Row],[Tipo de Tarea y especialidad]],#REF!,Planning[[#This Row],[Proyectos]]))</f>
        <v>#REF!</v>
      </c>
      <c r="K5257" s="5" t="e">
        <f>+Planning[[#This Row],[Horas Planificadas]]+Planning[[#This Row],[Horas ajustadas adicionales]]-Planning[[#This Row],[Horas utilizadas]]</f>
        <v>#REF!</v>
      </c>
      <c r="L5257" s="7">
        <v>0</v>
      </c>
      <c r="M5257" s="19" t="e">
        <f>Planning[[#This Row],[Saldo]]-Planning[[#This Row],[Saldo estimado]]</f>
        <v>#REF!</v>
      </c>
      <c r="N5257" s="60" t="e">
        <f>+SUMIFS(#REF!,#REF!,Planning[[#This Row],[Proyectos]],#REF!,Planning[[#This Row],[Tipo de Tarea y especialidad]])+SUMIFS(#REF!,#REF!,Planning[[#This Row],[Proyectos Reiwa]],#REF!,Planning[[#This Row],[Tipo de Tarea y especialidad]])</f>
        <v>#REF!</v>
      </c>
      <c r="O5257" s="19">
        <f t="shared" si="165"/>
        <v>10</v>
      </c>
      <c r="P5257" s="19">
        <f t="shared" si="166"/>
        <v>2024</v>
      </c>
      <c r="Q52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57" s="49" t="str">
        <f>TEXT(Planning[[#This Row],[Mes]]*29,"mmmm")</f>
        <v>October</v>
      </c>
      <c r="S525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57" s="152"/>
      <c r="U5257" s="43">
        <f>IF(Planning[[#This Row],[Horas Planificadas]]&lt;&gt;0,+K5257/Planning[[#This Row],[Horas Planificadas]],0)</f>
        <v>0</v>
      </c>
      <c r="V5257" s="43">
        <f>IF(Planning[[#This Row],[Horas Planificadas]]&lt;&gt;0,Planning[[#This Row],[Horas utilizadas]]/Planning[[#This Row],[Horas Planificadas]],0)</f>
        <v>0</v>
      </c>
      <c r="W5257" s="44">
        <f>Planning[[#This Row],[Horas Planificadas]]+Planning[[#This Row],[Horas ajustadas adicionales]]</f>
        <v>0</v>
      </c>
    </row>
    <row r="5258" spans="1:23" ht="13.35" customHeight="1" x14ac:dyDescent="0.2">
      <c r="A5258" s="9" t="s">
        <v>626</v>
      </c>
      <c r="B5258" s="9" t="s">
        <v>582</v>
      </c>
      <c r="C5258" s="128">
        <v>117025</v>
      </c>
      <c r="D5258" s="3" t="s">
        <v>907</v>
      </c>
      <c r="E5258" s="4"/>
      <c r="F5258" s="3" t="s">
        <v>125</v>
      </c>
      <c r="G5258" s="9"/>
      <c r="H5258" s="9">
        <v>60</v>
      </c>
      <c r="I5258" s="12"/>
      <c r="J5258" s="5" t="e">
        <f>SUM(SUMIFS(#REF!,#REF!,Planning[[#This Row],[Tipo de Tarea y especialidad]],#REF!,Planning[[#This Row],[Proyectos Reiwa]]),SUMIFS(#REF!,#REF!,Planning[[#This Row],[Tipo de Tarea y especialidad]],#REF!,Planning[[#This Row],[Proyectos]]))</f>
        <v>#REF!</v>
      </c>
      <c r="K5258" s="5" t="e">
        <f>+Planning[[#This Row],[Horas Planificadas]]+Planning[[#This Row],[Horas ajustadas adicionales]]-Planning[[#This Row],[Horas utilizadas]]</f>
        <v>#REF!</v>
      </c>
      <c r="L5258" s="7">
        <v>0</v>
      </c>
      <c r="M5258" s="19" t="e">
        <f>Planning[[#This Row],[Saldo]]-Planning[[#This Row],[Saldo estimado]]</f>
        <v>#REF!</v>
      </c>
      <c r="N5258" s="60" t="e">
        <f>+SUMIFS(#REF!,#REF!,Planning[[#This Row],[Proyectos]],#REF!,Planning[[#This Row],[Tipo de Tarea y especialidad]])+SUMIFS(#REF!,#REF!,Planning[[#This Row],[Proyectos Reiwa]],#REF!,Planning[[#This Row],[Tipo de Tarea y especialidad]])</f>
        <v>#REF!</v>
      </c>
      <c r="O5258" s="19">
        <f t="shared" si="165"/>
        <v>10</v>
      </c>
      <c r="P5258" s="19">
        <f t="shared" si="166"/>
        <v>2024</v>
      </c>
      <c r="Q52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58" s="49" t="str">
        <f>TEXT(Planning[[#This Row],[Mes]]*29,"mmmm")</f>
        <v>October</v>
      </c>
      <c r="S525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58" s="152"/>
      <c r="U5258" s="43" t="e">
        <f>IF(Planning[[#This Row],[Horas Planificadas]]&lt;&gt;0,+K5258/Planning[[#This Row],[Horas Planificadas]],0)</f>
        <v>#REF!</v>
      </c>
      <c r="V5258" s="43" t="e">
        <f>IF(Planning[[#This Row],[Horas Planificadas]]&lt;&gt;0,Planning[[#This Row],[Horas utilizadas]]/Planning[[#This Row],[Horas Planificadas]],0)</f>
        <v>#REF!</v>
      </c>
      <c r="W5258" s="44">
        <f>Planning[[#This Row],[Horas Planificadas]]+Planning[[#This Row],[Horas ajustadas adicionales]]</f>
        <v>60</v>
      </c>
    </row>
    <row r="5259" spans="1:23" ht="13.35" customHeight="1" x14ac:dyDescent="0.2">
      <c r="A5259" s="9" t="s">
        <v>626</v>
      </c>
      <c r="B5259" s="9" t="s">
        <v>582</v>
      </c>
      <c r="C5259" s="129">
        <v>117025</v>
      </c>
      <c r="D5259" s="3" t="s">
        <v>907</v>
      </c>
      <c r="E5259" s="4"/>
      <c r="F5259" s="3" t="s">
        <v>126</v>
      </c>
      <c r="G5259" s="9"/>
      <c r="H5259" s="9">
        <v>0</v>
      </c>
      <c r="I5259" s="12"/>
      <c r="J5259" s="5" t="e">
        <f>SUM(SUMIFS(#REF!,#REF!,Planning[[#This Row],[Tipo de Tarea y especialidad]],#REF!,Planning[[#This Row],[Proyectos Reiwa]]),SUMIFS(#REF!,#REF!,Planning[[#This Row],[Tipo de Tarea y especialidad]],#REF!,Planning[[#This Row],[Proyectos]]))</f>
        <v>#REF!</v>
      </c>
      <c r="K5259" s="5" t="e">
        <f>+Planning[[#This Row],[Horas Planificadas]]+Planning[[#This Row],[Horas ajustadas adicionales]]-Planning[[#This Row],[Horas utilizadas]]</f>
        <v>#REF!</v>
      </c>
      <c r="L5259" s="7">
        <v>0</v>
      </c>
      <c r="M5259" s="19" t="e">
        <f>Planning[[#This Row],[Saldo]]-Planning[[#This Row],[Saldo estimado]]</f>
        <v>#REF!</v>
      </c>
      <c r="N5259" s="60" t="e">
        <f>+SUMIFS(#REF!,#REF!,Planning[[#This Row],[Proyectos]],#REF!,Planning[[#This Row],[Tipo de Tarea y especialidad]])+SUMIFS(#REF!,#REF!,Planning[[#This Row],[Proyectos Reiwa]],#REF!,Planning[[#This Row],[Tipo de Tarea y especialidad]])</f>
        <v>#REF!</v>
      </c>
      <c r="O5259" s="19">
        <f t="shared" si="165"/>
        <v>10</v>
      </c>
      <c r="P5259" s="19">
        <f t="shared" si="166"/>
        <v>2024</v>
      </c>
      <c r="Q52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59" s="49" t="str">
        <f>TEXT(Planning[[#This Row],[Mes]]*29,"mmmm")</f>
        <v>October</v>
      </c>
      <c r="S525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59" s="152"/>
      <c r="U5259" s="43">
        <f>IF(Planning[[#This Row],[Horas Planificadas]]&lt;&gt;0,+K5259/Planning[[#This Row],[Horas Planificadas]],0)</f>
        <v>0</v>
      </c>
      <c r="V5259" s="43">
        <f>IF(Planning[[#This Row],[Horas Planificadas]]&lt;&gt;0,Planning[[#This Row],[Horas utilizadas]]/Planning[[#This Row],[Horas Planificadas]],0)</f>
        <v>0</v>
      </c>
      <c r="W5259" s="44">
        <f>Planning[[#This Row],[Horas Planificadas]]+Planning[[#This Row],[Horas ajustadas adicionales]]</f>
        <v>0</v>
      </c>
    </row>
    <row r="5260" spans="1:23" ht="13.35" customHeight="1" x14ac:dyDescent="0.2">
      <c r="A5260" s="9" t="s">
        <v>626</v>
      </c>
      <c r="B5260" s="9" t="s">
        <v>582</v>
      </c>
      <c r="C5260" s="128">
        <v>117025</v>
      </c>
      <c r="D5260" s="3" t="s">
        <v>907</v>
      </c>
      <c r="E5260" s="4"/>
      <c r="F5260" s="3" t="s">
        <v>127</v>
      </c>
      <c r="G5260" s="9"/>
      <c r="H5260" s="9">
        <v>45</v>
      </c>
      <c r="I5260" s="12"/>
      <c r="J5260" s="5" t="e">
        <f>SUM(SUMIFS(#REF!,#REF!,Planning[[#This Row],[Tipo de Tarea y especialidad]],#REF!,Planning[[#This Row],[Proyectos Reiwa]]),SUMIFS(#REF!,#REF!,Planning[[#This Row],[Tipo de Tarea y especialidad]],#REF!,Planning[[#This Row],[Proyectos]]))</f>
        <v>#REF!</v>
      </c>
      <c r="K5260" s="5" t="e">
        <f>+Planning[[#This Row],[Horas Planificadas]]+Planning[[#This Row],[Horas ajustadas adicionales]]-Planning[[#This Row],[Horas utilizadas]]</f>
        <v>#REF!</v>
      </c>
      <c r="L5260" s="7">
        <v>0</v>
      </c>
      <c r="M5260" s="19" t="e">
        <f>Planning[[#This Row],[Saldo]]-Planning[[#This Row],[Saldo estimado]]</f>
        <v>#REF!</v>
      </c>
      <c r="N5260" s="60" t="e">
        <f>+SUMIFS(#REF!,#REF!,Planning[[#This Row],[Proyectos]],#REF!,Planning[[#This Row],[Tipo de Tarea y especialidad]])+SUMIFS(#REF!,#REF!,Planning[[#This Row],[Proyectos Reiwa]],#REF!,Planning[[#This Row],[Tipo de Tarea y especialidad]])</f>
        <v>#REF!</v>
      </c>
      <c r="O5260" s="19">
        <f t="shared" si="165"/>
        <v>10</v>
      </c>
      <c r="P5260" s="19">
        <f t="shared" si="166"/>
        <v>2024</v>
      </c>
      <c r="Q52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60" s="49" t="str">
        <f>TEXT(Planning[[#This Row],[Mes]]*29,"mmmm")</f>
        <v>October</v>
      </c>
      <c r="S526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60" s="152"/>
      <c r="U5260" s="43" t="e">
        <f>IF(Planning[[#This Row],[Horas Planificadas]]&lt;&gt;0,+K5260/Planning[[#This Row],[Horas Planificadas]],0)</f>
        <v>#REF!</v>
      </c>
      <c r="V5260" s="43" t="e">
        <f>IF(Planning[[#This Row],[Horas Planificadas]]&lt;&gt;0,Planning[[#This Row],[Horas utilizadas]]/Planning[[#This Row],[Horas Planificadas]],0)</f>
        <v>#REF!</v>
      </c>
      <c r="W5260" s="44">
        <f>Planning[[#This Row],[Horas Planificadas]]+Planning[[#This Row],[Horas ajustadas adicionales]]</f>
        <v>45</v>
      </c>
    </row>
    <row r="5261" spans="1:23" ht="13.35" customHeight="1" x14ac:dyDescent="0.2">
      <c r="A5261" s="9" t="s">
        <v>626</v>
      </c>
      <c r="B5261" s="9" t="s">
        <v>582</v>
      </c>
      <c r="C5261" s="129">
        <v>117025</v>
      </c>
      <c r="D5261" s="3" t="s">
        <v>907</v>
      </c>
      <c r="E5261" s="4"/>
      <c r="F5261" s="3" t="s">
        <v>128</v>
      </c>
      <c r="G5261" s="9"/>
      <c r="H5261" s="9">
        <v>0</v>
      </c>
      <c r="I5261" s="12"/>
      <c r="J5261" s="5" t="e">
        <f>SUM(SUMIFS(#REF!,#REF!,Planning[[#This Row],[Tipo de Tarea y especialidad]],#REF!,Planning[[#This Row],[Proyectos Reiwa]]),SUMIFS(#REF!,#REF!,Planning[[#This Row],[Tipo de Tarea y especialidad]],#REF!,Planning[[#This Row],[Proyectos]]))</f>
        <v>#REF!</v>
      </c>
      <c r="K5261" s="5" t="e">
        <f>+Planning[[#This Row],[Horas Planificadas]]+Planning[[#This Row],[Horas ajustadas adicionales]]-Planning[[#This Row],[Horas utilizadas]]</f>
        <v>#REF!</v>
      </c>
      <c r="L5261" s="7">
        <v>0</v>
      </c>
      <c r="M5261" s="19" t="e">
        <f>Planning[[#This Row],[Saldo]]-Planning[[#This Row],[Saldo estimado]]</f>
        <v>#REF!</v>
      </c>
      <c r="N5261" s="60" t="e">
        <f>+SUMIFS(#REF!,#REF!,Planning[[#This Row],[Proyectos]],#REF!,Planning[[#This Row],[Tipo de Tarea y especialidad]])+SUMIFS(#REF!,#REF!,Planning[[#This Row],[Proyectos Reiwa]],#REF!,Planning[[#This Row],[Tipo de Tarea y especialidad]])</f>
        <v>#REF!</v>
      </c>
      <c r="O5261" s="19">
        <f t="shared" si="165"/>
        <v>10</v>
      </c>
      <c r="P5261" s="19">
        <f t="shared" si="166"/>
        <v>2024</v>
      </c>
      <c r="Q52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61" s="49" t="str">
        <f>TEXT(Planning[[#This Row],[Mes]]*29,"mmmm")</f>
        <v>October</v>
      </c>
      <c r="S526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61" s="152"/>
      <c r="U5261" s="43">
        <f>IF(Planning[[#This Row],[Horas Planificadas]]&lt;&gt;0,+K5261/Planning[[#This Row],[Horas Planificadas]],0)</f>
        <v>0</v>
      </c>
      <c r="V5261" s="43">
        <f>IF(Planning[[#This Row],[Horas Planificadas]]&lt;&gt;0,Planning[[#This Row],[Horas utilizadas]]/Planning[[#This Row],[Horas Planificadas]],0)</f>
        <v>0</v>
      </c>
      <c r="W5261" s="44">
        <f>Planning[[#This Row],[Horas Planificadas]]+Planning[[#This Row],[Horas ajustadas adicionales]]</f>
        <v>0</v>
      </c>
    </row>
    <row r="5262" spans="1:23" ht="13.35" customHeight="1" x14ac:dyDescent="0.2">
      <c r="A5262" s="9" t="s">
        <v>626</v>
      </c>
      <c r="B5262" s="9" t="s">
        <v>582</v>
      </c>
      <c r="C5262" s="128">
        <v>117025</v>
      </c>
      <c r="D5262" s="3" t="s">
        <v>907</v>
      </c>
      <c r="E5262" s="4" t="s">
        <v>31</v>
      </c>
      <c r="F5262" s="3" t="s">
        <v>31</v>
      </c>
      <c r="G5262" s="9">
        <v>45</v>
      </c>
      <c r="H5262" s="17">
        <v>45</v>
      </c>
      <c r="I5262" s="18"/>
      <c r="J5262" s="14" t="e">
        <f>+SUMIFS(#REF!,#REF!,Planning[[#This Row],[Tarifa]],#REF!,Planning[[#This Row],[Proyectos]])</f>
        <v>#REF!</v>
      </c>
      <c r="K5262" s="14" t="e">
        <f>+Planning[[#This Row],[Horas Planificadas]]+Planning[[#This Row],[Horas ajustadas adicionales]]-Planning[[#This Row],[Horas utilizadas]]</f>
        <v>#REF!</v>
      </c>
      <c r="L5262" s="15" t="e">
        <f>Planning[[#This Row],[Saldo]]</f>
        <v>#REF!</v>
      </c>
      <c r="M5262" s="16" t="e">
        <f>Planning[[#This Row],[Saldo]]-Planning[[#This Row],[Saldo estimado]]</f>
        <v>#REF!</v>
      </c>
      <c r="N5262" s="60" t="e">
        <f>+SUMIFS(#REF!,#REF!,Planning[[#This Row],[Proyectos]],#REF!,Planning[[#This Row],[Tipo de Tarea y especialidad]])+SUMIFS(#REF!,#REF!,Planning[[#This Row],[Proyectos Reiwa]],#REF!,Planning[[#This Row],[Tipo de Tarea y especialidad]])</f>
        <v>#REF!</v>
      </c>
      <c r="O5262" s="16">
        <f t="shared" si="165"/>
        <v>10</v>
      </c>
      <c r="P5262" s="16">
        <f t="shared" si="166"/>
        <v>2024</v>
      </c>
      <c r="Q5262" s="16" t="e">
        <f>+SUMIFS(#REF!,#REF!,Planning[[#This Row],[Tarifa]],#REF!,Planning[[#This Row],[Proyectos]],#REF!,Planning[[#This Row],[Mes]],#REF!,Planning[[#This Row],[Año]])</f>
        <v>#REF!</v>
      </c>
      <c r="R5262" s="50" t="str">
        <f>TEXT(Planning[[#This Row],[Mes]]*29,"mmmm")</f>
        <v>October</v>
      </c>
      <c r="S526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62" s="152"/>
      <c r="U5262" s="43" t="e">
        <f>IF(Planning[[#This Row],[Horas Planificadas]]&lt;&gt;0,+K5262/Planning[[#This Row],[Horas Planificadas]],0)</f>
        <v>#REF!</v>
      </c>
      <c r="V5262" s="43" t="e">
        <f>IF(Planning[[#This Row],[Horas Planificadas]]&lt;&gt;0,Planning[[#This Row],[Horas utilizadas]]/Planning[[#This Row],[Horas Planificadas]],0)</f>
        <v>#REF!</v>
      </c>
      <c r="W5262" s="44">
        <f>Planning[[#This Row],[Horas Planificadas]]+Planning[[#This Row],[Horas ajustadas adicionales]]</f>
        <v>45</v>
      </c>
    </row>
    <row r="5263" spans="1:23" ht="13.35" customHeight="1" x14ac:dyDescent="0.2">
      <c r="A5263" s="9" t="s">
        <v>626</v>
      </c>
      <c r="B5263" s="9" t="s">
        <v>582</v>
      </c>
      <c r="C5263" s="129">
        <v>117025</v>
      </c>
      <c r="D5263" s="3" t="s">
        <v>907</v>
      </c>
      <c r="E5263" s="4" t="s">
        <v>32</v>
      </c>
      <c r="F5263" s="3"/>
      <c r="G5263" s="9">
        <v>0</v>
      </c>
      <c r="H5263" s="14">
        <f>SUM(H5264:H5266)</f>
        <v>0</v>
      </c>
      <c r="I5263" s="14"/>
      <c r="J5263" s="14" t="e">
        <f>SUM(J5264:J5266)</f>
        <v>#REF!</v>
      </c>
      <c r="K5263" s="14" t="e">
        <f>+Planning[[#This Row],[Horas Planificadas]]+Planning[[#This Row],[Horas ajustadas adicionales]]-Planning[[#This Row],[Horas utilizadas]]</f>
        <v>#REF!</v>
      </c>
      <c r="L5263" s="15" t="e">
        <f>SUM(L5264:L5266)</f>
        <v>#REF!</v>
      </c>
      <c r="M5263" s="16" t="e">
        <f>SUM(M5264:M5266)</f>
        <v>#REF!</v>
      </c>
      <c r="N5263" s="60" t="e">
        <f>+SUMIFS(#REF!,#REF!,Planning[[#This Row],[Proyectos]],#REF!,Planning[[#This Row],[Tipo de Tarea y especialidad]])+SUMIFS(#REF!,#REF!,Planning[[#This Row],[Proyectos Reiwa]],#REF!,Planning[[#This Row],[Tipo de Tarea y especialidad]])</f>
        <v>#REF!</v>
      </c>
      <c r="O5263" s="16">
        <f t="shared" si="165"/>
        <v>10</v>
      </c>
      <c r="P5263" s="16">
        <f t="shared" si="166"/>
        <v>2024</v>
      </c>
      <c r="Q5263" s="16" t="e">
        <f>SUM(Q5264:Q5266)</f>
        <v>#REF!</v>
      </c>
      <c r="R5263" s="50" t="str">
        <f>TEXT(Planning[[#This Row],[Mes]]*29,"mmmm")</f>
        <v>October</v>
      </c>
      <c r="S526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63" s="152"/>
      <c r="U5263" s="43">
        <f>IF(Planning[[#This Row],[Horas Planificadas]]&lt;&gt;0,+K5263/Planning[[#This Row],[Horas Planificadas]],0)</f>
        <v>0</v>
      </c>
      <c r="V5263" s="43">
        <f>IF(Planning[[#This Row],[Horas Planificadas]]&lt;&gt;0,Planning[[#This Row],[Horas utilizadas]]/Planning[[#This Row],[Horas Planificadas]],0)</f>
        <v>0</v>
      </c>
      <c r="W5263" s="44">
        <f>Planning[[#This Row],[Horas Planificadas]]+Planning[[#This Row],[Horas ajustadas adicionales]]</f>
        <v>0</v>
      </c>
    </row>
    <row r="5264" spans="1:23" ht="13.35" customHeight="1" x14ac:dyDescent="0.2">
      <c r="A5264" s="9" t="s">
        <v>626</v>
      </c>
      <c r="B5264" s="9" t="s">
        <v>582</v>
      </c>
      <c r="C5264" s="128">
        <v>117025</v>
      </c>
      <c r="D5264" s="3" t="s">
        <v>907</v>
      </c>
      <c r="E5264" s="4"/>
      <c r="F5264" s="3" t="s">
        <v>129</v>
      </c>
      <c r="G5264" s="9"/>
      <c r="H5264" s="9">
        <v>0</v>
      </c>
      <c r="I5264" s="12"/>
      <c r="J5264" s="5" t="e">
        <f>SUM(SUMIFS(#REF!,#REF!,Planning[[#This Row],[Tipo de Tarea y especialidad]],#REF!,Planning[[#This Row],[Proyectos Reiwa]]),SUMIFS(#REF!,#REF!,Planning[[#This Row],[Tipo de Tarea y especialidad]],#REF!,Planning[[#This Row],[Proyectos]]))</f>
        <v>#REF!</v>
      </c>
      <c r="K5264" s="5" t="e">
        <f>+Planning[[#This Row],[Horas Planificadas]]+Planning[[#This Row],[Horas ajustadas adicionales]]-Planning[[#This Row],[Horas utilizadas]]</f>
        <v>#REF!</v>
      </c>
      <c r="L5264" s="7" t="e">
        <f>Planning[[#This Row],[Saldo]]</f>
        <v>#REF!</v>
      </c>
      <c r="M5264" s="19" t="e">
        <f>Planning[[#This Row],[Saldo]]-Planning[[#This Row],[Saldo estimado]]</f>
        <v>#REF!</v>
      </c>
      <c r="N5264" s="60" t="e">
        <f>+SUMIFS(#REF!,#REF!,Planning[[#This Row],[Proyectos]],#REF!,Planning[[#This Row],[Tipo de Tarea y especialidad]])+SUMIFS(#REF!,#REF!,Planning[[#This Row],[Proyectos Reiwa]],#REF!,Planning[[#This Row],[Tipo de Tarea y especialidad]])</f>
        <v>#REF!</v>
      </c>
      <c r="O5264" s="19">
        <f t="shared" si="165"/>
        <v>10</v>
      </c>
      <c r="P5264" s="19">
        <f t="shared" si="166"/>
        <v>2024</v>
      </c>
      <c r="Q52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64" s="49" t="str">
        <f>TEXT(Planning[[#This Row],[Mes]]*29,"mmmm")</f>
        <v>October</v>
      </c>
      <c r="S526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64" s="152"/>
      <c r="U5264" s="43">
        <f>IF(Planning[[#This Row],[Horas Planificadas]]&lt;&gt;0,+K5264/Planning[[#This Row],[Horas Planificadas]],0)</f>
        <v>0</v>
      </c>
      <c r="V5264" s="43">
        <f>IF(Planning[[#This Row],[Horas Planificadas]]&lt;&gt;0,Planning[[#This Row],[Horas utilizadas]]/Planning[[#This Row],[Horas Planificadas]],0)</f>
        <v>0</v>
      </c>
      <c r="W5264" s="44">
        <f>Planning[[#This Row],[Horas Planificadas]]+Planning[[#This Row],[Horas ajustadas adicionales]]</f>
        <v>0</v>
      </c>
    </row>
    <row r="5265" spans="1:23" ht="13.35" customHeight="1" x14ac:dyDescent="0.2">
      <c r="A5265" s="9" t="s">
        <v>626</v>
      </c>
      <c r="B5265" s="9" t="s">
        <v>582</v>
      </c>
      <c r="C5265" s="129">
        <v>117025</v>
      </c>
      <c r="D5265" s="3" t="s">
        <v>907</v>
      </c>
      <c r="E5265" s="4"/>
      <c r="F5265" s="3" t="s">
        <v>130</v>
      </c>
      <c r="G5265" s="9"/>
      <c r="H5265" s="9">
        <v>0</v>
      </c>
      <c r="I5265" s="12"/>
      <c r="J5265" s="5" t="e">
        <f>SUM(SUMIFS(#REF!,#REF!,Planning[[#This Row],[Tipo de Tarea y especialidad]],#REF!,Planning[[#This Row],[Proyectos Reiwa]]),SUMIFS(#REF!,#REF!,Planning[[#This Row],[Tipo de Tarea y especialidad]],#REF!,Planning[[#This Row],[Proyectos]]))</f>
        <v>#REF!</v>
      </c>
      <c r="K5265" s="5" t="e">
        <f>+Planning[[#This Row],[Horas Planificadas]]+Planning[[#This Row],[Horas ajustadas adicionales]]-Planning[[#This Row],[Horas utilizadas]]</f>
        <v>#REF!</v>
      </c>
      <c r="L5265" s="7" t="e">
        <f>Planning[[#This Row],[Saldo]]</f>
        <v>#REF!</v>
      </c>
      <c r="M5265" s="19" t="e">
        <f>Planning[[#This Row],[Saldo]]-Planning[[#This Row],[Saldo estimado]]</f>
        <v>#REF!</v>
      </c>
      <c r="N5265" s="60" t="e">
        <f>+SUMIFS(#REF!,#REF!,Planning[[#This Row],[Proyectos]],#REF!,Planning[[#This Row],[Tipo de Tarea y especialidad]])+SUMIFS(#REF!,#REF!,Planning[[#This Row],[Proyectos Reiwa]],#REF!,Planning[[#This Row],[Tipo de Tarea y especialidad]])</f>
        <v>#REF!</v>
      </c>
      <c r="O5265" s="19">
        <f t="shared" si="165"/>
        <v>10</v>
      </c>
      <c r="P5265" s="19">
        <f t="shared" si="166"/>
        <v>2024</v>
      </c>
      <c r="Q52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65" s="49" t="str">
        <f>TEXT(Planning[[#This Row],[Mes]]*29,"mmmm")</f>
        <v>October</v>
      </c>
      <c r="S526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65" s="152"/>
      <c r="U5265" s="43">
        <f>IF(Planning[[#This Row],[Horas Planificadas]]&lt;&gt;0,+K5265/Planning[[#This Row],[Horas Planificadas]],0)</f>
        <v>0</v>
      </c>
      <c r="V5265" s="43">
        <f>IF(Planning[[#This Row],[Horas Planificadas]]&lt;&gt;0,Planning[[#This Row],[Horas utilizadas]]/Planning[[#This Row],[Horas Planificadas]],0)</f>
        <v>0</v>
      </c>
      <c r="W5265" s="44">
        <f>Planning[[#This Row],[Horas Planificadas]]+Planning[[#This Row],[Horas ajustadas adicionales]]</f>
        <v>0</v>
      </c>
    </row>
    <row r="5266" spans="1:23" ht="13.35" customHeight="1" x14ac:dyDescent="0.2">
      <c r="A5266" s="9" t="s">
        <v>626</v>
      </c>
      <c r="B5266" s="9" t="s">
        <v>582</v>
      </c>
      <c r="C5266" s="128">
        <v>117025</v>
      </c>
      <c r="D5266" s="3" t="s">
        <v>907</v>
      </c>
      <c r="E5266" s="4"/>
      <c r="F5266" s="3" t="s">
        <v>131</v>
      </c>
      <c r="G5266" s="9"/>
      <c r="H5266" s="9">
        <v>0</v>
      </c>
      <c r="I5266" s="12"/>
      <c r="J5266" s="5" t="e">
        <f>SUM(SUMIFS(#REF!,#REF!,Planning[[#This Row],[Tipo de Tarea y especialidad]],#REF!,Planning[[#This Row],[Proyectos Reiwa]]),SUMIFS(#REF!,#REF!,Planning[[#This Row],[Tipo de Tarea y especialidad]],#REF!,Planning[[#This Row],[Proyectos]]))</f>
        <v>#REF!</v>
      </c>
      <c r="K5266" s="5" t="e">
        <f>+Planning[[#This Row],[Horas Planificadas]]+Planning[[#This Row],[Horas ajustadas adicionales]]-Planning[[#This Row],[Horas utilizadas]]</f>
        <v>#REF!</v>
      </c>
      <c r="L5266" s="7">
        <v>0</v>
      </c>
      <c r="M5266" s="19" t="e">
        <f>Planning[[#This Row],[Saldo]]-Planning[[#This Row],[Saldo estimado]]</f>
        <v>#REF!</v>
      </c>
      <c r="N5266" s="60" t="e">
        <f>+SUMIFS(#REF!,#REF!,Planning[[#This Row],[Proyectos]],#REF!,Planning[[#This Row],[Tipo de Tarea y especialidad]])+SUMIFS(#REF!,#REF!,Planning[[#This Row],[Proyectos Reiwa]],#REF!,Planning[[#This Row],[Tipo de Tarea y especialidad]])</f>
        <v>#REF!</v>
      </c>
      <c r="O5266" s="19">
        <f t="shared" si="165"/>
        <v>10</v>
      </c>
      <c r="P5266" s="19">
        <f t="shared" si="166"/>
        <v>2024</v>
      </c>
      <c r="Q52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66" s="51" t="str">
        <f>TEXT(Planning[[#This Row],[Mes]]*29,"mmmm")</f>
        <v>October</v>
      </c>
      <c r="S5266"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66" s="153"/>
      <c r="U5266" s="43">
        <f>IF(Planning[[#This Row],[Horas Planificadas]]&lt;&gt;0,+K5266/Planning[[#This Row],[Horas Planificadas]],0)</f>
        <v>0</v>
      </c>
      <c r="V5266" s="43">
        <f>IF(Planning[[#This Row],[Horas Planificadas]]&lt;&gt;0,Planning[[#This Row],[Horas utilizadas]]/Planning[[#This Row],[Horas Planificadas]],0)</f>
        <v>0</v>
      </c>
      <c r="W5266" s="44">
        <f>Planning[[#This Row],[Horas Planificadas]]+Planning[[#This Row],[Horas ajustadas adicionales]]</f>
        <v>0</v>
      </c>
    </row>
    <row r="5267" spans="1:23" ht="13.35" customHeight="1" x14ac:dyDescent="0.2">
      <c r="A5267" s="9" t="s">
        <v>684</v>
      </c>
      <c r="B5267" s="9" t="s">
        <v>685</v>
      </c>
      <c r="C5267" s="3">
        <v>117205</v>
      </c>
      <c r="D5267" s="3" t="s">
        <v>909</v>
      </c>
      <c r="E5267" s="4" t="s">
        <v>28</v>
      </c>
      <c r="F5267" s="3"/>
      <c r="G5267" s="9">
        <v>658</v>
      </c>
      <c r="H5267" s="14">
        <f>SUM(H5268:H5269)</f>
        <v>658</v>
      </c>
      <c r="I5267" s="14">
        <f>SUM(I5268:I5269)</f>
        <v>81</v>
      </c>
      <c r="J5267" s="14" t="e">
        <f>SUM(J5268:J5269)</f>
        <v>#REF!</v>
      </c>
      <c r="K5267" s="14" t="e">
        <f>+Planning[[#This Row],[Horas Planificadas]]+Planning[[#This Row],[Horas ajustadas adicionales]]-Planning[[#This Row],[Horas utilizadas]]</f>
        <v>#REF!</v>
      </c>
      <c r="L5267" s="15">
        <f>SUM(L5268:L5269)</f>
        <v>63</v>
      </c>
      <c r="M5267" s="14" t="e">
        <f>SUM(M5268:M5269)</f>
        <v>#REF!</v>
      </c>
      <c r="N5267" s="60" t="e">
        <f>+SUMIFS(#REF!,#REF!,Planning[[#This Row],[Proyectos]],#REF!,Planning[[#This Row],[Tipo de Tarea y especialidad]])+SUMIFS(#REF!,#REF!,Planning[[#This Row],[Proyectos Reiwa]],#REF!,Planning[[#This Row],[Tipo de Tarea y especialidad]])</f>
        <v>#REF!</v>
      </c>
      <c r="O5267" s="14">
        <f t="shared" si="165"/>
        <v>10</v>
      </c>
      <c r="P5267" s="14">
        <f t="shared" si="166"/>
        <v>2024</v>
      </c>
      <c r="Q5267" s="28" t="e">
        <f>SUM(Q5268:Q5269)</f>
        <v>#REF!</v>
      </c>
      <c r="R5267" s="14" t="str">
        <f>TEXT(Planning[[#This Row],[Mes]]*29,"mmmm")</f>
        <v>October</v>
      </c>
      <c r="S526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67" s="179" t="s">
        <v>910</v>
      </c>
      <c r="U5267" s="43" t="e">
        <f>IF(Planning[[#This Row],[Horas Planificadas]]&lt;&gt;0,+K5267/Planning[[#This Row],[Horas Planificadas]],0)</f>
        <v>#REF!</v>
      </c>
      <c r="V5267" s="43" t="e">
        <f>IF(Planning[[#This Row],[Horas Planificadas]]&lt;&gt;0,Planning[[#This Row],[Horas utilizadas]]/Planning[[#This Row],[Horas Planificadas]],0)</f>
        <v>#REF!</v>
      </c>
      <c r="W5267" s="44">
        <f>Planning[[#This Row],[Horas Planificadas]]+Planning[[#This Row],[Horas ajustadas adicionales]]</f>
        <v>739</v>
      </c>
    </row>
    <row r="5268" spans="1:23" ht="13.35" customHeight="1" x14ac:dyDescent="0.2">
      <c r="A5268" s="9" t="s">
        <v>684</v>
      </c>
      <c r="B5268" s="9" t="s">
        <v>685</v>
      </c>
      <c r="C5268" s="3">
        <v>117205</v>
      </c>
      <c r="D5268" s="3" t="s">
        <v>909</v>
      </c>
      <c r="E5268" s="4"/>
      <c r="F5268" s="3" t="s">
        <v>120</v>
      </c>
      <c r="G5268" s="9">
        <v>390</v>
      </c>
      <c r="H5268" s="9">
        <v>390</v>
      </c>
      <c r="I5268" s="12"/>
      <c r="J5268" s="5" t="e">
        <f>SUM(SUMIFS(#REF!,#REF!,Planning[[#This Row],[Tipo de Tarea y especialidad]],#REF!,Planning[[#This Row],[Proyectos Reiwa]]),SUMIFS(#REF!,#REF!,Planning[[#This Row],[Tipo de Tarea y especialidad]],#REF!,Planning[[#This Row],[Proyectos]]))</f>
        <v>#REF!</v>
      </c>
      <c r="K5268" s="5" t="e">
        <f>+Planning[[#This Row],[Horas Planificadas]]+Planning[[#This Row],[Horas ajustadas adicionales]]-Planning[[#This Row],[Horas utilizadas]]</f>
        <v>#REF!</v>
      </c>
      <c r="L5268" s="7">
        <v>27</v>
      </c>
      <c r="M5268" s="19" t="e">
        <f>Planning[[#This Row],[Saldo]]-Planning[[#This Row],[Saldo estimado]]</f>
        <v>#REF!</v>
      </c>
      <c r="N5268" s="60" t="e">
        <f>+SUMIFS(#REF!,#REF!,Planning[[#This Row],[Proyectos]],#REF!,Planning[[#This Row],[Tipo de Tarea y especialidad]])+SUMIFS(#REF!,#REF!,Planning[[#This Row],[Proyectos Reiwa]],#REF!,Planning[[#This Row],[Tipo de Tarea y especialidad]])</f>
        <v>#REF!</v>
      </c>
      <c r="O5268" s="19">
        <f t="shared" si="165"/>
        <v>10</v>
      </c>
      <c r="P5268" s="19">
        <f t="shared" si="166"/>
        <v>2024</v>
      </c>
      <c r="Q52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68" s="34" t="str">
        <f>TEXT(Planning[[#This Row],[Mes]]*29,"mmmm")</f>
        <v>October</v>
      </c>
      <c r="S526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68" s="180"/>
      <c r="U5268" s="43" t="e">
        <f>IF(Planning[[#This Row],[Horas Planificadas]]&lt;&gt;0,+K5268/Planning[[#This Row],[Horas Planificadas]],0)</f>
        <v>#REF!</v>
      </c>
      <c r="V5268" s="43" t="e">
        <f>IF(Planning[[#This Row],[Horas Planificadas]]&lt;&gt;0,Planning[[#This Row],[Horas utilizadas]]/Planning[[#This Row],[Horas Planificadas]],0)</f>
        <v>#REF!</v>
      </c>
      <c r="W5268" s="44">
        <f>Planning[[#This Row],[Horas Planificadas]]+Planning[[#This Row],[Horas ajustadas adicionales]]</f>
        <v>390</v>
      </c>
    </row>
    <row r="5269" spans="1:23" ht="13.35" customHeight="1" x14ac:dyDescent="0.2">
      <c r="A5269" s="9" t="s">
        <v>684</v>
      </c>
      <c r="B5269" s="9" t="s">
        <v>685</v>
      </c>
      <c r="C5269" s="3">
        <v>117205</v>
      </c>
      <c r="D5269" s="3" t="s">
        <v>909</v>
      </c>
      <c r="E5269" s="4"/>
      <c r="F5269" s="3" t="s">
        <v>121</v>
      </c>
      <c r="G5269" s="9">
        <v>268</v>
      </c>
      <c r="H5269" s="9">
        <v>268</v>
      </c>
      <c r="I5269" s="12">
        <f>45+36</f>
        <v>81</v>
      </c>
      <c r="J5269" s="5" t="e">
        <f>SUM(SUMIFS(#REF!,#REF!,Planning[[#This Row],[Tipo de Tarea y especialidad]],#REF!,Planning[[#This Row],[Proyectos Reiwa]]),SUMIFS(#REF!,#REF!,Planning[[#This Row],[Tipo de Tarea y especialidad]],#REF!,Planning[[#This Row],[Proyectos]]))</f>
        <v>#REF!</v>
      </c>
      <c r="K5269" s="5" t="e">
        <f>+Planning[[#This Row],[Horas Planificadas]]+Planning[[#This Row],[Horas ajustadas adicionales]]-Planning[[#This Row],[Horas utilizadas]]</f>
        <v>#REF!</v>
      </c>
      <c r="L5269" s="7">
        <v>36</v>
      </c>
      <c r="M5269" s="19" t="e">
        <f>Planning[[#This Row],[Saldo]]-Planning[[#This Row],[Saldo estimado]]</f>
        <v>#REF!</v>
      </c>
      <c r="N5269" s="60" t="e">
        <f>+SUMIFS(#REF!,#REF!,Planning[[#This Row],[Proyectos]],#REF!,Planning[[#This Row],[Tipo de Tarea y especialidad]])+SUMIFS(#REF!,#REF!,Planning[[#This Row],[Proyectos Reiwa]],#REF!,Planning[[#This Row],[Tipo de Tarea y especialidad]])</f>
        <v>#REF!</v>
      </c>
      <c r="O5269" s="19">
        <f t="shared" si="165"/>
        <v>10</v>
      </c>
      <c r="P5269" s="19">
        <f t="shared" si="166"/>
        <v>2024</v>
      </c>
      <c r="Q52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69" s="34" t="str">
        <f>TEXT(Planning[[#This Row],[Mes]]*29,"mmmm")</f>
        <v>October</v>
      </c>
      <c r="S526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69" s="180"/>
      <c r="U5269" s="43" t="e">
        <f>IF(Planning[[#This Row],[Horas Planificadas]]&lt;&gt;0,+K5269/Planning[[#This Row],[Horas Planificadas]],0)</f>
        <v>#REF!</v>
      </c>
      <c r="V5269" s="43" t="e">
        <f>IF(Planning[[#This Row],[Horas Planificadas]]&lt;&gt;0,Planning[[#This Row],[Horas utilizadas]]/Planning[[#This Row],[Horas Planificadas]],0)</f>
        <v>#REF!</v>
      </c>
      <c r="W5269" s="44">
        <f>Planning[[#This Row],[Horas Planificadas]]+Planning[[#This Row],[Horas ajustadas adicionales]]</f>
        <v>349</v>
      </c>
    </row>
    <row r="5270" spans="1:23" ht="13.35" customHeight="1" x14ac:dyDescent="0.2">
      <c r="A5270" s="9" t="s">
        <v>684</v>
      </c>
      <c r="B5270" s="9" t="s">
        <v>685</v>
      </c>
      <c r="C5270" s="3">
        <v>117205</v>
      </c>
      <c r="D5270" s="3" t="s">
        <v>909</v>
      </c>
      <c r="E5270" s="4" t="s">
        <v>30</v>
      </c>
      <c r="F5270" s="3"/>
      <c r="G5270" s="9">
        <v>883</v>
      </c>
      <c r="H5270" s="14">
        <f>SUM(H5271:H5277)</f>
        <v>883</v>
      </c>
      <c r="I5270" s="14">
        <f>SUM(I5271:I5277)</f>
        <v>468</v>
      </c>
      <c r="J5270" s="14" t="e">
        <f>SUM(J5271:J5277)</f>
        <v>#REF!</v>
      </c>
      <c r="K5270" s="14" t="e">
        <f>+Planning[[#This Row],[Horas Planificadas]]+Planning[[#This Row],[Horas ajustadas adicionales]]-Planning[[#This Row],[Horas utilizadas]]</f>
        <v>#REF!</v>
      </c>
      <c r="L5270" s="15" t="e">
        <f>SUM(L5271:L5277)</f>
        <v>#REF!</v>
      </c>
      <c r="M5270" s="16" t="e">
        <f>SUM(M5271:M5277)</f>
        <v>#REF!</v>
      </c>
      <c r="N5270" s="60" t="e">
        <f>+SUMIFS(#REF!,#REF!,Planning[[#This Row],[Proyectos]],#REF!,Planning[[#This Row],[Tipo de Tarea y especialidad]])+SUMIFS(#REF!,#REF!,Planning[[#This Row],[Proyectos Reiwa]],#REF!,Planning[[#This Row],[Tipo de Tarea y especialidad]])</f>
        <v>#REF!</v>
      </c>
      <c r="O5270" s="16">
        <f t="shared" si="165"/>
        <v>10</v>
      </c>
      <c r="P5270" s="16">
        <f t="shared" si="166"/>
        <v>2024</v>
      </c>
      <c r="Q5270" s="16" t="e">
        <f>SUM(Q5271:Q5277)</f>
        <v>#REF!</v>
      </c>
      <c r="R5270" s="35" t="str">
        <f>TEXT(Planning[[#This Row],[Mes]]*29,"mmmm")</f>
        <v>October</v>
      </c>
      <c r="S527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70" s="180"/>
      <c r="U5270" s="43" t="e">
        <f>IF(Planning[[#This Row],[Horas Planificadas]]&lt;&gt;0,+K5270/Planning[[#This Row],[Horas Planificadas]],0)</f>
        <v>#REF!</v>
      </c>
      <c r="V5270" s="43" t="e">
        <f>IF(Planning[[#This Row],[Horas Planificadas]]&lt;&gt;0,Planning[[#This Row],[Horas utilizadas]]/Planning[[#This Row],[Horas Planificadas]],0)</f>
        <v>#REF!</v>
      </c>
      <c r="W5270" s="44">
        <f>Planning[[#This Row],[Horas Planificadas]]+Planning[[#This Row],[Horas ajustadas adicionales]]</f>
        <v>1351</v>
      </c>
    </row>
    <row r="5271" spans="1:23" ht="13.35" customHeight="1" x14ac:dyDescent="0.2">
      <c r="A5271" s="9" t="s">
        <v>684</v>
      </c>
      <c r="B5271" s="9" t="s">
        <v>685</v>
      </c>
      <c r="C5271" s="3">
        <v>117205</v>
      </c>
      <c r="D5271" s="3" t="s">
        <v>909</v>
      </c>
      <c r="E5271" s="4"/>
      <c r="F5271" s="3" t="s">
        <v>122</v>
      </c>
      <c r="G5271" s="9">
        <v>279</v>
      </c>
      <c r="H5271" s="9">
        <f>135+144</f>
        <v>279</v>
      </c>
      <c r="I5271" s="12"/>
      <c r="J5271" s="5" t="e">
        <f>SUM(SUMIFS(#REF!,#REF!,Planning[[#This Row],[Tipo de Tarea y especialidad]],#REF!,Planning[[#This Row],[Proyectos Reiwa]]),SUMIFS(#REF!,#REF!,Planning[[#This Row],[Tipo de Tarea y especialidad]],#REF!,Planning[[#This Row],[Proyectos]]))</f>
        <v>#REF!</v>
      </c>
      <c r="K5271" s="5" t="e">
        <f>+Planning[[#This Row],[Horas Planificadas]]+Planning[[#This Row],[Horas ajustadas adicionales]]-Planning[[#This Row],[Horas utilizadas]]</f>
        <v>#REF!</v>
      </c>
      <c r="L5271" s="7" t="e">
        <f>Planning[[#This Row],[Saldo]]</f>
        <v>#REF!</v>
      </c>
      <c r="M5271" s="19" t="e">
        <f>Planning[[#This Row],[Saldo]]-Planning[[#This Row],[Saldo estimado]]</f>
        <v>#REF!</v>
      </c>
      <c r="N5271" s="60" t="e">
        <f>+SUMIFS(#REF!,#REF!,Planning[[#This Row],[Proyectos]],#REF!,Planning[[#This Row],[Tipo de Tarea y especialidad]])+SUMIFS(#REF!,#REF!,Planning[[#This Row],[Proyectos Reiwa]],#REF!,Planning[[#This Row],[Tipo de Tarea y especialidad]])</f>
        <v>#REF!</v>
      </c>
      <c r="O5271" s="19">
        <f t="shared" si="165"/>
        <v>10</v>
      </c>
      <c r="P5271" s="19">
        <f t="shared" si="166"/>
        <v>2024</v>
      </c>
      <c r="Q52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71" s="34" t="str">
        <f>TEXT(Planning[[#This Row],[Mes]]*29,"mmmm")</f>
        <v>October</v>
      </c>
      <c r="S527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71" s="180"/>
      <c r="U5271" s="43" t="e">
        <f>IF(Planning[[#This Row],[Horas Planificadas]]&lt;&gt;0,+K5271/Planning[[#This Row],[Horas Planificadas]],0)</f>
        <v>#REF!</v>
      </c>
      <c r="V5271" s="43" t="e">
        <f>IF(Planning[[#This Row],[Horas Planificadas]]&lt;&gt;0,Planning[[#This Row],[Horas utilizadas]]/Planning[[#This Row],[Horas Planificadas]],0)</f>
        <v>#REF!</v>
      </c>
      <c r="W5271" s="44">
        <f>Planning[[#This Row],[Horas Planificadas]]+Planning[[#This Row],[Horas ajustadas adicionales]]</f>
        <v>279</v>
      </c>
    </row>
    <row r="5272" spans="1:23" ht="13.35" customHeight="1" x14ac:dyDescent="0.2">
      <c r="A5272" s="9" t="s">
        <v>684</v>
      </c>
      <c r="B5272" s="9" t="s">
        <v>685</v>
      </c>
      <c r="C5272" s="3">
        <v>117205</v>
      </c>
      <c r="D5272" s="3" t="s">
        <v>909</v>
      </c>
      <c r="E5272" s="4"/>
      <c r="F5272" s="3" t="s">
        <v>123</v>
      </c>
      <c r="G5272" s="9">
        <v>90</v>
      </c>
      <c r="H5272" s="9">
        <v>90</v>
      </c>
      <c r="I5272" s="12">
        <f>135+45</f>
        <v>180</v>
      </c>
      <c r="J5272" s="5" t="e">
        <f>SUM(SUMIFS(#REF!,#REF!,Planning[[#This Row],[Tipo de Tarea y especialidad]],#REF!,Planning[[#This Row],[Proyectos Reiwa]]),SUMIFS(#REF!,#REF!,Planning[[#This Row],[Tipo de Tarea y especialidad]],#REF!,Planning[[#This Row],[Proyectos]]))</f>
        <v>#REF!</v>
      </c>
      <c r="K5272" s="5" t="e">
        <f>+Planning[[#This Row],[Horas Planificadas]]+Planning[[#This Row],[Horas ajustadas adicionales]]-Planning[[#This Row],[Horas utilizadas]]</f>
        <v>#REF!</v>
      </c>
      <c r="L5272" s="7">
        <v>45</v>
      </c>
      <c r="M5272" s="19" t="e">
        <f>Planning[[#This Row],[Saldo]]-Planning[[#This Row],[Saldo estimado]]</f>
        <v>#REF!</v>
      </c>
      <c r="N5272" s="60" t="e">
        <f>+SUMIFS(#REF!,#REF!,Planning[[#This Row],[Proyectos]],#REF!,Planning[[#This Row],[Tipo de Tarea y especialidad]])+SUMIFS(#REF!,#REF!,Planning[[#This Row],[Proyectos Reiwa]],#REF!,Planning[[#This Row],[Tipo de Tarea y especialidad]])</f>
        <v>#REF!</v>
      </c>
      <c r="O5272" s="19">
        <f t="shared" si="165"/>
        <v>10</v>
      </c>
      <c r="P5272" s="19">
        <f t="shared" si="166"/>
        <v>2024</v>
      </c>
      <c r="Q52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72" s="34" t="str">
        <f>TEXT(Planning[[#This Row],[Mes]]*29,"mmmm")</f>
        <v>October</v>
      </c>
      <c r="S527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72" s="180"/>
      <c r="U5272" s="43" t="e">
        <f>IF(Planning[[#This Row],[Horas Planificadas]]&lt;&gt;0,+K5272/Planning[[#This Row],[Horas Planificadas]],0)</f>
        <v>#REF!</v>
      </c>
      <c r="V5272" s="43" t="e">
        <f>IF(Planning[[#This Row],[Horas Planificadas]]&lt;&gt;0,Planning[[#This Row],[Horas utilizadas]]/Planning[[#This Row],[Horas Planificadas]],0)</f>
        <v>#REF!</v>
      </c>
      <c r="W5272" s="44">
        <f>Planning[[#This Row],[Horas Planificadas]]+Planning[[#This Row],[Horas ajustadas adicionales]]</f>
        <v>270</v>
      </c>
    </row>
    <row r="5273" spans="1:23" ht="13.35" customHeight="1" x14ac:dyDescent="0.2">
      <c r="A5273" s="9" t="s">
        <v>684</v>
      </c>
      <c r="B5273" s="9" t="s">
        <v>685</v>
      </c>
      <c r="C5273" s="3">
        <v>117205</v>
      </c>
      <c r="D5273" s="3" t="s">
        <v>909</v>
      </c>
      <c r="E5273" s="4"/>
      <c r="F5273" s="3" t="s">
        <v>124</v>
      </c>
      <c r="G5273" s="9"/>
      <c r="H5273" s="9"/>
      <c r="I5273" s="12"/>
      <c r="J5273" s="5" t="e">
        <f>SUM(SUMIFS(#REF!,#REF!,Planning[[#This Row],[Tipo de Tarea y especialidad]],#REF!,Planning[[#This Row],[Proyectos Reiwa]]),SUMIFS(#REF!,#REF!,Planning[[#This Row],[Tipo de Tarea y especialidad]],#REF!,Planning[[#This Row],[Proyectos]]))</f>
        <v>#REF!</v>
      </c>
      <c r="K5273" s="5" t="e">
        <f>+Planning[[#This Row],[Horas Planificadas]]+Planning[[#This Row],[Horas ajustadas adicionales]]-Planning[[#This Row],[Horas utilizadas]]</f>
        <v>#REF!</v>
      </c>
      <c r="L5273" s="7">
        <v>0</v>
      </c>
      <c r="M5273" s="19" t="e">
        <f>Planning[[#This Row],[Saldo]]-Planning[[#This Row],[Saldo estimado]]</f>
        <v>#REF!</v>
      </c>
      <c r="N5273" s="60" t="e">
        <f>+SUMIFS(#REF!,#REF!,Planning[[#This Row],[Proyectos]],#REF!,Planning[[#This Row],[Tipo de Tarea y especialidad]])+SUMIFS(#REF!,#REF!,Planning[[#This Row],[Proyectos Reiwa]],#REF!,Planning[[#This Row],[Tipo de Tarea y especialidad]])</f>
        <v>#REF!</v>
      </c>
      <c r="O5273" s="19">
        <f t="shared" si="165"/>
        <v>10</v>
      </c>
      <c r="P5273" s="19">
        <f t="shared" si="166"/>
        <v>2024</v>
      </c>
      <c r="Q52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73" s="34" t="str">
        <f>TEXT(Planning[[#This Row],[Mes]]*29,"mmmm")</f>
        <v>October</v>
      </c>
      <c r="S527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73" s="180"/>
      <c r="U5273" s="43">
        <f>IF(Planning[[#This Row],[Horas Planificadas]]&lt;&gt;0,+K5273/Planning[[#This Row],[Horas Planificadas]],0)</f>
        <v>0</v>
      </c>
      <c r="V5273" s="43">
        <f>IF(Planning[[#This Row],[Horas Planificadas]]&lt;&gt;0,Planning[[#This Row],[Horas utilizadas]]/Planning[[#This Row],[Horas Planificadas]],0)</f>
        <v>0</v>
      </c>
      <c r="W5273" s="44">
        <f>Planning[[#This Row],[Horas Planificadas]]+Planning[[#This Row],[Horas ajustadas adicionales]]</f>
        <v>0</v>
      </c>
    </row>
    <row r="5274" spans="1:23" ht="13.35" customHeight="1" x14ac:dyDescent="0.2">
      <c r="A5274" s="9" t="s">
        <v>684</v>
      </c>
      <c r="B5274" s="9" t="s">
        <v>685</v>
      </c>
      <c r="C5274" s="3">
        <v>117205</v>
      </c>
      <c r="D5274" s="3" t="s">
        <v>909</v>
      </c>
      <c r="E5274" s="4"/>
      <c r="F5274" s="3" t="s">
        <v>125</v>
      </c>
      <c r="G5274" s="9">
        <v>176</v>
      </c>
      <c r="H5274" s="9">
        <v>176</v>
      </c>
      <c r="I5274" s="12">
        <f>90+36+45</f>
        <v>171</v>
      </c>
      <c r="J5274" s="5" t="e">
        <f>SUM(SUMIFS(#REF!,#REF!,Planning[[#This Row],[Tipo de Tarea y especialidad]],#REF!,Planning[[#This Row],[Proyectos Reiwa]]),SUMIFS(#REF!,#REF!,Planning[[#This Row],[Tipo de Tarea y especialidad]],#REF!,Planning[[#This Row],[Proyectos]]))</f>
        <v>#REF!</v>
      </c>
      <c r="K5274" s="5" t="e">
        <f>+Planning[[#This Row],[Horas Planificadas]]+Planning[[#This Row],[Horas ajustadas adicionales]]-Planning[[#This Row],[Horas utilizadas]]</f>
        <v>#REF!</v>
      </c>
      <c r="L5274" s="7">
        <v>45</v>
      </c>
      <c r="M5274" s="19" t="e">
        <f>Planning[[#This Row],[Saldo]]-Planning[[#This Row],[Saldo estimado]]</f>
        <v>#REF!</v>
      </c>
      <c r="N5274" s="60" t="e">
        <f>+SUMIFS(#REF!,#REF!,Planning[[#This Row],[Proyectos]],#REF!,Planning[[#This Row],[Tipo de Tarea y especialidad]])+SUMIFS(#REF!,#REF!,Planning[[#This Row],[Proyectos Reiwa]],#REF!,Planning[[#This Row],[Tipo de Tarea y especialidad]])</f>
        <v>#REF!</v>
      </c>
      <c r="O5274" s="19">
        <f t="shared" si="165"/>
        <v>10</v>
      </c>
      <c r="P5274" s="19">
        <f t="shared" si="166"/>
        <v>2024</v>
      </c>
      <c r="Q52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74" s="34" t="str">
        <f>TEXT(Planning[[#This Row],[Mes]]*29,"mmmm")</f>
        <v>October</v>
      </c>
      <c r="S527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74" s="180"/>
      <c r="U5274" s="43" t="e">
        <f>IF(Planning[[#This Row],[Horas Planificadas]]&lt;&gt;0,+K5274/Planning[[#This Row],[Horas Planificadas]],0)</f>
        <v>#REF!</v>
      </c>
      <c r="V5274" s="43" t="e">
        <f>IF(Planning[[#This Row],[Horas Planificadas]]&lt;&gt;0,Planning[[#This Row],[Horas utilizadas]]/Planning[[#This Row],[Horas Planificadas]],0)</f>
        <v>#REF!</v>
      </c>
      <c r="W5274" s="44">
        <f>Planning[[#This Row],[Horas Planificadas]]+Planning[[#This Row],[Horas ajustadas adicionales]]</f>
        <v>347</v>
      </c>
    </row>
    <row r="5275" spans="1:23" ht="13.35" customHeight="1" x14ac:dyDescent="0.2">
      <c r="A5275" s="9" t="s">
        <v>684</v>
      </c>
      <c r="B5275" s="9" t="s">
        <v>685</v>
      </c>
      <c r="C5275" s="3">
        <v>117205</v>
      </c>
      <c r="D5275" s="3" t="s">
        <v>909</v>
      </c>
      <c r="E5275" s="4"/>
      <c r="F5275" s="3" t="s">
        <v>126</v>
      </c>
      <c r="G5275" s="9">
        <v>219</v>
      </c>
      <c r="H5275" s="9">
        <f>54+165</f>
        <v>219</v>
      </c>
      <c r="I5275" s="12">
        <f>90+27</f>
        <v>117</v>
      </c>
      <c r="J5275" s="5" t="e">
        <f>SUM(SUMIFS(#REF!,#REF!,Planning[[#This Row],[Tipo de Tarea y especialidad]],#REF!,Planning[[#This Row],[Proyectos Reiwa]]),SUMIFS(#REF!,#REF!,Planning[[#This Row],[Tipo de Tarea y especialidad]],#REF!,Planning[[#This Row],[Proyectos]]))</f>
        <v>#REF!</v>
      </c>
      <c r="K5275" s="5" t="e">
        <f>+Planning[[#This Row],[Horas Planificadas]]+Planning[[#This Row],[Horas ajustadas adicionales]]-Planning[[#This Row],[Horas utilizadas]]</f>
        <v>#REF!</v>
      </c>
      <c r="L5275" s="7">
        <v>36</v>
      </c>
      <c r="M5275" s="19" t="e">
        <f>Planning[[#This Row],[Saldo]]-Planning[[#This Row],[Saldo estimado]]</f>
        <v>#REF!</v>
      </c>
      <c r="N5275" s="60" t="e">
        <f>+SUMIFS(#REF!,#REF!,Planning[[#This Row],[Proyectos]],#REF!,Planning[[#This Row],[Tipo de Tarea y especialidad]])+SUMIFS(#REF!,#REF!,Planning[[#This Row],[Proyectos Reiwa]],#REF!,Planning[[#This Row],[Tipo de Tarea y especialidad]])</f>
        <v>#REF!</v>
      </c>
      <c r="O5275" s="19">
        <f t="shared" si="165"/>
        <v>10</v>
      </c>
      <c r="P5275" s="19">
        <f t="shared" si="166"/>
        <v>2024</v>
      </c>
      <c r="Q52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75" s="34" t="str">
        <f>TEXT(Planning[[#This Row],[Mes]]*29,"mmmm")</f>
        <v>October</v>
      </c>
      <c r="S527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75" s="180"/>
      <c r="U5275" s="43" t="e">
        <f>IF(Planning[[#This Row],[Horas Planificadas]]&lt;&gt;0,+K5275/Planning[[#This Row],[Horas Planificadas]],0)</f>
        <v>#REF!</v>
      </c>
      <c r="V5275" s="43" t="e">
        <f>IF(Planning[[#This Row],[Horas Planificadas]]&lt;&gt;0,Planning[[#This Row],[Horas utilizadas]]/Planning[[#This Row],[Horas Planificadas]],0)</f>
        <v>#REF!</v>
      </c>
      <c r="W5275" s="44">
        <f>Planning[[#This Row],[Horas Planificadas]]+Planning[[#This Row],[Horas ajustadas adicionales]]</f>
        <v>336</v>
      </c>
    </row>
    <row r="5276" spans="1:23" ht="13.35" customHeight="1" x14ac:dyDescent="0.2">
      <c r="A5276" s="9" t="s">
        <v>684</v>
      </c>
      <c r="B5276" s="9" t="s">
        <v>685</v>
      </c>
      <c r="C5276" s="3">
        <v>117205</v>
      </c>
      <c r="D5276" s="3" t="s">
        <v>909</v>
      </c>
      <c r="E5276" s="4"/>
      <c r="F5276" s="3" t="s">
        <v>127</v>
      </c>
      <c r="G5276" s="9">
        <v>119</v>
      </c>
      <c r="H5276" s="9">
        <f>54+65</f>
        <v>119</v>
      </c>
      <c r="I5276" s="12"/>
      <c r="J5276" s="5" t="e">
        <f>SUM(SUMIFS(#REF!,#REF!,Planning[[#This Row],[Tipo de Tarea y especialidad]],#REF!,Planning[[#This Row],[Proyectos Reiwa]]),SUMIFS(#REF!,#REF!,Planning[[#This Row],[Tipo de Tarea y especialidad]],#REF!,Planning[[#This Row],[Proyectos]]))</f>
        <v>#REF!</v>
      </c>
      <c r="K5276" s="5" t="e">
        <f>+Planning[[#This Row],[Horas Planificadas]]+Planning[[#This Row],[Horas ajustadas adicionales]]-Planning[[#This Row],[Horas utilizadas]]</f>
        <v>#REF!</v>
      </c>
      <c r="L5276" s="7">
        <v>45</v>
      </c>
      <c r="M5276" s="19" t="e">
        <f>Planning[[#This Row],[Saldo]]-Planning[[#This Row],[Saldo estimado]]</f>
        <v>#REF!</v>
      </c>
      <c r="N5276" s="60" t="e">
        <f>+SUMIFS(#REF!,#REF!,Planning[[#This Row],[Proyectos]],#REF!,Planning[[#This Row],[Tipo de Tarea y especialidad]])+SUMIFS(#REF!,#REF!,Planning[[#This Row],[Proyectos Reiwa]],#REF!,Planning[[#This Row],[Tipo de Tarea y especialidad]])</f>
        <v>#REF!</v>
      </c>
      <c r="O5276" s="19">
        <f t="shared" si="165"/>
        <v>10</v>
      </c>
      <c r="P5276" s="19">
        <f t="shared" si="166"/>
        <v>2024</v>
      </c>
      <c r="Q52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76" s="34" t="str">
        <f>TEXT(Planning[[#This Row],[Mes]]*29,"mmmm")</f>
        <v>October</v>
      </c>
      <c r="S527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76" s="180"/>
      <c r="U5276" s="43" t="e">
        <f>IF(Planning[[#This Row],[Horas Planificadas]]&lt;&gt;0,+K5276/Planning[[#This Row],[Horas Planificadas]],0)</f>
        <v>#REF!</v>
      </c>
      <c r="V5276" s="43" t="e">
        <f>IF(Planning[[#This Row],[Horas Planificadas]]&lt;&gt;0,Planning[[#This Row],[Horas utilizadas]]/Planning[[#This Row],[Horas Planificadas]],0)</f>
        <v>#REF!</v>
      </c>
      <c r="W5276" s="44">
        <f>Planning[[#This Row],[Horas Planificadas]]+Planning[[#This Row],[Horas ajustadas adicionales]]</f>
        <v>119</v>
      </c>
    </row>
    <row r="5277" spans="1:23" ht="13.35" customHeight="1" x14ac:dyDescent="0.2">
      <c r="A5277" s="9" t="s">
        <v>684</v>
      </c>
      <c r="B5277" s="9" t="s">
        <v>685</v>
      </c>
      <c r="C5277" s="3">
        <v>117205</v>
      </c>
      <c r="D5277" s="3" t="s">
        <v>909</v>
      </c>
      <c r="E5277" s="4"/>
      <c r="F5277" s="3" t="s">
        <v>128</v>
      </c>
      <c r="G5277" s="9"/>
      <c r="H5277" s="9"/>
      <c r="I5277" s="12"/>
      <c r="J5277" s="5" t="e">
        <f>SUM(SUMIFS(#REF!,#REF!,Planning[[#This Row],[Tipo de Tarea y especialidad]],#REF!,Planning[[#This Row],[Proyectos Reiwa]]),SUMIFS(#REF!,#REF!,Planning[[#This Row],[Tipo de Tarea y especialidad]],#REF!,Planning[[#This Row],[Proyectos]]))</f>
        <v>#REF!</v>
      </c>
      <c r="K5277" s="5" t="e">
        <f>+Planning[[#This Row],[Horas Planificadas]]+Planning[[#This Row],[Horas ajustadas adicionales]]-Planning[[#This Row],[Horas utilizadas]]</f>
        <v>#REF!</v>
      </c>
      <c r="L5277" s="7">
        <v>0</v>
      </c>
      <c r="M5277" s="19" t="e">
        <f>Planning[[#This Row],[Saldo]]-Planning[[#This Row],[Saldo estimado]]</f>
        <v>#REF!</v>
      </c>
      <c r="N5277" s="60" t="e">
        <f>+SUMIFS(#REF!,#REF!,Planning[[#This Row],[Proyectos]],#REF!,Planning[[#This Row],[Tipo de Tarea y especialidad]])+SUMIFS(#REF!,#REF!,Planning[[#This Row],[Proyectos Reiwa]],#REF!,Planning[[#This Row],[Tipo de Tarea y especialidad]])</f>
        <v>#REF!</v>
      </c>
      <c r="O5277" s="19">
        <f t="shared" si="165"/>
        <v>10</v>
      </c>
      <c r="P5277" s="19">
        <f t="shared" si="166"/>
        <v>2024</v>
      </c>
      <c r="Q52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77" s="34" t="str">
        <f>TEXT(Planning[[#This Row],[Mes]]*29,"mmmm")</f>
        <v>October</v>
      </c>
      <c r="S527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77" s="180"/>
      <c r="U5277" s="43">
        <f>IF(Planning[[#This Row],[Horas Planificadas]]&lt;&gt;0,+K5277/Planning[[#This Row],[Horas Planificadas]],0)</f>
        <v>0</v>
      </c>
      <c r="V5277" s="43">
        <f>IF(Planning[[#This Row],[Horas Planificadas]]&lt;&gt;0,Planning[[#This Row],[Horas utilizadas]]/Planning[[#This Row],[Horas Planificadas]],0)</f>
        <v>0</v>
      </c>
      <c r="W5277" s="44">
        <f>Planning[[#This Row],[Horas Planificadas]]+Planning[[#This Row],[Horas ajustadas adicionales]]</f>
        <v>0</v>
      </c>
    </row>
    <row r="5278" spans="1:23" ht="13.35" customHeight="1" x14ac:dyDescent="0.2">
      <c r="A5278" s="9" t="s">
        <v>684</v>
      </c>
      <c r="B5278" s="9" t="s">
        <v>685</v>
      </c>
      <c r="C5278" s="3">
        <v>117205</v>
      </c>
      <c r="D5278" s="3" t="s">
        <v>909</v>
      </c>
      <c r="E5278" s="4" t="s">
        <v>31</v>
      </c>
      <c r="F5278" s="3" t="s">
        <v>31</v>
      </c>
      <c r="G5278" s="9">
        <v>120</v>
      </c>
      <c r="H5278" s="17">
        <v>120</v>
      </c>
      <c r="I5278" s="18"/>
      <c r="J5278" s="14" t="e">
        <f>+SUMIFS(#REF!,#REF!,Planning[[#This Row],[Tarifa]],#REF!,Planning[[#This Row],[Proyectos]])</f>
        <v>#REF!</v>
      </c>
      <c r="K5278" s="14" t="e">
        <f>+Planning[[#This Row],[Horas Planificadas]]+Planning[[#This Row],[Horas ajustadas adicionales]]-Planning[[#This Row],[Horas utilizadas]]</f>
        <v>#REF!</v>
      </c>
      <c r="L5278" s="15" t="e">
        <f>Planning[[#This Row],[Saldo]]</f>
        <v>#REF!</v>
      </c>
      <c r="M5278" s="16" t="e">
        <f>Planning[[#This Row],[Saldo]]-Planning[[#This Row],[Saldo estimado]]</f>
        <v>#REF!</v>
      </c>
      <c r="N5278" s="60" t="e">
        <f>+SUMIFS(#REF!,#REF!,Planning[[#This Row],[Proyectos]],#REF!,Planning[[#This Row],[Tipo de Tarea y especialidad]])+SUMIFS(#REF!,#REF!,Planning[[#This Row],[Proyectos Reiwa]],#REF!,Planning[[#This Row],[Tipo de Tarea y especialidad]])</f>
        <v>#REF!</v>
      </c>
      <c r="O5278" s="16">
        <f t="shared" si="165"/>
        <v>10</v>
      </c>
      <c r="P5278" s="16">
        <f t="shared" si="166"/>
        <v>2024</v>
      </c>
      <c r="Q5278" s="16" t="e">
        <f>+SUMIFS(#REF!,#REF!,Planning[[#This Row],[Tarifa]],#REF!,Planning[[#This Row],[Proyectos]],#REF!,Planning[[#This Row],[Mes]],#REF!,Planning[[#This Row],[Año]])</f>
        <v>#REF!</v>
      </c>
      <c r="R5278" s="35" t="str">
        <f>TEXT(Planning[[#This Row],[Mes]]*29,"mmmm")</f>
        <v>October</v>
      </c>
      <c r="S527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78" s="180"/>
      <c r="U5278" s="43" t="e">
        <f>IF(Planning[[#This Row],[Horas Planificadas]]&lt;&gt;0,+K5278/Planning[[#This Row],[Horas Planificadas]],0)</f>
        <v>#REF!</v>
      </c>
      <c r="V5278" s="43" t="e">
        <f>IF(Planning[[#This Row],[Horas Planificadas]]&lt;&gt;0,Planning[[#This Row],[Horas utilizadas]]/Planning[[#This Row],[Horas Planificadas]],0)</f>
        <v>#REF!</v>
      </c>
      <c r="W5278" s="44">
        <f>Planning[[#This Row],[Horas Planificadas]]+Planning[[#This Row],[Horas ajustadas adicionales]]</f>
        <v>120</v>
      </c>
    </row>
    <row r="5279" spans="1:23" ht="13.35" customHeight="1" x14ac:dyDescent="0.2">
      <c r="A5279" s="9" t="s">
        <v>684</v>
      </c>
      <c r="B5279" s="9" t="s">
        <v>685</v>
      </c>
      <c r="C5279" s="3">
        <v>117205</v>
      </c>
      <c r="D5279" s="3" t="s">
        <v>909</v>
      </c>
      <c r="E5279" s="4" t="s">
        <v>32</v>
      </c>
      <c r="F5279" s="3"/>
      <c r="G5279" s="9">
        <v>200</v>
      </c>
      <c r="H5279" s="14">
        <f>SUM(H5280:H5282)</f>
        <v>200</v>
      </c>
      <c r="I5279" s="14">
        <f>SUM(I5280:I5282)</f>
        <v>80</v>
      </c>
      <c r="J5279" s="14" t="e">
        <f>SUM(J5280:J5282)</f>
        <v>#REF!</v>
      </c>
      <c r="K5279" s="14" t="e">
        <f>+Planning[[#This Row],[Horas Planificadas]]+Planning[[#This Row],[Horas ajustadas adicionales]]-Planning[[#This Row],[Horas utilizadas]]</f>
        <v>#REF!</v>
      </c>
      <c r="L5279" s="15" t="e">
        <f>SUM(L5280:L5282)</f>
        <v>#REF!</v>
      </c>
      <c r="M5279" s="16" t="e">
        <f>SUM(M5280:M5282)</f>
        <v>#REF!</v>
      </c>
      <c r="N5279" s="60" t="e">
        <f>+SUMIFS(#REF!,#REF!,Planning[[#This Row],[Proyectos]],#REF!,Planning[[#This Row],[Tipo de Tarea y especialidad]])+SUMIFS(#REF!,#REF!,Planning[[#This Row],[Proyectos Reiwa]],#REF!,Planning[[#This Row],[Tipo de Tarea y especialidad]])</f>
        <v>#REF!</v>
      </c>
      <c r="O5279" s="16">
        <f t="shared" si="165"/>
        <v>10</v>
      </c>
      <c r="P5279" s="16">
        <f t="shared" si="166"/>
        <v>2024</v>
      </c>
      <c r="Q5279" s="16" t="e">
        <f>SUM(Q5280:Q5282)</f>
        <v>#REF!</v>
      </c>
      <c r="R5279" s="35" t="str">
        <f>TEXT(Planning[[#This Row],[Mes]]*29,"mmmm")</f>
        <v>October</v>
      </c>
      <c r="S527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79" s="180"/>
      <c r="U5279" s="43" t="e">
        <f>IF(Planning[[#This Row],[Horas Planificadas]]&lt;&gt;0,+K5279/Planning[[#This Row],[Horas Planificadas]],0)</f>
        <v>#REF!</v>
      </c>
      <c r="V5279" s="43" t="e">
        <f>IF(Planning[[#This Row],[Horas Planificadas]]&lt;&gt;0,Planning[[#This Row],[Horas utilizadas]]/Planning[[#This Row],[Horas Planificadas]],0)</f>
        <v>#REF!</v>
      </c>
      <c r="W5279" s="44">
        <f>Planning[[#This Row],[Horas Planificadas]]+Planning[[#This Row],[Horas ajustadas adicionales]]</f>
        <v>280</v>
      </c>
    </row>
    <row r="5280" spans="1:23" ht="13.35" customHeight="1" x14ac:dyDescent="0.2">
      <c r="A5280" s="9" t="s">
        <v>684</v>
      </c>
      <c r="B5280" s="9" t="s">
        <v>685</v>
      </c>
      <c r="C5280" s="3">
        <v>117205</v>
      </c>
      <c r="D5280" s="3" t="s">
        <v>909</v>
      </c>
      <c r="E5280" s="4"/>
      <c r="F5280" s="3" t="s">
        <v>129</v>
      </c>
      <c r="G5280" s="9">
        <v>130</v>
      </c>
      <c r="H5280" s="9">
        <v>130</v>
      </c>
      <c r="I5280" s="12">
        <f>50+30</f>
        <v>80</v>
      </c>
      <c r="J5280" s="5" t="e">
        <f>SUM(SUMIFS(#REF!,#REF!,Planning[[#This Row],[Tipo de Tarea y especialidad]],#REF!,Planning[[#This Row],[Proyectos Reiwa]]),SUMIFS(#REF!,#REF!,Planning[[#This Row],[Tipo de Tarea y especialidad]],#REF!,Planning[[#This Row],[Proyectos]]))</f>
        <v>#REF!</v>
      </c>
      <c r="K5280" s="5" t="e">
        <f>+Planning[[#This Row],[Horas Planificadas]]+Planning[[#This Row],[Horas ajustadas adicionales]]-Planning[[#This Row],[Horas utilizadas]]</f>
        <v>#REF!</v>
      </c>
      <c r="L5280" s="7" t="e">
        <f>Planning[[#This Row],[Saldo]]</f>
        <v>#REF!</v>
      </c>
      <c r="M5280" s="19" t="e">
        <f>Planning[[#This Row],[Saldo]]-Planning[[#This Row],[Saldo estimado]]</f>
        <v>#REF!</v>
      </c>
      <c r="N5280" s="60" t="e">
        <f>+SUMIFS(#REF!,#REF!,Planning[[#This Row],[Proyectos]],#REF!,Planning[[#This Row],[Tipo de Tarea y especialidad]])+SUMIFS(#REF!,#REF!,Planning[[#This Row],[Proyectos Reiwa]],#REF!,Planning[[#This Row],[Tipo de Tarea y especialidad]])</f>
        <v>#REF!</v>
      </c>
      <c r="O5280" s="19">
        <f t="shared" si="165"/>
        <v>10</v>
      </c>
      <c r="P5280" s="19">
        <f t="shared" si="166"/>
        <v>2024</v>
      </c>
      <c r="Q52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80" s="34" t="str">
        <f>TEXT(Planning[[#This Row],[Mes]]*29,"mmmm")</f>
        <v>October</v>
      </c>
      <c r="S528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80" s="180"/>
      <c r="U5280" s="43" t="e">
        <f>IF(Planning[[#This Row],[Horas Planificadas]]&lt;&gt;0,+K5280/Planning[[#This Row],[Horas Planificadas]],0)</f>
        <v>#REF!</v>
      </c>
      <c r="V5280" s="43" t="e">
        <f>IF(Planning[[#This Row],[Horas Planificadas]]&lt;&gt;0,Planning[[#This Row],[Horas utilizadas]]/Planning[[#This Row],[Horas Planificadas]],0)</f>
        <v>#REF!</v>
      </c>
      <c r="W5280" s="44">
        <f>Planning[[#This Row],[Horas Planificadas]]+Planning[[#This Row],[Horas ajustadas adicionales]]</f>
        <v>210</v>
      </c>
    </row>
    <row r="5281" spans="1:23" ht="13.35" customHeight="1" x14ac:dyDescent="0.2">
      <c r="A5281" s="9" t="s">
        <v>684</v>
      </c>
      <c r="B5281" s="9" t="s">
        <v>685</v>
      </c>
      <c r="C5281" s="3">
        <v>117205</v>
      </c>
      <c r="D5281" s="3" t="s">
        <v>909</v>
      </c>
      <c r="E5281" s="4"/>
      <c r="F5281" s="3" t="s">
        <v>130</v>
      </c>
      <c r="G5281" s="9">
        <v>70</v>
      </c>
      <c r="H5281" s="9">
        <v>70</v>
      </c>
      <c r="I5281" s="12"/>
      <c r="J5281" s="5" t="e">
        <f>SUM(SUMIFS(#REF!,#REF!,Planning[[#This Row],[Tipo de Tarea y especialidad]],#REF!,Planning[[#This Row],[Proyectos Reiwa]]),SUMIFS(#REF!,#REF!,Planning[[#This Row],[Tipo de Tarea y especialidad]],#REF!,Planning[[#This Row],[Proyectos]]))</f>
        <v>#REF!</v>
      </c>
      <c r="K5281" s="5" t="e">
        <f>+Planning[[#This Row],[Horas Planificadas]]+Planning[[#This Row],[Horas ajustadas adicionales]]-Planning[[#This Row],[Horas utilizadas]]</f>
        <v>#REF!</v>
      </c>
      <c r="L5281" s="7" t="e">
        <f>Planning[[#This Row],[Saldo]]</f>
        <v>#REF!</v>
      </c>
      <c r="M5281" s="19" t="e">
        <f>Planning[[#This Row],[Saldo]]-Planning[[#This Row],[Saldo estimado]]</f>
        <v>#REF!</v>
      </c>
      <c r="N5281" s="60" t="e">
        <f>+SUMIFS(#REF!,#REF!,Planning[[#This Row],[Proyectos]],#REF!,Planning[[#This Row],[Tipo de Tarea y especialidad]])+SUMIFS(#REF!,#REF!,Planning[[#This Row],[Proyectos Reiwa]],#REF!,Planning[[#This Row],[Tipo de Tarea y especialidad]])</f>
        <v>#REF!</v>
      </c>
      <c r="O5281" s="19">
        <f t="shared" si="165"/>
        <v>10</v>
      </c>
      <c r="P5281" s="19">
        <f t="shared" si="166"/>
        <v>2024</v>
      </c>
      <c r="Q52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81" s="34" t="str">
        <f>TEXT(Planning[[#This Row],[Mes]]*29,"mmmm")</f>
        <v>October</v>
      </c>
      <c r="S528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81" s="180"/>
      <c r="U5281" s="43" t="e">
        <f>IF(Planning[[#This Row],[Horas Planificadas]]&lt;&gt;0,+K5281/Planning[[#This Row],[Horas Planificadas]],0)</f>
        <v>#REF!</v>
      </c>
      <c r="V5281" s="43" t="e">
        <f>IF(Planning[[#This Row],[Horas Planificadas]]&lt;&gt;0,Planning[[#This Row],[Horas utilizadas]]/Planning[[#This Row],[Horas Planificadas]],0)</f>
        <v>#REF!</v>
      </c>
      <c r="W5281" s="44">
        <f>Planning[[#This Row],[Horas Planificadas]]+Planning[[#This Row],[Horas ajustadas adicionales]]</f>
        <v>70</v>
      </c>
    </row>
    <row r="5282" spans="1:23" ht="13.35" customHeight="1" x14ac:dyDescent="0.2">
      <c r="A5282" s="9" t="s">
        <v>684</v>
      </c>
      <c r="B5282" s="9" t="s">
        <v>685</v>
      </c>
      <c r="C5282" s="3">
        <v>117205</v>
      </c>
      <c r="D5282" s="3" t="s">
        <v>909</v>
      </c>
      <c r="E5282" s="4"/>
      <c r="F5282" s="3" t="s">
        <v>131</v>
      </c>
      <c r="G5282" s="9"/>
      <c r="H5282" s="9"/>
      <c r="I5282" s="12"/>
      <c r="J5282" s="5" t="e">
        <f>SUM(SUMIFS(#REF!,#REF!,Planning[[#This Row],[Tipo de Tarea y especialidad]],#REF!,Planning[[#This Row],[Proyectos Reiwa]]),SUMIFS(#REF!,#REF!,Planning[[#This Row],[Tipo de Tarea y especialidad]],#REF!,Planning[[#This Row],[Proyectos]]))</f>
        <v>#REF!</v>
      </c>
      <c r="K5282" s="5" t="e">
        <f>+Planning[[#This Row],[Horas Planificadas]]+Planning[[#This Row],[Horas ajustadas adicionales]]-Planning[[#This Row],[Horas utilizadas]]</f>
        <v>#REF!</v>
      </c>
      <c r="L5282" s="7">
        <v>0</v>
      </c>
      <c r="M5282" s="19" t="e">
        <f>Planning[[#This Row],[Saldo]]-Planning[[#This Row],[Saldo estimado]]</f>
        <v>#REF!</v>
      </c>
      <c r="N5282" s="60" t="e">
        <f>+SUMIFS(#REF!,#REF!,Planning[[#This Row],[Proyectos]],#REF!,Planning[[#This Row],[Tipo de Tarea y especialidad]])+SUMIFS(#REF!,#REF!,Planning[[#This Row],[Proyectos Reiwa]],#REF!,Planning[[#This Row],[Tipo de Tarea y especialidad]])</f>
        <v>#REF!</v>
      </c>
      <c r="O5282" s="19">
        <f t="shared" si="165"/>
        <v>10</v>
      </c>
      <c r="P5282" s="19">
        <f t="shared" si="166"/>
        <v>2024</v>
      </c>
      <c r="Q52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82" s="34" t="str">
        <f>TEXT(Planning[[#This Row],[Mes]]*29,"mmmm")</f>
        <v>October</v>
      </c>
      <c r="S528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82" s="181"/>
      <c r="U5282" s="43">
        <f>IF(Planning[[#This Row],[Horas Planificadas]]&lt;&gt;0,+K5282/Planning[[#This Row],[Horas Planificadas]],0)</f>
        <v>0</v>
      </c>
      <c r="V5282" s="43">
        <f>IF(Planning[[#This Row],[Horas Planificadas]]&lt;&gt;0,Planning[[#This Row],[Horas utilizadas]]/Planning[[#This Row],[Horas Planificadas]],0)</f>
        <v>0</v>
      </c>
      <c r="W5282" s="44">
        <f>Planning[[#This Row],[Horas Planificadas]]+Planning[[#This Row],[Horas ajustadas adicionales]]</f>
        <v>0</v>
      </c>
    </row>
    <row r="5283" spans="1:23" ht="13.35" customHeight="1" x14ac:dyDescent="0.2">
      <c r="A5283" s="9" t="s">
        <v>204</v>
      </c>
      <c r="B5283" s="9" t="s">
        <v>685</v>
      </c>
      <c r="C5283" s="3">
        <v>117206</v>
      </c>
      <c r="D5283" s="3" t="s">
        <v>911</v>
      </c>
      <c r="E5283" s="4" t="s">
        <v>28</v>
      </c>
      <c r="F5283" s="3"/>
      <c r="G5283" s="9">
        <v>1047</v>
      </c>
      <c r="H5283" s="14">
        <f>SUM(H5284:H5285)</f>
        <v>1084</v>
      </c>
      <c r="I5283" s="14"/>
      <c r="J5283" s="14" t="e">
        <f>SUM(J5284:J5285)</f>
        <v>#REF!</v>
      </c>
      <c r="K5283" s="14" t="e">
        <f>+Planning[[#This Row],[Horas Planificadas]]+Planning[[#This Row],[Horas ajustadas adicionales]]-Planning[[#This Row],[Horas utilizadas]]</f>
        <v>#REF!</v>
      </c>
      <c r="L5283" s="15">
        <f>SUM(L5284:L5285)</f>
        <v>90</v>
      </c>
      <c r="M5283" s="14" t="e">
        <f>SUM(M5284:M5285)</f>
        <v>#REF!</v>
      </c>
      <c r="N5283" s="60" t="e">
        <f>+SUMIFS(#REF!,#REF!,Planning[[#This Row],[Proyectos]],#REF!,Planning[[#This Row],[Tipo de Tarea y especialidad]])+SUMIFS(#REF!,#REF!,Planning[[#This Row],[Proyectos Reiwa]],#REF!,Planning[[#This Row],[Tipo de Tarea y especialidad]])</f>
        <v>#REF!</v>
      </c>
      <c r="O5283" s="14">
        <f t="shared" si="165"/>
        <v>10</v>
      </c>
      <c r="P5283" s="14">
        <f t="shared" si="166"/>
        <v>2024</v>
      </c>
      <c r="Q5283" s="28" t="e">
        <f>SUM(Q5284:Q5285)</f>
        <v>#REF!</v>
      </c>
      <c r="R5283" s="14" t="str">
        <f>TEXT(Planning[[#This Row],[Mes]]*29,"mmmm")</f>
        <v>October</v>
      </c>
      <c r="S528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83" s="179" t="s">
        <v>912</v>
      </c>
      <c r="U5283" s="43" t="e">
        <f>IF(Planning[[#This Row],[Horas Planificadas]]&lt;&gt;0,+K5283/Planning[[#This Row],[Horas Planificadas]],0)</f>
        <v>#REF!</v>
      </c>
      <c r="V5283" s="43" t="e">
        <f>IF(Planning[[#This Row],[Horas Planificadas]]&lt;&gt;0,Planning[[#This Row],[Horas utilizadas]]/Planning[[#This Row],[Horas Planificadas]],0)</f>
        <v>#REF!</v>
      </c>
      <c r="W5283" s="44">
        <f>Planning[[#This Row],[Horas Planificadas]]+Planning[[#This Row],[Horas ajustadas adicionales]]</f>
        <v>1084</v>
      </c>
    </row>
    <row r="5284" spans="1:23" ht="13.35" customHeight="1" x14ac:dyDescent="0.2">
      <c r="A5284" s="9" t="s">
        <v>204</v>
      </c>
      <c r="B5284" s="9" t="s">
        <v>685</v>
      </c>
      <c r="C5284" s="3">
        <v>117206</v>
      </c>
      <c r="D5284" s="3" t="s">
        <v>911</v>
      </c>
      <c r="E5284" s="4"/>
      <c r="F5284" s="3" t="s">
        <v>120</v>
      </c>
      <c r="G5284" s="9">
        <v>555</v>
      </c>
      <c r="H5284" s="9">
        <v>555</v>
      </c>
      <c r="I5284" s="12"/>
      <c r="J5284" s="5" t="e">
        <f>SUM(SUMIFS(#REF!,#REF!,Planning[[#This Row],[Tipo de Tarea y especialidad]],#REF!,Planning[[#This Row],[Proyectos Reiwa]]),SUMIFS(#REF!,#REF!,Planning[[#This Row],[Tipo de Tarea y especialidad]],#REF!,Planning[[#This Row],[Proyectos]]))</f>
        <v>#REF!</v>
      </c>
      <c r="K5284" s="5" t="e">
        <f>+Planning[[#This Row],[Horas Planificadas]]+Planning[[#This Row],[Horas ajustadas adicionales]]-Planning[[#This Row],[Horas utilizadas]]</f>
        <v>#REF!</v>
      </c>
      <c r="L5284" s="7">
        <v>0</v>
      </c>
      <c r="M5284" s="19" t="e">
        <f>Planning[[#This Row],[Saldo]]-Planning[[#This Row],[Saldo estimado]]</f>
        <v>#REF!</v>
      </c>
      <c r="N5284" s="60" t="e">
        <f>+SUMIFS(#REF!,#REF!,Planning[[#This Row],[Proyectos]],#REF!,Planning[[#This Row],[Tipo de Tarea y especialidad]])+SUMIFS(#REF!,#REF!,Planning[[#This Row],[Proyectos Reiwa]],#REF!,Planning[[#This Row],[Tipo de Tarea y especialidad]])</f>
        <v>#REF!</v>
      </c>
      <c r="O5284" s="19">
        <f t="shared" si="165"/>
        <v>10</v>
      </c>
      <c r="P5284" s="19">
        <f t="shared" si="166"/>
        <v>2024</v>
      </c>
      <c r="Q52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84" s="34" t="str">
        <f>TEXT(Planning[[#This Row],[Mes]]*29,"mmmm")</f>
        <v>October</v>
      </c>
      <c r="S528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84" s="180"/>
      <c r="U5284" s="43" t="e">
        <f>IF(Planning[[#This Row],[Horas Planificadas]]&lt;&gt;0,+K5284/Planning[[#This Row],[Horas Planificadas]],0)</f>
        <v>#REF!</v>
      </c>
      <c r="V5284" s="43" t="e">
        <f>IF(Planning[[#This Row],[Horas Planificadas]]&lt;&gt;0,Planning[[#This Row],[Horas utilizadas]]/Planning[[#This Row],[Horas Planificadas]],0)</f>
        <v>#REF!</v>
      </c>
      <c r="W5284" s="44">
        <f>Planning[[#This Row],[Horas Planificadas]]+Planning[[#This Row],[Horas ajustadas adicionales]]</f>
        <v>555</v>
      </c>
    </row>
    <row r="5285" spans="1:23" ht="13.35" customHeight="1" x14ac:dyDescent="0.2">
      <c r="A5285" s="9" t="s">
        <v>204</v>
      </c>
      <c r="B5285" s="9" t="s">
        <v>685</v>
      </c>
      <c r="C5285" s="3">
        <v>117206</v>
      </c>
      <c r="D5285" s="3" t="s">
        <v>911</v>
      </c>
      <c r="E5285" s="4"/>
      <c r="F5285" s="3" t="s">
        <v>121</v>
      </c>
      <c r="G5285" s="9">
        <v>492</v>
      </c>
      <c r="H5285" s="9">
        <f>529</f>
        <v>529</v>
      </c>
      <c r="I5285" s="12"/>
      <c r="J5285" s="5" t="e">
        <f>SUM(SUMIFS(#REF!,#REF!,Planning[[#This Row],[Tipo de Tarea y especialidad]],#REF!,Planning[[#This Row],[Proyectos Reiwa]]),SUMIFS(#REF!,#REF!,Planning[[#This Row],[Tipo de Tarea y especialidad]],#REF!,Planning[[#This Row],[Proyectos]]))</f>
        <v>#REF!</v>
      </c>
      <c r="K5285" s="5" t="e">
        <f>+Planning[[#This Row],[Horas Planificadas]]+Planning[[#This Row],[Horas ajustadas adicionales]]-Planning[[#This Row],[Horas utilizadas]]</f>
        <v>#REF!</v>
      </c>
      <c r="L5285" s="7">
        <v>90</v>
      </c>
      <c r="M5285" s="19" t="e">
        <f>Planning[[#This Row],[Saldo]]-Planning[[#This Row],[Saldo estimado]]</f>
        <v>#REF!</v>
      </c>
      <c r="N5285" s="60" t="e">
        <f>+SUMIFS(#REF!,#REF!,Planning[[#This Row],[Proyectos]],#REF!,Planning[[#This Row],[Tipo de Tarea y especialidad]])+SUMIFS(#REF!,#REF!,Planning[[#This Row],[Proyectos Reiwa]],#REF!,Planning[[#This Row],[Tipo de Tarea y especialidad]])</f>
        <v>#REF!</v>
      </c>
      <c r="O5285" s="19">
        <f t="shared" si="165"/>
        <v>10</v>
      </c>
      <c r="P5285" s="19">
        <f t="shared" si="166"/>
        <v>2024</v>
      </c>
      <c r="Q52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85" s="34" t="str">
        <f>TEXT(Planning[[#This Row],[Mes]]*29,"mmmm")</f>
        <v>October</v>
      </c>
      <c r="S528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85" s="180"/>
      <c r="U5285" s="43" t="e">
        <f>IF(Planning[[#This Row],[Horas Planificadas]]&lt;&gt;0,+K5285/Planning[[#This Row],[Horas Planificadas]],0)</f>
        <v>#REF!</v>
      </c>
      <c r="V5285" s="43" t="e">
        <f>IF(Planning[[#This Row],[Horas Planificadas]]&lt;&gt;0,Planning[[#This Row],[Horas utilizadas]]/Planning[[#This Row],[Horas Planificadas]],0)</f>
        <v>#REF!</v>
      </c>
      <c r="W5285" s="44">
        <f>Planning[[#This Row],[Horas Planificadas]]+Planning[[#This Row],[Horas ajustadas adicionales]]</f>
        <v>529</v>
      </c>
    </row>
    <row r="5286" spans="1:23" ht="13.35" customHeight="1" x14ac:dyDescent="0.2">
      <c r="A5286" s="9" t="s">
        <v>204</v>
      </c>
      <c r="B5286" s="9" t="s">
        <v>685</v>
      </c>
      <c r="C5286" s="3">
        <v>117206</v>
      </c>
      <c r="D5286" s="3" t="s">
        <v>911</v>
      </c>
      <c r="E5286" s="4" t="s">
        <v>30</v>
      </c>
      <c r="F5286" s="3"/>
      <c r="G5286" s="9">
        <v>1426</v>
      </c>
      <c r="H5286" s="14">
        <f>SUM(H5287:H5293)</f>
        <v>1505.5</v>
      </c>
      <c r="I5286" s="14"/>
      <c r="J5286" s="14" t="e">
        <f>SUM(J5287:J5293)</f>
        <v>#REF!</v>
      </c>
      <c r="K5286" s="14" t="e">
        <f>+Planning[[#This Row],[Horas Planificadas]]+Planning[[#This Row],[Horas ajustadas adicionales]]-Planning[[#This Row],[Horas utilizadas]]</f>
        <v>#REF!</v>
      </c>
      <c r="L5286" s="15">
        <f>SUM(L5287:L5293)</f>
        <v>261</v>
      </c>
      <c r="M5286" s="16" t="e">
        <f>SUM(M5287:M5293)</f>
        <v>#REF!</v>
      </c>
      <c r="N5286" s="60" t="e">
        <f>+SUMIFS(#REF!,#REF!,Planning[[#This Row],[Proyectos]],#REF!,Planning[[#This Row],[Tipo de Tarea y especialidad]])+SUMIFS(#REF!,#REF!,Planning[[#This Row],[Proyectos Reiwa]],#REF!,Planning[[#This Row],[Tipo de Tarea y especialidad]])</f>
        <v>#REF!</v>
      </c>
      <c r="O5286" s="16">
        <f t="shared" si="165"/>
        <v>10</v>
      </c>
      <c r="P5286" s="16">
        <f t="shared" si="166"/>
        <v>2024</v>
      </c>
      <c r="Q5286" s="16" t="e">
        <f>SUM(Q5287:Q5293)</f>
        <v>#REF!</v>
      </c>
      <c r="R5286" s="35" t="str">
        <f>TEXT(Planning[[#This Row],[Mes]]*29,"mmmm")</f>
        <v>October</v>
      </c>
      <c r="S528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86" s="180"/>
      <c r="U5286" s="43" t="e">
        <f>IF(Planning[[#This Row],[Horas Planificadas]]&lt;&gt;0,+K5286/Planning[[#This Row],[Horas Planificadas]],0)</f>
        <v>#REF!</v>
      </c>
      <c r="V5286" s="43" t="e">
        <f>IF(Planning[[#This Row],[Horas Planificadas]]&lt;&gt;0,Planning[[#This Row],[Horas utilizadas]]/Planning[[#This Row],[Horas Planificadas]],0)</f>
        <v>#REF!</v>
      </c>
      <c r="W5286" s="44">
        <f>Planning[[#This Row],[Horas Planificadas]]+Planning[[#This Row],[Horas ajustadas adicionales]]</f>
        <v>1505.5</v>
      </c>
    </row>
    <row r="5287" spans="1:23" ht="13.35" customHeight="1" x14ac:dyDescent="0.2">
      <c r="A5287" s="9" t="s">
        <v>204</v>
      </c>
      <c r="B5287" s="9" t="s">
        <v>685</v>
      </c>
      <c r="C5287" s="3">
        <v>117206</v>
      </c>
      <c r="D5287" s="3" t="s">
        <v>911</v>
      </c>
      <c r="E5287" s="4"/>
      <c r="F5287" s="3" t="s">
        <v>122</v>
      </c>
      <c r="G5287" s="9">
        <v>369</v>
      </c>
      <c r="H5287" s="9">
        <v>378</v>
      </c>
      <c r="I5287" s="12"/>
      <c r="J5287" s="5" t="e">
        <f>SUM(SUMIFS(#REF!,#REF!,Planning[[#This Row],[Tipo de Tarea y especialidad]],#REF!,Planning[[#This Row],[Proyectos Reiwa]]),SUMIFS(#REF!,#REF!,Planning[[#This Row],[Tipo de Tarea y especialidad]],#REF!,Planning[[#This Row],[Proyectos]]))</f>
        <v>#REF!</v>
      </c>
      <c r="K5287" s="5" t="e">
        <f>+Planning[[#This Row],[Horas Planificadas]]+Planning[[#This Row],[Horas ajustadas adicionales]]-Planning[[#This Row],[Horas utilizadas]]</f>
        <v>#REF!</v>
      </c>
      <c r="L5287" s="7">
        <v>45</v>
      </c>
      <c r="M5287" s="19" t="e">
        <f>Planning[[#This Row],[Saldo]]-Planning[[#This Row],[Saldo estimado]]</f>
        <v>#REF!</v>
      </c>
      <c r="N5287" s="60" t="e">
        <f>+SUMIFS(#REF!,#REF!,Planning[[#This Row],[Proyectos]],#REF!,Planning[[#This Row],[Tipo de Tarea y especialidad]])+SUMIFS(#REF!,#REF!,Planning[[#This Row],[Proyectos Reiwa]],#REF!,Planning[[#This Row],[Tipo de Tarea y especialidad]])</f>
        <v>#REF!</v>
      </c>
      <c r="O5287" s="19">
        <f t="shared" si="165"/>
        <v>10</v>
      </c>
      <c r="P5287" s="19">
        <f t="shared" si="166"/>
        <v>2024</v>
      </c>
      <c r="Q52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87" s="34" t="str">
        <f>TEXT(Planning[[#This Row],[Mes]]*29,"mmmm")</f>
        <v>October</v>
      </c>
      <c r="S528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87" s="180"/>
      <c r="U5287" s="43" t="e">
        <f>IF(Planning[[#This Row],[Horas Planificadas]]&lt;&gt;0,+K5287/Planning[[#This Row],[Horas Planificadas]],0)</f>
        <v>#REF!</v>
      </c>
      <c r="V5287" s="43" t="e">
        <f>IF(Planning[[#This Row],[Horas Planificadas]]&lt;&gt;0,Planning[[#This Row],[Horas utilizadas]]/Planning[[#This Row],[Horas Planificadas]],0)</f>
        <v>#REF!</v>
      </c>
      <c r="W5287" s="44">
        <f>Planning[[#This Row],[Horas Planificadas]]+Planning[[#This Row],[Horas ajustadas adicionales]]</f>
        <v>378</v>
      </c>
    </row>
    <row r="5288" spans="1:23" ht="13.35" customHeight="1" x14ac:dyDescent="0.2">
      <c r="A5288" s="9" t="s">
        <v>204</v>
      </c>
      <c r="B5288" s="9" t="s">
        <v>685</v>
      </c>
      <c r="C5288" s="3">
        <v>117206</v>
      </c>
      <c r="D5288" s="3" t="s">
        <v>911</v>
      </c>
      <c r="E5288" s="4"/>
      <c r="F5288" s="3" t="s">
        <v>123</v>
      </c>
      <c r="G5288" s="9">
        <v>340</v>
      </c>
      <c r="H5288" s="9">
        <f>331+9</f>
        <v>340</v>
      </c>
      <c r="I5288" s="12"/>
      <c r="J5288" s="5" t="e">
        <f>SUM(SUMIFS(#REF!,#REF!,Planning[[#This Row],[Tipo de Tarea y especialidad]],#REF!,Planning[[#This Row],[Proyectos Reiwa]]),SUMIFS(#REF!,#REF!,Planning[[#This Row],[Tipo de Tarea y especialidad]],#REF!,Planning[[#This Row],[Proyectos]]))</f>
        <v>#REF!</v>
      </c>
      <c r="K5288" s="5" t="e">
        <f>+Planning[[#This Row],[Horas Planificadas]]+Planning[[#This Row],[Horas ajustadas adicionales]]-Planning[[#This Row],[Horas utilizadas]]</f>
        <v>#REF!</v>
      </c>
      <c r="L5288" s="7">
        <v>90</v>
      </c>
      <c r="M5288" s="19" t="e">
        <f>Planning[[#This Row],[Saldo]]-Planning[[#This Row],[Saldo estimado]]</f>
        <v>#REF!</v>
      </c>
      <c r="N5288" s="60" t="e">
        <f>+SUMIFS(#REF!,#REF!,Planning[[#This Row],[Proyectos]],#REF!,Planning[[#This Row],[Tipo de Tarea y especialidad]])+SUMIFS(#REF!,#REF!,Planning[[#This Row],[Proyectos Reiwa]],#REF!,Planning[[#This Row],[Tipo de Tarea y especialidad]])</f>
        <v>#REF!</v>
      </c>
      <c r="O5288" s="19">
        <f t="shared" si="165"/>
        <v>10</v>
      </c>
      <c r="P5288" s="19">
        <f t="shared" si="166"/>
        <v>2024</v>
      </c>
      <c r="Q52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88" s="34" t="str">
        <f>TEXT(Planning[[#This Row],[Mes]]*29,"mmmm")</f>
        <v>October</v>
      </c>
      <c r="S528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88" s="180"/>
      <c r="U5288" s="43" t="e">
        <f>IF(Planning[[#This Row],[Horas Planificadas]]&lt;&gt;0,+K5288/Planning[[#This Row],[Horas Planificadas]],0)</f>
        <v>#REF!</v>
      </c>
      <c r="V5288" s="43" t="e">
        <f>IF(Planning[[#This Row],[Horas Planificadas]]&lt;&gt;0,Planning[[#This Row],[Horas utilizadas]]/Planning[[#This Row],[Horas Planificadas]],0)</f>
        <v>#REF!</v>
      </c>
      <c r="W5288" s="44">
        <f>Planning[[#This Row],[Horas Planificadas]]+Planning[[#This Row],[Horas ajustadas adicionales]]</f>
        <v>340</v>
      </c>
    </row>
    <row r="5289" spans="1:23" ht="13.35" customHeight="1" x14ac:dyDescent="0.2">
      <c r="A5289" s="9" t="s">
        <v>204</v>
      </c>
      <c r="B5289" s="9" t="s">
        <v>685</v>
      </c>
      <c r="C5289" s="3">
        <v>117206</v>
      </c>
      <c r="D5289" s="3" t="s">
        <v>911</v>
      </c>
      <c r="E5289" s="4"/>
      <c r="F5289" s="3" t="s">
        <v>124</v>
      </c>
      <c r="G5289" s="9"/>
      <c r="H5289" s="9"/>
      <c r="I5289" s="12"/>
      <c r="J5289" s="5" t="e">
        <f>SUM(SUMIFS(#REF!,#REF!,Planning[[#This Row],[Tipo de Tarea y especialidad]],#REF!,Planning[[#This Row],[Proyectos Reiwa]]),SUMIFS(#REF!,#REF!,Planning[[#This Row],[Tipo de Tarea y especialidad]],#REF!,Planning[[#This Row],[Proyectos]]))</f>
        <v>#REF!</v>
      </c>
      <c r="K5289" s="5" t="e">
        <f>+Planning[[#This Row],[Horas Planificadas]]+Planning[[#This Row],[Horas ajustadas adicionales]]-Planning[[#This Row],[Horas utilizadas]]</f>
        <v>#REF!</v>
      </c>
      <c r="L5289" s="7">
        <v>0</v>
      </c>
      <c r="M5289" s="19" t="e">
        <f>Planning[[#This Row],[Saldo]]-Planning[[#This Row],[Saldo estimado]]</f>
        <v>#REF!</v>
      </c>
      <c r="N5289" s="60" t="e">
        <f>+SUMIFS(#REF!,#REF!,Planning[[#This Row],[Proyectos]],#REF!,Planning[[#This Row],[Tipo de Tarea y especialidad]])+SUMIFS(#REF!,#REF!,Planning[[#This Row],[Proyectos Reiwa]],#REF!,Planning[[#This Row],[Tipo de Tarea y especialidad]])</f>
        <v>#REF!</v>
      </c>
      <c r="O5289" s="19">
        <f t="shared" si="165"/>
        <v>10</v>
      </c>
      <c r="P5289" s="19">
        <f t="shared" si="166"/>
        <v>2024</v>
      </c>
      <c r="Q52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89" s="34" t="str">
        <f>TEXT(Planning[[#This Row],[Mes]]*29,"mmmm")</f>
        <v>October</v>
      </c>
      <c r="S528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89" s="180"/>
      <c r="U5289" s="43">
        <f>IF(Planning[[#This Row],[Horas Planificadas]]&lt;&gt;0,+K5289/Planning[[#This Row],[Horas Planificadas]],0)</f>
        <v>0</v>
      </c>
      <c r="V5289" s="43">
        <f>IF(Planning[[#This Row],[Horas Planificadas]]&lt;&gt;0,Planning[[#This Row],[Horas utilizadas]]/Planning[[#This Row],[Horas Planificadas]],0)</f>
        <v>0</v>
      </c>
      <c r="W5289" s="44">
        <f>Planning[[#This Row],[Horas Planificadas]]+Planning[[#This Row],[Horas ajustadas adicionales]]</f>
        <v>0</v>
      </c>
    </row>
    <row r="5290" spans="1:23" ht="13.35" customHeight="1" x14ac:dyDescent="0.2">
      <c r="A5290" s="9" t="s">
        <v>204</v>
      </c>
      <c r="B5290" s="9" t="s">
        <v>685</v>
      </c>
      <c r="C5290" s="3">
        <v>117206</v>
      </c>
      <c r="D5290" s="3" t="s">
        <v>911</v>
      </c>
      <c r="E5290" s="4"/>
      <c r="F5290" s="3" t="s">
        <v>125</v>
      </c>
      <c r="G5290" s="9">
        <v>216</v>
      </c>
      <c r="H5290" s="9">
        <v>252</v>
      </c>
      <c r="I5290" s="12"/>
      <c r="J5290" s="5" t="e">
        <f>SUM(SUMIFS(#REF!,#REF!,Planning[[#This Row],[Tipo de Tarea y especialidad]],#REF!,Planning[[#This Row],[Proyectos Reiwa]]),SUMIFS(#REF!,#REF!,Planning[[#This Row],[Tipo de Tarea y especialidad]],#REF!,Planning[[#This Row],[Proyectos]]))</f>
        <v>#REF!</v>
      </c>
      <c r="K5290" s="5" t="e">
        <f>+Planning[[#This Row],[Horas Planificadas]]+Planning[[#This Row],[Horas ajustadas adicionales]]-Planning[[#This Row],[Horas utilizadas]]</f>
        <v>#REF!</v>
      </c>
      <c r="L5290" s="7">
        <v>63</v>
      </c>
      <c r="M5290" s="19" t="e">
        <f>Planning[[#This Row],[Saldo]]-Planning[[#This Row],[Saldo estimado]]</f>
        <v>#REF!</v>
      </c>
      <c r="N5290" s="60" t="e">
        <f>+SUMIFS(#REF!,#REF!,Planning[[#This Row],[Proyectos]],#REF!,Planning[[#This Row],[Tipo de Tarea y especialidad]])+SUMIFS(#REF!,#REF!,Planning[[#This Row],[Proyectos Reiwa]],#REF!,Planning[[#This Row],[Tipo de Tarea y especialidad]])</f>
        <v>#REF!</v>
      </c>
      <c r="O5290" s="19">
        <f t="shared" si="165"/>
        <v>10</v>
      </c>
      <c r="P5290" s="19">
        <f t="shared" si="166"/>
        <v>2024</v>
      </c>
      <c r="Q52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90" s="34" t="str">
        <f>TEXT(Planning[[#This Row],[Mes]]*29,"mmmm")</f>
        <v>October</v>
      </c>
      <c r="S529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90" s="180"/>
      <c r="U5290" s="43" t="e">
        <f>IF(Planning[[#This Row],[Horas Planificadas]]&lt;&gt;0,+K5290/Planning[[#This Row],[Horas Planificadas]],0)</f>
        <v>#REF!</v>
      </c>
      <c r="V5290" s="43" t="e">
        <f>IF(Planning[[#This Row],[Horas Planificadas]]&lt;&gt;0,Planning[[#This Row],[Horas utilizadas]]/Planning[[#This Row],[Horas Planificadas]],0)</f>
        <v>#REF!</v>
      </c>
      <c r="W5290" s="44">
        <f>Planning[[#This Row],[Horas Planificadas]]+Planning[[#This Row],[Horas ajustadas adicionales]]</f>
        <v>252</v>
      </c>
    </row>
    <row r="5291" spans="1:23" ht="13.35" customHeight="1" x14ac:dyDescent="0.2">
      <c r="A5291" s="9" t="s">
        <v>204</v>
      </c>
      <c r="B5291" s="9" t="s">
        <v>685</v>
      </c>
      <c r="C5291" s="3">
        <v>117206</v>
      </c>
      <c r="D5291" s="3" t="s">
        <v>911</v>
      </c>
      <c r="E5291" s="4"/>
      <c r="F5291" s="3" t="s">
        <v>126</v>
      </c>
      <c r="G5291" s="9">
        <v>305</v>
      </c>
      <c r="H5291" s="9">
        <f>125+71.5+80+10+18</f>
        <v>304.5</v>
      </c>
      <c r="I5291" s="12"/>
      <c r="J5291" s="5" t="e">
        <f>SUM(SUMIFS(#REF!,#REF!,Planning[[#This Row],[Tipo de Tarea y especialidad]],#REF!,Planning[[#This Row],[Proyectos Reiwa]]),SUMIFS(#REF!,#REF!,Planning[[#This Row],[Tipo de Tarea y especialidad]],#REF!,Planning[[#This Row],[Proyectos]]))</f>
        <v>#REF!</v>
      </c>
      <c r="K5291" s="5" t="e">
        <f>+Planning[[#This Row],[Horas Planificadas]]+Planning[[#This Row],[Horas ajustadas adicionales]]-Planning[[#This Row],[Horas utilizadas]]</f>
        <v>#REF!</v>
      </c>
      <c r="L5291" s="7">
        <v>27</v>
      </c>
      <c r="M5291" s="19" t="e">
        <f>Planning[[#This Row],[Saldo]]-Planning[[#This Row],[Saldo estimado]]</f>
        <v>#REF!</v>
      </c>
      <c r="N5291" s="60" t="e">
        <f>+SUMIFS(#REF!,#REF!,Planning[[#This Row],[Proyectos]],#REF!,Planning[[#This Row],[Tipo de Tarea y especialidad]])+SUMIFS(#REF!,#REF!,Planning[[#This Row],[Proyectos Reiwa]],#REF!,Planning[[#This Row],[Tipo de Tarea y especialidad]])</f>
        <v>#REF!</v>
      </c>
      <c r="O5291" s="19">
        <f t="shared" si="165"/>
        <v>10</v>
      </c>
      <c r="P5291" s="19">
        <f t="shared" si="166"/>
        <v>2024</v>
      </c>
      <c r="Q52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91" s="34" t="str">
        <f>TEXT(Planning[[#This Row],[Mes]]*29,"mmmm")</f>
        <v>October</v>
      </c>
      <c r="S529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91" s="180"/>
      <c r="U5291" s="43" t="e">
        <f>IF(Planning[[#This Row],[Horas Planificadas]]&lt;&gt;0,+K5291/Planning[[#This Row],[Horas Planificadas]],0)</f>
        <v>#REF!</v>
      </c>
      <c r="V5291" s="43" t="e">
        <f>IF(Planning[[#This Row],[Horas Planificadas]]&lt;&gt;0,Planning[[#This Row],[Horas utilizadas]]/Planning[[#This Row],[Horas Planificadas]],0)</f>
        <v>#REF!</v>
      </c>
      <c r="W5291" s="44">
        <f>Planning[[#This Row],[Horas Planificadas]]+Planning[[#This Row],[Horas ajustadas adicionales]]</f>
        <v>304.5</v>
      </c>
    </row>
    <row r="5292" spans="1:23" ht="13.35" customHeight="1" x14ac:dyDescent="0.2">
      <c r="A5292" s="9" t="s">
        <v>204</v>
      </c>
      <c r="B5292" s="9" t="s">
        <v>685</v>
      </c>
      <c r="C5292" s="3">
        <v>117206</v>
      </c>
      <c r="D5292" s="3" t="s">
        <v>911</v>
      </c>
      <c r="E5292" s="4"/>
      <c r="F5292" s="3" t="s">
        <v>127</v>
      </c>
      <c r="G5292" s="9">
        <v>196</v>
      </c>
      <c r="H5292" s="9">
        <v>231</v>
      </c>
      <c r="I5292" s="12"/>
      <c r="J5292" s="5" t="e">
        <f>SUM(SUMIFS(#REF!,#REF!,Planning[[#This Row],[Tipo de Tarea y especialidad]],#REF!,Planning[[#This Row],[Proyectos Reiwa]]),SUMIFS(#REF!,#REF!,Planning[[#This Row],[Tipo de Tarea y especialidad]],#REF!,Planning[[#This Row],[Proyectos]]))</f>
        <v>#REF!</v>
      </c>
      <c r="K5292" s="5" t="e">
        <f>+Planning[[#This Row],[Horas Planificadas]]+Planning[[#This Row],[Horas ajustadas adicionales]]-Planning[[#This Row],[Horas utilizadas]]</f>
        <v>#REF!</v>
      </c>
      <c r="L5292" s="7">
        <v>36</v>
      </c>
      <c r="M5292" s="19" t="e">
        <f>Planning[[#This Row],[Saldo]]-Planning[[#This Row],[Saldo estimado]]</f>
        <v>#REF!</v>
      </c>
      <c r="N5292" s="60" t="e">
        <f>+SUMIFS(#REF!,#REF!,Planning[[#This Row],[Proyectos]],#REF!,Planning[[#This Row],[Tipo de Tarea y especialidad]])+SUMIFS(#REF!,#REF!,Planning[[#This Row],[Proyectos Reiwa]],#REF!,Planning[[#This Row],[Tipo de Tarea y especialidad]])</f>
        <v>#REF!</v>
      </c>
      <c r="O5292" s="19">
        <f t="shared" si="165"/>
        <v>10</v>
      </c>
      <c r="P5292" s="19">
        <f t="shared" si="166"/>
        <v>2024</v>
      </c>
      <c r="Q52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92" s="34" t="str">
        <f>TEXT(Planning[[#This Row],[Mes]]*29,"mmmm")</f>
        <v>October</v>
      </c>
      <c r="S529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92" s="180"/>
      <c r="U5292" s="43" t="e">
        <f>IF(Planning[[#This Row],[Horas Planificadas]]&lt;&gt;0,+K5292/Planning[[#This Row],[Horas Planificadas]],0)</f>
        <v>#REF!</v>
      </c>
      <c r="V5292" s="43" t="e">
        <f>IF(Planning[[#This Row],[Horas Planificadas]]&lt;&gt;0,Planning[[#This Row],[Horas utilizadas]]/Planning[[#This Row],[Horas Planificadas]],0)</f>
        <v>#REF!</v>
      </c>
      <c r="W5292" s="44">
        <f>Planning[[#This Row],[Horas Planificadas]]+Planning[[#This Row],[Horas ajustadas adicionales]]</f>
        <v>231</v>
      </c>
    </row>
    <row r="5293" spans="1:23" ht="13.35" customHeight="1" x14ac:dyDescent="0.2">
      <c r="A5293" s="9" t="s">
        <v>204</v>
      </c>
      <c r="B5293" s="9" t="s">
        <v>685</v>
      </c>
      <c r="C5293" s="3">
        <v>117206</v>
      </c>
      <c r="D5293" s="3" t="s">
        <v>911</v>
      </c>
      <c r="E5293" s="4"/>
      <c r="F5293" s="3" t="s">
        <v>128</v>
      </c>
      <c r="G5293" s="9"/>
      <c r="H5293" s="9"/>
      <c r="I5293" s="12"/>
      <c r="J5293" s="5" t="e">
        <f>SUM(SUMIFS(#REF!,#REF!,Planning[[#This Row],[Tipo de Tarea y especialidad]],#REF!,Planning[[#This Row],[Proyectos Reiwa]]),SUMIFS(#REF!,#REF!,Planning[[#This Row],[Tipo de Tarea y especialidad]],#REF!,Planning[[#This Row],[Proyectos]]))</f>
        <v>#REF!</v>
      </c>
      <c r="K5293" s="5" t="e">
        <f>+Planning[[#This Row],[Horas Planificadas]]+Planning[[#This Row],[Horas ajustadas adicionales]]-Planning[[#This Row],[Horas utilizadas]]</f>
        <v>#REF!</v>
      </c>
      <c r="L5293" s="7">
        <v>0</v>
      </c>
      <c r="M5293" s="19" t="e">
        <f>Planning[[#This Row],[Saldo]]-Planning[[#This Row],[Saldo estimado]]</f>
        <v>#REF!</v>
      </c>
      <c r="N5293" s="60" t="e">
        <f>+SUMIFS(#REF!,#REF!,Planning[[#This Row],[Proyectos]],#REF!,Planning[[#This Row],[Tipo de Tarea y especialidad]])+SUMIFS(#REF!,#REF!,Planning[[#This Row],[Proyectos Reiwa]],#REF!,Planning[[#This Row],[Tipo de Tarea y especialidad]])</f>
        <v>#REF!</v>
      </c>
      <c r="O5293" s="19">
        <f t="shared" si="165"/>
        <v>10</v>
      </c>
      <c r="P5293" s="19">
        <f t="shared" si="166"/>
        <v>2024</v>
      </c>
      <c r="Q52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93" s="34" t="str">
        <f>TEXT(Planning[[#This Row],[Mes]]*29,"mmmm")</f>
        <v>October</v>
      </c>
      <c r="S529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93" s="180"/>
      <c r="U5293" s="43">
        <f>IF(Planning[[#This Row],[Horas Planificadas]]&lt;&gt;0,+K5293/Planning[[#This Row],[Horas Planificadas]],0)</f>
        <v>0</v>
      </c>
      <c r="V5293" s="43">
        <f>IF(Planning[[#This Row],[Horas Planificadas]]&lt;&gt;0,Planning[[#This Row],[Horas utilizadas]]/Planning[[#This Row],[Horas Planificadas]],0)</f>
        <v>0</v>
      </c>
      <c r="W5293" s="44">
        <f>Planning[[#This Row],[Horas Planificadas]]+Planning[[#This Row],[Horas ajustadas adicionales]]</f>
        <v>0</v>
      </c>
    </row>
    <row r="5294" spans="1:23" ht="13.35" customHeight="1" x14ac:dyDescent="0.2">
      <c r="A5294" s="9" t="s">
        <v>204</v>
      </c>
      <c r="B5294" s="9" t="s">
        <v>685</v>
      </c>
      <c r="C5294" s="3">
        <v>117206</v>
      </c>
      <c r="D5294" s="3" t="s">
        <v>911</v>
      </c>
      <c r="E5294" s="4" t="s">
        <v>31</v>
      </c>
      <c r="F5294" s="3" t="s">
        <v>31</v>
      </c>
      <c r="G5294" s="9">
        <v>120</v>
      </c>
      <c r="H5294" s="17">
        <v>45</v>
      </c>
      <c r="I5294" s="18"/>
      <c r="J5294" s="14" t="e">
        <f>+SUMIFS(#REF!,#REF!,Planning[[#This Row],[Tarifa]],#REF!,Planning[[#This Row],[Proyectos]])</f>
        <v>#REF!</v>
      </c>
      <c r="K5294" s="14" t="e">
        <f>+Planning[[#This Row],[Horas Planificadas]]+Planning[[#This Row],[Horas ajustadas adicionales]]-Planning[[#This Row],[Horas utilizadas]]</f>
        <v>#REF!</v>
      </c>
      <c r="L5294" s="15" t="e">
        <f>Planning[[#This Row],[Saldo]]</f>
        <v>#REF!</v>
      </c>
      <c r="M5294" s="16" t="e">
        <f>Planning[[#This Row],[Saldo]]-Planning[[#This Row],[Saldo estimado]]</f>
        <v>#REF!</v>
      </c>
      <c r="N5294" s="60" t="e">
        <f>+SUMIFS(#REF!,#REF!,Planning[[#This Row],[Proyectos]],#REF!,Planning[[#This Row],[Tipo de Tarea y especialidad]])+SUMIFS(#REF!,#REF!,Planning[[#This Row],[Proyectos Reiwa]],#REF!,Planning[[#This Row],[Tipo de Tarea y especialidad]])</f>
        <v>#REF!</v>
      </c>
      <c r="O5294" s="16">
        <f t="shared" si="165"/>
        <v>10</v>
      </c>
      <c r="P5294" s="16">
        <f t="shared" si="166"/>
        <v>2024</v>
      </c>
      <c r="Q5294" s="16" t="e">
        <f>+SUMIFS(#REF!,#REF!,Planning[[#This Row],[Tarifa]],#REF!,Planning[[#This Row],[Proyectos]],#REF!,Planning[[#This Row],[Mes]],#REF!,Planning[[#This Row],[Año]])</f>
        <v>#REF!</v>
      </c>
      <c r="R5294" s="35" t="str">
        <f>TEXT(Planning[[#This Row],[Mes]]*29,"mmmm")</f>
        <v>October</v>
      </c>
      <c r="S529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94" s="180"/>
      <c r="U5294" s="43" t="e">
        <f>IF(Planning[[#This Row],[Horas Planificadas]]&lt;&gt;0,+K5294/Planning[[#This Row],[Horas Planificadas]],0)</f>
        <v>#REF!</v>
      </c>
      <c r="V5294" s="43" t="e">
        <f>IF(Planning[[#This Row],[Horas Planificadas]]&lt;&gt;0,Planning[[#This Row],[Horas utilizadas]]/Planning[[#This Row],[Horas Planificadas]],0)</f>
        <v>#REF!</v>
      </c>
      <c r="W5294" s="44">
        <f>Planning[[#This Row],[Horas Planificadas]]+Planning[[#This Row],[Horas ajustadas adicionales]]</f>
        <v>45</v>
      </c>
    </row>
    <row r="5295" spans="1:23" ht="13.35" customHeight="1" x14ac:dyDescent="0.2">
      <c r="A5295" s="9" t="s">
        <v>204</v>
      </c>
      <c r="B5295" s="9" t="s">
        <v>685</v>
      </c>
      <c r="C5295" s="3">
        <v>117206</v>
      </c>
      <c r="D5295" s="3" t="s">
        <v>911</v>
      </c>
      <c r="E5295" s="4" t="s">
        <v>32</v>
      </c>
      <c r="F5295" s="3"/>
      <c r="G5295" s="9">
        <v>690</v>
      </c>
      <c r="H5295" s="14">
        <f>SUM(H5296:H5298)</f>
        <v>690</v>
      </c>
      <c r="I5295" s="14"/>
      <c r="J5295" s="14" t="e">
        <f>SUM(J5296:J5298)</f>
        <v>#REF!</v>
      </c>
      <c r="K5295" s="14" t="e">
        <f>+Planning[[#This Row],[Horas Planificadas]]+Planning[[#This Row],[Horas ajustadas adicionales]]-Planning[[#This Row],[Horas utilizadas]]</f>
        <v>#REF!</v>
      </c>
      <c r="L5295" s="15" t="e">
        <f>SUM(L5296:L5298)</f>
        <v>#REF!</v>
      </c>
      <c r="M5295" s="16" t="e">
        <f>SUM(M5296:M5298)</f>
        <v>#REF!</v>
      </c>
      <c r="N5295" s="60" t="e">
        <f>+SUMIFS(#REF!,#REF!,Planning[[#This Row],[Proyectos]],#REF!,Planning[[#This Row],[Tipo de Tarea y especialidad]])+SUMIFS(#REF!,#REF!,Planning[[#This Row],[Proyectos Reiwa]],#REF!,Planning[[#This Row],[Tipo de Tarea y especialidad]])</f>
        <v>#REF!</v>
      </c>
      <c r="O5295" s="16">
        <f t="shared" si="165"/>
        <v>10</v>
      </c>
      <c r="P5295" s="16">
        <f t="shared" si="166"/>
        <v>2024</v>
      </c>
      <c r="Q5295" s="16" t="e">
        <f>SUM(Q5296:Q5298)</f>
        <v>#REF!</v>
      </c>
      <c r="R5295" s="35" t="str">
        <f>TEXT(Planning[[#This Row],[Mes]]*29,"mmmm")</f>
        <v>October</v>
      </c>
      <c r="S529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95" s="180"/>
      <c r="U5295" s="43" t="e">
        <f>IF(Planning[[#This Row],[Horas Planificadas]]&lt;&gt;0,+K5295/Planning[[#This Row],[Horas Planificadas]],0)</f>
        <v>#REF!</v>
      </c>
      <c r="V5295" s="43" t="e">
        <f>IF(Planning[[#This Row],[Horas Planificadas]]&lt;&gt;0,Planning[[#This Row],[Horas utilizadas]]/Planning[[#This Row],[Horas Planificadas]],0)</f>
        <v>#REF!</v>
      </c>
      <c r="W5295" s="44">
        <f>Planning[[#This Row],[Horas Planificadas]]+Planning[[#This Row],[Horas ajustadas adicionales]]</f>
        <v>690</v>
      </c>
    </row>
    <row r="5296" spans="1:23" ht="13.35" customHeight="1" x14ac:dyDescent="0.2">
      <c r="A5296" s="9" t="s">
        <v>204</v>
      </c>
      <c r="B5296" s="9" t="s">
        <v>685</v>
      </c>
      <c r="C5296" s="3">
        <v>117206</v>
      </c>
      <c r="D5296" s="3" t="s">
        <v>911</v>
      </c>
      <c r="E5296" s="4"/>
      <c r="F5296" s="3" t="s">
        <v>129</v>
      </c>
      <c r="G5296" s="9"/>
      <c r="H5296" s="9">
        <f>130+70+110+50+60</f>
        <v>420</v>
      </c>
      <c r="I5296" s="12"/>
      <c r="J5296" s="5" t="e">
        <f>SUM(SUMIFS(#REF!,#REF!,Planning[[#This Row],[Tipo de Tarea y especialidad]],#REF!,Planning[[#This Row],[Proyectos Reiwa]]),SUMIFS(#REF!,#REF!,Planning[[#This Row],[Tipo de Tarea y especialidad]],#REF!,Planning[[#This Row],[Proyectos]]))</f>
        <v>#REF!</v>
      </c>
      <c r="K5296" s="5" t="e">
        <f>+Planning[[#This Row],[Horas Planificadas]]+Planning[[#This Row],[Horas ajustadas adicionales]]-Planning[[#This Row],[Horas utilizadas]]</f>
        <v>#REF!</v>
      </c>
      <c r="L5296" s="7" t="e">
        <f>Planning[[#This Row],[Saldo]]</f>
        <v>#REF!</v>
      </c>
      <c r="M5296" s="19" t="e">
        <f>Planning[[#This Row],[Saldo]]-Planning[[#This Row],[Saldo estimado]]</f>
        <v>#REF!</v>
      </c>
      <c r="N5296" s="60" t="e">
        <f>+SUMIFS(#REF!,#REF!,Planning[[#This Row],[Proyectos]],#REF!,Planning[[#This Row],[Tipo de Tarea y especialidad]])+SUMIFS(#REF!,#REF!,Planning[[#This Row],[Proyectos Reiwa]],#REF!,Planning[[#This Row],[Tipo de Tarea y especialidad]])</f>
        <v>#REF!</v>
      </c>
      <c r="O5296" s="19">
        <f t="shared" si="165"/>
        <v>10</v>
      </c>
      <c r="P5296" s="19">
        <f t="shared" si="166"/>
        <v>2024</v>
      </c>
      <c r="Q52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96" s="34" t="str">
        <f>TEXT(Planning[[#This Row],[Mes]]*29,"mmmm")</f>
        <v>October</v>
      </c>
      <c r="S529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96" s="180"/>
      <c r="U5296" s="43" t="e">
        <f>IF(Planning[[#This Row],[Horas Planificadas]]&lt;&gt;0,+K5296/Planning[[#This Row],[Horas Planificadas]],0)</f>
        <v>#REF!</v>
      </c>
      <c r="V5296" s="43" t="e">
        <f>IF(Planning[[#This Row],[Horas Planificadas]]&lt;&gt;0,Planning[[#This Row],[Horas utilizadas]]/Planning[[#This Row],[Horas Planificadas]],0)</f>
        <v>#REF!</v>
      </c>
      <c r="W5296" s="44">
        <f>Planning[[#This Row],[Horas Planificadas]]+Planning[[#This Row],[Horas ajustadas adicionales]]</f>
        <v>420</v>
      </c>
    </row>
    <row r="5297" spans="1:23" ht="13.35" customHeight="1" x14ac:dyDescent="0.2">
      <c r="A5297" s="9" t="s">
        <v>204</v>
      </c>
      <c r="B5297" s="9" t="s">
        <v>685</v>
      </c>
      <c r="C5297" s="3">
        <v>117206</v>
      </c>
      <c r="D5297" s="3" t="s">
        <v>911</v>
      </c>
      <c r="E5297" s="4"/>
      <c r="F5297" s="3" t="s">
        <v>130</v>
      </c>
      <c r="G5297" s="9"/>
      <c r="H5297" s="9">
        <f>190+50+30</f>
        <v>270</v>
      </c>
      <c r="I5297" s="12"/>
      <c r="J5297" s="5" t="e">
        <f>SUM(SUMIFS(#REF!,#REF!,Planning[[#This Row],[Tipo de Tarea y especialidad]],#REF!,Planning[[#This Row],[Proyectos Reiwa]]),SUMIFS(#REF!,#REF!,Planning[[#This Row],[Tipo de Tarea y especialidad]],#REF!,Planning[[#This Row],[Proyectos]]))</f>
        <v>#REF!</v>
      </c>
      <c r="K5297" s="5" t="e">
        <f>+Planning[[#This Row],[Horas Planificadas]]+Planning[[#This Row],[Horas ajustadas adicionales]]-Planning[[#This Row],[Horas utilizadas]]</f>
        <v>#REF!</v>
      </c>
      <c r="L5297" s="7" t="e">
        <f>Planning[[#This Row],[Saldo]]</f>
        <v>#REF!</v>
      </c>
      <c r="M5297" s="19" t="e">
        <f>Planning[[#This Row],[Saldo]]-Planning[[#This Row],[Saldo estimado]]</f>
        <v>#REF!</v>
      </c>
      <c r="N5297" s="60" t="e">
        <f>+SUMIFS(#REF!,#REF!,Planning[[#This Row],[Proyectos]],#REF!,Planning[[#This Row],[Tipo de Tarea y especialidad]])+SUMIFS(#REF!,#REF!,Planning[[#This Row],[Proyectos Reiwa]],#REF!,Planning[[#This Row],[Tipo de Tarea y especialidad]])</f>
        <v>#REF!</v>
      </c>
      <c r="O5297" s="19">
        <f t="shared" si="165"/>
        <v>10</v>
      </c>
      <c r="P5297" s="19">
        <f t="shared" si="166"/>
        <v>2024</v>
      </c>
      <c r="Q52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97" s="34" t="str">
        <f>TEXT(Planning[[#This Row],[Mes]]*29,"mmmm")</f>
        <v>October</v>
      </c>
      <c r="S529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97" s="180"/>
      <c r="U5297" s="43" t="e">
        <f>IF(Planning[[#This Row],[Horas Planificadas]]&lt;&gt;0,+K5297/Planning[[#This Row],[Horas Planificadas]],0)</f>
        <v>#REF!</v>
      </c>
      <c r="V5297" s="43" t="e">
        <f>IF(Planning[[#This Row],[Horas Planificadas]]&lt;&gt;0,Planning[[#This Row],[Horas utilizadas]]/Planning[[#This Row],[Horas Planificadas]],0)</f>
        <v>#REF!</v>
      </c>
      <c r="W5297" s="44">
        <f>Planning[[#This Row],[Horas Planificadas]]+Planning[[#This Row],[Horas ajustadas adicionales]]</f>
        <v>270</v>
      </c>
    </row>
    <row r="5298" spans="1:23" ht="13.35" customHeight="1" x14ac:dyDescent="0.2">
      <c r="A5298" s="9" t="s">
        <v>204</v>
      </c>
      <c r="B5298" s="9" t="s">
        <v>685</v>
      </c>
      <c r="C5298" s="3">
        <v>117206</v>
      </c>
      <c r="D5298" s="3" t="s">
        <v>911</v>
      </c>
      <c r="E5298" s="4"/>
      <c r="F5298" s="3" t="s">
        <v>131</v>
      </c>
      <c r="G5298" s="9"/>
      <c r="H5298" s="9">
        <v>0</v>
      </c>
      <c r="I5298" s="12"/>
      <c r="J5298" s="5" t="e">
        <f>SUM(SUMIFS(#REF!,#REF!,Planning[[#This Row],[Tipo de Tarea y especialidad]],#REF!,Planning[[#This Row],[Proyectos Reiwa]]),SUMIFS(#REF!,#REF!,Planning[[#This Row],[Tipo de Tarea y especialidad]],#REF!,Planning[[#This Row],[Proyectos]]))</f>
        <v>#REF!</v>
      </c>
      <c r="K5298" s="5" t="e">
        <f>+Planning[[#This Row],[Horas Planificadas]]+Planning[[#This Row],[Horas ajustadas adicionales]]-Planning[[#This Row],[Horas utilizadas]]</f>
        <v>#REF!</v>
      </c>
      <c r="L5298" s="7">
        <v>0</v>
      </c>
      <c r="M5298" s="19" t="e">
        <f>Planning[[#This Row],[Saldo]]-Planning[[#This Row],[Saldo estimado]]</f>
        <v>#REF!</v>
      </c>
      <c r="N5298" s="60" t="e">
        <f>+SUMIFS(#REF!,#REF!,Planning[[#This Row],[Proyectos]],#REF!,Planning[[#This Row],[Tipo de Tarea y especialidad]])+SUMIFS(#REF!,#REF!,Planning[[#This Row],[Proyectos Reiwa]],#REF!,Planning[[#This Row],[Tipo de Tarea y especialidad]])</f>
        <v>#REF!</v>
      </c>
      <c r="O5298" s="19">
        <f t="shared" si="165"/>
        <v>10</v>
      </c>
      <c r="P5298" s="19">
        <f t="shared" si="166"/>
        <v>2024</v>
      </c>
      <c r="Q52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298" s="34" t="str">
        <f>TEXT(Planning[[#This Row],[Mes]]*29,"mmmm")</f>
        <v>October</v>
      </c>
      <c r="S529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98" s="181"/>
      <c r="U5298" s="43">
        <f>IF(Planning[[#This Row],[Horas Planificadas]]&lt;&gt;0,+K5298/Planning[[#This Row],[Horas Planificadas]],0)</f>
        <v>0</v>
      </c>
      <c r="V5298" s="43">
        <f>IF(Planning[[#This Row],[Horas Planificadas]]&lt;&gt;0,Planning[[#This Row],[Horas utilizadas]]/Planning[[#This Row],[Horas Planificadas]],0)</f>
        <v>0</v>
      </c>
      <c r="W5298" s="44">
        <f>Planning[[#This Row],[Horas Planificadas]]+Planning[[#This Row],[Horas ajustadas adicionales]]</f>
        <v>0</v>
      </c>
    </row>
    <row r="5299" spans="1:23" ht="13.35" customHeight="1" x14ac:dyDescent="0.2">
      <c r="A5299" s="9" t="s">
        <v>684</v>
      </c>
      <c r="B5299" s="9" t="s">
        <v>288</v>
      </c>
      <c r="C5299" s="3">
        <v>116917</v>
      </c>
      <c r="D5299" s="3" t="s">
        <v>913</v>
      </c>
      <c r="E5299" s="4" t="s">
        <v>28</v>
      </c>
      <c r="F5299" s="3"/>
      <c r="G5299" s="9">
        <f>+G5300+G5301</f>
        <v>404</v>
      </c>
      <c r="H5299" s="14">
        <f>SUM(H5300:H5301)</f>
        <v>404</v>
      </c>
      <c r="I5299" s="14"/>
      <c r="J5299" s="14" t="e">
        <f>SUM(J5300:J5301)</f>
        <v>#REF!</v>
      </c>
      <c r="K5299" s="14" t="e">
        <f>+Planning[[#This Row],[Horas Planificadas]]+Planning[[#This Row],[Horas ajustadas adicionales]]-Planning[[#This Row],[Horas utilizadas]]</f>
        <v>#REF!</v>
      </c>
      <c r="L5299" s="15" t="e">
        <f>SUM(L5300:L5301)</f>
        <v>#REF!</v>
      </c>
      <c r="M5299" s="14" t="e">
        <f>SUM(M5300:M5301)</f>
        <v>#REF!</v>
      </c>
      <c r="N5299" s="60" t="e">
        <f>+SUMIFS(#REF!,#REF!,Planning[[#This Row],[Proyectos]],#REF!,Planning[[#This Row],[Tipo de Tarea y especialidad]])+SUMIFS(#REF!,#REF!,Planning[[#This Row],[Proyectos Reiwa]],#REF!,Planning[[#This Row],[Tipo de Tarea y especialidad]])</f>
        <v>#REF!</v>
      </c>
      <c r="O5299" s="14">
        <f t="shared" ref="O5299:O5362" si="167">$L$4</f>
        <v>10</v>
      </c>
      <c r="P5299" s="14">
        <f t="shared" ref="P5299:P5362" si="168">$M$4</f>
        <v>2024</v>
      </c>
      <c r="Q5299" s="28" t="e">
        <f>SUM(Q5300:Q5301)</f>
        <v>#REF!</v>
      </c>
      <c r="R5299" s="24" t="str">
        <f>TEXT(Planning[[#This Row],[Mes]]*29,"mmmm")</f>
        <v>October</v>
      </c>
      <c r="S5299"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299" s="151" t="s">
        <v>914</v>
      </c>
      <c r="U5299" s="43" t="e">
        <f>IF(Planning[[#This Row],[Horas Planificadas]]&lt;&gt;0,+K5299/Planning[[#This Row],[Horas Planificadas]],0)</f>
        <v>#REF!</v>
      </c>
      <c r="V5299" s="43" t="e">
        <f>IF(Planning[[#This Row],[Horas Planificadas]]&lt;&gt;0,Planning[[#This Row],[Horas utilizadas]]/Planning[[#This Row],[Horas Planificadas]],0)</f>
        <v>#REF!</v>
      </c>
      <c r="W5299" s="44">
        <f>Planning[[#This Row],[Horas Planificadas]]+Planning[[#This Row],[Horas ajustadas adicionales]]</f>
        <v>404</v>
      </c>
    </row>
    <row r="5300" spans="1:23" ht="13.35" customHeight="1" x14ac:dyDescent="0.2">
      <c r="A5300" s="9" t="s">
        <v>684</v>
      </c>
      <c r="B5300" s="9" t="s">
        <v>288</v>
      </c>
      <c r="C5300" s="3">
        <v>116917</v>
      </c>
      <c r="D5300" s="3" t="s">
        <v>913</v>
      </c>
      <c r="E5300" s="4"/>
      <c r="F5300" s="3" t="s">
        <v>120</v>
      </c>
      <c r="G5300" s="9">
        <v>330</v>
      </c>
      <c r="H5300" s="9">
        <v>330</v>
      </c>
      <c r="I5300" s="12"/>
      <c r="J5300" s="5" t="e">
        <f>SUM(SUMIFS(#REF!,#REF!,Planning[[#This Row],[Tipo de Tarea y especialidad]],#REF!,Planning[[#This Row],[Proyectos Reiwa]]),SUMIFS(#REF!,#REF!,Planning[[#This Row],[Tipo de Tarea y especialidad]],#REF!,Planning[[#This Row],[Proyectos]]))</f>
        <v>#REF!</v>
      </c>
      <c r="K5300" s="5" t="e">
        <f>+Planning[[#This Row],[Horas Planificadas]]+Planning[[#This Row],[Horas ajustadas adicionales]]-Planning[[#This Row],[Horas utilizadas]]</f>
        <v>#REF!</v>
      </c>
      <c r="L5300" s="7">
        <v>0</v>
      </c>
      <c r="M5300" s="19" t="e">
        <f>Planning[[#This Row],[Saldo]]-Planning[[#This Row],[Saldo estimado]]</f>
        <v>#REF!</v>
      </c>
      <c r="N5300" s="60" t="e">
        <f>+SUMIFS(#REF!,#REF!,Planning[[#This Row],[Proyectos]],#REF!,Planning[[#This Row],[Tipo de Tarea y especialidad]])+SUMIFS(#REF!,#REF!,Planning[[#This Row],[Proyectos Reiwa]],#REF!,Planning[[#This Row],[Tipo de Tarea y especialidad]])</f>
        <v>#REF!</v>
      </c>
      <c r="O5300" s="19">
        <f t="shared" si="167"/>
        <v>10</v>
      </c>
      <c r="P5300" s="19">
        <f t="shared" si="168"/>
        <v>2024</v>
      </c>
      <c r="Q53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00" s="49" t="str">
        <f>TEXT(Planning[[#This Row],[Mes]]*29,"mmmm")</f>
        <v>October</v>
      </c>
      <c r="S530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00" s="152"/>
      <c r="U5300" s="43" t="e">
        <f>IF(Planning[[#This Row],[Horas Planificadas]]&lt;&gt;0,+K5300/Planning[[#This Row],[Horas Planificadas]],0)</f>
        <v>#REF!</v>
      </c>
      <c r="V5300" s="43" t="e">
        <f>IF(Planning[[#This Row],[Horas Planificadas]]&lt;&gt;0,Planning[[#This Row],[Horas utilizadas]]/Planning[[#This Row],[Horas Planificadas]],0)</f>
        <v>#REF!</v>
      </c>
      <c r="W5300" s="44">
        <f>Planning[[#This Row],[Horas Planificadas]]+Planning[[#This Row],[Horas ajustadas adicionales]]</f>
        <v>330</v>
      </c>
    </row>
    <row r="5301" spans="1:23" ht="13.35" customHeight="1" x14ac:dyDescent="0.2">
      <c r="A5301" s="9" t="s">
        <v>684</v>
      </c>
      <c r="B5301" s="9" t="s">
        <v>288</v>
      </c>
      <c r="C5301" s="3">
        <v>116917</v>
      </c>
      <c r="D5301" s="3" t="s">
        <v>913</v>
      </c>
      <c r="E5301" s="4"/>
      <c r="F5301" s="3" t="s">
        <v>121</v>
      </c>
      <c r="G5301" s="9">
        <v>74</v>
      </c>
      <c r="H5301" s="9">
        <v>74</v>
      </c>
      <c r="I5301" s="12"/>
      <c r="J5301" s="5" t="e">
        <f>SUM(SUMIFS(#REF!,#REF!,Planning[[#This Row],[Tipo de Tarea y especialidad]],#REF!,Planning[[#This Row],[Proyectos Reiwa]]),SUMIFS(#REF!,#REF!,Planning[[#This Row],[Tipo de Tarea y especialidad]],#REF!,Planning[[#This Row],[Proyectos]]))</f>
        <v>#REF!</v>
      </c>
      <c r="K5301" s="5" t="e">
        <f>+Planning[[#This Row],[Horas Planificadas]]+Planning[[#This Row],[Horas ajustadas adicionales]]-Planning[[#This Row],[Horas utilizadas]]</f>
        <v>#REF!</v>
      </c>
      <c r="L5301" s="7" t="e">
        <f>Planning[[#This Row],[Saldo]]</f>
        <v>#REF!</v>
      </c>
      <c r="M5301" s="19" t="e">
        <f>Planning[[#This Row],[Saldo]]-Planning[[#This Row],[Saldo estimado]]</f>
        <v>#REF!</v>
      </c>
      <c r="N5301" s="60" t="e">
        <f>+SUMIFS(#REF!,#REF!,Planning[[#This Row],[Proyectos]],#REF!,Planning[[#This Row],[Tipo de Tarea y especialidad]])+SUMIFS(#REF!,#REF!,Planning[[#This Row],[Proyectos Reiwa]],#REF!,Planning[[#This Row],[Tipo de Tarea y especialidad]])</f>
        <v>#REF!</v>
      </c>
      <c r="O5301" s="19">
        <f t="shared" si="167"/>
        <v>10</v>
      </c>
      <c r="P5301" s="19">
        <f t="shared" si="168"/>
        <v>2024</v>
      </c>
      <c r="Q53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01" s="49" t="str">
        <f>TEXT(Planning[[#This Row],[Mes]]*29,"mmmm")</f>
        <v>October</v>
      </c>
      <c r="S530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01" s="152"/>
      <c r="U5301" s="43" t="e">
        <f>IF(Planning[[#This Row],[Horas Planificadas]]&lt;&gt;0,+K5301/Planning[[#This Row],[Horas Planificadas]],0)</f>
        <v>#REF!</v>
      </c>
      <c r="V5301" s="43" t="e">
        <f>IF(Planning[[#This Row],[Horas Planificadas]]&lt;&gt;0,Planning[[#This Row],[Horas utilizadas]]/Planning[[#This Row],[Horas Planificadas]],0)</f>
        <v>#REF!</v>
      </c>
      <c r="W5301" s="44">
        <f>Planning[[#This Row],[Horas Planificadas]]+Planning[[#This Row],[Horas ajustadas adicionales]]</f>
        <v>74</v>
      </c>
    </row>
    <row r="5302" spans="1:23" ht="13.35" customHeight="1" x14ac:dyDescent="0.2">
      <c r="A5302" s="9" t="s">
        <v>684</v>
      </c>
      <c r="B5302" s="9" t="s">
        <v>288</v>
      </c>
      <c r="C5302" s="3">
        <v>116917</v>
      </c>
      <c r="D5302" s="3" t="s">
        <v>913</v>
      </c>
      <c r="E5302" s="4" t="s">
        <v>30</v>
      </c>
      <c r="F5302" s="3"/>
      <c r="G5302" s="9">
        <f>+G5305+G5309</f>
        <v>615</v>
      </c>
      <c r="H5302" s="14">
        <f>SUM(H5303:H5309)</f>
        <v>615</v>
      </c>
      <c r="I5302" s="14"/>
      <c r="J5302" s="14" t="e">
        <f>SUM(J5303:J5309)</f>
        <v>#REF!</v>
      </c>
      <c r="K5302" s="14" t="e">
        <f>+Planning[[#This Row],[Horas Planificadas]]+Planning[[#This Row],[Horas ajustadas adicionales]]-Planning[[#This Row],[Horas utilizadas]]</f>
        <v>#REF!</v>
      </c>
      <c r="L5302" s="15" t="e">
        <f>SUM(L5303:L5309)</f>
        <v>#REF!</v>
      </c>
      <c r="M5302" s="16" t="e">
        <f>SUM(M5303:M5309)</f>
        <v>#REF!</v>
      </c>
      <c r="N5302" s="60" t="e">
        <f>+SUMIFS(#REF!,#REF!,Planning[[#This Row],[Proyectos]],#REF!,Planning[[#This Row],[Tipo de Tarea y especialidad]])+SUMIFS(#REF!,#REF!,Planning[[#This Row],[Proyectos Reiwa]],#REF!,Planning[[#This Row],[Tipo de Tarea y especialidad]])</f>
        <v>#REF!</v>
      </c>
      <c r="O5302" s="16">
        <f t="shared" si="167"/>
        <v>10</v>
      </c>
      <c r="P5302" s="16">
        <f t="shared" si="168"/>
        <v>2024</v>
      </c>
      <c r="Q5302" s="16" t="e">
        <f>SUM(Q5303:Q5309)</f>
        <v>#REF!</v>
      </c>
      <c r="R5302" s="50" t="str">
        <f>TEXT(Planning[[#This Row],[Mes]]*29,"mmmm")</f>
        <v>October</v>
      </c>
      <c r="S530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02" s="152"/>
      <c r="U5302" s="43" t="e">
        <f>IF(Planning[[#This Row],[Horas Planificadas]]&lt;&gt;0,+K5302/Planning[[#This Row],[Horas Planificadas]],0)</f>
        <v>#REF!</v>
      </c>
      <c r="V5302" s="43" t="e">
        <f>IF(Planning[[#This Row],[Horas Planificadas]]&lt;&gt;0,Planning[[#This Row],[Horas utilizadas]]/Planning[[#This Row],[Horas Planificadas]],0)</f>
        <v>#REF!</v>
      </c>
      <c r="W5302" s="44">
        <f>Planning[[#This Row],[Horas Planificadas]]+Planning[[#This Row],[Horas ajustadas adicionales]]</f>
        <v>615</v>
      </c>
    </row>
    <row r="5303" spans="1:23" ht="13.35" customHeight="1" x14ac:dyDescent="0.2">
      <c r="A5303" s="9" t="s">
        <v>684</v>
      </c>
      <c r="B5303" s="9" t="s">
        <v>288</v>
      </c>
      <c r="C5303" s="3">
        <v>116917</v>
      </c>
      <c r="D5303" s="3" t="s">
        <v>913</v>
      </c>
      <c r="E5303" s="4"/>
      <c r="F5303" s="3" t="s">
        <v>122</v>
      </c>
      <c r="G5303" s="9"/>
      <c r="H5303" s="9"/>
      <c r="I5303" s="12"/>
      <c r="J5303" s="5" t="e">
        <f>SUM(SUMIFS(#REF!,#REF!,Planning[[#This Row],[Tipo de Tarea y especialidad]],#REF!,Planning[[#This Row],[Proyectos Reiwa]]),SUMIFS(#REF!,#REF!,Planning[[#This Row],[Tipo de Tarea y especialidad]],#REF!,Planning[[#This Row],[Proyectos]]))</f>
        <v>#REF!</v>
      </c>
      <c r="K5303" s="5" t="e">
        <f>+Planning[[#This Row],[Horas Planificadas]]+Planning[[#This Row],[Horas ajustadas adicionales]]-Planning[[#This Row],[Horas utilizadas]]</f>
        <v>#REF!</v>
      </c>
      <c r="L5303" s="7" t="e">
        <f>Planning[[#This Row],[Saldo]]</f>
        <v>#REF!</v>
      </c>
      <c r="M5303" s="19" t="e">
        <f>Planning[[#This Row],[Saldo]]-Planning[[#This Row],[Saldo estimado]]</f>
        <v>#REF!</v>
      </c>
      <c r="N5303" s="60" t="e">
        <f>+SUMIFS(#REF!,#REF!,Planning[[#This Row],[Proyectos]],#REF!,Planning[[#This Row],[Tipo de Tarea y especialidad]])+SUMIFS(#REF!,#REF!,Planning[[#This Row],[Proyectos Reiwa]],#REF!,Planning[[#This Row],[Tipo de Tarea y especialidad]])</f>
        <v>#REF!</v>
      </c>
      <c r="O5303" s="19">
        <f t="shared" si="167"/>
        <v>10</v>
      </c>
      <c r="P5303" s="19">
        <f t="shared" si="168"/>
        <v>2024</v>
      </c>
      <c r="Q53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03" s="49" t="str">
        <f>TEXT(Planning[[#This Row],[Mes]]*29,"mmmm")</f>
        <v>October</v>
      </c>
      <c r="S530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03" s="152"/>
      <c r="U5303" s="43">
        <f>IF(Planning[[#This Row],[Horas Planificadas]]&lt;&gt;0,+K5303/Planning[[#This Row],[Horas Planificadas]],0)</f>
        <v>0</v>
      </c>
      <c r="V5303" s="43">
        <f>IF(Planning[[#This Row],[Horas Planificadas]]&lt;&gt;0,Planning[[#This Row],[Horas utilizadas]]/Planning[[#This Row],[Horas Planificadas]],0)</f>
        <v>0</v>
      </c>
      <c r="W5303" s="44">
        <f>Planning[[#This Row],[Horas Planificadas]]+Planning[[#This Row],[Horas ajustadas adicionales]]</f>
        <v>0</v>
      </c>
    </row>
    <row r="5304" spans="1:23" ht="13.35" customHeight="1" x14ac:dyDescent="0.2">
      <c r="A5304" s="9" t="s">
        <v>684</v>
      </c>
      <c r="B5304" s="9" t="s">
        <v>288</v>
      </c>
      <c r="C5304" s="3">
        <v>116917</v>
      </c>
      <c r="D5304" s="3" t="s">
        <v>913</v>
      </c>
      <c r="E5304" s="4"/>
      <c r="F5304" s="3" t="s">
        <v>123</v>
      </c>
      <c r="G5304" s="9"/>
      <c r="H5304" s="9"/>
      <c r="I5304" s="12"/>
      <c r="J5304" s="5" t="e">
        <f>SUM(SUMIFS(#REF!,#REF!,Planning[[#This Row],[Tipo de Tarea y especialidad]],#REF!,Planning[[#This Row],[Proyectos Reiwa]]),SUMIFS(#REF!,#REF!,Planning[[#This Row],[Tipo de Tarea y especialidad]],#REF!,Planning[[#This Row],[Proyectos]]))</f>
        <v>#REF!</v>
      </c>
      <c r="K5304" s="5" t="e">
        <f>+Planning[[#This Row],[Horas Planificadas]]+Planning[[#This Row],[Horas ajustadas adicionales]]-Planning[[#This Row],[Horas utilizadas]]</f>
        <v>#REF!</v>
      </c>
      <c r="L5304" s="7" t="e">
        <f>Planning[[#This Row],[Saldo]]</f>
        <v>#REF!</v>
      </c>
      <c r="M5304" s="19" t="e">
        <f>Planning[[#This Row],[Saldo]]-Planning[[#This Row],[Saldo estimado]]</f>
        <v>#REF!</v>
      </c>
      <c r="N5304" s="60" t="e">
        <f>+SUMIFS(#REF!,#REF!,Planning[[#This Row],[Proyectos]],#REF!,Planning[[#This Row],[Tipo de Tarea y especialidad]])+SUMIFS(#REF!,#REF!,Planning[[#This Row],[Proyectos Reiwa]],#REF!,Planning[[#This Row],[Tipo de Tarea y especialidad]])</f>
        <v>#REF!</v>
      </c>
      <c r="O5304" s="19">
        <f t="shared" si="167"/>
        <v>10</v>
      </c>
      <c r="P5304" s="19">
        <f t="shared" si="168"/>
        <v>2024</v>
      </c>
      <c r="Q53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04" s="49" t="str">
        <f>TEXT(Planning[[#This Row],[Mes]]*29,"mmmm")</f>
        <v>October</v>
      </c>
      <c r="S530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04" s="152"/>
      <c r="U5304" s="43">
        <f>IF(Planning[[#This Row],[Horas Planificadas]]&lt;&gt;0,+K5304/Planning[[#This Row],[Horas Planificadas]],0)</f>
        <v>0</v>
      </c>
      <c r="V5304" s="43">
        <f>IF(Planning[[#This Row],[Horas Planificadas]]&lt;&gt;0,Planning[[#This Row],[Horas utilizadas]]/Planning[[#This Row],[Horas Planificadas]],0)</f>
        <v>0</v>
      </c>
      <c r="W5304" s="44">
        <f>Planning[[#This Row],[Horas Planificadas]]+Planning[[#This Row],[Horas ajustadas adicionales]]</f>
        <v>0</v>
      </c>
    </row>
    <row r="5305" spans="1:23" ht="13.35" customHeight="1" x14ac:dyDescent="0.2">
      <c r="A5305" s="9" t="s">
        <v>684</v>
      </c>
      <c r="B5305" s="9" t="s">
        <v>288</v>
      </c>
      <c r="C5305" s="3">
        <v>116917</v>
      </c>
      <c r="D5305" s="3" t="s">
        <v>913</v>
      </c>
      <c r="E5305" s="4"/>
      <c r="F5305" s="3" t="s">
        <v>124</v>
      </c>
      <c r="G5305" s="9">
        <v>405</v>
      </c>
      <c r="H5305" s="9">
        <v>405</v>
      </c>
      <c r="I5305" s="12"/>
      <c r="J5305" s="5" t="e">
        <f>SUM(SUMIFS(#REF!,#REF!,Planning[[#This Row],[Tipo de Tarea y especialidad]],#REF!,Planning[[#This Row],[Proyectos Reiwa]]),SUMIFS(#REF!,#REF!,Planning[[#This Row],[Tipo de Tarea y especialidad]],#REF!,Planning[[#This Row],[Proyectos]]))</f>
        <v>#REF!</v>
      </c>
      <c r="K5305" s="5" t="e">
        <f>+Planning[[#This Row],[Horas Planificadas]]+Planning[[#This Row],[Horas ajustadas adicionales]]-Planning[[#This Row],[Horas utilizadas]]</f>
        <v>#REF!</v>
      </c>
      <c r="L5305" s="7">
        <v>174</v>
      </c>
      <c r="M5305" s="19" t="e">
        <f>Planning[[#This Row],[Saldo]]-Planning[[#This Row],[Saldo estimado]]</f>
        <v>#REF!</v>
      </c>
      <c r="N5305" s="60" t="e">
        <f>+SUMIFS(#REF!,#REF!,Planning[[#This Row],[Proyectos]],#REF!,Planning[[#This Row],[Tipo de Tarea y especialidad]])+SUMIFS(#REF!,#REF!,Planning[[#This Row],[Proyectos Reiwa]],#REF!,Planning[[#This Row],[Tipo de Tarea y especialidad]])</f>
        <v>#REF!</v>
      </c>
      <c r="O5305" s="19">
        <f t="shared" si="167"/>
        <v>10</v>
      </c>
      <c r="P5305" s="19">
        <f t="shared" si="168"/>
        <v>2024</v>
      </c>
      <c r="Q53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05" s="49" t="str">
        <f>TEXT(Planning[[#This Row],[Mes]]*29,"mmmm")</f>
        <v>October</v>
      </c>
      <c r="S530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05" s="152"/>
      <c r="U5305" s="43" t="e">
        <f>IF(Planning[[#This Row],[Horas Planificadas]]&lt;&gt;0,+K5305/Planning[[#This Row],[Horas Planificadas]],0)</f>
        <v>#REF!</v>
      </c>
      <c r="V5305" s="43" t="e">
        <f>IF(Planning[[#This Row],[Horas Planificadas]]&lt;&gt;0,Planning[[#This Row],[Horas utilizadas]]/Planning[[#This Row],[Horas Planificadas]],0)</f>
        <v>#REF!</v>
      </c>
      <c r="W5305" s="44">
        <f>Planning[[#This Row],[Horas Planificadas]]+Planning[[#This Row],[Horas ajustadas adicionales]]</f>
        <v>405</v>
      </c>
    </row>
    <row r="5306" spans="1:23" ht="13.35" customHeight="1" x14ac:dyDescent="0.2">
      <c r="A5306" s="9" t="s">
        <v>684</v>
      </c>
      <c r="B5306" s="9" t="s">
        <v>288</v>
      </c>
      <c r="C5306" s="3">
        <v>116917</v>
      </c>
      <c r="D5306" s="3" t="s">
        <v>913</v>
      </c>
      <c r="E5306" s="4"/>
      <c r="F5306" s="3" t="s">
        <v>125</v>
      </c>
      <c r="G5306" s="9"/>
      <c r="H5306" s="9"/>
      <c r="I5306" s="12"/>
      <c r="J5306" s="5" t="e">
        <f>SUM(SUMIFS(#REF!,#REF!,Planning[[#This Row],[Tipo de Tarea y especialidad]],#REF!,Planning[[#This Row],[Proyectos Reiwa]]),SUMIFS(#REF!,#REF!,Planning[[#This Row],[Tipo de Tarea y especialidad]],#REF!,Planning[[#This Row],[Proyectos]]))</f>
        <v>#REF!</v>
      </c>
      <c r="K5306" s="5" t="e">
        <f>+Planning[[#This Row],[Horas Planificadas]]+Planning[[#This Row],[Horas ajustadas adicionales]]-Planning[[#This Row],[Horas utilizadas]]</f>
        <v>#REF!</v>
      </c>
      <c r="L5306" s="7">
        <v>0</v>
      </c>
      <c r="M5306" s="19" t="e">
        <f>Planning[[#This Row],[Saldo]]-Planning[[#This Row],[Saldo estimado]]</f>
        <v>#REF!</v>
      </c>
      <c r="N5306" s="60" t="e">
        <f>+SUMIFS(#REF!,#REF!,Planning[[#This Row],[Proyectos]],#REF!,Planning[[#This Row],[Tipo de Tarea y especialidad]])+SUMIFS(#REF!,#REF!,Planning[[#This Row],[Proyectos Reiwa]],#REF!,Planning[[#This Row],[Tipo de Tarea y especialidad]])</f>
        <v>#REF!</v>
      </c>
      <c r="O5306" s="19">
        <f t="shared" si="167"/>
        <v>10</v>
      </c>
      <c r="P5306" s="19">
        <f t="shared" si="168"/>
        <v>2024</v>
      </c>
      <c r="Q53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06" s="49" t="str">
        <f>TEXT(Planning[[#This Row],[Mes]]*29,"mmmm")</f>
        <v>October</v>
      </c>
      <c r="S530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06" s="152"/>
      <c r="U5306" s="43">
        <f>IF(Planning[[#This Row],[Horas Planificadas]]&lt;&gt;0,+K5306/Planning[[#This Row],[Horas Planificadas]],0)</f>
        <v>0</v>
      </c>
      <c r="V5306" s="43">
        <f>IF(Planning[[#This Row],[Horas Planificadas]]&lt;&gt;0,Planning[[#This Row],[Horas utilizadas]]/Planning[[#This Row],[Horas Planificadas]],0)</f>
        <v>0</v>
      </c>
      <c r="W5306" s="44">
        <f>Planning[[#This Row],[Horas Planificadas]]+Planning[[#This Row],[Horas ajustadas adicionales]]</f>
        <v>0</v>
      </c>
    </row>
    <row r="5307" spans="1:23" ht="13.35" customHeight="1" x14ac:dyDescent="0.2">
      <c r="A5307" s="9" t="s">
        <v>684</v>
      </c>
      <c r="B5307" s="9" t="s">
        <v>288</v>
      </c>
      <c r="C5307" s="3">
        <v>116917</v>
      </c>
      <c r="D5307" s="3" t="s">
        <v>913</v>
      </c>
      <c r="E5307" s="4"/>
      <c r="F5307" s="3" t="s">
        <v>126</v>
      </c>
      <c r="G5307" s="9"/>
      <c r="H5307" s="9"/>
      <c r="I5307" s="12"/>
      <c r="J5307" s="5" t="e">
        <f>SUM(SUMIFS(#REF!,#REF!,Planning[[#This Row],[Tipo de Tarea y especialidad]],#REF!,Planning[[#This Row],[Proyectos Reiwa]]),SUMIFS(#REF!,#REF!,Planning[[#This Row],[Tipo de Tarea y especialidad]],#REF!,Planning[[#This Row],[Proyectos]]))</f>
        <v>#REF!</v>
      </c>
      <c r="K5307" s="5" t="e">
        <f>+Planning[[#This Row],[Horas Planificadas]]+Planning[[#This Row],[Horas ajustadas adicionales]]-Planning[[#This Row],[Horas utilizadas]]</f>
        <v>#REF!</v>
      </c>
      <c r="L5307" s="7" t="e">
        <f>Planning[[#This Row],[Saldo]]</f>
        <v>#REF!</v>
      </c>
      <c r="M5307" s="19" t="e">
        <f>Planning[[#This Row],[Saldo]]-Planning[[#This Row],[Saldo estimado]]</f>
        <v>#REF!</v>
      </c>
      <c r="N5307" s="60" t="e">
        <f>+SUMIFS(#REF!,#REF!,Planning[[#This Row],[Proyectos]],#REF!,Planning[[#This Row],[Tipo de Tarea y especialidad]])+SUMIFS(#REF!,#REF!,Planning[[#This Row],[Proyectos Reiwa]],#REF!,Planning[[#This Row],[Tipo de Tarea y especialidad]])</f>
        <v>#REF!</v>
      </c>
      <c r="O5307" s="19">
        <f t="shared" si="167"/>
        <v>10</v>
      </c>
      <c r="P5307" s="19">
        <f t="shared" si="168"/>
        <v>2024</v>
      </c>
      <c r="Q53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07" s="49" t="str">
        <f>TEXT(Planning[[#This Row],[Mes]]*29,"mmmm")</f>
        <v>October</v>
      </c>
      <c r="S530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07" s="152"/>
      <c r="U5307" s="43">
        <f>IF(Planning[[#This Row],[Horas Planificadas]]&lt;&gt;0,+K5307/Planning[[#This Row],[Horas Planificadas]],0)</f>
        <v>0</v>
      </c>
      <c r="V5307" s="43">
        <f>IF(Planning[[#This Row],[Horas Planificadas]]&lt;&gt;0,Planning[[#This Row],[Horas utilizadas]]/Planning[[#This Row],[Horas Planificadas]],0)</f>
        <v>0</v>
      </c>
      <c r="W5307" s="44">
        <f>Planning[[#This Row],[Horas Planificadas]]+Planning[[#This Row],[Horas ajustadas adicionales]]</f>
        <v>0</v>
      </c>
    </row>
    <row r="5308" spans="1:23" ht="13.35" customHeight="1" x14ac:dyDescent="0.2">
      <c r="A5308" s="9" t="s">
        <v>684</v>
      </c>
      <c r="B5308" s="9" t="s">
        <v>288</v>
      </c>
      <c r="C5308" s="3">
        <v>116917</v>
      </c>
      <c r="D5308" s="3" t="s">
        <v>913</v>
      </c>
      <c r="E5308" s="4"/>
      <c r="F5308" s="3" t="s">
        <v>127</v>
      </c>
      <c r="G5308" s="9"/>
      <c r="H5308" s="9"/>
      <c r="I5308" s="12"/>
      <c r="J5308" s="5" t="e">
        <f>SUM(SUMIFS(#REF!,#REF!,Planning[[#This Row],[Tipo de Tarea y especialidad]],#REF!,Planning[[#This Row],[Proyectos Reiwa]]),SUMIFS(#REF!,#REF!,Planning[[#This Row],[Tipo de Tarea y especialidad]],#REF!,Planning[[#This Row],[Proyectos]]))</f>
        <v>#REF!</v>
      </c>
      <c r="K5308" s="5" t="e">
        <f>+Planning[[#This Row],[Horas Planificadas]]+Planning[[#This Row],[Horas ajustadas adicionales]]-Planning[[#This Row],[Horas utilizadas]]</f>
        <v>#REF!</v>
      </c>
      <c r="L5308" s="7" t="e">
        <f>Planning[[#This Row],[Saldo]]</f>
        <v>#REF!</v>
      </c>
      <c r="M5308" s="19" t="e">
        <f>Planning[[#This Row],[Saldo]]-Planning[[#This Row],[Saldo estimado]]</f>
        <v>#REF!</v>
      </c>
      <c r="N5308" s="60" t="e">
        <f>+SUMIFS(#REF!,#REF!,Planning[[#This Row],[Proyectos]],#REF!,Planning[[#This Row],[Tipo de Tarea y especialidad]])+SUMIFS(#REF!,#REF!,Planning[[#This Row],[Proyectos Reiwa]],#REF!,Planning[[#This Row],[Tipo de Tarea y especialidad]])</f>
        <v>#REF!</v>
      </c>
      <c r="O5308" s="19">
        <f t="shared" si="167"/>
        <v>10</v>
      </c>
      <c r="P5308" s="19">
        <f t="shared" si="168"/>
        <v>2024</v>
      </c>
      <c r="Q53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08" s="49" t="str">
        <f>TEXT(Planning[[#This Row],[Mes]]*29,"mmmm")</f>
        <v>October</v>
      </c>
      <c r="S530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08" s="152"/>
      <c r="U5308" s="43">
        <f>IF(Planning[[#This Row],[Horas Planificadas]]&lt;&gt;0,+K5308/Planning[[#This Row],[Horas Planificadas]],0)</f>
        <v>0</v>
      </c>
      <c r="V5308" s="43">
        <f>IF(Planning[[#This Row],[Horas Planificadas]]&lt;&gt;0,Planning[[#This Row],[Horas utilizadas]]/Planning[[#This Row],[Horas Planificadas]],0)</f>
        <v>0</v>
      </c>
      <c r="W5308" s="44">
        <f>Planning[[#This Row],[Horas Planificadas]]+Planning[[#This Row],[Horas ajustadas adicionales]]</f>
        <v>0</v>
      </c>
    </row>
    <row r="5309" spans="1:23" ht="13.35" customHeight="1" x14ac:dyDescent="0.2">
      <c r="A5309" s="9" t="s">
        <v>684</v>
      </c>
      <c r="B5309" s="9" t="s">
        <v>288</v>
      </c>
      <c r="C5309" s="3">
        <v>116917</v>
      </c>
      <c r="D5309" s="3" t="s">
        <v>913</v>
      </c>
      <c r="E5309" s="4"/>
      <c r="F5309" s="3" t="s">
        <v>128</v>
      </c>
      <c r="G5309" s="9">
        <v>210</v>
      </c>
      <c r="H5309" s="9">
        <v>210</v>
      </c>
      <c r="I5309" s="12"/>
      <c r="J5309" s="5" t="e">
        <f>SUM(SUMIFS(#REF!,#REF!,Planning[[#This Row],[Tipo de Tarea y especialidad]],#REF!,Planning[[#This Row],[Proyectos Reiwa]]),SUMIFS(#REF!,#REF!,Planning[[#This Row],[Tipo de Tarea y especialidad]],#REF!,Planning[[#This Row],[Proyectos]]))</f>
        <v>#REF!</v>
      </c>
      <c r="K5309" s="5" t="e">
        <f>+Planning[[#This Row],[Horas Planificadas]]+Planning[[#This Row],[Horas ajustadas adicionales]]-Planning[[#This Row],[Horas utilizadas]]</f>
        <v>#REF!</v>
      </c>
      <c r="L5309" s="7">
        <v>0</v>
      </c>
      <c r="M5309" s="19" t="e">
        <f>Planning[[#This Row],[Saldo]]-Planning[[#This Row],[Saldo estimado]]</f>
        <v>#REF!</v>
      </c>
      <c r="N5309" s="60" t="e">
        <f>+SUMIFS(#REF!,#REF!,Planning[[#This Row],[Proyectos]],#REF!,Planning[[#This Row],[Tipo de Tarea y especialidad]])+SUMIFS(#REF!,#REF!,Planning[[#This Row],[Proyectos Reiwa]],#REF!,Planning[[#This Row],[Tipo de Tarea y especialidad]])</f>
        <v>#REF!</v>
      </c>
      <c r="O5309" s="19">
        <f t="shared" si="167"/>
        <v>10</v>
      </c>
      <c r="P5309" s="19">
        <f t="shared" si="168"/>
        <v>2024</v>
      </c>
      <c r="Q53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09" s="49" t="str">
        <f>TEXT(Planning[[#This Row],[Mes]]*29,"mmmm")</f>
        <v>October</v>
      </c>
      <c r="S530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09" s="152"/>
      <c r="U5309" s="43" t="e">
        <f>IF(Planning[[#This Row],[Horas Planificadas]]&lt;&gt;0,+K5309/Planning[[#This Row],[Horas Planificadas]],0)</f>
        <v>#REF!</v>
      </c>
      <c r="V5309" s="43" t="e">
        <f>IF(Planning[[#This Row],[Horas Planificadas]]&lt;&gt;0,Planning[[#This Row],[Horas utilizadas]]/Planning[[#This Row],[Horas Planificadas]],0)</f>
        <v>#REF!</v>
      </c>
      <c r="W5309" s="44">
        <f>Planning[[#This Row],[Horas Planificadas]]+Planning[[#This Row],[Horas ajustadas adicionales]]</f>
        <v>210</v>
      </c>
    </row>
    <row r="5310" spans="1:23" ht="13.35" customHeight="1" x14ac:dyDescent="0.2">
      <c r="A5310" s="9" t="s">
        <v>684</v>
      </c>
      <c r="B5310" s="9" t="s">
        <v>288</v>
      </c>
      <c r="C5310" s="3">
        <v>116917</v>
      </c>
      <c r="D5310" s="3" t="s">
        <v>913</v>
      </c>
      <c r="E5310" s="4" t="s">
        <v>31</v>
      </c>
      <c r="F5310" s="3" t="s">
        <v>31</v>
      </c>
      <c r="G5310" s="9">
        <v>120</v>
      </c>
      <c r="H5310" s="17">
        <v>120</v>
      </c>
      <c r="I5310" s="18"/>
      <c r="J5310" s="14" t="e">
        <f>+SUMIFS(#REF!,#REF!,Planning[[#This Row],[Tarifa]],#REF!,Planning[[#This Row],[Proyectos]])</f>
        <v>#REF!</v>
      </c>
      <c r="K5310" s="14" t="e">
        <f>+Planning[[#This Row],[Horas Planificadas]]+Planning[[#This Row],[Horas ajustadas adicionales]]-Planning[[#This Row],[Horas utilizadas]]</f>
        <v>#REF!</v>
      </c>
      <c r="L5310" s="15" t="e">
        <f>Planning[[#This Row],[Saldo]]</f>
        <v>#REF!</v>
      </c>
      <c r="M5310" s="16" t="e">
        <f>Planning[[#This Row],[Saldo]]-Planning[[#This Row],[Saldo estimado]]</f>
        <v>#REF!</v>
      </c>
      <c r="N5310" s="60" t="e">
        <f>+SUMIFS(#REF!,#REF!,Planning[[#This Row],[Proyectos]],#REF!,Planning[[#This Row],[Tipo de Tarea y especialidad]])+SUMIFS(#REF!,#REF!,Planning[[#This Row],[Proyectos Reiwa]],#REF!,Planning[[#This Row],[Tipo de Tarea y especialidad]])</f>
        <v>#REF!</v>
      </c>
      <c r="O5310" s="16">
        <f t="shared" si="167"/>
        <v>10</v>
      </c>
      <c r="P5310" s="16">
        <f t="shared" si="168"/>
        <v>2024</v>
      </c>
      <c r="Q5310" s="16" t="e">
        <f>+SUMIFS(#REF!,#REF!,Planning[[#This Row],[Tarifa]],#REF!,Planning[[#This Row],[Proyectos]],#REF!,Planning[[#This Row],[Mes]],#REF!,Planning[[#This Row],[Año]])</f>
        <v>#REF!</v>
      </c>
      <c r="R5310" s="50" t="str">
        <f>TEXT(Planning[[#This Row],[Mes]]*29,"mmmm")</f>
        <v>October</v>
      </c>
      <c r="S531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10" s="152"/>
      <c r="U5310" s="43" t="e">
        <f>IF(Planning[[#This Row],[Horas Planificadas]]&lt;&gt;0,+K5310/Planning[[#This Row],[Horas Planificadas]],0)</f>
        <v>#REF!</v>
      </c>
      <c r="V5310" s="43" t="e">
        <f>IF(Planning[[#This Row],[Horas Planificadas]]&lt;&gt;0,Planning[[#This Row],[Horas utilizadas]]/Planning[[#This Row],[Horas Planificadas]],0)</f>
        <v>#REF!</v>
      </c>
      <c r="W5310" s="44">
        <f>Planning[[#This Row],[Horas Planificadas]]+Planning[[#This Row],[Horas ajustadas adicionales]]</f>
        <v>120</v>
      </c>
    </row>
    <row r="5311" spans="1:23" ht="13.35" customHeight="1" x14ac:dyDescent="0.2">
      <c r="A5311" s="9" t="s">
        <v>684</v>
      </c>
      <c r="B5311" s="9" t="s">
        <v>288</v>
      </c>
      <c r="C5311" s="3">
        <v>116917</v>
      </c>
      <c r="D5311" s="3" t="s">
        <v>913</v>
      </c>
      <c r="E5311" s="4" t="s">
        <v>32</v>
      </c>
      <c r="F5311" s="3"/>
      <c r="G5311" s="9">
        <f>+G5314</f>
        <v>360</v>
      </c>
      <c r="H5311" s="14">
        <f>SUM(H5312:H5314)</f>
        <v>360</v>
      </c>
      <c r="I5311" s="14"/>
      <c r="J5311" s="14" t="e">
        <f>SUM(J5312:J5314)</f>
        <v>#REF!</v>
      </c>
      <c r="K5311" s="14" t="e">
        <f>+Planning[[#This Row],[Horas Planificadas]]+Planning[[#This Row],[Horas ajustadas adicionales]]-Planning[[#This Row],[Horas utilizadas]]</f>
        <v>#REF!</v>
      </c>
      <c r="L5311" s="15" t="e">
        <f>SUM(L5312:L5314)</f>
        <v>#REF!</v>
      </c>
      <c r="M5311" s="16" t="e">
        <f>SUM(M5312:M5314)</f>
        <v>#REF!</v>
      </c>
      <c r="N5311" s="60" t="e">
        <f>+SUMIFS(#REF!,#REF!,Planning[[#This Row],[Proyectos]],#REF!,Planning[[#This Row],[Tipo de Tarea y especialidad]])+SUMIFS(#REF!,#REF!,Planning[[#This Row],[Proyectos Reiwa]],#REF!,Planning[[#This Row],[Tipo de Tarea y especialidad]])</f>
        <v>#REF!</v>
      </c>
      <c r="O5311" s="16">
        <f t="shared" si="167"/>
        <v>10</v>
      </c>
      <c r="P5311" s="16">
        <f t="shared" si="168"/>
        <v>2024</v>
      </c>
      <c r="Q5311" s="16" t="e">
        <f>SUM(Q5312:Q5314)</f>
        <v>#REF!</v>
      </c>
      <c r="R5311" s="50" t="str">
        <f>TEXT(Planning[[#This Row],[Mes]]*29,"mmmm")</f>
        <v>October</v>
      </c>
      <c r="S531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11" s="152"/>
      <c r="U5311" s="43" t="e">
        <f>IF(Planning[[#This Row],[Horas Planificadas]]&lt;&gt;0,+K5311/Planning[[#This Row],[Horas Planificadas]],0)</f>
        <v>#REF!</v>
      </c>
      <c r="V5311" s="43" t="e">
        <f>IF(Planning[[#This Row],[Horas Planificadas]]&lt;&gt;0,Planning[[#This Row],[Horas utilizadas]]/Planning[[#This Row],[Horas Planificadas]],0)</f>
        <v>#REF!</v>
      </c>
      <c r="W5311" s="44">
        <f>Planning[[#This Row],[Horas Planificadas]]+Planning[[#This Row],[Horas ajustadas adicionales]]</f>
        <v>360</v>
      </c>
    </row>
    <row r="5312" spans="1:23" ht="12.6" customHeight="1" x14ac:dyDescent="0.2">
      <c r="A5312" s="9" t="s">
        <v>684</v>
      </c>
      <c r="B5312" s="9" t="s">
        <v>288</v>
      </c>
      <c r="C5312" s="3">
        <v>116917</v>
      </c>
      <c r="D5312" s="3" t="s">
        <v>913</v>
      </c>
      <c r="E5312" s="4"/>
      <c r="F5312" s="3" t="s">
        <v>129</v>
      </c>
      <c r="G5312" s="9"/>
      <c r="H5312" s="9"/>
      <c r="I5312" s="12"/>
      <c r="J5312" s="5" t="e">
        <f>SUM(SUMIFS(#REF!,#REF!,Planning[[#This Row],[Tipo de Tarea y especialidad]],#REF!,Planning[[#This Row],[Proyectos Reiwa]]),SUMIFS(#REF!,#REF!,Planning[[#This Row],[Tipo de Tarea y especialidad]],#REF!,Planning[[#This Row],[Proyectos]]))</f>
        <v>#REF!</v>
      </c>
      <c r="K5312" s="5" t="e">
        <f>+Planning[[#This Row],[Horas Planificadas]]+Planning[[#This Row],[Horas ajustadas adicionales]]-Planning[[#This Row],[Horas utilizadas]]</f>
        <v>#REF!</v>
      </c>
      <c r="L5312" s="7" t="e">
        <f>Planning[[#This Row],[Saldo]]</f>
        <v>#REF!</v>
      </c>
      <c r="M5312" s="19" t="e">
        <f>Planning[[#This Row],[Saldo]]-Planning[[#This Row],[Saldo estimado]]</f>
        <v>#REF!</v>
      </c>
      <c r="N5312" s="60" t="e">
        <f>+SUMIFS(#REF!,#REF!,Planning[[#This Row],[Proyectos]],#REF!,Planning[[#This Row],[Tipo de Tarea y especialidad]])+SUMIFS(#REF!,#REF!,Planning[[#This Row],[Proyectos Reiwa]],#REF!,Planning[[#This Row],[Tipo de Tarea y especialidad]])</f>
        <v>#REF!</v>
      </c>
      <c r="O5312" s="19">
        <f t="shared" si="167"/>
        <v>10</v>
      </c>
      <c r="P5312" s="19">
        <f t="shared" si="168"/>
        <v>2024</v>
      </c>
      <c r="Q53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12" s="49" t="str">
        <f>TEXT(Planning[[#This Row],[Mes]]*29,"mmmm")</f>
        <v>October</v>
      </c>
      <c r="S531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12" s="152"/>
      <c r="U5312" s="43">
        <f>IF(Planning[[#This Row],[Horas Planificadas]]&lt;&gt;0,+K5312/Planning[[#This Row],[Horas Planificadas]],0)</f>
        <v>0</v>
      </c>
      <c r="V5312" s="43">
        <f>IF(Planning[[#This Row],[Horas Planificadas]]&lt;&gt;0,Planning[[#This Row],[Horas utilizadas]]/Planning[[#This Row],[Horas Planificadas]],0)</f>
        <v>0</v>
      </c>
      <c r="W5312" s="44">
        <f>Planning[[#This Row],[Horas Planificadas]]+Planning[[#This Row],[Horas ajustadas adicionales]]</f>
        <v>0</v>
      </c>
    </row>
    <row r="5313" spans="1:23" ht="12" customHeight="1" x14ac:dyDescent="0.2">
      <c r="A5313" s="9" t="s">
        <v>684</v>
      </c>
      <c r="B5313" s="9" t="s">
        <v>288</v>
      </c>
      <c r="C5313" s="3">
        <v>116917</v>
      </c>
      <c r="D5313" s="3" t="s">
        <v>913</v>
      </c>
      <c r="E5313" s="4"/>
      <c r="F5313" s="3" t="s">
        <v>130</v>
      </c>
      <c r="G5313" s="9"/>
      <c r="H5313" s="9"/>
      <c r="I5313" s="12"/>
      <c r="J5313" s="5" t="e">
        <f>SUM(SUMIFS(#REF!,#REF!,Planning[[#This Row],[Tipo de Tarea y especialidad]],#REF!,Planning[[#This Row],[Proyectos Reiwa]]),SUMIFS(#REF!,#REF!,Planning[[#This Row],[Tipo de Tarea y especialidad]],#REF!,Planning[[#This Row],[Proyectos]]))</f>
        <v>#REF!</v>
      </c>
      <c r="K5313" s="5" t="e">
        <f>+Planning[[#This Row],[Horas Planificadas]]+Planning[[#This Row],[Horas ajustadas adicionales]]-Planning[[#This Row],[Horas utilizadas]]</f>
        <v>#REF!</v>
      </c>
      <c r="L5313" s="7" t="e">
        <f>Planning[[#This Row],[Saldo]]</f>
        <v>#REF!</v>
      </c>
      <c r="M5313" s="19" t="e">
        <f>Planning[[#This Row],[Saldo]]-Planning[[#This Row],[Saldo estimado]]</f>
        <v>#REF!</v>
      </c>
      <c r="N5313" s="60" t="e">
        <f>+SUMIFS(#REF!,#REF!,Planning[[#This Row],[Proyectos]],#REF!,Planning[[#This Row],[Tipo de Tarea y especialidad]])+SUMIFS(#REF!,#REF!,Planning[[#This Row],[Proyectos Reiwa]],#REF!,Planning[[#This Row],[Tipo de Tarea y especialidad]])</f>
        <v>#REF!</v>
      </c>
      <c r="O5313" s="19">
        <f t="shared" si="167"/>
        <v>10</v>
      </c>
      <c r="P5313" s="19">
        <f t="shared" si="168"/>
        <v>2024</v>
      </c>
      <c r="Q53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13" s="49" t="str">
        <f>TEXT(Planning[[#This Row],[Mes]]*29,"mmmm")</f>
        <v>October</v>
      </c>
      <c r="S531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13" s="152"/>
      <c r="U5313" s="43">
        <f>IF(Planning[[#This Row],[Horas Planificadas]]&lt;&gt;0,+K5313/Planning[[#This Row],[Horas Planificadas]],0)</f>
        <v>0</v>
      </c>
      <c r="V5313" s="43">
        <f>IF(Planning[[#This Row],[Horas Planificadas]]&lt;&gt;0,Planning[[#This Row],[Horas utilizadas]]/Planning[[#This Row],[Horas Planificadas]],0)</f>
        <v>0</v>
      </c>
      <c r="W5313" s="44">
        <f>Planning[[#This Row],[Horas Planificadas]]+Planning[[#This Row],[Horas ajustadas adicionales]]</f>
        <v>0</v>
      </c>
    </row>
    <row r="5314" spans="1:23" ht="12.6" customHeight="1" x14ac:dyDescent="0.2">
      <c r="A5314" s="9" t="s">
        <v>684</v>
      </c>
      <c r="B5314" s="9" t="s">
        <v>288</v>
      </c>
      <c r="C5314" s="3">
        <v>116917</v>
      </c>
      <c r="D5314" s="3" t="s">
        <v>913</v>
      </c>
      <c r="E5314" s="4"/>
      <c r="F5314" s="3" t="s">
        <v>131</v>
      </c>
      <c r="G5314" s="9">
        <v>360</v>
      </c>
      <c r="H5314" s="9">
        <v>360</v>
      </c>
      <c r="I5314" s="12"/>
      <c r="J5314" s="5" t="e">
        <f>SUM(SUMIFS(#REF!,#REF!,Planning[[#This Row],[Tipo de Tarea y especialidad]],#REF!,Planning[[#This Row],[Proyectos Reiwa]]),SUMIFS(#REF!,#REF!,Planning[[#This Row],[Tipo de Tarea y especialidad]],#REF!,Planning[[#This Row],[Proyectos]]))</f>
        <v>#REF!</v>
      </c>
      <c r="K5314" s="5" t="e">
        <f>+Planning[[#This Row],[Horas Planificadas]]+Planning[[#This Row],[Horas ajustadas adicionales]]-Planning[[#This Row],[Horas utilizadas]]</f>
        <v>#REF!</v>
      </c>
      <c r="L5314" s="7">
        <v>360</v>
      </c>
      <c r="M5314" s="19" t="e">
        <f>Planning[[#This Row],[Saldo]]-Planning[[#This Row],[Saldo estimado]]</f>
        <v>#REF!</v>
      </c>
      <c r="N5314" s="60" t="e">
        <f>+SUMIFS(#REF!,#REF!,Planning[[#This Row],[Proyectos]],#REF!,Planning[[#This Row],[Tipo de Tarea y especialidad]])+SUMIFS(#REF!,#REF!,Planning[[#This Row],[Proyectos Reiwa]],#REF!,Planning[[#This Row],[Tipo de Tarea y especialidad]])</f>
        <v>#REF!</v>
      </c>
      <c r="O5314" s="19">
        <f t="shared" si="167"/>
        <v>10</v>
      </c>
      <c r="P5314" s="19">
        <f t="shared" si="168"/>
        <v>2024</v>
      </c>
      <c r="Q53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14" s="51" t="str">
        <f>TEXT(Planning[[#This Row],[Mes]]*29,"mmmm")</f>
        <v>October</v>
      </c>
      <c r="S5314"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14" s="153"/>
      <c r="U5314" s="43" t="e">
        <f>IF(Planning[[#This Row],[Horas Planificadas]]&lt;&gt;0,+K5314/Planning[[#This Row],[Horas Planificadas]],0)</f>
        <v>#REF!</v>
      </c>
      <c r="V5314" s="43" t="e">
        <f>IF(Planning[[#This Row],[Horas Planificadas]]&lt;&gt;0,Planning[[#This Row],[Horas utilizadas]]/Planning[[#This Row],[Horas Planificadas]],0)</f>
        <v>#REF!</v>
      </c>
      <c r="W5314" s="44">
        <f>Planning[[#This Row],[Horas Planificadas]]+Planning[[#This Row],[Horas ajustadas adicionales]]</f>
        <v>360</v>
      </c>
    </row>
    <row r="5315" spans="1:23" ht="12.6" customHeight="1" x14ac:dyDescent="0.2">
      <c r="A5315" s="9" t="s">
        <v>684</v>
      </c>
      <c r="B5315" s="9" t="s">
        <v>118</v>
      </c>
      <c r="C5315" s="3">
        <v>116930</v>
      </c>
      <c r="D5315" s="3" t="s">
        <v>915</v>
      </c>
      <c r="E5315" s="4" t="s">
        <v>28</v>
      </c>
      <c r="F5315" s="3"/>
      <c r="G5315" s="9"/>
      <c r="H5315" s="14">
        <f>SUM(H5316:H5317)</f>
        <v>3872</v>
      </c>
      <c r="I5315" s="14"/>
      <c r="J5315" s="14" t="e">
        <f>SUM(J5316:J5317)</f>
        <v>#REF!</v>
      </c>
      <c r="K5315" s="14" t="e">
        <f>+Planning[[#This Row],[Horas Planificadas]]+Planning[[#This Row],[Horas ajustadas adicionales]]-Planning[[#This Row],[Horas utilizadas]]</f>
        <v>#REF!</v>
      </c>
      <c r="L5315" s="15">
        <f>SUM(L5316:L5317)</f>
        <v>45</v>
      </c>
      <c r="M5315" s="14" t="e">
        <f>SUM(M5316:M5317)</f>
        <v>#REF!</v>
      </c>
      <c r="N5315" s="60" t="e">
        <f>+SUMIFS(#REF!,#REF!,Planning[[#This Row],[Proyectos]],#REF!,Planning[[#This Row],[Tipo de Tarea y especialidad]])+SUMIFS(#REF!,#REF!,Planning[[#This Row],[Proyectos Reiwa]],#REF!,Planning[[#This Row],[Tipo de Tarea y especialidad]])</f>
        <v>#REF!</v>
      </c>
      <c r="O5315" s="14">
        <f t="shared" si="167"/>
        <v>10</v>
      </c>
      <c r="P5315" s="14">
        <f t="shared" si="168"/>
        <v>2024</v>
      </c>
      <c r="Q5315" s="28" t="e">
        <f>SUM(Q5316:Q5317)</f>
        <v>#REF!</v>
      </c>
      <c r="R5315" s="24" t="str">
        <f>TEXT(Planning[[#This Row],[Mes]]*29,"mmmm")</f>
        <v>October</v>
      </c>
      <c r="S5315"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15" s="158" t="s">
        <v>916</v>
      </c>
      <c r="U5315" s="43"/>
      <c r="V5315" s="43"/>
      <c r="W5315" s="44"/>
    </row>
    <row r="5316" spans="1:23" ht="12.6" customHeight="1" x14ac:dyDescent="0.2">
      <c r="A5316" s="9" t="s">
        <v>684</v>
      </c>
      <c r="B5316" s="9" t="s">
        <v>118</v>
      </c>
      <c r="C5316" s="3">
        <v>116930</v>
      </c>
      <c r="D5316" s="3" t="s">
        <v>915</v>
      </c>
      <c r="E5316" s="4"/>
      <c r="F5316" s="3" t="s">
        <v>120</v>
      </c>
      <c r="G5316" s="9">
        <v>2409</v>
      </c>
      <c r="H5316" s="9">
        <v>2409</v>
      </c>
      <c r="I5316" s="12">
        <v>297</v>
      </c>
      <c r="J5316" s="5" t="e">
        <f>SUM(SUMIFS(#REF!,#REF!,Planning[[#This Row],[Tipo de Tarea y especialidad]],#REF!,Planning[[#This Row],[Proyectos Reiwa]]),SUMIFS(#REF!,#REF!,Planning[[#This Row],[Tipo de Tarea y especialidad]],#REF!,Planning[[#This Row],[Proyectos]]))</f>
        <v>#REF!</v>
      </c>
      <c r="K5316" s="5" t="e">
        <f>+Planning[[#This Row],[Horas Planificadas]]+Planning[[#This Row],[Horas ajustadas adicionales]]-Planning[[#This Row],[Horas utilizadas]]</f>
        <v>#REF!</v>
      </c>
      <c r="L5316" s="7">
        <v>9</v>
      </c>
      <c r="M5316" s="19" t="e">
        <f>Planning[[#This Row],[Saldo]]-Planning[[#This Row],[Saldo estimado]]</f>
        <v>#REF!</v>
      </c>
      <c r="N5316" s="60" t="e">
        <f>+SUMIFS(#REF!,#REF!,Planning[[#This Row],[Proyectos]],#REF!,Planning[[#This Row],[Tipo de Tarea y especialidad]])+SUMIFS(#REF!,#REF!,Planning[[#This Row],[Proyectos Reiwa]],#REF!,Planning[[#This Row],[Tipo de Tarea y especialidad]])</f>
        <v>#REF!</v>
      </c>
      <c r="O5316" s="19">
        <f t="shared" si="167"/>
        <v>10</v>
      </c>
      <c r="P5316" s="19">
        <f t="shared" si="168"/>
        <v>2024</v>
      </c>
      <c r="Q53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16" s="49" t="str">
        <f>TEXT(Planning[[#This Row],[Mes]]*29,"mmmm")</f>
        <v>October</v>
      </c>
      <c r="S531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16" s="159"/>
      <c r="U5316" s="43"/>
      <c r="V5316" s="43"/>
      <c r="W5316" s="44"/>
    </row>
    <row r="5317" spans="1:23" ht="12.6" customHeight="1" x14ac:dyDescent="0.2">
      <c r="A5317" s="9" t="s">
        <v>684</v>
      </c>
      <c r="B5317" s="9" t="s">
        <v>118</v>
      </c>
      <c r="C5317" s="3">
        <v>116930</v>
      </c>
      <c r="D5317" s="3" t="s">
        <v>915</v>
      </c>
      <c r="E5317" s="4"/>
      <c r="F5317" s="3" t="s">
        <v>121</v>
      </c>
      <c r="G5317" s="9">
        <v>1463</v>
      </c>
      <c r="H5317" s="9">
        <v>1463</v>
      </c>
      <c r="I5317" s="12">
        <v>172</v>
      </c>
      <c r="J5317" s="5" t="e">
        <f>SUM(SUMIFS(#REF!,#REF!,Planning[[#This Row],[Tipo de Tarea y especialidad]],#REF!,Planning[[#This Row],[Proyectos Reiwa]]),SUMIFS(#REF!,#REF!,Planning[[#This Row],[Tipo de Tarea y especialidad]],#REF!,Planning[[#This Row],[Proyectos]]))</f>
        <v>#REF!</v>
      </c>
      <c r="K5317" s="5" t="e">
        <f>+Planning[[#This Row],[Horas Planificadas]]+Planning[[#This Row],[Horas ajustadas adicionales]]-Planning[[#This Row],[Horas utilizadas]]</f>
        <v>#REF!</v>
      </c>
      <c r="L5317" s="7">
        <v>36</v>
      </c>
      <c r="M5317" s="19" t="e">
        <f>Planning[[#This Row],[Saldo]]-Planning[[#This Row],[Saldo estimado]]</f>
        <v>#REF!</v>
      </c>
      <c r="N5317" s="60" t="e">
        <f>+SUMIFS(#REF!,#REF!,Planning[[#This Row],[Proyectos]],#REF!,Planning[[#This Row],[Tipo de Tarea y especialidad]])+SUMIFS(#REF!,#REF!,Planning[[#This Row],[Proyectos Reiwa]],#REF!,Planning[[#This Row],[Tipo de Tarea y especialidad]])</f>
        <v>#REF!</v>
      </c>
      <c r="O5317" s="19">
        <f t="shared" si="167"/>
        <v>10</v>
      </c>
      <c r="P5317" s="19">
        <f t="shared" si="168"/>
        <v>2024</v>
      </c>
      <c r="Q53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17" s="49" t="str">
        <f>TEXT(Planning[[#This Row],[Mes]]*29,"mmmm")</f>
        <v>October</v>
      </c>
      <c r="S531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17" s="159"/>
      <c r="U5317" s="43"/>
      <c r="V5317" s="43"/>
      <c r="W5317" s="44"/>
    </row>
    <row r="5318" spans="1:23" ht="12.6" customHeight="1" x14ac:dyDescent="0.2">
      <c r="A5318" s="9" t="s">
        <v>684</v>
      </c>
      <c r="B5318" s="9" t="s">
        <v>118</v>
      </c>
      <c r="C5318" s="3">
        <v>116930</v>
      </c>
      <c r="D5318" s="3" t="s">
        <v>915</v>
      </c>
      <c r="E5318" s="4" t="s">
        <v>30</v>
      </c>
      <c r="F5318" s="3"/>
      <c r="G5318" s="9"/>
      <c r="H5318" s="14">
        <f>SUM(H5319:H5325)</f>
        <v>3837</v>
      </c>
      <c r="I5318" s="14"/>
      <c r="J5318" s="14" t="e">
        <f>SUM(J5319:J5325)</f>
        <v>#REF!</v>
      </c>
      <c r="K5318" s="14" t="e">
        <f>+Planning[[#This Row],[Horas Planificadas]]+Planning[[#This Row],[Horas ajustadas adicionales]]-Planning[[#This Row],[Horas utilizadas]]</f>
        <v>#REF!</v>
      </c>
      <c r="L5318" s="15">
        <f>SUM(L5319:L5325)</f>
        <v>135</v>
      </c>
      <c r="M5318" s="16" t="e">
        <f>SUM(M5319:M5325)</f>
        <v>#REF!</v>
      </c>
      <c r="N5318" s="60" t="e">
        <f>+SUMIFS(#REF!,#REF!,Planning[[#This Row],[Proyectos]],#REF!,Planning[[#This Row],[Tipo de Tarea y especialidad]])+SUMIFS(#REF!,#REF!,Planning[[#This Row],[Proyectos Reiwa]],#REF!,Planning[[#This Row],[Tipo de Tarea y especialidad]])</f>
        <v>#REF!</v>
      </c>
      <c r="O5318" s="16">
        <f t="shared" si="167"/>
        <v>10</v>
      </c>
      <c r="P5318" s="16">
        <f t="shared" si="168"/>
        <v>2024</v>
      </c>
      <c r="Q5318" s="16" t="e">
        <f>SUM(Q5319:Q5325)</f>
        <v>#REF!</v>
      </c>
      <c r="R5318" s="50" t="str">
        <f>TEXT(Planning[[#This Row],[Mes]]*29,"mmmm")</f>
        <v>October</v>
      </c>
      <c r="S531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18" s="159"/>
      <c r="U5318" s="43"/>
      <c r="V5318" s="43"/>
      <c r="W5318" s="44"/>
    </row>
    <row r="5319" spans="1:23" ht="12.6" customHeight="1" x14ac:dyDescent="0.2">
      <c r="A5319" s="9" t="s">
        <v>684</v>
      </c>
      <c r="B5319" s="9" t="s">
        <v>118</v>
      </c>
      <c r="C5319" s="3">
        <v>116930</v>
      </c>
      <c r="D5319" s="3" t="s">
        <v>915</v>
      </c>
      <c r="E5319" s="4"/>
      <c r="F5319" s="3" t="s">
        <v>122</v>
      </c>
      <c r="G5319" s="9">
        <v>1036</v>
      </c>
      <c r="H5319" s="9">
        <v>1036</v>
      </c>
      <c r="I5319" s="12">
        <v>110</v>
      </c>
      <c r="J5319" s="5" t="e">
        <f>SUM(SUMIFS(#REF!,#REF!,Planning[[#This Row],[Tipo de Tarea y especialidad]],#REF!,Planning[[#This Row],[Proyectos Reiwa]]),SUMIFS(#REF!,#REF!,Planning[[#This Row],[Tipo de Tarea y especialidad]],#REF!,Planning[[#This Row],[Proyectos]]))</f>
        <v>#REF!</v>
      </c>
      <c r="K5319" s="5" t="e">
        <f>+Planning[[#This Row],[Horas Planificadas]]+Planning[[#This Row],[Horas ajustadas adicionales]]-Planning[[#This Row],[Horas utilizadas]]</f>
        <v>#REF!</v>
      </c>
      <c r="L5319" s="7">
        <v>18</v>
      </c>
      <c r="M5319" s="19" t="e">
        <f>Planning[[#This Row],[Saldo]]-Planning[[#This Row],[Saldo estimado]]</f>
        <v>#REF!</v>
      </c>
      <c r="N5319" s="60" t="e">
        <f>+SUMIFS(#REF!,#REF!,Planning[[#This Row],[Proyectos]],#REF!,Planning[[#This Row],[Tipo de Tarea y especialidad]])+SUMIFS(#REF!,#REF!,Planning[[#This Row],[Proyectos Reiwa]],#REF!,Planning[[#This Row],[Tipo de Tarea y especialidad]])</f>
        <v>#REF!</v>
      </c>
      <c r="O5319" s="19">
        <f t="shared" si="167"/>
        <v>10</v>
      </c>
      <c r="P5319" s="19">
        <f t="shared" si="168"/>
        <v>2024</v>
      </c>
      <c r="Q53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19" s="49" t="str">
        <f>TEXT(Planning[[#This Row],[Mes]]*29,"mmmm")</f>
        <v>October</v>
      </c>
      <c r="S531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19" s="159"/>
      <c r="U5319" s="43"/>
      <c r="V5319" s="43"/>
      <c r="W5319" s="44"/>
    </row>
    <row r="5320" spans="1:23" ht="12.6" customHeight="1" x14ac:dyDescent="0.2">
      <c r="A5320" s="9" t="s">
        <v>684</v>
      </c>
      <c r="B5320" s="9" t="s">
        <v>118</v>
      </c>
      <c r="C5320" s="3">
        <v>116930</v>
      </c>
      <c r="D5320" s="3" t="s">
        <v>915</v>
      </c>
      <c r="E5320" s="4"/>
      <c r="F5320" s="3" t="s">
        <v>123</v>
      </c>
      <c r="G5320" s="9">
        <v>688</v>
      </c>
      <c r="H5320" s="9">
        <v>688</v>
      </c>
      <c r="I5320" s="12">
        <v>383</v>
      </c>
      <c r="J5320" s="5" t="e">
        <f>SUM(SUMIFS(#REF!,#REF!,Planning[[#This Row],[Tipo de Tarea y especialidad]],#REF!,Planning[[#This Row],[Proyectos Reiwa]]),SUMIFS(#REF!,#REF!,Planning[[#This Row],[Tipo de Tarea y especialidad]],#REF!,Planning[[#This Row],[Proyectos]]))</f>
        <v>#REF!</v>
      </c>
      <c r="K5320" s="5" t="e">
        <f>+Planning[[#This Row],[Horas Planificadas]]+Planning[[#This Row],[Horas ajustadas adicionales]]-Planning[[#This Row],[Horas utilizadas]]</f>
        <v>#REF!</v>
      </c>
      <c r="L5320" s="7">
        <v>18</v>
      </c>
      <c r="M5320" s="19" t="e">
        <f>Planning[[#This Row],[Saldo]]-Planning[[#This Row],[Saldo estimado]]</f>
        <v>#REF!</v>
      </c>
      <c r="N5320" s="60" t="e">
        <f>+SUMIFS(#REF!,#REF!,Planning[[#This Row],[Proyectos]],#REF!,Planning[[#This Row],[Tipo de Tarea y especialidad]])+SUMIFS(#REF!,#REF!,Planning[[#This Row],[Proyectos Reiwa]],#REF!,Planning[[#This Row],[Tipo de Tarea y especialidad]])</f>
        <v>#REF!</v>
      </c>
      <c r="O5320" s="19">
        <f t="shared" si="167"/>
        <v>10</v>
      </c>
      <c r="P5320" s="19">
        <f t="shared" si="168"/>
        <v>2024</v>
      </c>
      <c r="Q53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20" s="49" t="str">
        <f>TEXT(Planning[[#This Row],[Mes]]*29,"mmmm")</f>
        <v>October</v>
      </c>
      <c r="S532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20" s="159"/>
      <c r="U5320" s="43"/>
      <c r="V5320" s="43"/>
      <c r="W5320" s="44"/>
    </row>
    <row r="5321" spans="1:23" ht="12.6" customHeight="1" x14ac:dyDescent="0.2">
      <c r="A5321" s="9" t="s">
        <v>684</v>
      </c>
      <c r="B5321" s="9" t="s">
        <v>118</v>
      </c>
      <c r="C5321" s="3">
        <v>116930</v>
      </c>
      <c r="D5321" s="3" t="s">
        <v>915</v>
      </c>
      <c r="E5321" s="4"/>
      <c r="F5321" s="3" t="s">
        <v>124</v>
      </c>
      <c r="G5321" s="9">
        <v>310</v>
      </c>
      <c r="H5321" s="9">
        <v>310</v>
      </c>
      <c r="I5321" s="12"/>
      <c r="J5321" s="5" t="e">
        <f>SUM(SUMIFS(#REF!,#REF!,Planning[[#This Row],[Tipo de Tarea y especialidad]],#REF!,Planning[[#This Row],[Proyectos Reiwa]]),SUMIFS(#REF!,#REF!,Planning[[#This Row],[Tipo de Tarea y especialidad]],#REF!,Planning[[#This Row],[Proyectos]]))</f>
        <v>#REF!</v>
      </c>
      <c r="K5321" s="5" t="e">
        <f>+Planning[[#This Row],[Horas Planificadas]]+Planning[[#This Row],[Horas ajustadas adicionales]]-Planning[[#This Row],[Horas utilizadas]]</f>
        <v>#REF!</v>
      </c>
      <c r="L5321" s="7">
        <v>18</v>
      </c>
      <c r="M5321" s="19" t="e">
        <f>Planning[[#This Row],[Saldo]]-Planning[[#This Row],[Saldo estimado]]</f>
        <v>#REF!</v>
      </c>
      <c r="N5321" s="60" t="e">
        <f>+SUMIFS(#REF!,#REF!,Planning[[#This Row],[Proyectos]],#REF!,Planning[[#This Row],[Tipo de Tarea y especialidad]])+SUMIFS(#REF!,#REF!,Planning[[#This Row],[Proyectos Reiwa]],#REF!,Planning[[#This Row],[Tipo de Tarea y especialidad]])</f>
        <v>#REF!</v>
      </c>
      <c r="O5321" s="19">
        <f t="shared" si="167"/>
        <v>10</v>
      </c>
      <c r="P5321" s="19">
        <f t="shared" si="168"/>
        <v>2024</v>
      </c>
      <c r="Q53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21" s="49" t="str">
        <f>TEXT(Planning[[#This Row],[Mes]]*29,"mmmm")</f>
        <v>October</v>
      </c>
      <c r="S532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21" s="159"/>
      <c r="U5321" s="43"/>
      <c r="V5321" s="43"/>
      <c r="W5321" s="44"/>
    </row>
    <row r="5322" spans="1:23" ht="12.6" customHeight="1" x14ac:dyDescent="0.2">
      <c r="A5322" s="9" t="s">
        <v>684</v>
      </c>
      <c r="B5322" s="9" t="s">
        <v>118</v>
      </c>
      <c r="C5322" s="3">
        <v>116930</v>
      </c>
      <c r="D5322" s="3" t="s">
        <v>915</v>
      </c>
      <c r="E5322" s="4"/>
      <c r="F5322" s="3" t="s">
        <v>125</v>
      </c>
      <c r="G5322" s="9">
        <v>540</v>
      </c>
      <c r="H5322" s="9">
        <v>540</v>
      </c>
      <c r="I5322" s="12">
        <v>110</v>
      </c>
      <c r="J5322" s="5" t="e">
        <f>SUM(SUMIFS(#REF!,#REF!,Planning[[#This Row],[Tipo de Tarea y especialidad]],#REF!,Planning[[#This Row],[Proyectos Reiwa]]),SUMIFS(#REF!,#REF!,Planning[[#This Row],[Tipo de Tarea y especialidad]],#REF!,Planning[[#This Row],[Proyectos]]))</f>
        <v>#REF!</v>
      </c>
      <c r="K5322" s="5" t="e">
        <f>+Planning[[#This Row],[Horas Planificadas]]+Planning[[#This Row],[Horas ajustadas adicionales]]-Planning[[#This Row],[Horas utilizadas]]</f>
        <v>#REF!</v>
      </c>
      <c r="L5322" s="7">
        <v>81</v>
      </c>
      <c r="M5322" s="19" t="e">
        <f>Planning[[#This Row],[Saldo]]-Planning[[#This Row],[Saldo estimado]]</f>
        <v>#REF!</v>
      </c>
      <c r="N5322" s="60" t="e">
        <f>+SUMIFS(#REF!,#REF!,Planning[[#This Row],[Proyectos]],#REF!,Planning[[#This Row],[Tipo de Tarea y especialidad]])+SUMIFS(#REF!,#REF!,Planning[[#This Row],[Proyectos Reiwa]],#REF!,Planning[[#This Row],[Tipo de Tarea y especialidad]])</f>
        <v>#REF!</v>
      </c>
      <c r="O5322" s="19">
        <f t="shared" si="167"/>
        <v>10</v>
      </c>
      <c r="P5322" s="19">
        <f t="shared" si="168"/>
        <v>2024</v>
      </c>
      <c r="Q53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22" s="49" t="str">
        <f>TEXT(Planning[[#This Row],[Mes]]*29,"mmmm")</f>
        <v>October</v>
      </c>
      <c r="S532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22" s="159"/>
      <c r="U5322" s="43"/>
      <c r="V5322" s="43"/>
      <c r="W5322" s="44"/>
    </row>
    <row r="5323" spans="1:23" ht="12.6" customHeight="1" x14ac:dyDescent="0.2">
      <c r="A5323" s="9" t="s">
        <v>684</v>
      </c>
      <c r="B5323" s="9" t="s">
        <v>118</v>
      </c>
      <c r="C5323" s="3">
        <v>116930</v>
      </c>
      <c r="D5323" s="3" t="s">
        <v>915</v>
      </c>
      <c r="E5323" s="4"/>
      <c r="F5323" s="3" t="s">
        <v>126</v>
      </c>
      <c r="G5323" s="9">
        <v>599</v>
      </c>
      <c r="H5323" s="9">
        <v>599</v>
      </c>
      <c r="I5323" s="12">
        <v>126</v>
      </c>
      <c r="J5323" s="5" t="e">
        <f>SUM(SUMIFS(#REF!,#REF!,Planning[[#This Row],[Tipo de Tarea y especialidad]],#REF!,Planning[[#This Row],[Proyectos Reiwa]]),SUMIFS(#REF!,#REF!,Planning[[#This Row],[Tipo de Tarea y especialidad]],#REF!,Planning[[#This Row],[Proyectos]]))</f>
        <v>#REF!</v>
      </c>
      <c r="K5323" s="5" t="e">
        <f>+Planning[[#This Row],[Horas Planificadas]]+Planning[[#This Row],[Horas ajustadas adicionales]]-Planning[[#This Row],[Horas utilizadas]]</f>
        <v>#REF!</v>
      </c>
      <c r="L5323" s="7">
        <v>0</v>
      </c>
      <c r="M5323" s="19" t="e">
        <f>Planning[[#This Row],[Saldo]]-Planning[[#This Row],[Saldo estimado]]</f>
        <v>#REF!</v>
      </c>
      <c r="N5323" s="60" t="e">
        <f>+SUMIFS(#REF!,#REF!,Planning[[#This Row],[Proyectos]],#REF!,Planning[[#This Row],[Tipo de Tarea y especialidad]])+SUMIFS(#REF!,#REF!,Planning[[#This Row],[Proyectos Reiwa]],#REF!,Planning[[#This Row],[Tipo de Tarea y especialidad]])</f>
        <v>#REF!</v>
      </c>
      <c r="O5323" s="19">
        <f t="shared" si="167"/>
        <v>10</v>
      </c>
      <c r="P5323" s="19">
        <f t="shared" si="168"/>
        <v>2024</v>
      </c>
      <c r="Q53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23" s="49" t="str">
        <f>TEXT(Planning[[#This Row],[Mes]]*29,"mmmm")</f>
        <v>October</v>
      </c>
      <c r="S532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23" s="159"/>
      <c r="U5323" s="43"/>
      <c r="V5323" s="43"/>
      <c r="W5323" s="44"/>
    </row>
    <row r="5324" spans="1:23" ht="12.6" customHeight="1" x14ac:dyDescent="0.2">
      <c r="A5324" s="9" t="s">
        <v>684</v>
      </c>
      <c r="B5324" s="9" t="s">
        <v>118</v>
      </c>
      <c r="C5324" s="3">
        <v>116930</v>
      </c>
      <c r="D5324" s="3" t="s">
        <v>915</v>
      </c>
      <c r="E5324" s="4"/>
      <c r="F5324" s="3" t="s">
        <v>127</v>
      </c>
      <c r="G5324" s="9">
        <v>464</v>
      </c>
      <c r="H5324" s="9">
        <v>464</v>
      </c>
      <c r="I5324" s="12">
        <v>88</v>
      </c>
      <c r="J5324" s="5" t="e">
        <f>SUM(SUMIFS(#REF!,#REF!,Planning[[#This Row],[Tipo de Tarea y especialidad]],#REF!,Planning[[#This Row],[Proyectos Reiwa]]),SUMIFS(#REF!,#REF!,Planning[[#This Row],[Tipo de Tarea y especialidad]],#REF!,Planning[[#This Row],[Proyectos]]))</f>
        <v>#REF!</v>
      </c>
      <c r="K5324" s="5" t="e">
        <f>+Planning[[#This Row],[Horas Planificadas]]+Planning[[#This Row],[Horas ajustadas adicionales]]-Planning[[#This Row],[Horas utilizadas]]</f>
        <v>#REF!</v>
      </c>
      <c r="L5324" s="7">
        <v>0</v>
      </c>
      <c r="M5324" s="19" t="e">
        <f>Planning[[#This Row],[Saldo]]-Planning[[#This Row],[Saldo estimado]]</f>
        <v>#REF!</v>
      </c>
      <c r="N5324" s="60" t="e">
        <f>+SUMIFS(#REF!,#REF!,Planning[[#This Row],[Proyectos]],#REF!,Planning[[#This Row],[Tipo de Tarea y especialidad]])+SUMIFS(#REF!,#REF!,Planning[[#This Row],[Proyectos Reiwa]],#REF!,Planning[[#This Row],[Tipo de Tarea y especialidad]])</f>
        <v>#REF!</v>
      </c>
      <c r="O5324" s="19">
        <f t="shared" si="167"/>
        <v>10</v>
      </c>
      <c r="P5324" s="19">
        <f t="shared" si="168"/>
        <v>2024</v>
      </c>
      <c r="Q53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24" s="49" t="str">
        <f>TEXT(Planning[[#This Row],[Mes]]*29,"mmmm")</f>
        <v>October</v>
      </c>
      <c r="S532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24" s="159"/>
      <c r="U5324" s="43"/>
      <c r="V5324" s="43"/>
      <c r="W5324" s="44"/>
    </row>
    <row r="5325" spans="1:23" ht="12.6" customHeight="1" x14ac:dyDescent="0.2">
      <c r="A5325" s="9" t="s">
        <v>684</v>
      </c>
      <c r="B5325" s="9" t="s">
        <v>118</v>
      </c>
      <c r="C5325" s="3">
        <v>116930</v>
      </c>
      <c r="D5325" s="3" t="s">
        <v>915</v>
      </c>
      <c r="E5325" s="4"/>
      <c r="F5325" s="3" t="s">
        <v>128</v>
      </c>
      <c r="G5325" s="9">
        <v>200</v>
      </c>
      <c r="H5325" s="9">
        <v>200</v>
      </c>
      <c r="I5325" s="12"/>
      <c r="J5325" s="5" t="e">
        <f>SUM(SUMIFS(#REF!,#REF!,Planning[[#This Row],[Tipo de Tarea y especialidad]],#REF!,Planning[[#This Row],[Proyectos Reiwa]]),SUMIFS(#REF!,#REF!,Planning[[#This Row],[Tipo de Tarea y especialidad]],#REF!,Planning[[#This Row],[Proyectos]]))</f>
        <v>#REF!</v>
      </c>
      <c r="K5325" s="5" t="e">
        <f>+Planning[[#This Row],[Horas Planificadas]]+Planning[[#This Row],[Horas ajustadas adicionales]]-Planning[[#This Row],[Horas utilizadas]]</f>
        <v>#REF!</v>
      </c>
      <c r="L5325" s="7">
        <v>0</v>
      </c>
      <c r="M5325" s="19" t="e">
        <f>Planning[[#This Row],[Saldo]]-Planning[[#This Row],[Saldo estimado]]</f>
        <v>#REF!</v>
      </c>
      <c r="N5325" s="60" t="e">
        <f>+SUMIFS(#REF!,#REF!,Planning[[#This Row],[Proyectos]],#REF!,Planning[[#This Row],[Tipo de Tarea y especialidad]])+SUMIFS(#REF!,#REF!,Planning[[#This Row],[Proyectos Reiwa]],#REF!,Planning[[#This Row],[Tipo de Tarea y especialidad]])</f>
        <v>#REF!</v>
      </c>
      <c r="O5325" s="19">
        <f t="shared" si="167"/>
        <v>10</v>
      </c>
      <c r="P5325" s="19">
        <f t="shared" si="168"/>
        <v>2024</v>
      </c>
      <c r="Q53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25" s="49" t="str">
        <f>TEXT(Planning[[#This Row],[Mes]]*29,"mmmm")</f>
        <v>October</v>
      </c>
      <c r="S532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25" s="159"/>
      <c r="U5325" s="43"/>
      <c r="V5325" s="43"/>
      <c r="W5325" s="44"/>
    </row>
    <row r="5326" spans="1:23" ht="12.6" customHeight="1" x14ac:dyDescent="0.2">
      <c r="A5326" s="9" t="s">
        <v>684</v>
      </c>
      <c r="B5326" s="9" t="s">
        <v>118</v>
      </c>
      <c r="C5326" s="3">
        <v>116930</v>
      </c>
      <c r="D5326" s="3" t="s">
        <v>915</v>
      </c>
      <c r="E5326" s="4" t="s">
        <v>31</v>
      </c>
      <c r="F5326" s="3" t="s">
        <v>31</v>
      </c>
      <c r="G5326" s="73"/>
      <c r="H5326" s="17"/>
      <c r="I5326" s="18"/>
      <c r="J5326" s="14" t="e">
        <f>+SUMIFS(#REF!,#REF!,Planning[[#This Row],[Tarifa]],#REF!,Planning[[#This Row],[Proyectos]])</f>
        <v>#REF!</v>
      </c>
      <c r="K5326" s="14" t="e">
        <f>+Planning[[#This Row],[Horas Planificadas]]+Planning[[#This Row],[Horas ajustadas adicionales]]-Planning[[#This Row],[Horas utilizadas]]</f>
        <v>#REF!</v>
      </c>
      <c r="L5326" s="15" t="e">
        <f>Planning[[#This Row],[Saldo]]</f>
        <v>#REF!</v>
      </c>
      <c r="M5326" s="16" t="e">
        <f>Planning[[#This Row],[Saldo]]-Planning[[#This Row],[Saldo estimado]]</f>
        <v>#REF!</v>
      </c>
      <c r="N5326" s="60" t="e">
        <f>+SUMIFS(#REF!,#REF!,Planning[[#This Row],[Proyectos]],#REF!,Planning[[#This Row],[Tipo de Tarea y especialidad]])+SUMIFS(#REF!,#REF!,Planning[[#This Row],[Proyectos Reiwa]],#REF!,Planning[[#This Row],[Tipo de Tarea y especialidad]])</f>
        <v>#REF!</v>
      </c>
      <c r="O5326" s="16">
        <f t="shared" si="167"/>
        <v>10</v>
      </c>
      <c r="P5326" s="16">
        <f t="shared" si="168"/>
        <v>2024</v>
      </c>
      <c r="Q5326" s="16" t="e">
        <f>+SUMIFS(#REF!,#REF!,Planning[[#This Row],[Tarifa]],#REF!,Planning[[#This Row],[Proyectos]],#REF!,Planning[[#This Row],[Mes]],#REF!,Planning[[#This Row],[Año]])</f>
        <v>#REF!</v>
      </c>
      <c r="R5326" s="50" t="str">
        <f>TEXT(Planning[[#This Row],[Mes]]*29,"mmmm")</f>
        <v>October</v>
      </c>
      <c r="S532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26" s="159"/>
      <c r="U5326" s="43"/>
      <c r="V5326" s="43"/>
      <c r="W5326" s="44"/>
    </row>
    <row r="5327" spans="1:23" ht="12.6" customHeight="1" x14ac:dyDescent="0.2">
      <c r="A5327" s="9" t="s">
        <v>684</v>
      </c>
      <c r="B5327" s="9" t="s">
        <v>118</v>
      </c>
      <c r="C5327" s="3">
        <v>116930</v>
      </c>
      <c r="D5327" s="3" t="s">
        <v>915</v>
      </c>
      <c r="E5327" s="4" t="s">
        <v>32</v>
      </c>
      <c r="F5327" s="3"/>
      <c r="G5327" s="9"/>
      <c r="H5327" s="14">
        <f>SUM(H5328:H5330)</f>
        <v>2340</v>
      </c>
      <c r="I5327" s="14"/>
      <c r="J5327" s="14" t="e">
        <f>SUM(J5328:J5330)</f>
        <v>#REF!</v>
      </c>
      <c r="K5327" s="14" t="e">
        <f>+Planning[[#This Row],[Horas Planificadas]]+Planning[[#This Row],[Horas ajustadas adicionales]]-Planning[[#This Row],[Horas utilizadas]]</f>
        <v>#REF!</v>
      </c>
      <c r="L5327" s="15">
        <f>SUM(L5328:L5330)</f>
        <v>1479</v>
      </c>
      <c r="M5327" s="16" t="e">
        <f>SUM(M5328:M5330)</f>
        <v>#REF!</v>
      </c>
      <c r="N5327" s="60" t="e">
        <f>+SUMIFS(#REF!,#REF!,Planning[[#This Row],[Proyectos]],#REF!,Planning[[#This Row],[Tipo de Tarea y especialidad]])+SUMIFS(#REF!,#REF!,Planning[[#This Row],[Proyectos Reiwa]],#REF!,Planning[[#This Row],[Tipo de Tarea y especialidad]])</f>
        <v>#REF!</v>
      </c>
      <c r="O5327" s="16">
        <f t="shared" si="167"/>
        <v>10</v>
      </c>
      <c r="P5327" s="16">
        <f t="shared" si="168"/>
        <v>2024</v>
      </c>
      <c r="Q5327" s="16" t="e">
        <f>SUM(Q5328:Q5330)</f>
        <v>#REF!</v>
      </c>
      <c r="R5327" s="50" t="str">
        <f>TEXT(Planning[[#This Row],[Mes]]*29,"mmmm")</f>
        <v>October</v>
      </c>
      <c r="S532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27" s="159"/>
      <c r="U5327" s="43"/>
      <c r="V5327" s="43"/>
      <c r="W5327" s="44"/>
    </row>
    <row r="5328" spans="1:23" ht="12.6" customHeight="1" x14ac:dyDescent="0.2">
      <c r="A5328" s="9" t="s">
        <v>684</v>
      </c>
      <c r="B5328" s="9" t="s">
        <v>118</v>
      </c>
      <c r="C5328" s="3">
        <v>116930</v>
      </c>
      <c r="D5328" s="3" t="s">
        <v>915</v>
      </c>
      <c r="E5328" s="4"/>
      <c r="F5328" s="3" t="s">
        <v>129</v>
      </c>
      <c r="G5328" s="9">
        <v>1072</v>
      </c>
      <c r="H5328" s="9">
        <v>1072</v>
      </c>
      <c r="I5328" s="12">
        <v>28</v>
      </c>
      <c r="J5328" s="5" t="e">
        <f>SUM(SUMIFS(#REF!,#REF!,Planning[[#This Row],[Tipo de Tarea y especialidad]],#REF!,Planning[[#This Row],[Proyectos Reiwa]]),SUMIFS(#REF!,#REF!,Planning[[#This Row],[Tipo de Tarea y especialidad]],#REF!,Planning[[#This Row],[Proyectos]]))</f>
        <v>#REF!</v>
      </c>
      <c r="K5328" s="5" t="e">
        <f>+Planning[[#This Row],[Horas Planificadas]]+Planning[[#This Row],[Horas ajustadas adicionales]]-Planning[[#This Row],[Horas utilizadas]]</f>
        <v>#REF!</v>
      </c>
      <c r="L5328" s="7">
        <v>709</v>
      </c>
      <c r="M5328" s="19" t="e">
        <f>Planning[[#This Row],[Saldo]]-Planning[[#This Row],[Saldo estimado]]</f>
        <v>#REF!</v>
      </c>
      <c r="N5328" s="60" t="e">
        <f>+SUMIFS(#REF!,#REF!,Planning[[#This Row],[Proyectos]],#REF!,Planning[[#This Row],[Tipo de Tarea y especialidad]])+SUMIFS(#REF!,#REF!,Planning[[#This Row],[Proyectos Reiwa]],#REF!,Planning[[#This Row],[Tipo de Tarea y especialidad]])</f>
        <v>#REF!</v>
      </c>
      <c r="O5328" s="19">
        <f t="shared" si="167"/>
        <v>10</v>
      </c>
      <c r="P5328" s="19">
        <f t="shared" si="168"/>
        <v>2024</v>
      </c>
      <c r="Q53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28" s="49" t="str">
        <f>TEXT(Planning[[#This Row],[Mes]]*29,"mmmm")</f>
        <v>October</v>
      </c>
      <c r="S532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28" s="159"/>
      <c r="U5328" s="43"/>
      <c r="V5328" s="43"/>
      <c r="W5328" s="44"/>
    </row>
    <row r="5329" spans="1:24" ht="12.6" customHeight="1" x14ac:dyDescent="0.2">
      <c r="A5329" s="9" t="s">
        <v>684</v>
      </c>
      <c r="B5329" s="9" t="s">
        <v>118</v>
      </c>
      <c r="C5329" s="3">
        <v>116930</v>
      </c>
      <c r="D5329" s="3" t="s">
        <v>915</v>
      </c>
      <c r="E5329" s="4"/>
      <c r="F5329" s="3" t="s">
        <v>130</v>
      </c>
      <c r="G5329" s="9">
        <v>868</v>
      </c>
      <c r="H5329" s="9">
        <v>868</v>
      </c>
      <c r="I5329" s="12">
        <v>30</v>
      </c>
      <c r="J5329" s="5" t="e">
        <f>SUM(SUMIFS(#REF!,#REF!,Planning[[#This Row],[Tipo de Tarea y especialidad]],#REF!,Planning[[#This Row],[Proyectos Reiwa]]),SUMIFS(#REF!,#REF!,Planning[[#This Row],[Tipo de Tarea y especialidad]],#REF!,Planning[[#This Row],[Proyectos]]))</f>
        <v>#REF!</v>
      </c>
      <c r="K5329" s="5" t="e">
        <f>+Planning[[#This Row],[Horas Planificadas]]+Planning[[#This Row],[Horas ajustadas adicionales]]-Planning[[#This Row],[Horas utilizadas]]</f>
        <v>#REF!</v>
      </c>
      <c r="L5329" s="7">
        <v>430</v>
      </c>
      <c r="M5329" s="19" t="e">
        <f>Planning[[#This Row],[Saldo]]-Planning[[#This Row],[Saldo estimado]]</f>
        <v>#REF!</v>
      </c>
      <c r="N5329" s="60" t="e">
        <f>+SUMIFS(#REF!,#REF!,Planning[[#This Row],[Proyectos]],#REF!,Planning[[#This Row],[Tipo de Tarea y especialidad]])+SUMIFS(#REF!,#REF!,Planning[[#This Row],[Proyectos Reiwa]],#REF!,Planning[[#This Row],[Tipo de Tarea y especialidad]])</f>
        <v>#REF!</v>
      </c>
      <c r="O5329" s="19">
        <f t="shared" si="167"/>
        <v>10</v>
      </c>
      <c r="P5329" s="19">
        <f t="shared" si="168"/>
        <v>2024</v>
      </c>
      <c r="Q53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29" s="49" t="str">
        <f>TEXT(Planning[[#This Row],[Mes]]*29,"mmmm")</f>
        <v>October</v>
      </c>
      <c r="S532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29" s="159"/>
      <c r="U5329" s="43"/>
      <c r="V5329" s="43"/>
      <c r="W5329" s="44"/>
    </row>
    <row r="5330" spans="1:24" ht="12.6" customHeight="1" x14ac:dyDescent="0.2">
      <c r="A5330" s="9" t="s">
        <v>684</v>
      </c>
      <c r="B5330" s="9" t="s">
        <v>118</v>
      </c>
      <c r="C5330" s="3">
        <v>116930</v>
      </c>
      <c r="D5330" s="3" t="s">
        <v>915</v>
      </c>
      <c r="E5330" s="4"/>
      <c r="F5330" s="3" t="s">
        <v>131</v>
      </c>
      <c r="G5330" s="9">
        <v>400</v>
      </c>
      <c r="H5330" s="9">
        <v>400</v>
      </c>
      <c r="I5330" s="12"/>
      <c r="J5330" s="5" t="e">
        <f>SUM(SUMIFS(#REF!,#REF!,Planning[[#This Row],[Tipo de Tarea y especialidad]],#REF!,Planning[[#This Row],[Proyectos Reiwa]]),SUMIFS(#REF!,#REF!,Planning[[#This Row],[Tipo de Tarea y especialidad]],#REF!,Planning[[#This Row],[Proyectos]]))</f>
        <v>#REF!</v>
      </c>
      <c r="K5330" s="5" t="e">
        <f>+Planning[[#This Row],[Horas Planificadas]]+Planning[[#This Row],[Horas ajustadas adicionales]]-Planning[[#This Row],[Horas utilizadas]]</f>
        <v>#REF!</v>
      </c>
      <c r="L5330" s="7">
        <v>340</v>
      </c>
      <c r="M5330" s="19" t="e">
        <f>Planning[[#This Row],[Saldo]]-Planning[[#This Row],[Saldo estimado]]</f>
        <v>#REF!</v>
      </c>
      <c r="N5330" s="60" t="e">
        <f>+SUMIFS(#REF!,#REF!,Planning[[#This Row],[Proyectos]],#REF!,Planning[[#This Row],[Tipo de Tarea y especialidad]])+SUMIFS(#REF!,#REF!,Planning[[#This Row],[Proyectos Reiwa]],#REF!,Planning[[#This Row],[Tipo de Tarea y especialidad]])</f>
        <v>#REF!</v>
      </c>
      <c r="O5330" s="19">
        <f t="shared" si="167"/>
        <v>10</v>
      </c>
      <c r="P5330" s="19">
        <f t="shared" si="168"/>
        <v>2024</v>
      </c>
      <c r="Q53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30" s="51" t="str">
        <f>TEXT(Planning[[#This Row],[Mes]]*29,"mmmm")</f>
        <v>October</v>
      </c>
      <c r="S5330"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30" s="160"/>
      <c r="U5330" s="43"/>
      <c r="V5330" s="43"/>
      <c r="W5330" s="44"/>
    </row>
    <row r="5331" spans="1:24" ht="13.35" customHeight="1" x14ac:dyDescent="0.2">
      <c r="A5331" s="81" t="s">
        <v>435</v>
      </c>
      <c r="B5331" s="81" t="s">
        <v>779</v>
      </c>
      <c r="C5331" s="3">
        <v>117032</v>
      </c>
      <c r="D5331" s="3" t="s">
        <v>917</v>
      </c>
      <c r="E5331" s="4" t="s">
        <v>28</v>
      </c>
      <c r="F5331" s="3"/>
      <c r="G5331" s="53">
        <v>1156</v>
      </c>
      <c r="H5331" s="20">
        <f>SUM(H5332:H5333)</f>
        <v>1259</v>
      </c>
      <c r="I5331" s="77"/>
      <c r="J5331" s="14" t="e">
        <f>SUM(J5332:J5333)</f>
        <v>#REF!</v>
      </c>
      <c r="K5331" s="76" t="e">
        <f>+Planning[[#This Row],[Horas Planificadas]]+Planning[[#This Row],[Horas ajustadas adicionales]]-Planning[[#This Row],[Horas utilizadas]]</f>
        <v>#REF!</v>
      </c>
      <c r="L5331" s="7" t="e">
        <f>SUM(L5332:L5333)</f>
        <v>#REF!</v>
      </c>
      <c r="M5331" s="19" t="e">
        <f>SUM(M5332:M5333)</f>
        <v>#REF!</v>
      </c>
      <c r="N5331" s="60" t="e">
        <f>+SUMIFS(#REF!,#REF!,Planning[[#This Row],[Proyectos]],#REF!,Planning[[#This Row],[Tipo de Tarea y especialidad]])+SUMIFS(#REF!,#REF!,Planning[[#This Row],[Proyectos Reiwa]],#REF!,Planning[[#This Row],[Tipo de Tarea y especialidad]])</f>
        <v>#REF!</v>
      </c>
      <c r="O5331" s="34">
        <f t="shared" si="167"/>
        <v>10</v>
      </c>
      <c r="P5331" s="34">
        <f t="shared" si="168"/>
        <v>2024</v>
      </c>
      <c r="Q5331" s="28" t="e">
        <f>SUM(Q5332:Q5333)</f>
        <v>#REF!</v>
      </c>
      <c r="R5331" s="24" t="str">
        <f>TEXT(Planning[[#This Row],[Mes]]*29,"mmmm")</f>
        <v>October</v>
      </c>
      <c r="S5331"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31" s="161" t="s">
        <v>918</v>
      </c>
      <c r="U5331" s="43" t="e">
        <f>IF(Planning[[#This Row],[Horas Planificadas]]&lt;&gt;0,+K5346/Planning[[#This Row],[Horas Planificadas]],0)</f>
        <v>#REF!</v>
      </c>
      <c r="V5331" s="43" t="e">
        <f>IF(Planning[[#This Row],[Horas Planificadas]]&lt;&gt;0,Planning[[#This Row],[Horas utilizadas]]/Planning[[#This Row],[Horas Planificadas]],0)</f>
        <v>#REF!</v>
      </c>
      <c r="W5331" s="44">
        <f>Planning[[#This Row],[Horas Planificadas]]+Planning[[#This Row],[Horas ajustadas adicionales]]</f>
        <v>1259</v>
      </c>
    </row>
    <row r="5332" spans="1:24" ht="13.35" customHeight="1" x14ac:dyDescent="0.2">
      <c r="A5332" s="81" t="s">
        <v>435</v>
      </c>
      <c r="B5332" s="81" t="s">
        <v>779</v>
      </c>
      <c r="C5332" s="3">
        <v>117032</v>
      </c>
      <c r="D5332" s="3" t="s">
        <v>917</v>
      </c>
      <c r="E5332" s="4"/>
      <c r="F5332" s="3" t="s">
        <v>120</v>
      </c>
      <c r="G5332" s="53">
        <v>726</v>
      </c>
      <c r="H5332" s="20">
        <v>800</v>
      </c>
      <c r="I5332" s="77"/>
      <c r="J5332" s="5" t="e">
        <f>SUM(SUMIFS(#REF!,#REF!,Planning[[#This Row],[Tipo de Tarea y especialidad]],#REF!,Planning[[#This Row],[Proyectos Reiwa]]),SUMIFS(#REF!,#REF!,Planning[[#This Row],[Tipo de Tarea y especialidad]],#REF!,Planning[[#This Row],[Proyectos]]))</f>
        <v>#REF!</v>
      </c>
      <c r="K5332" s="78" t="e">
        <f>+Planning[[#This Row],[Horas Planificadas]]+Planning[[#This Row],[Horas ajustadas adicionales]]-Planning[[#This Row],[Horas utilizadas]]</f>
        <v>#REF!</v>
      </c>
      <c r="L5332" s="7" t="e">
        <f>Planning[[#This Row],[Saldo]]</f>
        <v>#REF!</v>
      </c>
      <c r="M5332" s="19" t="e">
        <f>Planning[[#This Row],[Saldo]]-Planning[[#This Row],[Saldo estimado]]</f>
        <v>#REF!</v>
      </c>
      <c r="N5332" s="60" t="e">
        <f>+SUMIFS(#REF!,#REF!,Planning[[#This Row],[Proyectos]],#REF!,Planning[[#This Row],[Tipo de Tarea y especialidad]])+SUMIFS(#REF!,#REF!,Planning[[#This Row],[Proyectos Reiwa]],#REF!,Planning[[#This Row],[Tipo de Tarea y especialidad]])</f>
        <v>#REF!</v>
      </c>
      <c r="O5332" s="19">
        <f t="shared" si="167"/>
        <v>10</v>
      </c>
      <c r="P5332" s="19">
        <f t="shared" si="168"/>
        <v>2024</v>
      </c>
      <c r="Q53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32" s="49" t="str">
        <f>TEXT(Planning[[#This Row],[Mes]]*29,"mmmm")</f>
        <v>October</v>
      </c>
      <c r="S533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32" s="164"/>
      <c r="U5332" s="43" t="e">
        <f>IF(Planning[[#This Row],[Horas Planificadas]]&lt;&gt;0,+K5347/Planning[[#This Row],[Horas Planificadas]],0)</f>
        <v>#REF!</v>
      </c>
      <c r="V5332" s="43" t="e">
        <f>IF(Planning[[#This Row],[Horas Planificadas]]&lt;&gt;0,Planning[[#This Row],[Horas utilizadas]]/Planning[[#This Row],[Horas Planificadas]],0)</f>
        <v>#REF!</v>
      </c>
      <c r="W5332" s="44">
        <f>Planning[[#This Row],[Horas Planificadas]]+Planning[[#This Row],[Horas ajustadas adicionales]]</f>
        <v>800</v>
      </c>
      <c r="X5332" s="89"/>
    </row>
    <row r="5333" spans="1:24" ht="13.35" customHeight="1" x14ac:dyDescent="0.2">
      <c r="A5333" s="81" t="s">
        <v>435</v>
      </c>
      <c r="B5333" s="81" t="s">
        <v>779</v>
      </c>
      <c r="C5333" s="3">
        <v>117032</v>
      </c>
      <c r="D5333" s="3" t="s">
        <v>917</v>
      </c>
      <c r="E5333" s="4"/>
      <c r="F5333" s="3" t="s">
        <v>121</v>
      </c>
      <c r="G5333" s="53">
        <v>430</v>
      </c>
      <c r="H5333" s="20">
        <v>459</v>
      </c>
      <c r="I5333" s="77"/>
      <c r="J5333" s="5" t="e">
        <f>SUM(SUMIFS(#REF!,#REF!,Planning[[#This Row],[Tipo de Tarea y especialidad]],#REF!,Planning[[#This Row],[Proyectos Reiwa]]),SUMIFS(#REF!,#REF!,Planning[[#This Row],[Tipo de Tarea y especialidad]],#REF!,Planning[[#This Row],[Proyectos]]))</f>
        <v>#REF!</v>
      </c>
      <c r="K5333" s="79" t="e">
        <f>+Planning[[#This Row],[Horas Planificadas]]+Planning[[#This Row],[Horas ajustadas adicionales]]-Planning[[#This Row],[Horas utilizadas]]</f>
        <v>#REF!</v>
      </c>
      <c r="L5333" s="7" t="e">
        <f>Planning[[#This Row],[Saldo]]</f>
        <v>#REF!</v>
      </c>
      <c r="M5333" s="19" t="e">
        <f>Planning[[#This Row],[Saldo]]-Planning[[#This Row],[Saldo estimado]]</f>
        <v>#REF!</v>
      </c>
      <c r="N5333" s="60" t="e">
        <f>+SUMIFS(#REF!,#REF!,Planning[[#This Row],[Proyectos]],#REF!,Planning[[#This Row],[Tipo de Tarea y especialidad]])+SUMIFS(#REF!,#REF!,Planning[[#This Row],[Proyectos Reiwa]],#REF!,Planning[[#This Row],[Tipo de Tarea y especialidad]])</f>
        <v>#REF!</v>
      </c>
      <c r="O5333" s="19">
        <f t="shared" si="167"/>
        <v>10</v>
      </c>
      <c r="P5333" s="19">
        <f t="shared" si="168"/>
        <v>2024</v>
      </c>
      <c r="Q53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33" s="49" t="str">
        <f>TEXT(Planning[[#This Row],[Mes]]*29,"mmmm")</f>
        <v>October</v>
      </c>
      <c r="S533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33" s="164"/>
      <c r="U5333" s="43" t="e">
        <f>IF(Planning[[#This Row],[Horas Planificadas]]&lt;&gt;0,+K5348/Planning[[#This Row],[Horas Planificadas]],0)</f>
        <v>#REF!</v>
      </c>
      <c r="V5333" s="43" t="e">
        <f>IF(Planning[[#This Row],[Horas Planificadas]]&lt;&gt;0,Planning[[#This Row],[Horas utilizadas]]/Planning[[#This Row],[Horas Planificadas]],0)</f>
        <v>#REF!</v>
      </c>
      <c r="W5333" s="44">
        <f>Planning[[#This Row],[Horas Planificadas]]+Planning[[#This Row],[Horas ajustadas adicionales]]</f>
        <v>459</v>
      </c>
      <c r="X5333" s="89"/>
    </row>
    <row r="5334" spans="1:24" ht="13.35" customHeight="1" x14ac:dyDescent="0.2">
      <c r="A5334" s="81" t="s">
        <v>435</v>
      </c>
      <c r="B5334" s="81" t="s">
        <v>779</v>
      </c>
      <c r="C5334" s="3">
        <v>117032</v>
      </c>
      <c r="D5334" s="3" t="s">
        <v>917</v>
      </c>
      <c r="E5334" s="4" t="s">
        <v>30</v>
      </c>
      <c r="F5334" s="3"/>
      <c r="G5334" s="53">
        <v>1467</v>
      </c>
      <c r="H5334" s="20">
        <f>SUM(H5335:H5341)</f>
        <v>1485</v>
      </c>
      <c r="I5334" s="77"/>
      <c r="J5334" s="14" t="e">
        <f>SUM(J5335:J5341)</f>
        <v>#REF!</v>
      </c>
      <c r="K5334" s="76" t="e">
        <f>+Planning[[#This Row],[Horas Planificadas]]+Planning[[#This Row],[Horas ajustadas adicionales]]-Planning[[#This Row],[Horas utilizadas]]</f>
        <v>#REF!</v>
      </c>
      <c r="L5334" s="7" t="e">
        <f>SUM(L5335:L5341)</f>
        <v>#REF!</v>
      </c>
      <c r="M5334" s="19" t="e">
        <f>SUM(M5335:M5341)</f>
        <v>#REF!</v>
      </c>
      <c r="N5334" s="60" t="e">
        <f>+SUMIFS(#REF!,#REF!,Planning[[#This Row],[Proyectos]],#REF!,Planning[[#This Row],[Tipo de Tarea y especialidad]])+SUMIFS(#REF!,#REF!,Planning[[#This Row],[Proyectos Reiwa]],#REF!,Planning[[#This Row],[Tipo de Tarea y especialidad]])</f>
        <v>#REF!</v>
      </c>
      <c r="O5334" s="19">
        <f t="shared" si="167"/>
        <v>10</v>
      </c>
      <c r="P5334" s="19">
        <f t="shared" si="168"/>
        <v>2024</v>
      </c>
      <c r="Q5334" s="16" t="e">
        <f>SUM(Q5335:Q5341)</f>
        <v>#REF!</v>
      </c>
      <c r="R5334" s="50" t="str">
        <f>TEXT(Planning[[#This Row],[Mes]]*29,"mmmm")</f>
        <v>October</v>
      </c>
      <c r="S533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34" s="164"/>
      <c r="U5334" s="43" t="e">
        <f>IF(Planning[[#This Row],[Horas Planificadas]]&lt;&gt;0,+K5349/Planning[[#This Row],[Horas Planificadas]],0)</f>
        <v>#REF!</v>
      </c>
      <c r="V5334" s="43" t="e">
        <f>IF(Planning[[#This Row],[Horas Planificadas]]&lt;&gt;0,Planning[[#This Row],[Horas utilizadas]]/Planning[[#This Row],[Horas Planificadas]],0)</f>
        <v>#REF!</v>
      </c>
      <c r="W5334" s="44">
        <f>Planning[[#This Row],[Horas Planificadas]]+Planning[[#This Row],[Horas ajustadas adicionales]]</f>
        <v>1485</v>
      </c>
      <c r="X5334" s="89" t="s">
        <v>919</v>
      </c>
    </row>
    <row r="5335" spans="1:24" ht="13.35" customHeight="1" x14ac:dyDescent="0.2">
      <c r="A5335" s="81" t="s">
        <v>435</v>
      </c>
      <c r="B5335" s="81" t="s">
        <v>779</v>
      </c>
      <c r="C5335" s="3">
        <v>117032</v>
      </c>
      <c r="D5335" s="3" t="s">
        <v>917</v>
      </c>
      <c r="E5335" s="4"/>
      <c r="F5335" s="3" t="s">
        <v>122</v>
      </c>
      <c r="G5335" s="53"/>
      <c r="H5335" s="20">
        <v>369</v>
      </c>
      <c r="I5335" s="77"/>
      <c r="J5335" s="5" t="e">
        <f>SUM(SUMIFS(#REF!,#REF!,Planning[[#This Row],[Tipo de Tarea y especialidad]],#REF!,Planning[[#This Row],[Proyectos Reiwa]]),SUMIFS(#REF!,#REF!,Planning[[#This Row],[Tipo de Tarea y especialidad]],#REF!,Planning[[#This Row],[Proyectos]]))</f>
        <v>#REF!</v>
      </c>
      <c r="K5335" s="79" t="e">
        <f>+Planning[[#This Row],[Horas Planificadas]]+Planning[[#This Row],[Horas ajustadas adicionales]]-Planning[[#This Row],[Horas utilizadas]]</f>
        <v>#REF!</v>
      </c>
      <c r="L5335" s="7" t="e">
        <f>Planning[[#This Row],[Saldo]]</f>
        <v>#REF!</v>
      </c>
      <c r="M5335" s="19">
        <v>-210</v>
      </c>
      <c r="N5335" s="60" t="e">
        <f>+SUMIFS(#REF!,#REF!,Planning[[#This Row],[Proyectos]],#REF!,Planning[[#This Row],[Tipo de Tarea y especialidad]])+SUMIFS(#REF!,#REF!,Planning[[#This Row],[Proyectos Reiwa]],#REF!,Planning[[#This Row],[Tipo de Tarea y especialidad]])</f>
        <v>#REF!</v>
      </c>
      <c r="O5335" s="19">
        <f t="shared" si="167"/>
        <v>10</v>
      </c>
      <c r="P5335" s="19">
        <f t="shared" si="168"/>
        <v>2024</v>
      </c>
      <c r="Q53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35" s="49" t="str">
        <f>TEXT(Planning[[#This Row],[Mes]]*29,"mmmm")</f>
        <v>October</v>
      </c>
      <c r="S533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35" s="164"/>
      <c r="U5335" s="43" t="e">
        <f>IF(Planning[[#This Row],[Horas Planificadas]]&lt;&gt;0,+K5350/Planning[[#This Row],[Horas Planificadas]],0)</f>
        <v>#REF!</v>
      </c>
      <c r="V5335" s="43" t="e">
        <f>IF(Planning[[#This Row],[Horas Planificadas]]&lt;&gt;0,Planning[[#This Row],[Horas utilizadas]]/Planning[[#This Row],[Horas Planificadas]],0)</f>
        <v>#REF!</v>
      </c>
      <c r="W5335" s="44">
        <f>Planning[[#This Row],[Horas Planificadas]]+Planning[[#This Row],[Horas ajustadas adicionales]]</f>
        <v>369</v>
      </c>
      <c r="X5335" s="89"/>
    </row>
    <row r="5336" spans="1:24" ht="13.35" customHeight="1" x14ac:dyDescent="0.2">
      <c r="A5336" s="81" t="s">
        <v>435</v>
      </c>
      <c r="B5336" s="81" t="s">
        <v>779</v>
      </c>
      <c r="C5336" s="3">
        <v>117032</v>
      </c>
      <c r="D5336" s="3" t="s">
        <v>917</v>
      </c>
      <c r="E5336" s="4"/>
      <c r="F5336" s="3" t="s">
        <v>123</v>
      </c>
      <c r="G5336" s="53"/>
      <c r="H5336" s="20">
        <v>306</v>
      </c>
      <c r="I5336" s="77"/>
      <c r="J5336" s="5" t="e">
        <f>SUM(SUMIFS(#REF!,#REF!,Planning[[#This Row],[Tipo de Tarea y especialidad]],#REF!,Planning[[#This Row],[Proyectos Reiwa]]),SUMIFS(#REF!,#REF!,Planning[[#This Row],[Tipo de Tarea y especialidad]],#REF!,Planning[[#This Row],[Proyectos]]))</f>
        <v>#REF!</v>
      </c>
      <c r="K5336" s="78" t="e">
        <f>+Planning[[#This Row],[Horas Planificadas]]+Planning[[#This Row],[Horas ajustadas adicionales]]-Planning[[#This Row],[Horas utilizadas]]</f>
        <v>#REF!</v>
      </c>
      <c r="L5336" s="7" t="e">
        <f>Planning[[#This Row],[Saldo]]</f>
        <v>#REF!</v>
      </c>
      <c r="M5336" s="19" t="e">
        <f>Planning[[#This Row],[Saldo]]-Planning[[#This Row],[Saldo estimado]]</f>
        <v>#REF!</v>
      </c>
      <c r="N5336" s="60" t="e">
        <f>+SUMIFS(#REF!,#REF!,Planning[[#This Row],[Proyectos]],#REF!,Planning[[#This Row],[Tipo de Tarea y especialidad]])+SUMIFS(#REF!,#REF!,Planning[[#This Row],[Proyectos Reiwa]],#REF!,Planning[[#This Row],[Tipo de Tarea y especialidad]])</f>
        <v>#REF!</v>
      </c>
      <c r="O5336" s="19">
        <f t="shared" si="167"/>
        <v>10</v>
      </c>
      <c r="P5336" s="19">
        <f t="shared" si="168"/>
        <v>2024</v>
      </c>
      <c r="Q53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36" s="49" t="str">
        <f>TEXT(Planning[[#This Row],[Mes]]*29,"mmmm")</f>
        <v>October</v>
      </c>
      <c r="S533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36" s="164"/>
      <c r="U5336" s="43" t="e">
        <f>IF(Planning[[#This Row],[Horas Planificadas]]&lt;&gt;0,+K5351/Planning[[#This Row],[Horas Planificadas]],0)</f>
        <v>#REF!</v>
      </c>
      <c r="V5336" s="43" t="e">
        <f>IF(Planning[[#This Row],[Horas Planificadas]]&lt;&gt;0,Planning[[#This Row],[Horas utilizadas]]/Planning[[#This Row],[Horas Planificadas]],0)</f>
        <v>#REF!</v>
      </c>
      <c r="W5336" s="44">
        <f>Planning[[#This Row],[Horas Planificadas]]+Planning[[#This Row],[Horas ajustadas adicionales]]</f>
        <v>306</v>
      </c>
      <c r="X5336" s="89"/>
    </row>
    <row r="5337" spans="1:24" ht="13.35" customHeight="1" x14ac:dyDescent="0.2">
      <c r="A5337" s="81" t="s">
        <v>435</v>
      </c>
      <c r="B5337" s="81" t="s">
        <v>779</v>
      </c>
      <c r="C5337" s="3">
        <v>117032</v>
      </c>
      <c r="D5337" s="3" t="s">
        <v>917</v>
      </c>
      <c r="E5337" s="4"/>
      <c r="F5337" s="3" t="s">
        <v>124</v>
      </c>
      <c r="G5337" s="53"/>
      <c r="H5337" s="20"/>
      <c r="I5337" s="77"/>
      <c r="J5337" s="5" t="e">
        <f>SUM(SUMIFS(#REF!,#REF!,Planning[[#This Row],[Tipo de Tarea y especialidad]],#REF!,Planning[[#This Row],[Proyectos Reiwa]]),SUMIFS(#REF!,#REF!,Planning[[#This Row],[Tipo de Tarea y especialidad]],#REF!,Planning[[#This Row],[Proyectos]]))</f>
        <v>#REF!</v>
      </c>
      <c r="K5337" s="79" t="e">
        <f>+Planning[[#This Row],[Horas Planificadas]]+Planning[[#This Row],[Horas ajustadas adicionales]]-Planning[[#This Row],[Horas utilizadas]]</f>
        <v>#REF!</v>
      </c>
      <c r="L5337" s="7">
        <v>0</v>
      </c>
      <c r="M5337" s="19" t="e">
        <f>Planning[[#This Row],[Saldo]]-Planning[[#This Row],[Saldo estimado]]</f>
        <v>#REF!</v>
      </c>
      <c r="N5337" s="60" t="e">
        <f>+SUMIFS(#REF!,#REF!,Planning[[#This Row],[Proyectos]],#REF!,Planning[[#This Row],[Tipo de Tarea y especialidad]])+SUMIFS(#REF!,#REF!,Planning[[#This Row],[Proyectos Reiwa]],#REF!,Planning[[#This Row],[Tipo de Tarea y especialidad]])</f>
        <v>#REF!</v>
      </c>
      <c r="O5337" s="19">
        <f t="shared" si="167"/>
        <v>10</v>
      </c>
      <c r="P5337" s="19">
        <f t="shared" si="168"/>
        <v>2024</v>
      </c>
      <c r="Q53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37" s="49" t="str">
        <f>TEXT(Planning[[#This Row],[Mes]]*29,"mmmm")</f>
        <v>October</v>
      </c>
      <c r="S533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37" s="164"/>
      <c r="U5337" s="43">
        <f>IF(Planning[[#This Row],[Horas Planificadas]]&lt;&gt;0,+K5352/Planning[[#This Row],[Horas Planificadas]],0)</f>
        <v>0</v>
      </c>
      <c r="V5337" s="43">
        <f>IF(Planning[[#This Row],[Horas Planificadas]]&lt;&gt;0,Planning[[#This Row],[Horas utilizadas]]/Planning[[#This Row],[Horas Planificadas]],0)</f>
        <v>0</v>
      </c>
      <c r="W5337" s="44">
        <f>Planning[[#This Row],[Horas Planificadas]]+Planning[[#This Row],[Horas ajustadas adicionales]]</f>
        <v>0</v>
      </c>
      <c r="X5337" s="89"/>
    </row>
    <row r="5338" spans="1:24" ht="13.35" customHeight="1" x14ac:dyDescent="0.2">
      <c r="A5338" s="81" t="s">
        <v>435</v>
      </c>
      <c r="B5338" s="81" t="s">
        <v>779</v>
      </c>
      <c r="C5338" s="3">
        <v>117032</v>
      </c>
      <c r="D5338" s="3" t="s">
        <v>917</v>
      </c>
      <c r="E5338" s="4"/>
      <c r="F5338" s="3" t="s">
        <v>125</v>
      </c>
      <c r="G5338" s="53"/>
      <c r="H5338" s="20">
        <v>324</v>
      </c>
      <c r="I5338" s="77"/>
      <c r="J5338" s="5" t="e">
        <f>SUM(SUMIFS(#REF!,#REF!,Planning[[#This Row],[Tipo de Tarea y especialidad]],#REF!,Planning[[#This Row],[Proyectos Reiwa]]),SUMIFS(#REF!,#REF!,Planning[[#This Row],[Tipo de Tarea y especialidad]],#REF!,Planning[[#This Row],[Proyectos]]))</f>
        <v>#REF!</v>
      </c>
      <c r="K5338" s="78" t="e">
        <f>+Planning[[#This Row],[Horas Planificadas]]+Planning[[#This Row],[Horas ajustadas adicionales]]-Planning[[#This Row],[Horas utilizadas]]</f>
        <v>#REF!</v>
      </c>
      <c r="L5338" s="7">
        <v>279</v>
      </c>
      <c r="M5338" s="19" t="e">
        <f>Planning[[#This Row],[Saldo]]-Planning[[#This Row],[Saldo estimado]]</f>
        <v>#REF!</v>
      </c>
      <c r="N5338" s="60" t="e">
        <f>+SUMIFS(#REF!,#REF!,Planning[[#This Row],[Proyectos]],#REF!,Planning[[#This Row],[Tipo de Tarea y especialidad]])+SUMIFS(#REF!,#REF!,Planning[[#This Row],[Proyectos Reiwa]],#REF!,Planning[[#This Row],[Tipo de Tarea y especialidad]])</f>
        <v>#REF!</v>
      </c>
      <c r="O5338" s="19">
        <f t="shared" si="167"/>
        <v>10</v>
      </c>
      <c r="P5338" s="19">
        <f t="shared" si="168"/>
        <v>2024</v>
      </c>
      <c r="Q53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38" s="49" t="str">
        <f>TEXT(Planning[[#This Row],[Mes]]*29,"mmmm")</f>
        <v>October</v>
      </c>
      <c r="S533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38" s="164"/>
      <c r="U5338" s="43" t="e">
        <f>IF(Planning[[#This Row],[Horas Planificadas]]&lt;&gt;0,+K5353/Planning[[#This Row],[Horas Planificadas]],0)</f>
        <v>#REF!</v>
      </c>
      <c r="V5338" s="43" t="e">
        <f>IF(Planning[[#This Row],[Horas Planificadas]]&lt;&gt;0,Planning[[#This Row],[Horas utilizadas]]/Planning[[#This Row],[Horas Planificadas]],0)</f>
        <v>#REF!</v>
      </c>
      <c r="W5338" s="44">
        <f>Planning[[#This Row],[Horas Planificadas]]+Planning[[#This Row],[Horas ajustadas adicionales]]</f>
        <v>324</v>
      </c>
      <c r="X5338" s="89"/>
    </row>
    <row r="5339" spans="1:24" ht="13.35" customHeight="1" x14ac:dyDescent="0.2">
      <c r="A5339" s="81" t="s">
        <v>435</v>
      </c>
      <c r="B5339" s="81" t="s">
        <v>779</v>
      </c>
      <c r="C5339" s="3">
        <v>117032</v>
      </c>
      <c r="D5339" s="3" t="s">
        <v>917</v>
      </c>
      <c r="E5339" s="4"/>
      <c r="F5339" s="3" t="s">
        <v>126</v>
      </c>
      <c r="G5339" s="53"/>
      <c r="H5339" s="20">
        <v>288</v>
      </c>
      <c r="I5339" s="77"/>
      <c r="J5339" s="5" t="e">
        <f>SUM(SUMIFS(#REF!,#REF!,Planning[[#This Row],[Tipo de Tarea y especialidad]],#REF!,Planning[[#This Row],[Proyectos Reiwa]]),SUMIFS(#REF!,#REF!,Planning[[#This Row],[Tipo de Tarea y especialidad]],#REF!,Planning[[#This Row],[Proyectos]]))</f>
        <v>#REF!</v>
      </c>
      <c r="K5339" s="79" t="e">
        <f>+Planning[[#This Row],[Horas Planificadas]]+Planning[[#This Row],[Horas ajustadas adicionales]]-Planning[[#This Row],[Horas utilizadas]]</f>
        <v>#REF!</v>
      </c>
      <c r="L5339" s="7" t="e">
        <f>Planning[[#This Row],[Saldo]]</f>
        <v>#REF!</v>
      </c>
      <c r="M5339" s="19" t="e">
        <f>Planning[[#This Row],[Saldo]]-Planning[[#This Row],[Saldo estimado]]</f>
        <v>#REF!</v>
      </c>
      <c r="N5339" s="60" t="e">
        <f>+SUMIFS(#REF!,#REF!,Planning[[#This Row],[Proyectos]],#REF!,Planning[[#This Row],[Tipo de Tarea y especialidad]])+SUMIFS(#REF!,#REF!,Planning[[#This Row],[Proyectos Reiwa]],#REF!,Planning[[#This Row],[Tipo de Tarea y especialidad]])</f>
        <v>#REF!</v>
      </c>
      <c r="O5339" s="19">
        <f t="shared" si="167"/>
        <v>10</v>
      </c>
      <c r="P5339" s="19">
        <f t="shared" si="168"/>
        <v>2024</v>
      </c>
      <c r="Q53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39" s="49" t="str">
        <f>TEXT(Planning[[#This Row],[Mes]]*29,"mmmm")</f>
        <v>October</v>
      </c>
      <c r="S533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39" s="164"/>
      <c r="U5339" s="43" t="e">
        <f>IF(Planning[[#This Row],[Horas Planificadas]]&lt;&gt;0,+K5354/Planning[[#This Row],[Horas Planificadas]],0)</f>
        <v>#REF!</v>
      </c>
      <c r="V5339" s="43" t="e">
        <f>IF(Planning[[#This Row],[Horas Planificadas]]&lt;&gt;0,Planning[[#This Row],[Horas utilizadas]]/Planning[[#This Row],[Horas Planificadas]],0)</f>
        <v>#REF!</v>
      </c>
      <c r="W5339" s="44">
        <f>Planning[[#This Row],[Horas Planificadas]]+Planning[[#This Row],[Horas ajustadas adicionales]]</f>
        <v>288</v>
      </c>
      <c r="X5339" s="90" t="s">
        <v>920</v>
      </c>
    </row>
    <row r="5340" spans="1:24" ht="13.35" customHeight="1" x14ac:dyDescent="0.2">
      <c r="A5340" s="81" t="s">
        <v>435</v>
      </c>
      <c r="B5340" s="81" t="s">
        <v>779</v>
      </c>
      <c r="C5340" s="3">
        <v>117032</v>
      </c>
      <c r="D5340" s="3" t="s">
        <v>917</v>
      </c>
      <c r="E5340" s="4"/>
      <c r="F5340" s="3" t="s">
        <v>127</v>
      </c>
      <c r="G5340" s="53"/>
      <c r="H5340" s="20">
        <v>198</v>
      </c>
      <c r="I5340" s="77"/>
      <c r="J5340" s="5" t="e">
        <f>SUM(SUMIFS(#REF!,#REF!,Planning[[#This Row],[Tipo de Tarea y especialidad]],#REF!,Planning[[#This Row],[Proyectos Reiwa]]),SUMIFS(#REF!,#REF!,Planning[[#This Row],[Tipo de Tarea y especialidad]],#REF!,Planning[[#This Row],[Proyectos]]))</f>
        <v>#REF!</v>
      </c>
      <c r="K5340" s="78" t="e">
        <f>+Planning[[#This Row],[Horas Planificadas]]+Planning[[#This Row],[Horas ajustadas adicionales]]-Planning[[#This Row],[Horas utilizadas]]</f>
        <v>#REF!</v>
      </c>
      <c r="L5340" s="7" t="e">
        <f>Planning[[#This Row],[Saldo]]</f>
        <v>#REF!</v>
      </c>
      <c r="M5340" s="19" t="e">
        <f>Planning[[#This Row],[Saldo]]-Planning[[#This Row],[Saldo estimado]]</f>
        <v>#REF!</v>
      </c>
      <c r="N5340" s="60" t="e">
        <f>+SUMIFS(#REF!,#REF!,Planning[[#This Row],[Proyectos]],#REF!,Planning[[#This Row],[Tipo de Tarea y especialidad]])+SUMIFS(#REF!,#REF!,Planning[[#This Row],[Proyectos Reiwa]],#REF!,Planning[[#This Row],[Tipo de Tarea y especialidad]])</f>
        <v>#REF!</v>
      </c>
      <c r="O5340" s="19">
        <f t="shared" si="167"/>
        <v>10</v>
      </c>
      <c r="P5340" s="19">
        <f t="shared" si="168"/>
        <v>2024</v>
      </c>
      <c r="Q53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40" s="49" t="str">
        <f>TEXT(Planning[[#This Row],[Mes]]*29,"mmmm")</f>
        <v>October</v>
      </c>
      <c r="S534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40" s="164"/>
      <c r="U5340" s="43" t="e">
        <f>IF(Planning[[#This Row],[Horas Planificadas]]&lt;&gt;0,+K5355/Planning[[#This Row],[Horas Planificadas]],0)</f>
        <v>#REF!</v>
      </c>
      <c r="V5340" s="43" t="e">
        <f>IF(Planning[[#This Row],[Horas Planificadas]]&lt;&gt;0,Planning[[#This Row],[Horas utilizadas]]/Planning[[#This Row],[Horas Planificadas]],0)</f>
        <v>#REF!</v>
      </c>
      <c r="W5340" s="44">
        <f>Planning[[#This Row],[Horas Planificadas]]+Planning[[#This Row],[Horas ajustadas adicionales]]</f>
        <v>198</v>
      </c>
      <c r="X5340" s="91"/>
    </row>
    <row r="5341" spans="1:24" ht="13.35" customHeight="1" x14ac:dyDescent="0.2">
      <c r="A5341" s="81" t="s">
        <v>435</v>
      </c>
      <c r="B5341" s="81" t="s">
        <v>779</v>
      </c>
      <c r="C5341" s="3">
        <v>117032</v>
      </c>
      <c r="D5341" s="3" t="s">
        <v>917</v>
      </c>
      <c r="E5341" s="4"/>
      <c r="F5341" s="3" t="s">
        <v>128</v>
      </c>
      <c r="G5341" s="53"/>
      <c r="H5341" s="20"/>
      <c r="I5341" s="77"/>
      <c r="J5341" s="5" t="e">
        <f>SUM(SUMIFS(#REF!,#REF!,Planning[[#This Row],[Tipo de Tarea y especialidad]],#REF!,Planning[[#This Row],[Proyectos Reiwa]]),SUMIFS(#REF!,#REF!,Planning[[#This Row],[Tipo de Tarea y especialidad]],#REF!,Planning[[#This Row],[Proyectos]]))</f>
        <v>#REF!</v>
      </c>
      <c r="K5341" s="79" t="e">
        <f>+Planning[[#This Row],[Horas Planificadas]]+Planning[[#This Row],[Horas ajustadas adicionales]]-Planning[[#This Row],[Horas utilizadas]]</f>
        <v>#REF!</v>
      </c>
      <c r="L5341" s="7">
        <v>0</v>
      </c>
      <c r="M5341" s="19" t="e">
        <f>Planning[[#This Row],[Saldo]]-Planning[[#This Row],[Saldo estimado]]</f>
        <v>#REF!</v>
      </c>
      <c r="N5341" s="60" t="e">
        <f>+SUMIFS(#REF!,#REF!,Planning[[#This Row],[Proyectos]],#REF!,Planning[[#This Row],[Tipo de Tarea y especialidad]])+SUMIFS(#REF!,#REF!,Planning[[#This Row],[Proyectos Reiwa]],#REF!,Planning[[#This Row],[Tipo de Tarea y especialidad]])</f>
        <v>#REF!</v>
      </c>
      <c r="O5341" s="19">
        <f t="shared" si="167"/>
        <v>10</v>
      </c>
      <c r="P5341" s="19">
        <f t="shared" si="168"/>
        <v>2024</v>
      </c>
      <c r="Q53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41" s="49" t="str">
        <f>TEXT(Planning[[#This Row],[Mes]]*29,"mmmm")</f>
        <v>October</v>
      </c>
      <c r="S534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41" s="164"/>
      <c r="U5341" s="43">
        <f>IF(Planning[[#This Row],[Horas Planificadas]]&lt;&gt;0,+K5356/Planning[[#This Row],[Horas Planificadas]],0)</f>
        <v>0</v>
      </c>
      <c r="V5341" s="43">
        <f>IF(Planning[[#This Row],[Horas Planificadas]]&lt;&gt;0,Planning[[#This Row],[Horas utilizadas]]/Planning[[#This Row],[Horas Planificadas]],0)</f>
        <v>0</v>
      </c>
      <c r="W5341" s="44">
        <f>Planning[[#This Row],[Horas Planificadas]]+Planning[[#This Row],[Horas ajustadas adicionales]]</f>
        <v>0</v>
      </c>
      <c r="X5341" s="89"/>
    </row>
    <row r="5342" spans="1:24" ht="13.35" customHeight="1" x14ac:dyDescent="0.2">
      <c r="A5342" s="81" t="s">
        <v>435</v>
      </c>
      <c r="B5342" s="81" t="s">
        <v>779</v>
      </c>
      <c r="C5342" s="3">
        <v>117032</v>
      </c>
      <c r="D5342" s="3" t="s">
        <v>917</v>
      </c>
      <c r="E5342" s="4" t="s">
        <v>31</v>
      </c>
      <c r="F5342" s="3" t="s">
        <v>31</v>
      </c>
      <c r="G5342" s="53">
        <v>245</v>
      </c>
      <c r="H5342" s="20">
        <v>324</v>
      </c>
      <c r="I5342" s="77"/>
      <c r="J5342" s="14" t="e">
        <f>+SUMIFS(#REF!,#REF!,Planning[[#This Row],[Tarifa]],#REF!,Planning[[#This Row],[Proyectos]])</f>
        <v>#REF!</v>
      </c>
      <c r="K5342" s="76" t="e">
        <f>+Planning[[#This Row],[Horas Planificadas]]+Planning[[#This Row],[Horas ajustadas adicionales]]-Planning[[#This Row],[Horas utilizadas]]</f>
        <v>#REF!</v>
      </c>
      <c r="L5342" s="7" t="e">
        <f>Planning[[#This Row],[Saldo]]</f>
        <v>#REF!</v>
      </c>
      <c r="M5342" s="19" t="e">
        <f>Planning[[#This Row],[Saldo]]-Planning[[#This Row],[Saldo estimado]]</f>
        <v>#REF!</v>
      </c>
      <c r="N5342" s="60" t="e">
        <f>+SUMIFS(#REF!,#REF!,Planning[[#This Row],[Proyectos]],#REF!,Planning[[#This Row],[Tipo de Tarea y especialidad]])+SUMIFS(#REF!,#REF!,Planning[[#This Row],[Proyectos Reiwa]],#REF!,Planning[[#This Row],[Tipo de Tarea y especialidad]])</f>
        <v>#REF!</v>
      </c>
      <c r="O5342" s="19">
        <f t="shared" si="167"/>
        <v>10</v>
      </c>
      <c r="P5342" s="19">
        <f t="shared" si="168"/>
        <v>2024</v>
      </c>
      <c r="Q5342" s="16" t="e">
        <f>+SUMIFS(#REF!,#REF!,Planning[[#This Row],[Tarifa]],#REF!,Planning[[#This Row],[Proyectos]],#REF!,Planning[[#This Row],[Mes]],#REF!,Planning[[#This Row],[Año]])</f>
        <v>#REF!</v>
      </c>
      <c r="R5342" s="50" t="str">
        <f>TEXT(Planning[[#This Row],[Mes]]*29,"mmmm")</f>
        <v>October</v>
      </c>
      <c r="S534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42" s="164"/>
      <c r="U5342" s="43" t="e">
        <f>IF(Planning[[#This Row],[Horas Planificadas]]&lt;&gt;0,+K5357/Planning[[#This Row],[Horas Planificadas]],0)</f>
        <v>#REF!</v>
      </c>
      <c r="V5342" s="43" t="e">
        <f>IF(Planning[[#This Row],[Horas Planificadas]]&lt;&gt;0,Planning[[#This Row],[Horas utilizadas]]/Planning[[#This Row],[Horas Planificadas]],0)</f>
        <v>#REF!</v>
      </c>
      <c r="W5342" s="44">
        <f>Planning[[#This Row],[Horas Planificadas]]+Planning[[#This Row],[Horas ajustadas adicionales]]</f>
        <v>324</v>
      </c>
      <c r="X5342" s="89"/>
    </row>
    <row r="5343" spans="1:24" ht="13.35" customHeight="1" x14ac:dyDescent="0.2">
      <c r="A5343" s="81" t="s">
        <v>435</v>
      </c>
      <c r="B5343" s="81" t="s">
        <v>779</v>
      </c>
      <c r="C5343" s="3">
        <v>117032</v>
      </c>
      <c r="D5343" s="3" t="s">
        <v>917</v>
      </c>
      <c r="E5343" s="4" t="s">
        <v>32</v>
      </c>
      <c r="F5343" s="3"/>
      <c r="G5343" s="53">
        <v>910</v>
      </c>
      <c r="H5343" s="20">
        <f>SUM(H5344:H5346)</f>
        <v>850</v>
      </c>
      <c r="I5343" s="77"/>
      <c r="J5343" s="14" t="e">
        <f>SUM(J5344:J5346)</f>
        <v>#REF!</v>
      </c>
      <c r="K5343" s="76" t="e">
        <f>+Planning[[#This Row],[Horas Planificadas]]+Planning[[#This Row],[Horas ajustadas adicionales]]-Planning[[#This Row],[Horas utilizadas]]</f>
        <v>#REF!</v>
      </c>
      <c r="L5343" s="7" t="e">
        <f>SUM(L5344:L5346)</f>
        <v>#REF!</v>
      </c>
      <c r="M5343" s="19" t="e">
        <f>SUM(M5344:M5346)</f>
        <v>#REF!</v>
      </c>
      <c r="N5343" s="60" t="e">
        <f>+SUMIFS(#REF!,#REF!,Planning[[#This Row],[Proyectos]],#REF!,Planning[[#This Row],[Tipo de Tarea y especialidad]])+SUMIFS(#REF!,#REF!,Planning[[#This Row],[Proyectos Reiwa]],#REF!,Planning[[#This Row],[Tipo de Tarea y especialidad]])</f>
        <v>#REF!</v>
      </c>
      <c r="O5343" s="19">
        <f t="shared" si="167"/>
        <v>10</v>
      </c>
      <c r="P5343" s="19">
        <f t="shared" si="168"/>
        <v>2024</v>
      </c>
      <c r="Q5343" s="16" t="e">
        <f>SUM(Q5344:Q5346)</f>
        <v>#REF!</v>
      </c>
      <c r="R5343" s="50" t="str">
        <f>TEXT(Planning[[#This Row],[Mes]]*29,"mmmm")</f>
        <v>October</v>
      </c>
      <c r="S534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43" s="164"/>
      <c r="U5343" s="43" t="e">
        <f>IF(Planning[[#This Row],[Horas Planificadas]]&lt;&gt;0,+K5358/Planning[[#This Row],[Horas Planificadas]],0)</f>
        <v>#REF!</v>
      </c>
      <c r="V5343" s="43" t="e">
        <f>IF(Planning[[#This Row],[Horas Planificadas]]&lt;&gt;0,Planning[[#This Row],[Horas utilizadas]]/Planning[[#This Row],[Horas Planificadas]],0)</f>
        <v>#REF!</v>
      </c>
      <c r="W5343" s="44">
        <f>Planning[[#This Row],[Horas Planificadas]]+Planning[[#This Row],[Horas ajustadas adicionales]]</f>
        <v>850</v>
      </c>
      <c r="X5343" s="89"/>
    </row>
    <row r="5344" spans="1:24" ht="13.35" customHeight="1" x14ac:dyDescent="0.2">
      <c r="A5344" s="81" t="s">
        <v>435</v>
      </c>
      <c r="B5344" s="81" t="s">
        <v>779</v>
      </c>
      <c r="C5344" s="3">
        <v>117032</v>
      </c>
      <c r="D5344" s="3" t="s">
        <v>917</v>
      </c>
      <c r="E5344" s="4"/>
      <c r="F5344" s="3" t="s">
        <v>129</v>
      </c>
      <c r="G5344" s="11"/>
      <c r="H5344" s="20">
        <v>520</v>
      </c>
      <c r="I5344" s="77"/>
      <c r="J5344" s="5" t="e">
        <f>SUM(SUMIFS(#REF!,#REF!,Planning[[#This Row],[Tipo de Tarea y especialidad]],#REF!,Planning[[#This Row],[Proyectos Reiwa]]),SUMIFS(#REF!,#REF!,Planning[[#This Row],[Tipo de Tarea y especialidad]],#REF!,Planning[[#This Row],[Proyectos]]))</f>
        <v>#REF!</v>
      </c>
      <c r="K5344" s="78" t="e">
        <f>+Planning[[#This Row],[Horas Planificadas]]+Planning[[#This Row],[Horas ajustadas adicionales]]-Planning[[#This Row],[Horas utilizadas]]</f>
        <v>#REF!</v>
      </c>
      <c r="L5344" s="7" t="e">
        <f>Planning[[#This Row],[Saldo]]</f>
        <v>#REF!</v>
      </c>
      <c r="M5344" s="19" t="e">
        <f>Planning[[#This Row],[Saldo]]-Planning[[#This Row],[Saldo estimado]]</f>
        <v>#REF!</v>
      </c>
      <c r="N5344" s="60" t="e">
        <f>+SUMIFS(#REF!,#REF!,Planning[[#This Row],[Proyectos]],#REF!,Planning[[#This Row],[Tipo de Tarea y especialidad]])+SUMIFS(#REF!,#REF!,Planning[[#This Row],[Proyectos Reiwa]],#REF!,Planning[[#This Row],[Tipo de Tarea y especialidad]])</f>
        <v>#REF!</v>
      </c>
      <c r="O5344" s="19">
        <f t="shared" si="167"/>
        <v>10</v>
      </c>
      <c r="P5344" s="19">
        <f t="shared" si="168"/>
        <v>2024</v>
      </c>
      <c r="Q53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44" s="49" t="str">
        <f>TEXT(Planning[[#This Row],[Mes]]*29,"mmmm")</f>
        <v>October</v>
      </c>
      <c r="S534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44" s="164"/>
      <c r="U5344" s="43" t="e">
        <f>IF(Planning[[#This Row],[Horas Planificadas]]&lt;&gt;0,+K5359/Planning[[#This Row],[Horas Planificadas]],0)</f>
        <v>#REF!</v>
      </c>
      <c r="V5344" s="43" t="e">
        <f>IF(Planning[[#This Row],[Horas Planificadas]]&lt;&gt;0,Planning[[#This Row],[Horas utilizadas]]/Planning[[#This Row],[Horas Planificadas]],0)</f>
        <v>#REF!</v>
      </c>
      <c r="W5344" s="44">
        <f>Planning[[#This Row],[Horas Planificadas]]+Planning[[#This Row],[Horas ajustadas adicionales]]</f>
        <v>520</v>
      </c>
      <c r="X5344" s="89"/>
    </row>
    <row r="5345" spans="1:24" ht="13.35" customHeight="1" x14ac:dyDescent="0.2">
      <c r="A5345" s="7" t="s">
        <v>435</v>
      </c>
      <c r="B5345" s="7" t="s">
        <v>779</v>
      </c>
      <c r="C5345" s="3">
        <v>117032</v>
      </c>
      <c r="D5345" s="3" t="s">
        <v>917</v>
      </c>
      <c r="E5345" s="4"/>
      <c r="F5345" s="3" t="s">
        <v>130</v>
      </c>
      <c r="G5345" s="11"/>
      <c r="H5345" s="20">
        <v>330</v>
      </c>
      <c r="I5345" s="80"/>
      <c r="J5345" s="5" t="e">
        <f>SUM(SUMIFS(#REF!,#REF!,Planning[[#This Row],[Tipo de Tarea y especialidad]],#REF!,Planning[[#This Row],[Proyectos Reiwa]]),SUMIFS(#REF!,#REF!,Planning[[#This Row],[Tipo de Tarea y especialidad]],#REF!,Planning[[#This Row],[Proyectos]]))</f>
        <v>#REF!</v>
      </c>
      <c r="K5345" s="82" t="e">
        <f>+Planning[[#This Row],[Horas Planificadas]]+Planning[[#This Row],[Horas ajustadas adicionales]]-Planning[[#This Row],[Horas utilizadas]]</f>
        <v>#REF!</v>
      </c>
      <c r="L5345" s="7" t="e">
        <f>Planning[[#This Row],[Saldo]]</f>
        <v>#REF!</v>
      </c>
      <c r="M5345" s="83" t="e">
        <f>Planning[[#This Row],[Saldo]]-Planning[[#This Row],[Saldo estimado]]</f>
        <v>#REF!</v>
      </c>
      <c r="N5345" s="60" t="e">
        <f>+SUMIFS(#REF!,#REF!,Planning[[#This Row],[Proyectos]],#REF!,Planning[[#This Row],[Tipo de Tarea y especialidad]])+SUMIFS(#REF!,#REF!,Planning[[#This Row],[Proyectos Reiwa]],#REF!,Planning[[#This Row],[Tipo de Tarea y especialidad]])</f>
        <v>#REF!</v>
      </c>
      <c r="O5345" s="83">
        <f t="shared" si="167"/>
        <v>10</v>
      </c>
      <c r="P5345" s="83">
        <f t="shared" si="168"/>
        <v>2024</v>
      </c>
      <c r="Q53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45" s="49" t="str">
        <f>TEXT(Planning[[#This Row],[Mes]]*29,"mmmm")</f>
        <v>October</v>
      </c>
      <c r="S534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45" s="164"/>
      <c r="U5345" s="43" t="e">
        <f>IF(Planning[[#This Row],[Horas Planificadas]]&lt;&gt;0,+K5360/Planning[[#This Row],[Horas Planificadas]],0)</f>
        <v>#REF!</v>
      </c>
      <c r="V5345" s="43" t="e">
        <f>IF(Planning[[#This Row],[Horas Planificadas]]&lt;&gt;0,Planning[[#This Row],[Horas utilizadas]]/Planning[[#This Row],[Horas Planificadas]],0)</f>
        <v>#REF!</v>
      </c>
      <c r="W5345" s="44">
        <f>Planning[[#This Row],[Horas Planificadas]]+Planning[[#This Row],[Horas ajustadas adicionales]]</f>
        <v>330</v>
      </c>
      <c r="X5345" s="89"/>
    </row>
    <row r="5346" spans="1:24" ht="13.35" customHeight="1" x14ac:dyDescent="0.2">
      <c r="A5346" s="7" t="s">
        <v>435</v>
      </c>
      <c r="B5346" s="7" t="s">
        <v>779</v>
      </c>
      <c r="C5346" s="3">
        <v>117032</v>
      </c>
      <c r="D5346" s="3" t="s">
        <v>917</v>
      </c>
      <c r="E5346" s="4"/>
      <c r="F5346" s="3" t="s">
        <v>131</v>
      </c>
      <c r="G5346" s="11"/>
      <c r="H5346" s="20"/>
      <c r="I5346" s="80"/>
      <c r="J5346" s="5" t="e">
        <f>SUM(SUMIFS(#REF!,#REF!,Planning[[#This Row],[Tipo de Tarea y especialidad]],#REF!,Planning[[#This Row],[Proyectos Reiwa]]),SUMIFS(#REF!,#REF!,Planning[[#This Row],[Tipo de Tarea y especialidad]],#REF!,Planning[[#This Row],[Proyectos]]))</f>
        <v>#REF!</v>
      </c>
      <c r="K5346" s="75" t="e">
        <f>+Planning[[#This Row],[Horas Planificadas]]+Planning[[#This Row],[Horas ajustadas adicionales]]-Planning[[#This Row],[Horas utilizadas]]</f>
        <v>#REF!</v>
      </c>
      <c r="L5346" s="7">
        <v>0</v>
      </c>
      <c r="M5346" s="19" t="e">
        <f>Planning[[#This Row],[Saldo]]-Planning[[#This Row],[Saldo estimado]]</f>
        <v>#REF!</v>
      </c>
      <c r="N5346" s="60" t="e">
        <f>+SUMIFS(#REF!,#REF!,Planning[[#This Row],[Proyectos]],#REF!,Planning[[#This Row],[Tipo de Tarea y especialidad]])+SUMIFS(#REF!,#REF!,Planning[[#This Row],[Proyectos Reiwa]],#REF!,Planning[[#This Row],[Tipo de Tarea y especialidad]])</f>
        <v>#REF!</v>
      </c>
      <c r="O5346" s="19">
        <f t="shared" si="167"/>
        <v>10</v>
      </c>
      <c r="P5346" s="19">
        <f t="shared" si="168"/>
        <v>2024</v>
      </c>
      <c r="Q53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46" s="51" t="str">
        <f>TEXT(Planning[[#This Row],[Mes]]*29,"mmmm")</f>
        <v>October</v>
      </c>
      <c r="S5346"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46" s="165"/>
      <c r="U5346" s="43">
        <f>IF(Planning[[#This Row],[Horas Planificadas]]&lt;&gt;0,+K5361/Planning[[#This Row],[Horas Planificadas]],0)</f>
        <v>0</v>
      </c>
      <c r="V5346" s="43">
        <f>IF(Planning[[#This Row],[Horas Planificadas]]&lt;&gt;0,Planning[[#This Row],[Horas utilizadas]]/Planning[[#This Row],[Horas Planificadas]],0)</f>
        <v>0</v>
      </c>
      <c r="W5346" s="44">
        <f>Planning[[#This Row],[Horas Planificadas]]+Planning[[#This Row],[Horas ajustadas adicionales]]</f>
        <v>0</v>
      </c>
      <c r="X5346" s="89"/>
    </row>
    <row r="5347" spans="1:24" ht="13.35" customHeight="1" x14ac:dyDescent="0.2">
      <c r="A5347" s="9" t="s">
        <v>684</v>
      </c>
      <c r="B5347" s="9" t="s">
        <v>463</v>
      </c>
      <c r="C5347" s="3">
        <v>117034</v>
      </c>
      <c r="D5347" s="3" t="s">
        <v>921</v>
      </c>
      <c r="E5347" s="4" t="s">
        <v>28</v>
      </c>
      <c r="F5347" s="3"/>
      <c r="G5347" s="9">
        <v>212</v>
      </c>
      <c r="H5347" s="85">
        <f>SUM(H5348:H5349)</f>
        <v>212</v>
      </c>
      <c r="I5347" s="86"/>
      <c r="J5347" s="14" t="e">
        <f>SUM(J5348:J5349)</f>
        <v>#REF!</v>
      </c>
      <c r="K5347" s="84" t="e">
        <f>+Planning[[#This Row],[Horas Planificadas]]+Planning[[#This Row],[Horas ajustadas adicionales]]-Planning[[#This Row],[Horas utilizadas]]</f>
        <v>#REF!</v>
      </c>
      <c r="L5347" s="87">
        <f>SUM(L5348:L5349)</f>
        <v>48</v>
      </c>
      <c r="M5347" s="88" t="e">
        <f>SUM(M5348:M5349)</f>
        <v>#REF!</v>
      </c>
      <c r="N5347" s="60" t="e">
        <f>+SUMIFS(#REF!,#REF!,Planning[[#This Row],[Proyectos]],#REF!,Planning[[#This Row],[Tipo de Tarea y especialidad]])+SUMIFS(#REF!,#REF!,Planning[[#This Row],[Proyectos Reiwa]],#REF!,Planning[[#This Row],[Tipo de Tarea y especialidad]])</f>
        <v>#REF!</v>
      </c>
      <c r="O5347" s="19">
        <f t="shared" si="167"/>
        <v>10</v>
      </c>
      <c r="P5347" s="19">
        <f t="shared" si="168"/>
        <v>2024</v>
      </c>
      <c r="Q5347" s="28" t="e">
        <f>SUM(Q5348:Q5349)</f>
        <v>#REF!</v>
      </c>
      <c r="R5347" s="24" t="str">
        <f>TEXT(Planning[[#This Row],[Mes]]*29,"mmmm")</f>
        <v>October</v>
      </c>
      <c r="S534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47" s="151" t="s">
        <v>922</v>
      </c>
      <c r="U5347" s="43" t="e">
        <f>IF(Planning[[#This Row],[Horas Planificadas]]&lt;&gt;0,+K5362/Planning[[#This Row],[Horas Planificadas]],0)</f>
        <v>#REF!</v>
      </c>
      <c r="V5347" s="43" t="e">
        <f>IF(Planning[[#This Row],[Horas Planificadas]]&lt;&gt;0,Planning[[#This Row],[Horas utilizadas]]/Planning[[#This Row],[Horas Planificadas]],0)</f>
        <v>#REF!</v>
      </c>
      <c r="W5347" s="44">
        <f>Planning[[#This Row],[Horas Planificadas]]+Planning[[#This Row],[Horas ajustadas adicionales]]</f>
        <v>212</v>
      </c>
    </row>
    <row r="5348" spans="1:24" x14ac:dyDescent="0.2">
      <c r="A5348" s="9" t="s">
        <v>684</v>
      </c>
      <c r="B5348" s="9" t="s">
        <v>463</v>
      </c>
      <c r="C5348" s="3">
        <v>117034</v>
      </c>
      <c r="D5348" s="3" t="s">
        <v>921</v>
      </c>
      <c r="E5348" s="4"/>
      <c r="F5348" s="3" t="s">
        <v>120</v>
      </c>
      <c r="G5348" s="9"/>
      <c r="H5348" s="20">
        <v>140</v>
      </c>
      <c r="I5348" s="12"/>
      <c r="J5348" s="5" t="e">
        <f>SUM(SUMIFS(#REF!,#REF!,Planning[[#This Row],[Tipo de Tarea y especialidad]],#REF!,Planning[[#This Row],[Proyectos Reiwa]]),SUMIFS(#REF!,#REF!,Planning[[#This Row],[Tipo de Tarea y especialidad]],#REF!,Planning[[#This Row],[Proyectos]]))</f>
        <v>#REF!</v>
      </c>
      <c r="K5348" s="5" t="e">
        <f>+Planning[[#This Row],[Horas Planificadas]]+Planning[[#This Row],[Horas ajustadas adicionales]]-Planning[[#This Row],[Horas utilizadas]]</f>
        <v>#REF!</v>
      </c>
      <c r="L5348" s="7">
        <v>20</v>
      </c>
      <c r="M5348" s="19" t="e">
        <f>Planning[[#This Row],[Saldo]]-Planning[[#This Row],[Saldo estimado]]</f>
        <v>#REF!</v>
      </c>
      <c r="N5348" s="60" t="e">
        <f>+SUMIFS(#REF!,#REF!,Planning[[#This Row],[Proyectos]],#REF!,Planning[[#This Row],[Tipo de Tarea y especialidad]])+SUMIFS(#REF!,#REF!,Planning[[#This Row],[Proyectos Reiwa]],#REF!,Planning[[#This Row],[Tipo de Tarea y especialidad]])</f>
        <v>#REF!</v>
      </c>
      <c r="O5348" s="19">
        <f t="shared" si="167"/>
        <v>10</v>
      </c>
      <c r="P5348" s="19">
        <f t="shared" si="168"/>
        <v>2024</v>
      </c>
      <c r="Q53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48" s="49" t="str">
        <f>TEXT(Planning[[#This Row],[Mes]]*29,"mmmm")</f>
        <v>October</v>
      </c>
      <c r="S534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48" s="156"/>
      <c r="U5348" s="43">
        <f>IF(Planning[[#This Row],[Horas Planificadas]]&lt;&gt;0,+K6094/Planning[[#This Row],[Horas Planificadas]],0)</f>
        <v>0</v>
      </c>
      <c r="V5348" s="43" t="e">
        <f>IF(Planning[[#This Row],[Horas Planificadas]]&lt;&gt;0,Planning[[#This Row],[Horas utilizadas]]/Planning[[#This Row],[Horas Planificadas]],0)</f>
        <v>#REF!</v>
      </c>
      <c r="W5348" s="44">
        <f>Planning[[#This Row],[Horas Planificadas]]+Planning[[#This Row],[Horas ajustadas adicionales]]</f>
        <v>140</v>
      </c>
    </row>
    <row r="5349" spans="1:24" x14ac:dyDescent="0.2">
      <c r="A5349" s="9" t="s">
        <v>684</v>
      </c>
      <c r="B5349" s="9" t="s">
        <v>463</v>
      </c>
      <c r="C5349" s="3">
        <v>117034</v>
      </c>
      <c r="D5349" s="3" t="s">
        <v>921</v>
      </c>
      <c r="E5349" s="4"/>
      <c r="F5349" s="3" t="s">
        <v>121</v>
      </c>
      <c r="G5349" s="9"/>
      <c r="H5349" s="20">
        <v>72</v>
      </c>
      <c r="I5349" s="12"/>
      <c r="J5349" s="5" t="e">
        <f>SUM(SUMIFS(#REF!,#REF!,Planning[[#This Row],[Tipo de Tarea y especialidad]],#REF!,Planning[[#This Row],[Proyectos Reiwa]]),SUMIFS(#REF!,#REF!,Planning[[#This Row],[Tipo de Tarea y especialidad]],#REF!,Planning[[#This Row],[Proyectos]]))</f>
        <v>#REF!</v>
      </c>
      <c r="K5349" s="5" t="e">
        <f>+Planning[[#This Row],[Horas Planificadas]]+Planning[[#This Row],[Horas ajustadas adicionales]]-Planning[[#This Row],[Horas utilizadas]]</f>
        <v>#REF!</v>
      </c>
      <c r="L5349" s="7">
        <v>28</v>
      </c>
      <c r="M5349" s="19" t="e">
        <f>Planning[[#This Row],[Saldo]]-Planning[[#This Row],[Saldo estimado]]</f>
        <v>#REF!</v>
      </c>
      <c r="N5349" s="60" t="e">
        <f>+SUMIFS(#REF!,#REF!,Planning[[#This Row],[Proyectos]],#REF!,Planning[[#This Row],[Tipo de Tarea y especialidad]])+SUMIFS(#REF!,#REF!,Planning[[#This Row],[Proyectos Reiwa]],#REF!,Planning[[#This Row],[Tipo de Tarea y especialidad]])</f>
        <v>#REF!</v>
      </c>
      <c r="O5349" s="19">
        <f t="shared" si="167"/>
        <v>10</v>
      </c>
      <c r="P5349" s="19">
        <f t="shared" si="168"/>
        <v>2024</v>
      </c>
      <c r="Q53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49" s="49" t="str">
        <f>TEXT(Planning[[#This Row],[Mes]]*29,"mmmm")</f>
        <v>October</v>
      </c>
      <c r="S534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49" s="156"/>
      <c r="U5349" s="43">
        <f>IF(Planning[[#This Row],[Horas Planificadas]]&lt;&gt;0,+K6095/Planning[[#This Row],[Horas Planificadas]],0)</f>
        <v>0</v>
      </c>
      <c r="V5349" s="43" t="e">
        <f>IF(Planning[[#This Row],[Horas Planificadas]]&lt;&gt;0,Planning[[#This Row],[Horas utilizadas]]/Planning[[#This Row],[Horas Planificadas]],0)</f>
        <v>#REF!</v>
      </c>
      <c r="W5349" s="44">
        <f>Planning[[#This Row],[Horas Planificadas]]+Planning[[#This Row],[Horas ajustadas adicionales]]</f>
        <v>72</v>
      </c>
    </row>
    <row r="5350" spans="1:24" x14ac:dyDescent="0.2">
      <c r="A5350" s="9" t="s">
        <v>684</v>
      </c>
      <c r="B5350" s="9" t="s">
        <v>463</v>
      </c>
      <c r="C5350" s="3">
        <v>117034</v>
      </c>
      <c r="D5350" s="3" t="s">
        <v>921</v>
      </c>
      <c r="E5350" s="4" t="s">
        <v>30</v>
      </c>
      <c r="F5350" s="3"/>
      <c r="G5350" s="9">
        <v>869</v>
      </c>
      <c r="H5350" s="85">
        <f>SUM(H5351:H5357)</f>
        <v>869</v>
      </c>
      <c r="I5350" s="86"/>
      <c r="J5350" s="14" t="e">
        <f>SUM(J5351:J5357)</f>
        <v>#REF!</v>
      </c>
      <c r="K5350" s="84" t="e">
        <f>+Planning[[#This Row],[Horas Planificadas]]+Planning[[#This Row],[Horas ajustadas adicionales]]-Planning[[#This Row],[Horas utilizadas]]</f>
        <v>#REF!</v>
      </c>
      <c r="L5350" s="87" t="e">
        <f>SUM(L5351:L5357)</f>
        <v>#REF!</v>
      </c>
      <c r="M5350" s="88" t="e">
        <f>SUM(M5351:M5357)</f>
        <v>#REF!</v>
      </c>
      <c r="N5350" s="60" t="e">
        <f>+SUMIFS(#REF!,#REF!,Planning[[#This Row],[Proyectos]],#REF!,Planning[[#This Row],[Tipo de Tarea y especialidad]])+SUMIFS(#REF!,#REF!,Planning[[#This Row],[Proyectos Reiwa]],#REF!,Planning[[#This Row],[Tipo de Tarea y especialidad]])</f>
        <v>#REF!</v>
      </c>
      <c r="O5350" s="19">
        <f t="shared" si="167"/>
        <v>10</v>
      </c>
      <c r="P5350" s="19">
        <f t="shared" si="168"/>
        <v>2024</v>
      </c>
      <c r="Q5350" s="16" t="e">
        <f>SUM(Q5351:Q5357)</f>
        <v>#REF!</v>
      </c>
      <c r="R5350" s="50" t="str">
        <f>TEXT(Planning[[#This Row],[Mes]]*29,"mmmm")</f>
        <v>October</v>
      </c>
      <c r="S535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50" s="156"/>
      <c r="U5350" s="43">
        <f>IF(Planning[[#This Row],[Horas Planificadas]]&lt;&gt;0,+K6096/Planning[[#This Row],[Horas Planificadas]],0)</f>
        <v>0</v>
      </c>
      <c r="V5350" s="43" t="e">
        <f>IF(Planning[[#This Row],[Horas Planificadas]]&lt;&gt;0,Planning[[#This Row],[Horas utilizadas]]/Planning[[#This Row],[Horas Planificadas]],0)</f>
        <v>#REF!</v>
      </c>
      <c r="W5350" s="44">
        <f>Planning[[#This Row],[Horas Planificadas]]+Planning[[#This Row],[Horas ajustadas adicionales]]</f>
        <v>869</v>
      </c>
    </row>
    <row r="5351" spans="1:24" x14ac:dyDescent="0.2">
      <c r="A5351" s="9" t="s">
        <v>684</v>
      </c>
      <c r="B5351" s="9" t="s">
        <v>463</v>
      </c>
      <c r="C5351" s="3">
        <v>117034</v>
      </c>
      <c r="D5351" s="3" t="s">
        <v>921</v>
      </c>
      <c r="E5351" s="4"/>
      <c r="F5351" s="3" t="s">
        <v>122</v>
      </c>
      <c r="G5351" s="9"/>
      <c r="H5351" s="20"/>
      <c r="I5351" s="12"/>
      <c r="J5351" s="5" t="e">
        <f>SUM(SUMIFS(#REF!,#REF!,Planning[[#This Row],[Tipo de Tarea y especialidad]],#REF!,Planning[[#This Row],[Proyectos Reiwa]]),SUMIFS(#REF!,#REF!,Planning[[#This Row],[Tipo de Tarea y especialidad]],#REF!,Planning[[#This Row],[Proyectos]]))</f>
        <v>#REF!</v>
      </c>
      <c r="K5351" s="5" t="e">
        <f>+Planning[[#This Row],[Horas Planificadas]]+Planning[[#This Row],[Horas ajustadas adicionales]]-Planning[[#This Row],[Horas utilizadas]]</f>
        <v>#REF!</v>
      </c>
      <c r="L5351" s="7" t="e">
        <f>Planning[[#This Row],[Saldo]]</f>
        <v>#REF!</v>
      </c>
      <c r="M5351" s="19" t="e">
        <f>Planning[[#This Row],[Saldo]]-Planning[[#This Row],[Saldo estimado]]</f>
        <v>#REF!</v>
      </c>
      <c r="N5351" s="60" t="e">
        <f>+SUMIFS(#REF!,#REF!,Planning[[#This Row],[Proyectos]],#REF!,Planning[[#This Row],[Tipo de Tarea y especialidad]])+SUMIFS(#REF!,#REF!,Planning[[#This Row],[Proyectos Reiwa]],#REF!,Planning[[#This Row],[Tipo de Tarea y especialidad]])</f>
        <v>#REF!</v>
      </c>
      <c r="O5351" s="19">
        <f t="shared" si="167"/>
        <v>10</v>
      </c>
      <c r="P5351" s="19">
        <f t="shared" si="168"/>
        <v>2024</v>
      </c>
      <c r="Q53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51" s="49" t="str">
        <f>TEXT(Planning[[#This Row],[Mes]]*29,"mmmm")</f>
        <v>October</v>
      </c>
      <c r="S535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51" s="156"/>
      <c r="U5351" s="43">
        <f>IF(Planning[[#This Row],[Horas Planificadas]]&lt;&gt;0,+K6097/Planning[[#This Row],[Horas Planificadas]],0)</f>
        <v>0</v>
      </c>
      <c r="V5351" s="43">
        <f>IF(Planning[[#This Row],[Horas Planificadas]]&lt;&gt;0,Planning[[#This Row],[Horas utilizadas]]/Planning[[#This Row],[Horas Planificadas]],0)</f>
        <v>0</v>
      </c>
      <c r="W5351" s="44">
        <f>Planning[[#This Row],[Horas Planificadas]]+Planning[[#This Row],[Horas ajustadas adicionales]]</f>
        <v>0</v>
      </c>
    </row>
    <row r="5352" spans="1:24" x14ac:dyDescent="0.2">
      <c r="A5352" s="9" t="s">
        <v>684</v>
      </c>
      <c r="B5352" s="9" t="s">
        <v>463</v>
      </c>
      <c r="C5352" s="3">
        <v>117034</v>
      </c>
      <c r="D5352" s="3" t="s">
        <v>921</v>
      </c>
      <c r="E5352" s="4"/>
      <c r="F5352" s="3" t="s">
        <v>123</v>
      </c>
      <c r="G5352" s="9"/>
      <c r="H5352" s="20">
        <v>450</v>
      </c>
      <c r="I5352" s="12"/>
      <c r="J5352" s="5" t="e">
        <f>SUM(SUMIFS(#REF!,#REF!,Planning[[#This Row],[Tipo de Tarea y especialidad]],#REF!,Planning[[#This Row],[Proyectos Reiwa]]),SUMIFS(#REF!,#REF!,Planning[[#This Row],[Tipo de Tarea y especialidad]],#REF!,Planning[[#This Row],[Proyectos]]))</f>
        <v>#REF!</v>
      </c>
      <c r="K5352" s="5" t="e">
        <f>+Planning[[#This Row],[Horas Planificadas]]+Planning[[#This Row],[Horas ajustadas adicionales]]-Planning[[#This Row],[Horas utilizadas]]</f>
        <v>#REF!</v>
      </c>
      <c r="L5352" s="7" t="e">
        <f>Planning[[#This Row],[Saldo]]</f>
        <v>#REF!</v>
      </c>
      <c r="M5352" s="19" t="e">
        <f>Planning[[#This Row],[Saldo]]-Planning[[#This Row],[Saldo estimado]]</f>
        <v>#REF!</v>
      </c>
      <c r="N5352" s="60" t="e">
        <f>+SUMIFS(#REF!,#REF!,Planning[[#This Row],[Proyectos]],#REF!,Planning[[#This Row],[Tipo de Tarea y especialidad]])+SUMIFS(#REF!,#REF!,Planning[[#This Row],[Proyectos Reiwa]],#REF!,Planning[[#This Row],[Tipo de Tarea y especialidad]])</f>
        <v>#REF!</v>
      </c>
      <c r="O5352" s="19">
        <f t="shared" si="167"/>
        <v>10</v>
      </c>
      <c r="P5352" s="19">
        <f t="shared" si="168"/>
        <v>2024</v>
      </c>
      <c r="Q53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52" s="49" t="str">
        <f>TEXT(Planning[[#This Row],[Mes]]*29,"mmmm")</f>
        <v>October</v>
      </c>
      <c r="S535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52" s="156"/>
      <c r="U5352" s="43">
        <f>IF(Planning[[#This Row],[Horas Planificadas]]&lt;&gt;0,+K6098/Planning[[#This Row],[Horas Planificadas]],0)</f>
        <v>0</v>
      </c>
      <c r="V5352" s="43" t="e">
        <f>IF(Planning[[#This Row],[Horas Planificadas]]&lt;&gt;0,Planning[[#This Row],[Horas utilizadas]]/Planning[[#This Row],[Horas Planificadas]],0)</f>
        <v>#REF!</v>
      </c>
      <c r="W5352" s="44">
        <f>Planning[[#This Row],[Horas Planificadas]]+Planning[[#This Row],[Horas ajustadas adicionales]]</f>
        <v>450</v>
      </c>
    </row>
    <row r="5353" spans="1:24" x14ac:dyDescent="0.2">
      <c r="A5353" s="9" t="s">
        <v>684</v>
      </c>
      <c r="B5353" s="9" t="s">
        <v>463</v>
      </c>
      <c r="C5353" s="3">
        <v>117034</v>
      </c>
      <c r="D5353" s="3" t="s">
        <v>921</v>
      </c>
      <c r="E5353" s="4"/>
      <c r="F5353" s="3" t="s">
        <v>124</v>
      </c>
      <c r="G5353" s="9"/>
      <c r="H5353" s="20"/>
      <c r="I5353" s="12"/>
      <c r="J5353" s="5" t="e">
        <f>SUM(SUMIFS(#REF!,#REF!,Planning[[#This Row],[Tipo de Tarea y especialidad]],#REF!,Planning[[#This Row],[Proyectos Reiwa]]),SUMIFS(#REF!,#REF!,Planning[[#This Row],[Tipo de Tarea y especialidad]],#REF!,Planning[[#This Row],[Proyectos]]))</f>
        <v>#REF!</v>
      </c>
      <c r="K5353" s="5" t="e">
        <f>+Planning[[#This Row],[Horas Planificadas]]+Planning[[#This Row],[Horas ajustadas adicionales]]-Planning[[#This Row],[Horas utilizadas]]</f>
        <v>#REF!</v>
      </c>
      <c r="L5353" s="7" t="e">
        <f>Planning[[#This Row],[Saldo]]</f>
        <v>#REF!</v>
      </c>
      <c r="M5353" s="19" t="e">
        <f>Planning[[#This Row],[Saldo]]-Planning[[#This Row],[Saldo estimado]]</f>
        <v>#REF!</v>
      </c>
      <c r="N5353" s="60" t="e">
        <f>+SUMIFS(#REF!,#REF!,Planning[[#This Row],[Proyectos]],#REF!,Planning[[#This Row],[Tipo de Tarea y especialidad]])+SUMIFS(#REF!,#REF!,Planning[[#This Row],[Proyectos Reiwa]],#REF!,Planning[[#This Row],[Tipo de Tarea y especialidad]])</f>
        <v>#REF!</v>
      </c>
      <c r="O5353" s="19">
        <f t="shared" si="167"/>
        <v>10</v>
      </c>
      <c r="P5353" s="19">
        <f t="shared" si="168"/>
        <v>2024</v>
      </c>
      <c r="Q53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53" s="49" t="str">
        <f>TEXT(Planning[[#This Row],[Mes]]*29,"mmmm")</f>
        <v>October</v>
      </c>
      <c r="S535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53" s="156"/>
      <c r="U5353" s="43">
        <f>IF(Planning[[#This Row],[Horas Planificadas]]&lt;&gt;0,+K6099/Planning[[#This Row],[Horas Planificadas]],0)</f>
        <v>0</v>
      </c>
      <c r="V5353" s="43">
        <f>IF(Planning[[#This Row],[Horas Planificadas]]&lt;&gt;0,Planning[[#This Row],[Horas utilizadas]]/Planning[[#This Row],[Horas Planificadas]],0)</f>
        <v>0</v>
      </c>
      <c r="W5353" s="44">
        <f>Planning[[#This Row],[Horas Planificadas]]+Planning[[#This Row],[Horas ajustadas adicionales]]</f>
        <v>0</v>
      </c>
    </row>
    <row r="5354" spans="1:24" x14ac:dyDescent="0.2">
      <c r="A5354" s="9" t="s">
        <v>684</v>
      </c>
      <c r="B5354" s="9" t="s">
        <v>463</v>
      </c>
      <c r="C5354" s="3">
        <v>117034</v>
      </c>
      <c r="D5354" s="3" t="s">
        <v>921</v>
      </c>
      <c r="E5354" s="4"/>
      <c r="F5354" s="3" t="s">
        <v>125</v>
      </c>
      <c r="G5354" s="9"/>
      <c r="H5354" s="20">
        <v>279</v>
      </c>
      <c r="I5354" s="12"/>
      <c r="J5354" s="5" t="e">
        <f>SUM(SUMIFS(#REF!,#REF!,Planning[[#This Row],[Tipo de Tarea y especialidad]],#REF!,Planning[[#This Row],[Proyectos Reiwa]]),SUMIFS(#REF!,#REF!,Planning[[#This Row],[Tipo de Tarea y especialidad]],#REF!,Planning[[#This Row],[Proyectos]]))</f>
        <v>#REF!</v>
      </c>
      <c r="K5354" s="5" t="e">
        <f>+Planning[[#This Row],[Horas Planificadas]]+Planning[[#This Row],[Horas ajustadas adicionales]]-Planning[[#This Row],[Horas utilizadas]]</f>
        <v>#REF!</v>
      </c>
      <c r="L5354" s="7" t="e">
        <f>Planning[[#This Row],[Saldo]]</f>
        <v>#REF!</v>
      </c>
      <c r="M5354" s="19" t="e">
        <f>Planning[[#This Row],[Saldo]]-Planning[[#This Row],[Saldo estimado]]</f>
        <v>#REF!</v>
      </c>
      <c r="N5354" s="60" t="e">
        <f>+SUMIFS(#REF!,#REF!,Planning[[#This Row],[Proyectos]],#REF!,Planning[[#This Row],[Tipo de Tarea y especialidad]])+SUMIFS(#REF!,#REF!,Planning[[#This Row],[Proyectos Reiwa]],#REF!,Planning[[#This Row],[Tipo de Tarea y especialidad]])</f>
        <v>#REF!</v>
      </c>
      <c r="O5354" s="19">
        <f t="shared" si="167"/>
        <v>10</v>
      </c>
      <c r="P5354" s="19">
        <f t="shared" si="168"/>
        <v>2024</v>
      </c>
      <c r="Q53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54" s="49" t="str">
        <f>TEXT(Planning[[#This Row],[Mes]]*29,"mmmm")</f>
        <v>October</v>
      </c>
      <c r="S535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54" s="156"/>
      <c r="V5354" s="45">
        <f>(SUMIF(V8:V5117,"&gt;0")/(COUNT(V8:V5117)))</f>
        <v>0</v>
      </c>
      <c r="W5354" s="44">
        <f>Planning[[#This Row],[Horas Planificadas]]+Planning[[#This Row],[Horas ajustadas adicionales]]</f>
        <v>279</v>
      </c>
    </row>
    <row r="5355" spans="1:24" x14ac:dyDescent="0.2">
      <c r="A5355" s="9" t="s">
        <v>684</v>
      </c>
      <c r="B5355" s="9" t="s">
        <v>463</v>
      </c>
      <c r="C5355" s="3">
        <v>117034</v>
      </c>
      <c r="D5355" s="3" t="s">
        <v>921</v>
      </c>
      <c r="E5355" s="4"/>
      <c r="F5355" s="3" t="s">
        <v>126</v>
      </c>
      <c r="G5355" s="9"/>
      <c r="H5355" s="20"/>
      <c r="I5355" s="12"/>
      <c r="J5355" s="5" t="e">
        <f>SUM(SUMIFS(#REF!,#REF!,Planning[[#This Row],[Tipo de Tarea y especialidad]],#REF!,Planning[[#This Row],[Proyectos Reiwa]]),SUMIFS(#REF!,#REF!,Planning[[#This Row],[Tipo de Tarea y especialidad]],#REF!,Planning[[#This Row],[Proyectos]]))</f>
        <v>#REF!</v>
      </c>
      <c r="K5355" s="5" t="e">
        <f>+Planning[[#This Row],[Horas Planificadas]]+Planning[[#This Row],[Horas ajustadas adicionales]]-Planning[[#This Row],[Horas utilizadas]]</f>
        <v>#REF!</v>
      </c>
      <c r="L5355" s="7" t="e">
        <f>Planning[[#This Row],[Saldo]]</f>
        <v>#REF!</v>
      </c>
      <c r="M5355" s="19" t="e">
        <f>Planning[[#This Row],[Saldo]]-Planning[[#This Row],[Saldo estimado]]</f>
        <v>#REF!</v>
      </c>
      <c r="N5355" s="60" t="e">
        <f>+SUMIFS(#REF!,#REF!,Planning[[#This Row],[Proyectos]],#REF!,Planning[[#This Row],[Tipo de Tarea y especialidad]])+SUMIFS(#REF!,#REF!,Planning[[#This Row],[Proyectos Reiwa]],#REF!,Planning[[#This Row],[Tipo de Tarea y especialidad]])</f>
        <v>#REF!</v>
      </c>
      <c r="O5355" s="19">
        <f t="shared" si="167"/>
        <v>10</v>
      </c>
      <c r="P5355" s="19">
        <f t="shared" si="168"/>
        <v>2024</v>
      </c>
      <c r="Q53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55" s="49" t="str">
        <f>TEXT(Planning[[#This Row],[Mes]]*29,"mmmm")</f>
        <v>October</v>
      </c>
      <c r="S535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55" s="156"/>
    </row>
    <row r="5356" spans="1:24" x14ac:dyDescent="0.2">
      <c r="A5356" s="9" t="s">
        <v>684</v>
      </c>
      <c r="B5356" s="9" t="s">
        <v>463</v>
      </c>
      <c r="C5356" s="3">
        <v>117034</v>
      </c>
      <c r="D5356" s="3" t="s">
        <v>921</v>
      </c>
      <c r="E5356" s="4"/>
      <c r="F5356" s="3" t="s">
        <v>127</v>
      </c>
      <c r="G5356" s="9"/>
      <c r="H5356" s="20">
        <v>140</v>
      </c>
      <c r="I5356" s="12"/>
      <c r="J5356" s="5" t="e">
        <f>SUM(SUMIFS(#REF!,#REF!,Planning[[#This Row],[Tipo de Tarea y especialidad]],#REF!,Planning[[#This Row],[Proyectos Reiwa]]),SUMIFS(#REF!,#REF!,Planning[[#This Row],[Tipo de Tarea y especialidad]],#REF!,Planning[[#This Row],[Proyectos]]))</f>
        <v>#REF!</v>
      </c>
      <c r="K5356" s="5" t="e">
        <f>+Planning[[#This Row],[Horas Planificadas]]+Planning[[#This Row],[Horas ajustadas adicionales]]-Planning[[#This Row],[Horas utilizadas]]</f>
        <v>#REF!</v>
      </c>
      <c r="L5356" s="7" t="e">
        <f>Planning[[#This Row],[Saldo]]</f>
        <v>#REF!</v>
      </c>
      <c r="M5356" s="19" t="e">
        <f>Planning[[#This Row],[Saldo]]-Planning[[#This Row],[Saldo estimado]]</f>
        <v>#REF!</v>
      </c>
      <c r="N5356" s="60" t="e">
        <f>+SUMIFS(#REF!,#REF!,Planning[[#This Row],[Proyectos]],#REF!,Planning[[#This Row],[Tipo de Tarea y especialidad]])+SUMIFS(#REF!,#REF!,Planning[[#This Row],[Proyectos Reiwa]],#REF!,Planning[[#This Row],[Tipo de Tarea y especialidad]])</f>
        <v>#REF!</v>
      </c>
      <c r="O5356" s="19">
        <f t="shared" si="167"/>
        <v>10</v>
      </c>
      <c r="P5356" s="19">
        <f t="shared" si="168"/>
        <v>2024</v>
      </c>
      <c r="Q53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56" s="49" t="str">
        <f>TEXT(Planning[[#This Row],[Mes]]*29,"mmmm")</f>
        <v>October</v>
      </c>
      <c r="S535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56" s="156"/>
    </row>
    <row r="5357" spans="1:24" x14ac:dyDescent="0.2">
      <c r="A5357" s="9" t="s">
        <v>684</v>
      </c>
      <c r="B5357" s="9" t="s">
        <v>463</v>
      </c>
      <c r="C5357" s="3">
        <v>117034</v>
      </c>
      <c r="D5357" s="3" t="s">
        <v>921</v>
      </c>
      <c r="E5357" s="4"/>
      <c r="F5357" s="3" t="s">
        <v>128</v>
      </c>
      <c r="G5357" s="9"/>
      <c r="H5357" s="20"/>
      <c r="I5357" s="12"/>
      <c r="J5357" s="5" t="e">
        <f>SUM(SUMIFS(#REF!,#REF!,Planning[[#This Row],[Tipo de Tarea y especialidad]],#REF!,Planning[[#This Row],[Proyectos Reiwa]]),SUMIFS(#REF!,#REF!,Planning[[#This Row],[Tipo de Tarea y especialidad]],#REF!,Planning[[#This Row],[Proyectos]]))</f>
        <v>#REF!</v>
      </c>
      <c r="K5357" s="5" t="e">
        <f>+Planning[[#This Row],[Horas Planificadas]]+Planning[[#This Row],[Horas ajustadas adicionales]]-Planning[[#This Row],[Horas utilizadas]]</f>
        <v>#REF!</v>
      </c>
      <c r="L5357" s="7" t="e">
        <f>Planning[[#This Row],[Saldo]]</f>
        <v>#REF!</v>
      </c>
      <c r="M5357" s="19" t="e">
        <f>Planning[[#This Row],[Saldo]]-Planning[[#This Row],[Saldo estimado]]</f>
        <v>#REF!</v>
      </c>
      <c r="N5357" s="60" t="e">
        <f>+SUMIFS(#REF!,#REF!,Planning[[#This Row],[Proyectos]],#REF!,Planning[[#This Row],[Tipo de Tarea y especialidad]])+SUMIFS(#REF!,#REF!,Planning[[#This Row],[Proyectos Reiwa]],#REF!,Planning[[#This Row],[Tipo de Tarea y especialidad]])</f>
        <v>#REF!</v>
      </c>
      <c r="O5357" s="19">
        <f t="shared" si="167"/>
        <v>10</v>
      </c>
      <c r="P5357" s="19">
        <f t="shared" si="168"/>
        <v>2024</v>
      </c>
      <c r="Q53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57" s="49" t="str">
        <f>TEXT(Planning[[#This Row],[Mes]]*29,"mmmm")</f>
        <v>October</v>
      </c>
      <c r="S535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57" s="156"/>
    </row>
    <row r="5358" spans="1:24" x14ac:dyDescent="0.2">
      <c r="A5358" s="9" t="s">
        <v>684</v>
      </c>
      <c r="B5358" s="9" t="s">
        <v>463</v>
      </c>
      <c r="C5358" s="3">
        <v>117034</v>
      </c>
      <c r="D5358" s="3" t="s">
        <v>921</v>
      </c>
      <c r="E5358" s="4" t="s">
        <v>31</v>
      </c>
      <c r="F5358" s="3" t="s">
        <v>31</v>
      </c>
      <c r="G5358" s="9">
        <v>54</v>
      </c>
      <c r="H5358" s="85">
        <v>54</v>
      </c>
      <c r="I5358" s="86"/>
      <c r="J5358" s="14" t="e">
        <f>+SUMIFS(#REF!,#REF!,Planning[[#This Row],[Tarifa]],#REF!,Planning[[#This Row],[Proyectos]])</f>
        <v>#REF!</v>
      </c>
      <c r="K5358" s="84" t="e">
        <f>+Planning[[#This Row],[Horas Planificadas]]+Planning[[#This Row],[Horas ajustadas adicionales]]-Planning[[#This Row],[Horas utilizadas]]</f>
        <v>#REF!</v>
      </c>
      <c r="L5358" s="87" t="e">
        <f>Planning[[#This Row],[Saldo]]</f>
        <v>#REF!</v>
      </c>
      <c r="M5358" s="88" t="e">
        <f>Planning[[#This Row],[Saldo]]-Planning[[#This Row],[Saldo estimado]]</f>
        <v>#REF!</v>
      </c>
      <c r="N5358" s="60" t="e">
        <f>+SUMIFS(#REF!,#REF!,Planning[[#This Row],[Proyectos]],#REF!,Planning[[#This Row],[Tipo de Tarea y especialidad]])+SUMIFS(#REF!,#REF!,Planning[[#This Row],[Proyectos Reiwa]],#REF!,Planning[[#This Row],[Tipo de Tarea y especialidad]])</f>
        <v>#REF!</v>
      </c>
      <c r="O5358" s="19">
        <f t="shared" si="167"/>
        <v>10</v>
      </c>
      <c r="P5358" s="19">
        <f t="shared" si="168"/>
        <v>2024</v>
      </c>
      <c r="Q5358" s="16" t="e">
        <f>+SUMIFS(#REF!,#REF!,Planning[[#This Row],[Tarifa]],#REF!,Planning[[#This Row],[Proyectos]],#REF!,Planning[[#This Row],[Mes]],#REF!,Planning[[#This Row],[Año]])</f>
        <v>#REF!</v>
      </c>
      <c r="R5358" s="50" t="str">
        <f>TEXT(Planning[[#This Row],[Mes]]*29,"mmmm")</f>
        <v>October</v>
      </c>
      <c r="S535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58" s="156"/>
    </row>
    <row r="5359" spans="1:24" ht="22.5" x14ac:dyDescent="0.2">
      <c r="A5359" s="9" t="s">
        <v>684</v>
      </c>
      <c r="B5359" s="9" t="s">
        <v>463</v>
      </c>
      <c r="C5359" s="3">
        <v>117034</v>
      </c>
      <c r="D5359" s="3" t="s">
        <v>921</v>
      </c>
      <c r="E5359" s="4" t="s">
        <v>32</v>
      </c>
      <c r="F5359" s="3"/>
      <c r="G5359" s="9">
        <v>150</v>
      </c>
      <c r="H5359" s="85">
        <f>SUM(H5360:H5362)</f>
        <v>150</v>
      </c>
      <c r="I5359" s="86"/>
      <c r="J5359" s="14" t="e">
        <f>SUM(J5360:J5362)</f>
        <v>#REF!</v>
      </c>
      <c r="K5359" s="84" t="e">
        <f>+Planning[[#This Row],[Horas Planificadas]]+Planning[[#This Row],[Horas ajustadas adicionales]]-Planning[[#This Row],[Horas utilizadas]]</f>
        <v>#REF!</v>
      </c>
      <c r="L5359" s="87" t="e">
        <f>SUM(L5360:L5362)</f>
        <v>#REF!</v>
      </c>
      <c r="M5359" s="88" t="e">
        <f>SUM(M5360:M5362)</f>
        <v>#REF!</v>
      </c>
      <c r="N5359" s="60" t="e">
        <f>+SUMIFS(#REF!,#REF!,Planning[[#This Row],[Proyectos]],#REF!,Planning[[#This Row],[Tipo de Tarea y especialidad]])+SUMIFS(#REF!,#REF!,Planning[[#This Row],[Proyectos Reiwa]],#REF!,Planning[[#This Row],[Tipo de Tarea y especialidad]])</f>
        <v>#REF!</v>
      </c>
      <c r="O5359" s="19">
        <f t="shared" si="167"/>
        <v>10</v>
      </c>
      <c r="P5359" s="19">
        <f t="shared" si="168"/>
        <v>2024</v>
      </c>
      <c r="Q5359" s="16" t="e">
        <f>SUM(Q5360:Q5362)</f>
        <v>#REF!</v>
      </c>
      <c r="R5359" s="50" t="str">
        <f>TEXT(Planning[[#This Row],[Mes]]*29,"mmmm")</f>
        <v>October</v>
      </c>
      <c r="S535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59" s="156"/>
    </row>
    <row r="5360" spans="1:24" x14ac:dyDescent="0.2">
      <c r="A5360" s="9" t="s">
        <v>684</v>
      </c>
      <c r="B5360" s="9" t="s">
        <v>463</v>
      </c>
      <c r="C5360" s="3">
        <v>117034</v>
      </c>
      <c r="D5360" s="3" t="s">
        <v>921</v>
      </c>
      <c r="E5360" s="4"/>
      <c r="F5360" s="3" t="s">
        <v>129</v>
      </c>
      <c r="G5360" s="9"/>
      <c r="H5360" s="20"/>
      <c r="I5360" s="12"/>
      <c r="J5360" s="5" t="e">
        <f>SUM(SUMIFS(#REF!,#REF!,Planning[[#This Row],[Tipo de Tarea y especialidad]],#REF!,Planning[[#This Row],[Proyectos Reiwa]]),SUMIFS(#REF!,#REF!,Planning[[#This Row],[Tipo de Tarea y especialidad]],#REF!,Planning[[#This Row],[Proyectos]]))</f>
        <v>#REF!</v>
      </c>
      <c r="K5360" s="5" t="e">
        <f>+Planning[[#This Row],[Horas Planificadas]]+Planning[[#This Row],[Horas ajustadas adicionales]]-Planning[[#This Row],[Horas utilizadas]]</f>
        <v>#REF!</v>
      </c>
      <c r="L5360" s="7" t="e">
        <f>Planning[[#This Row],[Saldo]]</f>
        <v>#REF!</v>
      </c>
      <c r="M5360" s="19" t="e">
        <f>Planning[[#This Row],[Saldo]]-Planning[[#This Row],[Saldo estimado]]</f>
        <v>#REF!</v>
      </c>
      <c r="N5360" s="60" t="e">
        <f>+SUMIFS(#REF!,#REF!,Planning[[#This Row],[Proyectos]],#REF!,Planning[[#This Row],[Tipo de Tarea y especialidad]])+SUMIFS(#REF!,#REF!,Planning[[#This Row],[Proyectos Reiwa]],#REF!,Planning[[#This Row],[Tipo de Tarea y especialidad]])</f>
        <v>#REF!</v>
      </c>
      <c r="O5360" s="19">
        <f t="shared" si="167"/>
        <v>10</v>
      </c>
      <c r="P5360" s="19">
        <f t="shared" si="168"/>
        <v>2024</v>
      </c>
      <c r="Q53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60" s="49" t="str">
        <f>TEXT(Planning[[#This Row],[Mes]]*29,"mmmm")</f>
        <v>October</v>
      </c>
      <c r="S536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60" s="156"/>
    </row>
    <row r="5361" spans="1:23" x14ac:dyDescent="0.2">
      <c r="A5361" s="9" t="s">
        <v>684</v>
      </c>
      <c r="B5361" s="9" t="s">
        <v>463</v>
      </c>
      <c r="C5361" s="3">
        <v>117034</v>
      </c>
      <c r="D5361" s="3" t="s">
        <v>921</v>
      </c>
      <c r="E5361" s="4"/>
      <c r="F5361" s="3" t="s">
        <v>130</v>
      </c>
      <c r="G5361" s="9"/>
      <c r="H5361" s="20">
        <v>150</v>
      </c>
      <c r="I5361" s="12"/>
      <c r="J5361" s="5" t="e">
        <f>SUM(SUMIFS(#REF!,#REF!,Planning[[#This Row],[Tipo de Tarea y especialidad]],#REF!,Planning[[#This Row],[Proyectos Reiwa]]),SUMIFS(#REF!,#REF!,Planning[[#This Row],[Tipo de Tarea y especialidad]],#REF!,Planning[[#This Row],[Proyectos]]))</f>
        <v>#REF!</v>
      </c>
      <c r="K5361" s="5" t="e">
        <f>+Planning[[#This Row],[Horas Planificadas]]+Planning[[#This Row],[Horas ajustadas adicionales]]-Planning[[#This Row],[Horas utilizadas]]</f>
        <v>#REF!</v>
      </c>
      <c r="L5361" s="7" t="e">
        <f>Planning[[#This Row],[Saldo]]</f>
        <v>#REF!</v>
      </c>
      <c r="M5361" s="19" t="e">
        <f>Planning[[#This Row],[Saldo]]-Planning[[#This Row],[Saldo estimado]]</f>
        <v>#REF!</v>
      </c>
      <c r="N5361" s="60" t="e">
        <f>+SUMIFS(#REF!,#REF!,Planning[[#This Row],[Proyectos]],#REF!,Planning[[#This Row],[Tipo de Tarea y especialidad]])+SUMIFS(#REF!,#REF!,Planning[[#This Row],[Proyectos Reiwa]],#REF!,Planning[[#This Row],[Tipo de Tarea y especialidad]])</f>
        <v>#REF!</v>
      </c>
      <c r="O5361" s="19">
        <f t="shared" si="167"/>
        <v>10</v>
      </c>
      <c r="P5361" s="19">
        <f t="shared" si="168"/>
        <v>2024</v>
      </c>
      <c r="Q53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61" s="49" t="str">
        <f>TEXT(Planning[[#This Row],[Mes]]*29,"mmmm")</f>
        <v>October</v>
      </c>
      <c r="S536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61" s="156"/>
    </row>
    <row r="5362" spans="1:23" x14ac:dyDescent="0.2">
      <c r="A5362" s="9" t="s">
        <v>684</v>
      </c>
      <c r="B5362" s="9" t="s">
        <v>463</v>
      </c>
      <c r="C5362" s="3">
        <v>117034</v>
      </c>
      <c r="D5362" s="3" t="s">
        <v>921</v>
      </c>
      <c r="E5362" s="4"/>
      <c r="F5362" s="3" t="s">
        <v>131</v>
      </c>
      <c r="G5362" s="9"/>
      <c r="H5362" s="20"/>
      <c r="I5362" s="12"/>
      <c r="J5362" s="5" t="e">
        <f>SUM(SUMIFS(#REF!,#REF!,Planning[[#This Row],[Tipo de Tarea y especialidad]],#REF!,Planning[[#This Row],[Proyectos Reiwa]]),SUMIFS(#REF!,#REF!,Planning[[#This Row],[Tipo de Tarea y especialidad]],#REF!,Planning[[#This Row],[Proyectos]]))</f>
        <v>#REF!</v>
      </c>
      <c r="K5362" s="5" t="e">
        <f>+Planning[[#This Row],[Horas Planificadas]]+Planning[[#This Row],[Horas ajustadas adicionales]]-Planning[[#This Row],[Horas utilizadas]]</f>
        <v>#REF!</v>
      </c>
      <c r="L5362" s="7" t="e">
        <f>Planning[[#This Row],[Saldo]]</f>
        <v>#REF!</v>
      </c>
      <c r="M5362" s="19" t="e">
        <f>Planning[[#This Row],[Saldo]]-Planning[[#This Row],[Saldo estimado]]</f>
        <v>#REF!</v>
      </c>
      <c r="N5362" s="60" t="e">
        <f>+SUMIFS(#REF!,#REF!,Planning[[#This Row],[Proyectos]],#REF!,Planning[[#This Row],[Tipo de Tarea y especialidad]])+SUMIFS(#REF!,#REF!,Planning[[#This Row],[Proyectos Reiwa]],#REF!,Planning[[#This Row],[Tipo de Tarea y especialidad]])</f>
        <v>#REF!</v>
      </c>
      <c r="O5362" s="19">
        <f t="shared" si="167"/>
        <v>10</v>
      </c>
      <c r="P5362" s="19">
        <f t="shared" si="168"/>
        <v>2024</v>
      </c>
      <c r="Q53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62" s="51" t="str">
        <f>TEXT(Planning[[#This Row],[Mes]]*29,"mmmm")</f>
        <v>October</v>
      </c>
      <c r="S536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62" s="157"/>
    </row>
    <row r="5363" spans="1:23" ht="13.35" customHeight="1" x14ac:dyDescent="0.2">
      <c r="A5363" s="9" t="s">
        <v>435</v>
      </c>
      <c r="B5363" s="9" t="s">
        <v>220</v>
      </c>
      <c r="C5363" s="3">
        <v>116928</v>
      </c>
      <c r="D5363" s="3" t="s">
        <v>923</v>
      </c>
      <c r="E5363" s="4" t="s">
        <v>28</v>
      </c>
      <c r="F5363" s="3"/>
      <c r="G5363" s="11">
        <f>+G5364+G5365</f>
        <v>735</v>
      </c>
      <c r="H5363" s="20">
        <f>SUM(H5364:H5365)</f>
        <v>735</v>
      </c>
      <c r="I5363" s="12"/>
      <c r="J5363" s="14" t="e">
        <f>SUM(J5364:J5365)</f>
        <v>#REF!</v>
      </c>
      <c r="K5363" s="76" t="e">
        <f>+Planning[[#This Row],[Horas Planificadas]]+Planning[[#This Row],[Horas ajustadas adicionales]]-Planning[[#This Row],[Horas utilizadas]]</f>
        <v>#REF!</v>
      </c>
      <c r="L5363" s="7">
        <f>SUM(L5364:L5365)</f>
        <v>0</v>
      </c>
      <c r="M5363" s="19" t="e">
        <f>SUM(M5364:M5365)</f>
        <v>#REF!</v>
      </c>
      <c r="N5363" s="60" t="e">
        <f>+SUMIFS(#REF!,#REF!,Planning[[#This Row],[Proyectos]],#REF!,Planning[[#This Row],[Tipo de Tarea y especialidad]])+SUMIFS(#REF!,#REF!,Planning[[#This Row],[Proyectos Reiwa]],#REF!,Planning[[#This Row],[Tipo de Tarea y especialidad]])</f>
        <v>#REF!</v>
      </c>
      <c r="O5363" s="34">
        <f t="shared" ref="O5363:O5426" si="169">$L$4</f>
        <v>10</v>
      </c>
      <c r="P5363" s="34">
        <f t="shared" ref="P5363:P5426" si="170">$M$4</f>
        <v>2024</v>
      </c>
      <c r="Q5363" s="28" t="e">
        <f>SUM(Q5364:Q5365)</f>
        <v>#REF!</v>
      </c>
      <c r="R5363" s="24" t="str">
        <f>TEXT(Planning[[#This Row],[Mes]]*29,"mmmm")</f>
        <v>October</v>
      </c>
      <c r="S5363"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63" s="151" t="s">
        <v>924</v>
      </c>
      <c r="U5363" s="43" t="e">
        <f>IF(Planning[[#This Row],[Horas Planificadas]]&lt;&gt;0,+K5363/Planning[[#This Row],[Horas Planificadas]],0)</f>
        <v>#REF!</v>
      </c>
      <c r="V5363" s="43" t="e">
        <f>IF(Planning[[#This Row],[Horas Planificadas]]&lt;&gt;0,Planning[[#This Row],[Horas utilizadas]]/Planning[[#This Row],[Horas Planificadas]],0)</f>
        <v>#REF!</v>
      </c>
      <c r="W5363" s="44">
        <f>Planning[[#This Row],[Horas Planificadas]]+Planning[[#This Row],[Horas ajustadas adicionales]]</f>
        <v>735</v>
      </c>
    </row>
    <row r="5364" spans="1:23" ht="13.35" customHeight="1" x14ac:dyDescent="0.2">
      <c r="A5364" s="9" t="s">
        <v>435</v>
      </c>
      <c r="B5364" s="9" t="s">
        <v>220</v>
      </c>
      <c r="C5364" s="3">
        <v>116928</v>
      </c>
      <c r="D5364" s="3" t="s">
        <v>923</v>
      </c>
      <c r="E5364" s="4"/>
      <c r="F5364" s="3" t="s">
        <v>120</v>
      </c>
      <c r="G5364" s="11">
        <v>360</v>
      </c>
      <c r="H5364" s="20">
        <v>360</v>
      </c>
      <c r="I5364" s="12"/>
      <c r="J5364" s="5" t="e">
        <f>SUM(SUMIFS(#REF!,#REF!,Planning[[#This Row],[Tipo de Tarea y especialidad]],#REF!,Planning[[#This Row],[Proyectos Reiwa]]),SUMIFS(#REF!,#REF!,Planning[[#This Row],[Tipo de Tarea y especialidad]],#REF!,Planning[[#This Row],[Proyectos]]))</f>
        <v>#REF!</v>
      </c>
      <c r="K5364" s="5" t="e">
        <f>+Planning[[#This Row],[Horas Planificadas]]+Planning[[#This Row],[Horas ajustadas adicionales]]-Planning[[#This Row],[Horas utilizadas]]</f>
        <v>#REF!</v>
      </c>
      <c r="L5364" s="7">
        <v>0</v>
      </c>
      <c r="M5364" s="19" t="e">
        <f>Planning[[#This Row],[Saldo]]-Planning[[#This Row],[Saldo estimado]]</f>
        <v>#REF!</v>
      </c>
      <c r="N5364" s="60" t="e">
        <f>+SUMIFS(#REF!,#REF!,Planning[[#This Row],[Proyectos]],#REF!,Planning[[#This Row],[Tipo de Tarea y especialidad]])+SUMIFS(#REF!,#REF!,Planning[[#This Row],[Proyectos Reiwa]],#REF!,Planning[[#This Row],[Tipo de Tarea y especialidad]])</f>
        <v>#REF!</v>
      </c>
      <c r="O5364" s="19">
        <f t="shared" si="169"/>
        <v>10</v>
      </c>
      <c r="P5364" s="19">
        <f t="shared" si="170"/>
        <v>2024</v>
      </c>
      <c r="Q53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64" s="49" t="str">
        <f>TEXT(Planning[[#This Row],[Mes]]*29,"mmmm")</f>
        <v>October</v>
      </c>
      <c r="S536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64" s="152"/>
      <c r="U5364" s="43" t="e">
        <f>IF(Planning[[#This Row],[Horas Planificadas]]&lt;&gt;0,+K5364/Planning[[#This Row],[Horas Planificadas]],0)</f>
        <v>#REF!</v>
      </c>
      <c r="V5364" s="43" t="e">
        <f>IF(Planning[[#This Row],[Horas Planificadas]]&lt;&gt;0,Planning[[#This Row],[Horas utilizadas]]/Planning[[#This Row],[Horas Planificadas]],0)</f>
        <v>#REF!</v>
      </c>
      <c r="W5364" s="44">
        <f>Planning[[#This Row],[Horas Planificadas]]+Planning[[#This Row],[Horas ajustadas adicionales]]</f>
        <v>360</v>
      </c>
    </row>
    <row r="5365" spans="1:23" ht="13.35" customHeight="1" x14ac:dyDescent="0.2">
      <c r="A5365" s="9" t="s">
        <v>435</v>
      </c>
      <c r="B5365" s="9" t="s">
        <v>220</v>
      </c>
      <c r="C5365" s="3">
        <v>116928</v>
      </c>
      <c r="D5365" s="3" t="s">
        <v>923</v>
      </c>
      <c r="E5365" s="4"/>
      <c r="F5365" s="3" t="s">
        <v>121</v>
      </c>
      <c r="G5365" s="11">
        <v>375</v>
      </c>
      <c r="H5365" s="20">
        <v>375</v>
      </c>
      <c r="I5365" s="12"/>
      <c r="J5365" s="5" t="e">
        <f>SUM(SUMIFS(#REF!,#REF!,Planning[[#This Row],[Tipo de Tarea y especialidad]],#REF!,Planning[[#This Row],[Proyectos Reiwa]]),SUMIFS(#REF!,#REF!,Planning[[#This Row],[Tipo de Tarea y especialidad]],#REF!,Planning[[#This Row],[Proyectos]]))</f>
        <v>#REF!</v>
      </c>
      <c r="K5365" s="5" t="e">
        <f>+Planning[[#This Row],[Horas Planificadas]]+Planning[[#This Row],[Horas ajustadas adicionales]]-Planning[[#This Row],[Horas utilizadas]]</f>
        <v>#REF!</v>
      </c>
      <c r="L5365" s="7">
        <v>0</v>
      </c>
      <c r="M5365" s="19" t="e">
        <f>Planning[[#This Row],[Saldo]]-Planning[[#This Row],[Saldo estimado]]</f>
        <v>#REF!</v>
      </c>
      <c r="N5365" s="60" t="e">
        <f>+SUMIFS(#REF!,#REF!,Planning[[#This Row],[Proyectos]],#REF!,Planning[[#This Row],[Tipo de Tarea y especialidad]])+SUMIFS(#REF!,#REF!,Planning[[#This Row],[Proyectos Reiwa]],#REF!,Planning[[#This Row],[Tipo de Tarea y especialidad]])</f>
        <v>#REF!</v>
      </c>
      <c r="O5365" s="19">
        <f t="shared" si="169"/>
        <v>10</v>
      </c>
      <c r="P5365" s="19">
        <f t="shared" si="170"/>
        <v>2024</v>
      </c>
      <c r="Q53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65" s="49" t="str">
        <f>TEXT(Planning[[#This Row],[Mes]]*29,"mmmm")</f>
        <v>October</v>
      </c>
      <c r="S536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65" s="152"/>
      <c r="U5365" s="43" t="e">
        <f>IF(Planning[[#This Row],[Horas Planificadas]]&lt;&gt;0,+K5365/Planning[[#This Row],[Horas Planificadas]],0)</f>
        <v>#REF!</v>
      </c>
      <c r="V5365" s="43" t="e">
        <f>IF(Planning[[#This Row],[Horas Planificadas]]&lt;&gt;0,Planning[[#This Row],[Horas utilizadas]]/Planning[[#This Row],[Horas Planificadas]],0)</f>
        <v>#REF!</v>
      </c>
      <c r="W5365" s="44">
        <f>Planning[[#This Row],[Horas Planificadas]]+Planning[[#This Row],[Horas ajustadas adicionales]]</f>
        <v>375</v>
      </c>
    </row>
    <row r="5366" spans="1:23" ht="13.35" customHeight="1" x14ac:dyDescent="0.2">
      <c r="A5366" s="9" t="s">
        <v>435</v>
      </c>
      <c r="B5366" s="9" t="s">
        <v>220</v>
      </c>
      <c r="C5366" s="3">
        <v>116928</v>
      </c>
      <c r="D5366" s="3" t="s">
        <v>923</v>
      </c>
      <c r="E5366" s="4" t="s">
        <v>30</v>
      </c>
      <c r="F5366" s="3"/>
      <c r="G5366" s="11">
        <f>SUM(G5367:G5373)</f>
        <v>361</v>
      </c>
      <c r="H5366" s="20">
        <f>SUM(H5367:H5373)</f>
        <v>360</v>
      </c>
      <c r="I5366" s="12"/>
      <c r="J5366" s="14" t="e">
        <f>SUM(J5367:J5373)</f>
        <v>#REF!</v>
      </c>
      <c r="K5366" s="14" t="e">
        <f>+Planning[[#This Row],[Horas Planificadas]]+Planning[[#This Row],[Horas ajustadas adicionales]]-Planning[[#This Row],[Horas utilizadas]]</f>
        <v>#REF!</v>
      </c>
      <c r="L5366" s="7" t="e">
        <f>SUM(L5367:L5373)</f>
        <v>#REF!</v>
      </c>
      <c r="M5366" s="19" t="e">
        <f>SUM(M5367:M5373)</f>
        <v>#REF!</v>
      </c>
      <c r="N5366" s="60" t="e">
        <f>+SUMIFS(#REF!,#REF!,Planning[[#This Row],[Proyectos]],#REF!,Planning[[#This Row],[Tipo de Tarea y especialidad]])+SUMIFS(#REF!,#REF!,Planning[[#This Row],[Proyectos Reiwa]],#REF!,Planning[[#This Row],[Tipo de Tarea y especialidad]])</f>
        <v>#REF!</v>
      </c>
      <c r="O5366" s="19">
        <f t="shared" si="169"/>
        <v>10</v>
      </c>
      <c r="P5366" s="19">
        <f t="shared" si="170"/>
        <v>2024</v>
      </c>
      <c r="Q5366" s="16" t="e">
        <f>SUM(Q5367:Q5373)</f>
        <v>#REF!</v>
      </c>
      <c r="R5366" s="50" t="str">
        <f>TEXT(Planning[[#This Row],[Mes]]*29,"mmmm")</f>
        <v>October</v>
      </c>
      <c r="S536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66" s="152"/>
      <c r="U5366" s="43" t="e">
        <f>IF(Planning[[#This Row],[Horas Planificadas]]&lt;&gt;0,+K5366/Planning[[#This Row],[Horas Planificadas]],0)</f>
        <v>#REF!</v>
      </c>
      <c r="V5366" s="43" t="e">
        <f>IF(Planning[[#This Row],[Horas Planificadas]]&lt;&gt;0,Planning[[#This Row],[Horas utilizadas]]/Planning[[#This Row],[Horas Planificadas]],0)</f>
        <v>#REF!</v>
      </c>
      <c r="W5366" s="44">
        <f>Planning[[#This Row],[Horas Planificadas]]+Planning[[#This Row],[Horas ajustadas adicionales]]</f>
        <v>360</v>
      </c>
    </row>
    <row r="5367" spans="1:23" ht="13.35" customHeight="1" x14ac:dyDescent="0.2">
      <c r="A5367" s="9" t="s">
        <v>435</v>
      </c>
      <c r="B5367" s="9" t="s">
        <v>220</v>
      </c>
      <c r="C5367" s="3">
        <v>116928</v>
      </c>
      <c r="D5367" s="3" t="s">
        <v>923</v>
      </c>
      <c r="E5367" s="4"/>
      <c r="F5367" s="3" t="s">
        <v>122</v>
      </c>
      <c r="G5367" s="11">
        <v>145</v>
      </c>
      <c r="H5367" s="20">
        <v>90</v>
      </c>
      <c r="I5367" s="12"/>
      <c r="J5367" s="5" t="e">
        <f>SUM(SUMIFS(#REF!,#REF!,Planning[[#This Row],[Tipo de Tarea y especialidad]],#REF!,Planning[[#This Row],[Proyectos Reiwa]]),SUMIFS(#REF!,#REF!,Planning[[#This Row],[Tipo de Tarea y especialidad]],#REF!,Planning[[#This Row],[Proyectos]]))</f>
        <v>#REF!</v>
      </c>
      <c r="K5367" s="5" t="e">
        <f>+Planning[[#This Row],[Horas Planificadas]]+Planning[[#This Row],[Horas ajustadas adicionales]]-Planning[[#This Row],[Horas utilizadas]]</f>
        <v>#REF!</v>
      </c>
      <c r="L5367" s="7">
        <v>0</v>
      </c>
      <c r="M5367" s="19" t="e">
        <f>Planning[[#This Row],[Saldo]]-Planning[[#This Row],[Saldo estimado]]</f>
        <v>#REF!</v>
      </c>
      <c r="N5367" s="60" t="e">
        <f>+SUMIFS(#REF!,#REF!,Planning[[#This Row],[Proyectos]],#REF!,Planning[[#This Row],[Tipo de Tarea y especialidad]])+SUMIFS(#REF!,#REF!,Planning[[#This Row],[Proyectos Reiwa]],#REF!,Planning[[#This Row],[Tipo de Tarea y especialidad]])</f>
        <v>#REF!</v>
      </c>
      <c r="O5367" s="19">
        <f t="shared" si="169"/>
        <v>10</v>
      </c>
      <c r="P5367" s="19">
        <f t="shared" si="170"/>
        <v>2024</v>
      </c>
      <c r="Q53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67" s="49" t="str">
        <f>TEXT(Planning[[#This Row],[Mes]]*29,"mmmm")</f>
        <v>October</v>
      </c>
      <c r="S536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67" s="152"/>
      <c r="U5367" s="43" t="e">
        <f>IF(Planning[[#This Row],[Horas Planificadas]]&lt;&gt;0,+K5367/Planning[[#This Row],[Horas Planificadas]],0)</f>
        <v>#REF!</v>
      </c>
      <c r="V5367" s="43" t="e">
        <f>IF(Planning[[#This Row],[Horas Planificadas]]&lt;&gt;0,Planning[[#This Row],[Horas utilizadas]]/Planning[[#This Row],[Horas Planificadas]],0)</f>
        <v>#REF!</v>
      </c>
      <c r="W5367" s="44">
        <f>Planning[[#This Row],[Horas Planificadas]]+Planning[[#This Row],[Horas ajustadas adicionales]]</f>
        <v>90</v>
      </c>
    </row>
    <row r="5368" spans="1:23" ht="13.35" customHeight="1" x14ac:dyDescent="0.2">
      <c r="A5368" s="9" t="s">
        <v>435</v>
      </c>
      <c r="B5368" s="9" t="s">
        <v>220</v>
      </c>
      <c r="C5368" s="3">
        <v>116928</v>
      </c>
      <c r="D5368" s="3" t="s">
        <v>923</v>
      </c>
      <c r="E5368" s="4"/>
      <c r="F5368" s="3" t="s">
        <v>123</v>
      </c>
      <c r="G5368" s="11"/>
      <c r="H5368" s="20"/>
      <c r="I5368" s="12"/>
      <c r="J5368" s="5" t="e">
        <f>SUM(SUMIFS(#REF!,#REF!,Planning[[#This Row],[Tipo de Tarea y especialidad]],#REF!,Planning[[#This Row],[Proyectos Reiwa]]),SUMIFS(#REF!,#REF!,Planning[[#This Row],[Tipo de Tarea y especialidad]],#REF!,Planning[[#This Row],[Proyectos]]))</f>
        <v>#REF!</v>
      </c>
      <c r="K5368" s="5" t="e">
        <f>+Planning[[#This Row],[Horas Planificadas]]+Planning[[#This Row],[Horas ajustadas adicionales]]-Planning[[#This Row],[Horas utilizadas]]</f>
        <v>#REF!</v>
      </c>
      <c r="L5368" s="7" t="e">
        <f>Planning[[#This Row],[Saldo]]</f>
        <v>#REF!</v>
      </c>
      <c r="M5368" s="19" t="e">
        <f>Planning[[#This Row],[Saldo]]-Planning[[#This Row],[Saldo estimado]]</f>
        <v>#REF!</v>
      </c>
      <c r="N5368" s="60" t="e">
        <f>+SUMIFS(#REF!,#REF!,Planning[[#This Row],[Proyectos]],#REF!,Planning[[#This Row],[Tipo de Tarea y especialidad]])+SUMIFS(#REF!,#REF!,Planning[[#This Row],[Proyectos Reiwa]],#REF!,Planning[[#This Row],[Tipo de Tarea y especialidad]])</f>
        <v>#REF!</v>
      </c>
      <c r="O5368" s="19">
        <f t="shared" si="169"/>
        <v>10</v>
      </c>
      <c r="P5368" s="19">
        <f t="shared" si="170"/>
        <v>2024</v>
      </c>
      <c r="Q53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68" s="49" t="str">
        <f>TEXT(Planning[[#This Row],[Mes]]*29,"mmmm")</f>
        <v>October</v>
      </c>
      <c r="S536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68" s="152"/>
      <c r="U5368" s="43">
        <f>IF(Planning[[#This Row],[Horas Planificadas]]&lt;&gt;0,+K5368/Planning[[#This Row],[Horas Planificadas]],0)</f>
        <v>0</v>
      </c>
      <c r="V5368" s="43">
        <f>IF(Planning[[#This Row],[Horas Planificadas]]&lt;&gt;0,Planning[[#This Row],[Horas utilizadas]]/Planning[[#This Row],[Horas Planificadas]],0)</f>
        <v>0</v>
      </c>
      <c r="W5368" s="44">
        <f>Planning[[#This Row],[Horas Planificadas]]+Planning[[#This Row],[Horas ajustadas adicionales]]</f>
        <v>0</v>
      </c>
    </row>
    <row r="5369" spans="1:23" ht="13.35" customHeight="1" x14ac:dyDescent="0.2">
      <c r="A5369" s="9" t="s">
        <v>435</v>
      </c>
      <c r="B5369" s="9" t="s">
        <v>220</v>
      </c>
      <c r="C5369" s="3">
        <v>116928</v>
      </c>
      <c r="D5369" s="3" t="s">
        <v>923</v>
      </c>
      <c r="E5369" s="4"/>
      <c r="F5369" s="3" t="s">
        <v>124</v>
      </c>
      <c r="G5369" s="11"/>
      <c r="H5369" s="20"/>
      <c r="I5369" s="12"/>
      <c r="J5369" s="5" t="e">
        <f>SUM(SUMIFS(#REF!,#REF!,Planning[[#This Row],[Tipo de Tarea y especialidad]],#REF!,Planning[[#This Row],[Proyectos Reiwa]]),SUMIFS(#REF!,#REF!,Planning[[#This Row],[Tipo de Tarea y especialidad]],#REF!,Planning[[#This Row],[Proyectos]]))</f>
        <v>#REF!</v>
      </c>
      <c r="K5369" s="5" t="e">
        <f>+Planning[[#This Row],[Horas Planificadas]]+Planning[[#This Row],[Horas ajustadas adicionales]]-Planning[[#This Row],[Horas utilizadas]]</f>
        <v>#REF!</v>
      </c>
      <c r="L5369" s="7" t="e">
        <f>Planning[[#This Row],[Saldo]]</f>
        <v>#REF!</v>
      </c>
      <c r="M5369" s="19" t="e">
        <f>Planning[[#This Row],[Saldo]]-Planning[[#This Row],[Saldo estimado]]</f>
        <v>#REF!</v>
      </c>
      <c r="N5369" s="60" t="e">
        <f>+SUMIFS(#REF!,#REF!,Planning[[#This Row],[Proyectos]],#REF!,Planning[[#This Row],[Tipo de Tarea y especialidad]])+SUMIFS(#REF!,#REF!,Planning[[#This Row],[Proyectos Reiwa]],#REF!,Planning[[#This Row],[Tipo de Tarea y especialidad]])</f>
        <v>#REF!</v>
      </c>
      <c r="O5369" s="19">
        <f t="shared" si="169"/>
        <v>10</v>
      </c>
      <c r="P5369" s="19">
        <f t="shared" si="170"/>
        <v>2024</v>
      </c>
      <c r="Q53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69" s="49" t="str">
        <f>TEXT(Planning[[#This Row],[Mes]]*29,"mmmm")</f>
        <v>October</v>
      </c>
      <c r="S536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69" s="152"/>
      <c r="U5369" s="43">
        <f>IF(Planning[[#This Row],[Horas Planificadas]]&lt;&gt;0,+K5369/Planning[[#This Row],[Horas Planificadas]],0)</f>
        <v>0</v>
      </c>
      <c r="V5369" s="43">
        <f>IF(Planning[[#This Row],[Horas Planificadas]]&lt;&gt;0,Planning[[#This Row],[Horas utilizadas]]/Planning[[#This Row],[Horas Planificadas]],0)</f>
        <v>0</v>
      </c>
      <c r="W5369" s="44">
        <f>Planning[[#This Row],[Horas Planificadas]]+Planning[[#This Row],[Horas ajustadas adicionales]]</f>
        <v>0</v>
      </c>
    </row>
    <row r="5370" spans="1:23" ht="13.35" customHeight="1" x14ac:dyDescent="0.2">
      <c r="A5370" s="9" t="s">
        <v>435</v>
      </c>
      <c r="B5370" s="9" t="s">
        <v>220</v>
      </c>
      <c r="C5370" s="3">
        <v>116928</v>
      </c>
      <c r="D5370" s="3" t="s">
        <v>923</v>
      </c>
      <c r="E5370" s="4"/>
      <c r="F5370" s="3" t="s">
        <v>125</v>
      </c>
      <c r="G5370" s="11">
        <v>135</v>
      </c>
      <c r="H5370" s="20">
        <v>135</v>
      </c>
      <c r="I5370" s="12"/>
      <c r="J5370" s="5" t="e">
        <f>SUM(SUMIFS(#REF!,#REF!,Planning[[#This Row],[Tipo de Tarea y especialidad]],#REF!,Planning[[#This Row],[Proyectos Reiwa]]),SUMIFS(#REF!,#REF!,Planning[[#This Row],[Tipo de Tarea y especialidad]],#REF!,Planning[[#This Row],[Proyectos]]))</f>
        <v>#REF!</v>
      </c>
      <c r="K5370" s="5" t="e">
        <f>+Planning[[#This Row],[Horas Planificadas]]+Planning[[#This Row],[Horas ajustadas adicionales]]-Planning[[#This Row],[Horas utilizadas]]</f>
        <v>#REF!</v>
      </c>
      <c r="L5370" s="7">
        <v>0</v>
      </c>
      <c r="M5370" s="19" t="e">
        <f>Planning[[#This Row],[Saldo]]-Planning[[#This Row],[Saldo estimado]]</f>
        <v>#REF!</v>
      </c>
      <c r="N5370" s="60" t="e">
        <f>+SUMIFS(#REF!,#REF!,Planning[[#This Row],[Proyectos]],#REF!,Planning[[#This Row],[Tipo de Tarea y especialidad]])+SUMIFS(#REF!,#REF!,Planning[[#This Row],[Proyectos Reiwa]],#REF!,Planning[[#This Row],[Tipo de Tarea y especialidad]])</f>
        <v>#REF!</v>
      </c>
      <c r="O5370" s="19">
        <f t="shared" si="169"/>
        <v>10</v>
      </c>
      <c r="P5370" s="19">
        <f t="shared" si="170"/>
        <v>2024</v>
      </c>
      <c r="Q53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70" s="49" t="str">
        <f>TEXT(Planning[[#This Row],[Mes]]*29,"mmmm")</f>
        <v>October</v>
      </c>
      <c r="S537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70" s="152"/>
      <c r="U5370" s="43" t="e">
        <f>IF(Planning[[#This Row],[Horas Planificadas]]&lt;&gt;0,+K5370/Planning[[#This Row],[Horas Planificadas]],0)</f>
        <v>#REF!</v>
      </c>
      <c r="V5370" s="43" t="e">
        <f>IF(Planning[[#This Row],[Horas Planificadas]]&lt;&gt;0,Planning[[#This Row],[Horas utilizadas]]/Planning[[#This Row],[Horas Planificadas]],0)</f>
        <v>#REF!</v>
      </c>
      <c r="W5370" s="44">
        <f>Planning[[#This Row],[Horas Planificadas]]+Planning[[#This Row],[Horas ajustadas adicionales]]</f>
        <v>135</v>
      </c>
    </row>
    <row r="5371" spans="1:23" ht="13.35" customHeight="1" x14ac:dyDescent="0.2">
      <c r="A5371" s="9" t="s">
        <v>435</v>
      </c>
      <c r="B5371" s="9" t="s">
        <v>220</v>
      </c>
      <c r="C5371" s="3">
        <v>116928</v>
      </c>
      <c r="D5371" s="3" t="s">
        <v>923</v>
      </c>
      <c r="E5371" s="4"/>
      <c r="F5371" s="3" t="s">
        <v>126</v>
      </c>
      <c r="G5371" s="11">
        <v>81</v>
      </c>
      <c r="H5371" s="20">
        <v>135</v>
      </c>
      <c r="I5371" s="12"/>
      <c r="J5371" s="5" t="e">
        <f>SUM(SUMIFS(#REF!,#REF!,Planning[[#This Row],[Tipo de Tarea y especialidad]],#REF!,Planning[[#This Row],[Proyectos Reiwa]]),SUMIFS(#REF!,#REF!,Planning[[#This Row],[Tipo de Tarea y especialidad]],#REF!,Planning[[#This Row],[Proyectos]]))</f>
        <v>#REF!</v>
      </c>
      <c r="K5371" s="5" t="e">
        <f>+Planning[[#This Row],[Horas Planificadas]]+Planning[[#This Row],[Horas ajustadas adicionales]]-Planning[[#This Row],[Horas utilizadas]]</f>
        <v>#REF!</v>
      </c>
      <c r="L5371" s="7">
        <v>0</v>
      </c>
      <c r="M5371" s="19" t="e">
        <f>Planning[[#This Row],[Saldo]]-Planning[[#This Row],[Saldo estimado]]</f>
        <v>#REF!</v>
      </c>
      <c r="N5371" s="60" t="e">
        <f>+SUMIFS(#REF!,#REF!,Planning[[#This Row],[Proyectos]],#REF!,Planning[[#This Row],[Tipo de Tarea y especialidad]])+SUMIFS(#REF!,#REF!,Planning[[#This Row],[Proyectos Reiwa]],#REF!,Planning[[#This Row],[Tipo de Tarea y especialidad]])</f>
        <v>#REF!</v>
      </c>
      <c r="O5371" s="19">
        <f t="shared" si="169"/>
        <v>10</v>
      </c>
      <c r="P5371" s="19">
        <f t="shared" si="170"/>
        <v>2024</v>
      </c>
      <c r="Q53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71" s="49" t="str">
        <f>TEXT(Planning[[#This Row],[Mes]]*29,"mmmm")</f>
        <v>October</v>
      </c>
      <c r="S537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71" s="152"/>
      <c r="U5371" s="43" t="e">
        <f>IF(Planning[[#This Row],[Horas Planificadas]]&lt;&gt;0,+K5371/Planning[[#This Row],[Horas Planificadas]],0)</f>
        <v>#REF!</v>
      </c>
      <c r="V5371" s="43" t="e">
        <f>IF(Planning[[#This Row],[Horas Planificadas]]&lt;&gt;0,Planning[[#This Row],[Horas utilizadas]]/Planning[[#This Row],[Horas Planificadas]],0)</f>
        <v>#REF!</v>
      </c>
      <c r="W5371" s="44">
        <f>Planning[[#This Row],[Horas Planificadas]]+Planning[[#This Row],[Horas ajustadas adicionales]]</f>
        <v>135</v>
      </c>
    </row>
    <row r="5372" spans="1:23" ht="13.35" customHeight="1" x14ac:dyDescent="0.2">
      <c r="A5372" s="9" t="s">
        <v>435</v>
      </c>
      <c r="B5372" s="9" t="s">
        <v>220</v>
      </c>
      <c r="C5372" s="3">
        <v>116928</v>
      </c>
      <c r="D5372" s="3" t="s">
        <v>923</v>
      </c>
      <c r="E5372" s="4"/>
      <c r="F5372" s="3" t="s">
        <v>127</v>
      </c>
      <c r="G5372" s="11"/>
      <c r="H5372" s="20"/>
      <c r="I5372" s="12"/>
      <c r="J5372" s="5" t="e">
        <f>SUM(SUMIFS(#REF!,#REF!,Planning[[#This Row],[Tipo de Tarea y especialidad]],#REF!,Planning[[#This Row],[Proyectos Reiwa]]),SUMIFS(#REF!,#REF!,Planning[[#This Row],[Tipo de Tarea y especialidad]],#REF!,Planning[[#This Row],[Proyectos]]))</f>
        <v>#REF!</v>
      </c>
      <c r="K5372" s="5" t="e">
        <f>+Planning[[#This Row],[Horas Planificadas]]+Planning[[#This Row],[Horas ajustadas adicionales]]-Planning[[#This Row],[Horas utilizadas]]</f>
        <v>#REF!</v>
      </c>
      <c r="L5372" s="7" t="e">
        <f>Planning[[#This Row],[Saldo]]</f>
        <v>#REF!</v>
      </c>
      <c r="M5372" s="19" t="e">
        <f>Planning[[#This Row],[Saldo]]-Planning[[#This Row],[Saldo estimado]]</f>
        <v>#REF!</v>
      </c>
      <c r="N5372" s="60" t="e">
        <f>+SUMIFS(#REF!,#REF!,Planning[[#This Row],[Proyectos]],#REF!,Planning[[#This Row],[Tipo de Tarea y especialidad]])+SUMIFS(#REF!,#REF!,Planning[[#This Row],[Proyectos Reiwa]],#REF!,Planning[[#This Row],[Tipo de Tarea y especialidad]])</f>
        <v>#REF!</v>
      </c>
      <c r="O5372" s="19">
        <f t="shared" si="169"/>
        <v>10</v>
      </c>
      <c r="P5372" s="19">
        <f t="shared" si="170"/>
        <v>2024</v>
      </c>
      <c r="Q53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72" s="49" t="str">
        <f>TEXT(Planning[[#This Row],[Mes]]*29,"mmmm")</f>
        <v>October</v>
      </c>
      <c r="S537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72" s="152"/>
      <c r="U5372" s="43">
        <f>IF(Planning[[#This Row],[Horas Planificadas]]&lt;&gt;0,+K5372/Planning[[#This Row],[Horas Planificadas]],0)</f>
        <v>0</v>
      </c>
      <c r="V5372" s="43">
        <f>IF(Planning[[#This Row],[Horas Planificadas]]&lt;&gt;0,Planning[[#This Row],[Horas utilizadas]]/Planning[[#This Row],[Horas Planificadas]],0)</f>
        <v>0</v>
      </c>
      <c r="W5372" s="44">
        <f>Planning[[#This Row],[Horas Planificadas]]+Planning[[#This Row],[Horas ajustadas adicionales]]</f>
        <v>0</v>
      </c>
    </row>
    <row r="5373" spans="1:23" ht="13.35" customHeight="1" x14ac:dyDescent="0.2">
      <c r="A5373" s="9" t="s">
        <v>435</v>
      </c>
      <c r="B5373" s="9" t="s">
        <v>220</v>
      </c>
      <c r="C5373" s="3">
        <v>116928</v>
      </c>
      <c r="D5373" s="3" t="s">
        <v>923</v>
      </c>
      <c r="E5373" s="4"/>
      <c r="F5373" s="3" t="s">
        <v>128</v>
      </c>
      <c r="G5373" s="11"/>
      <c r="H5373" s="20"/>
      <c r="I5373" s="12"/>
      <c r="J5373" s="5" t="e">
        <f>SUM(SUMIFS(#REF!,#REF!,Planning[[#This Row],[Tipo de Tarea y especialidad]],#REF!,Planning[[#This Row],[Proyectos Reiwa]]),SUMIFS(#REF!,#REF!,Planning[[#This Row],[Tipo de Tarea y especialidad]],#REF!,Planning[[#This Row],[Proyectos]]))</f>
        <v>#REF!</v>
      </c>
      <c r="K5373" s="5" t="e">
        <f>+Planning[[#This Row],[Horas Planificadas]]+Planning[[#This Row],[Horas ajustadas adicionales]]-Planning[[#This Row],[Horas utilizadas]]</f>
        <v>#REF!</v>
      </c>
      <c r="L5373" s="7" t="e">
        <f>Planning[[#This Row],[Saldo]]</f>
        <v>#REF!</v>
      </c>
      <c r="M5373" s="19" t="e">
        <f>Planning[[#This Row],[Saldo]]-Planning[[#This Row],[Saldo estimado]]</f>
        <v>#REF!</v>
      </c>
      <c r="N5373" s="60" t="e">
        <f>+SUMIFS(#REF!,#REF!,Planning[[#This Row],[Proyectos]],#REF!,Planning[[#This Row],[Tipo de Tarea y especialidad]])+SUMIFS(#REF!,#REF!,Planning[[#This Row],[Proyectos Reiwa]],#REF!,Planning[[#This Row],[Tipo de Tarea y especialidad]])</f>
        <v>#REF!</v>
      </c>
      <c r="O5373" s="19">
        <f t="shared" si="169"/>
        <v>10</v>
      </c>
      <c r="P5373" s="19">
        <f t="shared" si="170"/>
        <v>2024</v>
      </c>
      <c r="Q53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73" s="49" t="str">
        <f>TEXT(Planning[[#This Row],[Mes]]*29,"mmmm")</f>
        <v>October</v>
      </c>
      <c r="S537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73" s="152"/>
      <c r="U5373" s="43">
        <f>IF(Planning[[#This Row],[Horas Planificadas]]&lt;&gt;0,+K5373/Planning[[#This Row],[Horas Planificadas]],0)</f>
        <v>0</v>
      </c>
      <c r="V5373" s="43">
        <f>IF(Planning[[#This Row],[Horas Planificadas]]&lt;&gt;0,Planning[[#This Row],[Horas utilizadas]]/Planning[[#This Row],[Horas Planificadas]],0)</f>
        <v>0</v>
      </c>
      <c r="W5373" s="44">
        <f>Planning[[#This Row],[Horas Planificadas]]+Planning[[#This Row],[Horas ajustadas adicionales]]</f>
        <v>0</v>
      </c>
    </row>
    <row r="5374" spans="1:23" ht="13.35" customHeight="1" x14ac:dyDescent="0.2">
      <c r="A5374" s="9" t="s">
        <v>435</v>
      </c>
      <c r="B5374" s="9" t="s">
        <v>220</v>
      </c>
      <c r="C5374" s="3">
        <v>116928</v>
      </c>
      <c r="D5374" s="3" t="s">
        <v>923</v>
      </c>
      <c r="E5374" s="4" t="s">
        <v>31</v>
      </c>
      <c r="F5374" s="3" t="s">
        <v>31</v>
      </c>
      <c r="G5374" s="11">
        <v>189</v>
      </c>
      <c r="H5374" s="20">
        <v>189</v>
      </c>
      <c r="I5374" s="12"/>
      <c r="J5374" s="14" t="e">
        <f>+SUMIFS(#REF!,#REF!,Planning[[#This Row],[Tarifa]],#REF!,Planning[[#This Row],[Proyectos]])</f>
        <v>#REF!</v>
      </c>
      <c r="K5374" s="14" t="e">
        <f>+Planning[[#This Row],[Horas Planificadas]]+Planning[[#This Row],[Horas ajustadas adicionales]]-Planning[[#This Row],[Horas utilizadas]]</f>
        <v>#REF!</v>
      </c>
      <c r="L5374" s="7" t="e">
        <f>Planning[[#This Row],[Saldo]]</f>
        <v>#REF!</v>
      </c>
      <c r="M5374" s="19" t="e">
        <f>Planning[[#This Row],[Saldo]]-Planning[[#This Row],[Saldo estimado]]</f>
        <v>#REF!</v>
      </c>
      <c r="N5374" s="60" t="e">
        <f>+SUMIFS(#REF!,#REF!,Planning[[#This Row],[Proyectos]],#REF!,Planning[[#This Row],[Tipo de Tarea y especialidad]])+SUMIFS(#REF!,#REF!,Planning[[#This Row],[Proyectos Reiwa]],#REF!,Planning[[#This Row],[Tipo de Tarea y especialidad]])</f>
        <v>#REF!</v>
      </c>
      <c r="O5374" s="19">
        <f t="shared" si="169"/>
        <v>10</v>
      </c>
      <c r="P5374" s="19">
        <f t="shared" si="170"/>
        <v>2024</v>
      </c>
      <c r="Q5374" s="16" t="e">
        <f>+SUMIFS(#REF!,#REF!,Planning[[#This Row],[Tarifa]],#REF!,Planning[[#This Row],[Proyectos]],#REF!,Planning[[#This Row],[Mes]],#REF!,Planning[[#This Row],[Año]])</f>
        <v>#REF!</v>
      </c>
      <c r="R5374" s="50" t="str">
        <f>TEXT(Planning[[#This Row],[Mes]]*29,"mmmm")</f>
        <v>October</v>
      </c>
      <c r="S537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74" s="152"/>
      <c r="U5374" s="43" t="e">
        <f>IF(Planning[[#This Row],[Horas Planificadas]]&lt;&gt;0,+K5374/Planning[[#This Row],[Horas Planificadas]],0)</f>
        <v>#REF!</v>
      </c>
      <c r="V5374" s="43" t="e">
        <f>IF(Planning[[#This Row],[Horas Planificadas]]&lt;&gt;0,Planning[[#This Row],[Horas utilizadas]]/Planning[[#This Row],[Horas Planificadas]],0)</f>
        <v>#REF!</v>
      </c>
      <c r="W5374" s="44">
        <f>Planning[[#This Row],[Horas Planificadas]]+Planning[[#This Row],[Horas ajustadas adicionales]]</f>
        <v>189</v>
      </c>
    </row>
    <row r="5375" spans="1:23" ht="13.35" customHeight="1" x14ac:dyDescent="0.2">
      <c r="A5375" s="9" t="s">
        <v>435</v>
      </c>
      <c r="B5375" s="9" t="s">
        <v>220</v>
      </c>
      <c r="C5375" s="3">
        <v>116928</v>
      </c>
      <c r="D5375" s="3" t="s">
        <v>923</v>
      </c>
      <c r="E5375" s="4" t="s">
        <v>32</v>
      </c>
      <c r="F5375" s="3"/>
      <c r="G5375" s="11">
        <f>SUM(G5376:G5378)</f>
        <v>230</v>
      </c>
      <c r="H5375" s="20">
        <f>SUM(H5376:H5378)</f>
        <v>230</v>
      </c>
      <c r="I5375" s="12"/>
      <c r="J5375" s="14" t="e">
        <f>SUM(J5376:J5378)</f>
        <v>#REF!</v>
      </c>
      <c r="K5375" s="14" t="e">
        <f>+Planning[[#This Row],[Horas Planificadas]]+Planning[[#This Row],[Horas ajustadas adicionales]]-Planning[[#This Row],[Horas utilizadas]]</f>
        <v>#REF!</v>
      </c>
      <c r="L5375" s="7" t="e">
        <f>SUM(L5376:L5378)</f>
        <v>#REF!</v>
      </c>
      <c r="M5375" s="19" t="e">
        <f>SUM(M5376:M5378)</f>
        <v>#REF!</v>
      </c>
      <c r="N5375" s="60" t="e">
        <f>+SUMIFS(#REF!,#REF!,Planning[[#This Row],[Proyectos]],#REF!,Planning[[#This Row],[Tipo de Tarea y especialidad]])+SUMIFS(#REF!,#REF!,Planning[[#This Row],[Proyectos Reiwa]],#REF!,Planning[[#This Row],[Tipo de Tarea y especialidad]])</f>
        <v>#REF!</v>
      </c>
      <c r="O5375" s="19">
        <f t="shared" si="169"/>
        <v>10</v>
      </c>
      <c r="P5375" s="19">
        <f t="shared" si="170"/>
        <v>2024</v>
      </c>
      <c r="Q5375" s="16" t="e">
        <f>SUM(Q5376:Q5378)</f>
        <v>#REF!</v>
      </c>
      <c r="R5375" s="50" t="str">
        <f>TEXT(Planning[[#This Row],[Mes]]*29,"mmmm")</f>
        <v>October</v>
      </c>
      <c r="S537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75" s="152"/>
      <c r="U5375" s="43" t="e">
        <f>IF(Planning[[#This Row],[Horas Planificadas]]&lt;&gt;0,+K5375/Planning[[#This Row],[Horas Planificadas]],0)</f>
        <v>#REF!</v>
      </c>
      <c r="V5375" s="43" t="e">
        <f>IF(Planning[[#This Row],[Horas Planificadas]]&lt;&gt;0,Planning[[#This Row],[Horas utilizadas]]/Planning[[#This Row],[Horas Planificadas]],0)</f>
        <v>#REF!</v>
      </c>
      <c r="W5375" s="44">
        <f>Planning[[#This Row],[Horas Planificadas]]+Planning[[#This Row],[Horas ajustadas adicionales]]</f>
        <v>230</v>
      </c>
    </row>
    <row r="5376" spans="1:23" ht="12.6" customHeight="1" x14ac:dyDescent="0.2">
      <c r="A5376" s="9" t="s">
        <v>435</v>
      </c>
      <c r="B5376" s="9" t="s">
        <v>220</v>
      </c>
      <c r="C5376" s="3">
        <v>116928</v>
      </c>
      <c r="D5376" s="3" t="s">
        <v>923</v>
      </c>
      <c r="E5376" s="4"/>
      <c r="F5376" s="3" t="s">
        <v>129</v>
      </c>
      <c r="G5376" s="11">
        <v>230</v>
      </c>
      <c r="H5376" s="20">
        <v>230</v>
      </c>
      <c r="I5376" s="12"/>
      <c r="J5376" s="5" t="e">
        <f>SUM(SUMIFS(#REF!,#REF!,Planning[[#This Row],[Tipo de Tarea y especialidad]],#REF!,Planning[[#This Row],[Proyectos Reiwa]]),SUMIFS(#REF!,#REF!,Planning[[#This Row],[Tipo de Tarea y especialidad]],#REF!,Planning[[#This Row],[Proyectos]]))</f>
        <v>#REF!</v>
      </c>
      <c r="K5376" s="5" t="e">
        <f>+Planning[[#This Row],[Horas Planificadas]]+Planning[[#This Row],[Horas ajustadas adicionales]]-Planning[[#This Row],[Horas utilizadas]]</f>
        <v>#REF!</v>
      </c>
      <c r="L5376" s="7">
        <v>0</v>
      </c>
      <c r="M5376" s="19" t="e">
        <f>Planning[[#This Row],[Saldo]]-Planning[[#This Row],[Saldo estimado]]</f>
        <v>#REF!</v>
      </c>
      <c r="N5376" s="60" t="e">
        <f>+SUMIFS(#REF!,#REF!,Planning[[#This Row],[Proyectos]],#REF!,Planning[[#This Row],[Tipo de Tarea y especialidad]])+SUMIFS(#REF!,#REF!,Planning[[#This Row],[Proyectos Reiwa]],#REF!,Planning[[#This Row],[Tipo de Tarea y especialidad]])</f>
        <v>#REF!</v>
      </c>
      <c r="O5376" s="19">
        <f t="shared" si="169"/>
        <v>10</v>
      </c>
      <c r="P5376" s="19">
        <f t="shared" si="170"/>
        <v>2024</v>
      </c>
      <c r="Q53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76" s="49" t="str">
        <f>TEXT(Planning[[#This Row],[Mes]]*29,"mmmm")</f>
        <v>October</v>
      </c>
      <c r="S537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76" s="152"/>
      <c r="U5376" s="43" t="e">
        <f>IF(Planning[[#This Row],[Horas Planificadas]]&lt;&gt;0,+K5376/Planning[[#This Row],[Horas Planificadas]],0)</f>
        <v>#REF!</v>
      </c>
      <c r="V5376" s="43" t="e">
        <f>IF(Planning[[#This Row],[Horas Planificadas]]&lt;&gt;0,Planning[[#This Row],[Horas utilizadas]]/Planning[[#This Row],[Horas Planificadas]],0)</f>
        <v>#REF!</v>
      </c>
      <c r="W5376" s="44">
        <f>Planning[[#This Row],[Horas Planificadas]]+Planning[[#This Row],[Horas ajustadas adicionales]]</f>
        <v>230</v>
      </c>
    </row>
    <row r="5377" spans="1:23" ht="12" customHeight="1" x14ac:dyDescent="0.2">
      <c r="A5377" s="9" t="s">
        <v>435</v>
      </c>
      <c r="B5377" s="9" t="s">
        <v>220</v>
      </c>
      <c r="C5377" s="3">
        <v>116928</v>
      </c>
      <c r="D5377" s="3" t="s">
        <v>923</v>
      </c>
      <c r="E5377" s="4"/>
      <c r="F5377" s="3" t="s">
        <v>130</v>
      </c>
      <c r="G5377" s="11"/>
      <c r="H5377" s="20"/>
      <c r="I5377" s="12"/>
      <c r="J5377" s="5" t="e">
        <f>SUM(SUMIFS(#REF!,#REF!,Planning[[#This Row],[Tipo de Tarea y especialidad]],#REF!,Planning[[#This Row],[Proyectos Reiwa]]),SUMIFS(#REF!,#REF!,Planning[[#This Row],[Tipo de Tarea y especialidad]],#REF!,Planning[[#This Row],[Proyectos]]))</f>
        <v>#REF!</v>
      </c>
      <c r="K5377" s="5" t="e">
        <f>+Planning[[#This Row],[Horas Planificadas]]+Planning[[#This Row],[Horas ajustadas adicionales]]-Planning[[#This Row],[Horas utilizadas]]</f>
        <v>#REF!</v>
      </c>
      <c r="L5377" s="7" t="e">
        <f>Planning[[#This Row],[Saldo]]</f>
        <v>#REF!</v>
      </c>
      <c r="M5377" s="19" t="e">
        <f>Planning[[#This Row],[Saldo]]-Planning[[#This Row],[Saldo estimado]]</f>
        <v>#REF!</v>
      </c>
      <c r="N5377" s="60" t="e">
        <f>+SUMIFS(#REF!,#REF!,Planning[[#This Row],[Proyectos]],#REF!,Planning[[#This Row],[Tipo de Tarea y especialidad]])+SUMIFS(#REF!,#REF!,Planning[[#This Row],[Proyectos Reiwa]],#REF!,Planning[[#This Row],[Tipo de Tarea y especialidad]])</f>
        <v>#REF!</v>
      </c>
      <c r="O5377" s="19">
        <f t="shared" si="169"/>
        <v>10</v>
      </c>
      <c r="P5377" s="19">
        <f t="shared" si="170"/>
        <v>2024</v>
      </c>
      <c r="Q53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77" s="49" t="str">
        <f>TEXT(Planning[[#This Row],[Mes]]*29,"mmmm")</f>
        <v>October</v>
      </c>
      <c r="S537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77" s="152"/>
      <c r="U5377" s="43">
        <f>IF(Planning[[#This Row],[Horas Planificadas]]&lt;&gt;0,+K5377/Planning[[#This Row],[Horas Planificadas]],0)</f>
        <v>0</v>
      </c>
      <c r="V5377" s="43">
        <f>IF(Planning[[#This Row],[Horas Planificadas]]&lt;&gt;0,Planning[[#This Row],[Horas utilizadas]]/Planning[[#This Row],[Horas Planificadas]],0)</f>
        <v>0</v>
      </c>
      <c r="W5377" s="44">
        <f>Planning[[#This Row],[Horas Planificadas]]+Planning[[#This Row],[Horas ajustadas adicionales]]</f>
        <v>0</v>
      </c>
    </row>
    <row r="5378" spans="1:23" ht="12.6" customHeight="1" x14ac:dyDescent="0.2">
      <c r="A5378" s="9" t="s">
        <v>435</v>
      </c>
      <c r="B5378" s="9" t="s">
        <v>220</v>
      </c>
      <c r="C5378" s="3">
        <v>116928</v>
      </c>
      <c r="D5378" s="3" t="s">
        <v>923</v>
      </c>
      <c r="E5378" s="4"/>
      <c r="F5378" s="3" t="s">
        <v>131</v>
      </c>
      <c r="G5378" s="11"/>
      <c r="H5378" s="20"/>
      <c r="I5378" s="12"/>
      <c r="J5378" s="5" t="e">
        <f>SUM(SUMIFS(#REF!,#REF!,Planning[[#This Row],[Tipo de Tarea y especialidad]],#REF!,Planning[[#This Row],[Proyectos Reiwa]]),SUMIFS(#REF!,#REF!,Planning[[#This Row],[Tipo de Tarea y especialidad]],#REF!,Planning[[#This Row],[Proyectos]]))</f>
        <v>#REF!</v>
      </c>
      <c r="K5378" s="5" t="e">
        <f>+Planning[[#This Row],[Horas Planificadas]]+Planning[[#This Row],[Horas ajustadas adicionales]]-Planning[[#This Row],[Horas utilizadas]]</f>
        <v>#REF!</v>
      </c>
      <c r="L5378" s="7" t="e">
        <f>Planning[[#This Row],[Saldo]]</f>
        <v>#REF!</v>
      </c>
      <c r="M5378" s="83" t="e">
        <f>Planning[[#This Row],[Saldo]]-Planning[[#This Row],[Saldo estimado]]</f>
        <v>#REF!</v>
      </c>
      <c r="N5378" s="60" t="e">
        <f>+SUMIFS(#REF!,#REF!,Planning[[#This Row],[Proyectos]],#REF!,Planning[[#This Row],[Tipo de Tarea y especialidad]])+SUMIFS(#REF!,#REF!,Planning[[#This Row],[Proyectos Reiwa]],#REF!,Planning[[#This Row],[Tipo de Tarea y especialidad]])</f>
        <v>#REF!</v>
      </c>
      <c r="O5378" s="83">
        <f t="shared" si="169"/>
        <v>10</v>
      </c>
      <c r="P5378" s="83">
        <f t="shared" si="170"/>
        <v>2024</v>
      </c>
      <c r="Q53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78" s="51" t="str">
        <f>TEXT(Planning[[#This Row],[Mes]]*29,"mmmm")</f>
        <v>October</v>
      </c>
      <c r="S5378"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78" s="153"/>
      <c r="U5378" s="43">
        <f>IF(Planning[[#This Row],[Horas Planificadas]]&lt;&gt;0,+K5378/Planning[[#This Row],[Horas Planificadas]],0)</f>
        <v>0</v>
      </c>
      <c r="V5378" s="43">
        <f>IF(Planning[[#This Row],[Horas Planificadas]]&lt;&gt;0,Planning[[#This Row],[Horas utilizadas]]/Planning[[#This Row],[Horas Planificadas]],0)</f>
        <v>0</v>
      </c>
      <c r="W5378" s="44">
        <f>Planning[[#This Row],[Horas Planificadas]]+Planning[[#This Row],[Horas ajustadas adicionales]]</f>
        <v>0</v>
      </c>
    </row>
    <row r="5379" spans="1:23" ht="22.5" x14ac:dyDescent="0.2">
      <c r="A5379" s="9" t="s">
        <v>435</v>
      </c>
      <c r="B5379" s="9" t="s">
        <v>205</v>
      </c>
      <c r="C5379" s="3">
        <v>117038</v>
      </c>
      <c r="D5379" s="3" t="s">
        <v>925</v>
      </c>
      <c r="E5379" s="4" t="s">
        <v>28</v>
      </c>
      <c r="F5379" s="3"/>
      <c r="G5379" s="9">
        <v>0</v>
      </c>
      <c r="H5379" s="14">
        <f>SUM(H5380:H5381)</f>
        <v>0</v>
      </c>
      <c r="I5379" s="14"/>
      <c r="J5379" s="14" t="e">
        <f>SUM(J5380:J5381)</f>
        <v>#REF!</v>
      </c>
      <c r="K5379" s="14" t="e">
        <f>+Planning[[#This Row],[Horas Planificadas]]+Planning[[#This Row],[Horas ajustadas adicionales]]-Planning[[#This Row],[Horas utilizadas]]</f>
        <v>#REF!</v>
      </c>
      <c r="L5379" s="15" t="e">
        <f>SUM(L5380:L5381)</f>
        <v>#REF!</v>
      </c>
      <c r="M5379" s="14" t="e">
        <f>SUM(M5380:M5381)</f>
        <v>#REF!</v>
      </c>
      <c r="N5379" s="60" t="e">
        <f>+SUMIFS(#REF!,#REF!,Planning[[#This Row],[Proyectos]],#REF!,Planning[[#This Row],[Tipo de Tarea y especialidad]])+SUMIFS(#REF!,#REF!,Planning[[#This Row],[Proyectos Reiwa]],#REF!,Planning[[#This Row],[Tipo de Tarea y especialidad]])</f>
        <v>#REF!</v>
      </c>
      <c r="O5379" s="14">
        <f t="shared" si="169"/>
        <v>10</v>
      </c>
      <c r="P5379" s="14">
        <f t="shared" si="170"/>
        <v>2024</v>
      </c>
      <c r="Q5379" s="28" t="e">
        <f>SUM(Q5380:Q5381)</f>
        <v>#REF!</v>
      </c>
      <c r="R5379" s="24" t="str">
        <f>TEXT(Planning[[#This Row],[Mes]]*29,"mmmm")</f>
        <v>October</v>
      </c>
      <c r="S5379"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79" s="161" t="s">
        <v>926</v>
      </c>
    </row>
    <row r="5380" spans="1:23" x14ac:dyDescent="0.2">
      <c r="A5380" s="9" t="s">
        <v>435</v>
      </c>
      <c r="B5380" s="9" t="s">
        <v>205</v>
      </c>
      <c r="C5380" s="3">
        <v>117038</v>
      </c>
      <c r="D5380" s="3" t="s">
        <v>925</v>
      </c>
      <c r="E5380" s="4"/>
      <c r="F5380" s="3" t="s">
        <v>120</v>
      </c>
      <c r="G5380" s="9"/>
      <c r="H5380" s="9">
        <v>0</v>
      </c>
      <c r="I5380" s="12"/>
      <c r="J5380" s="5" t="e">
        <f>SUM(SUMIFS(#REF!,#REF!,Planning[[#This Row],[Tipo de Tarea y especialidad]],#REF!,Planning[[#This Row],[Proyectos Reiwa]]),SUMIFS(#REF!,#REF!,Planning[[#This Row],[Tipo de Tarea y especialidad]],#REF!,Planning[[#This Row],[Proyectos]]))</f>
        <v>#REF!</v>
      </c>
      <c r="K5380" s="5" t="e">
        <f>+Planning[[#This Row],[Horas Planificadas]]+Planning[[#This Row],[Horas ajustadas adicionales]]-Planning[[#This Row],[Horas utilizadas]]</f>
        <v>#REF!</v>
      </c>
      <c r="L5380" s="7" t="e">
        <f>Planning[[#This Row],[Saldo]]</f>
        <v>#REF!</v>
      </c>
      <c r="M5380" s="19" t="e">
        <f>Planning[[#This Row],[Saldo]]-Planning[[#This Row],[Saldo estimado]]</f>
        <v>#REF!</v>
      </c>
      <c r="N5380" s="60" t="e">
        <f>+SUMIFS(#REF!,#REF!,Planning[[#This Row],[Proyectos]],#REF!,Planning[[#This Row],[Tipo de Tarea y especialidad]])+SUMIFS(#REF!,#REF!,Planning[[#This Row],[Proyectos Reiwa]],#REF!,Planning[[#This Row],[Tipo de Tarea y especialidad]])</f>
        <v>#REF!</v>
      </c>
      <c r="O5380" s="19">
        <f t="shared" si="169"/>
        <v>10</v>
      </c>
      <c r="P5380" s="19">
        <f t="shared" si="170"/>
        <v>2024</v>
      </c>
      <c r="Q53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80" s="49" t="str">
        <f>TEXT(Planning[[#This Row],[Mes]]*29,"mmmm")</f>
        <v>October</v>
      </c>
      <c r="S538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80" s="156"/>
    </row>
    <row r="5381" spans="1:23" x14ac:dyDescent="0.2">
      <c r="A5381" s="9" t="s">
        <v>435</v>
      </c>
      <c r="B5381" s="9" t="s">
        <v>205</v>
      </c>
      <c r="C5381" s="3">
        <v>117038</v>
      </c>
      <c r="D5381" s="3" t="s">
        <v>925</v>
      </c>
      <c r="E5381" s="4"/>
      <c r="F5381" s="3" t="s">
        <v>121</v>
      </c>
      <c r="G5381" s="9"/>
      <c r="H5381" s="9">
        <v>0</v>
      </c>
      <c r="I5381" s="12"/>
      <c r="J5381" s="5" t="e">
        <f>SUM(SUMIFS(#REF!,#REF!,Planning[[#This Row],[Tipo de Tarea y especialidad]],#REF!,Planning[[#This Row],[Proyectos Reiwa]]),SUMIFS(#REF!,#REF!,Planning[[#This Row],[Tipo de Tarea y especialidad]],#REF!,Planning[[#This Row],[Proyectos]]))</f>
        <v>#REF!</v>
      </c>
      <c r="K5381" s="5" t="e">
        <f>+Planning[[#This Row],[Horas Planificadas]]+Planning[[#This Row],[Horas ajustadas adicionales]]-Planning[[#This Row],[Horas utilizadas]]</f>
        <v>#REF!</v>
      </c>
      <c r="L5381" s="7" t="e">
        <f>Planning[[#This Row],[Saldo]]</f>
        <v>#REF!</v>
      </c>
      <c r="M5381" s="19" t="e">
        <f>Planning[[#This Row],[Saldo]]-Planning[[#This Row],[Saldo estimado]]</f>
        <v>#REF!</v>
      </c>
      <c r="N5381" s="60" t="e">
        <f>+SUMIFS(#REF!,#REF!,Planning[[#This Row],[Proyectos]],#REF!,Planning[[#This Row],[Tipo de Tarea y especialidad]])+SUMIFS(#REF!,#REF!,Planning[[#This Row],[Proyectos Reiwa]],#REF!,Planning[[#This Row],[Tipo de Tarea y especialidad]])</f>
        <v>#REF!</v>
      </c>
      <c r="O5381" s="19">
        <f t="shared" si="169"/>
        <v>10</v>
      </c>
      <c r="P5381" s="19">
        <f t="shared" si="170"/>
        <v>2024</v>
      </c>
      <c r="Q53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81" s="49" t="str">
        <f>TEXT(Planning[[#This Row],[Mes]]*29,"mmmm")</f>
        <v>October</v>
      </c>
      <c r="S538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81" s="156"/>
    </row>
    <row r="5382" spans="1:23" x14ac:dyDescent="0.2">
      <c r="A5382" s="9" t="s">
        <v>435</v>
      </c>
      <c r="B5382" s="9" t="s">
        <v>205</v>
      </c>
      <c r="C5382" s="3">
        <v>117038</v>
      </c>
      <c r="D5382" s="3" t="s">
        <v>925</v>
      </c>
      <c r="E5382" s="4" t="s">
        <v>30</v>
      </c>
      <c r="F5382" s="3"/>
      <c r="G5382" s="9">
        <v>177</v>
      </c>
      <c r="H5382" s="14">
        <f>SUM(H5383:H5389)</f>
        <v>177</v>
      </c>
      <c r="I5382" s="14"/>
      <c r="J5382" s="14" t="e">
        <f>SUM(J5383:J5389)</f>
        <v>#REF!</v>
      </c>
      <c r="K5382" s="14" t="e">
        <f>+Planning[[#This Row],[Horas Planificadas]]+Planning[[#This Row],[Horas ajustadas adicionales]]-Planning[[#This Row],[Horas utilizadas]]</f>
        <v>#REF!</v>
      </c>
      <c r="L5382" s="15" t="e">
        <f>SUM(L5383:L5389)</f>
        <v>#REF!</v>
      </c>
      <c r="M5382" s="16" t="e">
        <f>SUM(M5383:M5389)</f>
        <v>#REF!</v>
      </c>
      <c r="N5382" s="60" t="e">
        <f>+SUMIFS(#REF!,#REF!,Planning[[#This Row],[Proyectos]],#REF!,Planning[[#This Row],[Tipo de Tarea y especialidad]])+SUMIFS(#REF!,#REF!,Planning[[#This Row],[Proyectos Reiwa]],#REF!,Planning[[#This Row],[Tipo de Tarea y especialidad]])</f>
        <v>#REF!</v>
      </c>
      <c r="O5382" s="16">
        <f t="shared" si="169"/>
        <v>10</v>
      </c>
      <c r="P5382" s="16">
        <f t="shared" si="170"/>
        <v>2024</v>
      </c>
      <c r="Q5382" s="16" t="e">
        <f>SUM(Q5383:Q5389)</f>
        <v>#REF!</v>
      </c>
      <c r="R5382" s="50" t="str">
        <f>TEXT(Planning[[#This Row],[Mes]]*29,"mmmm")</f>
        <v>October</v>
      </c>
      <c r="S538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82" s="156"/>
    </row>
    <row r="5383" spans="1:23" x14ac:dyDescent="0.2">
      <c r="A5383" s="9" t="s">
        <v>435</v>
      </c>
      <c r="B5383" s="9" t="s">
        <v>205</v>
      </c>
      <c r="C5383" s="3">
        <v>117038</v>
      </c>
      <c r="D5383" s="3" t="s">
        <v>925</v>
      </c>
      <c r="E5383" s="4"/>
      <c r="F5383" s="3" t="s">
        <v>122</v>
      </c>
      <c r="G5383" s="9"/>
      <c r="H5383" s="9"/>
      <c r="I5383" s="12"/>
      <c r="J5383" s="5" t="e">
        <f>SUM(SUMIFS(#REF!,#REF!,Planning[[#This Row],[Tipo de Tarea y especialidad]],#REF!,Planning[[#This Row],[Proyectos Reiwa]]),SUMIFS(#REF!,#REF!,Planning[[#This Row],[Tipo de Tarea y especialidad]],#REF!,Planning[[#This Row],[Proyectos]]))</f>
        <v>#REF!</v>
      </c>
      <c r="K5383" s="5" t="e">
        <f>+Planning[[#This Row],[Horas Planificadas]]+Planning[[#This Row],[Horas ajustadas adicionales]]-Planning[[#This Row],[Horas utilizadas]]</f>
        <v>#REF!</v>
      </c>
      <c r="L5383" s="7" t="e">
        <f>Planning[[#This Row],[Saldo]]</f>
        <v>#REF!</v>
      </c>
      <c r="M5383" s="19" t="e">
        <f>Planning[[#This Row],[Saldo]]-Planning[[#This Row],[Saldo estimado]]</f>
        <v>#REF!</v>
      </c>
      <c r="N5383" s="60" t="e">
        <f>+SUMIFS(#REF!,#REF!,Planning[[#This Row],[Proyectos]],#REF!,Planning[[#This Row],[Tipo de Tarea y especialidad]])+SUMIFS(#REF!,#REF!,Planning[[#This Row],[Proyectos Reiwa]],#REF!,Planning[[#This Row],[Tipo de Tarea y especialidad]])</f>
        <v>#REF!</v>
      </c>
      <c r="O5383" s="19">
        <f t="shared" si="169"/>
        <v>10</v>
      </c>
      <c r="P5383" s="19">
        <f t="shared" si="170"/>
        <v>2024</v>
      </c>
      <c r="Q53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83" s="49" t="str">
        <f>TEXT(Planning[[#This Row],[Mes]]*29,"mmmm")</f>
        <v>October</v>
      </c>
      <c r="S538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83" s="156"/>
    </row>
    <row r="5384" spans="1:23" x14ac:dyDescent="0.2">
      <c r="A5384" s="9" t="s">
        <v>435</v>
      </c>
      <c r="B5384" s="9" t="s">
        <v>205</v>
      </c>
      <c r="C5384" s="3">
        <v>117038</v>
      </c>
      <c r="D5384" s="3" t="s">
        <v>925</v>
      </c>
      <c r="E5384" s="4"/>
      <c r="F5384" s="3" t="s">
        <v>123</v>
      </c>
      <c r="G5384" s="9"/>
      <c r="H5384" s="9">
        <v>120</v>
      </c>
      <c r="I5384" s="12"/>
      <c r="J5384" s="5" t="e">
        <f>SUM(SUMIFS(#REF!,#REF!,Planning[[#This Row],[Tipo de Tarea y especialidad]],#REF!,Planning[[#This Row],[Proyectos Reiwa]]),SUMIFS(#REF!,#REF!,Planning[[#This Row],[Tipo de Tarea y especialidad]],#REF!,Planning[[#This Row],[Proyectos]]))</f>
        <v>#REF!</v>
      </c>
      <c r="K5384" s="5" t="e">
        <f>+Planning[[#This Row],[Horas Planificadas]]+Planning[[#This Row],[Horas ajustadas adicionales]]-Planning[[#This Row],[Horas utilizadas]]</f>
        <v>#REF!</v>
      </c>
      <c r="L5384" s="7">
        <v>0</v>
      </c>
      <c r="M5384" s="19" t="e">
        <f>Planning[[#This Row],[Saldo]]-Planning[[#This Row],[Saldo estimado]]</f>
        <v>#REF!</v>
      </c>
      <c r="N5384" s="60" t="e">
        <f>+SUMIFS(#REF!,#REF!,Planning[[#This Row],[Proyectos]],#REF!,Planning[[#This Row],[Tipo de Tarea y especialidad]])+SUMIFS(#REF!,#REF!,Planning[[#This Row],[Proyectos Reiwa]],#REF!,Planning[[#This Row],[Tipo de Tarea y especialidad]])</f>
        <v>#REF!</v>
      </c>
      <c r="O5384" s="19">
        <f t="shared" si="169"/>
        <v>10</v>
      </c>
      <c r="P5384" s="19">
        <f t="shared" si="170"/>
        <v>2024</v>
      </c>
      <c r="Q53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84" s="49" t="str">
        <f>TEXT(Planning[[#This Row],[Mes]]*29,"mmmm")</f>
        <v>October</v>
      </c>
      <c r="S538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84" s="156"/>
    </row>
    <row r="5385" spans="1:23" x14ac:dyDescent="0.2">
      <c r="A5385" s="9" t="s">
        <v>435</v>
      </c>
      <c r="B5385" s="9" t="s">
        <v>205</v>
      </c>
      <c r="C5385" s="3">
        <v>117038</v>
      </c>
      <c r="D5385" s="3" t="s">
        <v>925</v>
      </c>
      <c r="E5385" s="4"/>
      <c r="F5385" s="3" t="s">
        <v>124</v>
      </c>
      <c r="G5385" s="9"/>
      <c r="H5385" s="9">
        <v>30</v>
      </c>
      <c r="I5385" s="12"/>
      <c r="J5385" s="5" t="e">
        <f>SUM(SUMIFS(#REF!,#REF!,Planning[[#This Row],[Tipo de Tarea y especialidad]],#REF!,Planning[[#This Row],[Proyectos Reiwa]]),SUMIFS(#REF!,#REF!,Planning[[#This Row],[Tipo de Tarea y especialidad]],#REF!,Planning[[#This Row],[Proyectos]]))</f>
        <v>#REF!</v>
      </c>
      <c r="K5385" s="5" t="e">
        <f>+Planning[[#This Row],[Horas Planificadas]]+Planning[[#This Row],[Horas ajustadas adicionales]]-Planning[[#This Row],[Horas utilizadas]]</f>
        <v>#REF!</v>
      </c>
      <c r="L5385" s="7">
        <v>0</v>
      </c>
      <c r="M5385" s="19" t="e">
        <f>Planning[[#This Row],[Saldo]]-Planning[[#This Row],[Saldo estimado]]</f>
        <v>#REF!</v>
      </c>
      <c r="N5385" s="60" t="e">
        <f>+SUMIFS(#REF!,#REF!,Planning[[#This Row],[Proyectos]],#REF!,Planning[[#This Row],[Tipo de Tarea y especialidad]])+SUMIFS(#REF!,#REF!,Planning[[#This Row],[Proyectos Reiwa]],#REF!,Planning[[#This Row],[Tipo de Tarea y especialidad]])</f>
        <v>#REF!</v>
      </c>
      <c r="O5385" s="19">
        <f t="shared" si="169"/>
        <v>10</v>
      </c>
      <c r="P5385" s="19">
        <f t="shared" si="170"/>
        <v>2024</v>
      </c>
      <c r="Q53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85" s="49" t="str">
        <f>TEXT(Planning[[#This Row],[Mes]]*29,"mmmm")</f>
        <v>October</v>
      </c>
      <c r="S538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85" s="156"/>
    </row>
    <row r="5386" spans="1:23" x14ac:dyDescent="0.2">
      <c r="A5386" s="9" t="s">
        <v>435</v>
      </c>
      <c r="B5386" s="9" t="s">
        <v>205</v>
      </c>
      <c r="C5386" s="3">
        <v>117038</v>
      </c>
      <c r="D5386" s="3" t="s">
        <v>925</v>
      </c>
      <c r="E5386" s="4"/>
      <c r="F5386" s="3" t="s">
        <v>125</v>
      </c>
      <c r="G5386" s="9"/>
      <c r="H5386" s="9">
        <v>27</v>
      </c>
      <c r="I5386" s="12"/>
      <c r="J5386" s="5" t="e">
        <f>SUM(SUMIFS(#REF!,#REF!,Planning[[#This Row],[Tipo de Tarea y especialidad]],#REF!,Planning[[#This Row],[Proyectos Reiwa]]),SUMIFS(#REF!,#REF!,Planning[[#This Row],[Tipo de Tarea y especialidad]],#REF!,Planning[[#This Row],[Proyectos]]))</f>
        <v>#REF!</v>
      </c>
      <c r="K5386" s="5" t="e">
        <f>+Planning[[#This Row],[Horas Planificadas]]+Planning[[#This Row],[Horas ajustadas adicionales]]-Planning[[#This Row],[Horas utilizadas]]</f>
        <v>#REF!</v>
      </c>
      <c r="L5386" s="7">
        <v>0</v>
      </c>
      <c r="M5386" s="19" t="e">
        <f>Planning[[#This Row],[Saldo]]-Planning[[#This Row],[Saldo estimado]]</f>
        <v>#REF!</v>
      </c>
      <c r="N5386" s="60" t="e">
        <f>+SUMIFS(#REF!,#REF!,Planning[[#This Row],[Proyectos]],#REF!,Planning[[#This Row],[Tipo de Tarea y especialidad]])+SUMIFS(#REF!,#REF!,Planning[[#This Row],[Proyectos Reiwa]],#REF!,Planning[[#This Row],[Tipo de Tarea y especialidad]])</f>
        <v>#REF!</v>
      </c>
      <c r="O5386" s="19">
        <f t="shared" si="169"/>
        <v>10</v>
      </c>
      <c r="P5386" s="19">
        <f t="shared" si="170"/>
        <v>2024</v>
      </c>
      <c r="Q53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86" s="49" t="str">
        <f>TEXT(Planning[[#This Row],[Mes]]*29,"mmmm")</f>
        <v>October</v>
      </c>
      <c r="S538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86" s="156"/>
    </row>
    <row r="5387" spans="1:23" x14ac:dyDescent="0.2">
      <c r="A5387" s="9" t="s">
        <v>435</v>
      </c>
      <c r="B5387" s="9" t="s">
        <v>205</v>
      </c>
      <c r="C5387" s="3">
        <v>117038</v>
      </c>
      <c r="D5387" s="3" t="s">
        <v>925</v>
      </c>
      <c r="E5387" s="4"/>
      <c r="F5387" s="3" t="s">
        <v>126</v>
      </c>
      <c r="G5387" s="9"/>
      <c r="H5387" s="9"/>
      <c r="I5387" s="12"/>
      <c r="J5387" s="5" t="e">
        <f>SUM(SUMIFS(#REF!,#REF!,Planning[[#This Row],[Tipo de Tarea y especialidad]],#REF!,Planning[[#This Row],[Proyectos Reiwa]]),SUMIFS(#REF!,#REF!,Planning[[#This Row],[Tipo de Tarea y especialidad]],#REF!,Planning[[#This Row],[Proyectos]]))</f>
        <v>#REF!</v>
      </c>
      <c r="K5387" s="5" t="e">
        <f>+Planning[[#This Row],[Horas Planificadas]]+Planning[[#This Row],[Horas ajustadas adicionales]]-Planning[[#This Row],[Horas utilizadas]]</f>
        <v>#REF!</v>
      </c>
      <c r="L5387" s="7" t="e">
        <f>Planning[[#This Row],[Saldo]]</f>
        <v>#REF!</v>
      </c>
      <c r="M5387" s="19" t="e">
        <f>Planning[[#This Row],[Saldo]]-Planning[[#This Row],[Saldo estimado]]</f>
        <v>#REF!</v>
      </c>
      <c r="N5387" s="60" t="e">
        <f>+SUMIFS(#REF!,#REF!,Planning[[#This Row],[Proyectos]],#REF!,Planning[[#This Row],[Tipo de Tarea y especialidad]])+SUMIFS(#REF!,#REF!,Planning[[#This Row],[Proyectos Reiwa]],#REF!,Planning[[#This Row],[Tipo de Tarea y especialidad]])</f>
        <v>#REF!</v>
      </c>
      <c r="O5387" s="19">
        <f t="shared" si="169"/>
        <v>10</v>
      </c>
      <c r="P5387" s="19">
        <f t="shared" si="170"/>
        <v>2024</v>
      </c>
      <c r="Q53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87" s="49" t="str">
        <f>TEXT(Planning[[#This Row],[Mes]]*29,"mmmm")</f>
        <v>October</v>
      </c>
      <c r="S538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87" s="156"/>
    </row>
    <row r="5388" spans="1:23" x14ac:dyDescent="0.2">
      <c r="A5388" s="9" t="s">
        <v>435</v>
      </c>
      <c r="B5388" s="9" t="s">
        <v>205</v>
      </c>
      <c r="C5388" s="3">
        <v>117038</v>
      </c>
      <c r="D5388" s="3" t="s">
        <v>925</v>
      </c>
      <c r="E5388" s="4"/>
      <c r="F5388" s="3" t="s">
        <v>127</v>
      </c>
      <c r="G5388" s="9"/>
      <c r="H5388" s="9"/>
      <c r="I5388" s="12"/>
      <c r="J5388" s="5" t="e">
        <f>SUM(SUMIFS(#REF!,#REF!,Planning[[#This Row],[Tipo de Tarea y especialidad]],#REF!,Planning[[#This Row],[Proyectos Reiwa]]),SUMIFS(#REF!,#REF!,Planning[[#This Row],[Tipo de Tarea y especialidad]],#REF!,Planning[[#This Row],[Proyectos]]))</f>
        <v>#REF!</v>
      </c>
      <c r="K5388" s="5" t="e">
        <f>+Planning[[#This Row],[Horas Planificadas]]+Planning[[#This Row],[Horas ajustadas adicionales]]-Planning[[#This Row],[Horas utilizadas]]</f>
        <v>#REF!</v>
      </c>
      <c r="L5388" s="7">
        <v>0</v>
      </c>
      <c r="M5388" s="19" t="e">
        <f>Planning[[#This Row],[Saldo]]-Planning[[#This Row],[Saldo estimado]]</f>
        <v>#REF!</v>
      </c>
      <c r="N5388" s="60" t="e">
        <f>+SUMIFS(#REF!,#REF!,Planning[[#This Row],[Proyectos]],#REF!,Planning[[#This Row],[Tipo de Tarea y especialidad]])+SUMIFS(#REF!,#REF!,Planning[[#This Row],[Proyectos Reiwa]],#REF!,Planning[[#This Row],[Tipo de Tarea y especialidad]])</f>
        <v>#REF!</v>
      </c>
      <c r="O5388" s="19">
        <f t="shared" si="169"/>
        <v>10</v>
      </c>
      <c r="P5388" s="19">
        <f t="shared" si="170"/>
        <v>2024</v>
      </c>
      <c r="Q53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88" s="49" t="str">
        <f>TEXT(Planning[[#This Row],[Mes]]*29,"mmmm")</f>
        <v>October</v>
      </c>
      <c r="S538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88" s="156"/>
    </row>
    <row r="5389" spans="1:23" x14ac:dyDescent="0.2">
      <c r="A5389" s="9" t="s">
        <v>435</v>
      </c>
      <c r="B5389" s="9" t="s">
        <v>205</v>
      </c>
      <c r="C5389" s="3">
        <v>117038</v>
      </c>
      <c r="D5389" s="3" t="s">
        <v>925</v>
      </c>
      <c r="E5389" s="4"/>
      <c r="F5389" s="3" t="s">
        <v>128</v>
      </c>
      <c r="G5389" s="9"/>
      <c r="H5389" s="9"/>
      <c r="I5389" s="12"/>
      <c r="J5389" s="5" t="e">
        <f>SUM(SUMIFS(#REF!,#REF!,Planning[[#This Row],[Tipo de Tarea y especialidad]],#REF!,Planning[[#This Row],[Proyectos Reiwa]]),SUMIFS(#REF!,#REF!,Planning[[#This Row],[Tipo de Tarea y especialidad]],#REF!,Planning[[#This Row],[Proyectos]]))</f>
        <v>#REF!</v>
      </c>
      <c r="K5389" s="5" t="e">
        <f>+Planning[[#This Row],[Horas Planificadas]]+Planning[[#This Row],[Horas ajustadas adicionales]]-Planning[[#This Row],[Horas utilizadas]]</f>
        <v>#REF!</v>
      </c>
      <c r="L5389" s="7" t="e">
        <f>Planning[[#This Row],[Saldo]]</f>
        <v>#REF!</v>
      </c>
      <c r="M5389" s="19" t="e">
        <f>Planning[[#This Row],[Saldo]]-Planning[[#This Row],[Saldo estimado]]</f>
        <v>#REF!</v>
      </c>
      <c r="N5389" s="60" t="e">
        <f>+SUMIFS(#REF!,#REF!,Planning[[#This Row],[Proyectos]],#REF!,Planning[[#This Row],[Tipo de Tarea y especialidad]])+SUMIFS(#REF!,#REF!,Planning[[#This Row],[Proyectos Reiwa]],#REF!,Planning[[#This Row],[Tipo de Tarea y especialidad]])</f>
        <v>#REF!</v>
      </c>
      <c r="O5389" s="19">
        <f t="shared" si="169"/>
        <v>10</v>
      </c>
      <c r="P5389" s="19">
        <f t="shared" si="170"/>
        <v>2024</v>
      </c>
      <c r="Q53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89" s="49" t="str">
        <f>TEXT(Planning[[#This Row],[Mes]]*29,"mmmm")</f>
        <v>October</v>
      </c>
      <c r="S538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89" s="156"/>
    </row>
    <row r="5390" spans="1:23" x14ac:dyDescent="0.2">
      <c r="A5390" s="9" t="s">
        <v>435</v>
      </c>
      <c r="B5390" s="9" t="s">
        <v>205</v>
      </c>
      <c r="C5390" s="3">
        <v>117038</v>
      </c>
      <c r="D5390" s="3" t="s">
        <v>925</v>
      </c>
      <c r="E5390" s="4" t="s">
        <v>31</v>
      </c>
      <c r="F5390" s="3" t="s">
        <v>31</v>
      </c>
      <c r="G5390" s="9">
        <v>22</v>
      </c>
      <c r="H5390" s="17">
        <v>18</v>
      </c>
      <c r="I5390" s="18"/>
      <c r="J5390" s="14" t="e">
        <f>+SUMIFS(#REF!,#REF!,Planning[[#This Row],[Tarifa]],#REF!,Planning[[#This Row],[Proyectos]])</f>
        <v>#REF!</v>
      </c>
      <c r="K5390" s="14" t="e">
        <f>+Planning[[#This Row],[Horas Planificadas]]+Planning[[#This Row],[Horas ajustadas adicionales]]-Planning[[#This Row],[Horas utilizadas]]</f>
        <v>#REF!</v>
      </c>
      <c r="L5390" s="15" t="e">
        <f>Planning[[#This Row],[Saldo]]</f>
        <v>#REF!</v>
      </c>
      <c r="M5390" s="16" t="e">
        <f>Planning[[#This Row],[Saldo]]-Planning[[#This Row],[Saldo estimado]]</f>
        <v>#REF!</v>
      </c>
      <c r="N5390" s="60" t="e">
        <f>+SUMIFS(#REF!,#REF!,Planning[[#This Row],[Proyectos]],#REF!,Planning[[#This Row],[Tipo de Tarea y especialidad]])+SUMIFS(#REF!,#REF!,Planning[[#This Row],[Proyectos Reiwa]],#REF!,Planning[[#This Row],[Tipo de Tarea y especialidad]])</f>
        <v>#REF!</v>
      </c>
      <c r="O5390" s="16">
        <f t="shared" si="169"/>
        <v>10</v>
      </c>
      <c r="P5390" s="16">
        <f t="shared" si="170"/>
        <v>2024</v>
      </c>
      <c r="Q5390" s="16" t="e">
        <f>+SUMIFS(#REF!,#REF!,Planning[[#This Row],[Tarifa]],#REF!,Planning[[#This Row],[Proyectos]],#REF!,Planning[[#This Row],[Mes]],#REF!,Planning[[#This Row],[Año]])</f>
        <v>#REF!</v>
      </c>
      <c r="R5390" s="50" t="str">
        <f>TEXT(Planning[[#This Row],[Mes]]*29,"mmmm")</f>
        <v>October</v>
      </c>
      <c r="S539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90" s="156"/>
    </row>
    <row r="5391" spans="1:23" ht="22.5" x14ac:dyDescent="0.2">
      <c r="A5391" s="9" t="s">
        <v>435</v>
      </c>
      <c r="B5391" s="9" t="s">
        <v>205</v>
      </c>
      <c r="C5391" s="3">
        <v>117038</v>
      </c>
      <c r="D5391" s="3" t="s">
        <v>925</v>
      </c>
      <c r="E5391" s="4" t="s">
        <v>32</v>
      </c>
      <c r="F5391" s="3"/>
      <c r="G5391" s="9">
        <v>120</v>
      </c>
      <c r="H5391" s="14">
        <f>SUM(H5392:H5394)</f>
        <v>120</v>
      </c>
      <c r="I5391" s="14"/>
      <c r="J5391" s="14" t="e">
        <f>SUM(J5392:J5394)</f>
        <v>#REF!</v>
      </c>
      <c r="K5391" s="14" t="e">
        <f>+Planning[[#This Row],[Horas Planificadas]]+Planning[[#This Row],[Horas ajustadas adicionales]]-Planning[[#This Row],[Horas utilizadas]]</f>
        <v>#REF!</v>
      </c>
      <c r="L5391" s="15" t="e">
        <f>SUM(L5392:L5394)</f>
        <v>#REF!</v>
      </c>
      <c r="M5391" s="16" t="e">
        <f>SUM(M5392:M5394)</f>
        <v>#REF!</v>
      </c>
      <c r="N5391" s="60" t="e">
        <f>+SUMIFS(#REF!,#REF!,Planning[[#This Row],[Proyectos]],#REF!,Planning[[#This Row],[Tipo de Tarea y especialidad]])+SUMIFS(#REF!,#REF!,Planning[[#This Row],[Proyectos Reiwa]],#REF!,Planning[[#This Row],[Tipo de Tarea y especialidad]])</f>
        <v>#REF!</v>
      </c>
      <c r="O5391" s="16">
        <f t="shared" si="169"/>
        <v>10</v>
      </c>
      <c r="P5391" s="16">
        <f t="shared" si="170"/>
        <v>2024</v>
      </c>
      <c r="Q5391" s="16" t="e">
        <f>SUM(Q5392:Q5394)</f>
        <v>#REF!</v>
      </c>
      <c r="R5391" s="50" t="str">
        <f>TEXT(Planning[[#This Row],[Mes]]*29,"mmmm")</f>
        <v>October</v>
      </c>
      <c r="S539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91" s="156"/>
    </row>
    <row r="5392" spans="1:23" x14ac:dyDescent="0.2">
      <c r="A5392" s="9" t="s">
        <v>435</v>
      </c>
      <c r="B5392" s="9" t="s">
        <v>205</v>
      </c>
      <c r="C5392" s="3">
        <v>117038</v>
      </c>
      <c r="D5392" s="3" t="s">
        <v>925</v>
      </c>
      <c r="E5392" s="4"/>
      <c r="F5392" s="3" t="s">
        <v>129</v>
      </c>
      <c r="G5392" s="9"/>
      <c r="H5392" s="9">
        <v>0</v>
      </c>
      <c r="I5392" s="12"/>
      <c r="J5392" s="5" t="e">
        <f>SUM(SUMIFS(#REF!,#REF!,Planning[[#This Row],[Tipo de Tarea y especialidad]],#REF!,Planning[[#This Row],[Proyectos Reiwa]]),SUMIFS(#REF!,#REF!,Planning[[#This Row],[Tipo de Tarea y especialidad]],#REF!,Planning[[#This Row],[Proyectos]]))</f>
        <v>#REF!</v>
      </c>
      <c r="K5392" s="5" t="e">
        <f>+Planning[[#This Row],[Horas Planificadas]]+Planning[[#This Row],[Horas ajustadas adicionales]]-Planning[[#This Row],[Horas utilizadas]]</f>
        <v>#REF!</v>
      </c>
      <c r="L5392" s="7" t="e">
        <f>Planning[[#This Row],[Saldo]]</f>
        <v>#REF!</v>
      </c>
      <c r="M5392" s="19" t="e">
        <f>Planning[[#This Row],[Saldo]]-Planning[[#This Row],[Saldo estimado]]</f>
        <v>#REF!</v>
      </c>
      <c r="N5392" s="60" t="e">
        <f>+SUMIFS(#REF!,#REF!,Planning[[#This Row],[Proyectos]],#REF!,Planning[[#This Row],[Tipo de Tarea y especialidad]])+SUMIFS(#REF!,#REF!,Planning[[#This Row],[Proyectos Reiwa]],#REF!,Planning[[#This Row],[Tipo de Tarea y especialidad]])</f>
        <v>#REF!</v>
      </c>
      <c r="O5392" s="19">
        <f t="shared" si="169"/>
        <v>10</v>
      </c>
      <c r="P5392" s="19">
        <f t="shared" si="170"/>
        <v>2024</v>
      </c>
      <c r="Q53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92" s="49" t="str">
        <f>TEXT(Planning[[#This Row],[Mes]]*29,"mmmm")</f>
        <v>October</v>
      </c>
      <c r="S539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92" s="156"/>
    </row>
    <row r="5393" spans="1:20" x14ac:dyDescent="0.2">
      <c r="A5393" s="9" t="s">
        <v>435</v>
      </c>
      <c r="B5393" s="9" t="s">
        <v>205</v>
      </c>
      <c r="C5393" s="3">
        <v>117038</v>
      </c>
      <c r="D5393" s="3" t="s">
        <v>925</v>
      </c>
      <c r="E5393" s="4"/>
      <c r="F5393" s="3" t="s">
        <v>130</v>
      </c>
      <c r="G5393" s="9"/>
      <c r="H5393" s="9">
        <v>90</v>
      </c>
      <c r="I5393" s="12"/>
      <c r="J5393" s="5" t="e">
        <f>SUM(SUMIFS(#REF!,#REF!,Planning[[#This Row],[Tipo de Tarea y especialidad]],#REF!,Planning[[#This Row],[Proyectos Reiwa]]),SUMIFS(#REF!,#REF!,Planning[[#This Row],[Tipo de Tarea y especialidad]],#REF!,Planning[[#This Row],[Proyectos]]))</f>
        <v>#REF!</v>
      </c>
      <c r="K5393" s="5" t="e">
        <f>+Planning[[#This Row],[Horas Planificadas]]+Planning[[#This Row],[Horas ajustadas adicionales]]-Planning[[#This Row],[Horas utilizadas]]</f>
        <v>#REF!</v>
      </c>
      <c r="L5393" s="7">
        <v>0</v>
      </c>
      <c r="M5393" s="19" t="e">
        <f>Planning[[#This Row],[Saldo]]-Planning[[#This Row],[Saldo estimado]]</f>
        <v>#REF!</v>
      </c>
      <c r="N5393" s="60" t="e">
        <f>+SUMIFS(#REF!,#REF!,Planning[[#This Row],[Proyectos]],#REF!,Planning[[#This Row],[Tipo de Tarea y especialidad]])+SUMIFS(#REF!,#REF!,Planning[[#This Row],[Proyectos Reiwa]],#REF!,Planning[[#This Row],[Tipo de Tarea y especialidad]])</f>
        <v>#REF!</v>
      </c>
      <c r="O5393" s="19">
        <f t="shared" si="169"/>
        <v>10</v>
      </c>
      <c r="P5393" s="19">
        <f t="shared" si="170"/>
        <v>2024</v>
      </c>
      <c r="Q53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93" s="49" t="str">
        <f>TEXT(Planning[[#This Row],[Mes]]*29,"mmmm")</f>
        <v>October</v>
      </c>
      <c r="S539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93" s="156"/>
    </row>
    <row r="5394" spans="1:20" x14ac:dyDescent="0.2">
      <c r="A5394" s="9" t="s">
        <v>435</v>
      </c>
      <c r="B5394" s="9" t="s">
        <v>205</v>
      </c>
      <c r="C5394" s="3">
        <v>117038</v>
      </c>
      <c r="D5394" s="3" t="s">
        <v>925</v>
      </c>
      <c r="E5394" s="4"/>
      <c r="F5394" s="3" t="s">
        <v>131</v>
      </c>
      <c r="G5394" s="9"/>
      <c r="H5394" s="9">
        <v>30</v>
      </c>
      <c r="I5394" s="12"/>
      <c r="J5394" s="5" t="e">
        <f>SUM(SUMIFS(#REF!,#REF!,Planning[[#This Row],[Tipo de Tarea y especialidad]],#REF!,Planning[[#This Row],[Proyectos Reiwa]]),SUMIFS(#REF!,#REF!,Planning[[#This Row],[Tipo de Tarea y especialidad]],#REF!,Planning[[#This Row],[Proyectos]]))</f>
        <v>#REF!</v>
      </c>
      <c r="K5394" s="5" t="e">
        <f>+Planning[[#This Row],[Horas Planificadas]]+Planning[[#This Row],[Horas ajustadas adicionales]]-Planning[[#This Row],[Horas utilizadas]]</f>
        <v>#REF!</v>
      </c>
      <c r="L5394" s="7" t="e">
        <f>Planning[[#This Row],[Saldo]]</f>
        <v>#REF!</v>
      </c>
      <c r="M5394" s="19" t="e">
        <f>Planning[[#This Row],[Saldo]]-Planning[[#This Row],[Saldo estimado]]</f>
        <v>#REF!</v>
      </c>
      <c r="N5394" s="60" t="e">
        <f>+SUMIFS(#REF!,#REF!,Planning[[#This Row],[Proyectos]],#REF!,Planning[[#This Row],[Tipo de Tarea y especialidad]])+SUMIFS(#REF!,#REF!,Planning[[#This Row],[Proyectos Reiwa]],#REF!,Planning[[#This Row],[Tipo de Tarea y especialidad]])</f>
        <v>#REF!</v>
      </c>
      <c r="O5394" s="19">
        <f t="shared" si="169"/>
        <v>10</v>
      </c>
      <c r="P5394" s="19">
        <f t="shared" si="170"/>
        <v>2024</v>
      </c>
      <c r="Q53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94" s="51" t="str">
        <f>TEXT(Planning[[#This Row],[Mes]]*29,"mmmm")</f>
        <v>October</v>
      </c>
      <c r="S5394"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94" s="157"/>
    </row>
    <row r="5395" spans="1:20" ht="22.5" x14ac:dyDescent="0.2">
      <c r="A5395" s="9" t="s">
        <v>483</v>
      </c>
      <c r="B5395" s="9" t="s">
        <v>205</v>
      </c>
      <c r="C5395" s="3">
        <v>117041</v>
      </c>
      <c r="D5395" s="3" t="s">
        <v>927</v>
      </c>
      <c r="E5395" s="4" t="s">
        <v>28</v>
      </c>
      <c r="F5395" s="3"/>
      <c r="G5395" s="9">
        <v>0</v>
      </c>
      <c r="H5395" s="14">
        <f>SUM(H5396:H5397)</f>
        <v>0</v>
      </c>
      <c r="I5395" s="14"/>
      <c r="J5395" s="14" t="e">
        <f>SUM(J5396:J5397)</f>
        <v>#REF!</v>
      </c>
      <c r="K5395" s="14" t="e">
        <f>+Planning[[#This Row],[Horas Planificadas]]+Planning[[#This Row],[Horas ajustadas adicionales]]-Planning[[#This Row],[Horas utilizadas]]</f>
        <v>#REF!</v>
      </c>
      <c r="L5395" s="15" t="e">
        <f>SUM(L5396:L5397)</f>
        <v>#REF!</v>
      </c>
      <c r="M5395" s="14" t="e">
        <f>SUM(M5396:M5397)</f>
        <v>#REF!</v>
      </c>
      <c r="N5395" s="60" t="e">
        <f>+SUMIFS(#REF!,#REF!,Planning[[#This Row],[Proyectos]],#REF!,Planning[[#This Row],[Tipo de Tarea y especialidad]])+SUMIFS(#REF!,#REF!,Planning[[#This Row],[Proyectos Reiwa]],#REF!,Planning[[#This Row],[Tipo de Tarea y especialidad]])</f>
        <v>#REF!</v>
      </c>
      <c r="O5395" s="14">
        <f t="shared" si="169"/>
        <v>10</v>
      </c>
      <c r="P5395" s="14">
        <f t="shared" si="170"/>
        <v>2024</v>
      </c>
      <c r="Q5395" s="28" t="e">
        <f>SUM(Q5396:Q5397)</f>
        <v>#REF!</v>
      </c>
      <c r="R5395" s="24" t="str">
        <f>TEXT(Planning[[#This Row],[Mes]]*29,"mmmm")</f>
        <v>October</v>
      </c>
      <c r="S5395"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95" s="151" t="s">
        <v>928</v>
      </c>
    </row>
    <row r="5396" spans="1:20" x14ac:dyDescent="0.2">
      <c r="A5396" s="9" t="s">
        <v>483</v>
      </c>
      <c r="B5396" s="9" t="s">
        <v>205</v>
      </c>
      <c r="C5396" s="3">
        <v>117041</v>
      </c>
      <c r="D5396" s="3" t="s">
        <v>927</v>
      </c>
      <c r="E5396" s="4"/>
      <c r="F5396" s="3" t="s">
        <v>120</v>
      </c>
      <c r="G5396" s="9"/>
      <c r="H5396" s="9"/>
      <c r="I5396" s="12"/>
      <c r="J5396" s="5" t="e">
        <f>SUM(SUMIFS(#REF!,#REF!,Planning[[#This Row],[Tipo de Tarea y especialidad]],#REF!,Planning[[#This Row],[Proyectos Reiwa]]),SUMIFS(#REF!,#REF!,Planning[[#This Row],[Tipo de Tarea y especialidad]],#REF!,Planning[[#This Row],[Proyectos]]))</f>
        <v>#REF!</v>
      </c>
      <c r="K5396" s="5" t="e">
        <f>+Planning[[#This Row],[Horas Planificadas]]+Planning[[#This Row],[Horas ajustadas adicionales]]-Planning[[#This Row],[Horas utilizadas]]</f>
        <v>#REF!</v>
      </c>
      <c r="L5396" s="7" t="e">
        <f>Planning[[#This Row],[Saldo]]</f>
        <v>#REF!</v>
      </c>
      <c r="M5396" s="19" t="e">
        <f>Planning[[#This Row],[Saldo]]-Planning[[#This Row],[Saldo estimado]]</f>
        <v>#REF!</v>
      </c>
      <c r="N5396" s="60" t="e">
        <f>+SUMIFS(#REF!,#REF!,Planning[[#This Row],[Proyectos]],#REF!,Planning[[#This Row],[Tipo de Tarea y especialidad]])+SUMIFS(#REF!,#REF!,Planning[[#This Row],[Proyectos Reiwa]],#REF!,Planning[[#This Row],[Tipo de Tarea y especialidad]])</f>
        <v>#REF!</v>
      </c>
      <c r="O5396" s="19">
        <f t="shared" si="169"/>
        <v>10</v>
      </c>
      <c r="P5396" s="19">
        <f t="shared" si="170"/>
        <v>2024</v>
      </c>
      <c r="Q53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96" s="49" t="str">
        <f>TEXT(Planning[[#This Row],[Mes]]*29,"mmmm")</f>
        <v>October</v>
      </c>
      <c r="S539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96" s="156"/>
    </row>
    <row r="5397" spans="1:20" x14ac:dyDescent="0.2">
      <c r="A5397" s="9" t="s">
        <v>483</v>
      </c>
      <c r="B5397" s="9" t="s">
        <v>205</v>
      </c>
      <c r="C5397" s="3">
        <v>117041</v>
      </c>
      <c r="D5397" s="3" t="s">
        <v>927</v>
      </c>
      <c r="E5397" s="4"/>
      <c r="F5397" s="3" t="s">
        <v>121</v>
      </c>
      <c r="G5397" s="9"/>
      <c r="H5397" s="9"/>
      <c r="I5397" s="12"/>
      <c r="J5397" s="5" t="e">
        <f>SUM(SUMIFS(#REF!,#REF!,Planning[[#This Row],[Tipo de Tarea y especialidad]],#REF!,Planning[[#This Row],[Proyectos Reiwa]]),SUMIFS(#REF!,#REF!,Planning[[#This Row],[Tipo de Tarea y especialidad]],#REF!,Planning[[#This Row],[Proyectos]]))</f>
        <v>#REF!</v>
      </c>
      <c r="K5397" s="5" t="e">
        <f>+Planning[[#This Row],[Horas Planificadas]]+Planning[[#This Row],[Horas ajustadas adicionales]]-Planning[[#This Row],[Horas utilizadas]]</f>
        <v>#REF!</v>
      </c>
      <c r="L5397" s="7">
        <v>0</v>
      </c>
      <c r="M5397" s="19" t="e">
        <f>Planning[[#This Row],[Saldo]]-Planning[[#This Row],[Saldo estimado]]</f>
        <v>#REF!</v>
      </c>
      <c r="N5397" s="60" t="e">
        <f>+SUMIFS(#REF!,#REF!,Planning[[#This Row],[Proyectos]],#REF!,Planning[[#This Row],[Tipo de Tarea y especialidad]])+SUMIFS(#REF!,#REF!,Planning[[#This Row],[Proyectos Reiwa]],#REF!,Planning[[#This Row],[Tipo de Tarea y especialidad]])</f>
        <v>#REF!</v>
      </c>
      <c r="O5397" s="19">
        <f t="shared" si="169"/>
        <v>10</v>
      </c>
      <c r="P5397" s="19">
        <f t="shared" si="170"/>
        <v>2024</v>
      </c>
      <c r="Q53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97" s="49" t="str">
        <f>TEXT(Planning[[#This Row],[Mes]]*29,"mmmm")</f>
        <v>October</v>
      </c>
      <c r="S539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97" s="156"/>
    </row>
    <row r="5398" spans="1:20" x14ac:dyDescent="0.2">
      <c r="A5398" s="9" t="s">
        <v>483</v>
      </c>
      <c r="B5398" s="9" t="s">
        <v>205</v>
      </c>
      <c r="C5398" s="3">
        <v>117041</v>
      </c>
      <c r="D5398" s="3" t="s">
        <v>927</v>
      </c>
      <c r="E5398" s="4" t="s">
        <v>30</v>
      </c>
      <c r="F5398" s="3"/>
      <c r="G5398" s="9">
        <v>400</v>
      </c>
      <c r="H5398" s="14">
        <f>SUM(H5399:H5405)</f>
        <v>400</v>
      </c>
      <c r="I5398" s="14"/>
      <c r="J5398" s="14" t="e">
        <f>SUM(J5399:J5405)</f>
        <v>#REF!</v>
      </c>
      <c r="K5398" s="14" t="e">
        <f>+Planning[[#This Row],[Horas Planificadas]]+Planning[[#This Row],[Horas ajustadas adicionales]]-Planning[[#This Row],[Horas utilizadas]]</f>
        <v>#REF!</v>
      </c>
      <c r="L5398" s="15" t="e">
        <f>SUM(L5399:L5405)</f>
        <v>#REF!</v>
      </c>
      <c r="M5398" s="16" t="e">
        <f>SUM(M5399:M5405)</f>
        <v>#REF!</v>
      </c>
      <c r="N5398" s="60" t="e">
        <f>+SUMIFS(#REF!,#REF!,Planning[[#This Row],[Proyectos]],#REF!,Planning[[#This Row],[Tipo de Tarea y especialidad]])+SUMIFS(#REF!,#REF!,Planning[[#This Row],[Proyectos Reiwa]],#REF!,Planning[[#This Row],[Tipo de Tarea y especialidad]])</f>
        <v>#REF!</v>
      </c>
      <c r="O5398" s="16">
        <f t="shared" si="169"/>
        <v>10</v>
      </c>
      <c r="P5398" s="16">
        <f t="shared" si="170"/>
        <v>2024</v>
      </c>
      <c r="Q5398" s="16" t="e">
        <f>SUM(Q5399:Q5405)</f>
        <v>#REF!</v>
      </c>
      <c r="R5398" s="50" t="str">
        <f>TEXT(Planning[[#This Row],[Mes]]*29,"mmmm")</f>
        <v>October</v>
      </c>
      <c r="S539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98" s="156"/>
    </row>
    <row r="5399" spans="1:20" x14ac:dyDescent="0.2">
      <c r="A5399" s="9" t="s">
        <v>483</v>
      </c>
      <c r="B5399" s="9" t="s">
        <v>205</v>
      </c>
      <c r="C5399" s="3">
        <v>117041</v>
      </c>
      <c r="D5399" s="3" t="s">
        <v>927</v>
      </c>
      <c r="E5399" s="4"/>
      <c r="F5399" s="3" t="s">
        <v>122</v>
      </c>
      <c r="G5399" s="9"/>
      <c r="H5399" s="9"/>
      <c r="I5399" s="12"/>
      <c r="J5399" s="5" t="e">
        <f>SUM(SUMIFS(#REF!,#REF!,Planning[[#This Row],[Tipo de Tarea y especialidad]],#REF!,Planning[[#This Row],[Proyectos Reiwa]]),SUMIFS(#REF!,#REF!,Planning[[#This Row],[Tipo de Tarea y especialidad]],#REF!,Planning[[#This Row],[Proyectos]]))</f>
        <v>#REF!</v>
      </c>
      <c r="K5399" s="5" t="e">
        <f>+Planning[[#This Row],[Horas Planificadas]]+Planning[[#This Row],[Horas ajustadas adicionales]]-Planning[[#This Row],[Horas utilizadas]]</f>
        <v>#REF!</v>
      </c>
      <c r="L5399" s="7" t="e">
        <f>Planning[[#This Row],[Saldo]]</f>
        <v>#REF!</v>
      </c>
      <c r="M5399" s="19" t="e">
        <f>Planning[[#This Row],[Saldo]]-Planning[[#This Row],[Saldo estimado]]</f>
        <v>#REF!</v>
      </c>
      <c r="N5399" s="60" t="e">
        <f>+SUMIFS(#REF!,#REF!,Planning[[#This Row],[Proyectos]],#REF!,Planning[[#This Row],[Tipo de Tarea y especialidad]])+SUMIFS(#REF!,#REF!,Planning[[#This Row],[Proyectos Reiwa]],#REF!,Planning[[#This Row],[Tipo de Tarea y especialidad]])</f>
        <v>#REF!</v>
      </c>
      <c r="O5399" s="19">
        <f t="shared" si="169"/>
        <v>10</v>
      </c>
      <c r="P5399" s="19">
        <f t="shared" si="170"/>
        <v>2024</v>
      </c>
      <c r="Q53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399" s="49" t="str">
        <f>TEXT(Planning[[#This Row],[Mes]]*29,"mmmm")</f>
        <v>October</v>
      </c>
      <c r="S539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399" s="156"/>
    </row>
    <row r="5400" spans="1:20" x14ac:dyDescent="0.2">
      <c r="A5400" s="9" t="s">
        <v>483</v>
      </c>
      <c r="B5400" s="9" t="s">
        <v>205</v>
      </c>
      <c r="C5400" s="3">
        <v>117041</v>
      </c>
      <c r="D5400" s="3" t="s">
        <v>927</v>
      </c>
      <c r="E5400" s="4"/>
      <c r="F5400" s="3" t="s">
        <v>123</v>
      </c>
      <c r="G5400" s="9"/>
      <c r="H5400" s="9">
        <v>310</v>
      </c>
      <c r="I5400" s="12"/>
      <c r="J5400" s="5" t="e">
        <f>SUM(SUMIFS(#REF!,#REF!,Planning[[#This Row],[Tipo de Tarea y especialidad]],#REF!,Planning[[#This Row],[Proyectos Reiwa]]),SUMIFS(#REF!,#REF!,Planning[[#This Row],[Tipo de Tarea y especialidad]],#REF!,Planning[[#This Row],[Proyectos]]))</f>
        <v>#REF!</v>
      </c>
      <c r="K5400" s="5" t="e">
        <f>+Planning[[#This Row],[Horas Planificadas]]+Planning[[#This Row],[Horas ajustadas adicionales]]-Planning[[#This Row],[Horas utilizadas]]</f>
        <v>#REF!</v>
      </c>
      <c r="L5400" s="7">
        <v>0</v>
      </c>
      <c r="M5400" s="19" t="e">
        <f>Planning[[#This Row],[Saldo]]-Planning[[#This Row],[Saldo estimado]]</f>
        <v>#REF!</v>
      </c>
      <c r="N5400" s="60" t="e">
        <f>+SUMIFS(#REF!,#REF!,Planning[[#This Row],[Proyectos]],#REF!,Planning[[#This Row],[Tipo de Tarea y especialidad]])+SUMIFS(#REF!,#REF!,Planning[[#This Row],[Proyectos Reiwa]],#REF!,Planning[[#This Row],[Tipo de Tarea y especialidad]])</f>
        <v>#REF!</v>
      </c>
      <c r="O5400" s="19">
        <f t="shared" si="169"/>
        <v>10</v>
      </c>
      <c r="P5400" s="19">
        <f t="shared" si="170"/>
        <v>2024</v>
      </c>
      <c r="Q54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00" s="49" t="str">
        <f>TEXT(Planning[[#This Row],[Mes]]*29,"mmmm")</f>
        <v>October</v>
      </c>
      <c r="S540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00" s="156"/>
    </row>
    <row r="5401" spans="1:20" x14ac:dyDescent="0.2">
      <c r="A5401" s="9" t="s">
        <v>483</v>
      </c>
      <c r="B5401" s="9" t="s">
        <v>205</v>
      </c>
      <c r="C5401" s="3">
        <v>117041</v>
      </c>
      <c r="D5401" s="3" t="s">
        <v>927</v>
      </c>
      <c r="E5401" s="4"/>
      <c r="F5401" s="3" t="s">
        <v>124</v>
      </c>
      <c r="G5401" s="9"/>
      <c r="H5401" s="9"/>
      <c r="I5401" s="12"/>
      <c r="J5401" s="5" t="e">
        <f>SUM(SUMIFS(#REF!,#REF!,Planning[[#This Row],[Tipo de Tarea y especialidad]],#REF!,Planning[[#This Row],[Proyectos Reiwa]]),SUMIFS(#REF!,#REF!,Planning[[#This Row],[Tipo de Tarea y especialidad]],#REF!,Planning[[#This Row],[Proyectos]]))</f>
        <v>#REF!</v>
      </c>
      <c r="K5401" s="5" t="e">
        <f>+Planning[[#This Row],[Horas Planificadas]]+Planning[[#This Row],[Horas ajustadas adicionales]]-Planning[[#This Row],[Horas utilizadas]]</f>
        <v>#REF!</v>
      </c>
      <c r="L5401" s="7" t="e">
        <f>Planning[[#This Row],[Saldo]]</f>
        <v>#REF!</v>
      </c>
      <c r="M5401" s="19" t="e">
        <f>Planning[[#This Row],[Saldo]]-Planning[[#This Row],[Saldo estimado]]</f>
        <v>#REF!</v>
      </c>
      <c r="N5401" s="60" t="e">
        <f>+SUMIFS(#REF!,#REF!,Planning[[#This Row],[Proyectos]],#REF!,Planning[[#This Row],[Tipo de Tarea y especialidad]])+SUMIFS(#REF!,#REF!,Planning[[#This Row],[Proyectos Reiwa]],#REF!,Planning[[#This Row],[Tipo de Tarea y especialidad]])</f>
        <v>#REF!</v>
      </c>
      <c r="O5401" s="19">
        <f t="shared" si="169"/>
        <v>10</v>
      </c>
      <c r="P5401" s="19">
        <f t="shared" si="170"/>
        <v>2024</v>
      </c>
      <c r="Q54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01" s="49" t="str">
        <f>TEXT(Planning[[#This Row],[Mes]]*29,"mmmm")</f>
        <v>October</v>
      </c>
      <c r="S540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01" s="156"/>
    </row>
    <row r="5402" spans="1:20" x14ac:dyDescent="0.2">
      <c r="A5402" s="9" t="s">
        <v>483</v>
      </c>
      <c r="B5402" s="9" t="s">
        <v>205</v>
      </c>
      <c r="C5402" s="3">
        <v>117041</v>
      </c>
      <c r="D5402" s="3" t="s">
        <v>927</v>
      </c>
      <c r="E5402" s="4"/>
      <c r="F5402" s="3" t="s">
        <v>125</v>
      </c>
      <c r="G5402" s="9"/>
      <c r="H5402" s="9">
        <v>90</v>
      </c>
      <c r="I5402" s="12"/>
      <c r="J5402" s="5" t="e">
        <f>SUM(SUMIFS(#REF!,#REF!,Planning[[#This Row],[Tipo de Tarea y especialidad]],#REF!,Planning[[#This Row],[Proyectos Reiwa]]),SUMIFS(#REF!,#REF!,Planning[[#This Row],[Tipo de Tarea y especialidad]],#REF!,Planning[[#This Row],[Proyectos]]))</f>
        <v>#REF!</v>
      </c>
      <c r="K5402" s="5" t="e">
        <f>+Planning[[#This Row],[Horas Planificadas]]+Planning[[#This Row],[Horas ajustadas adicionales]]-Planning[[#This Row],[Horas utilizadas]]</f>
        <v>#REF!</v>
      </c>
      <c r="L5402" s="7" t="e">
        <f>Planning[[#This Row],[Saldo]]</f>
        <v>#REF!</v>
      </c>
      <c r="M5402" s="19" t="e">
        <f>Planning[[#This Row],[Saldo]]-Planning[[#This Row],[Saldo estimado]]</f>
        <v>#REF!</v>
      </c>
      <c r="N5402" s="60" t="e">
        <f>+SUMIFS(#REF!,#REF!,Planning[[#This Row],[Proyectos]],#REF!,Planning[[#This Row],[Tipo de Tarea y especialidad]])+SUMIFS(#REF!,#REF!,Planning[[#This Row],[Proyectos Reiwa]],#REF!,Planning[[#This Row],[Tipo de Tarea y especialidad]])</f>
        <v>#REF!</v>
      </c>
      <c r="O5402" s="19">
        <f t="shared" si="169"/>
        <v>10</v>
      </c>
      <c r="P5402" s="19">
        <f t="shared" si="170"/>
        <v>2024</v>
      </c>
      <c r="Q54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02" s="49" t="str">
        <f>TEXT(Planning[[#This Row],[Mes]]*29,"mmmm")</f>
        <v>October</v>
      </c>
      <c r="S540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02" s="156"/>
    </row>
    <row r="5403" spans="1:20" x14ac:dyDescent="0.2">
      <c r="A5403" s="9" t="s">
        <v>483</v>
      </c>
      <c r="B5403" s="9" t="s">
        <v>205</v>
      </c>
      <c r="C5403" s="3">
        <v>117041</v>
      </c>
      <c r="D5403" s="3" t="s">
        <v>927</v>
      </c>
      <c r="E5403" s="4"/>
      <c r="F5403" s="3" t="s">
        <v>126</v>
      </c>
      <c r="G5403" s="9"/>
      <c r="H5403" s="9"/>
      <c r="I5403" s="12"/>
      <c r="J5403" s="5" t="e">
        <f>SUM(SUMIFS(#REF!,#REF!,Planning[[#This Row],[Tipo de Tarea y especialidad]],#REF!,Planning[[#This Row],[Proyectos Reiwa]]),SUMIFS(#REF!,#REF!,Planning[[#This Row],[Tipo de Tarea y especialidad]],#REF!,Planning[[#This Row],[Proyectos]]))</f>
        <v>#REF!</v>
      </c>
      <c r="K5403" s="5" t="e">
        <f>+Planning[[#This Row],[Horas Planificadas]]+Planning[[#This Row],[Horas ajustadas adicionales]]-Planning[[#This Row],[Horas utilizadas]]</f>
        <v>#REF!</v>
      </c>
      <c r="L5403" s="7" t="e">
        <f>Planning[[#This Row],[Saldo]]</f>
        <v>#REF!</v>
      </c>
      <c r="M5403" s="19" t="e">
        <f>Planning[[#This Row],[Saldo]]-Planning[[#This Row],[Saldo estimado]]</f>
        <v>#REF!</v>
      </c>
      <c r="N5403" s="60" t="e">
        <f>+SUMIFS(#REF!,#REF!,Planning[[#This Row],[Proyectos]],#REF!,Planning[[#This Row],[Tipo de Tarea y especialidad]])+SUMIFS(#REF!,#REF!,Planning[[#This Row],[Proyectos Reiwa]],#REF!,Planning[[#This Row],[Tipo de Tarea y especialidad]])</f>
        <v>#REF!</v>
      </c>
      <c r="O5403" s="19">
        <f t="shared" si="169"/>
        <v>10</v>
      </c>
      <c r="P5403" s="19">
        <f t="shared" si="170"/>
        <v>2024</v>
      </c>
      <c r="Q54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03" s="49" t="str">
        <f>TEXT(Planning[[#This Row],[Mes]]*29,"mmmm")</f>
        <v>October</v>
      </c>
      <c r="S540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03" s="156"/>
    </row>
    <row r="5404" spans="1:20" x14ac:dyDescent="0.2">
      <c r="A5404" s="9" t="s">
        <v>483</v>
      </c>
      <c r="B5404" s="9" t="s">
        <v>205</v>
      </c>
      <c r="C5404" s="3">
        <v>117041</v>
      </c>
      <c r="D5404" s="3" t="s">
        <v>927</v>
      </c>
      <c r="E5404" s="4"/>
      <c r="F5404" s="3" t="s">
        <v>127</v>
      </c>
      <c r="G5404" s="9"/>
      <c r="H5404" s="9"/>
      <c r="I5404" s="12"/>
      <c r="J5404" s="5" t="e">
        <f>SUM(SUMIFS(#REF!,#REF!,Planning[[#This Row],[Tipo de Tarea y especialidad]],#REF!,Planning[[#This Row],[Proyectos Reiwa]]),SUMIFS(#REF!,#REF!,Planning[[#This Row],[Tipo de Tarea y especialidad]],#REF!,Planning[[#This Row],[Proyectos]]))</f>
        <v>#REF!</v>
      </c>
      <c r="K5404" s="5" t="e">
        <f>+Planning[[#This Row],[Horas Planificadas]]+Planning[[#This Row],[Horas ajustadas adicionales]]-Planning[[#This Row],[Horas utilizadas]]</f>
        <v>#REF!</v>
      </c>
      <c r="L5404" s="7">
        <v>0</v>
      </c>
      <c r="M5404" s="19" t="e">
        <f>Planning[[#This Row],[Saldo]]-Planning[[#This Row],[Saldo estimado]]</f>
        <v>#REF!</v>
      </c>
      <c r="N5404" s="60" t="e">
        <f>+SUMIFS(#REF!,#REF!,Planning[[#This Row],[Proyectos]],#REF!,Planning[[#This Row],[Tipo de Tarea y especialidad]])+SUMIFS(#REF!,#REF!,Planning[[#This Row],[Proyectos Reiwa]],#REF!,Planning[[#This Row],[Tipo de Tarea y especialidad]])</f>
        <v>#REF!</v>
      </c>
      <c r="O5404" s="19">
        <f t="shared" si="169"/>
        <v>10</v>
      </c>
      <c r="P5404" s="19">
        <f t="shared" si="170"/>
        <v>2024</v>
      </c>
      <c r="Q54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04" s="49" t="str">
        <f>TEXT(Planning[[#This Row],[Mes]]*29,"mmmm")</f>
        <v>October</v>
      </c>
      <c r="S540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04" s="156"/>
    </row>
    <row r="5405" spans="1:20" x14ac:dyDescent="0.2">
      <c r="A5405" s="9" t="s">
        <v>483</v>
      </c>
      <c r="B5405" s="9" t="s">
        <v>205</v>
      </c>
      <c r="C5405" s="3">
        <v>117041</v>
      </c>
      <c r="D5405" s="3" t="s">
        <v>927</v>
      </c>
      <c r="E5405" s="4"/>
      <c r="F5405" s="3" t="s">
        <v>128</v>
      </c>
      <c r="G5405" s="9"/>
      <c r="H5405" s="9"/>
      <c r="I5405" s="12"/>
      <c r="J5405" s="5" t="e">
        <f>SUM(SUMIFS(#REF!,#REF!,Planning[[#This Row],[Tipo de Tarea y especialidad]],#REF!,Planning[[#This Row],[Proyectos Reiwa]]),SUMIFS(#REF!,#REF!,Planning[[#This Row],[Tipo de Tarea y especialidad]],#REF!,Planning[[#This Row],[Proyectos]]))</f>
        <v>#REF!</v>
      </c>
      <c r="K5405" s="5" t="e">
        <f>+Planning[[#This Row],[Horas Planificadas]]+Planning[[#This Row],[Horas ajustadas adicionales]]-Planning[[#This Row],[Horas utilizadas]]</f>
        <v>#REF!</v>
      </c>
      <c r="L5405" s="7" t="e">
        <f>Planning[[#This Row],[Saldo]]</f>
        <v>#REF!</v>
      </c>
      <c r="M5405" s="19" t="e">
        <f>Planning[[#This Row],[Saldo]]-Planning[[#This Row],[Saldo estimado]]</f>
        <v>#REF!</v>
      </c>
      <c r="N5405" s="60" t="e">
        <f>+SUMIFS(#REF!,#REF!,Planning[[#This Row],[Proyectos]],#REF!,Planning[[#This Row],[Tipo de Tarea y especialidad]])+SUMIFS(#REF!,#REF!,Planning[[#This Row],[Proyectos Reiwa]],#REF!,Planning[[#This Row],[Tipo de Tarea y especialidad]])</f>
        <v>#REF!</v>
      </c>
      <c r="O5405" s="19">
        <f t="shared" si="169"/>
        <v>10</v>
      </c>
      <c r="P5405" s="19">
        <f t="shared" si="170"/>
        <v>2024</v>
      </c>
      <c r="Q54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05" s="49" t="str">
        <f>TEXT(Planning[[#This Row],[Mes]]*29,"mmmm")</f>
        <v>October</v>
      </c>
      <c r="S540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05" s="156"/>
    </row>
    <row r="5406" spans="1:20" x14ac:dyDescent="0.2">
      <c r="A5406" s="9" t="s">
        <v>483</v>
      </c>
      <c r="B5406" s="9" t="s">
        <v>205</v>
      </c>
      <c r="C5406" s="3">
        <v>117041</v>
      </c>
      <c r="D5406" s="3" t="s">
        <v>927</v>
      </c>
      <c r="E5406" s="4" t="s">
        <v>31</v>
      </c>
      <c r="F5406" s="3" t="s">
        <v>31</v>
      </c>
      <c r="G5406" s="9">
        <v>36</v>
      </c>
      <c r="H5406" s="17">
        <f>Planning[[#This Row],[Horas Precálculo]]</f>
        <v>36</v>
      </c>
      <c r="I5406" s="18"/>
      <c r="J5406" s="14" t="e">
        <f>+SUMIFS(#REF!,#REF!,Planning[[#This Row],[Tarifa]],#REF!,Planning[[#This Row],[Proyectos]])</f>
        <v>#REF!</v>
      </c>
      <c r="K5406" s="14" t="e">
        <f>+Planning[[#This Row],[Horas Planificadas]]+Planning[[#This Row],[Horas ajustadas adicionales]]-Planning[[#This Row],[Horas utilizadas]]</f>
        <v>#REF!</v>
      </c>
      <c r="L5406" s="15" t="e">
        <f>Planning[[#This Row],[Saldo]]</f>
        <v>#REF!</v>
      </c>
      <c r="M5406" s="16" t="e">
        <f>Planning[[#This Row],[Saldo]]-Planning[[#This Row],[Saldo estimado]]</f>
        <v>#REF!</v>
      </c>
      <c r="N5406" s="60" t="e">
        <f>+SUMIFS(#REF!,#REF!,Planning[[#This Row],[Proyectos]],#REF!,Planning[[#This Row],[Tipo de Tarea y especialidad]])+SUMIFS(#REF!,#REF!,Planning[[#This Row],[Proyectos Reiwa]],#REF!,Planning[[#This Row],[Tipo de Tarea y especialidad]])</f>
        <v>#REF!</v>
      </c>
      <c r="O5406" s="16">
        <f t="shared" si="169"/>
        <v>10</v>
      </c>
      <c r="P5406" s="16">
        <f t="shared" si="170"/>
        <v>2024</v>
      </c>
      <c r="Q5406" s="16" t="e">
        <f>+SUMIFS(#REF!,#REF!,Planning[[#This Row],[Tarifa]],#REF!,Planning[[#This Row],[Proyectos]],#REF!,Planning[[#This Row],[Mes]],#REF!,Planning[[#This Row],[Año]])</f>
        <v>#REF!</v>
      </c>
      <c r="R5406" s="50" t="str">
        <f>TEXT(Planning[[#This Row],[Mes]]*29,"mmmm")</f>
        <v>October</v>
      </c>
      <c r="S540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06" s="156"/>
    </row>
    <row r="5407" spans="1:20" ht="22.5" x14ac:dyDescent="0.2">
      <c r="A5407" s="9" t="s">
        <v>483</v>
      </c>
      <c r="B5407" s="9" t="s">
        <v>205</v>
      </c>
      <c r="C5407" s="3">
        <v>117041</v>
      </c>
      <c r="D5407" s="3" t="s">
        <v>927</v>
      </c>
      <c r="E5407" s="4" t="s">
        <v>32</v>
      </c>
      <c r="F5407" s="3"/>
      <c r="G5407" s="9">
        <v>178</v>
      </c>
      <c r="H5407" s="14">
        <f>SUM(H5408:H5410)</f>
        <v>178</v>
      </c>
      <c r="I5407" s="14"/>
      <c r="J5407" s="14" t="e">
        <f>SUM(J5408:J5410)</f>
        <v>#REF!</v>
      </c>
      <c r="K5407" s="14" t="e">
        <f>+Planning[[#This Row],[Horas Planificadas]]+Planning[[#This Row],[Horas ajustadas adicionales]]-Planning[[#This Row],[Horas utilizadas]]</f>
        <v>#REF!</v>
      </c>
      <c r="L5407" s="15" t="e">
        <f>SUM(L5408:L5410)</f>
        <v>#REF!</v>
      </c>
      <c r="M5407" s="16" t="e">
        <f>SUM(M5408:M5410)</f>
        <v>#REF!</v>
      </c>
      <c r="N5407" s="60" t="e">
        <f>+SUMIFS(#REF!,#REF!,Planning[[#This Row],[Proyectos]],#REF!,Planning[[#This Row],[Tipo de Tarea y especialidad]])+SUMIFS(#REF!,#REF!,Planning[[#This Row],[Proyectos Reiwa]],#REF!,Planning[[#This Row],[Tipo de Tarea y especialidad]])</f>
        <v>#REF!</v>
      </c>
      <c r="O5407" s="16">
        <f t="shared" si="169"/>
        <v>10</v>
      </c>
      <c r="P5407" s="16">
        <f t="shared" si="170"/>
        <v>2024</v>
      </c>
      <c r="Q5407" s="16" t="e">
        <f>SUM(Q5408:Q5410)</f>
        <v>#REF!</v>
      </c>
      <c r="R5407" s="50" t="str">
        <f>TEXT(Planning[[#This Row],[Mes]]*29,"mmmm")</f>
        <v>October</v>
      </c>
      <c r="S540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07" s="156"/>
    </row>
    <row r="5408" spans="1:20" x14ac:dyDescent="0.2">
      <c r="A5408" s="9" t="s">
        <v>483</v>
      </c>
      <c r="B5408" s="9" t="s">
        <v>205</v>
      </c>
      <c r="C5408" s="3">
        <v>117041</v>
      </c>
      <c r="D5408" s="3" t="s">
        <v>927</v>
      </c>
      <c r="E5408" s="4"/>
      <c r="F5408" s="3" t="s">
        <v>129</v>
      </c>
      <c r="G5408" s="9"/>
      <c r="H5408" s="9"/>
      <c r="I5408" s="12"/>
      <c r="J5408" s="5" t="e">
        <f>SUM(SUMIFS(#REF!,#REF!,Planning[[#This Row],[Tipo de Tarea y especialidad]],#REF!,Planning[[#This Row],[Proyectos Reiwa]]),SUMIFS(#REF!,#REF!,Planning[[#This Row],[Tipo de Tarea y especialidad]],#REF!,Planning[[#This Row],[Proyectos]]))</f>
        <v>#REF!</v>
      </c>
      <c r="K5408" s="5" t="e">
        <f>+Planning[[#This Row],[Horas Planificadas]]+Planning[[#This Row],[Horas ajustadas adicionales]]-Planning[[#This Row],[Horas utilizadas]]</f>
        <v>#REF!</v>
      </c>
      <c r="L5408" s="7" t="e">
        <f>Planning[[#This Row],[Saldo]]</f>
        <v>#REF!</v>
      </c>
      <c r="M5408" s="19" t="e">
        <f>Planning[[#This Row],[Saldo]]-Planning[[#This Row],[Saldo estimado]]</f>
        <v>#REF!</v>
      </c>
      <c r="N5408" s="60" t="e">
        <f>+SUMIFS(#REF!,#REF!,Planning[[#This Row],[Proyectos]],#REF!,Planning[[#This Row],[Tipo de Tarea y especialidad]])+SUMIFS(#REF!,#REF!,Planning[[#This Row],[Proyectos Reiwa]],#REF!,Planning[[#This Row],[Tipo de Tarea y especialidad]])</f>
        <v>#REF!</v>
      </c>
      <c r="O5408" s="19">
        <f t="shared" si="169"/>
        <v>10</v>
      </c>
      <c r="P5408" s="19">
        <f t="shared" si="170"/>
        <v>2024</v>
      </c>
      <c r="Q54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08" s="49" t="str">
        <f>TEXT(Planning[[#This Row],[Mes]]*29,"mmmm")</f>
        <v>October</v>
      </c>
      <c r="S540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08" s="156"/>
    </row>
    <row r="5409" spans="1:20" x14ac:dyDescent="0.2">
      <c r="A5409" s="9" t="s">
        <v>483</v>
      </c>
      <c r="B5409" s="9" t="s">
        <v>205</v>
      </c>
      <c r="C5409" s="3">
        <v>117041</v>
      </c>
      <c r="D5409" s="3" t="s">
        <v>927</v>
      </c>
      <c r="E5409" s="4"/>
      <c r="F5409" s="3" t="s">
        <v>130</v>
      </c>
      <c r="G5409" s="9"/>
      <c r="H5409" s="9">
        <v>178</v>
      </c>
      <c r="I5409" s="12"/>
      <c r="J5409" s="5" t="e">
        <f>SUM(SUMIFS(#REF!,#REF!,Planning[[#This Row],[Tipo de Tarea y especialidad]],#REF!,Planning[[#This Row],[Proyectos Reiwa]]),SUMIFS(#REF!,#REF!,Planning[[#This Row],[Tipo de Tarea y especialidad]],#REF!,Planning[[#This Row],[Proyectos]]))</f>
        <v>#REF!</v>
      </c>
      <c r="K5409" s="5" t="e">
        <f>+Planning[[#This Row],[Horas Planificadas]]+Planning[[#This Row],[Horas ajustadas adicionales]]-Planning[[#This Row],[Horas utilizadas]]</f>
        <v>#REF!</v>
      </c>
      <c r="L5409" s="7" t="e">
        <f>Planning[[#This Row],[Saldo]]</f>
        <v>#REF!</v>
      </c>
      <c r="M5409" s="19" t="e">
        <f>Planning[[#This Row],[Saldo]]-Planning[[#This Row],[Saldo estimado]]</f>
        <v>#REF!</v>
      </c>
      <c r="N5409" s="60" t="e">
        <f>+SUMIFS(#REF!,#REF!,Planning[[#This Row],[Proyectos]],#REF!,Planning[[#This Row],[Tipo de Tarea y especialidad]])+SUMIFS(#REF!,#REF!,Planning[[#This Row],[Proyectos Reiwa]],#REF!,Planning[[#This Row],[Tipo de Tarea y especialidad]])</f>
        <v>#REF!</v>
      </c>
      <c r="O5409" s="19">
        <f t="shared" si="169"/>
        <v>10</v>
      </c>
      <c r="P5409" s="19">
        <f t="shared" si="170"/>
        <v>2024</v>
      </c>
      <c r="Q54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09" s="49" t="str">
        <f>TEXT(Planning[[#This Row],[Mes]]*29,"mmmm")</f>
        <v>October</v>
      </c>
      <c r="S540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09" s="156"/>
    </row>
    <row r="5410" spans="1:20" x14ac:dyDescent="0.2">
      <c r="A5410" s="9" t="s">
        <v>483</v>
      </c>
      <c r="B5410" s="9" t="s">
        <v>205</v>
      </c>
      <c r="C5410" s="3">
        <v>117041</v>
      </c>
      <c r="D5410" s="3" t="s">
        <v>927</v>
      </c>
      <c r="E5410" s="4"/>
      <c r="F5410" s="3" t="s">
        <v>131</v>
      </c>
      <c r="G5410" s="9"/>
      <c r="H5410" s="9"/>
      <c r="I5410" s="12"/>
      <c r="J5410" s="5" t="e">
        <f>SUM(SUMIFS(#REF!,#REF!,Planning[[#This Row],[Tipo de Tarea y especialidad]],#REF!,Planning[[#This Row],[Proyectos Reiwa]]),SUMIFS(#REF!,#REF!,Planning[[#This Row],[Tipo de Tarea y especialidad]],#REF!,Planning[[#This Row],[Proyectos]]))</f>
        <v>#REF!</v>
      </c>
      <c r="K5410" s="5" t="e">
        <f>+Planning[[#This Row],[Horas Planificadas]]+Planning[[#This Row],[Horas ajustadas adicionales]]-Planning[[#This Row],[Horas utilizadas]]</f>
        <v>#REF!</v>
      </c>
      <c r="L5410" s="7" t="e">
        <f>Planning[[#This Row],[Saldo]]</f>
        <v>#REF!</v>
      </c>
      <c r="M5410" s="19" t="e">
        <f>Planning[[#This Row],[Saldo]]-Planning[[#This Row],[Saldo estimado]]</f>
        <v>#REF!</v>
      </c>
      <c r="N5410" s="60" t="e">
        <f>+SUMIFS(#REF!,#REF!,Planning[[#This Row],[Proyectos]],#REF!,Planning[[#This Row],[Tipo de Tarea y especialidad]])+SUMIFS(#REF!,#REF!,Planning[[#This Row],[Proyectos Reiwa]],#REF!,Planning[[#This Row],[Tipo de Tarea y especialidad]])</f>
        <v>#REF!</v>
      </c>
      <c r="O5410" s="19">
        <f t="shared" si="169"/>
        <v>10</v>
      </c>
      <c r="P5410" s="19">
        <f t="shared" si="170"/>
        <v>2024</v>
      </c>
      <c r="Q54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10" s="49" t="str">
        <f>TEXT(Planning[[#This Row],[Mes]]*29,"mmmm")</f>
        <v>October</v>
      </c>
      <c r="S541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10" s="156"/>
    </row>
    <row r="5411" spans="1:20" ht="13.35" customHeight="1" x14ac:dyDescent="0.2">
      <c r="A5411" s="9" t="s">
        <v>483</v>
      </c>
      <c r="B5411" s="9" t="s">
        <v>808</v>
      </c>
      <c r="C5411" s="3">
        <v>117033</v>
      </c>
      <c r="D5411" s="3" t="s">
        <v>929</v>
      </c>
      <c r="E5411" s="4" t="s">
        <v>28</v>
      </c>
      <c r="F5411" s="3"/>
      <c r="G5411" s="9">
        <v>0</v>
      </c>
      <c r="H5411" s="14">
        <f>SUM(H5412:H5413)</f>
        <v>0</v>
      </c>
      <c r="I5411" s="14"/>
      <c r="J5411" s="14" t="e">
        <f>SUM(J5412:J5413)</f>
        <v>#REF!</v>
      </c>
      <c r="K5411" s="14" t="e">
        <f>+Planning[[#This Row],[Horas Planificadas]]+Planning[[#This Row],[Horas ajustadas adicionales]]-Planning[[#This Row],[Horas utilizadas]]</f>
        <v>#REF!</v>
      </c>
      <c r="L5411" s="15" t="e">
        <f>SUM(L5412:L5413)</f>
        <v>#REF!</v>
      </c>
      <c r="M5411" s="14" t="e">
        <f>SUM(M5412:M5413)</f>
        <v>#REF!</v>
      </c>
      <c r="N5411" s="60" t="e">
        <f>+SUMIFS(#REF!,#REF!,Planning[[#This Row],[Proyectos]],#REF!,Planning[[#This Row],[Tipo de Tarea y especialidad]])+SUMIFS(#REF!,#REF!,Planning[[#This Row],[Proyectos Reiwa]],#REF!,Planning[[#This Row],[Tipo de Tarea y especialidad]])</f>
        <v>#REF!</v>
      </c>
      <c r="O5411" s="14">
        <f t="shared" si="169"/>
        <v>10</v>
      </c>
      <c r="P5411" s="14">
        <f t="shared" si="170"/>
        <v>2024</v>
      </c>
      <c r="Q5411" s="28" t="e">
        <f>SUM(Q5412:Q5413)</f>
        <v>#REF!</v>
      </c>
      <c r="R5411" s="14" t="str">
        <f>TEXT(Planning[[#This Row],[Mes]]*29,"mmmm")</f>
        <v>October</v>
      </c>
      <c r="S541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11" s="106" t="s">
        <v>930</v>
      </c>
    </row>
    <row r="5412" spans="1:20" x14ac:dyDescent="0.2">
      <c r="A5412" s="9" t="s">
        <v>483</v>
      </c>
      <c r="B5412" s="9" t="s">
        <v>808</v>
      </c>
      <c r="C5412" s="3">
        <v>117033</v>
      </c>
      <c r="D5412" s="3" t="s">
        <v>929</v>
      </c>
      <c r="E5412" s="4"/>
      <c r="F5412" s="3" t="s">
        <v>120</v>
      </c>
      <c r="G5412" s="9">
        <v>0</v>
      </c>
      <c r="H5412" s="9">
        <v>0</v>
      </c>
      <c r="I5412" s="12"/>
      <c r="J5412" s="5" t="e">
        <f>SUM(SUMIFS(#REF!,#REF!,Planning[[#This Row],[Tipo de Tarea y especialidad]],#REF!,Planning[[#This Row],[Proyectos Reiwa]]),SUMIFS(#REF!,#REF!,Planning[[#This Row],[Tipo de Tarea y especialidad]],#REF!,Planning[[#This Row],[Proyectos]]))</f>
        <v>#REF!</v>
      </c>
      <c r="K5412" s="5" t="e">
        <f>+Planning[[#This Row],[Horas Planificadas]]+Planning[[#This Row],[Horas ajustadas adicionales]]-Planning[[#This Row],[Horas utilizadas]]</f>
        <v>#REF!</v>
      </c>
      <c r="L5412" s="7" t="e">
        <f>Planning[[#This Row],[Saldo]]</f>
        <v>#REF!</v>
      </c>
      <c r="M5412" s="19" t="e">
        <f>Planning[[#This Row],[Saldo]]-Planning[[#This Row],[Saldo estimado]]</f>
        <v>#REF!</v>
      </c>
      <c r="N5412" s="60" t="e">
        <f>+SUMIFS(#REF!,#REF!,Planning[[#This Row],[Proyectos]],#REF!,Planning[[#This Row],[Tipo de Tarea y especialidad]])+SUMIFS(#REF!,#REF!,Planning[[#This Row],[Proyectos Reiwa]],#REF!,Planning[[#This Row],[Tipo de Tarea y especialidad]])</f>
        <v>#REF!</v>
      </c>
      <c r="O5412" s="19">
        <f t="shared" si="169"/>
        <v>10</v>
      </c>
      <c r="P5412" s="19">
        <f t="shared" si="170"/>
        <v>2024</v>
      </c>
      <c r="Q54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12" s="34" t="str">
        <f>TEXT(Planning[[#This Row],[Mes]]*29,"mmmm")</f>
        <v>October</v>
      </c>
      <c r="S541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12" s="104"/>
    </row>
    <row r="5413" spans="1:20" x14ac:dyDescent="0.2">
      <c r="A5413" s="9" t="s">
        <v>483</v>
      </c>
      <c r="B5413" s="9" t="s">
        <v>808</v>
      </c>
      <c r="C5413" s="3">
        <v>117033</v>
      </c>
      <c r="D5413" s="3" t="s">
        <v>929</v>
      </c>
      <c r="E5413" s="4"/>
      <c r="F5413" s="3" t="s">
        <v>121</v>
      </c>
      <c r="G5413" s="9">
        <v>0</v>
      </c>
      <c r="H5413" s="9">
        <v>0</v>
      </c>
      <c r="I5413" s="12"/>
      <c r="J5413" s="5" t="e">
        <f>SUM(SUMIFS(#REF!,#REF!,Planning[[#This Row],[Tipo de Tarea y especialidad]],#REF!,Planning[[#This Row],[Proyectos Reiwa]]),SUMIFS(#REF!,#REF!,Planning[[#This Row],[Tipo de Tarea y especialidad]],#REF!,Planning[[#This Row],[Proyectos]]))</f>
        <v>#REF!</v>
      </c>
      <c r="K5413" s="5" t="e">
        <f>+Planning[[#This Row],[Horas Planificadas]]+Planning[[#This Row],[Horas ajustadas adicionales]]-Planning[[#This Row],[Horas utilizadas]]</f>
        <v>#REF!</v>
      </c>
      <c r="L5413" s="7" t="e">
        <f>Planning[[#This Row],[Saldo]]</f>
        <v>#REF!</v>
      </c>
      <c r="M5413" s="19" t="e">
        <f>Planning[[#This Row],[Saldo]]-Planning[[#This Row],[Saldo estimado]]</f>
        <v>#REF!</v>
      </c>
      <c r="N5413" s="60" t="e">
        <f>+SUMIFS(#REF!,#REF!,Planning[[#This Row],[Proyectos]],#REF!,Planning[[#This Row],[Tipo de Tarea y especialidad]])+SUMIFS(#REF!,#REF!,Planning[[#This Row],[Proyectos Reiwa]],#REF!,Planning[[#This Row],[Tipo de Tarea y especialidad]])</f>
        <v>#REF!</v>
      </c>
      <c r="O5413" s="19">
        <f t="shared" si="169"/>
        <v>10</v>
      </c>
      <c r="P5413" s="19">
        <f t="shared" si="170"/>
        <v>2024</v>
      </c>
      <c r="Q54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13" s="34" t="str">
        <f>TEXT(Planning[[#This Row],[Mes]]*29,"mmmm")</f>
        <v>October</v>
      </c>
      <c r="S541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13" s="104" t="s">
        <v>931</v>
      </c>
    </row>
    <row r="5414" spans="1:20" x14ac:dyDescent="0.2">
      <c r="A5414" s="9" t="s">
        <v>483</v>
      </c>
      <c r="B5414" s="9" t="s">
        <v>808</v>
      </c>
      <c r="C5414" s="3">
        <v>117033</v>
      </c>
      <c r="D5414" s="3" t="s">
        <v>929</v>
      </c>
      <c r="E5414" s="4" t="s">
        <v>30</v>
      </c>
      <c r="F5414" s="3"/>
      <c r="G5414" s="9">
        <f>+G5417+G5421</f>
        <v>72</v>
      </c>
      <c r="H5414" s="14">
        <f>SUM(H5415:H5421)</f>
        <v>117</v>
      </c>
      <c r="I5414" s="14"/>
      <c r="J5414" s="14" t="e">
        <f>SUM(J5415:J5421)</f>
        <v>#REF!</v>
      </c>
      <c r="K5414" s="14" t="e">
        <f>+Planning[[#This Row],[Horas Planificadas]]+Planning[[#This Row],[Horas ajustadas adicionales]]-Planning[[#This Row],[Horas utilizadas]]</f>
        <v>#REF!</v>
      </c>
      <c r="L5414" s="15" t="e">
        <f>SUM(L5415:L5421)</f>
        <v>#REF!</v>
      </c>
      <c r="M5414" s="16" t="e">
        <f>SUM(M5415:M5421)</f>
        <v>#REF!</v>
      </c>
      <c r="N5414" s="60" t="e">
        <f>+SUMIFS(#REF!,#REF!,Planning[[#This Row],[Proyectos]],#REF!,Planning[[#This Row],[Tipo de Tarea y especialidad]])+SUMIFS(#REF!,#REF!,Planning[[#This Row],[Proyectos Reiwa]],#REF!,Planning[[#This Row],[Tipo de Tarea y especialidad]])</f>
        <v>#REF!</v>
      </c>
      <c r="O5414" s="16">
        <f t="shared" si="169"/>
        <v>10</v>
      </c>
      <c r="P5414" s="16">
        <f t="shared" si="170"/>
        <v>2024</v>
      </c>
      <c r="Q5414" s="16" t="e">
        <f>SUM(Q5415:Q5421)</f>
        <v>#REF!</v>
      </c>
      <c r="R5414" s="35" t="str">
        <f>TEXT(Planning[[#This Row],[Mes]]*29,"mmmm")</f>
        <v>October</v>
      </c>
      <c r="S541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14" s="104" t="s">
        <v>932</v>
      </c>
    </row>
    <row r="5415" spans="1:20" x14ac:dyDescent="0.2">
      <c r="A5415" s="9" t="s">
        <v>483</v>
      </c>
      <c r="B5415" s="9" t="s">
        <v>808</v>
      </c>
      <c r="C5415" s="3">
        <v>117033</v>
      </c>
      <c r="D5415" s="3" t="s">
        <v>929</v>
      </c>
      <c r="E5415" s="4"/>
      <c r="F5415" s="3" t="s">
        <v>122</v>
      </c>
      <c r="G5415" s="9"/>
      <c r="H5415" s="9"/>
      <c r="I5415" s="12"/>
      <c r="J5415" s="5" t="e">
        <f>SUM(SUMIFS(#REF!,#REF!,Planning[[#This Row],[Tipo de Tarea y especialidad]],#REF!,Planning[[#This Row],[Proyectos Reiwa]]),SUMIFS(#REF!,#REF!,Planning[[#This Row],[Tipo de Tarea y especialidad]],#REF!,Planning[[#This Row],[Proyectos]]))</f>
        <v>#REF!</v>
      </c>
      <c r="K5415" s="5" t="e">
        <f>+Planning[[#This Row],[Horas Planificadas]]+Planning[[#This Row],[Horas ajustadas adicionales]]-Planning[[#This Row],[Horas utilizadas]]</f>
        <v>#REF!</v>
      </c>
      <c r="L5415" s="7" t="e">
        <f>Planning[[#This Row],[Saldo]]</f>
        <v>#REF!</v>
      </c>
      <c r="M5415" s="19" t="e">
        <f>Planning[[#This Row],[Saldo]]-Planning[[#This Row],[Saldo estimado]]</f>
        <v>#REF!</v>
      </c>
      <c r="N5415" s="60" t="e">
        <f>+SUMIFS(#REF!,#REF!,Planning[[#This Row],[Proyectos]],#REF!,Planning[[#This Row],[Tipo de Tarea y especialidad]])+SUMIFS(#REF!,#REF!,Planning[[#This Row],[Proyectos Reiwa]],#REF!,Planning[[#This Row],[Tipo de Tarea y especialidad]])</f>
        <v>#REF!</v>
      </c>
      <c r="O5415" s="19">
        <f t="shared" si="169"/>
        <v>10</v>
      </c>
      <c r="P5415" s="19">
        <f t="shared" si="170"/>
        <v>2024</v>
      </c>
      <c r="Q54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15" s="34" t="str">
        <f>TEXT(Planning[[#This Row],[Mes]]*29,"mmmm")</f>
        <v>October</v>
      </c>
      <c r="S541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15" s="104"/>
    </row>
    <row r="5416" spans="1:20" x14ac:dyDescent="0.2">
      <c r="A5416" s="9" t="s">
        <v>483</v>
      </c>
      <c r="B5416" s="9" t="s">
        <v>808</v>
      </c>
      <c r="C5416" s="3">
        <v>117033</v>
      </c>
      <c r="D5416" s="3" t="s">
        <v>929</v>
      </c>
      <c r="E5416" s="4"/>
      <c r="F5416" s="3" t="s">
        <v>123</v>
      </c>
      <c r="G5416" s="9"/>
      <c r="H5416" s="9">
        <v>0</v>
      </c>
      <c r="I5416" s="12"/>
      <c r="J5416" s="5" t="e">
        <f>SUM(SUMIFS(#REF!,#REF!,Planning[[#This Row],[Tipo de Tarea y especialidad]],#REF!,Planning[[#This Row],[Proyectos Reiwa]]),SUMIFS(#REF!,#REF!,Planning[[#This Row],[Tipo de Tarea y especialidad]],#REF!,Planning[[#This Row],[Proyectos]]))</f>
        <v>#REF!</v>
      </c>
      <c r="K5416" s="5" t="e">
        <f>+Planning[[#This Row],[Horas Planificadas]]+Planning[[#This Row],[Horas ajustadas adicionales]]-Planning[[#This Row],[Horas utilizadas]]</f>
        <v>#REF!</v>
      </c>
      <c r="L5416" s="7" t="e">
        <f>Planning[[#This Row],[Saldo]]</f>
        <v>#REF!</v>
      </c>
      <c r="M5416" s="19" t="e">
        <f>Planning[[#This Row],[Saldo]]-Planning[[#This Row],[Saldo estimado]]</f>
        <v>#REF!</v>
      </c>
      <c r="N5416" s="60" t="e">
        <f>+SUMIFS(#REF!,#REF!,Planning[[#This Row],[Proyectos]],#REF!,Planning[[#This Row],[Tipo de Tarea y especialidad]])+SUMIFS(#REF!,#REF!,Planning[[#This Row],[Proyectos Reiwa]],#REF!,Planning[[#This Row],[Tipo de Tarea y especialidad]])</f>
        <v>#REF!</v>
      </c>
      <c r="O5416" s="19">
        <f t="shared" si="169"/>
        <v>10</v>
      </c>
      <c r="P5416" s="19">
        <f t="shared" si="170"/>
        <v>2024</v>
      </c>
      <c r="Q54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16" s="34" t="str">
        <f>TEXT(Planning[[#This Row],[Mes]]*29,"mmmm")</f>
        <v>October</v>
      </c>
      <c r="S541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16" s="104" t="s">
        <v>933</v>
      </c>
    </row>
    <row r="5417" spans="1:20" x14ac:dyDescent="0.2">
      <c r="A5417" s="9" t="s">
        <v>483</v>
      </c>
      <c r="B5417" s="9" t="s">
        <v>808</v>
      </c>
      <c r="C5417" s="3">
        <v>117033</v>
      </c>
      <c r="D5417" s="3" t="s">
        <v>929</v>
      </c>
      <c r="E5417" s="4"/>
      <c r="F5417" s="3" t="s">
        <v>124</v>
      </c>
      <c r="G5417" s="9">
        <v>72</v>
      </c>
      <c r="H5417" s="9">
        <v>90</v>
      </c>
      <c r="I5417" s="12"/>
      <c r="J5417" s="5" t="e">
        <f>SUM(SUMIFS(#REF!,#REF!,Planning[[#This Row],[Tipo de Tarea y especialidad]],#REF!,Planning[[#This Row],[Proyectos Reiwa]]),SUMIFS(#REF!,#REF!,Planning[[#This Row],[Tipo de Tarea y especialidad]],#REF!,Planning[[#This Row],[Proyectos]]))</f>
        <v>#REF!</v>
      </c>
      <c r="K5417" s="5" t="e">
        <f>+Planning[[#This Row],[Horas Planificadas]]+Planning[[#This Row],[Horas ajustadas adicionales]]-Planning[[#This Row],[Horas utilizadas]]</f>
        <v>#REF!</v>
      </c>
      <c r="L5417" s="7" t="e">
        <f>Planning[[#This Row],[Saldo]]</f>
        <v>#REF!</v>
      </c>
      <c r="M5417" s="19" t="e">
        <f>Planning[[#This Row],[Saldo]]-Planning[[#This Row],[Saldo estimado]]</f>
        <v>#REF!</v>
      </c>
      <c r="N5417" s="60" t="e">
        <f>+SUMIFS(#REF!,#REF!,Planning[[#This Row],[Proyectos]],#REF!,Planning[[#This Row],[Tipo de Tarea y especialidad]])+SUMIFS(#REF!,#REF!,Planning[[#This Row],[Proyectos Reiwa]],#REF!,Planning[[#This Row],[Tipo de Tarea y especialidad]])</f>
        <v>#REF!</v>
      </c>
      <c r="O5417" s="19">
        <f t="shared" si="169"/>
        <v>10</v>
      </c>
      <c r="P5417" s="19">
        <f t="shared" si="170"/>
        <v>2024</v>
      </c>
      <c r="Q54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17" s="34" t="str">
        <f>TEXT(Planning[[#This Row],[Mes]]*29,"mmmm")</f>
        <v>October</v>
      </c>
      <c r="S541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17" s="104" t="s">
        <v>934</v>
      </c>
    </row>
    <row r="5418" spans="1:20" ht="14.1" customHeight="1" x14ac:dyDescent="0.2">
      <c r="A5418" s="9" t="s">
        <v>483</v>
      </c>
      <c r="B5418" s="9" t="s">
        <v>808</v>
      </c>
      <c r="C5418" s="3">
        <v>117033</v>
      </c>
      <c r="D5418" s="3" t="s">
        <v>929</v>
      </c>
      <c r="E5418" s="4"/>
      <c r="F5418" s="3" t="s">
        <v>125</v>
      </c>
      <c r="G5418" s="9"/>
      <c r="H5418" s="9">
        <v>27</v>
      </c>
      <c r="I5418" s="12"/>
      <c r="J5418" s="5" t="e">
        <f>SUM(SUMIFS(#REF!,#REF!,Planning[[#This Row],[Tipo de Tarea y especialidad]],#REF!,Planning[[#This Row],[Proyectos Reiwa]]),SUMIFS(#REF!,#REF!,Planning[[#This Row],[Tipo de Tarea y especialidad]],#REF!,Planning[[#This Row],[Proyectos]]))</f>
        <v>#REF!</v>
      </c>
      <c r="K5418" s="5" t="e">
        <f>+Planning[[#This Row],[Horas Planificadas]]+Planning[[#This Row],[Horas ajustadas adicionales]]-Planning[[#This Row],[Horas utilizadas]]</f>
        <v>#REF!</v>
      </c>
      <c r="L5418" s="7" t="e">
        <f>Planning[[#This Row],[Saldo]]</f>
        <v>#REF!</v>
      </c>
      <c r="M5418" s="19" t="e">
        <f>Planning[[#This Row],[Saldo]]-Planning[[#This Row],[Saldo estimado]]</f>
        <v>#REF!</v>
      </c>
      <c r="N5418" s="60" t="e">
        <f>+SUMIFS(#REF!,#REF!,Planning[[#This Row],[Proyectos]],#REF!,Planning[[#This Row],[Tipo de Tarea y especialidad]])+SUMIFS(#REF!,#REF!,Planning[[#This Row],[Proyectos Reiwa]],#REF!,Planning[[#This Row],[Tipo de Tarea y especialidad]])</f>
        <v>#REF!</v>
      </c>
      <c r="O5418" s="19">
        <f t="shared" si="169"/>
        <v>10</v>
      </c>
      <c r="P5418" s="19">
        <f t="shared" si="170"/>
        <v>2024</v>
      </c>
      <c r="Q54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18" s="34" t="str">
        <f>TEXT(Planning[[#This Row],[Mes]]*29,"mmmm")</f>
        <v>October</v>
      </c>
      <c r="S541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18" s="104" t="s">
        <v>935</v>
      </c>
    </row>
    <row r="5419" spans="1:20" x14ac:dyDescent="0.2">
      <c r="A5419" s="9" t="s">
        <v>483</v>
      </c>
      <c r="B5419" s="9" t="s">
        <v>808</v>
      </c>
      <c r="C5419" s="3">
        <v>117033</v>
      </c>
      <c r="D5419" s="3" t="s">
        <v>929</v>
      </c>
      <c r="E5419" s="4"/>
      <c r="F5419" s="3" t="s">
        <v>126</v>
      </c>
      <c r="G5419" s="9"/>
      <c r="H5419" s="9"/>
      <c r="I5419" s="12"/>
      <c r="J5419" s="5" t="e">
        <f>SUM(SUMIFS(#REF!,#REF!,Planning[[#This Row],[Tipo de Tarea y especialidad]],#REF!,Planning[[#This Row],[Proyectos Reiwa]]),SUMIFS(#REF!,#REF!,Planning[[#This Row],[Tipo de Tarea y especialidad]],#REF!,Planning[[#This Row],[Proyectos]]))</f>
        <v>#REF!</v>
      </c>
      <c r="K5419" s="5" t="e">
        <f>+Planning[[#This Row],[Horas Planificadas]]+Planning[[#This Row],[Horas ajustadas adicionales]]-Planning[[#This Row],[Horas utilizadas]]</f>
        <v>#REF!</v>
      </c>
      <c r="L5419" s="7" t="e">
        <f>Planning[[#This Row],[Saldo]]</f>
        <v>#REF!</v>
      </c>
      <c r="M5419" s="19" t="e">
        <f>Planning[[#This Row],[Saldo]]-Planning[[#This Row],[Saldo estimado]]</f>
        <v>#REF!</v>
      </c>
      <c r="N5419" s="60" t="e">
        <f>+SUMIFS(#REF!,#REF!,Planning[[#This Row],[Proyectos]],#REF!,Planning[[#This Row],[Tipo de Tarea y especialidad]])+SUMIFS(#REF!,#REF!,Planning[[#This Row],[Proyectos Reiwa]],#REF!,Planning[[#This Row],[Tipo de Tarea y especialidad]])</f>
        <v>#REF!</v>
      </c>
      <c r="O5419" s="19">
        <f t="shared" si="169"/>
        <v>10</v>
      </c>
      <c r="P5419" s="19">
        <f t="shared" si="170"/>
        <v>2024</v>
      </c>
      <c r="Q54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19" s="34" t="str">
        <f>TEXT(Planning[[#This Row],[Mes]]*29,"mmmm")</f>
        <v>October</v>
      </c>
      <c r="S541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19" s="104" t="s">
        <v>936</v>
      </c>
    </row>
    <row r="5420" spans="1:20" x14ac:dyDescent="0.2">
      <c r="A5420" s="9" t="s">
        <v>483</v>
      </c>
      <c r="B5420" s="9" t="s">
        <v>808</v>
      </c>
      <c r="C5420" s="3">
        <v>117033</v>
      </c>
      <c r="D5420" s="3" t="s">
        <v>929</v>
      </c>
      <c r="E5420" s="4"/>
      <c r="F5420" s="3" t="s">
        <v>127</v>
      </c>
      <c r="G5420" s="9"/>
      <c r="H5420" s="9"/>
      <c r="I5420" s="12"/>
      <c r="J5420" s="5" t="e">
        <f>SUM(SUMIFS(#REF!,#REF!,Planning[[#This Row],[Tipo de Tarea y especialidad]],#REF!,Planning[[#This Row],[Proyectos Reiwa]]),SUMIFS(#REF!,#REF!,Planning[[#This Row],[Tipo de Tarea y especialidad]],#REF!,Planning[[#This Row],[Proyectos]]))</f>
        <v>#REF!</v>
      </c>
      <c r="K5420" s="5" t="e">
        <f>+Planning[[#This Row],[Horas Planificadas]]+Planning[[#This Row],[Horas ajustadas adicionales]]-Planning[[#This Row],[Horas utilizadas]]</f>
        <v>#REF!</v>
      </c>
      <c r="L5420" s="7">
        <v>0</v>
      </c>
      <c r="M5420" s="19" t="e">
        <f>Planning[[#This Row],[Saldo]]-Planning[[#This Row],[Saldo estimado]]</f>
        <v>#REF!</v>
      </c>
      <c r="N5420" s="60" t="e">
        <f>+SUMIFS(#REF!,#REF!,Planning[[#This Row],[Proyectos]],#REF!,Planning[[#This Row],[Tipo de Tarea y especialidad]])+SUMIFS(#REF!,#REF!,Planning[[#This Row],[Proyectos Reiwa]],#REF!,Planning[[#This Row],[Tipo de Tarea y especialidad]])</f>
        <v>#REF!</v>
      </c>
      <c r="O5420" s="19">
        <f t="shared" si="169"/>
        <v>10</v>
      </c>
      <c r="P5420" s="19">
        <f t="shared" si="170"/>
        <v>2024</v>
      </c>
      <c r="Q54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20" s="34" t="str">
        <f>TEXT(Planning[[#This Row],[Mes]]*29,"mmmm")</f>
        <v>October</v>
      </c>
      <c r="S542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20" s="104" t="s">
        <v>937</v>
      </c>
    </row>
    <row r="5421" spans="1:20" x14ac:dyDescent="0.2">
      <c r="A5421" s="9" t="s">
        <v>483</v>
      </c>
      <c r="B5421" s="9" t="s">
        <v>808</v>
      </c>
      <c r="C5421" s="3">
        <v>117033</v>
      </c>
      <c r="D5421" s="3" t="s">
        <v>929</v>
      </c>
      <c r="E5421" s="4"/>
      <c r="F5421" s="3" t="s">
        <v>128</v>
      </c>
      <c r="G5421" s="9">
        <v>0</v>
      </c>
      <c r="H5421" s="9">
        <v>0</v>
      </c>
      <c r="I5421" s="12"/>
      <c r="J5421" s="5" t="e">
        <f>SUM(SUMIFS(#REF!,#REF!,Planning[[#This Row],[Tipo de Tarea y especialidad]],#REF!,Planning[[#This Row],[Proyectos Reiwa]]),SUMIFS(#REF!,#REF!,Planning[[#This Row],[Tipo de Tarea y especialidad]],#REF!,Planning[[#This Row],[Proyectos]]))</f>
        <v>#REF!</v>
      </c>
      <c r="K5421" s="5" t="e">
        <f>+Planning[[#This Row],[Horas Planificadas]]+Planning[[#This Row],[Horas ajustadas adicionales]]-Planning[[#This Row],[Horas utilizadas]]</f>
        <v>#REF!</v>
      </c>
      <c r="L5421" s="7" t="e">
        <f>Planning[[#This Row],[Saldo]]</f>
        <v>#REF!</v>
      </c>
      <c r="M5421" s="19" t="e">
        <f>Planning[[#This Row],[Saldo]]-Planning[[#This Row],[Saldo estimado]]</f>
        <v>#REF!</v>
      </c>
      <c r="N5421" s="60" t="e">
        <f>+SUMIFS(#REF!,#REF!,Planning[[#This Row],[Proyectos]],#REF!,Planning[[#This Row],[Tipo de Tarea y especialidad]])+SUMIFS(#REF!,#REF!,Planning[[#This Row],[Proyectos Reiwa]],#REF!,Planning[[#This Row],[Tipo de Tarea y especialidad]])</f>
        <v>#REF!</v>
      </c>
      <c r="O5421" s="19">
        <f t="shared" si="169"/>
        <v>10</v>
      </c>
      <c r="P5421" s="19">
        <f t="shared" si="170"/>
        <v>2024</v>
      </c>
      <c r="Q54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21" s="34" t="str">
        <f>TEXT(Planning[[#This Row],[Mes]]*29,"mmmm")</f>
        <v>October</v>
      </c>
      <c r="S542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21" s="104"/>
    </row>
    <row r="5422" spans="1:20" x14ac:dyDescent="0.2">
      <c r="A5422" s="9" t="s">
        <v>483</v>
      </c>
      <c r="B5422" s="9" t="s">
        <v>808</v>
      </c>
      <c r="C5422" s="3">
        <v>117033</v>
      </c>
      <c r="D5422" s="3" t="s">
        <v>929</v>
      </c>
      <c r="E5422" s="4" t="s">
        <v>31</v>
      </c>
      <c r="F5422" s="3" t="s">
        <v>31</v>
      </c>
      <c r="G5422" s="9">
        <v>36</v>
      </c>
      <c r="H5422" s="17">
        <v>36</v>
      </c>
      <c r="I5422" s="18"/>
      <c r="J5422" s="14" t="e">
        <f>+SUMIFS(#REF!,#REF!,Planning[[#This Row],[Tarifa]],#REF!,Planning[[#This Row],[Proyectos]])</f>
        <v>#REF!</v>
      </c>
      <c r="K5422" s="14" t="e">
        <f>+Planning[[#This Row],[Horas Planificadas]]+Planning[[#This Row],[Horas ajustadas adicionales]]-Planning[[#This Row],[Horas utilizadas]]</f>
        <v>#REF!</v>
      </c>
      <c r="L5422" s="15" t="e">
        <f>Planning[[#This Row],[Saldo]]</f>
        <v>#REF!</v>
      </c>
      <c r="M5422" s="16" t="e">
        <f>Planning[[#This Row],[Saldo]]-Planning[[#This Row],[Saldo estimado]]</f>
        <v>#REF!</v>
      </c>
      <c r="N5422" s="60" t="e">
        <f>+SUMIFS(#REF!,#REF!,Planning[[#This Row],[Proyectos]],#REF!,Planning[[#This Row],[Tipo de Tarea y especialidad]])+SUMIFS(#REF!,#REF!,Planning[[#This Row],[Proyectos Reiwa]],#REF!,Planning[[#This Row],[Tipo de Tarea y especialidad]])</f>
        <v>#REF!</v>
      </c>
      <c r="O5422" s="16">
        <f t="shared" si="169"/>
        <v>10</v>
      </c>
      <c r="P5422" s="16">
        <f t="shared" si="170"/>
        <v>2024</v>
      </c>
      <c r="Q5422" s="16" t="e">
        <f>+SUMIFS(#REF!,#REF!,Planning[[#This Row],[Tarifa]],#REF!,Planning[[#This Row],[Proyectos]],#REF!,Planning[[#This Row],[Mes]],#REF!,Planning[[#This Row],[Año]])</f>
        <v>#REF!</v>
      </c>
      <c r="R5422" s="35" t="str">
        <f>TEXT(Planning[[#This Row],[Mes]]*29,"mmmm")</f>
        <v>October</v>
      </c>
      <c r="S542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22" s="104"/>
    </row>
    <row r="5423" spans="1:20" ht="22.5" x14ac:dyDescent="0.2">
      <c r="A5423" s="9" t="s">
        <v>483</v>
      </c>
      <c r="B5423" s="9" t="s">
        <v>808</v>
      </c>
      <c r="C5423" s="3">
        <v>117033</v>
      </c>
      <c r="D5423" s="3" t="s">
        <v>929</v>
      </c>
      <c r="E5423" s="4" t="s">
        <v>32</v>
      </c>
      <c r="F5423" s="3"/>
      <c r="G5423" s="9">
        <f>+G5424+G5425+G5426</f>
        <v>90</v>
      </c>
      <c r="H5423" s="14">
        <f>SUM(H5424:H5426)</f>
        <v>160</v>
      </c>
      <c r="I5423" s="14"/>
      <c r="J5423" s="14" t="e">
        <f>SUM(J5424:J5426)</f>
        <v>#REF!</v>
      </c>
      <c r="K5423" s="14" t="e">
        <f>+Planning[[#This Row],[Horas Planificadas]]+Planning[[#This Row],[Horas ajustadas adicionales]]-Planning[[#This Row],[Horas utilizadas]]</f>
        <v>#REF!</v>
      </c>
      <c r="L5423" s="15" t="e">
        <f>SUM(L5424:L5426)</f>
        <v>#REF!</v>
      </c>
      <c r="M5423" s="16" t="e">
        <f>SUM(M5424:M5426)</f>
        <v>#REF!</v>
      </c>
      <c r="N5423" s="60" t="e">
        <f>+SUMIFS(#REF!,#REF!,Planning[[#This Row],[Proyectos]],#REF!,Planning[[#This Row],[Tipo de Tarea y especialidad]])+SUMIFS(#REF!,#REF!,Planning[[#This Row],[Proyectos Reiwa]],#REF!,Planning[[#This Row],[Tipo de Tarea y especialidad]])</f>
        <v>#REF!</v>
      </c>
      <c r="O5423" s="16">
        <f t="shared" si="169"/>
        <v>10</v>
      </c>
      <c r="P5423" s="16">
        <f t="shared" si="170"/>
        <v>2024</v>
      </c>
      <c r="Q5423" s="16" t="e">
        <f>SUM(Q5424:Q5426)</f>
        <v>#REF!</v>
      </c>
      <c r="R5423" s="35" t="str">
        <f>TEXT(Planning[[#This Row],[Mes]]*29,"mmmm")</f>
        <v>October</v>
      </c>
      <c r="S542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23" s="104"/>
    </row>
    <row r="5424" spans="1:20" x14ac:dyDescent="0.2">
      <c r="A5424" s="9" t="s">
        <v>483</v>
      </c>
      <c r="B5424" s="9" t="s">
        <v>808</v>
      </c>
      <c r="C5424" s="3">
        <v>117033</v>
      </c>
      <c r="D5424" s="3" t="s">
        <v>929</v>
      </c>
      <c r="E5424" s="4"/>
      <c r="F5424" s="3" t="s">
        <v>129</v>
      </c>
      <c r="G5424" s="9"/>
      <c r="H5424" s="9">
        <v>0</v>
      </c>
      <c r="I5424" s="12"/>
      <c r="J5424" s="5" t="e">
        <f>SUM(SUMIFS(#REF!,#REF!,Planning[[#This Row],[Tipo de Tarea y especialidad]],#REF!,Planning[[#This Row],[Proyectos Reiwa]]),SUMIFS(#REF!,#REF!,Planning[[#This Row],[Tipo de Tarea y especialidad]],#REF!,Planning[[#This Row],[Proyectos]]))</f>
        <v>#REF!</v>
      </c>
      <c r="K5424" s="5" t="e">
        <f>+Planning[[#This Row],[Horas Planificadas]]+Planning[[#This Row],[Horas ajustadas adicionales]]-Planning[[#This Row],[Horas utilizadas]]</f>
        <v>#REF!</v>
      </c>
      <c r="L5424" s="7" t="e">
        <f>Planning[[#This Row],[Saldo]]</f>
        <v>#REF!</v>
      </c>
      <c r="M5424" s="19" t="e">
        <f>Planning[[#This Row],[Saldo]]-Planning[[#This Row],[Saldo estimado]]</f>
        <v>#REF!</v>
      </c>
      <c r="N5424" s="60" t="e">
        <f>+SUMIFS(#REF!,#REF!,Planning[[#This Row],[Proyectos]],#REF!,Planning[[#This Row],[Tipo de Tarea y especialidad]])+SUMIFS(#REF!,#REF!,Planning[[#This Row],[Proyectos Reiwa]],#REF!,Planning[[#This Row],[Tipo de Tarea y especialidad]])</f>
        <v>#REF!</v>
      </c>
      <c r="O5424" s="19">
        <f t="shared" si="169"/>
        <v>10</v>
      </c>
      <c r="P5424" s="19">
        <f t="shared" si="170"/>
        <v>2024</v>
      </c>
      <c r="Q54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24" s="34" t="str">
        <f>TEXT(Planning[[#This Row],[Mes]]*29,"mmmm")</f>
        <v>October</v>
      </c>
      <c r="S542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24" s="104"/>
    </row>
    <row r="5425" spans="1:23" x14ac:dyDescent="0.2">
      <c r="A5425" s="9" t="s">
        <v>483</v>
      </c>
      <c r="B5425" s="9" t="s">
        <v>808</v>
      </c>
      <c r="C5425" s="3">
        <v>117033</v>
      </c>
      <c r="D5425" s="3" t="s">
        <v>929</v>
      </c>
      <c r="E5425" s="4"/>
      <c r="F5425" s="3" t="s">
        <v>130</v>
      </c>
      <c r="G5425" s="9"/>
      <c r="H5425" s="9">
        <v>0</v>
      </c>
      <c r="I5425" s="12"/>
      <c r="J5425" s="5" t="e">
        <f>SUM(SUMIFS(#REF!,#REF!,Planning[[#This Row],[Tipo de Tarea y especialidad]],#REF!,Planning[[#This Row],[Proyectos Reiwa]]),SUMIFS(#REF!,#REF!,Planning[[#This Row],[Tipo de Tarea y especialidad]],#REF!,Planning[[#This Row],[Proyectos]]))</f>
        <v>#REF!</v>
      </c>
      <c r="K5425" s="5" t="e">
        <f>+Planning[[#This Row],[Horas Planificadas]]+Planning[[#This Row],[Horas ajustadas adicionales]]-Planning[[#This Row],[Horas utilizadas]]</f>
        <v>#REF!</v>
      </c>
      <c r="L5425" s="7" t="e">
        <f>Planning[[#This Row],[Saldo]]</f>
        <v>#REF!</v>
      </c>
      <c r="M5425" s="19" t="e">
        <f>Planning[[#This Row],[Saldo]]-Planning[[#This Row],[Saldo estimado]]</f>
        <v>#REF!</v>
      </c>
      <c r="N5425" s="60" t="e">
        <f>+SUMIFS(#REF!,#REF!,Planning[[#This Row],[Proyectos]],#REF!,Planning[[#This Row],[Tipo de Tarea y especialidad]])+SUMIFS(#REF!,#REF!,Planning[[#This Row],[Proyectos Reiwa]],#REF!,Planning[[#This Row],[Tipo de Tarea y especialidad]])</f>
        <v>#REF!</v>
      </c>
      <c r="O5425" s="19">
        <f t="shared" si="169"/>
        <v>10</v>
      </c>
      <c r="P5425" s="19">
        <f t="shared" si="170"/>
        <v>2024</v>
      </c>
      <c r="Q54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25" s="34" t="str">
        <f>TEXT(Planning[[#This Row],[Mes]]*29,"mmmm")</f>
        <v>October</v>
      </c>
      <c r="S542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25" s="104"/>
    </row>
    <row r="5426" spans="1:23" x14ac:dyDescent="0.2">
      <c r="A5426" s="9" t="s">
        <v>483</v>
      </c>
      <c r="B5426" s="9" t="s">
        <v>808</v>
      </c>
      <c r="C5426" s="3">
        <v>117033</v>
      </c>
      <c r="D5426" s="3" t="s">
        <v>929</v>
      </c>
      <c r="E5426" s="4"/>
      <c r="F5426" s="3" t="s">
        <v>131</v>
      </c>
      <c r="G5426" s="9">
        <v>90</v>
      </c>
      <c r="H5426" s="9">
        <v>160</v>
      </c>
      <c r="I5426" s="12"/>
      <c r="J5426" s="5" t="e">
        <f>SUM(SUMIFS(#REF!,#REF!,Planning[[#This Row],[Tipo de Tarea y especialidad]],#REF!,Planning[[#This Row],[Proyectos Reiwa]]),SUMIFS(#REF!,#REF!,Planning[[#This Row],[Tipo de Tarea y especialidad]],#REF!,Planning[[#This Row],[Proyectos]]))</f>
        <v>#REF!</v>
      </c>
      <c r="K5426" s="5" t="e">
        <f>+Planning[[#This Row],[Horas Planificadas]]+Planning[[#This Row],[Horas ajustadas adicionales]]-Planning[[#This Row],[Horas utilizadas]]</f>
        <v>#REF!</v>
      </c>
      <c r="L5426" s="7" t="e">
        <f>Planning[[#This Row],[Saldo]]</f>
        <v>#REF!</v>
      </c>
      <c r="M5426" s="19" t="e">
        <f>Planning[[#This Row],[Saldo]]-Planning[[#This Row],[Saldo estimado]]</f>
        <v>#REF!</v>
      </c>
      <c r="N5426" s="60" t="e">
        <f>+SUMIFS(#REF!,#REF!,Planning[[#This Row],[Proyectos]],#REF!,Planning[[#This Row],[Tipo de Tarea y especialidad]])+SUMIFS(#REF!,#REF!,Planning[[#This Row],[Proyectos Reiwa]],#REF!,Planning[[#This Row],[Tipo de Tarea y especialidad]])</f>
        <v>#REF!</v>
      </c>
      <c r="O5426" s="19">
        <f t="shared" si="169"/>
        <v>10</v>
      </c>
      <c r="P5426" s="19">
        <f t="shared" si="170"/>
        <v>2024</v>
      </c>
      <c r="Q54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26" s="34" t="str">
        <f>TEXT(Planning[[#This Row],[Mes]]*29,"mmmm")</f>
        <v>October</v>
      </c>
      <c r="S542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26" s="105"/>
    </row>
    <row r="5427" spans="1:23" ht="13.35" customHeight="1" x14ac:dyDescent="0.2">
      <c r="A5427" s="81" t="s">
        <v>626</v>
      </c>
      <c r="B5427" s="81" t="s">
        <v>779</v>
      </c>
      <c r="C5427" s="3">
        <v>116939</v>
      </c>
      <c r="D5427" s="3" t="s">
        <v>938</v>
      </c>
      <c r="E5427" s="4" t="s">
        <v>28</v>
      </c>
      <c r="F5427" s="3"/>
      <c r="G5427" s="53"/>
      <c r="H5427" s="20">
        <v>701</v>
      </c>
      <c r="I5427" s="77"/>
      <c r="J5427" s="14" t="e">
        <f>SUM(J5428:J5429)</f>
        <v>#REF!</v>
      </c>
      <c r="K5427" s="76" t="e">
        <f>+Planning[[#This Row],[Horas Planificadas]]+Planning[[#This Row],[Horas ajustadas adicionales]]-Planning[[#This Row],[Horas utilizadas]]</f>
        <v>#REF!</v>
      </c>
      <c r="L5427" s="7" t="e">
        <f>SUM(L5428:L5429)</f>
        <v>#REF!</v>
      </c>
      <c r="M5427" s="19" t="e">
        <f>SUM(M5428:M5429)</f>
        <v>#REF!</v>
      </c>
      <c r="N5427" s="60" t="e">
        <f>+SUMIFS(#REF!,#REF!,Planning[[#This Row],[Proyectos]],#REF!,Planning[[#This Row],[Tipo de Tarea y especialidad]])+SUMIFS(#REF!,#REF!,Planning[[#This Row],[Proyectos Reiwa]],#REF!,Planning[[#This Row],[Tipo de Tarea y especialidad]])</f>
        <v>#REF!</v>
      </c>
      <c r="O5427" s="34">
        <f t="shared" ref="O5427:O5490" si="171">$L$4</f>
        <v>10</v>
      </c>
      <c r="P5427" s="34">
        <f t="shared" ref="P5427:P5490" si="172">$M$4</f>
        <v>2024</v>
      </c>
      <c r="Q5427" s="28" t="e">
        <f>SUM(Q5428:Q5429)</f>
        <v>#REF!</v>
      </c>
      <c r="R5427" s="14" t="str">
        <f>TEXT(Planning[[#This Row],[Mes]]*29,"mmmm")</f>
        <v>October</v>
      </c>
      <c r="S542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27" s="182" t="s">
        <v>939</v>
      </c>
      <c r="U5427" s="43" t="e">
        <f>IF(Planning[[#This Row],[Horas Planificadas]]&lt;&gt;0,+K5442/Planning[[#This Row],[Horas Planificadas]],0)</f>
        <v>#REF!</v>
      </c>
      <c r="V5427" s="43" t="e">
        <f>IF(Planning[[#This Row],[Horas Planificadas]]&lt;&gt;0,Planning[[#This Row],[Horas utilizadas]]/Planning[[#This Row],[Horas Planificadas]],0)</f>
        <v>#REF!</v>
      </c>
      <c r="W5427" s="44">
        <f>Planning[[#This Row],[Horas Planificadas]]+Planning[[#This Row],[Horas ajustadas adicionales]]</f>
        <v>701</v>
      </c>
    </row>
    <row r="5428" spans="1:23" ht="13.35" customHeight="1" x14ac:dyDescent="0.2">
      <c r="A5428" s="81" t="s">
        <v>626</v>
      </c>
      <c r="B5428" s="81" t="s">
        <v>779</v>
      </c>
      <c r="C5428" s="3">
        <v>116939</v>
      </c>
      <c r="D5428" s="3" t="s">
        <v>938</v>
      </c>
      <c r="E5428" s="4"/>
      <c r="F5428" s="3" t="s">
        <v>120</v>
      </c>
      <c r="G5428" s="53">
        <v>288</v>
      </c>
      <c r="H5428" s="20">
        <v>18</v>
      </c>
      <c r="I5428" s="77"/>
      <c r="J5428" s="5" t="e">
        <f>SUM(SUMIFS(#REF!,#REF!,Planning[[#This Row],[Tipo de Tarea y especialidad]],#REF!,Planning[[#This Row],[Proyectos Reiwa]]),SUMIFS(#REF!,#REF!,Planning[[#This Row],[Tipo de Tarea y especialidad]],#REF!,Planning[[#This Row],[Proyectos]]))</f>
        <v>#REF!</v>
      </c>
      <c r="K5428" s="78" t="e">
        <f>+Planning[[#This Row],[Horas Planificadas]]+Planning[[#This Row],[Horas ajustadas adicionales]]-Planning[[#This Row],[Horas utilizadas]]</f>
        <v>#REF!</v>
      </c>
      <c r="L5428" s="7" t="e">
        <f>Planning[[#This Row],[Saldo]]</f>
        <v>#REF!</v>
      </c>
      <c r="M5428" s="19" t="e">
        <f>Planning[[#This Row],[Saldo]]-Planning[[#This Row],[Saldo estimado]]</f>
        <v>#REF!</v>
      </c>
      <c r="N5428" s="60" t="e">
        <f>+SUMIFS(#REF!,#REF!,Planning[[#This Row],[Proyectos]],#REF!,Planning[[#This Row],[Tipo de Tarea y especialidad]])+SUMIFS(#REF!,#REF!,Planning[[#This Row],[Proyectos Reiwa]],#REF!,Planning[[#This Row],[Tipo de Tarea y especialidad]])</f>
        <v>#REF!</v>
      </c>
      <c r="O5428" s="19">
        <f t="shared" si="171"/>
        <v>10</v>
      </c>
      <c r="P5428" s="19">
        <f t="shared" si="172"/>
        <v>2024</v>
      </c>
      <c r="Q54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28" s="34" t="str">
        <f>TEXT(Planning[[#This Row],[Mes]]*29,"mmmm")</f>
        <v>October</v>
      </c>
      <c r="S542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28" s="183"/>
      <c r="U5428" s="43" t="e">
        <f>IF(Planning[[#This Row],[Horas Planificadas]]&lt;&gt;0,+K5443/Planning[[#This Row],[Horas Planificadas]],0)</f>
        <v>#REF!</v>
      </c>
      <c r="V5428" s="43" t="e">
        <f>IF(Planning[[#This Row],[Horas Planificadas]]&lt;&gt;0,Planning[[#This Row],[Horas utilizadas]]/Planning[[#This Row],[Horas Planificadas]],0)</f>
        <v>#REF!</v>
      </c>
      <c r="W5428" s="44">
        <f>Planning[[#This Row],[Horas Planificadas]]+Planning[[#This Row],[Horas ajustadas adicionales]]</f>
        <v>18</v>
      </c>
    </row>
    <row r="5429" spans="1:23" ht="13.35" customHeight="1" x14ac:dyDescent="0.2">
      <c r="A5429" s="81" t="s">
        <v>626</v>
      </c>
      <c r="B5429" s="81" t="s">
        <v>779</v>
      </c>
      <c r="C5429" s="3">
        <v>116939</v>
      </c>
      <c r="D5429" s="3" t="s">
        <v>938</v>
      </c>
      <c r="E5429" s="4"/>
      <c r="F5429" s="3" t="s">
        <v>121</v>
      </c>
      <c r="G5429" s="53">
        <v>315</v>
      </c>
      <c r="H5429" s="20">
        <v>683</v>
      </c>
      <c r="I5429" s="77"/>
      <c r="J5429" s="5" t="e">
        <f>SUM(SUMIFS(#REF!,#REF!,Planning[[#This Row],[Tipo de Tarea y especialidad]],#REF!,Planning[[#This Row],[Proyectos Reiwa]]),SUMIFS(#REF!,#REF!,Planning[[#This Row],[Tipo de Tarea y especialidad]],#REF!,Planning[[#This Row],[Proyectos]]))</f>
        <v>#REF!</v>
      </c>
      <c r="K5429" s="79" t="e">
        <f>+Planning[[#This Row],[Horas Planificadas]]+Planning[[#This Row],[Horas ajustadas adicionales]]-Planning[[#This Row],[Horas utilizadas]]</f>
        <v>#REF!</v>
      </c>
      <c r="L5429" s="7" t="e">
        <f>Planning[[#This Row],[Saldo]]</f>
        <v>#REF!</v>
      </c>
      <c r="M5429" s="19" t="e">
        <f>Planning[[#This Row],[Saldo]]-Planning[[#This Row],[Saldo estimado]]</f>
        <v>#REF!</v>
      </c>
      <c r="N5429" s="60" t="e">
        <f>+SUMIFS(#REF!,#REF!,Planning[[#This Row],[Proyectos]],#REF!,Planning[[#This Row],[Tipo de Tarea y especialidad]])+SUMIFS(#REF!,#REF!,Planning[[#This Row],[Proyectos Reiwa]],#REF!,Planning[[#This Row],[Tipo de Tarea y especialidad]])</f>
        <v>#REF!</v>
      </c>
      <c r="O5429" s="19">
        <f t="shared" si="171"/>
        <v>10</v>
      </c>
      <c r="P5429" s="19">
        <f t="shared" si="172"/>
        <v>2024</v>
      </c>
      <c r="Q54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29" s="34" t="str">
        <f>TEXT(Planning[[#This Row],[Mes]]*29,"mmmm")</f>
        <v>October</v>
      </c>
      <c r="S542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29" s="183"/>
      <c r="U5429" s="43" t="e">
        <f>IF(Planning[[#This Row],[Horas Planificadas]]&lt;&gt;0,+K5444/Planning[[#This Row],[Horas Planificadas]],0)</f>
        <v>#REF!</v>
      </c>
      <c r="V5429" s="43" t="e">
        <f>IF(Planning[[#This Row],[Horas Planificadas]]&lt;&gt;0,Planning[[#This Row],[Horas utilizadas]]/Planning[[#This Row],[Horas Planificadas]],0)</f>
        <v>#REF!</v>
      </c>
      <c r="W5429" s="44">
        <f>Planning[[#This Row],[Horas Planificadas]]+Planning[[#This Row],[Horas ajustadas adicionales]]</f>
        <v>683</v>
      </c>
    </row>
    <row r="5430" spans="1:23" ht="13.35" customHeight="1" x14ac:dyDescent="0.2">
      <c r="A5430" s="81" t="s">
        <v>626</v>
      </c>
      <c r="B5430" s="81" t="s">
        <v>779</v>
      </c>
      <c r="C5430" s="3">
        <v>116939</v>
      </c>
      <c r="D5430" s="3" t="s">
        <v>938</v>
      </c>
      <c r="E5430" s="4" t="s">
        <v>30</v>
      </c>
      <c r="F5430" s="3"/>
      <c r="G5430" s="53" t="s">
        <v>940</v>
      </c>
      <c r="H5430" s="20">
        <v>711</v>
      </c>
      <c r="I5430" s="77"/>
      <c r="J5430" s="14" t="e">
        <f>SUM(J5431:J5437)</f>
        <v>#REF!</v>
      </c>
      <c r="K5430" s="76" t="e">
        <f>+Planning[[#This Row],[Horas Planificadas]]+Planning[[#This Row],[Horas ajustadas adicionales]]-Planning[[#This Row],[Horas utilizadas]]</f>
        <v>#REF!</v>
      </c>
      <c r="L5430" s="7">
        <v>0</v>
      </c>
      <c r="M5430" s="19" t="e">
        <f>SUM(M5431:M5437)</f>
        <v>#REF!</v>
      </c>
      <c r="N5430" s="60" t="e">
        <f>+SUMIFS(#REF!,#REF!,Planning[[#This Row],[Proyectos]],#REF!,Planning[[#This Row],[Tipo de Tarea y especialidad]])+SUMIFS(#REF!,#REF!,Planning[[#This Row],[Proyectos Reiwa]],#REF!,Planning[[#This Row],[Tipo de Tarea y especialidad]])</f>
        <v>#REF!</v>
      </c>
      <c r="O5430" s="19">
        <f t="shared" si="171"/>
        <v>10</v>
      </c>
      <c r="P5430" s="19">
        <f t="shared" si="172"/>
        <v>2024</v>
      </c>
      <c r="Q5430" s="16" t="e">
        <f>SUM(Q5431:Q5437)</f>
        <v>#REF!</v>
      </c>
      <c r="R5430" s="35" t="str">
        <f>TEXT(Planning[[#This Row],[Mes]]*29,"mmmm")</f>
        <v>October</v>
      </c>
      <c r="S543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30" s="183"/>
      <c r="U5430" s="43" t="e">
        <f>IF(Planning[[#This Row],[Horas Planificadas]]&lt;&gt;0,+K5445/Planning[[#This Row],[Horas Planificadas]],0)</f>
        <v>#REF!</v>
      </c>
      <c r="V5430" s="43" t="e">
        <f>IF(Planning[[#This Row],[Horas Planificadas]]&lt;&gt;0,Planning[[#This Row],[Horas utilizadas]]/Planning[[#This Row],[Horas Planificadas]],0)</f>
        <v>#REF!</v>
      </c>
      <c r="W5430" s="44">
        <f>Planning[[#This Row],[Horas Planificadas]]+Planning[[#This Row],[Horas ajustadas adicionales]]</f>
        <v>711</v>
      </c>
    </row>
    <row r="5431" spans="1:23" ht="13.35" customHeight="1" x14ac:dyDescent="0.2">
      <c r="A5431" s="81" t="s">
        <v>626</v>
      </c>
      <c r="B5431" s="81" t="s">
        <v>779</v>
      </c>
      <c r="C5431" s="3">
        <v>116939</v>
      </c>
      <c r="D5431" s="3" t="s">
        <v>938</v>
      </c>
      <c r="E5431" s="4"/>
      <c r="F5431" s="3" t="s">
        <v>122</v>
      </c>
      <c r="G5431" s="53">
        <v>67</v>
      </c>
      <c r="H5431" s="20">
        <v>162</v>
      </c>
      <c r="I5431" s="77"/>
      <c r="J5431" s="5" t="e">
        <f>SUM(SUMIFS(#REF!,#REF!,Planning[[#This Row],[Tipo de Tarea y especialidad]],#REF!,Planning[[#This Row],[Proyectos Reiwa]]),SUMIFS(#REF!,#REF!,Planning[[#This Row],[Tipo de Tarea y especialidad]],#REF!,Planning[[#This Row],[Proyectos]]))</f>
        <v>#REF!</v>
      </c>
      <c r="K5431" s="79" t="e">
        <f>+Planning[[#This Row],[Horas Planificadas]]+Planning[[#This Row],[Horas ajustadas adicionales]]-Planning[[#This Row],[Horas utilizadas]]</f>
        <v>#REF!</v>
      </c>
      <c r="L5431" s="7" t="e">
        <f>Planning[[#This Row],[Saldo]]</f>
        <v>#REF!</v>
      </c>
      <c r="M5431" s="19" t="e">
        <f>Planning[[#This Row],[Saldo]]-Planning[[#This Row],[Saldo estimado]]</f>
        <v>#REF!</v>
      </c>
      <c r="N5431" s="60" t="e">
        <f>+SUMIFS(#REF!,#REF!,Planning[[#This Row],[Proyectos]],#REF!,Planning[[#This Row],[Tipo de Tarea y especialidad]])+SUMIFS(#REF!,#REF!,Planning[[#This Row],[Proyectos Reiwa]],#REF!,Planning[[#This Row],[Tipo de Tarea y especialidad]])</f>
        <v>#REF!</v>
      </c>
      <c r="O5431" s="19">
        <f t="shared" si="171"/>
        <v>10</v>
      </c>
      <c r="P5431" s="19">
        <f t="shared" si="172"/>
        <v>2024</v>
      </c>
      <c r="Q54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31" s="34" t="str">
        <f>TEXT(Planning[[#This Row],[Mes]]*29,"mmmm")</f>
        <v>October</v>
      </c>
      <c r="S543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31" s="183"/>
      <c r="U5431" s="43" t="e">
        <f>IF(Planning[[#This Row],[Horas Planificadas]]&lt;&gt;0,+K5446/Planning[[#This Row],[Horas Planificadas]],0)</f>
        <v>#REF!</v>
      </c>
      <c r="V5431" s="43" t="e">
        <f>IF(Planning[[#This Row],[Horas Planificadas]]&lt;&gt;0,Planning[[#This Row],[Horas utilizadas]]/Planning[[#This Row],[Horas Planificadas]],0)</f>
        <v>#REF!</v>
      </c>
      <c r="W5431" s="44">
        <f>Planning[[#This Row],[Horas Planificadas]]+Planning[[#This Row],[Horas ajustadas adicionales]]</f>
        <v>162</v>
      </c>
    </row>
    <row r="5432" spans="1:23" ht="13.35" customHeight="1" x14ac:dyDescent="0.2">
      <c r="A5432" s="81" t="s">
        <v>626</v>
      </c>
      <c r="B5432" s="81" t="s">
        <v>779</v>
      </c>
      <c r="C5432" s="3">
        <v>116939</v>
      </c>
      <c r="D5432" s="3" t="s">
        <v>938</v>
      </c>
      <c r="E5432" s="4"/>
      <c r="F5432" s="3" t="s">
        <v>123</v>
      </c>
      <c r="G5432" s="53">
        <v>45</v>
      </c>
      <c r="H5432" s="20">
        <v>54</v>
      </c>
      <c r="I5432" s="77"/>
      <c r="J5432" s="5" t="e">
        <f>SUM(SUMIFS(#REF!,#REF!,Planning[[#This Row],[Tipo de Tarea y especialidad]],#REF!,Planning[[#This Row],[Proyectos Reiwa]]),SUMIFS(#REF!,#REF!,Planning[[#This Row],[Tipo de Tarea y especialidad]],#REF!,Planning[[#This Row],[Proyectos]]))</f>
        <v>#REF!</v>
      </c>
      <c r="K5432" s="78" t="e">
        <f>+Planning[[#This Row],[Horas Planificadas]]+Planning[[#This Row],[Horas ajustadas adicionales]]-Planning[[#This Row],[Horas utilizadas]]</f>
        <v>#REF!</v>
      </c>
      <c r="L5432" s="7" t="e">
        <f>Planning[[#This Row],[Saldo]]</f>
        <v>#REF!</v>
      </c>
      <c r="M5432" s="19" t="e">
        <f>Planning[[#This Row],[Saldo]]-Planning[[#This Row],[Saldo estimado]]</f>
        <v>#REF!</v>
      </c>
      <c r="N5432" s="60" t="e">
        <f>+SUMIFS(#REF!,#REF!,Planning[[#This Row],[Proyectos]],#REF!,Planning[[#This Row],[Tipo de Tarea y especialidad]])+SUMIFS(#REF!,#REF!,Planning[[#This Row],[Proyectos Reiwa]],#REF!,Planning[[#This Row],[Tipo de Tarea y especialidad]])</f>
        <v>#REF!</v>
      </c>
      <c r="O5432" s="19">
        <f t="shared" si="171"/>
        <v>10</v>
      </c>
      <c r="P5432" s="19">
        <f t="shared" si="172"/>
        <v>2024</v>
      </c>
      <c r="Q54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32" s="34" t="str">
        <f>TEXT(Planning[[#This Row],[Mes]]*29,"mmmm")</f>
        <v>October</v>
      </c>
      <c r="S543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32" s="183"/>
      <c r="U5432" s="43" t="e">
        <f>IF(Planning[[#This Row],[Horas Planificadas]]&lt;&gt;0,+K5447/Planning[[#This Row],[Horas Planificadas]],0)</f>
        <v>#REF!</v>
      </c>
      <c r="V5432" s="43" t="e">
        <f>IF(Planning[[#This Row],[Horas Planificadas]]&lt;&gt;0,Planning[[#This Row],[Horas utilizadas]]/Planning[[#This Row],[Horas Planificadas]],0)</f>
        <v>#REF!</v>
      </c>
      <c r="W5432" s="44">
        <f>Planning[[#This Row],[Horas Planificadas]]+Planning[[#This Row],[Horas ajustadas adicionales]]</f>
        <v>54</v>
      </c>
    </row>
    <row r="5433" spans="1:23" ht="13.35" customHeight="1" x14ac:dyDescent="0.2">
      <c r="A5433" s="81" t="s">
        <v>626</v>
      </c>
      <c r="B5433" s="81" t="s">
        <v>779</v>
      </c>
      <c r="C5433" s="3">
        <v>116939</v>
      </c>
      <c r="D5433" s="3" t="s">
        <v>938</v>
      </c>
      <c r="E5433" s="4"/>
      <c r="F5433" s="3" t="s">
        <v>124</v>
      </c>
      <c r="G5433" s="53"/>
      <c r="H5433" s="20"/>
      <c r="I5433" s="77"/>
      <c r="J5433" s="5" t="e">
        <f>SUM(SUMIFS(#REF!,#REF!,Planning[[#This Row],[Tipo de Tarea y especialidad]],#REF!,Planning[[#This Row],[Proyectos Reiwa]]),SUMIFS(#REF!,#REF!,Planning[[#This Row],[Tipo de Tarea y especialidad]],#REF!,Planning[[#This Row],[Proyectos]]))</f>
        <v>#REF!</v>
      </c>
      <c r="K5433" s="79" t="e">
        <f>+Planning[[#This Row],[Horas Planificadas]]+Planning[[#This Row],[Horas ajustadas adicionales]]-Planning[[#This Row],[Horas utilizadas]]</f>
        <v>#REF!</v>
      </c>
      <c r="L5433" s="7" t="e">
        <f>Planning[[#This Row],[Saldo]]</f>
        <v>#REF!</v>
      </c>
      <c r="M5433" s="19" t="e">
        <f>Planning[[#This Row],[Saldo]]-Planning[[#This Row],[Saldo estimado]]</f>
        <v>#REF!</v>
      </c>
      <c r="N5433" s="60" t="e">
        <f>+SUMIFS(#REF!,#REF!,Planning[[#This Row],[Proyectos]],#REF!,Planning[[#This Row],[Tipo de Tarea y especialidad]])+SUMIFS(#REF!,#REF!,Planning[[#This Row],[Proyectos Reiwa]],#REF!,Planning[[#This Row],[Tipo de Tarea y especialidad]])</f>
        <v>#REF!</v>
      </c>
      <c r="O5433" s="19">
        <f t="shared" si="171"/>
        <v>10</v>
      </c>
      <c r="P5433" s="19">
        <f t="shared" si="172"/>
        <v>2024</v>
      </c>
      <c r="Q54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33" s="34" t="str">
        <f>TEXT(Planning[[#This Row],[Mes]]*29,"mmmm")</f>
        <v>October</v>
      </c>
      <c r="S543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33" s="183"/>
      <c r="U5433" s="43">
        <f>IF(Planning[[#This Row],[Horas Planificadas]]&lt;&gt;0,+K5448/Planning[[#This Row],[Horas Planificadas]],0)</f>
        <v>0</v>
      </c>
      <c r="V5433" s="43">
        <f>IF(Planning[[#This Row],[Horas Planificadas]]&lt;&gt;0,Planning[[#This Row],[Horas utilizadas]]/Planning[[#This Row],[Horas Planificadas]],0)</f>
        <v>0</v>
      </c>
      <c r="W5433" s="44">
        <f>Planning[[#This Row],[Horas Planificadas]]+Planning[[#This Row],[Horas ajustadas adicionales]]</f>
        <v>0</v>
      </c>
    </row>
    <row r="5434" spans="1:23" ht="13.35" customHeight="1" x14ac:dyDescent="0.2">
      <c r="A5434" s="81" t="s">
        <v>626</v>
      </c>
      <c r="B5434" s="81" t="s">
        <v>779</v>
      </c>
      <c r="C5434" s="3">
        <v>116939</v>
      </c>
      <c r="D5434" s="3" t="s">
        <v>938</v>
      </c>
      <c r="E5434" s="4"/>
      <c r="F5434" s="3" t="s">
        <v>125</v>
      </c>
      <c r="G5434" s="53">
        <v>180</v>
      </c>
      <c r="H5434" s="20">
        <v>180</v>
      </c>
      <c r="I5434" s="77"/>
      <c r="J5434" s="5" t="e">
        <f>SUM(SUMIFS(#REF!,#REF!,Planning[[#This Row],[Tipo de Tarea y especialidad]],#REF!,Planning[[#This Row],[Proyectos Reiwa]]),SUMIFS(#REF!,#REF!,Planning[[#This Row],[Tipo de Tarea y especialidad]],#REF!,Planning[[#This Row],[Proyectos]]))</f>
        <v>#REF!</v>
      </c>
      <c r="K5434" s="78" t="e">
        <f>+Planning[[#This Row],[Horas Planificadas]]+Planning[[#This Row],[Horas ajustadas adicionales]]-Planning[[#This Row],[Horas utilizadas]]</f>
        <v>#REF!</v>
      </c>
      <c r="L5434" s="7" t="e">
        <f>Planning[[#This Row],[Saldo]]</f>
        <v>#REF!</v>
      </c>
      <c r="M5434" s="19" t="e">
        <f>Planning[[#This Row],[Saldo]]-Planning[[#This Row],[Saldo estimado]]</f>
        <v>#REF!</v>
      </c>
      <c r="N5434" s="60" t="e">
        <f>+SUMIFS(#REF!,#REF!,Planning[[#This Row],[Proyectos]],#REF!,Planning[[#This Row],[Tipo de Tarea y especialidad]])+SUMIFS(#REF!,#REF!,Planning[[#This Row],[Proyectos Reiwa]],#REF!,Planning[[#This Row],[Tipo de Tarea y especialidad]])</f>
        <v>#REF!</v>
      </c>
      <c r="O5434" s="19">
        <f t="shared" si="171"/>
        <v>10</v>
      </c>
      <c r="P5434" s="19">
        <f t="shared" si="172"/>
        <v>2024</v>
      </c>
      <c r="Q54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34" s="34" t="str">
        <f>TEXT(Planning[[#This Row],[Mes]]*29,"mmmm")</f>
        <v>October</v>
      </c>
      <c r="S543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34" s="183"/>
      <c r="U5434" s="43" t="e">
        <f>IF(Planning[[#This Row],[Horas Planificadas]]&lt;&gt;0,+K5449/Planning[[#This Row],[Horas Planificadas]],0)</f>
        <v>#REF!</v>
      </c>
      <c r="V5434" s="43" t="e">
        <f>IF(Planning[[#This Row],[Horas Planificadas]]&lt;&gt;0,Planning[[#This Row],[Horas utilizadas]]/Planning[[#This Row],[Horas Planificadas]],0)</f>
        <v>#REF!</v>
      </c>
      <c r="W5434" s="44">
        <f>Planning[[#This Row],[Horas Planificadas]]+Planning[[#This Row],[Horas ajustadas adicionales]]</f>
        <v>180</v>
      </c>
    </row>
    <row r="5435" spans="1:23" ht="13.35" customHeight="1" x14ac:dyDescent="0.2">
      <c r="A5435" s="81" t="s">
        <v>626</v>
      </c>
      <c r="B5435" s="81" t="s">
        <v>779</v>
      </c>
      <c r="C5435" s="3">
        <v>116939</v>
      </c>
      <c r="D5435" s="3" t="s">
        <v>938</v>
      </c>
      <c r="E5435" s="4"/>
      <c r="F5435" s="3" t="s">
        <v>126</v>
      </c>
      <c r="G5435" s="53">
        <v>90</v>
      </c>
      <c r="H5435" s="20">
        <v>257</v>
      </c>
      <c r="I5435" s="77"/>
      <c r="J5435" s="5" t="e">
        <f>SUM(SUMIFS(#REF!,#REF!,Planning[[#This Row],[Tipo de Tarea y especialidad]],#REF!,Planning[[#This Row],[Proyectos Reiwa]]),SUMIFS(#REF!,#REF!,Planning[[#This Row],[Tipo de Tarea y especialidad]],#REF!,Planning[[#This Row],[Proyectos]]))</f>
        <v>#REF!</v>
      </c>
      <c r="K5435" s="79" t="e">
        <f>+Planning[[#This Row],[Horas Planificadas]]+Planning[[#This Row],[Horas ajustadas adicionales]]-Planning[[#This Row],[Horas utilizadas]]</f>
        <v>#REF!</v>
      </c>
      <c r="L5435" s="7" t="e">
        <f>Planning[[#This Row],[Saldo]]</f>
        <v>#REF!</v>
      </c>
      <c r="M5435" s="19" t="e">
        <f>Planning[[#This Row],[Saldo]]-Planning[[#This Row],[Saldo estimado]]</f>
        <v>#REF!</v>
      </c>
      <c r="N5435" s="60" t="e">
        <f>+SUMIFS(#REF!,#REF!,Planning[[#This Row],[Proyectos]],#REF!,Planning[[#This Row],[Tipo de Tarea y especialidad]])+SUMIFS(#REF!,#REF!,Planning[[#This Row],[Proyectos Reiwa]],#REF!,Planning[[#This Row],[Tipo de Tarea y especialidad]])</f>
        <v>#REF!</v>
      </c>
      <c r="O5435" s="19">
        <f t="shared" si="171"/>
        <v>10</v>
      </c>
      <c r="P5435" s="19">
        <f t="shared" si="172"/>
        <v>2024</v>
      </c>
      <c r="Q54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35" s="34" t="str">
        <f>TEXT(Planning[[#This Row],[Mes]]*29,"mmmm")</f>
        <v>October</v>
      </c>
      <c r="S543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35" s="183"/>
      <c r="U5435" s="43" t="e">
        <f>IF(Planning[[#This Row],[Horas Planificadas]]&lt;&gt;0,+K5450/Planning[[#This Row],[Horas Planificadas]],0)</f>
        <v>#REF!</v>
      </c>
      <c r="V5435" s="43" t="e">
        <f>IF(Planning[[#This Row],[Horas Planificadas]]&lt;&gt;0,Planning[[#This Row],[Horas utilizadas]]/Planning[[#This Row],[Horas Planificadas]],0)</f>
        <v>#REF!</v>
      </c>
      <c r="W5435" s="44">
        <f>Planning[[#This Row],[Horas Planificadas]]+Planning[[#This Row],[Horas ajustadas adicionales]]</f>
        <v>257</v>
      </c>
    </row>
    <row r="5436" spans="1:23" ht="13.35" customHeight="1" x14ac:dyDescent="0.2">
      <c r="A5436" s="81" t="s">
        <v>626</v>
      </c>
      <c r="B5436" s="81" t="s">
        <v>779</v>
      </c>
      <c r="C5436" s="3">
        <v>116939</v>
      </c>
      <c r="D5436" s="3" t="s">
        <v>938</v>
      </c>
      <c r="E5436" s="4"/>
      <c r="F5436" s="3" t="s">
        <v>127</v>
      </c>
      <c r="G5436" s="53">
        <v>45</v>
      </c>
      <c r="H5436" s="20">
        <v>58</v>
      </c>
      <c r="I5436" s="77"/>
      <c r="J5436" s="5" t="e">
        <f>SUM(SUMIFS(#REF!,#REF!,Planning[[#This Row],[Tipo de Tarea y especialidad]],#REF!,Planning[[#This Row],[Proyectos Reiwa]]),SUMIFS(#REF!,#REF!,Planning[[#This Row],[Tipo de Tarea y especialidad]],#REF!,Planning[[#This Row],[Proyectos]]))</f>
        <v>#REF!</v>
      </c>
      <c r="K5436" s="78" t="e">
        <f>+Planning[[#This Row],[Horas Planificadas]]+Planning[[#This Row],[Horas ajustadas adicionales]]-Planning[[#This Row],[Horas utilizadas]]</f>
        <v>#REF!</v>
      </c>
      <c r="L5436" s="7" t="e">
        <f>Planning[[#This Row],[Saldo]]</f>
        <v>#REF!</v>
      </c>
      <c r="M5436" s="19" t="e">
        <f>Planning[[#This Row],[Saldo]]-Planning[[#This Row],[Saldo estimado]]</f>
        <v>#REF!</v>
      </c>
      <c r="N5436" s="60" t="e">
        <f>+SUMIFS(#REF!,#REF!,Planning[[#This Row],[Proyectos]],#REF!,Planning[[#This Row],[Tipo de Tarea y especialidad]])+SUMIFS(#REF!,#REF!,Planning[[#This Row],[Proyectos Reiwa]],#REF!,Planning[[#This Row],[Tipo de Tarea y especialidad]])</f>
        <v>#REF!</v>
      </c>
      <c r="O5436" s="19">
        <f t="shared" si="171"/>
        <v>10</v>
      </c>
      <c r="P5436" s="19">
        <f t="shared" si="172"/>
        <v>2024</v>
      </c>
      <c r="Q54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36" s="34" t="str">
        <f>TEXT(Planning[[#This Row],[Mes]]*29,"mmmm")</f>
        <v>October</v>
      </c>
      <c r="S543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36" s="183"/>
      <c r="U5436" s="43" t="e">
        <f>IF(Planning[[#This Row],[Horas Planificadas]]&lt;&gt;0,+K5451/Planning[[#This Row],[Horas Planificadas]],0)</f>
        <v>#REF!</v>
      </c>
      <c r="V5436" s="43" t="e">
        <f>IF(Planning[[#This Row],[Horas Planificadas]]&lt;&gt;0,Planning[[#This Row],[Horas utilizadas]]/Planning[[#This Row],[Horas Planificadas]],0)</f>
        <v>#REF!</v>
      </c>
      <c r="W5436" s="44">
        <f>Planning[[#This Row],[Horas Planificadas]]+Planning[[#This Row],[Horas ajustadas adicionales]]</f>
        <v>58</v>
      </c>
    </row>
    <row r="5437" spans="1:23" ht="13.35" customHeight="1" x14ac:dyDescent="0.2">
      <c r="A5437" s="81" t="s">
        <v>626</v>
      </c>
      <c r="B5437" s="81" t="s">
        <v>779</v>
      </c>
      <c r="C5437" s="3">
        <v>116939</v>
      </c>
      <c r="D5437" s="3" t="s">
        <v>938</v>
      </c>
      <c r="E5437" s="4"/>
      <c r="F5437" s="3" t="s">
        <v>128</v>
      </c>
      <c r="G5437" s="53"/>
      <c r="H5437" s="20"/>
      <c r="I5437" s="77"/>
      <c r="J5437" s="5" t="e">
        <f>SUM(SUMIFS(#REF!,#REF!,Planning[[#This Row],[Tipo de Tarea y especialidad]],#REF!,Planning[[#This Row],[Proyectos Reiwa]]),SUMIFS(#REF!,#REF!,Planning[[#This Row],[Tipo de Tarea y especialidad]],#REF!,Planning[[#This Row],[Proyectos]]))</f>
        <v>#REF!</v>
      </c>
      <c r="K5437" s="79" t="e">
        <f>+Planning[[#This Row],[Horas Planificadas]]+Planning[[#This Row],[Horas ajustadas adicionales]]-Planning[[#This Row],[Horas utilizadas]]</f>
        <v>#REF!</v>
      </c>
      <c r="L5437" s="7">
        <v>0</v>
      </c>
      <c r="M5437" s="19" t="e">
        <f>Planning[[#This Row],[Saldo]]-Planning[[#This Row],[Saldo estimado]]</f>
        <v>#REF!</v>
      </c>
      <c r="N5437" s="60" t="e">
        <f>+SUMIFS(#REF!,#REF!,Planning[[#This Row],[Proyectos]],#REF!,Planning[[#This Row],[Tipo de Tarea y especialidad]])+SUMIFS(#REF!,#REF!,Planning[[#This Row],[Proyectos Reiwa]],#REF!,Planning[[#This Row],[Tipo de Tarea y especialidad]])</f>
        <v>#REF!</v>
      </c>
      <c r="O5437" s="19">
        <f t="shared" si="171"/>
        <v>10</v>
      </c>
      <c r="P5437" s="19">
        <f t="shared" si="172"/>
        <v>2024</v>
      </c>
      <c r="Q54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37" s="34" t="str">
        <f>TEXT(Planning[[#This Row],[Mes]]*29,"mmmm")</f>
        <v>October</v>
      </c>
      <c r="S543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37" s="183"/>
      <c r="U5437" s="43">
        <f>IF(Planning[[#This Row],[Horas Planificadas]]&lt;&gt;0,+K5452/Planning[[#This Row],[Horas Planificadas]],0)</f>
        <v>0</v>
      </c>
      <c r="V5437" s="43">
        <f>IF(Planning[[#This Row],[Horas Planificadas]]&lt;&gt;0,Planning[[#This Row],[Horas utilizadas]]/Planning[[#This Row],[Horas Planificadas]],0)</f>
        <v>0</v>
      </c>
      <c r="W5437" s="44">
        <f>Planning[[#This Row],[Horas Planificadas]]+Planning[[#This Row],[Horas ajustadas adicionales]]</f>
        <v>0</v>
      </c>
    </row>
    <row r="5438" spans="1:23" ht="13.35" customHeight="1" x14ac:dyDescent="0.2">
      <c r="A5438" s="81" t="s">
        <v>626</v>
      </c>
      <c r="B5438" s="81" t="s">
        <v>779</v>
      </c>
      <c r="C5438" s="3">
        <v>116939</v>
      </c>
      <c r="D5438" s="3" t="s">
        <v>938</v>
      </c>
      <c r="E5438" s="4" t="s">
        <v>31</v>
      </c>
      <c r="F5438" s="3" t="s">
        <v>31</v>
      </c>
      <c r="G5438" s="53">
        <v>136</v>
      </c>
      <c r="H5438" s="20">
        <v>136</v>
      </c>
      <c r="I5438" s="77"/>
      <c r="J5438" s="14" t="e">
        <f>+SUMIFS(#REF!,#REF!,Planning[[#This Row],[Tarifa]],#REF!,Planning[[#This Row],[Proyectos]])</f>
        <v>#REF!</v>
      </c>
      <c r="K5438" s="76" t="e">
        <f>+Planning[[#This Row],[Horas Planificadas]]+Planning[[#This Row],[Horas ajustadas adicionales]]-Planning[[#This Row],[Horas utilizadas]]</f>
        <v>#REF!</v>
      </c>
      <c r="L5438" s="7" t="e">
        <f>Planning[[#This Row],[Saldo]]</f>
        <v>#REF!</v>
      </c>
      <c r="M5438" s="19" t="e">
        <f>Planning[[#This Row],[Saldo]]-Planning[[#This Row],[Saldo estimado]]</f>
        <v>#REF!</v>
      </c>
      <c r="N5438" s="60" t="e">
        <f>+SUMIFS(#REF!,#REF!,Planning[[#This Row],[Proyectos]],#REF!,Planning[[#This Row],[Tipo de Tarea y especialidad]])+SUMIFS(#REF!,#REF!,Planning[[#This Row],[Proyectos Reiwa]],#REF!,Planning[[#This Row],[Tipo de Tarea y especialidad]])</f>
        <v>#REF!</v>
      </c>
      <c r="O5438" s="19">
        <f t="shared" si="171"/>
        <v>10</v>
      </c>
      <c r="P5438" s="19">
        <f t="shared" si="172"/>
        <v>2024</v>
      </c>
      <c r="Q5438" s="16" t="e">
        <f>+SUMIFS(#REF!,#REF!,Planning[[#This Row],[Tarifa]],#REF!,Planning[[#This Row],[Proyectos]],#REF!,Planning[[#This Row],[Mes]],#REF!,Planning[[#This Row],[Año]])</f>
        <v>#REF!</v>
      </c>
      <c r="R5438" s="35" t="str">
        <f>TEXT(Planning[[#This Row],[Mes]]*29,"mmmm")</f>
        <v>October</v>
      </c>
      <c r="S543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38" s="183"/>
      <c r="U5438" s="43" t="e">
        <f>IF(Planning[[#This Row],[Horas Planificadas]]&lt;&gt;0,+K5453/Planning[[#This Row],[Horas Planificadas]],0)</f>
        <v>#REF!</v>
      </c>
      <c r="V5438" s="43" t="e">
        <f>IF(Planning[[#This Row],[Horas Planificadas]]&lt;&gt;0,Planning[[#This Row],[Horas utilizadas]]/Planning[[#This Row],[Horas Planificadas]],0)</f>
        <v>#REF!</v>
      </c>
      <c r="W5438" s="44">
        <f>Planning[[#This Row],[Horas Planificadas]]+Planning[[#This Row],[Horas ajustadas adicionales]]</f>
        <v>136</v>
      </c>
    </row>
    <row r="5439" spans="1:23" ht="13.35" customHeight="1" x14ac:dyDescent="0.2">
      <c r="A5439" s="81" t="s">
        <v>626</v>
      </c>
      <c r="B5439" s="81" t="s">
        <v>779</v>
      </c>
      <c r="C5439" s="3">
        <v>116939</v>
      </c>
      <c r="D5439" s="3" t="s">
        <v>938</v>
      </c>
      <c r="E5439" s="4" t="s">
        <v>32</v>
      </c>
      <c r="F5439" s="3"/>
      <c r="G5439" s="53"/>
      <c r="H5439" s="20">
        <v>50</v>
      </c>
      <c r="I5439" s="77"/>
      <c r="J5439" s="14" t="e">
        <f>SUM(J5440:J5442)</f>
        <v>#REF!</v>
      </c>
      <c r="K5439" s="76" t="e">
        <f>+Planning[[#This Row],[Horas Planificadas]]+Planning[[#This Row],[Horas ajustadas adicionales]]-Planning[[#This Row],[Horas utilizadas]]</f>
        <v>#REF!</v>
      </c>
      <c r="L5439" s="7" t="e">
        <f>SUM(L5440:L5442)</f>
        <v>#REF!</v>
      </c>
      <c r="M5439" s="19" t="e">
        <f>SUM(M5440:M5442)</f>
        <v>#REF!</v>
      </c>
      <c r="N5439" s="60" t="e">
        <f>+SUMIFS(#REF!,#REF!,Planning[[#This Row],[Proyectos]],#REF!,Planning[[#This Row],[Tipo de Tarea y especialidad]])+SUMIFS(#REF!,#REF!,Planning[[#This Row],[Proyectos Reiwa]],#REF!,Planning[[#This Row],[Tipo de Tarea y especialidad]])</f>
        <v>#REF!</v>
      </c>
      <c r="O5439" s="19">
        <f t="shared" si="171"/>
        <v>10</v>
      </c>
      <c r="P5439" s="19">
        <f t="shared" si="172"/>
        <v>2024</v>
      </c>
      <c r="Q5439" s="16" t="e">
        <f>SUM(Q5440:Q5442)</f>
        <v>#REF!</v>
      </c>
      <c r="R5439" s="35" t="str">
        <f>TEXT(Planning[[#This Row],[Mes]]*29,"mmmm")</f>
        <v>October</v>
      </c>
      <c r="S543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39" s="183"/>
      <c r="U5439" s="43" t="e">
        <f>IF(Planning[[#This Row],[Horas Planificadas]]&lt;&gt;0,+K5454/Planning[[#This Row],[Horas Planificadas]],0)</f>
        <v>#REF!</v>
      </c>
      <c r="V5439" s="43" t="e">
        <f>IF(Planning[[#This Row],[Horas Planificadas]]&lt;&gt;0,Planning[[#This Row],[Horas utilizadas]]/Planning[[#This Row],[Horas Planificadas]],0)</f>
        <v>#REF!</v>
      </c>
      <c r="W5439" s="44">
        <f>Planning[[#This Row],[Horas Planificadas]]+Planning[[#This Row],[Horas ajustadas adicionales]]</f>
        <v>50</v>
      </c>
    </row>
    <row r="5440" spans="1:23" ht="13.35" customHeight="1" x14ac:dyDescent="0.2">
      <c r="A5440" s="81" t="s">
        <v>626</v>
      </c>
      <c r="B5440" s="81" t="s">
        <v>779</v>
      </c>
      <c r="C5440" s="3">
        <v>116939</v>
      </c>
      <c r="D5440" s="3" t="s">
        <v>938</v>
      </c>
      <c r="E5440" s="4"/>
      <c r="F5440" s="3" t="s">
        <v>129</v>
      </c>
      <c r="G5440" s="53">
        <v>50</v>
      </c>
      <c r="H5440" s="20">
        <v>50</v>
      </c>
      <c r="I5440" s="77"/>
      <c r="J5440" s="5" t="e">
        <f>SUM(SUMIFS(#REF!,#REF!,Planning[[#This Row],[Tipo de Tarea y especialidad]],#REF!,Planning[[#This Row],[Proyectos Reiwa]]),SUMIFS(#REF!,#REF!,Planning[[#This Row],[Tipo de Tarea y especialidad]],#REF!,Planning[[#This Row],[Proyectos]]))</f>
        <v>#REF!</v>
      </c>
      <c r="K5440" s="78" t="e">
        <f>+Planning[[#This Row],[Horas Planificadas]]+Planning[[#This Row],[Horas ajustadas adicionales]]-Planning[[#This Row],[Horas utilizadas]]</f>
        <v>#REF!</v>
      </c>
      <c r="L5440" s="7" t="e">
        <f>Planning[[#This Row],[Saldo]]</f>
        <v>#REF!</v>
      </c>
      <c r="M5440" s="19" t="e">
        <f>Planning[[#This Row],[Saldo]]-Planning[[#This Row],[Saldo estimado]]</f>
        <v>#REF!</v>
      </c>
      <c r="N5440" s="60" t="e">
        <f>+SUMIFS(#REF!,#REF!,Planning[[#This Row],[Proyectos]],#REF!,Planning[[#This Row],[Tipo de Tarea y especialidad]])+SUMIFS(#REF!,#REF!,Planning[[#This Row],[Proyectos Reiwa]],#REF!,Planning[[#This Row],[Tipo de Tarea y especialidad]])</f>
        <v>#REF!</v>
      </c>
      <c r="O5440" s="19">
        <f t="shared" si="171"/>
        <v>10</v>
      </c>
      <c r="P5440" s="19">
        <f t="shared" si="172"/>
        <v>2024</v>
      </c>
      <c r="Q54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40" s="34" t="str">
        <f>TEXT(Planning[[#This Row],[Mes]]*29,"mmmm")</f>
        <v>October</v>
      </c>
      <c r="S544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40" s="183"/>
      <c r="U5440" s="43" t="e">
        <f>IF(Planning[[#This Row],[Horas Planificadas]]&lt;&gt;0,+K5455/Planning[[#This Row],[Horas Planificadas]],0)</f>
        <v>#REF!</v>
      </c>
      <c r="V5440" s="43" t="e">
        <f>IF(Planning[[#This Row],[Horas Planificadas]]&lt;&gt;0,Planning[[#This Row],[Horas utilizadas]]/Planning[[#This Row],[Horas Planificadas]],0)</f>
        <v>#REF!</v>
      </c>
      <c r="W5440" s="44">
        <f>Planning[[#This Row],[Horas Planificadas]]+Planning[[#This Row],[Horas ajustadas adicionales]]</f>
        <v>50</v>
      </c>
    </row>
    <row r="5441" spans="1:23" ht="13.35" customHeight="1" x14ac:dyDescent="0.2">
      <c r="A5441" s="81" t="s">
        <v>626</v>
      </c>
      <c r="B5441" s="7" t="s">
        <v>779</v>
      </c>
      <c r="C5441" s="3">
        <v>116939</v>
      </c>
      <c r="D5441" s="3" t="s">
        <v>938</v>
      </c>
      <c r="E5441" s="4"/>
      <c r="F5441" s="3" t="s">
        <v>130</v>
      </c>
      <c r="G5441" s="11"/>
      <c r="H5441" s="20"/>
      <c r="I5441" s="80"/>
      <c r="J5441" s="5" t="e">
        <f>SUM(SUMIFS(#REF!,#REF!,Planning[[#This Row],[Tipo de Tarea y especialidad]],#REF!,Planning[[#This Row],[Proyectos Reiwa]]),SUMIFS(#REF!,#REF!,Planning[[#This Row],[Tipo de Tarea y especialidad]],#REF!,Planning[[#This Row],[Proyectos]]))</f>
        <v>#REF!</v>
      </c>
      <c r="K5441" s="82" t="e">
        <f>+Planning[[#This Row],[Horas Planificadas]]+Planning[[#This Row],[Horas ajustadas adicionales]]-Planning[[#This Row],[Horas utilizadas]]</f>
        <v>#REF!</v>
      </c>
      <c r="L5441" s="7" t="e">
        <f>Planning[[#This Row],[Saldo]]</f>
        <v>#REF!</v>
      </c>
      <c r="M5441" s="83" t="e">
        <f>Planning[[#This Row],[Saldo]]-Planning[[#This Row],[Saldo estimado]]</f>
        <v>#REF!</v>
      </c>
      <c r="N5441" s="60" t="e">
        <f>+SUMIFS(#REF!,#REF!,Planning[[#This Row],[Proyectos]],#REF!,Planning[[#This Row],[Tipo de Tarea y especialidad]])+SUMIFS(#REF!,#REF!,Planning[[#This Row],[Proyectos Reiwa]],#REF!,Planning[[#This Row],[Tipo de Tarea y especialidad]])</f>
        <v>#REF!</v>
      </c>
      <c r="O5441" s="83">
        <f t="shared" si="171"/>
        <v>10</v>
      </c>
      <c r="P5441" s="83">
        <f t="shared" si="172"/>
        <v>2024</v>
      </c>
      <c r="Q54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41" s="34" t="str">
        <f>TEXT(Planning[[#This Row],[Mes]]*29,"mmmm")</f>
        <v>October</v>
      </c>
      <c r="S544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41" s="183"/>
      <c r="U5441" s="43">
        <f>IF(Planning[[#This Row],[Horas Planificadas]]&lt;&gt;0,+K5456/Planning[[#This Row],[Horas Planificadas]],0)</f>
        <v>0</v>
      </c>
      <c r="V5441" s="43">
        <f>IF(Planning[[#This Row],[Horas Planificadas]]&lt;&gt;0,Planning[[#This Row],[Horas utilizadas]]/Planning[[#This Row],[Horas Planificadas]],0)</f>
        <v>0</v>
      </c>
      <c r="W5441" s="44">
        <f>Planning[[#This Row],[Horas Planificadas]]+Planning[[#This Row],[Horas ajustadas adicionales]]</f>
        <v>0</v>
      </c>
    </row>
    <row r="5442" spans="1:23" ht="13.35" customHeight="1" x14ac:dyDescent="0.2">
      <c r="A5442" s="81" t="s">
        <v>626</v>
      </c>
      <c r="B5442" s="7" t="s">
        <v>779</v>
      </c>
      <c r="C5442" s="3">
        <v>116939</v>
      </c>
      <c r="D5442" s="3" t="s">
        <v>938</v>
      </c>
      <c r="E5442" s="4"/>
      <c r="F5442" s="3" t="s">
        <v>131</v>
      </c>
      <c r="G5442" s="11"/>
      <c r="H5442" s="20"/>
      <c r="I5442" s="80"/>
      <c r="J5442" s="5" t="e">
        <f>SUM(SUMIFS(#REF!,#REF!,Planning[[#This Row],[Tipo de Tarea y especialidad]],#REF!,Planning[[#This Row],[Proyectos Reiwa]]),SUMIFS(#REF!,#REF!,Planning[[#This Row],[Tipo de Tarea y especialidad]],#REF!,Planning[[#This Row],[Proyectos]]))</f>
        <v>#REF!</v>
      </c>
      <c r="K5442" s="75" t="e">
        <f>+Planning[[#This Row],[Horas Planificadas]]+Planning[[#This Row],[Horas ajustadas adicionales]]-Planning[[#This Row],[Horas utilizadas]]</f>
        <v>#REF!</v>
      </c>
      <c r="L5442" s="7">
        <v>0</v>
      </c>
      <c r="M5442" s="19" t="e">
        <f>Planning[[#This Row],[Saldo]]-Planning[[#This Row],[Saldo estimado]]</f>
        <v>#REF!</v>
      </c>
      <c r="N5442" s="60" t="e">
        <f>+SUMIFS(#REF!,#REF!,Planning[[#This Row],[Proyectos]],#REF!,Planning[[#This Row],[Tipo de Tarea y especialidad]])+SUMIFS(#REF!,#REF!,Planning[[#This Row],[Proyectos Reiwa]],#REF!,Planning[[#This Row],[Tipo de Tarea y especialidad]])</f>
        <v>#REF!</v>
      </c>
      <c r="O5442" s="19">
        <f t="shared" si="171"/>
        <v>10</v>
      </c>
      <c r="P5442" s="19">
        <f t="shared" si="172"/>
        <v>2024</v>
      </c>
      <c r="Q54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42" s="34" t="str">
        <f>TEXT(Planning[[#This Row],[Mes]]*29,"mmmm")</f>
        <v>October</v>
      </c>
      <c r="S544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42" s="184"/>
      <c r="U5442" s="43">
        <f>IF(Planning[[#This Row],[Horas Planificadas]]&lt;&gt;0,+K5457/Planning[[#This Row],[Horas Planificadas]],0)</f>
        <v>0</v>
      </c>
      <c r="V5442" s="43">
        <f>IF(Planning[[#This Row],[Horas Planificadas]]&lt;&gt;0,Planning[[#This Row],[Horas utilizadas]]/Planning[[#This Row],[Horas Planificadas]],0)</f>
        <v>0</v>
      </c>
      <c r="W5442" s="44">
        <f>Planning[[#This Row],[Horas Planificadas]]+Planning[[#This Row],[Horas ajustadas adicionales]]</f>
        <v>0</v>
      </c>
    </row>
    <row r="5443" spans="1:23" ht="13.35" customHeight="1" x14ac:dyDescent="0.2">
      <c r="A5443" s="9" t="s">
        <v>483</v>
      </c>
      <c r="B5443" s="9" t="s">
        <v>808</v>
      </c>
      <c r="C5443" s="3">
        <v>116941</v>
      </c>
      <c r="D5443" s="3" t="s">
        <v>941</v>
      </c>
      <c r="E5443" s="4" t="s">
        <v>28</v>
      </c>
      <c r="F5443" s="3"/>
      <c r="G5443" s="9"/>
      <c r="H5443" s="14">
        <f>SUM(H5444:H5445)</f>
        <v>196</v>
      </c>
      <c r="I5443" s="14"/>
      <c r="J5443" s="14" t="e">
        <f>SUM(J5444:J5445)</f>
        <v>#REF!</v>
      </c>
      <c r="K5443" s="14" t="e">
        <f>+Planning[[#This Row],[Horas Planificadas]]+Planning[[#This Row],[Horas ajustadas adicionales]]-Planning[[#This Row],[Horas utilizadas]]</f>
        <v>#REF!</v>
      </c>
      <c r="L5443" s="15">
        <f>SUM(L5444:L5445)</f>
        <v>0</v>
      </c>
      <c r="M5443" s="14" t="e">
        <f>SUM(M5444:M5445)</f>
        <v>#REF!</v>
      </c>
      <c r="N5443" s="60" t="e">
        <f>+SUMIFS(#REF!,#REF!,Planning[[#This Row],[Proyectos]],#REF!,Planning[[#This Row],[Tipo de Tarea y especialidad]])+SUMIFS(#REF!,#REF!,Planning[[#This Row],[Proyectos Reiwa]],#REF!,Planning[[#This Row],[Tipo de Tarea y especialidad]])</f>
        <v>#REF!</v>
      </c>
      <c r="O5443" s="14">
        <f t="shared" si="171"/>
        <v>10</v>
      </c>
      <c r="P5443" s="14">
        <f t="shared" si="172"/>
        <v>2024</v>
      </c>
      <c r="Q5443" s="28" t="e">
        <f>SUM(Q5444:Q5445)</f>
        <v>#REF!</v>
      </c>
      <c r="R5443" s="14" t="str">
        <f>TEXT(Planning[[#This Row],[Mes]]*29,"mmmm")</f>
        <v>October</v>
      </c>
      <c r="S544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43" s="177" t="s">
        <v>942</v>
      </c>
    </row>
    <row r="5444" spans="1:23" x14ac:dyDescent="0.2">
      <c r="A5444" s="9" t="s">
        <v>483</v>
      </c>
      <c r="B5444" s="9" t="s">
        <v>808</v>
      </c>
      <c r="C5444" s="3">
        <v>116941</v>
      </c>
      <c r="D5444" s="3" t="s">
        <v>941</v>
      </c>
      <c r="E5444" s="4"/>
      <c r="F5444" s="3" t="s">
        <v>120</v>
      </c>
      <c r="G5444" s="9">
        <v>160</v>
      </c>
      <c r="H5444" s="9">
        <v>160</v>
      </c>
      <c r="I5444" s="12"/>
      <c r="J5444" s="5" t="e">
        <f>SUM(SUMIFS(#REF!,#REF!,Planning[[#This Row],[Tipo de Tarea y especialidad]],#REF!,Planning[[#This Row],[Proyectos Reiwa]]),SUMIFS(#REF!,#REF!,Planning[[#This Row],[Tipo de Tarea y especialidad]],#REF!,Planning[[#This Row],[Proyectos]]))</f>
        <v>#REF!</v>
      </c>
      <c r="K5444" s="5" t="e">
        <f>+Planning[[#This Row],[Horas Planificadas]]+Planning[[#This Row],[Horas ajustadas adicionales]]-Planning[[#This Row],[Horas utilizadas]]</f>
        <v>#REF!</v>
      </c>
      <c r="L5444" s="7">
        <v>0</v>
      </c>
      <c r="M5444" s="19" t="e">
        <f>Planning[[#This Row],[Saldo]]-Planning[[#This Row],[Saldo estimado]]</f>
        <v>#REF!</v>
      </c>
      <c r="N5444" s="60" t="e">
        <f>+SUMIFS(#REF!,#REF!,Planning[[#This Row],[Proyectos]],#REF!,Planning[[#This Row],[Tipo de Tarea y especialidad]])+SUMIFS(#REF!,#REF!,Planning[[#This Row],[Proyectos Reiwa]],#REF!,Planning[[#This Row],[Tipo de Tarea y especialidad]])</f>
        <v>#REF!</v>
      </c>
      <c r="O5444" s="19">
        <f t="shared" si="171"/>
        <v>10</v>
      </c>
      <c r="P5444" s="19">
        <f t="shared" si="172"/>
        <v>2024</v>
      </c>
      <c r="Q54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44" s="34" t="str">
        <f>TEXT(Planning[[#This Row],[Mes]]*29,"mmmm")</f>
        <v>October</v>
      </c>
      <c r="S544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44" s="178"/>
    </row>
    <row r="5445" spans="1:23" x14ac:dyDescent="0.2">
      <c r="A5445" s="9" t="s">
        <v>483</v>
      </c>
      <c r="B5445" s="9" t="s">
        <v>808</v>
      </c>
      <c r="C5445" s="3">
        <v>116941</v>
      </c>
      <c r="D5445" s="3" t="s">
        <v>941</v>
      </c>
      <c r="E5445" s="4"/>
      <c r="F5445" s="3" t="s">
        <v>121</v>
      </c>
      <c r="G5445" s="9">
        <v>36</v>
      </c>
      <c r="H5445" s="9">
        <v>36</v>
      </c>
      <c r="I5445" s="12"/>
      <c r="J5445" s="5" t="e">
        <f>SUM(SUMIFS(#REF!,#REF!,Planning[[#This Row],[Tipo de Tarea y especialidad]],#REF!,Planning[[#This Row],[Proyectos Reiwa]]),SUMIFS(#REF!,#REF!,Planning[[#This Row],[Tipo de Tarea y especialidad]],#REF!,Planning[[#This Row],[Proyectos]]))</f>
        <v>#REF!</v>
      </c>
      <c r="K5445" s="5" t="e">
        <f>+Planning[[#This Row],[Horas Planificadas]]+Planning[[#This Row],[Horas ajustadas adicionales]]-Planning[[#This Row],[Horas utilizadas]]</f>
        <v>#REF!</v>
      </c>
      <c r="L5445" s="7">
        <v>0</v>
      </c>
      <c r="M5445" s="19" t="e">
        <f>Planning[[#This Row],[Saldo]]-Planning[[#This Row],[Saldo estimado]]</f>
        <v>#REF!</v>
      </c>
      <c r="N5445" s="60" t="e">
        <f>+SUMIFS(#REF!,#REF!,Planning[[#This Row],[Proyectos]],#REF!,Planning[[#This Row],[Tipo de Tarea y especialidad]])+SUMIFS(#REF!,#REF!,Planning[[#This Row],[Proyectos Reiwa]],#REF!,Planning[[#This Row],[Tipo de Tarea y especialidad]])</f>
        <v>#REF!</v>
      </c>
      <c r="O5445" s="19">
        <f t="shared" si="171"/>
        <v>10</v>
      </c>
      <c r="P5445" s="19">
        <f t="shared" si="172"/>
        <v>2024</v>
      </c>
      <c r="Q54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45" s="34" t="str">
        <f>TEXT(Planning[[#This Row],[Mes]]*29,"mmmm")</f>
        <v>October</v>
      </c>
      <c r="S544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45" s="178"/>
    </row>
    <row r="5446" spans="1:23" x14ac:dyDescent="0.2">
      <c r="A5446" s="9" t="s">
        <v>483</v>
      </c>
      <c r="B5446" s="9" t="s">
        <v>808</v>
      </c>
      <c r="C5446" s="3">
        <v>116941</v>
      </c>
      <c r="D5446" s="3" t="s">
        <v>941</v>
      </c>
      <c r="E5446" s="4" t="s">
        <v>30</v>
      </c>
      <c r="F5446" s="3"/>
      <c r="G5446" s="9">
        <f>+G5449+G5453</f>
        <v>340</v>
      </c>
      <c r="H5446" s="14">
        <f>SUM(H5447:H5453)</f>
        <v>340</v>
      </c>
      <c r="I5446" s="14"/>
      <c r="J5446" s="14" t="e">
        <f>SUM(J5447:J5453)</f>
        <v>#REF!</v>
      </c>
      <c r="K5446" s="14" t="e">
        <f>+Planning[[#This Row],[Horas Planificadas]]+Planning[[#This Row],[Horas ajustadas adicionales]]-Planning[[#This Row],[Horas utilizadas]]</f>
        <v>#REF!</v>
      </c>
      <c r="L5446" s="15" t="e">
        <f>SUM(L5447:L5453)</f>
        <v>#REF!</v>
      </c>
      <c r="M5446" s="16" t="e">
        <f>SUM(M5447:M5453)</f>
        <v>#REF!</v>
      </c>
      <c r="N5446" s="60" t="e">
        <f>+SUMIFS(#REF!,#REF!,Planning[[#This Row],[Proyectos]],#REF!,Planning[[#This Row],[Tipo de Tarea y especialidad]])+SUMIFS(#REF!,#REF!,Planning[[#This Row],[Proyectos Reiwa]],#REF!,Planning[[#This Row],[Tipo de Tarea y especialidad]])</f>
        <v>#REF!</v>
      </c>
      <c r="O5446" s="16">
        <f t="shared" si="171"/>
        <v>10</v>
      </c>
      <c r="P5446" s="16">
        <f t="shared" si="172"/>
        <v>2024</v>
      </c>
      <c r="Q5446" s="16" t="e">
        <f>SUM(Q5447:Q5453)</f>
        <v>#REF!</v>
      </c>
      <c r="R5446" s="35" t="str">
        <f>TEXT(Planning[[#This Row],[Mes]]*29,"mmmm")</f>
        <v>October</v>
      </c>
      <c r="S544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46" s="104" t="s">
        <v>943</v>
      </c>
    </row>
    <row r="5447" spans="1:23" x14ac:dyDescent="0.2">
      <c r="A5447" s="9" t="s">
        <v>483</v>
      </c>
      <c r="B5447" s="9" t="s">
        <v>808</v>
      </c>
      <c r="C5447" s="3">
        <v>116941</v>
      </c>
      <c r="D5447" s="3" t="s">
        <v>941</v>
      </c>
      <c r="E5447" s="4"/>
      <c r="F5447" s="3" t="s">
        <v>122</v>
      </c>
      <c r="G5447" s="9"/>
      <c r="H5447" s="9"/>
      <c r="I5447" s="12"/>
      <c r="J5447" s="5" t="e">
        <f>SUM(SUMIFS(#REF!,#REF!,Planning[[#This Row],[Tipo de Tarea y especialidad]],#REF!,Planning[[#This Row],[Proyectos Reiwa]]),SUMIFS(#REF!,#REF!,Planning[[#This Row],[Tipo de Tarea y especialidad]],#REF!,Planning[[#This Row],[Proyectos]]))</f>
        <v>#REF!</v>
      </c>
      <c r="K5447" s="5" t="e">
        <f>+Planning[[#This Row],[Horas Planificadas]]+Planning[[#This Row],[Horas ajustadas adicionales]]-Planning[[#This Row],[Horas utilizadas]]</f>
        <v>#REF!</v>
      </c>
      <c r="L5447" s="7" t="e">
        <f>Planning[[#This Row],[Saldo]]</f>
        <v>#REF!</v>
      </c>
      <c r="M5447" s="19" t="e">
        <f>Planning[[#This Row],[Saldo]]-Planning[[#This Row],[Saldo estimado]]</f>
        <v>#REF!</v>
      </c>
      <c r="N5447" s="60" t="e">
        <f>+SUMIFS(#REF!,#REF!,Planning[[#This Row],[Proyectos]],#REF!,Planning[[#This Row],[Tipo de Tarea y especialidad]])+SUMIFS(#REF!,#REF!,Planning[[#This Row],[Proyectos Reiwa]],#REF!,Planning[[#This Row],[Tipo de Tarea y especialidad]])</f>
        <v>#REF!</v>
      </c>
      <c r="O5447" s="19">
        <f t="shared" si="171"/>
        <v>10</v>
      </c>
      <c r="P5447" s="19">
        <f t="shared" si="172"/>
        <v>2024</v>
      </c>
      <c r="Q54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47" s="34" t="str">
        <f>TEXT(Planning[[#This Row],[Mes]]*29,"mmmm")</f>
        <v>October</v>
      </c>
      <c r="S544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47" s="104" t="s">
        <v>944</v>
      </c>
    </row>
    <row r="5448" spans="1:23" x14ac:dyDescent="0.2">
      <c r="A5448" s="9" t="s">
        <v>483</v>
      </c>
      <c r="B5448" s="9" t="s">
        <v>808</v>
      </c>
      <c r="C5448" s="3">
        <v>116941</v>
      </c>
      <c r="D5448" s="3" t="s">
        <v>941</v>
      </c>
      <c r="E5448" s="4"/>
      <c r="F5448" s="3" t="s">
        <v>123</v>
      </c>
      <c r="G5448" s="9"/>
      <c r="H5448" s="9">
        <v>0</v>
      </c>
      <c r="I5448" s="12"/>
      <c r="J5448" s="5" t="e">
        <f>SUM(SUMIFS(#REF!,#REF!,Planning[[#This Row],[Tipo de Tarea y especialidad]],#REF!,Planning[[#This Row],[Proyectos Reiwa]]),SUMIFS(#REF!,#REF!,Planning[[#This Row],[Tipo de Tarea y especialidad]],#REF!,Planning[[#This Row],[Proyectos]]))</f>
        <v>#REF!</v>
      </c>
      <c r="K5448" s="5" t="e">
        <f>+Planning[[#This Row],[Horas Planificadas]]+Planning[[#This Row],[Horas ajustadas adicionales]]-Planning[[#This Row],[Horas utilizadas]]</f>
        <v>#REF!</v>
      </c>
      <c r="L5448" s="7" t="e">
        <f>Planning[[#This Row],[Saldo]]</f>
        <v>#REF!</v>
      </c>
      <c r="M5448" s="19" t="e">
        <f>Planning[[#This Row],[Saldo]]-Planning[[#This Row],[Saldo estimado]]</f>
        <v>#REF!</v>
      </c>
      <c r="N5448" s="60" t="e">
        <f>+SUMIFS(#REF!,#REF!,Planning[[#This Row],[Proyectos]],#REF!,Planning[[#This Row],[Tipo de Tarea y especialidad]])+SUMIFS(#REF!,#REF!,Planning[[#This Row],[Proyectos Reiwa]],#REF!,Planning[[#This Row],[Tipo de Tarea y especialidad]])</f>
        <v>#REF!</v>
      </c>
      <c r="O5448" s="19">
        <f t="shared" si="171"/>
        <v>10</v>
      </c>
      <c r="P5448" s="19">
        <f t="shared" si="172"/>
        <v>2024</v>
      </c>
      <c r="Q54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48" s="34" t="str">
        <f>TEXT(Planning[[#This Row],[Mes]]*29,"mmmm")</f>
        <v>October</v>
      </c>
      <c r="S544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48" s="104" t="s">
        <v>945</v>
      </c>
    </row>
    <row r="5449" spans="1:23" x14ac:dyDescent="0.2">
      <c r="A5449" s="9" t="s">
        <v>483</v>
      </c>
      <c r="B5449" s="9" t="s">
        <v>808</v>
      </c>
      <c r="C5449" s="3">
        <v>116941</v>
      </c>
      <c r="D5449" s="3" t="s">
        <v>941</v>
      </c>
      <c r="E5449" s="4"/>
      <c r="F5449" s="3" t="s">
        <v>124</v>
      </c>
      <c r="G5449" s="9">
        <v>220</v>
      </c>
      <c r="H5449" s="9">
        <v>220</v>
      </c>
      <c r="I5449" s="12"/>
      <c r="J5449" s="5" t="e">
        <f>SUM(SUMIFS(#REF!,#REF!,Planning[[#This Row],[Tipo de Tarea y especialidad]],#REF!,Planning[[#This Row],[Proyectos Reiwa]]),SUMIFS(#REF!,#REF!,Planning[[#This Row],[Tipo de Tarea y especialidad]],#REF!,Planning[[#This Row],[Proyectos]]))</f>
        <v>#REF!</v>
      </c>
      <c r="K5449" s="5" t="e">
        <f>+Planning[[#This Row],[Horas Planificadas]]+Planning[[#This Row],[Horas ajustadas adicionales]]-Planning[[#This Row],[Horas utilizadas]]</f>
        <v>#REF!</v>
      </c>
      <c r="L5449" s="7" t="e">
        <f>Planning[[#This Row],[Saldo]]</f>
        <v>#REF!</v>
      </c>
      <c r="M5449" s="19" t="e">
        <f>Planning[[#This Row],[Saldo]]-Planning[[#This Row],[Saldo estimado]]</f>
        <v>#REF!</v>
      </c>
      <c r="N5449" s="60" t="e">
        <f>+SUMIFS(#REF!,#REF!,Planning[[#This Row],[Proyectos]],#REF!,Planning[[#This Row],[Tipo de Tarea y especialidad]])+SUMIFS(#REF!,#REF!,Planning[[#This Row],[Proyectos Reiwa]],#REF!,Planning[[#This Row],[Tipo de Tarea y especialidad]])</f>
        <v>#REF!</v>
      </c>
      <c r="O5449" s="19">
        <f t="shared" si="171"/>
        <v>10</v>
      </c>
      <c r="P5449" s="19">
        <f t="shared" si="172"/>
        <v>2024</v>
      </c>
      <c r="Q54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49" s="34" t="str">
        <f>TEXT(Planning[[#This Row],[Mes]]*29,"mmmm")</f>
        <v>October</v>
      </c>
      <c r="S544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49" s="104"/>
    </row>
    <row r="5450" spans="1:23" x14ac:dyDescent="0.2">
      <c r="A5450" s="9" t="s">
        <v>483</v>
      </c>
      <c r="B5450" s="9" t="s">
        <v>808</v>
      </c>
      <c r="C5450" s="3">
        <v>116941</v>
      </c>
      <c r="D5450" s="3" t="s">
        <v>941</v>
      </c>
      <c r="E5450" s="4"/>
      <c r="F5450" s="3" t="s">
        <v>125</v>
      </c>
      <c r="G5450" s="9"/>
      <c r="H5450" s="9">
        <v>30</v>
      </c>
      <c r="I5450" s="12"/>
      <c r="J5450" s="5" t="e">
        <f>SUM(SUMIFS(#REF!,#REF!,Planning[[#This Row],[Tipo de Tarea y especialidad]],#REF!,Planning[[#This Row],[Proyectos Reiwa]]),SUMIFS(#REF!,#REF!,Planning[[#This Row],[Tipo de Tarea y especialidad]],#REF!,Planning[[#This Row],[Proyectos]]))</f>
        <v>#REF!</v>
      </c>
      <c r="K5450" s="5" t="e">
        <f>+Planning[[#This Row],[Horas Planificadas]]+Planning[[#This Row],[Horas ajustadas adicionales]]-Planning[[#This Row],[Horas utilizadas]]</f>
        <v>#REF!</v>
      </c>
      <c r="L5450" s="7" t="e">
        <f>Planning[[#This Row],[Saldo]]</f>
        <v>#REF!</v>
      </c>
      <c r="M5450" s="19" t="e">
        <f>Planning[[#This Row],[Saldo]]-Planning[[#This Row],[Saldo estimado]]</f>
        <v>#REF!</v>
      </c>
      <c r="N5450" s="60" t="e">
        <f>+SUMIFS(#REF!,#REF!,Planning[[#This Row],[Proyectos]],#REF!,Planning[[#This Row],[Tipo de Tarea y especialidad]])+SUMIFS(#REF!,#REF!,Planning[[#This Row],[Proyectos Reiwa]],#REF!,Planning[[#This Row],[Tipo de Tarea y especialidad]])</f>
        <v>#REF!</v>
      </c>
      <c r="O5450" s="19">
        <f t="shared" si="171"/>
        <v>10</v>
      </c>
      <c r="P5450" s="19">
        <f t="shared" si="172"/>
        <v>2024</v>
      </c>
      <c r="Q54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50" s="34" t="str">
        <f>TEXT(Planning[[#This Row],[Mes]]*29,"mmmm")</f>
        <v>October</v>
      </c>
      <c r="S545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50" s="104" t="s">
        <v>946</v>
      </c>
    </row>
    <row r="5451" spans="1:23" x14ac:dyDescent="0.2">
      <c r="A5451" s="9" t="s">
        <v>483</v>
      </c>
      <c r="B5451" s="9" t="s">
        <v>808</v>
      </c>
      <c r="C5451" s="3">
        <v>116941</v>
      </c>
      <c r="D5451" s="3" t="s">
        <v>941</v>
      </c>
      <c r="E5451" s="4"/>
      <c r="F5451" s="3" t="s">
        <v>126</v>
      </c>
      <c r="G5451" s="9"/>
      <c r="H5451" s="9"/>
      <c r="I5451" s="12"/>
      <c r="J5451" s="5" t="e">
        <f>SUM(SUMIFS(#REF!,#REF!,Planning[[#This Row],[Tipo de Tarea y especialidad]],#REF!,Planning[[#This Row],[Proyectos Reiwa]]),SUMIFS(#REF!,#REF!,Planning[[#This Row],[Tipo de Tarea y especialidad]],#REF!,Planning[[#This Row],[Proyectos]]))</f>
        <v>#REF!</v>
      </c>
      <c r="K5451" s="5" t="e">
        <f>+Planning[[#This Row],[Horas Planificadas]]+Planning[[#This Row],[Horas ajustadas adicionales]]-Planning[[#This Row],[Horas utilizadas]]</f>
        <v>#REF!</v>
      </c>
      <c r="L5451" s="7" t="e">
        <f>Planning[[#This Row],[Saldo]]</f>
        <v>#REF!</v>
      </c>
      <c r="M5451" s="19" t="e">
        <f>Planning[[#This Row],[Saldo]]-Planning[[#This Row],[Saldo estimado]]</f>
        <v>#REF!</v>
      </c>
      <c r="N5451" s="60" t="e">
        <f>+SUMIFS(#REF!,#REF!,Planning[[#This Row],[Proyectos]],#REF!,Planning[[#This Row],[Tipo de Tarea y especialidad]])+SUMIFS(#REF!,#REF!,Planning[[#This Row],[Proyectos Reiwa]],#REF!,Planning[[#This Row],[Tipo de Tarea y especialidad]])</f>
        <v>#REF!</v>
      </c>
      <c r="O5451" s="19">
        <f t="shared" si="171"/>
        <v>10</v>
      </c>
      <c r="P5451" s="19">
        <f t="shared" si="172"/>
        <v>2024</v>
      </c>
      <c r="Q54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51" s="34" t="str">
        <f>TEXT(Planning[[#This Row],[Mes]]*29,"mmmm")</f>
        <v>October</v>
      </c>
      <c r="S545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51" s="104"/>
    </row>
    <row r="5452" spans="1:23" x14ac:dyDescent="0.2">
      <c r="A5452" s="9" t="s">
        <v>483</v>
      </c>
      <c r="B5452" s="9" t="s">
        <v>808</v>
      </c>
      <c r="C5452" s="3">
        <v>116941</v>
      </c>
      <c r="D5452" s="3" t="s">
        <v>941</v>
      </c>
      <c r="E5452" s="4"/>
      <c r="F5452" s="3" t="s">
        <v>127</v>
      </c>
      <c r="G5452" s="9"/>
      <c r="H5452" s="9"/>
      <c r="I5452" s="12"/>
      <c r="J5452" s="5" t="e">
        <f>SUM(SUMIFS(#REF!,#REF!,Planning[[#This Row],[Tipo de Tarea y especialidad]],#REF!,Planning[[#This Row],[Proyectos Reiwa]]),SUMIFS(#REF!,#REF!,Planning[[#This Row],[Tipo de Tarea y especialidad]],#REF!,Planning[[#This Row],[Proyectos]]))</f>
        <v>#REF!</v>
      </c>
      <c r="K5452" s="5" t="e">
        <f>+Planning[[#This Row],[Horas Planificadas]]+Planning[[#This Row],[Horas ajustadas adicionales]]-Planning[[#This Row],[Horas utilizadas]]</f>
        <v>#REF!</v>
      </c>
      <c r="L5452" s="7">
        <v>0</v>
      </c>
      <c r="M5452" s="19" t="e">
        <f>Planning[[#This Row],[Saldo]]-Planning[[#This Row],[Saldo estimado]]</f>
        <v>#REF!</v>
      </c>
      <c r="N5452" s="60" t="e">
        <f>+SUMIFS(#REF!,#REF!,Planning[[#This Row],[Proyectos]],#REF!,Planning[[#This Row],[Tipo de Tarea y especialidad]])+SUMIFS(#REF!,#REF!,Planning[[#This Row],[Proyectos Reiwa]],#REF!,Planning[[#This Row],[Tipo de Tarea y especialidad]])</f>
        <v>#REF!</v>
      </c>
      <c r="O5452" s="19">
        <f t="shared" si="171"/>
        <v>10</v>
      </c>
      <c r="P5452" s="19">
        <f t="shared" si="172"/>
        <v>2024</v>
      </c>
      <c r="Q54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52" s="34" t="str">
        <f>TEXT(Planning[[#This Row],[Mes]]*29,"mmmm")</f>
        <v>October</v>
      </c>
      <c r="S545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52" s="104" t="s">
        <v>947</v>
      </c>
    </row>
    <row r="5453" spans="1:23" x14ac:dyDescent="0.2">
      <c r="A5453" s="9" t="s">
        <v>483</v>
      </c>
      <c r="B5453" s="9" t="s">
        <v>808</v>
      </c>
      <c r="C5453" s="3">
        <v>116941</v>
      </c>
      <c r="D5453" s="3" t="s">
        <v>941</v>
      </c>
      <c r="E5453" s="4"/>
      <c r="F5453" s="3" t="s">
        <v>128</v>
      </c>
      <c r="G5453" s="9">
        <v>120</v>
      </c>
      <c r="H5453" s="9">
        <v>90</v>
      </c>
      <c r="I5453" s="12"/>
      <c r="J5453" s="5" t="e">
        <f>SUM(SUMIFS(#REF!,#REF!,Planning[[#This Row],[Tipo de Tarea y especialidad]],#REF!,Planning[[#This Row],[Proyectos Reiwa]]),SUMIFS(#REF!,#REF!,Planning[[#This Row],[Tipo de Tarea y especialidad]],#REF!,Planning[[#This Row],[Proyectos]]))</f>
        <v>#REF!</v>
      </c>
      <c r="K5453" s="5" t="e">
        <f>+Planning[[#This Row],[Horas Planificadas]]+Planning[[#This Row],[Horas ajustadas adicionales]]-Planning[[#This Row],[Horas utilizadas]]</f>
        <v>#REF!</v>
      </c>
      <c r="L5453" s="7" t="e">
        <f>Planning[[#This Row],[Saldo]]</f>
        <v>#REF!</v>
      </c>
      <c r="M5453" s="19" t="e">
        <f>Planning[[#This Row],[Saldo]]-Planning[[#This Row],[Saldo estimado]]</f>
        <v>#REF!</v>
      </c>
      <c r="N5453" s="60" t="e">
        <f>+SUMIFS(#REF!,#REF!,Planning[[#This Row],[Proyectos]],#REF!,Planning[[#This Row],[Tipo de Tarea y especialidad]])+SUMIFS(#REF!,#REF!,Planning[[#This Row],[Proyectos Reiwa]],#REF!,Planning[[#This Row],[Tipo de Tarea y especialidad]])</f>
        <v>#REF!</v>
      </c>
      <c r="O5453" s="19">
        <f t="shared" si="171"/>
        <v>10</v>
      </c>
      <c r="P5453" s="19">
        <f t="shared" si="172"/>
        <v>2024</v>
      </c>
      <c r="Q54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53" s="34" t="str">
        <f>TEXT(Planning[[#This Row],[Mes]]*29,"mmmm")</f>
        <v>October</v>
      </c>
      <c r="S545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53" s="104" t="s">
        <v>948</v>
      </c>
    </row>
    <row r="5454" spans="1:23" x14ac:dyDescent="0.2">
      <c r="A5454" s="9" t="s">
        <v>483</v>
      </c>
      <c r="B5454" s="9" t="s">
        <v>808</v>
      </c>
      <c r="C5454" s="3">
        <v>116941</v>
      </c>
      <c r="D5454" s="3" t="s">
        <v>941</v>
      </c>
      <c r="E5454" s="4" t="s">
        <v>31</v>
      </c>
      <c r="F5454" s="3" t="s">
        <v>31</v>
      </c>
      <c r="G5454" s="9">
        <v>80</v>
      </c>
      <c r="H5454" s="17">
        <v>80</v>
      </c>
      <c r="I5454" s="18"/>
      <c r="J5454" s="14" t="e">
        <f>+SUMIFS(#REF!,#REF!,Planning[[#This Row],[Tarifa]],#REF!,Planning[[#This Row],[Proyectos]])</f>
        <v>#REF!</v>
      </c>
      <c r="K5454" s="14" t="e">
        <f>+Planning[[#This Row],[Horas Planificadas]]+Planning[[#This Row],[Horas ajustadas adicionales]]-Planning[[#This Row],[Horas utilizadas]]</f>
        <v>#REF!</v>
      </c>
      <c r="L5454" s="15" t="e">
        <f>Planning[[#This Row],[Saldo]]</f>
        <v>#REF!</v>
      </c>
      <c r="M5454" s="16" t="e">
        <f>Planning[[#This Row],[Saldo]]-Planning[[#This Row],[Saldo estimado]]</f>
        <v>#REF!</v>
      </c>
      <c r="N5454" s="60" t="e">
        <f>+SUMIFS(#REF!,#REF!,Planning[[#This Row],[Proyectos]],#REF!,Planning[[#This Row],[Tipo de Tarea y especialidad]])+SUMIFS(#REF!,#REF!,Planning[[#This Row],[Proyectos Reiwa]],#REF!,Planning[[#This Row],[Tipo de Tarea y especialidad]])</f>
        <v>#REF!</v>
      </c>
      <c r="O5454" s="16">
        <f t="shared" si="171"/>
        <v>10</v>
      </c>
      <c r="P5454" s="16">
        <f t="shared" si="172"/>
        <v>2024</v>
      </c>
      <c r="Q5454" s="16" t="e">
        <f>+SUMIFS(#REF!,#REF!,Planning[[#This Row],[Tarifa]],#REF!,Planning[[#This Row],[Proyectos]],#REF!,Planning[[#This Row],[Mes]],#REF!,Planning[[#This Row],[Año]])</f>
        <v>#REF!</v>
      </c>
      <c r="R5454" s="35" t="str">
        <f>TEXT(Planning[[#This Row],[Mes]]*29,"mmmm")</f>
        <v>October</v>
      </c>
      <c r="S545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54" s="104"/>
    </row>
    <row r="5455" spans="1:23" ht="22.5" x14ac:dyDescent="0.2">
      <c r="A5455" s="9" t="s">
        <v>483</v>
      </c>
      <c r="B5455" s="9" t="s">
        <v>808</v>
      </c>
      <c r="C5455" s="3">
        <v>116941</v>
      </c>
      <c r="D5455" s="3" t="s">
        <v>941</v>
      </c>
      <c r="E5455" s="4" t="s">
        <v>32</v>
      </c>
      <c r="F5455" s="3"/>
      <c r="G5455" s="9">
        <v>152</v>
      </c>
      <c r="H5455" s="14">
        <f>SUM(H5456:H5458)</f>
        <v>160</v>
      </c>
      <c r="I5455" s="14"/>
      <c r="J5455" s="14" t="e">
        <f>SUM(J5456:J5458)</f>
        <v>#REF!</v>
      </c>
      <c r="K5455" s="14" t="e">
        <f>+Planning[[#This Row],[Horas Planificadas]]+Planning[[#This Row],[Horas ajustadas adicionales]]-Planning[[#This Row],[Horas utilizadas]]</f>
        <v>#REF!</v>
      </c>
      <c r="L5455" s="15" t="e">
        <f>SUM(L5456:L5458)</f>
        <v>#REF!</v>
      </c>
      <c r="M5455" s="16" t="e">
        <f>SUM(M5456:M5458)</f>
        <v>#REF!</v>
      </c>
      <c r="N5455" s="60" t="e">
        <f>+SUMIFS(#REF!,#REF!,Planning[[#This Row],[Proyectos]],#REF!,Planning[[#This Row],[Tipo de Tarea y especialidad]])+SUMIFS(#REF!,#REF!,Planning[[#This Row],[Proyectos Reiwa]],#REF!,Planning[[#This Row],[Tipo de Tarea y especialidad]])</f>
        <v>#REF!</v>
      </c>
      <c r="O5455" s="16">
        <f t="shared" si="171"/>
        <v>10</v>
      </c>
      <c r="P5455" s="16">
        <f t="shared" si="172"/>
        <v>2024</v>
      </c>
      <c r="Q5455" s="16" t="e">
        <f>SUM(Q5456:Q5458)</f>
        <v>#REF!</v>
      </c>
      <c r="R5455" s="35" t="str">
        <f>TEXT(Planning[[#This Row],[Mes]]*29,"mmmm")</f>
        <v>October</v>
      </c>
      <c r="S545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55" s="104"/>
    </row>
    <row r="5456" spans="1:23" x14ac:dyDescent="0.2">
      <c r="A5456" s="9" t="s">
        <v>483</v>
      </c>
      <c r="B5456" s="9" t="s">
        <v>808</v>
      </c>
      <c r="C5456" s="3">
        <v>116941</v>
      </c>
      <c r="D5456" s="3" t="s">
        <v>941</v>
      </c>
      <c r="E5456" s="4"/>
      <c r="F5456" s="3" t="s">
        <v>129</v>
      </c>
      <c r="G5456" s="9"/>
      <c r="H5456" s="9">
        <v>0</v>
      </c>
      <c r="I5456" s="12"/>
      <c r="J5456" s="5" t="e">
        <f>SUM(SUMIFS(#REF!,#REF!,Planning[[#This Row],[Tipo de Tarea y especialidad]],#REF!,Planning[[#This Row],[Proyectos Reiwa]]),SUMIFS(#REF!,#REF!,Planning[[#This Row],[Tipo de Tarea y especialidad]],#REF!,Planning[[#This Row],[Proyectos]]))</f>
        <v>#REF!</v>
      </c>
      <c r="K5456" s="5" t="e">
        <f>+Planning[[#This Row],[Horas Planificadas]]+Planning[[#This Row],[Horas ajustadas adicionales]]-Planning[[#This Row],[Horas utilizadas]]</f>
        <v>#REF!</v>
      </c>
      <c r="L5456" s="7" t="e">
        <f>Planning[[#This Row],[Saldo]]</f>
        <v>#REF!</v>
      </c>
      <c r="M5456" s="19" t="e">
        <f>Planning[[#This Row],[Saldo]]-Planning[[#This Row],[Saldo estimado]]</f>
        <v>#REF!</v>
      </c>
      <c r="N5456" s="60" t="e">
        <f>+SUMIFS(#REF!,#REF!,Planning[[#This Row],[Proyectos]],#REF!,Planning[[#This Row],[Tipo de Tarea y especialidad]])+SUMIFS(#REF!,#REF!,Planning[[#This Row],[Proyectos Reiwa]],#REF!,Planning[[#This Row],[Tipo de Tarea y especialidad]])</f>
        <v>#REF!</v>
      </c>
      <c r="O5456" s="19">
        <f t="shared" si="171"/>
        <v>10</v>
      </c>
      <c r="P5456" s="19">
        <f t="shared" si="172"/>
        <v>2024</v>
      </c>
      <c r="Q54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56" s="34" t="str">
        <f>TEXT(Planning[[#This Row],[Mes]]*29,"mmmm")</f>
        <v>October</v>
      </c>
      <c r="S545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56" s="104"/>
    </row>
    <row r="5457" spans="1:20" x14ac:dyDescent="0.2">
      <c r="A5457" s="9" t="s">
        <v>483</v>
      </c>
      <c r="B5457" s="9" t="s">
        <v>808</v>
      </c>
      <c r="C5457" s="3">
        <v>116941</v>
      </c>
      <c r="D5457" s="3" t="s">
        <v>941</v>
      </c>
      <c r="E5457" s="4"/>
      <c r="F5457" s="3" t="s">
        <v>130</v>
      </c>
      <c r="G5457" s="9"/>
      <c r="H5457" s="9">
        <v>0</v>
      </c>
      <c r="I5457" s="12"/>
      <c r="J5457" s="5" t="e">
        <f>SUM(SUMIFS(#REF!,#REF!,Planning[[#This Row],[Tipo de Tarea y especialidad]],#REF!,Planning[[#This Row],[Proyectos Reiwa]]),SUMIFS(#REF!,#REF!,Planning[[#This Row],[Tipo de Tarea y especialidad]],#REF!,Planning[[#This Row],[Proyectos]]))</f>
        <v>#REF!</v>
      </c>
      <c r="K5457" s="5" t="e">
        <f>+Planning[[#This Row],[Horas Planificadas]]+Planning[[#This Row],[Horas ajustadas adicionales]]-Planning[[#This Row],[Horas utilizadas]]</f>
        <v>#REF!</v>
      </c>
      <c r="L5457" s="7" t="e">
        <f>Planning[[#This Row],[Saldo]]</f>
        <v>#REF!</v>
      </c>
      <c r="M5457" s="19" t="e">
        <f>Planning[[#This Row],[Saldo]]-Planning[[#This Row],[Saldo estimado]]</f>
        <v>#REF!</v>
      </c>
      <c r="N5457" s="60" t="e">
        <f>+SUMIFS(#REF!,#REF!,Planning[[#This Row],[Proyectos]],#REF!,Planning[[#This Row],[Tipo de Tarea y especialidad]])+SUMIFS(#REF!,#REF!,Planning[[#This Row],[Proyectos Reiwa]],#REF!,Planning[[#This Row],[Tipo de Tarea y especialidad]])</f>
        <v>#REF!</v>
      </c>
      <c r="O5457" s="19">
        <f t="shared" si="171"/>
        <v>10</v>
      </c>
      <c r="P5457" s="19">
        <f t="shared" si="172"/>
        <v>2024</v>
      </c>
      <c r="Q54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57" s="34" t="str">
        <f>TEXT(Planning[[#This Row],[Mes]]*29,"mmmm")</f>
        <v>October</v>
      </c>
      <c r="S545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57" s="104"/>
    </row>
    <row r="5458" spans="1:20" x14ac:dyDescent="0.2">
      <c r="A5458" s="9" t="s">
        <v>483</v>
      </c>
      <c r="B5458" s="9" t="s">
        <v>808</v>
      </c>
      <c r="C5458" s="3">
        <v>116941</v>
      </c>
      <c r="D5458" s="3" t="s">
        <v>941</v>
      </c>
      <c r="E5458" s="4"/>
      <c r="F5458" s="3" t="s">
        <v>131</v>
      </c>
      <c r="G5458" s="9">
        <v>152</v>
      </c>
      <c r="H5458" s="9">
        <v>160</v>
      </c>
      <c r="I5458" s="12"/>
      <c r="J5458" s="5" t="e">
        <f>SUM(SUMIFS(#REF!,#REF!,Planning[[#This Row],[Tipo de Tarea y especialidad]],#REF!,Planning[[#This Row],[Proyectos Reiwa]]),SUMIFS(#REF!,#REF!,Planning[[#This Row],[Tipo de Tarea y especialidad]],#REF!,Planning[[#This Row],[Proyectos]]))</f>
        <v>#REF!</v>
      </c>
      <c r="K5458" s="5" t="e">
        <f>+Planning[[#This Row],[Horas Planificadas]]+Planning[[#This Row],[Horas ajustadas adicionales]]-Planning[[#This Row],[Horas utilizadas]]</f>
        <v>#REF!</v>
      </c>
      <c r="L5458" s="7" t="e">
        <f>Planning[[#This Row],[Saldo]]</f>
        <v>#REF!</v>
      </c>
      <c r="M5458" s="19" t="e">
        <f>Planning[[#This Row],[Saldo]]-Planning[[#This Row],[Saldo estimado]]</f>
        <v>#REF!</v>
      </c>
      <c r="N5458" s="60" t="e">
        <f>+SUMIFS(#REF!,#REF!,Planning[[#This Row],[Proyectos]],#REF!,Planning[[#This Row],[Tipo de Tarea y especialidad]])+SUMIFS(#REF!,#REF!,Planning[[#This Row],[Proyectos Reiwa]],#REF!,Planning[[#This Row],[Tipo de Tarea y especialidad]])</f>
        <v>#REF!</v>
      </c>
      <c r="O5458" s="19">
        <f t="shared" si="171"/>
        <v>10</v>
      </c>
      <c r="P5458" s="19">
        <f t="shared" si="172"/>
        <v>2024</v>
      </c>
      <c r="Q54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58" s="34" t="str">
        <f>TEXT(Planning[[#This Row],[Mes]]*29,"mmmm")</f>
        <v>October</v>
      </c>
      <c r="S545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58" s="105"/>
    </row>
    <row r="5459" spans="1:20" ht="22.5" x14ac:dyDescent="0.2">
      <c r="A5459" s="9" t="s">
        <v>483</v>
      </c>
      <c r="B5459" s="9" t="s">
        <v>118</v>
      </c>
      <c r="C5459" s="3">
        <v>116945</v>
      </c>
      <c r="D5459" s="3" t="s">
        <v>949</v>
      </c>
      <c r="E5459" s="4" t="s">
        <v>28</v>
      </c>
      <c r="F5459" s="3"/>
      <c r="G5459" s="9"/>
      <c r="H5459" s="14">
        <f>SUM(H5460:H5461)</f>
        <v>2640</v>
      </c>
      <c r="I5459" s="14"/>
      <c r="J5459" s="14" t="e">
        <f>SUM(J5460:J5461)</f>
        <v>#REF!</v>
      </c>
      <c r="K5459" s="14" t="e">
        <f>+Planning[[#This Row],[Horas Planificadas]]+Planning[[#This Row],[Horas ajustadas adicionales]]-Planning[[#This Row],[Horas utilizadas]]</f>
        <v>#REF!</v>
      </c>
      <c r="L5459" s="15">
        <f>SUM(L5460:L5461)</f>
        <v>36</v>
      </c>
      <c r="M5459" s="14" t="e">
        <f>SUM(M5460:M5461)</f>
        <v>#REF!</v>
      </c>
      <c r="N5459" s="60" t="e">
        <f>+SUMIFS(#REF!,#REF!,Planning[[#This Row],[Proyectos]],#REF!,Planning[[#This Row],[Tipo de Tarea y especialidad]])+SUMIFS(#REF!,#REF!,Planning[[#This Row],[Proyectos Reiwa]],#REF!,Planning[[#This Row],[Tipo de Tarea y especialidad]])</f>
        <v>#REF!</v>
      </c>
      <c r="O5459" s="14">
        <f t="shared" si="171"/>
        <v>10</v>
      </c>
      <c r="P5459" s="14">
        <f t="shared" si="172"/>
        <v>2024</v>
      </c>
      <c r="Q5459" s="28" t="e">
        <f>SUM(Q5460:Q5461)</f>
        <v>#REF!</v>
      </c>
      <c r="R5459" s="25" t="str">
        <f>TEXT(Planning[[#This Row],[Mes]]*29,"mmmm")</f>
        <v>October</v>
      </c>
      <c r="S545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59" s="174" t="s">
        <v>950</v>
      </c>
    </row>
    <row r="5460" spans="1:20" x14ac:dyDescent="0.2">
      <c r="A5460" s="9" t="s">
        <v>483</v>
      </c>
      <c r="B5460" s="9" t="s">
        <v>118</v>
      </c>
      <c r="C5460" s="3">
        <v>116945</v>
      </c>
      <c r="D5460" s="3" t="s">
        <v>949</v>
      </c>
      <c r="E5460" s="4"/>
      <c r="F5460" s="3" t="s">
        <v>120</v>
      </c>
      <c r="G5460" s="9">
        <v>1540</v>
      </c>
      <c r="H5460" s="9">
        <v>1610</v>
      </c>
      <c r="I5460" s="12">
        <v>36</v>
      </c>
      <c r="J5460" s="5" t="e">
        <f>SUM(SUMIFS(#REF!,#REF!,Planning[[#This Row],[Tipo de Tarea y especialidad]],#REF!,Planning[[#This Row],[Proyectos Reiwa]]),SUMIFS(#REF!,#REF!,Planning[[#This Row],[Tipo de Tarea y especialidad]],#REF!,Planning[[#This Row],[Proyectos]]))</f>
        <v>#REF!</v>
      </c>
      <c r="K5460" s="5" t="e">
        <f>+Planning[[#This Row],[Horas Planificadas]]+Planning[[#This Row],[Horas ajustadas adicionales]]-Planning[[#This Row],[Horas utilizadas]]</f>
        <v>#REF!</v>
      </c>
      <c r="L5460" s="7">
        <v>0</v>
      </c>
      <c r="M5460" s="19" t="e">
        <f>Planning[[#This Row],[Saldo]]-Planning[[#This Row],[Saldo estimado]]</f>
        <v>#REF!</v>
      </c>
      <c r="N5460" s="60" t="e">
        <f>+SUMIFS(#REF!,#REF!,Planning[[#This Row],[Proyectos]],#REF!,Planning[[#This Row],[Tipo de Tarea y especialidad]])+SUMIFS(#REF!,#REF!,Planning[[#This Row],[Proyectos Reiwa]],#REF!,Planning[[#This Row],[Tipo de Tarea y especialidad]])</f>
        <v>#REF!</v>
      </c>
      <c r="O5460" s="19">
        <f t="shared" si="171"/>
        <v>10</v>
      </c>
      <c r="P5460" s="19">
        <f t="shared" si="172"/>
        <v>2024</v>
      </c>
      <c r="Q54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60" s="49" t="str">
        <f>TEXT(Planning[[#This Row],[Mes]]*29,"mmmm")</f>
        <v>October</v>
      </c>
      <c r="S546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60" s="159"/>
    </row>
    <row r="5461" spans="1:20" x14ac:dyDescent="0.2">
      <c r="A5461" s="9" t="s">
        <v>483</v>
      </c>
      <c r="B5461" s="9" t="s">
        <v>118</v>
      </c>
      <c r="C5461" s="3">
        <v>116945</v>
      </c>
      <c r="D5461" s="3" t="s">
        <v>949</v>
      </c>
      <c r="E5461" s="4"/>
      <c r="F5461" s="3" t="s">
        <v>121</v>
      </c>
      <c r="G5461" s="9">
        <v>979</v>
      </c>
      <c r="H5461" s="9">
        <v>1030</v>
      </c>
      <c r="I5461" s="12">
        <v>9</v>
      </c>
      <c r="J5461" s="5" t="e">
        <f>SUM(SUMIFS(#REF!,#REF!,Planning[[#This Row],[Tipo de Tarea y especialidad]],#REF!,Planning[[#This Row],[Proyectos Reiwa]]),SUMIFS(#REF!,#REF!,Planning[[#This Row],[Tipo de Tarea y especialidad]],#REF!,Planning[[#This Row],[Proyectos]]))</f>
        <v>#REF!</v>
      </c>
      <c r="K5461" s="5" t="e">
        <f>+Planning[[#This Row],[Horas Planificadas]]+Planning[[#This Row],[Horas ajustadas adicionales]]-Planning[[#This Row],[Horas utilizadas]]</f>
        <v>#REF!</v>
      </c>
      <c r="L5461" s="7">
        <v>36</v>
      </c>
      <c r="M5461" s="19" t="e">
        <f>Planning[[#This Row],[Saldo]]-Planning[[#This Row],[Saldo estimado]]</f>
        <v>#REF!</v>
      </c>
      <c r="N5461" s="60" t="e">
        <f>+SUMIFS(#REF!,#REF!,Planning[[#This Row],[Proyectos]],#REF!,Planning[[#This Row],[Tipo de Tarea y especialidad]])+SUMIFS(#REF!,#REF!,Planning[[#This Row],[Proyectos Reiwa]],#REF!,Planning[[#This Row],[Tipo de Tarea y especialidad]])</f>
        <v>#REF!</v>
      </c>
      <c r="O5461" s="19">
        <f t="shared" si="171"/>
        <v>10</v>
      </c>
      <c r="P5461" s="19">
        <f t="shared" si="172"/>
        <v>2024</v>
      </c>
      <c r="Q54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61" s="49" t="str">
        <f>TEXT(Planning[[#This Row],[Mes]]*29,"mmmm")</f>
        <v>October</v>
      </c>
      <c r="S546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61" s="159"/>
    </row>
    <row r="5462" spans="1:20" x14ac:dyDescent="0.2">
      <c r="A5462" s="9" t="s">
        <v>483</v>
      </c>
      <c r="B5462" s="9" t="s">
        <v>118</v>
      </c>
      <c r="C5462" s="3">
        <v>116945</v>
      </c>
      <c r="D5462" s="3" t="s">
        <v>949</v>
      </c>
      <c r="E5462" s="4" t="s">
        <v>30</v>
      </c>
      <c r="F5462" s="3"/>
      <c r="G5462" s="9"/>
      <c r="H5462" s="14">
        <f>SUM(H5463:H5469)</f>
        <v>2535</v>
      </c>
      <c r="I5462" s="14"/>
      <c r="J5462" s="14" t="e">
        <f>SUM(J5463:J5469)</f>
        <v>#REF!</v>
      </c>
      <c r="K5462" s="14" t="e">
        <f>+Planning[[#This Row],[Horas Planificadas]]+Planning[[#This Row],[Horas ajustadas adicionales]]-Planning[[#This Row],[Horas utilizadas]]</f>
        <v>#REF!</v>
      </c>
      <c r="L5462" s="15">
        <f>SUM(L5463:L5469)</f>
        <v>80</v>
      </c>
      <c r="M5462" s="16" t="e">
        <f>SUM(M5463:M5469)</f>
        <v>#REF!</v>
      </c>
      <c r="N5462" s="60" t="e">
        <f>+SUMIFS(#REF!,#REF!,Planning[[#This Row],[Proyectos]],#REF!,Planning[[#This Row],[Tipo de Tarea y especialidad]])+SUMIFS(#REF!,#REF!,Planning[[#This Row],[Proyectos Reiwa]],#REF!,Planning[[#This Row],[Tipo de Tarea y especialidad]])</f>
        <v>#REF!</v>
      </c>
      <c r="O5462" s="16">
        <f t="shared" si="171"/>
        <v>10</v>
      </c>
      <c r="P5462" s="16">
        <f t="shared" si="172"/>
        <v>2024</v>
      </c>
      <c r="Q5462" s="16" t="e">
        <f>SUM(Q5463:Q5469)</f>
        <v>#REF!</v>
      </c>
      <c r="R5462" s="50" t="str">
        <f>TEXT(Planning[[#This Row],[Mes]]*29,"mmmm")</f>
        <v>October</v>
      </c>
      <c r="S546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62" s="159"/>
    </row>
    <row r="5463" spans="1:20" x14ac:dyDescent="0.2">
      <c r="A5463" s="9" t="s">
        <v>483</v>
      </c>
      <c r="B5463" s="9" t="s">
        <v>118</v>
      </c>
      <c r="C5463" s="3">
        <v>116945</v>
      </c>
      <c r="D5463" s="3" t="s">
        <v>949</v>
      </c>
      <c r="E5463" s="4">
        <v>1563</v>
      </c>
      <c r="F5463" s="3" t="s">
        <v>122</v>
      </c>
      <c r="G5463" s="9">
        <v>473</v>
      </c>
      <c r="H5463" s="9">
        <v>373</v>
      </c>
      <c r="I5463" s="12">
        <v>48</v>
      </c>
      <c r="J5463" s="5" t="e">
        <f>SUM(SUMIFS(#REF!,#REF!,Planning[[#This Row],[Tipo de Tarea y especialidad]],#REF!,Planning[[#This Row],[Proyectos Reiwa]]),SUMIFS(#REF!,#REF!,Planning[[#This Row],[Tipo de Tarea y especialidad]],#REF!,Planning[[#This Row],[Proyectos]]))</f>
        <v>#REF!</v>
      </c>
      <c r="K5463" s="5" t="e">
        <f>+Planning[[#This Row],[Horas Planificadas]]+Planning[[#This Row],[Horas ajustadas adicionales]]-Planning[[#This Row],[Horas utilizadas]]</f>
        <v>#REF!</v>
      </c>
      <c r="L5463" s="7">
        <v>9</v>
      </c>
      <c r="M5463" s="19" t="e">
        <f>Planning[[#This Row],[Saldo]]-Planning[[#This Row],[Saldo estimado]]</f>
        <v>#REF!</v>
      </c>
      <c r="N5463" s="60" t="e">
        <f>+SUMIFS(#REF!,#REF!,Planning[[#This Row],[Proyectos]],#REF!,Planning[[#This Row],[Tipo de Tarea y especialidad]])+SUMIFS(#REF!,#REF!,Planning[[#This Row],[Proyectos Reiwa]],#REF!,Planning[[#This Row],[Tipo de Tarea y especialidad]])</f>
        <v>#REF!</v>
      </c>
      <c r="O5463" s="19">
        <f t="shared" si="171"/>
        <v>10</v>
      </c>
      <c r="P5463" s="19">
        <f t="shared" si="172"/>
        <v>2024</v>
      </c>
      <c r="Q54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63" s="49" t="str">
        <f>TEXT(Planning[[#This Row],[Mes]]*29,"mmmm")</f>
        <v>October</v>
      </c>
      <c r="S546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63" s="159"/>
    </row>
    <row r="5464" spans="1:20" x14ac:dyDescent="0.2">
      <c r="A5464" s="9" t="s">
        <v>483</v>
      </c>
      <c r="B5464" s="9" t="s">
        <v>118</v>
      </c>
      <c r="C5464" s="3">
        <v>116945</v>
      </c>
      <c r="D5464" s="3" t="s">
        <v>949</v>
      </c>
      <c r="E5464" s="4"/>
      <c r="F5464" s="3" t="s">
        <v>123</v>
      </c>
      <c r="G5464" s="9">
        <v>380</v>
      </c>
      <c r="H5464" s="9">
        <v>480</v>
      </c>
      <c r="I5464" s="12">
        <v>18</v>
      </c>
      <c r="J5464" s="5" t="e">
        <f>SUM(SUMIFS(#REF!,#REF!,Planning[[#This Row],[Tipo de Tarea y especialidad]],#REF!,Planning[[#This Row],[Proyectos Reiwa]]),SUMIFS(#REF!,#REF!,Planning[[#This Row],[Tipo de Tarea y especialidad]],#REF!,Planning[[#This Row],[Proyectos]]))</f>
        <v>#REF!</v>
      </c>
      <c r="K5464" s="5" t="e">
        <f>+Planning[[#This Row],[Horas Planificadas]]+Planning[[#This Row],[Horas ajustadas adicionales]]-Planning[[#This Row],[Horas utilizadas]]</f>
        <v>#REF!</v>
      </c>
      <c r="L5464" s="7">
        <v>9</v>
      </c>
      <c r="M5464" s="19" t="e">
        <f>Planning[[#This Row],[Saldo]]-Planning[[#This Row],[Saldo estimado]]</f>
        <v>#REF!</v>
      </c>
      <c r="N5464" s="60" t="e">
        <f>+SUMIFS(#REF!,#REF!,Planning[[#This Row],[Proyectos]],#REF!,Planning[[#This Row],[Tipo de Tarea y especialidad]])+SUMIFS(#REF!,#REF!,Planning[[#This Row],[Proyectos Reiwa]],#REF!,Planning[[#This Row],[Tipo de Tarea y especialidad]])</f>
        <v>#REF!</v>
      </c>
      <c r="O5464" s="19">
        <f t="shared" si="171"/>
        <v>10</v>
      </c>
      <c r="P5464" s="19">
        <f t="shared" si="172"/>
        <v>2024</v>
      </c>
      <c r="Q54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64" s="49" t="str">
        <f>TEXT(Planning[[#This Row],[Mes]]*29,"mmmm")</f>
        <v>October</v>
      </c>
      <c r="S546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64" s="159"/>
    </row>
    <row r="5465" spans="1:20" x14ac:dyDescent="0.2">
      <c r="A5465" s="9" t="s">
        <v>483</v>
      </c>
      <c r="B5465" s="9" t="s">
        <v>118</v>
      </c>
      <c r="C5465" s="3">
        <v>116945</v>
      </c>
      <c r="D5465" s="3" t="s">
        <v>949</v>
      </c>
      <c r="E5465" s="4"/>
      <c r="F5465" s="3" t="s">
        <v>124</v>
      </c>
      <c r="G5465" s="9">
        <v>260</v>
      </c>
      <c r="H5465" s="9">
        <v>260</v>
      </c>
      <c r="I5465" s="12"/>
      <c r="J5465" s="5" t="e">
        <f>SUM(SUMIFS(#REF!,#REF!,Planning[[#This Row],[Tipo de Tarea y especialidad]],#REF!,Planning[[#This Row],[Proyectos Reiwa]]),SUMIFS(#REF!,#REF!,Planning[[#This Row],[Tipo de Tarea y especialidad]],#REF!,Planning[[#This Row],[Proyectos]]))</f>
        <v>#REF!</v>
      </c>
      <c r="K5465" s="5" t="e">
        <f>+Planning[[#This Row],[Horas Planificadas]]+Planning[[#This Row],[Horas ajustadas adicionales]]-Planning[[#This Row],[Horas utilizadas]]</f>
        <v>#REF!</v>
      </c>
      <c r="L5465" s="7">
        <v>8</v>
      </c>
      <c r="M5465" s="19" t="e">
        <f>Planning[[#This Row],[Saldo]]-Planning[[#This Row],[Saldo estimado]]</f>
        <v>#REF!</v>
      </c>
      <c r="N5465" s="60" t="e">
        <f>+SUMIFS(#REF!,#REF!,Planning[[#This Row],[Proyectos]],#REF!,Planning[[#This Row],[Tipo de Tarea y especialidad]])+SUMIFS(#REF!,#REF!,Planning[[#This Row],[Proyectos Reiwa]],#REF!,Planning[[#This Row],[Tipo de Tarea y especialidad]])</f>
        <v>#REF!</v>
      </c>
      <c r="O5465" s="19">
        <f t="shared" si="171"/>
        <v>10</v>
      </c>
      <c r="P5465" s="19">
        <f t="shared" si="172"/>
        <v>2024</v>
      </c>
      <c r="Q54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65" s="49" t="str">
        <f>TEXT(Planning[[#This Row],[Mes]]*29,"mmmm")</f>
        <v>October</v>
      </c>
      <c r="S546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65" s="159"/>
    </row>
    <row r="5466" spans="1:20" x14ac:dyDescent="0.2">
      <c r="A5466" s="9" t="s">
        <v>483</v>
      </c>
      <c r="B5466" s="9" t="s">
        <v>118</v>
      </c>
      <c r="C5466" s="3">
        <v>116945</v>
      </c>
      <c r="D5466" s="3" t="s">
        <v>949</v>
      </c>
      <c r="E5466" s="4"/>
      <c r="F5466" s="3" t="s">
        <v>125</v>
      </c>
      <c r="G5466" s="9">
        <v>450</v>
      </c>
      <c r="H5466" s="9">
        <v>450</v>
      </c>
      <c r="I5466" s="12">
        <v>18</v>
      </c>
      <c r="J5466" s="5" t="e">
        <f>SUM(SUMIFS(#REF!,#REF!,Planning[[#This Row],[Tipo de Tarea y especialidad]],#REF!,Planning[[#This Row],[Proyectos Reiwa]]),SUMIFS(#REF!,#REF!,Planning[[#This Row],[Tipo de Tarea y especialidad]],#REF!,Planning[[#This Row],[Proyectos]]))</f>
        <v>#REF!</v>
      </c>
      <c r="K5466" s="5" t="e">
        <f>+Planning[[#This Row],[Horas Planificadas]]+Planning[[#This Row],[Horas ajustadas adicionales]]-Planning[[#This Row],[Horas utilizadas]]</f>
        <v>#REF!</v>
      </c>
      <c r="L5466" s="7">
        <v>54</v>
      </c>
      <c r="M5466" s="19" t="e">
        <f>Planning[[#This Row],[Saldo]]-Planning[[#This Row],[Saldo estimado]]</f>
        <v>#REF!</v>
      </c>
      <c r="N5466" s="60" t="e">
        <f>+SUMIFS(#REF!,#REF!,Planning[[#This Row],[Proyectos]],#REF!,Planning[[#This Row],[Tipo de Tarea y especialidad]])+SUMIFS(#REF!,#REF!,Planning[[#This Row],[Proyectos Reiwa]],#REF!,Planning[[#This Row],[Tipo de Tarea y especialidad]])</f>
        <v>#REF!</v>
      </c>
      <c r="O5466" s="19">
        <f t="shared" si="171"/>
        <v>10</v>
      </c>
      <c r="P5466" s="19">
        <f t="shared" si="172"/>
        <v>2024</v>
      </c>
      <c r="Q54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66" s="49" t="str">
        <f>TEXT(Planning[[#This Row],[Mes]]*29,"mmmm")</f>
        <v>October</v>
      </c>
      <c r="S546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66" s="159"/>
    </row>
    <row r="5467" spans="1:20" x14ac:dyDescent="0.2">
      <c r="A5467" s="9" t="s">
        <v>483</v>
      </c>
      <c r="B5467" s="9" t="s">
        <v>118</v>
      </c>
      <c r="C5467" s="3">
        <v>116945</v>
      </c>
      <c r="D5467" s="3" t="s">
        <v>949</v>
      </c>
      <c r="E5467" s="4">
        <v>972</v>
      </c>
      <c r="F5467" s="3" t="s">
        <v>126</v>
      </c>
      <c r="G5467" s="9">
        <v>432</v>
      </c>
      <c r="H5467" s="9">
        <v>432</v>
      </c>
      <c r="I5467" s="12">
        <v>32</v>
      </c>
      <c r="J5467" s="5" t="e">
        <f>SUM(SUMIFS(#REF!,#REF!,Planning[[#This Row],[Tipo de Tarea y especialidad]],#REF!,Planning[[#This Row],[Proyectos Reiwa]]),SUMIFS(#REF!,#REF!,Planning[[#This Row],[Tipo de Tarea y especialidad]],#REF!,Planning[[#This Row],[Proyectos]]))</f>
        <v>#REF!</v>
      </c>
      <c r="K5467" s="5" t="e">
        <f>+Planning[[#This Row],[Horas Planificadas]]+Planning[[#This Row],[Horas ajustadas adicionales]]-Planning[[#This Row],[Horas utilizadas]]</f>
        <v>#REF!</v>
      </c>
      <c r="L5467" s="7">
        <v>0</v>
      </c>
      <c r="M5467" s="19" t="e">
        <f>Planning[[#This Row],[Saldo]]-Planning[[#This Row],[Saldo estimado]]</f>
        <v>#REF!</v>
      </c>
      <c r="N5467" s="60" t="e">
        <f>+SUMIFS(#REF!,#REF!,Planning[[#This Row],[Proyectos]],#REF!,Planning[[#This Row],[Tipo de Tarea y especialidad]])+SUMIFS(#REF!,#REF!,Planning[[#This Row],[Proyectos Reiwa]],#REF!,Planning[[#This Row],[Tipo de Tarea y especialidad]])</f>
        <v>#REF!</v>
      </c>
      <c r="O5467" s="19">
        <f t="shared" si="171"/>
        <v>10</v>
      </c>
      <c r="P5467" s="19">
        <f t="shared" si="172"/>
        <v>2024</v>
      </c>
      <c r="Q54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67" s="49" t="str">
        <f>TEXT(Planning[[#This Row],[Mes]]*29,"mmmm")</f>
        <v>October</v>
      </c>
      <c r="S546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67" s="159"/>
    </row>
    <row r="5468" spans="1:20" x14ac:dyDescent="0.2">
      <c r="A5468" s="9" t="s">
        <v>483</v>
      </c>
      <c r="B5468" s="9" t="s">
        <v>118</v>
      </c>
      <c r="C5468" s="3">
        <v>116945</v>
      </c>
      <c r="D5468" s="3" t="s">
        <v>949</v>
      </c>
      <c r="E5468" s="4"/>
      <c r="F5468" s="3" t="s">
        <v>127</v>
      </c>
      <c r="G5468" s="9">
        <v>320</v>
      </c>
      <c r="H5468" s="9">
        <v>320</v>
      </c>
      <c r="I5468" s="12"/>
      <c r="J5468" s="5" t="e">
        <f>SUM(SUMIFS(#REF!,#REF!,Planning[[#This Row],[Tipo de Tarea y especialidad]],#REF!,Planning[[#This Row],[Proyectos Reiwa]]),SUMIFS(#REF!,#REF!,Planning[[#This Row],[Tipo de Tarea y especialidad]],#REF!,Planning[[#This Row],[Proyectos]]))</f>
        <v>#REF!</v>
      </c>
      <c r="K5468" s="5" t="e">
        <f>+Planning[[#This Row],[Horas Planificadas]]+Planning[[#This Row],[Horas ajustadas adicionales]]-Planning[[#This Row],[Horas utilizadas]]</f>
        <v>#REF!</v>
      </c>
      <c r="L5468" s="7">
        <v>0</v>
      </c>
      <c r="M5468" s="19" t="e">
        <f>Planning[[#This Row],[Saldo]]-Planning[[#This Row],[Saldo estimado]]</f>
        <v>#REF!</v>
      </c>
      <c r="N5468" s="60" t="e">
        <f>+SUMIFS(#REF!,#REF!,Planning[[#This Row],[Proyectos]],#REF!,Planning[[#This Row],[Tipo de Tarea y especialidad]])+SUMIFS(#REF!,#REF!,Planning[[#This Row],[Proyectos Reiwa]],#REF!,Planning[[#This Row],[Tipo de Tarea y especialidad]])</f>
        <v>#REF!</v>
      </c>
      <c r="O5468" s="19">
        <f t="shared" si="171"/>
        <v>10</v>
      </c>
      <c r="P5468" s="19">
        <f t="shared" si="172"/>
        <v>2024</v>
      </c>
      <c r="Q54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68" s="49" t="str">
        <f>TEXT(Planning[[#This Row],[Mes]]*29,"mmmm")</f>
        <v>October</v>
      </c>
      <c r="S546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68" s="159"/>
    </row>
    <row r="5469" spans="1:20" x14ac:dyDescent="0.2">
      <c r="A5469" s="9" t="s">
        <v>483</v>
      </c>
      <c r="B5469" s="9" t="s">
        <v>118</v>
      </c>
      <c r="C5469" s="3">
        <v>116945</v>
      </c>
      <c r="D5469" s="3" t="s">
        <v>949</v>
      </c>
      <c r="E5469" s="4"/>
      <c r="F5469" s="3" t="s">
        <v>128</v>
      </c>
      <c r="G5469" s="9">
        <v>220</v>
      </c>
      <c r="H5469" s="9">
        <v>220</v>
      </c>
      <c r="I5469" s="12"/>
      <c r="J5469" s="5" t="e">
        <f>SUM(SUMIFS(#REF!,#REF!,Planning[[#This Row],[Tipo de Tarea y especialidad]],#REF!,Planning[[#This Row],[Proyectos Reiwa]]),SUMIFS(#REF!,#REF!,Planning[[#This Row],[Tipo de Tarea y especialidad]],#REF!,Planning[[#This Row],[Proyectos]]))</f>
        <v>#REF!</v>
      </c>
      <c r="K5469" s="5" t="e">
        <f>+Planning[[#This Row],[Horas Planificadas]]+Planning[[#This Row],[Horas ajustadas adicionales]]-Planning[[#This Row],[Horas utilizadas]]</f>
        <v>#REF!</v>
      </c>
      <c r="L5469" s="7">
        <v>0</v>
      </c>
      <c r="M5469" s="19" t="e">
        <f>Planning[[#This Row],[Saldo]]-Planning[[#This Row],[Saldo estimado]]</f>
        <v>#REF!</v>
      </c>
      <c r="N5469" s="60" t="e">
        <f>+SUMIFS(#REF!,#REF!,Planning[[#This Row],[Proyectos]],#REF!,Planning[[#This Row],[Tipo de Tarea y especialidad]])+SUMIFS(#REF!,#REF!,Planning[[#This Row],[Proyectos Reiwa]],#REF!,Planning[[#This Row],[Tipo de Tarea y especialidad]])</f>
        <v>#REF!</v>
      </c>
      <c r="O5469" s="19">
        <f t="shared" si="171"/>
        <v>10</v>
      </c>
      <c r="P5469" s="19">
        <f t="shared" si="172"/>
        <v>2024</v>
      </c>
      <c r="Q54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69" s="49" t="str">
        <f>TEXT(Planning[[#This Row],[Mes]]*29,"mmmm")</f>
        <v>October</v>
      </c>
      <c r="S546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69" s="159"/>
    </row>
    <row r="5470" spans="1:20" x14ac:dyDescent="0.2">
      <c r="A5470" s="9" t="s">
        <v>483</v>
      </c>
      <c r="B5470" s="9" t="s">
        <v>118</v>
      </c>
      <c r="C5470" s="3">
        <v>116945</v>
      </c>
      <c r="D5470" s="3" t="s">
        <v>949</v>
      </c>
      <c r="E5470" s="4" t="s">
        <v>31</v>
      </c>
      <c r="F5470" s="3" t="s">
        <v>31</v>
      </c>
      <c r="G5470" s="9"/>
      <c r="H5470" s="17"/>
      <c r="I5470" s="18"/>
      <c r="J5470" s="14" t="e">
        <f>+SUMIFS(#REF!,#REF!,Planning[[#This Row],[Tarifa]],#REF!,Planning[[#This Row],[Proyectos]])</f>
        <v>#REF!</v>
      </c>
      <c r="K5470" s="14" t="e">
        <f>+Planning[[#This Row],[Horas Planificadas]]+Planning[[#This Row],[Horas ajustadas adicionales]]-Planning[[#This Row],[Horas utilizadas]]</f>
        <v>#REF!</v>
      </c>
      <c r="L5470" s="15" t="e">
        <f>Planning[[#This Row],[Saldo]]</f>
        <v>#REF!</v>
      </c>
      <c r="M5470" s="16" t="e">
        <f>Planning[[#This Row],[Saldo]]-Planning[[#This Row],[Saldo estimado]]</f>
        <v>#REF!</v>
      </c>
      <c r="N5470" s="60" t="e">
        <f>+SUMIFS(#REF!,#REF!,Planning[[#This Row],[Proyectos]],#REF!,Planning[[#This Row],[Tipo de Tarea y especialidad]])+SUMIFS(#REF!,#REF!,Planning[[#This Row],[Proyectos Reiwa]],#REF!,Planning[[#This Row],[Tipo de Tarea y especialidad]])</f>
        <v>#REF!</v>
      </c>
      <c r="O5470" s="16">
        <f t="shared" si="171"/>
        <v>10</v>
      </c>
      <c r="P5470" s="16">
        <f t="shared" si="172"/>
        <v>2024</v>
      </c>
      <c r="Q5470" s="16" t="e">
        <f>+SUMIFS(#REF!,#REF!,Planning[[#This Row],[Tarifa]],#REF!,Planning[[#This Row],[Proyectos]],#REF!,Planning[[#This Row],[Mes]],#REF!,Planning[[#This Row],[Año]])</f>
        <v>#REF!</v>
      </c>
      <c r="R5470" s="50" t="str">
        <f>TEXT(Planning[[#This Row],[Mes]]*29,"mmmm")</f>
        <v>October</v>
      </c>
      <c r="S547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70" s="159"/>
    </row>
    <row r="5471" spans="1:20" ht="22.5" x14ac:dyDescent="0.2">
      <c r="A5471" s="9" t="s">
        <v>483</v>
      </c>
      <c r="B5471" s="9" t="s">
        <v>118</v>
      </c>
      <c r="C5471" s="3">
        <v>116945</v>
      </c>
      <c r="D5471" s="3" t="s">
        <v>949</v>
      </c>
      <c r="E5471" s="4" t="s">
        <v>32</v>
      </c>
      <c r="F5471" s="3"/>
      <c r="G5471" s="9"/>
      <c r="H5471" s="14">
        <f>SUM(H5472:H5474)</f>
        <v>1410</v>
      </c>
      <c r="I5471" s="14"/>
      <c r="J5471" s="14" t="e">
        <f>SUM(J5472:J5474)</f>
        <v>#REF!</v>
      </c>
      <c r="K5471" s="14" t="e">
        <f>+Planning[[#This Row],[Horas Planificadas]]+Planning[[#This Row],[Horas ajustadas adicionales]]-Planning[[#This Row],[Horas utilizadas]]</f>
        <v>#REF!</v>
      </c>
      <c r="L5471" s="15">
        <f>SUM(L5472:L5474)</f>
        <v>40</v>
      </c>
      <c r="M5471" s="16" t="e">
        <f>SUM(M5472:M5474)</f>
        <v>#REF!</v>
      </c>
      <c r="N5471" s="60" t="e">
        <f>+SUMIFS(#REF!,#REF!,Planning[[#This Row],[Proyectos]],#REF!,Planning[[#This Row],[Tipo de Tarea y especialidad]])+SUMIFS(#REF!,#REF!,Planning[[#This Row],[Proyectos Reiwa]],#REF!,Planning[[#This Row],[Tipo de Tarea y especialidad]])</f>
        <v>#REF!</v>
      </c>
      <c r="O5471" s="16">
        <f t="shared" si="171"/>
        <v>10</v>
      </c>
      <c r="P5471" s="16">
        <f t="shared" si="172"/>
        <v>2024</v>
      </c>
      <c r="Q5471" s="16" t="e">
        <f>SUM(Q5472:Q5474)</f>
        <v>#REF!</v>
      </c>
      <c r="R5471" s="50" t="str">
        <f>TEXT(Planning[[#This Row],[Mes]]*29,"mmmm")</f>
        <v>October</v>
      </c>
      <c r="S547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71" s="159"/>
    </row>
    <row r="5472" spans="1:20" x14ac:dyDescent="0.2">
      <c r="A5472" s="9" t="s">
        <v>483</v>
      </c>
      <c r="B5472" s="9" t="s">
        <v>118</v>
      </c>
      <c r="C5472" s="3">
        <v>116945</v>
      </c>
      <c r="D5472" s="3" t="s">
        <v>949</v>
      </c>
      <c r="E5472" s="4">
        <v>1410</v>
      </c>
      <c r="F5472" s="3" t="s">
        <v>129</v>
      </c>
      <c r="G5472" s="9">
        <v>580</v>
      </c>
      <c r="H5472" s="9">
        <v>580</v>
      </c>
      <c r="I5472" s="12">
        <v>40</v>
      </c>
      <c r="J5472" s="5" t="e">
        <f>SUM(SUMIFS(#REF!,#REF!,Planning[[#This Row],[Tipo de Tarea y especialidad]],#REF!,Planning[[#This Row],[Proyectos Reiwa]]),SUMIFS(#REF!,#REF!,Planning[[#This Row],[Tipo de Tarea y especialidad]],#REF!,Planning[[#This Row],[Proyectos]]))</f>
        <v>#REF!</v>
      </c>
      <c r="K5472" s="5" t="e">
        <f>+Planning[[#This Row],[Horas Planificadas]]+Planning[[#This Row],[Horas ajustadas adicionales]]-Planning[[#This Row],[Horas utilizadas]]</f>
        <v>#REF!</v>
      </c>
      <c r="L5472" s="7">
        <v>9</v>
      </c>
      <c r="M5472" s="19" t="e">
        <f>Planning[[#This Row],[Saldo]]-Planning[[#This Row],[Saldo estimado]]</f>
        <v>#REF!</v>
      </c>
      <c r="N5472" s="60" t="e">
        <f>+SUMIFS(#REF!,#REF!,Planning[[#This Row],[Proyectos]],#REF!,Planning[[#This Row],[Tipo de Tarea y especialidad]])+SUMIFS(#REF!,#REF!,Planning[[#This Row],[Proyectos Reiwa]],#REF!,Planning[[#This Row],[Tipo de Tarea y especialidad]])</f>
        <v>#REF!</v>
      </c>
      <c r="O5472" s="19">
        <f t="shared" si="171"/>
        <v>10</v>
      </c>
      <c r="P5472" s="19">
        <f t="shared" si="172"/>
        <v>2024</v>
      </c>
      <c r="Q54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72" s="49" t="str">
        <f>TEXT(Planning[[#This Row],[Mes]]*29,"mmmm")</f>
        <v>October</v>
      </c>
      <c r="S547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72" s="159"/>
    </row>
    <row r="5473" spans="1:20" x14ac:dyDescent="0.2">
      <c r="A5473" s="9" t="s">
        <v>483</v>
      </c>
      <c r="B5473" s="9" t="s">
        <v>118</v>
      </c>
      <c r="C5473" s="3">
        <v>116945</v>
      </c>
      <c r="D5473" s="3" t="s">
        <v>949</v>
      </c>
      <c r="E5473" s="4"/>
      <c r="F5473" s="3" t="s">
        <v>130</v>
      </c>
      <c r="G5473" s="9">
        <v>480</v>
      </c>
      <c r="H5473" s="9">
        <v>480</v>
      </c>
      <c r="I5473" s="12">
        <v>9</v>
      </c>
      <c r="J5473" s="5" t="e">
        <f>SUM(SUMIFS(#REF!,#REF!,Planning[[#This Row],[Tipo de Tarea y especialidad]],#REF!,Planning[[#This Row],[Proyectos Reiwa]]),SUMIFS(#REF!,#REF!,Planning[[#This Row],[Tipo de Tarea y especialidad]],#REF!,Planning[[#This Row],[Proyectos]]))</f>
        <v>#REF!</v>
      </c>
      <c r="K5473" s="5" t="e">
        <f>+Planning[[#This Row],[Horas Planificadas]]+Planning[[#This Row],[Horas ajustadas adicionales]]-Planning[[#This Row],[Horas utilizadas]]</f>
        <v>#REF!</v>
      </c>
      <c r="L5473" s="7">
        <v>9</v>
      </c>
      <c r="M5473" s="19" t="e">
        <f>Planning[[#This Row],[Saldo]]-Planning[[#This Row],[Saldo estimado]]</f>
        <v>#REF!</v>
      </c>
      <c r="N5473" s="60" t="e">
        <f>+SUMIFS(#REF!,#REF!,Planning[[#This Row],[Proyectos]],#REF!,Planning[[#This Row],[Tipo de Tarea y especialidad]])+SUMIFS(#REF!,#REF!,Planning[[#This Row],[Proyectos Reiwa]],#REF!,Planning[[#This Row],[Tipo de Tarea y especialidad]])</f>
        <v>#REF!</v>
      </c>
      <c r="O5473" s="19">
        <f t="shared" si="171"/>
        <v>10</v>
      </c>
      <c r="P5473" s="19">
        <f t="shared" si="172"/>
        <v>2024</v>
      </c>
      <c r="Q54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73" s="49" t="str">
        <f>TEXT(Planning[[#This Row],[Mes]]*29,"mmmm")</f>
        <v>October</v>
      </c>
      <c r="S547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73" s="159"/>
    </row>
    <row r="5474" spans="1:20" ht="14.1" customHeight="1" x14ac:dyDescent="0.2">
      <c r="A5474" s="9" t="s">
        <v>483</v>
      </c>
      <c r="B5474" s="9" t="s">
        <v>118</v>
      </c>
      <c r="C5474" s="3">
        <v>116945</v>
      </c>
      <c r="D5474" s="3" t="s">
        <v>949</v>
      </c>
      <c r="E5474" s="4"/>
      <c r="F5474" s="3" t="s">
        <v>131</v>
      </c>
      <c r="G5474" s="9">
        <v>350</v>
      </c>
      <c r="H5474" s="9">
        <v>350</v>
      </c>
      <c r="I5474" s="12"/>
      <c r="J5474" s="5" t="e">
        <f>SUM(SUMIFS(#REF!,#REF!,Planning[[#This Row],[Tipo de Tarea y especialidad]],#REF!,Planning[[#This Row],[Proyectos Reiwa]]),SUMIFS(#REF!,#REF!,Planning[[#This Row],[Tipo de Tarea y especialidad]],#REF!,Planning[[#This Row],[Proyectos]]))</f>
        <v>#REF!</v>
      </c>
      <c r="K5474" s="5" t="e">
        <f>+Planning[[#This Row],[Horas Planificadas]]+Planning[[#This Row],[Horas ajustadas adicionales]]-Planning[[#This Row],[Horas utilizadas]]</f>
        <v>#REF!</v>
      </c>
      <c r="L5474" s="7">
        <v>22</v>
      </c>
      <c r="M5474" s="19" t="e">
        <f>Planning[[#This Row],[Saldo]]-Planning[[#This Row],[Saldo estimado]]</f>
        <v>#REF!</v>
      </c>
      <c r="N5474" s="60" t="e">
        <f>+SUMIFS(#REF!,#REF!,Planning[[#This Row],[Proyectos]],#REF!,Planning[[#This Row],[Tipo de Tarea y especialidad]])+SUMIFS(#REF!,#REF!,Planning[[#This Row],[Proyectos Reiwa]],#REF!,Planning[[#This Row],[Tipo de Tarea y especialidad]])</f>
        <v>#REF!</v>
      </c>
      <c r="O5474" s="19">
        <f t="shared" si="171"/>
        <v>10</v>
      </c>
      <c r="P5474" s="19">
        <f t="shared" si="172"/>
        <v>2024</v>
      </c>
      <c r="Q54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74" s="51" t="str">
        <f>TEXT(Planning[[#This Row],[Mes]]*29,"mmmm")</f>
        <v>October</v>
      </c>
      <c r="S5474"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74" s="160"/>
    </row>
    <row r="5475" spans="1:20" ht="22.5" x14ac:dyDescent="0.2">
      <c r="A5475" s="9" t="s">
        <v>435</v>
      </c>
      <c r="B5475" s="9" t="s">
        <v>288</v>
      </c>
      <c r="C5475" s="3">
        <v>116964</v>
      </c>
      <c r="D5475" s="3" t="s">
        <v>951</v>
      </c>
      <c r="E5475" s="4" t="s">
        <v>28</v>
      </c>
      <c r="F5475" s="3"/>
      <c r="G5475" s="9"/>
      <c r="H5475" s="14">
        <f>SUM(H5476:H5477)</f>
        <v>240</v>
      </c>
      <c r="I5475" s="14"/>
      <c r="J5475" s="14" t="e">
        <f>SUM(J5476:J5477)</f>
        <v>#REF!</v>
      </c>
      <c r="K5475" s="14" t="e">
        <f>+Planning[[#This Row],[Horas Planificadas]]+Planning[[#This Row],[Horas ajustadas adicionales]]-Planning[[#This Row],[Horas utilizadas]]</f>
        <v>#REF!</v>
      </c>
      <c r="L5475" s="15">
        <f>SUM(L5476:L5477)</f>
        <v>204</v>
      </c>
      <c r="M5475" s="14" t="e">
        <f>SUM(M5476:M5477)</f>
        <v>#REF!</v>
      </c>
      <c r="N5475" s="60" t="e">
        <f>+SUMIFS(#REF!,#REF!,Planning[[#This Row],[Proyectos]],#REF!,Planning[[#This Row],[Tipo de Tarea y especialidad]])+SUMIFS(#REF!,#REF!,Planning[[#This Row],[Proyectos Reiwa]],#REF!,Planning[[#This Row],[Tipo de Tarea y especialidad]])</f>
        <v>#REF!</v>
      </c>
      <c r="O5475" s="14">
        <f t="shared" si="171"/>
        <v>10</v>
      </c>
      <c r="P5475" s="14">
        <f t="shared" si="172"/>
        <v>2024</v>
      </c>
      <c r="Q5475" s="28" t="e">
        <f>SUM(Q5476:Q5477)</f>
        <v>#REF!</v>
      </c>
      <c r="R5475" s="24" t="str">
        <f>TEXT(Planning[[#This Row],[Mes]]*29,"mmmm")</f>
        <v>October</v>
      </c>
      <c r="S5475"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75" s="151" t="s">
        <v>952</v>
      </c>
    </row>
    <row r="5476" spans="1:20" x14ac:dyDescent="0.2">
      <c r="A5476" s="9" t="s">
        <v>435</v>
      </c>
      <c r="B5476" s="9" t="s">
        <v>288</v>
      </c>
      <c r="C5476" s="3">
        <v>116964</v>
      </c>
      <c r="D5476" s="3" t="s">
        <v>951</v>
      </c>
      <c r="E5476" s="4"/>
      <c r="F5476" s="3" t="s">
        <v>120</v>
      </c>
      <c r="G5476" s="9">
        <v>180</v>
      </c>
      <c r="H5476" s="9">
        <v>180</v>
      </c>
      <c r="I5476" s="12"/>
      <c r="J5476" s="5" t="e">
        <f>SUM(SUMIFS(#REF!,#REF!,Planning[[#This Row],[Tipo de Tarea y especialidad]],#REF!,Planning[[#This Row],[Proyectos Reiwa]]),SUMIFS(#REF!,#REF!,Planning[[#This Row],[Tipo de Tarea y especialidad]],#REF!,Planning[[#This Row],[Proyectos]]))</f>
        <v>#REF!</v>
      </c>
      <c r="K5476" s="5" t="e">
        <f>+Planning[[#This Row],[Horas Planificadas]]+Planning[[#This Row],[Horas ajustadas adicionales]]-Planning[[#This Row],[Horas utilizadas]]</f>
        <v>#REF!</v>
      </c>
      <c r="L5476" s="7">
        <v>180</v>
      </c>
      <c r="M5476" s="19" t="e">
        <f>Planning[[#This Row],[Saldo]]-Planning[[#This Row],[Saldo estimado]]</f>
        <v>#REF!</v>
      </c>
      <c r="N5476" s="60" t="e">
        <f>+SUMIFS(#REF!,#REF!,Planning[[#This Row],[Proyectos]],#REF!,Planning[[#This Row],[Tipo de Tarea y especialidad]])+SUMIFS(#REF!,#REF!,Planning[[#This Row],[Proyectos Reiwa]],#REF!,Planning[[#This Row],[Tipo de Tarea y especialidad]])</f>
        <v>#REF!</v>
      </c>
      <c r="O5476" s="19">
        <f t="shared" si="171"/>
        <v>10</v>
      </c>
      <c r="P5476" s="19">
        <f t="shared" si="172"/>
        <v>2024</v>
      </c>
      <c r="Q54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76" s="49" t="str">
        <f>TEXT(Planning[[#This Row],[Mes]]*29,"mmmm")</f>
        <v>October</v>
      </c>
      <c r="S547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76" s="152"/>
    </row>
    <row r="5477" spans="1:20" x14ac:dyDescent="0.2">
      <c r="A5477" s="9" t="s">
        <v>435</v>
      </c>
      <c r="B5477" s="9" t="s">
        <v>288</v>
      </c>
      <c r="C5477" s="3">
        <v>116964</v>
      </c>
      <c r="D5477" s="3" t="s">
        <v>951</v>
      </c>
      <c r="E5477" s="4"/>
      <c r="F5477" s="3" t="s">
        <v>121</v>
      </c>
      <c r="G5477" s="9">
        <v>60</v>
      </c>
      <c r="H5477" s="9">
        <v>60</v>
      </c>
      <c r="I5477" s="12"/>
      <c r="J5477" s="5" t="e">
        <f>SUM(SUMIFS(#REF!,#REF!,Planning[[#This Row],[Tipo de Tarea y especialidad]],#REF!,Planning[[#This Row],[Proyectos Reiwa]]),SUMIFS(#REF!,#REF!,Planning[[#This Row],[Tipo de Tarea y especialidad]],#REF!,Planning[[#This Row],[Proyectos]]))</f>
        <v>#REF!</v>
      </c>
      <c r="K5477" s="5" t="e">
        <f>+Planning[[#This Row],[Horas Planificadas]]+Planning[[#This Row],[Horas ajustadas adicionales]]-Planning[[#This Row],[Horas utilizadas]]</f>
        <v>#REF!</v>
      </c>
      <c r="L5477" s="7">
        <v>24</v>
      </c>
      <c r="M5477" s="19" t="e">
        <f>Planning[[#This Row],[Saldo]]-Planning[[#This Row],[Saldo estimado]]</f>
        <v>#REF!</v>
      </c>
      <c r="N5477" s="60" t="e">
        <f>+SUMIFS(#REF!,#REF!,Planning[[#This Row],[Proyectos]],#REF!,Planning[[#This Row],[Tipo de Tarea y especialidad]])+SUMIFS(#REF!,#REF!,Planning[[#This Row],[Proyectos Reiwa]],#REF!,Planning[[#This Row],[Tipo de Tarea y especialidad]])</f>
        <v>#REF!</v>
      </c>
      <c r="O5477" s="19">
        <f t="shared" si="171"/>
        <v>10</v>
      </c>
      <c r="P5477" s="19">
        <f t="shared" si="172"/>
        <v>2024</v>
      </c>
      <c r="Q54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77" s="49" t="str">
        <f>TEXT(Planning[[#This Row],[Mes]]*29,"mmmm")</f>
        <v>October</v>
      </c>
      <c r="S547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77" s="152"/>
    </row>
    <row r="5478" spans="1:20" x14ac:dyDescent="0.2">
      <c r="A5478" s="9" t="s">
        <v>435</v>
      </c>
      <c r="B5478" s="9" t="s">
        <v>288</v>
      </c>
      <c r="C5478" s="3">
        <v>116964</v>
      </c>
      <c r="D5478" s="3" t="s">
        <v>951</v>
      </c>
      <c r="E5478" s="4" t="s">
        <v>30</v>
      </c>
      <c r="F5478" s="3"/>
      <c r="G5478" s="9"/>
      <c r="H5478" s="14">
        <f>SUM(H5479:H5485)</f>
        <v>478</v>
      </c>
      <c r="I5478" s="14"/>
      <c r="J5478" s="14" t="e">
        <f>SUM(J5479:J5485)</f>
        <v>#REF!</v>
      </c>
      <c r="K5478" s="14" t="e">
        <f>+Planning[[#This Row],[Horas Planificadas]]+Planning[[#This Row],[Horas ajustadas adicionales]]-Planning[[#This Row],[Horas utilizadas]]</f>
        <v>#REF!</v>
      </c>
      <c r="L5478" s="15">
        <f>SUM(L5479:L5485)</f>
        <v>370</v>
      </c>
      <c r="M5478" s="16" t="e">
        <f>SUM(M5479:M5485)</f>
        <v>#REF!</v>
      </c>
      <c r="N5478" s="60" t="e">
        <f>+SUMIFS(#REF!,#REF!,Planning[[#This Row],[Proyectos]],#REF!,Planning[[#This Row],[Tipo de Tarea y especialidad]])+SUMIFS(#REF!,#REF!,Planning[[#This Row],[Proyectos Reiwa]],#REF!,Planning[[#This Row],[Tipo de Tarea y especialidad]])</f>
        <v>#REF!</v>
      </c>
      <c r="O5478" s="16">
        <f t="shared" si="171"/>
        <v>10</v>
      </c>
      <c r="P5478" s="16">
        <f t="shared" si="172"/>
        <v>2024</v>
      </c>
      <c r="Q5478" s="16" t="e">
        <f>SUM(Q5479:Q5485)</f>
        <v>#REF!</v>
      </c>
      <c r="R5478" s="50" t="str">
        <f>TEXT(Planning[[#This Row],[Mes]]*29,"mmmm")</f>
        <v>October</v>
      </c>
      <c r="S547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78" s="152"/>
    </row>
    <row r="5479" spans="1:20" x14ac:dyDescent="0.2">
      <c r="A5479" s="9" t="s">
        <v>435</v>
      </c>
      <c r="B5479" s="9" t="s">
        <v>288</v>
      </c>
      <c r="C5479" s="3">
        <v>116964</v>
      </c>
      <c r="D5479" s="3" t="s">
        <v>951</v>
      </c>
      <c r="E5479" s="4"/>
      <c r="F5479" s="3" t="s">
        <v>122</v>
      </c>
      <c r="G5479" s="9"/>
      <c r="H5479" s="9"/>
      <c r="I5479" s="12"/>
      <c r="J5479" s="5" t="e">
        <f>SUM(SUMIFS(#REF!,#REF!,Planning[[#This Row],[Tipo de Tarea y especialidad]],#REF!,Planning[[#This Row],[Proyectos Reiwa]]),SUMIFS(#REF!,#REF!,Planning[[#This Row],[Tipo de Tarea y especialidad]],#REF!,Planning[[#This Row],[Proyectos]]))</f>
        <v>#REF!</v>
      </c>
      <c r="K5479" s="5" t="e">
        <f>+Planning[[#This Row],[Horas Planificadas]]+Planning[[#This Row],[Horas ajustadas adicionales]]-Planning[[#This Row],[Horas utilizadas]]</f>
        <v>#REF!</v>
      </c>
      <c r="L5479" s="7">
        <v>0</v>
      </c>
      <c r="M5479" s="19" t="e">
        <f>Planning[[#This Row],[Saldo]]-Planning[[#This Row],[Saldo estimado]]</f>
        <v>#REF!</v>
      </c>
      <c r="N5479" s="60" t="e">
        <f>+SUMIFS(#REF!,#REF!,Planning[[#This Row],[Proyectos]],#REF!,Planning[[#This Row],[Tipo de Tarea y especialidad]])+SUMIFS(#REF!,#REF!,Planning[[#This Row],[Proyectos Reiwa]],#REF!,Planning[[#This Row],[Tipo de Tarea y especialidad]])</f>
        <v>#REF!</v>
      </c>
      <c r="O5479" s="19">
        <f t="shared" si="171"/>
        <v>10</v>
      </c>
      <c r="P5479" s="19">
        <f t="shared" si="172"/>
        <v>2024</v>
      </c>
      <c r="Q54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79" s="49" t="str">
        <f>TEXT(Planning[[#This Row],[Mes]]*29,"mmmm")</f>
        <v>October</v>
      </c>
      <c r="S547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79" s="152"/>
    </row>
    <row r="5480" spans="1:20" x14ac:dyDescent="0.2">
      <c r="A5480" s="9" t="s">
        <v>435</v>
      </c>
      <c r="B5480" s="9" t="s">
        <v>288</v>
      </c>
      <c r="C5480" s="3">
        <v>116964</v>
      </c>
      <c r="D5480" s="3" t="s">
        <v>951</v>
      </c>
      <c r="E5480" s="4"/>
      <c r="F5480" s="3" t="s">
        <v>123</v>
      </c>
      <c r="G5480" s="9"/>
      <c r="H5480" s="9"/>
      <c r="I5480" s="12"/>
      <c r="J5480" s="5" t="e">
        <f>SUM(SUMIFS(#REF!,#REF!,Planning[[#This Row],[Tipo de Tarea y especialidad]],#REF!,Planning[[#This Row],[Proyectos Reiwa]]),SUMIFS(#REF!,#REF!,Planning[[#This Row],[Tipo de Tarea y especialidad]],#REF!,Planning[[#This Row],[Proyectos]]))</f>
        <v>#REF!</v>
      </c>
      <c r="K5480" s="5" t="e">
        <f>+Planning[[#This Row],[Horas Planificadas]]+Planning[[#This Row],[Horas ajustadas adicionales]]-Planning[[#This Row],[Horas utilizadas]]</f>
        <v>#REF!</v>
      </c>
      <c r="L5480" s="7">
        <v>0</v>
      </c>
      <c r="M5480" s="19" t="e">
        <f>Planning[[#This Row],[Saldo]]-Planning[[#This Row],[Saldo estimado]]</f>
        <v>#REF!</v>
      </c>
      <c r="N5480" s="60" t="e">
        <f>+SUMIFS(#REF!,#REF!,Planning[[#This Row],[Proyectos]],#REF!,Planning[[#This Row],[Tipo de Tarea y especialidad]])+SUMIFS(#REF!,#REF!,Planning[[#This Row],[Proyectos Reiwa]],#REF!,Planning[[#This Row],[Tipo de Tarea y especialidad]])</f>
        <v>#REF!</v>
      </c>
      <c r="O5480" s="19">
        <f t="shared" si="171"/>
        <v>10</v>
      </c>
      <c r="P5480" s="19">
        <f t="shared" si="172"/>
        <v>2024</v>
      </c>
      <c r="Q54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80" s="49" t="str">
        <f>TEXT(Planning[[#This Row],[Mes]]*29,"mmmm")</f>
        <v>October</v>
      </c>
      <c r="S548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80" s="152"/>
    </row>
    <row r="5481" spans="1:20" x14ac:dyDescent="0.2">
      <c r="A5481" s="9" t="s">
        <v>435</v>
      </c>
      <c r="B5481" s="9" t="s">
        <v>288</v>
      </c>
      <c r="C5481" s="3">
        <v>116964</v>
      </c>
      <c r="D5481" s="3" t="s">
        <v>951</v>
      </c>
      <c r="E5481" s="4"/>
      <c r="F5481" s="3" t="s">
        <v>124</v>
      </c>
      <c r="G5481" s="9">
        <v>240</v>
      </c>
      <c r="H5481" s="9">
        <v>240</v>
      </c>
      <c r="I5481" s="12"/>
      <c r="J5481" s="5" t="e">
        <f>SUM(SUMIFS(#REF!,#REF!,Planning[[#This Row],[Tipo de Tarea y especialidad]],#REF!,Planning[[#This Row],[Proyectos Reiwa]]),SUMIFS(#REF!,#REF!,Planning[[#This Row],[Tipo de Tarea y especialidad]],#REF!,Planning[[#This Row],[Proyectos]]))</f>
        <v>#REF!</v>
      </c>
      <c r="K5481" s="5" t="e">
        <f>+Planning[[#This Row],[Horas Planificadas]]+Planning[[#This Row],[Horas ajustadas adicionales]]-Planning[[#This Row],[Horas utilizadas]]</f>
        <v>#REF!</v>
      </c>
      <c r="L5481" s="7">
        <v>168</v>
      </c>
      <c r="M5481" s="19" t="e">
        <f>Planning[[#This Row],[Saldo]]-Planning[[#This Row],[Saldo estimado]]</f>
        <v>#REF!</v>
      </c>
      <c r="N5481" s="60" t="e">
        <f>+SUMIFS(#REF!,#REF!,Planning[[#This Row],[Proyectos]],#REF!,Planning[[#This Row],[Tipo de Tarea y especialidad]])+SUMIFS(#REF!,#REF!,Planning[[#This Row],[Proyectos Reiwa]],#REF!,Planning[[#This Row],[Tipo de Tarea y especialidad]])</f>
        <v>#REF!</v>
      </c>
      <c r="O5481" s="19">
        <f t="shared" si="171"/>
        <v>10</v>
      </c>
      <c r="P5481" s="19">
        <f t="shared" si="172"/>
        <v>2024</v>
      </c>
      <c r="Q54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81" s="49" t="str">
        <f>TEXT(Planning[[#This Row],[Mes]]*29,"mmmm")</f>
        <v>October</v>
      </c>
      <c r="S548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81" s="152"/>
    </row>
    <row r="5482" spans="1:20" x14ac:dyDescent="0.2">
      <c r="A5482" s="9" t="s">
        <v>435</v>
      </c>
      <c r="B5482" s="9" t="s">
        <v>288</v>
      </c>
      <c r="C5482" s="3">
        <v>116964</v>
      </c>
      <c r="D5482" s="3" t="s">
        <v>951</v>
      </c>
      <c r="E5482" s="4"/>
      <c r="F5482" s="3" t="s">
        <v>125</v>
      </c>
      <c r="G5482" s="9">
        <v>58</v>
      </c>
      <c r="H5482" s="9">
        <v>58</v>
      </c>
      <c r="I5482" s="12"/>
      <c r="J5482" s="5" t="e">
        <f>SUM(SUMIFS(#REF!,#REF!,Planning[[#This Row],[Tipo de Tarea y especialidad]],#REF!,Planning[[#This Row],[Proyectos Reiwa]]),SUMIFS(#REF!,#REF!,Planning[[#This Row],[Tipo de Tarea y especialidad]],#REF!,Planning[[#This Row],[Proyectos]]))</f>
        <v>#REF!</v>
      </c>
      <c r="K5482" s="5" t="e">
        <f>+Planning[[#This Row],[Horas Planificadas]]+Planning[[#This Row],[Horas ajustadas adicionales]]-Planning[[#This Row],[Horas utilizadas]]</f>
        <v>#REF!</v>
      </c>
      <c r="L5482" s="7">
        <v>22</v>
      </c>
      <c r="M5482" s="19" t="e">
        <f>Planning[[#This Row],[Saldo]]-Planning[[#This Row],[Saldo estimado]]</f>
        <v>#REF!</v>
      </c>
      <c r="N5482" s="60" t="e">
        <f>+SUMIFS(#REF!,#REF!,Planning[[#This Row],[Proyectos]],#REF!,Planning[[#This Row],[Tipo de Tarea y especialidad]])+SUMIFS(#REF!,#REF!,Planning[[#This Row],[Proyectos Reiwa]],#REF!,Planning[[#This Row],[Tipo de Tarea y especialidad]])</f>
        <v>#REF!</v>
      </c>
      <c r="O5482" s="19">
        <f t="shared" si="171"/>
        <v>10</v>
      </c>
      <c r="P5482" s="19">
        <f t="shared" si="172"/>
        <v>2024</v>
      </c>
      <c r="Q54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82" s="49" t="str">
        <f>TEXT(Planning[[#This Row],[Mes]]*29,"mmmm")</f>
        <v>October</v>
      </c>
      <c r="S548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82" s="152"/>
    </row>
    <row r="5483" spans="1:20" x14ac:dyDescent="0.2">
      <c r="A5483" s="9" t="s">
        <v>435</v>
      </c>
      <c r="B5483" s="9" t="s">
        <v>288</v>
      </c>
      <c r="C5483" s="3">
        <v>116964</v>
      </c>
      <c r="D5483" s="3" t="s">
        <v>951</v>
      </c>
      <c r="E5483" s="4"/>
      <c r="F5483" s="3" t="s">
        <v>126</v>
      </c>
      <c r="G5483" s="9"/>
      <c r="H5483" s="9"/>
      <c r="I5483" s="12"/>
      <c r="J5483" s="5" t="e">
        <f>SUM(SUMIFS(#REF!,#REF!,Planning[[#This Row],[Tipo de Tarea y especialidad]],#REF!,Planning[[#This Row],[Proyectos Reiwa]]),SUMIFS(#REF!,#REF!,Planning[[#This Row],[Tipo de Tarea y especialidad]],#REF!,Planning[[#This Row],[Proyectos]]))</f>
        <v>#REF!</v>
      </c>
      <c r="K5483" s="5" t="e">
        <f>+Planning[[#This Row],[Horas Planificadas]]+Planning[[#This Row],[Horas ajustadas adicionales]]-Planning[[#This Row],[Horas utilizadas]]</f>
        <v>#REF!</v>
      </c>
      <c r="L5483" s="7">
        <v>0</v>
      </c>
      <c r="M5483" s="19" t="e">
        <f>Planning[[#This Row],[Saldo]]-Planning[[#This Row],[Saldo estimado]]</f>
        <v>#REF!</v>
      </c>
      <c r="N5483" s="60" t="e">
        <f>+SUMIFS(#REF!,#REF!,Planning[[#This Row],[Proyectos]],#REF!,Planning[[#This Row],[Tipo de Tarea y especialidad]])+SUMIFS(#REF!,#REF!,Planning[[#This Row],[Proyectos Reiwa]],#REF!,Planning[[#This Row],[Tipo de Tarea y especialidad]])</f>
        <v>#REF!</v>
      </c>
      <c r="O5483" s="19">
        <f t="shared" si="171"/>
        <v>10</v>
      </c>
      <c r="P5483" s="19">
        <f t="shared" si="172"/>
        <v>2024</v>
      </c>
      <c r="Q54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83" s="49" t="str">
        <f>TEXT(Planning[[#This Row],[Mes]]*29,"mmmm")</f>
        <v>October</v>
      </c>
      <c r="S548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83" s="152"/>
    </row>
    <row r="5484" spans="1:20" x14ac:dyDescent="0.2">
      <c r="A5484" s="9" t="s">
        <v>435</v>
      </c>
      <c r="B5484" s="9" t="s">
        <v>288</v>
      </c>
      <c r="C5484" s="3">
        <v>116964</v>
      </c>
      <c r="D5484" s="3" t="s">
        <v>951</v>
      </c>
      <c r="E5484" s="4"/>
      <c r="F5484" s="3" t="s">
        <v>127</v>
      </c>
      <c r="G5484" s="9"/>
      <c r="H5484" s="9"/>
      <c r="I5484" s="12"/>
      <c r="J5484" s="5" t="e">
        <f>SUM(SUMIFS(#REF!,#REF!,Planning[[#This Row],[Tipo de Tarea y especialidad]],#REF!,Planning[[#This Row],[Proyectos Reiwa]]),SUMIFS(#REF!,#REF!,Planning[[#This Row],[Tipo de Tarea y especialidad]],#REF!,Planning[[#This Row],[Proyectos]]))</f>
        <v>#REF!</v>
      </c>
      <c r="K5484" s="5" t="e">
        <f>+Planning[[#This Row],[Horas Planificadas]]+Planning[[#This Row],[Horas ajustadas adicionales]]-Planning[[#This Row],[Horas utilizadas]]</f>
        <v>#REF!</v>
      </c>
      <c r="L5484" s="7">
        <v>0</v>
      </c>
      <c r="M5484" s="19" t="e">
        <f>Planning[[#This Row],[Saldo]]-Planning[[#This Row],[Saldo estimado]]</f>
        <v>#REF!</v>
      </c>
      <c r="N5484" s="60" t="e">
        <f>+SUMIFS(#REF!,#REF!,Planning[[#This Row],[Proyectos]],#REF!,Planning[[#This Row],[Tipo de Tarea y especialidad]])+SUMIFS(#REF!,#REF!,Planning[[#This Row],[Proyectos Reiwa]],#REF!,Planning[[#This Row],[Tipo de Tarea y especialidad]])</f>
        <v>#REF!</v>
      </c>
      <c r="O5484" s="19">
        <f t="shared" si="171"/>
        <v>10</v>
      </c>
      <c r="P5484" s="19">
        <f t="shared" si="172"/>
        <v>2024</v>
      </c>
      <c r="Q54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84" s="49" t="str">
        <f>TEXT(Planning[[#This Row],[Mes]]*29,"mmmm")</f>
        <v>October</v>
      </c>
      <c r="S548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84" s="152"/>
    </row>
    <row r="5485" spans="1:20" x14ac:dyDescent="0.2">
      <c r="A5485" s="9" t="s">
        <v>435</v>
      </c>
      <c r="B5485" s="9" t="s">
        <v>288</v>
      </c>
      <c r="C5485" s="3">
        <v>116964</v>
      </c>
      <c r="D5485" s="3" t="s">
        <v>951</v>
      </c>
      <c r="E5485" s="4"/>
      <c r="F5485" s="3" t="s">
        <v>128</v>
      </c>
      <c r="G5485" s="9">
        <v>180</v>
      </c>
      <c r="H5485" s="9">
        <v>180</v>
      </c>
      <c r="I5485" s="12"/>
      <c r="J5485" s="5" t="e">
        <f>SUM(SUMIFS(#REF!,#REF!,Planning[[#This Row],[Tipo de Tarea y especialidad]],#REF!,Planning[[#This Row],[Proyectos Reiwa]]),SUMIFS(#REF!,#REF!,Planning[[#This Row],[Tipo de Tarea y especialidad]],#REF!,Planning[[#This Row],[Proyectos]]))</f>
        <v>#REF!</v>
      </c>
      <c r="K5485" s="5" t="e">
        <f>+Planning[[#This Row],[Horas Planificadas]]+Planning[[#This Row],[Horas ajustadas adicionales]]-Planning[[#This Row],[Horas utilizadas]]</f>
        <v>#REF!</v>
      </c>
      <c r="L5485" s="7">
        <v>180</v>
      </c>
      <c r="M5485" s="19" t="e">
        <f>Planning[[#This Row],[Saldo]]-Planning[[#This Row],[Saldo estimado]]</f>
        <v>#REF!</v>
      </c>
      <c r="N5485" s="60" t="e">
        <f>+SUMIFS(#REF!,#REF!,Planning[[#This Row],[Proyectos]],#REF!,Planning[[#This Row],[Tipo de Tarea y especialidad]])+SUMIFS(#REF!,#REF!,Planning[[#This Row],[Proyectos Reiwa]],#REF!,Planning[[#This Row],[Tipo de Tarea y especialidad]])</f>
        <v>#REF!</v>
      </c>
      <c r="O5485" s="19">
        <f t="shared" si="171"/>
        <v>10</v>
      </c>
      <c r="P5485" s="19">
        <f t="shared" si="172"/>
        <v>2024</v>
      </c>
      <c r="Q54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85" s="49" t="str">
        <f>TEXT(Planning[[#This Row],[Mes]]*29,"mmmm")</f>
        <v>October</v>
      </c>
      <c r="S548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85" s="152"/>
    </row>
    <row r="5486" spans="1:20" x14ac:dyDescent="0.2">
      <c r="A5486" s="9" t="s">
        <v>435</v>
      </c>
      <c r="B5486" s="9" t="s">
        <v>288</v>
      </c>
      <c r="C5486" s="3">
        <v>116964</v>
      </c>
      <c r="D5486" s="3" t="s">
        <v>951</v>
      </c>
      <c r="E5486" s="4" t="s">
        <v>31</v>
      </c>
      <c r="F5486" s="3" t="s">
        <v>31</v>
      </c>
      <c r="G5486" s="9"/>
      <c r="H5486" s="17"/>
      <c r="I5486" s="18"/>
      <c r="J5486" s="14" t="e">
        <f>+SUMIFS(#REF!,#REF!,Planning[[#This Row],[Tarifa]],#REF!,Planning[[#This Row],[Proyectos]])</f>
        <v>#REF!</v>
      </c>
      <c r="K5486" s="14" t="e">
        <f>+Planning[[#This Row],[Horas Planificadas]]+Planning[[#This Row],[Horas ajustadas adicionales]]-Planning[[#This Row],[Horas utilizadas]]</f>
        <v>#REF!</v>
      </c>
      <c r="L5486" s="15" t="e">
        <f>Planning[[#This Row],[Saldo]]</f>
        <v>#REF!</v>
      </c>
      <c r="M5486" s="16" t="e">
        <f>Planning[[#This Row],[Saldo]]-Planning[[#This Row],[Saldo estimado]]</f>
        <v>#REF!</v>
      </c>
      <c r="N5486" s="60" t="e">
        <f>+SUMIFS(#REF!,#REF!,Planning[[#This Row],[Proyectos]],#REF!,Planning[[#This Row],[Tipo de Tarea y especialidad]])+SUMIFS(#REF!,#REF!,Planning[[#This Row],[Proyectos Reiwa]],#REF!,Planning[[#This Row],[Tipo de Tarea y especialidad]])</f>
        <v>#REF!</v>
      </c>
      <c r="O5486" s="16">
        <f t="shared" si="171"/>
        <v>10</v>
      </c>
      <c r="P5486" s="16">
        <f t="shared" si="172"/>
        <v>2024</v>
      </c>
      <c r="Q5486" s="16" t="e">
        <f>+SUMIFS(#REF!,#REF!,Planning[[#This Row],[Tarifa]],#REF!,Planning[[#This Row],[Proyectos]],#REF!,Planning[[#This Row],[Mes]],#REF!,Planning[[#This Row],[Año]])</f>
        <v>#REF!</v>
      </c>
      <c r="R5486" s="50" t="str">
        <f>TEXT(Planning[[#This Row],[Mes]]*29,"mmmm")</f>
        <v>October</v>
      </c>
      <c r="S548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86" s="152"/>
    </row>
    <row r="5487" spans="1:20" ht="22.5" x14ac:dyDescent="0.2">
      <c r="A5487" s="9" t="s">
        <v>435</v>
      </c>
      <c r="B5487" s="9" t="s">
        <v>288</v>
      </c>
      <c r="C5487" s="3">
        <v>116964</v>
      </c>
      <c r="D5487" s="3" t="s">
        <v>951</v>
      </c>
      <c r="E5487" s="4" t="s">
        <v>32</v>
      </c>
      <c r="F5487" s="3"/>
      <c r="G5487" s="9"/>
      <c r="H5487" s="14">
        <f>SUM(H5488:H5490)</f>
        <v>190</v>
      </c>
      <c r="I5487" s="14"/>
      <c r="J5487" s="14" t="e">
        <f>SUM(J5488:J5490)</f>
        <v>#REF!</v>
      </c>
      <c r="K5487" s="14" t="e">
        <f>+Planning[[#This Row],[Horas Planificadas]]+Planning[[#This Row],[Horas ajustadas adicionales]]-Planning[[#This Row],[Horas utilizadas]]</f>
        <v>#REF!</v>
      </c>
      <c r="L5487" s="15">
        <f>SUM(L5488:L5490)</f>
        <v>190</v>
      </c>
      <c r="M5487" s="16" t="e">
        <f>SUM(M5488:M5490)</f>
        <v>#REF!</v>
      </c>
      <c r="N5487" s="60" t="e">
        <f>+SUMIFS(#REF!,#REF!,Planning[[#This Row],[Proyectos]],#REF!,Planning[[#This Row],[Tipo de Tarea y especialidad]])+SUMIFS(#REF!,#REF!,Planning[[#This Row],[Proyectos Reiwa]],#REF!,Planning[[#This Row],[Tipo de Tarea y especialidad]])</f>
        <v>#REF!</v>
      </c>
      <c r="O5487" s="16">
        <f t="shared" si="171"/>
        <v>10</v>
      </c>
      <c r="P5487" s="16">
        <f t="shared" si="172"/>
        <v>2024</v>
      </c>
      <c r="Q5487" s="16" t="e">
        <f>SUM(Q5488:Q5490)</f>
        <v>#REF!</v>
      </c>
      <c r="R5487" s="50" t="str">
        <f>TEXT(Planning[[#This Row],[Mes]]*29,"mmmm")</f>
        <v>October</v>
      </c>
      <c r="S548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87" s="152"/>
    </row>
    <row r="5488" spans="1:20" x14ac:dyDescent="0.2">
      <c r="A5488" s="9" t="s">
        <v>435</v>
      </c>
      <c r="B5488" s="9" t="s">
        <v>288</v>
      </c>
      <c r="C5488" s="3">
        <v>116964</v>
      </c>
      <c r="D5488" s="3" t="s">
        <v>951</v>
      </c>
      <c r="E5488" s="4"/>
      <c r="F5488" s="3" t="s">
        <v>129</v>
      </c>
      <c r="G5488" s="9"/>
      <c r="H5488" s="9"/>
      <c r="I5488" s="12"/>
      <c r="J5488" s="5" t="e">
        <f>SUM(SUMIFS(#REF!,#REF!,Planning[[#This Row],[Tipo de Tarea y especialidad]],#REF!,Planning[[#This Row],[Proyectos Reiwa]]),SUMIFS(#REF!,#REF!,Planning[[#This Row],[Tipo de Tarea y especialidad]],#REF!,Planning[[#This Row],[Proyectos]]))</f>
        <v>#REF!</v>
      </c>
      <c r="K5488" s="5" t="e">
        <f>+Planning[[#This Row],[Horas Planificadas]]+Planning[[#This Row],[Horas ajustadas adicionales]]-Planning[[#This Row],[Horas utilizadas]]</f>
        <v>#REF!</v>
      </c>
      <c r="L5488" s="7">
        <v>0</v>
      </c>
      <c r="M5488" s="19" t="e">
        <f>Planning[[#This Row],[Saldo]]-Planning[[#This Row],[Saldo estimado]]</f>
        <v>#REF!</v>
      </c>
      <c r="N5488" s="60" t="e">
        <f>+SUMIFS(#REF!,#REF!,Planning[[#This Row],[Proyectos]],#REF!,Planning[[#This Row],[Tipo de Tarea y especialidad]])+SUMIFS(#REF!,#REF!,Planning[[#This Row],[Proyectos Reiwa]],#REF!,Planning[[#This Row],[Tipo de Tarea y especialidad]])</f>
        <v>#REF!</v>
      </c>
      <c r="O5488" s="19">
        <f t="shared" si="171"/>
        <v>10</v>
      </c>
      <c r="P5488" s="19">
        <f t="shared" si="172"/>
        <v>2024</v>
      </c>
      <c r="Q54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88" s="49" t="str">
        <f>TEXT(Planning[[#This Row],[Mes]]*29,"mmmm")</f>
        <v>October</v>
      </c>
      <c r="S548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88" s="152"/>
    </row>
    <row r="5489" spans="1:20" x14ac:dyDescent="0.2">
      <c r="A5489" s="9" t="s">
        <v>435</v>
      </c>
      <c r="B5489" s="9" t="s">
        <v>288</v>
      </c>
      <c r="C5489" s="3">
        <v>116964</v>
      </c>
      <c r="D5489" s="3" t="s">
        <v>951</v>
      </c>
      <c r="E5489" s="4"/>
      <c r="F5489" s="3" t="s">
        <v>130</v>
      </c>
      <c r="G5489" s="9"/>
      <c r="H5489" s="9"/>
      <c r="I5489" s="12"/>
      <c r="J5489" s="5" t="e">
        <f>SUM(SUMIFS(#REF!,#REF!,Planning[[#This Row],[Tipo de Tarea y especialidad]],#REF!,Planning[[#This Row],[Proyectos Reiwa]]),SUMIFS(#REF!,#REF!,Planning[[#This Row],[Tipo de Tarea y especialidad]],#REF!,Planning[[#This Row],[Proyectos]]))</f>
        <v>#REF!</v>
      </c>
      <c r="K5489" s="5" t="e">
        <f>+Planning[[#This Row],[Horas Planificadas]]+Planning[[#This Row],[Horas ajustadas adicionales]]-Planning[[#This Row],[Horas utilizadas]]</f>
        <v>#REF!</v>
      </c>
      <c r="L5489" s="7">
        <v>0</v>
      </c>
      <c r="M5489" s="19" t="e">
        <f>Planning[[#This Row],[Saldo]]-Planning[[#This Row],[Saldo estimado]]</f>
        <v>#REF!</v>
      </c>
      <c r="N5489" s="60" t="e">
        <f>+SUMIFS(#REF!,#REF!,Planning[[#This Row],[Proyectos]],#REF!,Planning[[#This Row],[Tipo de Tarea y especialidad]])+SUMIFS(#REF!,#REF!,Planning[[#This Row],[Proyectos Reiwa]],#REF!,Planning[[#This Row],[Tipo de Tarea y especialidad]])</f>
        <v>#REF!</v>
      </c>
      <c r="O5489" s="19">
        <f t="shared" si="171"/>
        <v>10</v>
      </c>
      <c r="P5489" s="19">
        <f t="shared" si="172"/>
        <v>2024</v>
      </c>
      <c r="Q54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89" s="49" t="str">
        <f>TEXT(Planning[[#This Row],[Mes]]*29,"mmmm")</f>
        <v>October</v>
      </c>
      <c r="S548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89" s="152"/>
    </row>
    <row r="5490" spans="1:20" ht="14.1" customHeight="1" x14ac:dyDescent="0.2">
      <c r="A5490" s="9" t="s">
        <v>435</v>
      </c>
      <c r="B5490" s="9" t="s">
        <v>288</v>
      </c>
      <c r="C5490" s="3">
        <v>116964</v>
      </c>
      <c r="D5490" s="3" t="s">
        <v>951</v>
      </c>
      <c r="E5490" s="4"/>
      <c r="F5490" s="3" t="s">
        <v>131</v>
      </c>
      <c r="G5490" s="9">
        <v>190</v>
      </c>
      <c r="H5490" s="9">
        <v>190</v>
      </c>
      <c r="I5490" s="12"/>
      <c r="J5490" s="5" t="e">
        <f>SUM(SUMIFS(#REF!,#REF!,Planning[[#This Row],[Tipo de Tarea y especialidad]],#REF!,Planning[[#This Row],[Proyectos Reiwa]]),SUMIFS(#REF!,#REF!,Planning[[#This Row],[Tipo de Tarea y especialidad]],#REF!,Planning[[#This Row],[Proyectos]]))</f>
        <v>#REF!</v>
      </c>
      <c r="K5490" s="5" t="e">
        <f>+Planning[[#This Row],[Horas Planificadas]]+Planning[[#This Row],[Horas ajustadas adicionales]]-Planning[[#This Row],[Horas utilizadas]]</f>
        <v>#REF!</v>
      </c>
      <c r="L5490" s="7">
        <v>190</v>
      </c>
      <c r="M5490" s="19" t="e">
        <f>Planning[[#This Row],[Saldo]]-Planning[[#This Row],[Saldo estimado]]</f>
        <v>#REF!</v>
      </c>
      <c r="N5490" s="60" t="e">
        <f>+SUMIFS(#REF!,#REF!,Planning[[#This Row],[Proyectos]],#REF!,Planning[[#This Row],[Tipo de Tarea y especialidad]])+SUMIFS(#REF!,#REF!,Planning[[#This Row],[Proyectos Reiwa]],#REF!,Planning[[#This Row],[Tipo de Tarea y especialidad]])</f>
        <v>#REF!</v>
      </c>
      <c r="O5490" s="19">
        <f t="shared" si="171"/>
        <v>10</v>
      </c>
      <c r="P5490" s="19">
        <f t="shared" si="172"/>
        <v>2024</v>
      </c>
      <c r="Q54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90" s="51" t="str">
        <f>TEXT(Planning[[#This Row],[Mes]]*29,"mmmm")</f>
        <v>October</v>
      </c>
      <c r="S5490"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90" s="153"/>
    </row>
    <row r="5491" spans="1:20" ht="12.75" customHeight="1" x14ac:dyDescent="0.2">
      <c r="A5491" s="9" t="s">
        <v>435</v>
      </c>
      <c r="B5491" s="9" t="s">
        <v>685</v>
      </c>
      <c r="C5491" s="3">
        <v>116951</v>
      </c>
      <c r="D5491" s="3" t="s">
        <v>953</v>
      </c>
      <c r="E5491" s="4" t="s">
        <v>28</v>
      </c>
      <c r="F5491" s="3"/>
      <c r="G5491" s="9">
        <f>+G5492+G5493</f>
        <v>40.5</v>
      </c>
      <c r="H5491" s="14">
        <f>SUM(H5492:H5493)</f>
        <v>40.5</v>
      </c>
      <c r="I5491" s="14"/>
      <c r="J5491" s="14" t="e">
        <f>SUM(J5492:J5493)</f>
        <v>#REF!</v>
      </c>
      <c r="K5491" s="14" t="e">
        <f>+Planning[[#This Row],[Horas Planificadas]]+Planning[[#This Row],[Horas ajustadas adicionales]]-Planning[[#This Row],[Horas utilizadas]]</f>
        <v>#REF!</v>
      </c>
      <c r="L5491" s="15">
        <f>SUM(L5492:L5493)</f>
        <v>45</v>
      </c>
      <c r="M5491" s="14" t="e">
        <f>SUM(M5492:M5493)</f>
        <v>#REF!</v>
      </c>
      <c r="N5491" s="60" t="e">
        <f>+SUMIFS(#REF!,#REF!,Planning[[#This Row],[Proyectos]],#REF!,Planning[[#This Row],[Tipo de Tarea y especialidad]])+SUMIFS(#REF!,#REF!,Planning[[#This Row],[Proyectos Reiwa]],#REF!,Planning[[#This Row],[Tipo de Tarea y especialidad]])</f>
        <v>#REF!</v>
      </c>
      <c r="O5491" s="14">
        <f t="shared" ref="O5491:O5554" si="173">$L$4</f>
        <v>10</v>
      </c>
      <c r="P5491" s="14">
        <f t="shared" ref="P5491:P5554" si="174">$M$4</f>
        <v>2024</v>
      </c>
      <c r="Q5491" s="28" t="e">
        <f>SUM(Q5492:Q5493)</f>
        <v>#REF!</v>
      </c>
      <c r="R5491" s="24" t="str">
        <f>TEXT(Planning[[#This Row],[Mes]]*29,"mmmm")</f>
        <v>October</v>
      </c>
      <c r="S5491"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91" s="161" t="s">
        <v>954</v>
      </c>
    </row>
    <row r="5492" spans="1:20" x14ac:dyDescent="0.2">
      <c r="A5492" s="9" t="s">
        <v>435</v>
      </c>
      <c r="B5492" s="9" t="s">
        <v>685</v>
      </c>
      <c r="C5492" s="3">
        <v>116951</v>
      </c>
      <c r="D5492" s="3" t="s">
        <v>953</v>
      </c>
      <c r="E5492" s="4"/>
      <c r="F5492" s="3" t="s">
        <v>120</v>
      </c>
      <c r="G5492" s="9">
        <v>0</v>
      </c>
      <c r="H5492" s="9">
        <v>0</v>
      </c>
      <c r="I5492" s="12"/>
      <c r="J5492" s="5" t="e">
        <f>SUM(SUMIFS(#REF!,#REF!,Planning[[#This Row],[Tipo de Tarea y especialidad]],#REF!,Planning[[#This Row],[Proyectos Reiwa]]),SUMIFS(#REF!,#REF!,Planning[[#This Row],[Tipo de Tarea y especialidad]],#REF!,Planning[[#This Row],[Proyectos]]))</f>
        <v>#REF!</v>
      </c>
      <c r="K5492" s="5" t="e">
        <f>+Planning[[#This Row],[Horas Planificadas]]+Planning[[#This Row],[Horas ajustadas adicionales]]-Planning[[#This Row],[Horas utilizadas]]</f>
        <v>#REF!</v>
      </c>
      <c r="L5492" s="7">
        <v>0</v>
      </c>
      <c r="M5492" s="19" t="e">
        <f>Planning[[#This Row],[Saldo]]-Planning[[#This Row],[Saldo estimado]]</f>
        <v>#REF!</v>
      </c>
      <c r="N5492" s="60" t="e">
        <f>+SUMIFS(#REF!,#REF!,Planning[[#This Row],[Proyectos]],#REF!,Planning[[#This Row],[Tipo de Tarea y especialidad]])+SUMIFS(#REF!,#REF!,Planning[[#This Row],[Proyectos Reiwa]],#REF!,Planning[[#This Row],[Tipo de Tarea y especialidad]])</f>
        <v>#REF!</v>
      </c>
      <c r="O5492" s="19">
        <f t="shared" si="173"/>
        <v>10</v>
      </c>
      <c r="P5492" s="19">
        <f t="shared" si="174"/>
        <v>2024</v>
      </c>
      <c r="Q54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92" s="49" t="str">
        <f>TEXT(Planning[[#This Row],[Mes]]*29,"mmmm")</f>
        <v>October</v>
      </c>
      <c r="S549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92" s="156"/>
    </row>
    <row r="5493" spans="1:20" x14ac:dyDescent="0.2">
      <c r="A5493" s="9" t="s">
        <v>435</v>
      </c>
      <c r="B5493" s="9" t="s">
        <v>685</v>
      </c>
      <c r="C5493" s="3">
        <v>116951</v>
      </c>
      <c r="D5493" s="3" t="s">
        <v>953</v>
      </c>
      <c r="E5493" s="4"/>
      <c r="F5493" s="3" t="s">
        <v>121</v>
      </c>
      <c r="G5493" s="9">
        <v>40.5</v>
      </c>
      <c r="H5493" s="9">
        <v>40.5</v>
      </c>
      <c r="I5493" s="12"/>
      <c r="J5493" s="5" t="e">
        <f>SUM(SUMIFS(#REF!,#REF!,Planning[[#This Row],[Tipo de Tarea y especialidad]],#REF!,Planning[[#This Row],[Proyectos Reiwa]]),SUMIFS(#REF!,#REF!,Planning[[#This Row],[Tipo de Tarea y especialidad]],#REF!,Planning[[#This Row],[Proyectos]]))</f>
        <v>#REF!</v>
      </c>
      <c r="K5493" s="5" t="e">
        <f>+Planning[[#This Row],[Horas Planificadas]]+Planning[[#This Row],[Horas ajustadas adicionales]]-Planning[[#This Row],[Horas utilizadas]]</f>
        <v>#REF!</v>
      </c>
      <c r="L5493" s="7">
        <v>45</v>
      </c>
      <c r="M5493" s="19" t="e">
        <f>Planning[[#This Row],[Saldo]]-Planning[[#This Row],[Saldo estimado]]</f>
        <v>#REF!</v>
      </c>
      <c r="N5493" s="60" t="e">
        <f>+SUMIFS(#REF!,#REF!,Planning[[#This Row],[Proyectos]],#REF!,Planning[[#This Row],[Tipo de Tarea y especialidad]])+SUMIFS(#REF!,#REF!,Planning[[#This Row],[Proyectos Reiwa]],#REF!,Planning[[#This Row],[Tipo de Tarea y especialidad]])</f>
        <v>#REF!</v>
      </c>
      <c r="O5493" s="19">
        <f t="shared" si="173"/>
        <v>10</v>
      </c>
      <c r="P5493" s="19">
        <f t="shared" si="174"/>
        <v>2024</v>
      </c>
      <c r="Q54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93" s="49" t="str">
        <f>TEXT(Planning[[#This Row],[Mes]]*29,"mmmm")</f>
        <v>October</v>
      </c>
      <c r="S549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93" s="156"/>
    </row>
    <row r="5494" spans="1:20" x14ac:dyDescent="0.2">
      <c r="A5494" s="9" t="s">
        <v>435</v>
      </c>
      <c r="B5494" s="9" t="s">
        <v>685</v>
      </c>
      <c r="C5494" s="3">
        <v>116951</v>
      </c>
      <c r="D5494" s="3" t="s">
        <v>953</v>
      </c>
      <c r="E5494" s="4" t="s">
        <v>30</v>
      </c>
      <c r="F5494" s="3"/>
      <c r="G5494" s="9">
        <f>+G5497+G5501</f>
        <v>0</v>
      </c>
      <c r="H5494" s="14">
        <f>SUM(H5495:H5501)</f>
        <v>706</v>
      </c>
      <c r="I5494" s="14"/>
      <c r="J5494" s="14" t="e">
        <f>SUM(J5495:J5501)</f>
        <v>#REF!</v>
      </c>
      <c r="K5494" s="14" t="e">
        <f>+Planning[[#This Row],[Horas Planificadas]]+Planning[[#This Row],[Horas ajustadas adicionales]]-Planning[[#This Row],[Horas utilizadas]]</f>
        <v>#REF!</v>
      </c>
      <c r="L5494" s="15">
        <f>SUM(L5495:L5501)</f>
        <v>67</v>
      </c>
      <c r="M5494" s="16" t="e">
        <f>SUM(M5495:M5501)</f>
        <v>#REF!</v>
      </c>
      <c r="N5494" s="60" t="e">
        <f>+SUMIFS(#REF!,#REF!,Planning[[#This Row],[Proyectos]],#REF!,Planning[[#This Row],[Tipo de Tarea y especialidad]])+SUMIFS(#REF!,#REF!,Planning[[#This Row],[Proyectos Reiwa]],#REF!,Planning[[#This Row],[Tipo de Tarea y especialidad]])</f>
        <v>#REF!</v>
      </c>
      <c r="O5494" s="16">
        <f t="shared" si="173"/>
        <v>10</v>
      </c>
      <c r="P5494" s="16">
        <f t="shared" si="174"/>
        <v>2024</v>
      </c>
      <c r="Q5494" s="16" t="e">
        <f>SUM(Q5495:Q5501)</f>
        <v>#REF!</v>
      </c>
      <c r="R5494" s="50" t="str">
        <f>TEXT(Planning[[#This Row],[Mes]]*29,"mmmm")</f>
        <v>October</v>
      </c>
      <c r="S549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94" s="156"/>
    </row>
    <row r="5495" spans="1:20" x14ac:dyDescent="0.2">
      <c r="A5495" s="9" t="s">
        <v>435</v>
      </c>
      <c r="B5495" s="9" t="s">
        <v>685</v>
      </c>
      <c r="C5495" s="3">
        <v>116951</v>
      </c>
      <c r="D5495" s="3" t="s">
        <v>953</v>
      </c>
      <c r="E5495" s="4"/>
      <c r="F5495" s="3" t="s">
        <v>122</v>
      </c>
      <c r="G5495" s="9">
        <v>258</v>
      </c>
      <c r="H5495" s="9">
        <v>258</v>
      </c>
      <c r="I5495" s="12"/>
      <c r="J5495" s="5" t="e">
        <f>SUM(SUMIFS(#REF!,#REF!,Planning[[#This Row],[Tipo de Tarea y especialidad]],#REF!,Planning[[#This Row],[Proyectos Reiwa]]),SUMIFS(#REF!,#REF!,Planning[[#This Row],[Tipo de Tarea y especialidad]],#REF!,Planning[[#This Row],[Proyectos]]))</f>
        <v>#REF!</v>
      </c>
      <c r="K5495" s="5" t="e">
        <f>+Planning[[#This Row],[Horas Planificadas]]+Planning[[#This Row],[Horas ajustadas adicionales]]-Planning[[#This Row],[Horas utilizadas]]</f>
        <v>#REF!</v>
      </c>
      <c r="L5495" s="7">
        <v>0</v>
      </c>
      <c r="M5495" s="19" t="e">
        <f>Planning[[#This Row],[Saldo]]-Planning[[#This Row],[Saldo estimado]]</f>
        <v>#REF!</v>
      </c>
      <c r="N5495" s="60" t="e">
        <f>+SUMIFS(#REF!,#REF!,Planning[[#This Row],[Proyectos]],#REF!,Planning[[#This Row],[Tipo de Tarea y especialidad]])+SUMIFS(#REF!,#REF!,Planning[[#This Row],[Proyectos Reiwa]],#REF!,Planning[[#This Row],[Tipo de Tarea y especialidad]])</f>
        <v>#REF!</v>
      </c>
      <c r="O5495" s="19">
        <f t="shared" si="173"/>
        <v>10</v>
      </c>
      <c r="P5495" s="19">
        <f t="shared" si="174"/>
        <v>2024</v>
      </c>
      <c r="Q54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95" s="49" t="str">
        <f>TEXT(Planning[[#This Row],[Mes]]*29,"mmmm")</f>
        <v>October</v>
      </c>
      <c r="S549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95" s="156"/>
    </row>
    <row r="5496" spans="1:20" x14ac:dyDescent="0.2">
      <c r="A5496" s="9" t="s">
        <v>435</v>
      </c>
      <c r="B5496" s="9" t="s">
        <v>685</v>
      </c>
      <c r="C5496" s="3">
        <v>116951</v>
      </c>
      <c r="D5496" s="3" t="s">
        <v>953</v>
      </c>
      <c r="E5496" s="4"/>
      <c r="F5496" s="3" t="s">
        <v>123</v>
      </c>
      <c r="G5496" s="9">
        <v>54</v>
      </c>
      <c r="H5496" s="9">
        <v>54</v>
      </c>
      <c r="I5496" s="12"/>
      <c r="J5496" s="5" t="e">
        <f>SUM(SUMIFS(#REF!,#REF!,Planning[[#This Row],[Tipo de Tarea y especialidad]],#REF!,Planning[[#This Row],[Proyectos Reiwa]]),SUMIFS(#REF!,#REF!,Planning[[#This Row],[Tipo de Tarea y especialidad]],#REF!,Planning[[#This Row],[Proyectos]]))</f>
        <v>#REF!</v>
      </c>
      <c r="K5496" s="5" t="e">
        <f>+Planning[[#This Row],[Horas Planificadas]]+Planning[[#This Row],[Horas ajustadas adicionales]]-Planning[[#This Row],[Horas utilizadas]]</f>
        <v>#REF!</v>
      </c>
      <c r="L5496" s="7">
        <v>0</v>
      </c>
      <c r="M5496" s="19" t="e">
        <f>Planning[[#This Row],[Saldo]]-Planning[[#This Row],[Saldo estimado]]</f>
        <v>#REF!</v>
      </c>
      <c r="N5496" s="60" t="e">
        <f>+SUMIFS(#REF!,#REF!,Planning[[#This Row],[Proyectos]],#REF!,Planning[[#This Row],[Tipo de Tarea y especialidad]])+SUMIFS(#REF!,#REF!,Planning[[#This Row],[Proyectos Reiwa]],#REF!,Planning[[#This Row],[Tipo de Tarea y especialidad]])</f>
        <v>#REF!</v>
      </c>
      <c r="O5496" s="19">
        <f t="shared" si="173"/>
        <v>10</v>
      </c>
      <c r="P5496" s="19">
        <f t="shared" si="174"/>
        <v>2024</v>
      </c>
      <c r="Q54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96" s="49" t="str">
        <f>TEXT(Planning[[#This Row],[Mes]]*29,"mmmm")</f>
        <v>October</v>
      </c>
      <c r="S549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96" s="156"/>
    </row>
    <row r="5497" spans="1:20" x14ac:dyDescent="0.2">
      <c r="A5497" s="9" t="s">
        <v>435</v>
      </c>
      <c r="B5497" s="9" t="s">
        <v>685</v>
      </c>
      <c r="C5497" s="3">
        <v>116951</v>
      </c>
      <c r="D5497" s="3" t="s">
        <v>953</v>
      </c>
      <c r="E5497" s="4"/>
      <c r="F5497" s="3" t="s">
        <v>124</v>
      </c>
      <c r="G5497" s="9">
        <v>0</v>
      </c>
      <c r="H5497" s="9">
        <v>0</v>
      </c>
      <c r="I5497" s="12"/>
      <c r="J5497" s="5" t="e">
        <f>SUM(SUMIFS(#REF!,#REF!,Planning[[#This Row],[Tipo de Tarea y especialidad]],#REF!,Planning[[#This Row],[Proyectos Reiwa]]),SUMIFS(#REF!,#REF!,Planning[[#This Row],[Tipo de Tarea y especialidad]],#REF!,Planning[[#This Row],[Proyectos]]))</f>
        <v>#REF!</v>
      </c>
      <c r="K5497" s="5" t="e">
        <f>+Planning[[#This Row],[Horas Planificadas]]+Planning[[#This Row],[Horas ajustadas adicionales]]-Planning[[#This Row],[Horas utilizadas]]</f>
        <v>#REF!</v>
      </c>
      <c r="L5497" s="7">
        <v>0</v>
      </c>
      <c r="M5497" s="19" t="e">
        <f>Planning[[#This Row],[Saldo]]-Planning[[#This Row],[Saldo estimado]]</f>
        <v>#REF!</v>
      </c>
      <c r="N5497" s="60" t="e">
        <f>+SUMIFS(#REF!,#REF!,Planning[[#This Row],[Proyectos]],#REF!,Planning[[#This Row],[Tipo de Tarea y especialidad]])+SUMIFS(#REF!,#REF!,Planning[[#This Row],[Proyectos Reiwa]],#REF!,Planning[[#This Row],[Tipo de Tarea y especialidad]])</f>
        <v>#REF!</v>
      </c>
      <c r="O5497" s="19">
        <f t="shared" si="173"/>
        <v>10</v>
      </c>
      <c r="P5497" s="19">
        <f t="shared" si="174"/>
        <v>2024</v>
      </c>
      <c r="Q54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97" s="49" t="str">
        <f>TEXT(Planning[[#This Row],[Mes]]*29,"mmmm")</f>
        <v>October</v>
      </c>
      <c r="S549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97" s="156"/>
    </row>
    <row r="5498" spans="1:20" x14ac:dyDescent="0.2">
      <c r="A5498" s="9" t="s">
        <v>435</v>
      </c>
      <c r="B5498" s="9" t="s">
        <v>685</v>
      </c>
      <c r="C5498" s="3">
        <v>116951</v>
      </c>
      <c r="D5498" s="3" t="s">
        <v>953</v>
      </c>
      <c r="E5498" s="4"/>
      <c r="F5498" s="3" t="s">
        <v>125</v>
      </c>
      <c r="G5498" s="9">
        <v>180</v>
      </c>
      <c r="H5498" s="9">
        <v>180</v>
      </c>
      <c r="I5498" s="12"/>
      <c r="J5498" s="5" t="e">
        <f>SUM(SUMIFS(#REF!,#REF!,Planning[[#This Row],[Tipo de Tarea y especialidad]],#REF!,Planning[[#This Row],[Proyectos Reiwa]]),SUMIFS(#REF!,#REF!,Planning[[#This Row],[Tipo de Tarea y especialidad]],#REF!,Planning[[#This Row],[Proyectos]]))</f>
        <v>#REF!</v>
      </c>
      <c r="K5498" s="5" t="e">
        <f>+Planning[[#This Row],[Horas Planificadas]]+Planning[[#This Row],[Horas ajustadas adicionales]]-Planning[[#This Row],[Horas utilizadas]]</f>
        <v>#REF!</v>
      </c>
      <c r="L5498" s="7">
        <v>22</v>
      </c>
      <c r="M5498" s="19" t="e">
        <f>Planning[[#This Row],[Saldo]]-Planning[[#This Row],[Saldo estimado]]</f>
        <v>#REF!</v>
      </c>
      <c r="N5498" s="60" t="e">
        <f>+SUMIFS(#REF!,#REF!,Planning[[#This Row],[Proyectos]],#REF!,Planning[[#This Row],[Tipo de Tarea y especialidad]])+SUMIFS(#REF!,#REF!,Planning[[#This Row],[Proyectos Reiwa]],#REF!,Planning[[#This Row],[Tipo de Tarea y especialidad]])</f>
        <v>#REF!</v>
      </c>
      <c r="O5498" s="19">
        <f t="shared" si="173"/>
        <v>10</v>
      </c>
      <c r="P5498" s="19">
        <f t="shared" si="174"/>
        <v>2024</v>
      </c>
      <c r="Q54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98" s="49" t="str">
        <f>TEXT(Planning[[#This Row],[Mes]]*29,"mmmm")</f>
        <v>October</v>
      </c>
      <c r="S549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98" s="156"/>
    </row>
    <row r="5499" spans="1:20" x14ac:dyDescent="0.2">
      <c r="A5499" s="9" t="s">
        <v>435</v>
      </c>
      <c r="B5499" s="9" t="s">
        <v>685</v>
      </c>
      <c r="C5499" s="3">
        <v>116951</v>
      </c>
      <c r="D5499" s="3" t="s">
        <v>953</v>
      </c>
      <c r="E5499" s="4"/>
      <c r="F5499" s="3" t="s">
        <v>126</v>
      </c>
      <c r="G5499" s="9">
        <v>158</v>
      </c>
      <c r="H5499" s="9">
        <v>158</v>
      </c>
      <c r="I5499" s="12"/>
      <c r="J5499" s="5" t="e">
        <f>SUM(SUMIFS(#REF!,#REF!,Planning[[#This Row],[Tipo de Tarea y especialidad]],#REF!,Planning[[#This Row],[Proyectos Reiwa]]),SUMIFS(#REF!,#REF!,Planning[[#This Row],[Tipo de Tarea y especialidad]],#REF!,Planning[[#This Row],[Proyectos]]))</f>
        <v>#REF!</v>
      </c>
      <c r="K5499" s="5" t="e">
        <f>+Planning[[#This Row],[Horas Planificadas]]+Planning[[#This Row],[Horas ajustadas adicionales]]-Planning[[#This Row],[Horas utilizadas]]</f>
        <v>#REF!</v>
      </c>
      <c r="L5499" s="7">
        <v>45</v>
      </c>
      <c r="M5499" s="19" t="e">
        <f>Planning[[#This Row],[Saldo]]-Planning[[#This Row],[Saldo estimado]]</f>
        <v>#REF!</v>
      </c>
      <c r="N5499" s="60" t="e">
        <f>+SUMIFS(#REF!,#REF!,Planning[[#This Row],[Proyectos]],#REF!,Planning[[#This Row],[Tipo de Tarea y especialidad]])+SUMIFS(#REF!,#REF!,Planning[[#This Row],[Proyectos Reiwa]],#REF!,Planning[[#This Row],[Tipo de Tarea y especialidad]])</f>
        <v>#REF!</v>
      </c>
      <c r="O5499" s="19">
        <f t="shared" si="173"/>
        <v>10</v>
      </c>
      <c r="P5499" s="19">
        <f t="shared" si="174"/>
        <v>2024</v>
      </c>
      <c r="Q54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499" s="49" t="str">
        <f>TEXT(Planning[[#This Row],[Mes]]*29,"mmmm")</f>
        <v>October</v>
      </c>
      <c r="S549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499" s="156"/>
    </row>
    <row r="5500" spans="1:20" x14ac:dyDescent="0.2">
      <c r="A5500" s="9" t="s">
        <v>435</v>
      </c>
      <c r="B5500" s="9" t="s">
        <v>685</v>
      </c>
      <c r="C5500" s="3">
        <v>116951</v>
      </c>
      <c r="D5500" s="3" t="s">
        <v>953</v>
      </c>
      <c r="E5500" s="4"/>
      <c r="F5500" s="3" t="s">
        <v>127</v>
      </c>
      <c r="G5500" s="9">
        <v>56</v>
      </c>
      <c r="H5500" s="9">
        <v>56</v>
      </c>
      <c r="I5500" s="12"/>
      <c r="J5500" s="5" t="e">
        <f>SUM(SUMIFS(#REF!,#REF!,Planning[[#This Row],[Tipo de Tarea y especialidad]],#REF!,Planning[[#This Row],[Proyectos Reiwa]]),SUMIFS(#REF!,#REF!,Planning[[#This Row],[Tipo de Tarea y especialidad]],#REF!,Planning[[#This Row],[Proyectos]]))</f>
        <v>#REF!</v>
      </c>
      <c r="K5500" s="5" t="e">
        <f>+Planning[[#This Row],[Horas Planificadas]]+Planning[[#This Row],[Horas ajustadas adicionales]]-Planning[[#This Row],[Horas utilizadas]]</f>
        <v>#REF!</v>
      </c>
      <c r="L5500" s="7">
        <v>0</v>
      </c>
      <c r="M5500" s="19" t="e">
        <f>Planning[[#This Row],[Saldo]]-Planning[[#This Row],[Saldo estimado]]</f>
        <v>#REF!</v>
      </c>
      <c r="N5500" s="60" t="e">
        <f>+SUMIFS(#REF!,#REF!,Planning[[#This Row],[Proyectos]],#REF!,Planning[[#This Row],[Tipo de Tarea y especialidad]])+SUMIFS(#REF!,#REF!,Planning[[#This Row],[Proyectos Reiwa]],#REF!,Planning[[#This Row],[Tipo de Tarea y especialidad]])</f>
        <v>#REF!</v>
      </c>
      <c r="O5500" s="19">
        <f t="shared" si="173"/>
        <v>10</v>
      </c>
      <c r="P5500" s="19">
        <f t="shared" si="174"/>
        <v>2024</v>
      </c>
      <c r="Q55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00" s="49" t="str">
        <f>TEXT(Planning[[#This Row],[Mes]]*29,"mmmm")</f>
        <v>October</v>
      </c>
      <c r="S550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00" s="156"/>
    </row>
    <row r="5501" spans="1:20" x14ac:dyDescent="0.2">
      <c r="A5501" s="9" t="s">
        <v>435</v>
      </c>
      <c r="B5501" s="9" t="s">
        <v>685</v>
      </c>
      <c r="C5501" s="3">
        <v>116951</v>
      </c>
      <c r="D5501" s="3" t="s">
        <v>953</v>
      </c>
      <c r="E5501" s="4"/>
      <c r="F5501" s="3" t="s">
        <v>128</v>
      </c>
      <c r="G5501" s="9">
        <v>0</v>
      </c>
      <c r="H5501" s="9">
        <v>0</v>
      </c>
      <c r="I5501" s="12"/>
      <c r="J5501" s="5" t="e">
        <f>SUM(SUMIFS(#REF!,#REF!,Planning[[#This Row],[Tipo de Tarea y especialidad]],#REF!,Planning[[#This Row],[Proyectos Reiwa]]),SUMIFS(#REF!,#REF!,Planning[[#This Row],[Tipo de Tarea y especialidad]],#REF!,Planning[[#This Row],[Proyectos]]))</f>
        <v>#REF!</v>
      </c>
      <c r="K5501" s="5" t="e">
        <f>+Planning[[#This Row],[Horas Planificadas]]+Planning[[#This Row],[Horas ajustadas adicionales]]-Planning[[#This Row],[Horas utilizadas]]</f>
        <v>#REF!</v>
      </c>
      <c r="L5501" s="7">
        <v>0</v>
      </c>
      <c r="M5501" s="19" t="e">
        <f>Planning[[#This Row],[Saldo]]-Planning[[#This Row],[Saldo estimado]]</f>
        <v>#REF!</v>
      </c>
      <c r="N5501" s="60" t="e">
        <f>+SUMIFS(#REF!,#REF!,Planning[[#This Row],[Proyectos]],#REF!,Planning[[#This Row],[Tipo de Tarea y especialidad]])+SUMIFS(#REF!,#REF!,Planning[[#This Row],[Proyectos Reiwa]],#REF!,Planning[[#This Row],[Tipo de Tarea y especialidad]])</f>
        <v>#REF!</v>
      </c>
      <c r="O5501" s="19">
        <f t="shared" si="173"/>
        <v>10</v>
      </c>
      <c r="P5501" s="19">
        <f t="shared" si="174"/>
        <v>2024</v>
      </c>
      <c r="Q55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01" s="49" t="str">
        <f>TEXT(Planning[[#This Row],[Mes]]*29,"mmmm")</f>
        <v>October</v>
      </c>
      <c r="S550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01" s="156"/>
    </row>
    <row r="5502" spans="1:20" x14ac:dyDescent="0.2">
      <c r="A5502" s="9" t="s">
        <v>435</v>
      </c>
      <c r="B5502" s="9" t="s">
        <v>685</v>
      </c>
      <c r="C5502" s="3">
        <v>116951</v>
      </c>
      <c r="D5502" s="3" t="s">
        <v>953</v>
      </c>
      <c r="E5502" s="4" t="s">
        <v>31</v>
      </c>
      <c r="F5502" s="3" t="s">
        <v>31</v>
      </c>
      <c r="G5502" s="9"/>
      <c r="H5502" s="17">
        <v>80</v>
      </c>
      <c r="I5502" s="18"/>
      <c r="J5502" s="14" t="e">
        <f>+SUMIFS(#REF!,#REF!,Planning[[#This Row],[Tarifa]],#REF!,Planning[[#This Row],[Proyectos]])</f>
        <v>#REF!</v>
      </c>
      <c r="K5502" s="14" t="e">
        <f>+Planning[[#This Row],[Horas Planificadas]]+Planning[[#This Row],[Horas ajustadas adicionales]]-Planning[[#This Row],[Horas utilizadas]]</f>
        <v>#REF!</v>
      </c>
      <c r="L5502" s="15" t="e">
        <f>Planning[[#This Row],[Saldo]]</f>
        <v>#REF!</v>
      </c>
      <c r="M5502" s="16" t="e">
        <f>Planning[[#This Row],[Saldo]]-Planning[[#This Row],[Saldo estimado]]</f>
        <v>#REF!</v>
      </c>
      <c r="N5502" s="60" t="e">
        <f>+SUMIFS(#REF!,#REF!,Planning[[#This Row],[Proyectos]],#REF!,Planning[[#This Row],[Tipo de Tarea y especialidad]])+SUMIFS(#REF!,#REF!,Planning[[#This Row],[Proyectos Reiwa]],#REF!,Planning[[#This Row],[Tipo de Tarea y especialidad]])</f>
        <v>#REF!</v>
      </c>
      <c r="O5502" s="16">
        <f t="shared" si="173"/>
        <v>10</v>
      </c>
      <c r="P5502" s="16">
        <f t="shared" si="174"/>
        <v>2024</v>
      </c>
      <c r="Q5502" s="16" t="e">
        <f>+SUMIFS(#REF!,#REF!,Planning[[#This Row],[Tarifa]],#REF!,Planning[[#This Row],[Proyectos]],#REF!,Planning[[#This Row],[Mes]],#REF!,Planning[[#This Row],[Año]])</f>
        <v>#REF!</v>
      </c>
      <c r="R5502" s="50" t="str">
        <f>TEXT(Planning[[#This Row],[Mes]]*29,"mmmm")</f>
        <v>October</v>
      </c>
      <c r="S550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02" s="156"/>
    </row>
    <row r="5503" spans="1:20" ht="22.5" x14ac:dyDescent="0.2">
      <c r="A5503" s="9" t="s">
        <v>435</v>
      </c>
      <c r="B5503" s="9" t="s">
        <v>685</v>
      </c>
      <c r="C5503" s="3">
        <v>116951</v>
      </c>
      <c r="D5503" s="3" t="s">
        <v>953</v>
      </c>
      <c r="E5503" s="4" t="s">
        <v>32</v>
      </c>
      <c r="F5503" s="3"/>
      <c r="G5503" s="9">
        <f>+G5504+G5505+G5506</f>
        <v>520</v>
      </c>
      <c r="H5503" s="14">
        <f>SUM(H5504:H5506)</f>
        <v>520</v>
      </c>
      <c r="I5503" s="14"/>
      <c r="J5503" s="14" t="e">
        <f>SUM(J5504:J5506)</f>
        <v>#REF!</v>
      </c>
      <c r="K5503" s="14" t="e">
        <f>+Planning[[#This Row],[Horas Planificadas]]+Planning[[#This Row],[Horas ajustadas adicionales]]-Planning[[#This Row],[Horas utilizadas]]</f>
        <v>#REF!</v>
      </c>
      <c r="L5503" s="15" t="e">
        <f>SUM(L5504:L5506)</f>
        <v>#REF!</v>
      </c>
      <c r="M5503" s="16" t="e">
        <f>SUM(M5504:M5506)</f>
        <v>#REF!</v>
      </c>
      <c r="N5503" s="60" t="e">
        <f>+SUMIFS(#REF!,#REF!,Planning[[#This Row],[Proyectos]],#REF!,Planning[[#This Row],[Tipo de Tarea y especialidad]])+SUMIFS(#REF!,#REF!,Planning[[#This Row],[Proyectos Reiwa]],#REF!,Planning[[#This Row],[Tipo de Tarea y especialidad]])</f>
        <v>#REF!</v>
      </c>
      <c r="O5503" s="16">
        <f t="shared" si="173"/>
        <v>10</v>
      </c>
      <c r="P5503" s="16">
        <f t="shared" si="174"/>
        <v>2024</v>
      </c>
      <c r="Q5503" s="16" t="e">
        <f>SUM(Q5504:Q5506)</f>
        <v>#REF!</v>
      </c>
      <c r="R5503" s="50" t="str">
        <f>TEXT(Planning[[#This Row],[Mes]]*29,"mmmm")</f>
        <v>October</v>
      </c>
      <c r="S550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03" s="156"/>
    </row>
    <row r="5504" spans="1:20" x14ac:dyDescent="0.2">
      <c r="A5504" s="9" t="s">
        <v>435</v>
      </c>
      <c r="B5504" s="9" t="s">
        <v>685</v>
      </c>
      <c r="C5504" s="3">
        <v>116951</v>
      </c>
      <c r="D5504" s="3" t="s">
        <v>953</v>
      </c>
      <c r="E5504" s="4"/>
      <c r="F5504" s="3" t="s">
        <v>129</v>
      </c>
      <c r="G5504" s="9">
        <v>490</v>
      </c>
      <c r="H5504" s="9">
        <v>490</v>
      </c>
      <c r="I5504" s="12"/>
      <c r="J5504" s="5" t="e">
        <f>SUM(SUMIFS(#REF!,#REF!,Planning[[#This Row],[Tipo de Tarea y especialidad]],#REF!,Planning[[#This Row],[Proyectos Reiwa]]),SUMIFS(#REF!,#REF!,Planning[[#This Row],[Tipo de Tarea y especialidad]],#REF!,Planning[[#This Row],[Proyectos]]))</f>
        <v>#REF!</v>
      </c>
      <c r="K5504" s="5" t="e">
        <f>+Planning[[#This Row],[Horas Planificadas]]+Planning[[#This Row],[Horas ajustadas adicionales]]-Planning[[#This Row],[Horas utilizadas]]</f>
        <v>#REF!</v>
      </c>
      <c r="L5504" s="7" t="e">
        <f>Planning[[#This Row],[Saldo]]</f>
        <v>#REF!</v>
      </c>
      <c r="M5504" s="19" t="e">
        <f>Planning[[#This Row],[Saldo]]-Planning[[#This Row],[Saldo estimado]]</f>
        <v>#REF!</v>
      </c>
      <c r="N5504" s="60" t="e">
        <f>+SUMIFS(#REF!,#REF!,Planning[[#This Row],[Proyectos]],#REF!,Planning[[#This Row],[Tipo de Tarea y especialidad]])+SUMIFS(#REF!,#REF!,Planning[[#This Row],[Proyectos Reiwa]],#REF!,Planning[[#This Row],[Tipo de Tarea y especialidad]])</f>
        <v>#REF!</v>
      </c>
      <c r="O5504" s="19">
        <f t="shared" si="173"/>
        <v>10</v>
      </c>
      <c r="P5504" s="19">
        <f t="shared" si="174"/>
        <v>2024</v>
      </c>
      <c r="Q55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04" s="49" t="str">
        <f>TEXT(Planning[[#This Row],[Mes]]*29,"mmmm")</f>
        <v>October</v>
      </c>
      <c r="S550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04" s="156"/>
    </row>
    <row r="5505" spans="1:23" x14ac:dyDescent="0.2">
      <c r="A5505" s="9" t="s">
        <v>435</v>
      </c>
      <c r="B5505" s="9" t="s">
        <v>685</v>
      </c>
      <c r="C5505" s="3">
        <v>116951</v>
      </c>
      <c r="D5505" s="3" t="s">
        <v>953</v>
      </c>
      <c r="E5505" s="4"/>
      <c r="F5505" s="3" t="s">
        <v>130</v>
      </c>
      <c r="G5505" s="9">
        <v>30</v>
      </c>
      <c r="H5505" s="9">
        <v>30</v>
      </c>
      <c r="I5505" s="12"/>
      <c r="J5505" s="5" t="e">
        <f>SUM(SUMIFS(#REF!,#REF!,Planning[[#This Row],[Tipo de Tarea y especialidad]],#REF!,Planning[[#This Row],[Proyectos Reiwa]]),SUMIFS(#REF!,#REF!,Planning[[#This Row],[Tipo de Tarea y especialidad]],#REF!,Planning[[#This Row],[Proyectos]]))</f>
        <v>#REF!</v>
      </c>
      <c r="K5505" s="5" t="e">
        <f>+Planning[[#This Row],[Horas Planificadas]]+Planning[[#This Row],[Horas ajustadas adicionales]]-Planning[[#This Row],[Horas utilizadas]]</f>
        <v>#REF!</v>
      </c>
      <c r="L5505" s="7" t="e">
        <f>Planning[[#This Row],[Saldo]]</f>
        <v>#REF!</v>
      </c>
      <c r="M5505" s="19" t="e">
        <f>Planning[[#This Row],[Saldo]]-Planning[[#This Row],[Saldo estimado]]</f>
        <v>#REF!</v>
      </c>
      <c r="N5505" s="60" t="e">
        <f>+SUMIFS(#REF!,#REF!,Planning[[#This Row],[Proyectos]],#REF!,Planning[[#This Row],[Tipo de Tarea y especialidad]])+SUMIFS(#REF!,#REF!,Planning[[#This Row],[Proyectos Reiwa]],#REF!,Planning[[#This Row],[Tipo de Tarea y especialidad]])</f>
        <v>#REF!</v>
      </c>
      <c r="O5505" s="19">
        <f t="shared" si="173"/>
        <v>10</v>
      </c>
      <c r="P5505" s="19">
        <f t="shared" si="174"/>
        <v>2024</v>
      </c>
      <c r="Q55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05" s="49" t="str">
        <f>TEXT(Planning[[#This Row],[Mes]]*29,"mmmm")</f>
        <v>October</v>
      </c>
      <c r="S550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05" s="156"/>
    </row>
    <row r="5506" spans="1:23" ht="22.5" customHeight="1" x14ac:dyDescent="0.2">
      <c r="A5506" s="9" t="s">
        <v>435</v>
      </c>
      <c r="B5506" s="9" t="s">
        <v>685</v>
      </c>
      <c r="C5506" s="3">
        <v>116951</v>
      </c>
      <c r="D5506" s="3" t="s">
        <v>953</v>
      </c>
      <c r="E5506" s="4"/>
      <c r="F5506" s="3" t="s">
        <v>131</v>
      </c>
      <c r="G5506" s="9">
        <v>0</v>
      </c>
      <c r="H5506" s="9">
        <v>0</v>
      </c>
      <c r="I5506" s="12"/>
      <c r="J5506" s="5" t="e">
        <f>SUM(SUMIFS(#REF!,#REF!,Planning[[#This Row],[Tipo de Tarea y especialidad]],#REF!,Planning[[#This Row],[Proyectos Reiwa]]),SUMIFS(#REF!,#REF!,Planning[[#This Row],[Tipo de Tarea y especialidad]],#REF!,Planning[[#This Row],[Proyectos]]))</f>
        <v>#REF!</v>
      </c>
      <c r="K5506" s="5" t="e">
        <f>+Planning[[#This Row],[Horas Planificadas]]+Planning[[#This Row],[Horas ajustadas adicionales]]-Planning[[#This Row],[Horas utilizadas]]</f>
        <v>#REF!</v>
      </c>
      <c r="L5506" s="7" t="e">
        <f>Planning[[#This Row],[Saldo]]</f>
        <v>#REF!</v>
      </c>
      <c r="M5506" s="19" t="e">
        <f>Planning[[#This Row],[Saldo]]-Planning[[#This Row],[Saldo estimado]]</f>
        <v>#REF!</v>
      </c>
      <c r="N5506" s="60" t="e">
        <f>+SUMIFS(#REF!,#REF!,Planning[[#This Row],[Proyectos]],#REF!,Planning[[#This Row],[Tipo de Tarea y especialidad]])+SUMIFS(#REF!,#REF!,Planning[[#This Row],[Proyectos Reiwa]],#REF!,Planning[[#This Row],[Tipo de Tarea y especialidad]])</f>
        <v>#REF!</v>
      </c>
      <c r="O5506" s="19">
        <f t="shared" si="173"/>
        <v>10</v>
      </c>
      <c r="P5506" s="19">
        <f t="shared" si="174"/>
        <v>2024</v>
      </c>
      <c r="Q55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06" s="51" t="str">
        <f>TEXT(Planning[[#This Row],[Mes]]*29,"mmmm")</f>
        <v>October</v>
      </c>
      <c r="S5506"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06" s="157"/>
    </row>
    <row r="5507" spans="1:23" ht="13.35" customHeight="1" x14ac:dyDescent="0.2">
      <c r="A5507" s="9" t="s">
        <v>626</v>
      </c>
      <c r="B5507" s="9" t="s">
        <v>582</v>
      </c>
      <c r="C5507" s="129">
        <v>117040</v>
      </c>
      <c r="D5507" s="3" t="s">
        <v>955</v>
      </c>
      <c r="E5507" s="4" t="s">
        <v>28</v>
      </c>
      <c r="F5507" s="3"/>
      <c r="G5507" s="9">
        <v>0</v>
      </c>
      <c r="H5507" s="14">
        <f>SUM(H5508:H5509)</f>
        <v>18</v>
      </c>
      <c r="I5507" s="14"/>
      <c r="J5507" s="14" t="e">
        <f>SUM(J5508:J5509)</f>
        <v>#REF!</v>
      </c>
      <c r="K5507" s="14" t="e">
        <f>+Planning[[#This Row],[Horas Planificadas]]+Planning[[#This Row],[Horas ajustadas adicionales]]-Planning[[#This Row],[Horas utilizadas]]</f>
        <v>#REF!</v>
      </c>
      <c r="L5507" s="15" t="e">
        <f>SUM(L5508:L5509)</f>
        <v>#REF!</v>
      </c>
      <c r="M5507" s="14" t="e">
        <f>SUM(M5508:M5509)</f>
        <v>#REF!</v>
      </c>
      <c r="N5507" s="60" t="e">
        <f>+SUMIFS(#REF!,#REF!,Planning[[#This Row],[Proyectos]],#REF!,Planning[[#This Row],[Tipo de Tarea y especialidad]])+SUMIFS(#REF!,#REF!,Planning[[#This Row],[Proyectos Reiwa]],#REF!,Planning[[#This Row],[Tipo de Tarea y especialidad]])</f>
        <v>#REF!</v>
      </c>
      <c r="O5507" s="14">
        <f t="shared" si="173"/>
        <v>10</v>
      </c>
      <c r="P5507" s="14">
        <f t="shared" si="174"/>
        <v>2024</v>
      </c>
      <c r="Q5507" s="28" t="e">
        <f>SUM(Q5508:Q5509)</f>
        <v>#REF!</v>
      </c>
      <c r="R5507" s="24" t="str">
        <f>TEXT(Planning[[#This Row],[Mes]]*29,"mmmm")</f>
        <v>October</v>
      </c>
      <c r="S550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07" s="151" t="s">
        <v>956</v>
      </c>
      <c r="U5507" s="43" t="e">
        <f>IF(Planning[[#This Row],[Horas Planificadas]]&lt;&gt;0,+K5507/Planning[[#This Row],[Horas Planificadas]],0)</f>
        <v>#REF!</v>
      </c>
      <c r="V5507" s="43" t="e">
        <f>IF(Planning[[#This Row],[Horas Planificadas]]&lt;&gt;0,Planning[[#This Row],[Horas utilizadas]]/Planning[[#This Row],[Horas Planificadas]],0)</f>
        <v>#REF!</v>
      </c>
      <c r="W5507" s="44">
        <f>Planning[[#This Row],[Horas Planificadas]]+Planning[[#This Row],[Horas ajustadas adicionales]]</f>
        <v>18</v>
      </c>
    </row>
    <row r="5508" spans="1:23" ht="13.35" customHeight="1" x14ac:dyDescent="0.2">
      <c r="A5508" s="9" t="s">
        <v>626</v>
      </c>
      <c r="B5508" s="9" t="s">
        <v>582</v>
      </c>
      <c r="C5508" s="128">
        <v>117040</v>
      </c>
      <c r="D5508" s="3" t="s">
        <v>955</v>
      </c>
      <c r="E5508" s="4"/>
      <c r="F5508" s="3" t="s">
        <v>120</v>
      </c>
      <c r="G5508" s="9"/>
      <c r="H5508" s="9">
        <v>0</v>
      </c>
      <c r="I5508" s="12">
        <v>0</v>
      </c>
      <c r="J5508" s="5" t="e">
        <f>SUM(SUMIFS(#REF!,#REF!,Planning[[#This Row],[Tipo de Tarea y especialidad]],#REF!,Planning[[#This Row],[Proyectos Reiwa]]),SUMIFS(#REF!,#REF!,Planning[[#This Row],[Tipo de Tarea y especialidad]],#REF!,Planning[[#This Row],[Proyectos]]))</f>
        <v>#REF!</v>
      </c>
      <c r="K5508" s="5" t="e">
        <f>+Planning[[#This Row],[Horas Planificadas]]+Planning[[#This Row],[Horas ajustadas adicionales]]-Planning[[#This Row],[Horas utilizadas]]</f>
        <v>#REF!</v>
      </c>
      <c r="L5508" s="7" t="e">
        <f>Planning[[#This Row],[Saldo]]</f>
        <v>#REF!</v>
      </c>
      <c r="M5508" s="19" t="e">
        <f>Planning[[#This Row],[Saldo]]-Planning[[#This Row],[Saldo estimado]]</f>
        <v>#REF!</v>
      </c>
      <c r="N5508" s="60" t="e">
        <f>+SUMIFS(#REF!,#REF!,Planning[[#This Row],[Proyectos]],#REF!,Planning[[#This Row],[Tipo de Tarea y especialidad]])+SUMIFS(#REF!,#REF!,Planning[[#This Row],[Proyectos Reiwa]],#REF!,Planning[[#This Row],[Tipo de Tarea y especialidad]])</f>
        <v>#REF!</v>
      </c>
      <c r="O5508" s="19">
        <f t="shared" si="173"/>
        <v>10</v>
      </c>
      <c r="P5508" s="19">
        <f t="shared" si="174"/>
        <v>2024</v>
      </c>
      <c r="Q55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08" s="49" t="str">
        <f>TEXT(Planning[[#This Row],[Mes]]*29,"mmmm")</f>
        <v>October</v>
      </c>
      <c r="S550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08" s="152"/>
      <c r="U5508" s="43">
        <f>IF(Planning[[#This Row],[Horas Planificadas]]&lt;&gt;0,+K5508/Planning[[#This Row],[Horas Planificadas]],0)</f>
        <v>0</v>
      </c>
      <c r="V5508" s="43">
        <f>IF(Planning[[#This Row],[Horas Planificadas]]&lt;&gt;0,Planning[[#This Row],[Horas utilizadas]]/Planning[[#This Row],[Horas Planificadas]],0)</f>
        <v>0</v>
      </c>
      <c r="W5508" s="44">
        <f>Planning[[#This Row],[Horas Planificadas]]+Planning[[#This Row],[Horas ajustadas adicionales]]</f>
        <v>0</v>
      </c>
    </row>
    <row r="5509" spans="1:23" ht="13.35" customHeight="1" x14ac:dyDescent="0.2">
      <c r="A5509" s="9" t="s">
        <v>626</v>
      </c>
      <c r="B5509" s="9" t="s">
        <v>582</v>
      </c>
      <c r="C5509" s="129">
        <v>117040</v>
      </c>
      <c r="D5509" s="3" t="s">
        <v>955</v>
      </c>
      <c r="E5509" s="4"/>
      <c r="F5509" s="3" t="s">
        <v>121</v>
      </c>
      <c r="G5509" s="9"/>
      <c r="H5509" s="9">
        <v>18</v>
      </c>
      <c r="I5509" s="12">
        <v>0</v>
      </c>
      <c r="J5509" s="5" t="e">
        <f>SUM(SUMIFS(#REF!,#REF!,Planning[[#This Row],[Tipo de Tarea y especialidad]],#REF!,Planning[[#This Row],[Proyectos Reiwa]]),SUMIFS(#REF!,#REF!,Planning[[#This Row],[Tipo de Tarea y especialidad]],#REF!,Planning[[#This Row],[Proyectos]]))</f>
        <v>#REF!</v>
      </c>
      <c r="K5509" s="5" t="e">
        <f>+Planning[[#This Row],[Horas Planificadas]]+Planning[[#This Row],[Horas ajustadas adicionales]]-Planning[[#This Row],[Horas utilizadas]]</f>
        <v>#REF!</v>
      </c>
      <c r="L5509" s="7">
        <v>9</v>
      </c>
      <c r="M5509" s="19" t="e">
        <f>Planning[[#This Row],[Saldo]]-Planning[[#This Row],[Saldo estimado]]</f>
        <v>#REF!</v>
      </c>
      <c r="N5509" s="60" t="e">
        <f>+SUMIFS(#REF!,#REF!,Planning[[#This Row],[Proyectos]],#REF!,Planning[[#This Row],[Tipo de Tarea y especialidad]])+SUMIFS(#REF!,#REF!,Planning[[#This Row],[Proyectos Reiwa]],#REF!,Planning[[#This Row],[Tipo de Tarea y especialidad]])</f>
        <v>#REF!</v>
      </c>
      <c r="O5509" s="19">
        <f t="shared" si="173"/>
        <v>10</v>
      </c>
      <c r="P5509" s="19">
        <f t="shared" si="174"/>
        <v>2024</v>
      </c>
      <c r="Q55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09" s="49" t="str">
        <f>TEXT(Planning[[#This Row],[Mes]]*29,"mmmm")</f>
        <v>October</v>
      </c>
      <c r="S550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09" s="152"/>
      <c r="U5509" s="43" t="e">
        <f>IF(Planning[[#This Row],[Horas Planificadas]]&lt;&gt;0,+K5509/Planning[[#This Row],[Horas Planificadas]],0)</f>
        <v>#REF!</v>
      </c>
      <c r="V5509" s="43" t="e">
        <f>IF(Planning[[#This Row],[Horas Planificadas]]&lt;&gt;0,Planning[[#This Row],[Horas utilizadas]]/Planning[[#This Row],[Horas Planificadas]],0)</f>
        <v>#REF!</v>
      </c>
      <c r="W5509" s="44">
        <f>Planning[[#This Row],[Horas Planificadas]]+Planning[[#This Row],[Horas ajustadas adicionales]]</f>
        <v>18</v>
      </c>
    </row>
    <row r="5510" spans="1:23" ht="13.35" customHeight="1" x14ac:dyDescent="0.2">
      <c r="A5510" s="9" t="s">
        <v>626</v>
      </c>
      <c r="B5510" s="9" t="s">
        <v>582</v>
      </c>
      <c r="C5510" s="128">
        <v>117040</v>
      </c>
      <c r="D5510" s="3" t="s">
        <v>955</v>
      </c>
      <c r="E5510" s="4" t="s">
        <v>30</v>
      </c>
      <c r="F5510" s="3"/>
      <c r="G5510" s="9">
        <v>189</v>
      </c>
      <c r="H5510" s="14">
        <f>SUM(H5511:H5517)</f>
        <v>180</v>
      </c>
      <c r="I5510" s="14"/>
      <c r="J5510" s="14" t="e">
        <f>SUM(J5511:J5517)</f>
        <v>#REF!</v>
      </c>
      <c r="K5510" s="14" t="e">
        <f>+Planning[[#This Row],[Horas Planificadas]]+Planning[[#This Row],[Horas ajustadas adicionales]]-Planning[[#This Row],[Horas utilizadas]]</f>
        <v>#REF!</v>
      </c>
      <c r="L5510" s="15" t="e">
        <f>SUM(L5511:L5517)</f>
        <v>#REF!</v>
      </c>
      <c r="M5510" s="16" t="e">
        <f>SUM(M5511:M5517)</f>
        <v>#REF!</v>
      </c>
      <c r="N5510" s="60" t="e">
        <f>+SUMIFS(#REF!,#REF!,Planning[[#This Row],[Proyectos]],#REF!,Planning[[#This Row],[Tipo de Tarea y especialidad]])+SUMIFS(#REF!,#REF!,Planning[[#This Row],[Proyectos Reiwa]],#REF!,Planning[[#This Row],[Tipo de Tarea y especialidad]])</f>
        <v>#REF!</v>
      </c>
      <c r="O5510" s="16">
        <f t="shared" si="173"/>
        <v>10</v>
      </c>
      <c r="P5510" s="16">
        <f t="shared" si="174"/>
        <v>2024</v>
      </c>
      <c r="Q5510" s="16" t="e">
        <f>SUM(Q5511:Q5517)</f>
        <v>#REF!</v>
      </c>
      <c r="R5510" s="50" t="str">
        <f>TEXT(Planning[[#This Row],[Mes]]*29,"mmmm")</f>
        <v>October</v>
      </c>
      <c r="S551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10" s="152"/>
      <c r="U5510" s="43" t="e">
        <f>IF(Planning[[#This Row],[Horas Planificadas]]&lt;&gt;0,+K5510/Planning[[#This Row],[Horas Planificadas]],0)</f>
        <v>#REF!</v>
      </c>
      <c r="V5510" s="43" t="e">
        <f>IF(Planning[[#This Row],[Horas Planificadas]]&lt;&gt;0,Planning[[#This Row],[Horas utilizadas]]/Planning[[#This Row],[Horas Planificadas]],0)</f>
        <v>#REF!</v>
      </c>
      <c r="W5510" s="44">
        <f>Planning[[#This Row],[Horas Planificadas]]+Planning[[#This Row],[Horas ajustadas adicionales]]</f>
        <v>180</v>
      </c>
    </row>
    <row r="5511" spans="1:23" ht="13.35" customHeight="1" x14ac:dyDescent="0.2">
      <c r="A5511" s="9" t="s">
        <v>626</v>
      </c>
      <c r="B5511" s="9" t="s">
        <v>582</v>
      </c>
      <c r="C5511" s="129">
        <v>117040</v>
      </c>
      <c r="D5511" s="3" t="s">
        <v>955</v>
      </c>
      <c r="E5511" s="4"/>
      <c r="F5511" s="3" t="s">
        <v>122</v>
      </c>
      <c r="G5511" s="9"/>
      <c r="H5511" s="9">
        <v>0</v>
      </c>
      <c r="I5511" s="12">
        <v>0</v>
      </c>
      <c r="J5511" s="5" t="e">
        <f>SUM(SUMIFS(#REF!,#REF!,Planning[[#This Row],[Tipo de Tarea y especialidad]],#REF!,Planning[[#This Row],[Proyectos Reiwa]]),SUMIFS(#REF!,#REF!,Planning[[#This Row],[Tipo de Tarea y especialidad]],#REF!,Planning[[#This Row],[Proyectos]]))</f>
        <v>#REF!</v>
      </c>
      <c r="K5511" s="5" t="e">
        <f>+Planning[[#This Row],[Horas Planificadas]]+Planning[[#This Row],[Horas ajustadas adicionales]]-Planning[[#This Row],[Horas utilizadas]]</f>
        <v>#REF!</v>
      </c>
      <c r="L5511" s="7" t="e">
        <f>Planning[[#This Row],[Saldo]]</f>
        <v>#REF!</v>
      </c>
      <c r="M5511" s="19" t="e">
        <f>Planning[[#This Row],[Saldo]]-Planning[[#This Row],[Saldo estimado]]</f>
        <v>#REF!</v>
      </c>
      <c r="N5511" s="60" t="e">
        <f>+SUMIFS(#REF!,#REF!,Planning[[#This Row],[Proyectos]],#REF!,Planning[[#This Row],[Tipo de Tarea y especialidad]])+SUMIFS(#REF!,#REF!,Planning[[#This Row],[Proyectos Reiwa]],#REF!,Planning[[#This Row],[Tipo de Tarea y especialidad]])</f>
        <v>#REF!</v>
      </c>
      <c r="O5511" s="19">
        <f t="shared" si="173"/>
        <v>10</v>
      </c>
      <c r="P5511" s="19">
        <f t="shared" si="174"/>
        <v>2024</v>
      </c>
      <c r="Q55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11" s="49" t="str">
        <f>TEXT(Planning[[#This Row],[Mes]]*29,"mmmm")</f>
        <v>October</v>
      </c>
      <c r="S551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11" s="152"/>
      <c r="U5511" s="43">
        <f>IF(Planning[[#This Row],[Horas Planificadas]]&lt;&gt;0,+K5511/Planning[[#This Row],[Horas Planificadas]],0)</f>
        <v>0</v>
      </c>
      <c r="V5511" s="43">
        <f>IF(Planning[[#This Row],[Horas Planificadas]]&lt;&gt;0,Planning[[#This Row],[Horas utilizadas]]/Planning[[#This Row],[Horas Planificadas]],0)</f>
        <v>0</v>
      </c>
      <c r="W5511" s="44">
        <f>Planning[[#This Row],[Horas Planificadas]]+Planning[[#This Row],[Horas ajustadas adicionales]]</f>
        <v>0</v>
      </c>
    </row>
    <row r="5512" spans="1:23" ht="13.35" customHeight="1" x14ac:dyDescent="0.2">
      <c r="A5512" s="9" t="s">
        <v>626</v>
      </c>
      <c r="B5512" s="9" t="s">
        <v>582</v>
      </c>
      <c r="C5512" s="128">
        <v>117040</v>
      </c>
      <c r="D5512" s="3" t="s">
        <v>955</v>
      </c>
      <c r="E5512" s="4"/>
      <c r="F5512" s="3" t="s">
        <v>123</v>
      </c>
      <c r="G5512" s="9"/>
      <c r="H5512" s="9">
        <v>90</v>
      </c>
      <c r="I5512" s="12">
        <v>36</v>
      </c>
      <c r="J5512" s="5" t="e">
        <f>SUM(SUMIFS(#REF!,#REF!,Planning[[#This Row],[Tipo de Tarea y especialidad]],#REF!,Planning[[#This Row],[Proyectos Reiwa]]),SUMIFS(#REF!,#REF!,Planning[[#This Row],[Tipo de Tarea y especialidad]],#REF!,Planning[[#This Row],[Proyectos]]))</f>
        <v>#REF!</v>
      </c>
      <c r="K5512" s="5" t="e">
        <f>+Planning[[#This Row],[Horas Planificadas]]+Planning[[#This Row],[Horas ajustadas adicionales]]-Planning[[#This Row],[Horas utilizadas]]</f>
        <v>#REF!</v>
      </c>
      <c r="L5512" s="7">
        <v>18</v>
      </c>
      <c r="M5512" s="19" t="e">
        <f>Planning[[#This Row],[Saldo]]-Planning[[#This Row],[Saldo estimado]]</f>
        <v>#REF!</v>
      </c>
      <c r="N5512" s="60" t="e">
        <f>+SUMIFS(#REF!,#REF!,Planning[[#This Row],[Proyectos]],#REF!,Planning[[#This Row],[Tipo de Tarea y especialidad]])+SUMIFS(#REF!,#REF!,Planning[[#This Row],[Proyectos Reiwa]],#REF!,Planning[[#This Row],[Tipo de Tarea y especialidad]])</f>
        <v>#REF!</v>
      </c>
      <c r="O5512" s="19">
        <f t="shared" si="173"/>
        <v>10</v>
      </c>
      <c r="P5512" s="19">
        <f t="shared" si="174"/>
        <v>2024</v>
      </c>
      <c r="Q55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12" s="49" t="str">
        <f>TEXT(Planning[[#This Row],[Mes]]*29,"mmmm")</f>
        <v>October</v>
      </c>
      <c r="S551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12" s="152"/>
      <c r="U5512" s="43" t="e">
        <f>IF(Planning[[#This Row],[Horas Planificadas]]&lt;&gt;0,+K5512/Planning[[#This Row],[Horas Planificadas]],0)</f>
        <v>#REF!</v>
      </c>
      <c r="V5512" s="43" t="e">
        <f>IF(Planning[[#This Row],[Horas Planificadas]]&lt;&gt;0,Planning[[#This Row],[Horas utilizadas]]/Planning[[#This Row],[Horas Planificadas]],0)</f>
        <v>#REF!</v>
      </c>
      <c r="W5512" s="44">
        <f>Planning[[#This Row],[Horas Planificadas]]+Planning[[#This Row],[Horas ajustadas adicionales]]</f>
        <v>126</v>
      </c>
    </row>
    <row r="5513" spans="1:23" ht="13.35" customHeight="1" x14ac:dyDescent="0.2">
      <c r="A5513" s="9" t="s">
        <v>626</v>
      </c>
      <c r="B5513" s="9" t="s">
        <v>582</v>
      </c>
      <c r="C5513" s="129">
        <v>117040</v>
      </c>
      <c r="D5513" s="3" t="s">
        <v>955</v>
      </c>
      <c r="E5513" s="4"/>
      <c r="F5513" s="3" t="s">
        <v>124</v>
      </c>
      <c r="G5513" s="9"/>
      <c r="H5513" s="9">
        <v>0</v>
      </c>
      <c r="I5513" s="12">
        <v>9</v>
      </c>
      <c r="J5513" s="5" t="e">
        <f>SUM(SUMIFS(#REF!,#REF!,Planning[[#This Row],[Tipo de Tarea y especialidad]],#REF!,Planning[[#This Row],[Proyectos Reiwa]]),SUMIFS(#REF!,#REF!,Planning[[#This Row],[Tipo de Tarea y especialidad]],#REF!,Planning[[#This Row],[Proyectos]]))</f>
        <v>#REF!</v>
      </c>
      <c r="K5513" s="5" t="e">
        <f>+Planning[[#This Row],[Horas Planificadas]]+Planning[[#This Row],[Horas ajustadas adicionales]]-Planning[[#This Row],[Horas utilizadas]]</f>
        <v>#REF!</v>
      </c>
      <c r="L5513" s="7">
        <v>0</v>
      </c>
      <c r="M5513" s="19" t="e">
        <f>Planning[[#This Row],[Saldo]]-Planning[[#This Row],[Saldo estimado]]</f>
        <v>#REF!</v>
      </c>
      <c r="N5513" s="60" t="e">
        <f>+SUMIFS(#REF!,#REF!,Planning[[#This Row],[Proyectos]],#REF!,Planning[[#This Row],[Tipo de Tarea y especialidad]])+SUMIFS(#REF!,#REF!,Planning[[#This Row],[Proyectos Reiwa]],#REF!,Planning[[#This Row],[Tipo de Tarea y especialidad]])</f>
        <v>#REF!</v>
      </c>
      <c r="O5513" s="19">
        <f t="shared" si="173"/>
        <v>10</v>
      </c>
      <c r="P5513" s="19">
        <f t="shared" si="174"/>
        <v>2024</v>
      </c>
      <c r="Q55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13" s="49" t="str">
        <f>TEXT(Planning[[#This Row],[Mes]]*29,"mmmm")</f>
        <v>October</v>
      </c>
      <c r="S551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13" s="152"/>
      <c r="U5513" s="43">
        <f>IF(Planning[[#This Row],[Horas Planificadas]]&lt;&gt;0,+K5513/Planning[[#This Row],[Horas Planificadas]],0)</f>
        <v>0</v>
      </c>
      <c r="V5513" s="43">
        <f>IF(Planning[[#This Row],[Horas Planificadas]]&lt;&gt;0,Planning[[#This Row],[Horas utilizadas]]/Planning[[#This Row],[Horas Planificadas]],0)</f>
        <v>0</v>
      </c>
      <c r="W5513" s="44">
        <f>Planning[[#This Row],[Horas Planificadas]]+Planning[[#This Row],[Horas ajustadas adicionales]]</f>
        <v>9</v>
      </c>
    </row>
    <row r="5514" spans="1:23" ht="13.35" customHeight="1" x14ac:dyDescent="0.2">
      <c r="A5514" s="9" t="s">
        <v>626</v>
      </c>
      <c r="B5514" s="9" t="s">
        <v>582</v>
      </c>
      <c r="C5514" s="128">
        <v>117040</v>
      </c>
      <c r="D5514" s="3" t="s">
        <v>955</v>
      </c>
      <c r="E5514" s="4"/>
      <c r="F5514" s="3" t="s">
        <v>125</v>
      </c>
      <c r="G5514" s="9"/>
      <c r="H5514" s="9">
        <v>45</v>
      </c>
      <c r="I5514" s="12">
        <v>9</v>
      </c>
      <c r="J5514" s="5" t="e">
        <f>SUM(SUMIFS(#REF!,#REF!,Planning[[#This Row],[Tipo de Tarea y especialidad]],#REF!,Planning[[#This Row],[Proyectos Reiwa]]),SUMIFS(#REF!,#REF!,Planning[[#This Row],[Tipo de Tarea y especialidad]],#REF!,Planning[[#This Row],[Proyectos]]))</f>
        <v>#REF!</v>
      </c>
      <c r="K5514" s="5" t="e">
        <f>+Planning[[#This Row],[Horas Planificadas]]+Planning[[#This Row],[Horas ajustadas adicionales]]-Planning[[#This Row],[Horas utilizadas]]</f>
        <v>#REF!</v>
      </c>
      <c r="L5514" s="7">
        <v>9</v>
      </c>
      <c r="M5514" s="19" t="e">
        <f>Planning[[#This Row],[Saldo]]-Planning[[#This Row],[Saldo estimado]]</f>
        <v>#REF!</v>
      </c>
      <c r="N5514" s="60" t="e">
        <f>+SUMIFS(#REF!,#REF!,Planning[[#This Row],[Proyectos]],#REF!,Planning[[#This Row],[Tipo de Tarea y especialidad]])+SUMIFS(#REF!,#REF!,Planning[[#This Row],[Proyectos Reiwa]],#REF!,Planning[[#This Row],[Tipo de Tarea y especialidad]])</f>
        <v>#REF!</v>
      </c>
      <c r="O5514" s="19">
        <f t="shared" si="173"/>
        <v>10</v>
      </c>
      <c r="P5514" s="19">
        <f t="shared" si="174"/>
        <v>2024</v>
      </c>
      <c r="Q55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14" s="49" t="str">
        <f>TEXT(Planning[[#This Row],[Mes]]*29,"mmmm")</f>
        <v>October</v>
      </c>
      <c r="S551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14" s="152"/>
      <c r="U5514" s="43" t="e">
        <f>IF(Planning[[#This Row],[Horas Planificadas]]&lt;&gt;0,+K5514/Planning[[#This Row],[Horas Planificadas]],0)</f>
        <v>#REF!</v>
      </c>
      <c r="V5514" s="43" t="e">
        <f>IF(Planning[[#This Row],[Horas Planificadas]]&lt;&gt;0,Planning[[#This Row],[Horas utilizadas]]/Planning[[#This Row],[Horas Planificadas]],0)</f>
        <v>#REF!</v>
      </c>
      <c r="W5514" s="44">
        <f>Planning[[#This Row],[Horas Planificadas]]+Planning[[#This Row],[Horas ajustadas adicionales]]</f>
        <v>54</v>
      </c>
    </row>
    <row r="5515" spans="1:23" ht="13.35" customHeight="1" x14ac:dyDescent="0.2">
      <c r="A5515" s="9" t="s">
        <v>626</v>
      </c>
      <c r="B5515" s="9" t="s">
        <v>582</v>
      </c>
      <c r="C5515" s="129">
        <v>117040</v>
      </c>
      <c r="D5515" s="3" t="s">
        <v>955</v>
      </c>
      <c r="E5515" s="4"/>
      <c r="F5515" s="3" t="s">
        <v>126</v>
      </c>
      <c r="G5515" s="9"/>
      <c r="H5515" s="9">
        <v>0</v>
      </c>
      <c r="I5515" s="12">
        <v>0</v>
      </c>
      <c r="J5515" s="5" t="e">
        <f>SUM(SUMIFS(#REF!,#REF!,Planning[[#This Row],[Tipo de Tarea y especialidad]],#REF!,Planning[[#This Row],[Proyectos Reiwa]]),SUMIFS(#REF!,#REF!,Planning[[#This Row],[Tipo de Tarea y especialidad]],#REF!,Planning[[#This Row],[Proyectos]]))</f>
        <v>#REF!</v>
      </c>
      <c r="K5515" s="5" t="e">
        <f>+Planning[[#This Row],[Horas Planificadas]]+Planning[[#This Row],[Horas ajustadas adicionales]]-Planning[[#This Row],[Horas utilizadas]]</f>
        <v>#REF!</v>
      </c>
      <c r="L5515" s="7" t="e">
        <f>Planning[[#This Row],[Saldo]]</f>
        <v>#REF!</v>
      </c>
      <c r="M5515" s="19" t="e">
        <f>Planning[[#This Row],[Saldo]]-Planning[[#This Row],[Saldo estimado]]</f>
        <v>#REF!</v>
      </c>
      <c r="N5515" s="60" t="e">
        <f>+SUMIFS(#REF!,#REF!,Planning[[#This Row],[Proyectos]],#REF!,Planning[[#This Row],[Tipo de Tarea y especialidad]])+SUMIFS(#REF!,#REF!,Planning[[#This Row],[Proyectos Reiwa]],#REF!,Planning[[#This Row],[Tipo de Tarea y especialidad]])</f>
        <v>#REF!</v>
      </c>
      <c r="O5515" s="19">
        <f t="shared" si="173"/>
        <v>10</v>
      </c>
      <c r="P5515" s="19">
        <f t="shared" si="174"/>
        <v>2024</v>
      </c>
      <c r="Q55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15" s="49" t="str">
        <f>TEXT(Planning[[#This Row],[Mes]]*29,"mmmm")</f>
        <v>October</v>
      </c>
      <c r="S551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15" s="152"/>
      <c r="U5515" s="43">
        <f>IF(Planning[[#This Row],[Horas Planificadas]]&lt;&gt;0,+K5515/Planning[[#This Row],[Horas Planificadas]],0)</f>
        <v>0</v>
      </c>
      <c r="V5515" s="43">
        <f>IF(Planning[[#This Row],[Horas Planificadas]]&lt;&gt;0,Planning[[#This Row],[Horas utilizadas]]/Planning[[#This Row],[Horas Planificadas]],0)</f>
        <v>0</v>
      </c>
      <c r="W5515" s="44">
        <f>Planning[[#This Row],[Horas Planificadas]]+Planning[[#This Row],[Horas ajustadas adicionales]]</f>
        <v>0</v>
      </c>
    </row>
    <row r="5516" spans="1:23" ht="13.35" customHeight="1" x14ac:dyDescent="0.2">
      <c r="A5516" s="9" t="s">
        <v>626</v>
      </c>
      <c r="B5516" s="9" t="s">
        <v>582</v>
      </c>
      <c r="C5516" s="128">
        <v>117040</v>
      </c>
      <c r="D5516" s="3" t="s">
        <v>955</v>
      </c>
      <c r="E5516" s="4"/>
      <c r="F5516" s="3" t="s">
        <v>127</v>
      </c>
      <c r="G5516" s="9"/>
      <c r="H5516" s="9">
        <v>45</v>
      </c>
      <c r="I5516" s="12">
        <v>0</v>
      </c>
      <c r="J5516" s="5" t="e">
        <f>SUM(SUMIFS(#REF!,#REF!,Planning[[#This Row],[Tipo de Tarea y especialidad]],#REF!,Planning[[#This Row],[Proyectos Reiwa]]),SUMIFS(#REF!,#REF!,Planning[[#This Row],[Tipo de Tarea y especialidad]],#REF!,Planning[[#This Row],[Proyectos]]))</f>
        <v>#REF!</v>
      </c>
      <c r="K5516" s="5" t="e">
        <f>+Planning[[#This Row],[Horas Planificadas]]+Planning[[#This Row],[Horas ajustadas adicionales]]-Planning[[#This Row],[Horas utilizadas]]</f>
        <v>#REF!</v>
      </c>
      <c r="L5516" s="7">
        <v>18</v>
      </c>
      <c r="M5516" s="19" t="e">
        <f>Planning[[#This Row],[Saldo]]-Planning[[#This Row],[Saldo estimado]]</f>
        <v>#REF!</v>
      </c>
      <c r="N5516" s="60" t="e">
        <f>+SUMIFS(#REF!,#REF!,Planning[[#This Row],[Proyectos]],#REF!,Planning[[#This Row],[Tipo de Tarea y especialidad]])+SUMIFS(#REF!,#REF!,Planning[[#This Row],[Proyectos Reiwa]],#REF!,Planning[[#This Row],[Tipo de Tarea y especialidad]])</f>
        <v>#REF!</v>
      </c>
      <c r="O5516" s="19">
        <f t="shared" si="173"/>
        <v>10</v>
      </c>
      <c r="P5516" s="19">
        <f t="shared" si="174"/>
        <v>2024</v>
      </c>
      <c r="Q55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16" s="49" t="str">
        <f>TEXT(Planning[[#This Row],[Mes]]*29,"mmmm")</f>
        <v>October</v>
      </c>
      <c r="S551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16" s="152"/>
      <c r="U5516" s="43" t="e">
        <f>IF(Planning[[#This Row],[Horas Planificadas]]&lt;&gt;0,+K5516/Planning[[#This Row],[Horas Planificadas]],0)</f>
        <v>#REF!</v>
      </c>
      <c r="V5516" s="43" t="e">
        <f>IF(Planning[[#This Row],[Horas Planificadas]]&lt;&gt;0,Planning[[#This Row],[Horas utilizadas]]/Planning[[#This Row],[Horas Planificadas]],0)</f>
        <v>#REF!</v>
      </c>
      <c r="W5516" s="44">
        <f>Planning[[#This Row],[Horas Planificadas]]+Planning[[#This Row],[Horas ajustadas adicionales]]</f>
        <v>45</v>
      </c>
    </row>
    <row r="5517" spans="1:23" ht="13.35" customHeight="1" x14ac:dyDescent="0.2">
      <c r="A5517" s="9" t="s">
        <v>626</v>
      </c>
      <c r="B5517" s="9" t="s">
        <v>582</v>
      </c>
      <c r="C5517" s="129">
        <v>117040</v>
      </c>
      <c r="D5517" s="3" t="s">
        <v>955</v>
      </c>
      <c r="E5517" s="4"/>
      <c r="F5517" s="3" t="s">
        <v>128</v>
      </c>
      <c r="G5517" s="9"/>
      <c r="H5517" s="9">
        <v>0</v>
      </c>
      <c r="I5517" s="12">
        <v>0</v>
      </c>
      <c r="J5517" s="5" t="e">
        <f>SUM(SUMIFS(#REF!,#REF!,Planning[[#This Row],[Tipo de Tarea y especialidad]],#REF!,Planning[[#This Row],[Proyectos Reiwa]]),SUMIFS(#REF!,#REF!,Planning[[#This Row],[Tipo de Tarea y especialidad]],#REF!,Planning[[#This Row],[Proyectos]]))</f>
        <v>#REF!</v>
      </c>
      <c r="K5517" s="5" t="e">
        <f>+Planning[[#This Row],[Horas Planificadas]]+Planning[[#This Row],[Horas ajustadas adicionales]]-Planning[[#This Row],[Horas utilizadas]]</f>
        <v>#REF!</v>
      </c>
      <c r="L5517" s="7">
        <v>9</v>
      </c>
      <c r="M5517" s="19" t="e">
        <f>Planning[[#This Row],[Saldo]]-Planning[[#This Row],[Saldo estimado]]</f>
        <v>#REF!</v>
      </c>
      <c r="N5517" s="60" t="e">
        <f>+SUMIFS(#REF!,#REF!,Planning[[#This Row],[Proyectos]],#REF!,Planning[[#This Row],[Tipo de Tarea y especialidad]])+SUMIFS(#REF!,#REF!,Planning[[#This Row],[Proyectos Reiwa]],#REF!,Planning[[#This Row],[Tipo de Tarea y especialidad]])</f>
        <v>#REF!</v>
      </c>
      <c r="O5517" s="19">
        <f t="shared" si="173"/>
        <v>10</v>
      </c>
      <c r="P5517" s="19">
        <f t="shared" si="174"/>
        <v>2024</v>
      </c>
      <c r="Q55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17" s="49" t="str">
        <f>TEXT(Planning[[#This Row],[Mes]]*29,"mmmm")</f>
        <v>October</v>
      </c>
      <c r="S551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17" s="152"/>
      <c r="U5517" s="43">
        <f>IF(Planning[[#This Row],[Horas Planificadas]]&lt;&gt;0,+K5517/Planning[[#This Row],[Horas Planificadas]],0)</f>
        <v>0</v>
      </c>
      <c r="V5517" s="43">
        <f>IF(Planning[[#This Row],[Horas Planificadas]]&lt;&gt;0,Planning[[#This Row],[Horas utilizadas]]/Planning[[#This Row],[Horas Planificadas]],0)</f>
        <v>0</v>
      </c>
      <c r="W5517" s="44">
        <f>Planning[[#This Row],[Horas Planificadas]]+Planning[[#This Row],[Horas ajustadas adicionales]]</f>
        <v>0</v>
      </c>
    </row>
    <row r="5518" spans="1:23" ht="13.35" customHeight="1" x14ac:dyDescent="0.2">
      <c r="A5518" s="9" t="s">
        <v>626</v>
      </c>
      <c r="B5518" s="9" t="s">
        <v>582</v>
      </c>
      <c r="C5518" s="128">
        <v>117040</v>
      </c>
      <c r="D5518" s="3" t="s">
        <v>955</v>
      </c>
      <c r="E5518" s="4" t="s">
        <v>31</v>
      </c>
      <c r="F5518" s="3" t="s">
        <v>31</v>
      </c>
      <c r="G5518" s="9">
        <v>18</v>
      </c>
      <c r="H5518" s="17">
        <v>18</v>
      </c>
      <c r="I5518" s="18">
        <v>9</v>
      </c>
      <c r="J5518" s="14" t="e">
        <f>+SUMIFS(#REF!,#REF!,Planning[[#This Row],[Tarifa]],#REF!,Planning[[#This Row],[Proyectos]])</f>
        <v>#REF!</v>
      </c>
      <c r="K5518" s="14" t="e">
        <f>+Planning[[#This Row],[Horas Planificadas]]+Planning[[#This Row],[Horas ajustadas adicionales]]-Planning[[#This Row],[Horas utilizadas]]</f>
        <v>#REF!</v>
      </c>
      <c r="L5518" s="15" t="e">
        <f>Planning[[#This Row],[Saldo]]</f>
        <v>#REF!</v>
      </c>
      <c r="M5518" s="16" t="e">
        <f>Planning[[#This Row],[Saldo]]-Planning[[#This Row],[Saldo estimado]]</f>
        <v>#REF!</v>
      </c>
      <c r="N5518" s="60" t="e">
        <f>+SUMIFS(#REF!,#REF!,Planning[[#This Row],[Proyectos]],#REF!,Planning[[#This Row],[Tipo de Tarea y especialidad]])+SUMIFS(#REF!,#REF!,Planning[[#This Row],[Proyectos Reiwa]],#REF!,Planning[[#This Row],[Tipo de Tarea y especialidad]])</f>
        <v>#REF!</v>
      </c>
      <c r="O5518" s="16">
        <f t="shared" si="173"/>
        <v>10</v>
      </c>
      <c r="P5518" s="16">
        <f t="shared" si="174"/>
        <v>2024</v>
      </c>
      <c r="Q5518" s="16" t="e">
        <f>+SUMIFS(#REF!,#REF!,Planning[[#This Row],[Tarifa]],#REF!,Planning[[#This Row],[Proyectos]],#REF!,Planning[[#This Row],[Mes]],#REF!,Planning[[#This Row],[Año]])</f>
        <v>#REF!</v>
      </c>
      <c r="R5518" s="50" t="str">
        <f>TEXT(Planning[[#This Row],[Mes]]*29,"mmmm")</f>
        <v>October</v>
      </c>
      <c r="S551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18" s="152"/>
      <c r="U5518" s="43" t="e">
        <f>IF(Planning[[#This Row],[Horas Planificadas]]&lt;&gt;0,+K5518/Planning[[#This Row],[Horas Planificadas]],0)</f>
        <v>#REF!</v>
      </c>
      <c r="V5518" s="43" t="e">
        <f>IF(Planning[[#This Row],[Horas Planificadas]]&lt;&gt;0,Planning[[#This Row],[Horas utilizadas]]/Planning[[#This Row],[Horas Planificadas]],0)</f>
        <v>#REF!</v>
      </c>
      <c r="W5518" s="44">
        <f>Planning[[#This Row],[Horas Planificadas]]+Planning[[#This Row],[Horas ajustadas adicionales]]</f>
        <v>27</v>
      </c>
    </row>
    <row r="5519" spans="1:23" ht="13.35" customHeight="1" x14ac:dyDescent="0.2">
      <c r="A5519" s="9" t="s">
        <v>626</v>
      </c>
      <c r="B5519" s="9" t="s">
        <v>582</v>
      </c>
      <c r="C5519" s="129">
        <v>117040</v>
      </c>
      <c r="D5519" s="3" t="s">
        <v>955</v>
      </c>
      <c r="E5519" s="4" t="s">
        <v>32</v>
      </c>
      <c r="F5519" s="3"/>
      <c r="G5519" s="9">
        <v>128</v>
      </c>
      <c r="H5519" s="14">
        <f>SUM(H5520:H5522)</f>
        <v>120</v>
      </c>
      <c r="I5519" s="14"/>
      <c r="J5519" s="14" t="e">
        <f>SUM(J5520:J5522)</f>
        <v>#REF!</v>
      </c>
      <c r="K5519" s="14" t="e">
        <f>+Planning[[#This Row],[Horas Planificadas]]+Planning[[#This Row],[Horas ajustadas adicionales]]-Planning[[#This Row],[Horas utilizadas]]</f>
        <v>#REF!</v>
      </c>
      <c r="L5519" s="15" t="e">
        <f>SUM(L5520:L5522)</f>
        <v>#REF!</v>
      </c>
      <c r="M5519" s="16" t="e">
        <f>SUM(M5520:M5522)</f>
        <v>#REF!</v>
      </c>
      <c r="N5519" s="60" t="e">
        <f>+SUMIFS(#REF!,#REF!,Planning[[#This Row],[Proyectos]],#REF!,Planning[[#This Row],[Tipo de Tarea y especialidad]])+SUMIFS(#REF!,#REF!,Planning[[#This Row],[Proyectos Reiwa]],#REF!,Planning[[#This Row],[Tipo de Tarea y especialidad]])</f>
        <v>#REF!</v>
      </c>
      <c r="O5519" s="16">
        <f t="shared" si="173"/>
        <v>10</v>
      </c>
      <c r="P5519" s="16">
        <f t="shared" si="174"/>
        <v>2024</v>
      </c>
      <c r="Q5519" s="16" t="e">
        <f>SUM(Q5520:Q5522)</f>
        <v>#REF!</v>
      </c>
      <c r="R5519" s="50" t="str">
        <f>TEXT(Planning[[#This Row],[Mes]]*29,"mmmm")</f>
        <v>October</v>
      </c>
      <c r="S551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19" s="152"/>
      <c r="U5519" s="43" t="e">
        <f>IF(Planning[[#This Row],[Horas Planificadas]]&lt;&gt;0,+K5519/Planning[[#This Row],[Horas Planificadas]],0)</f>
        <v>#REF!</v>
      </c>
      <c r="V5519" s="43" t="e">
        <f>IF(Planning[[#This Row],[Horas Planificadas]]&lt;&gt;0,Planning[[#This Row],[Horas utilizadas]]/Planning[[#This Row],[Horas Planificadas]],0)</f>
        <v>#REF!</v>
      </c>
      <c r="W5519" s="44">
        <f>Planning[[#This Row],[Horas Planificadas]]+Planning[[#This Row],[Horas ajustadas adicionales]]</f>
        <v>120</v>
      </c>
    </row>
    <row r="5520" spans="1:23" ht="13.35" customHeight="1" x14ac:dyDescent="0.2">
      <c r="A5520" s="9" t="s">
        <v>626</v>
      </c>
      <c r="B5520" s="9" t="s">
        <v>582</v>
      </c>
      <c r="C5520" s="128">
        <v>117040</v>
      </c>
      <c r="D5520" s="3" t="s">
        <v>955</v>
      </c>
      <c r="E5520" s="4"/>
      <c r="F5520" s="3" t="s">
        <v>129</v>
      </c>
      <c r="G5520" s="9"/>
      <c r="H5520" s="9">
        <v>0</v>
      </c>
      <c r="I5520" s="12">
        <v>0</v>
      </c>
      <c r="J5520" s="5" t="e">
        <f>SUM(SUMIFS(#REF!,#REF!,Planning[[#This Row],[Tipo de Tarea y especialidad]],#REF!,Planning[[#This Row],[Proyectos Reiwa]]),SUMIFS(#REF!,#REF!,Planning[[#This Row],[Tipo de Tarea y especialidad]],#REF!,Planning[[#This Row],[Proyectos]]))</f>
        <v>#REF!</v>
      </c>
      <c r="K5520" s="5" t="e">
        <f>+Planning[[#This Row],[Horas Planificadas]]+Planning[[#This Row],[Horas ajustadas adicionales]]-Planning[[#This Row],[Horas utilizadas]]</f>
        <v>#REF!</v>
      </c>
      <c r="L5520" s="7" t="e">
        <f>Planning[[#This Row],[Saldo]]</f>
        <v>#REF!</v>
      </c>
      <c r="M5520" s="19" t="e">
        <f>Planning[[#This Row],[Saldo]]-Planning[[#This Row],[Saldo estimado]]</f>
        <v>#REF!</v>
      </c>
      <c r="N5520" s="60" t="e">
        <f>+SUMIFS(#REF!,#REF!,Planning[[#This Row],[Proyectos]],#REF!,Planning[[#This Row],[Tipo de Tarea y especialidad]])+SUMIFS(#REF!,#REF!,Planning[[#This Row],[Proyectos Reiwa]],#REF!,Planning[[#This Row],[Tipo de Tarea y especialidad]])</f>
        <v>#REF!</v>
      </c>
      <c r="O5520" s="19">
        <f t="shared" si="173"/>
        <v>10</v>
      </c>
      <c r="P5520" s="19">
        <f t="shared" si="174"/>
        <v>2024</v>
      </c>
      <c r="Q55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20" s="49" t="str">
        <f>TEXT(Planning[[#This Row],[Mes]]*29,"mmmm")</f>
        <v>October</v>
      </c>
      <c r="S552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20" s="152"/>
      <c r="U5520" s="43">
        <f>IF(Planning[[#This Row],[Horas Planificadas]]&lt;&gt;0,+K5520/Planning[[#This Row],[Horas Planificadas]],0)</f>
        <v>0</v>
      </c>
      <c r="V5520" s="43">
        <f>IF(Planning[[#This Row],[Horas Planificadas]]&lt;&gt;0,Planning[[#This Row],[Horas utilizadas]]/Planning[[#This Row],[Horas Planificadas]],0)</f>
        <v>0</v>
      </c>
      <c r="W5520" s="44">
        <f>Planning[[#This Row],[Horas Planificadas]]+Planning[[#This Row],[Horas ajustadas adicionales]]</f>
        <v>0</v>
      </c>
    </row>
    <row r="5521" spans="1:23" ht="13.35" customHeight="1" x14ac:dyDescent="0.2">
      <c r="A5521" s="9" t="s">
        <v>626</v>
      </c>
      <c r="B5521" s="9" t="s">
        <v>582</v>
      </c>
      <c r="C5521" s="129">
        <v>117040</v>
      </c>
      <c r="D5521" s="3" t="s">
        <v>955</v>
      </c>
      <c r="E5521" s="4"/>
      <c r="F5521" s="3" t="s">
        <v>130</v>
      </c>
      <c r="G5521" s="9"/>
      <c r="H5521" s="9">
        <v>120</v>
      </c>
      <c r="I5521" s="12">
        <v>0</v>
      </c>
      <c r="J5521" s="5" t="e">
        <f>SUM(SUMIFS(#REF!,#REF!,Planning[[#This Row],[Tipo de Tarea y especialidad]],#REF!,Planning[[#This Row],[Proyectos Reiwa]]),SUMIFS(#REF!,#REF!,Planning[[#This Row],[Tipo de Tarea y especialidad]],#REF!,Planning[[#This Row],[Proyectos]]))</f>
        <v>#REF!</v>
      </c>
      <c r="K5521" s="5" t="e">
        <f>+Planning[[#This Row],[Horas Planificadas]]+Planning[[#This Row],[Horas ajustadas adicionales]]-Planning[[#This Row],[Horas utilizadas]]</f>
        <v>#REF!</v>
      </c>
      <c r="L5521" s="7">
        <v>60</v>
      </c>
      <c r="M5521" s="19" t="e">
        <f>Planning[[#This Row],[Saldo]]-Planning[[#This Row],[Saldo estimado]]</f>
        <v>#REF!</v>
      </c>
      <c r="N5521" s="60" t="e">
        <f>+SUMIFS(#REF!,#REF!,Planning[[#This Row],[Proyectos]],#REF!,Planning[[#This Row],[Tipo de Tarea y especialidad]])+SUMIFS(#REF!,#REF!,Planning[[#This Row],[Proyectos Reiwa]],#REF!,Planning[[#This Row],[Tipo de Tarea y especialidad]])</f>
        <v>#REF!</v>
      </c>
      <c r="O5521" s="19">
        <f t="shared" si="173"/>
        <v>10</v>
      </c>
      <c r="P5521" s="19">
        <f t="shared" si="174"/>
        <v>2024</v>
      </c>
      <c r="Q55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21" s="49" t="str">
        <f>TEXT(Planning[[#This Row],[Mes]]*29,"mmmm")</f>
        <v>October</v>
      </c>
      <c r="S552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21" s="152"/>
      <c r="U5521" s="43" t="e">
        <f>IF(Planning[[#This Row],[Horas Planificadas]]&lt;&gt;0,+K5521/Planning[[#This Row],[Horas Planificadas]],0)</f>
        <v>#REF!</v>
      </c>
      <c r="V5521" s="43" t="e">
        <f>IF(Planning[[#This Row],[Horas Planificadas]]&lt;&gt;0,Planning[[#This Row],[Horas utilizadas]]/Planning[[#This Row],[Horas Planificadas]],0)</f>
        <v>#REF!</v>
      </c>
      <c r="W5521" s="44">
        <f>Planning[[#This Row],[Horas Planificadas]]+Planning[[#This Row],[Horas ajustadas adicionales]]</f>
        <v>120</v>
      </c>
    </row>
    <row r="5522" spans="1:23" ht="13.35" customHeight="1" x14ac:dyDescent="0.2">
      <c r="A5522" s="9" t="s">
        <v>626</v>
      </c>
      <c r="B5522" s="9" t="s">
        <v>582</v>
      </c>
      <c r="C5522" s="128">
        <v>117040</v>
      </c>
      <c r="D5522" s="3" t="s">
        <v>955</v>
      </c>
      <c r="E5522" s="4"/>
      <c r="F5522" s="3" t="s">
        <v>131</v>
      </c>
      <c r="G5522" s="9"/>
      <c r="H5522" s="9">
        <v>0</v>
      </c>
      <c r="I5522" s="12">
        <v>30</v>
      </c>
      <c r="J5522" s="5" t="e">
        <f>SUM(SUMIFS(#REF!,#REF!,Planning[[#This Row],[Tipo de Tarea y especialidad]],#REF!,Planning[[#This Row],[Proyectos Reiwa]]),SUMIFS(#REF!,#REF!,Planning[[#This Row],[Tipo de Tarea y especialidad]],#REF!,Planning[[#This Row],[Proyectos]]))</f>
        <v>#REF!</v>
      </c>
      <c r="K5522" s="5" t="e">
        <f>+Planning[[#This Row],[Horas Planificadas]]+Planning[[#This Row],[Horas ajustadas adicionales]]-Planning[[#This Row],[Horas utilizadas]]</f>
        <v>#REF!</v>
      </c>
      <c r="L5522" s="7">
        <v>30</v>
      </c>
      <c r="M5522" s="19" t="e">
        <f>Planning[[#This Row],[Saldo]]-Planning[[#This Row],[Saldo estimado]]</f>
        <v>#REF!</v>
      </c>
      <c r="N5522" s="60" t="e">
        <f>+SUMIFS(#REF!,#REF!,Planning[[#This Row],[Proyectos]],#REF!,Planning[[#This Row],[Tipo de Tarea y especialidad]])+SUMIFS(#REF!,#REF!,Planning[[#This Row],[Proyectos Reiwa]],#REF!,Planning[[#This Row],[Tipo de Tarea y especialidad]])</f>
        <v>#REF!</v>
      </c>
      <c r="O5522" s="19">
        <f t="shared" si="173"/>
        <v>10</v>
      </c>
      <c r="P5522" s="19">
        <f t="shared" si="174"/>
        <v>2024</v>
      </c>
      <c r="Q55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22" s="51" t="str">
        <f>TEXT(Planning[[#This Row],[Mes]]*29,"mmmm")</f>
        <v>October</v>
      </c>
      <c r="S552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22" s="153"/>
      <c r="U5522" s="43">
        <f>IF(Planning[[#This Row],[Horas Planificadas]]&lt;&gt;0,+K5522/Planning[[#This Row],[Horas Planificadas]],0)</f>
        <v>0</v>
      </c>
      <c r="V5522" s="43">
        <f>IF(Planning[[#This Row],[Horas Planificadas]]&lt;&gt;0,Planning[[#This Row],[Horas utilizadas]]/Planning[[#This Row],[Horas Planificadas]],0)</f>
        <v>0</v>
      </c>
      <c r="W5522" s="44">
        <f>Planning[[#This Row],[Horas Planificadas]]+Planning[[#This Row],[Horas ajustadas adicionales]]</f>
        <v>30</v>
      </c>
    </row>
    <row r="5523" spans="1:23" ht="13.35" customHeight="1" x14ac:dyDescent="0.2">
      <c r="A5523" s="9" t="s">
        <v>626</v>
      </c>
      <c r="B5523" s="9" t="s">
        <v>582</v>
      </c>
      <c r="C5523" s="3">
        <v>116959</v>
      </c>
      <c r="D5523" s="3" t="s">
        <v>957</v>
      </c>
      <c r="E5523" s="4" t="s">
        <v>28</v>
      </c>
      <c r="F5523" s="3"/>
      <c r="G5523" s="9">
        <v>3551</v>
      </c>
      <c r="H5523" s="14">
        <f>SUM(H5524:H5525)</f>
        <v>3551</v>
      </c>
      <c r="I5523" s="14"/>
      <c r="J5523" s="14" t="e">
        <f>SUM(J5524:J5525)</f>
        <v>#REF!</v>
      </c>
      <c r="K5523" s="14" t="e">
        <f>+Planning[[#This Row],[Horas Planificadas]]+Planning[[#This Row],[Horas ajustadas adicionales]]-Planning[[#This Row],[Horas utilizadas]]</f>
        <v>#REF!</v>
      </c>
      <c r="L5523" s="15">
        <f>SUM(L5524:L5525)</f>
        <v>90</v>
      </c>
      <c r="M5523" s="14" t="e">
        <f>SUM(M5524:M5525)</f>
        <v>#REF!</v>
      </c>
      <c r="N5523" s="60" t="e">
        <f>+SUMIFS(#REF!,#REF!,Planning[[#This Row],[Proyectos]],#REF!,Planning[[#This Row],[Tipo de Tarea y especialidad]])+SUMIFS(#REF!,#REF!,Planning[[#This Row],[Proyectos Reiwa]],#REF!,Planning[[#This Row],[Tipo de Tarea y especialidad]])</f>
        <v>#REF!</v>
      </c>
      <c r="O5523" s="14">
        <f t="shared" si="173"/>
        <v>10</v>
      </c>
      <c r="P5523" s="14">
        <f t="shared" si="174"/>
        <v>2024</v>
      </c>
      <c r="Q5523" s="28" t="e">
        <f>SUM(Q5524:Q5525)</f>
        <v>#REF!</v>
      </c>
      <c r="R5523" s="24" t="str">
        <f>TEXT(Planning[[#This Row],[Mes]]*29,"mmmm")</f>
        <v>October</v>
      </c>
      <c r="S5523"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23" s="151" t="s">
        <v>958</v>
      </c>
      <c r="U5523" s="43" t="e">
        <f>IF(Planning[[#This Row],[Horas Planificadas]]&lt;&gt;0,+K5523/Planning[[#This Row],[Horas Planificadas]],0)</f>
        <v>#REF!</v>
      </c>
      <c r="V5523" s="43" t="e">
        <f>IF(Planning[[#This Row],[Horas Planificadas]]&lt;&gt;0,Planning[[#This Row],[Horas utilizadas]]/Planning[[#This Row],[Horas Planificadas]],0)</f>
        <v>#REF!</v>
      </c>
      <c r="W5523" s="44">
        <f>Planning[[#This Row],[Horas Planificadas]]+Planning[[#This Row],[Horas ajustadas adicionales]]</f>
        <v>3551</v>
      </c>
    </row>
    <row r="5524" spans="1:23" ht="13.35" customHeight="1" x14ac:dyDescent="0.2">
      <c r="A5524" s="9" t="s">
        <v>626</v>
      </c>
      <c r="B5524" s="9" t="s">
        <v>582</v>
      </c>
      <c r="C5524" s="3">
        <v>116959</v>
      </c>
      <c r="D5524" s="3" t="s">
        <v>957</v>
      </c>
      <c r="E5524" s="4"/>
      <c r="F5524" s="3" t="s">
        <v>120</v>
      </c>
      <c r="G5524" s="9"/>
      <c r="H5524" s="9">
        <v>2118</v>
      </c>
      <c r="I5524" s="12">
        <v>36</v>
      </c>
      <c r="J5524" s="5" t="e">
        <f>SUM(SUMIFS(#REF!,#REF!,Planning[[#This Row],[Tipo de Tarea y especialidad]],#REF!,Planning[[#This Row],[Proyectos Reiwa]]),SUMIFS(#REF!,#REF!,Planning[[#This Row],[Tipo de Tarea y especialidad]],#REF!,Planning[[#This Row],[Proyectos]]))</f>
        <v>#REF!</v>
      </c>
      <c r="K5524" s="5" t="e">
        <f>+Planning[[#This Row],[Horas Planificadas]]+Planning[[#This Row],[Horas ajustadas adicionales]]-Planning[[#This Row],[Horas utilizadas]]</f>
        <v>#REF!</v>
      </c>
      <c r="L5524" s="7">
        <v>0</v>
      </c>
      <c r="M5524" s="19" t="e">
        <f>Planning[[#This Row],[Saldo]]-Planning[[#This Row],[Saldo estimado]]</f>
        <v>#REF!</v>
      </c>
      <c r="N5524" s="60" t="e">
        <f>+SUMIFS(#REF!,#REF!,Planning[[#This Row],[Proyectos]],#REF!,Planning[[#This Row],[Tipo de Tarea y especialidad]])+SUMIFS(#REF!,#REF!,Planning[[#This Row],[Proyectos Reiwa]],#REF!,Planning[[#This Row],[Tipo de Tarea y especialidad]])</f>
        <v>#REF!</v>
      </c>
      <c r="O5524" s="19">
        <f t="shared" si="173"/>
        <v>10</v>
      </c>
      <c r="P5524" s="19">
        <f t="shared" si="174"/>
        <v>2024</v>
      </c>
      <c r="Q55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24" s="49" t="str">
        <f>TEXT(Planning[[#This Row],[Mes]]*29,"mmmm")</f>
        <v>October</v>
      </c>
      <c r="S552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24" s="152"/>
      <c r="U5524" s="43" t="e">
        <f>IF(Planning[[#This Row],[Horas Planificadas]]&lt;&gt;0,+K5524/Planning[[#This Row],[Horas Planificadas]],0)</f>
        <v>#REF!</v>
      </c>
      <c r="V5524" s="43" t="e">
        <f>IF(Planning[[#This Row],[Horas Planificadas]]&lt;&gt;0,Planning[[#This Row],[Horas utilizadas]]/Planning[[#This Row],[Horas Planificadas]],0)</f>
        <v>#REF!</v>
      </c>
      <c r="W5524" s="44">
        <f>Planning[[#This Row],[Horas Planificadas]]+Planning[[#This Row],[Horas ajustadas adicionales]]</f>
        <v>2154</v>
      </c>
    </row>
    <row r="5525" spans="1:23" ht="13.35" customHeight="1" x14ac:dyDescent="0.2">
      <c r="A5525" s="9" t="s">
        <v>626</v>
      </c>
      <c r="B5525" s="9" t="s">
        <v>582</v>
      </c>
      <c r="C5525" s="3">
        <v>116959</v>
      </c>
      <c r="D5525" s="3" t="s">
        <v>957</v>
      </c>
      <c r="E5525" s="4"/>
      <c r="F5525" s="3" t="s">
        <v>121</v>
      </c>
      <c r="G5525" s="9"/>
      <c r="H5525" s="9">
        <v>1433</v>
      </c>
      <c r="I5525" s="144">
        <v>-360</v>
      </c>
      <c r="J5525" s="5" t="e">
        <f>SUM(SUMIFS(#REF!,#REF!,Planning[[#This Row],[Tipo de Tarea y especialidad]],#REF!,Planning[[#This Row],[Proyectos Reiwa]]),SUMIFS(#REF!,#REF!,Planning[[#This Row],[Tipo de Tarea y especialidad]],#REF!,Planning[[#This Row],[Proyectos]]))</f>
        <v>#REF!</v>
      </c>
      <c r="K5525" s="5" t="e">
        <f>+Planning[[#This Row],[Horas Planificadas]]+Planning[[#This Row],[Horas ajustadas adicionales]]-Planning[[#This Row],[Horas utilizadas]]</f>
        <v>#REF!</v>
      </c>
      <c r="L5525" s="7">
        <v>90</v>
      </c>
      <c r="M5525" s="19" t="e">
        <f>Planning[[#This Row],[Saldo]]-Planning[[#This Row],[Saldo estimado]]</f>
        <v>#REF!</v>
      </c>
      <c r="N5525" s="60" t="e">
        <f>+SUMIFS(#REF!,#REF!,Planning[[#This Row],[Proyectos]],#REF!,Planning[[#This Row],[Tipo de Tarea y especialidad]])+SUMIFS(#REF!,#REF!,Planning[[#This Row],[Proyectos Reiwa]],#REF!,Planning[[#This Row],[Tipo de Tarea y especialidad]])</f>
        <v>#REF!</v>
      </c>
      <c r="O5525" s="19">
        <f t="shared" si="173"/>
        <v>10</v>
      </c>
      <c r="P5525" s="19">
        <f t="shared" si="174"/>
        <v>2024</v>
      </c>
      <c r="Q55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25" s="49" t="str">
        <f>TEXT(Planning[[#This Row],[Mes]]*29,"mmmm")</f>
        <v>October</v>
      </c>
      <c r="S552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25" s="152"/>
      <c r="U5525" s="43" t="e">
        <f>IF(Planning[[#This Row],[Horas Planificadas]]&lt;&gt;0,+K5525/Planning[[#This Row],[Horas Planificadas]],0)</f>
        <v>#REF!</v>
      </c>
      <c r="V5525" s="43" t="e">
        <f>IF(Planning[[#This Row],[Horas Planificadas]]&lt;&gt;0,Planning[[#This Row],[Horas utilizadas]]/Planning[[#This Row],[Horas Planificadas]],0)</f>
        <v>#REF!</v>
      </c>
      <c r="W5525" s="44">
        <f>Planning[[#This Row],[Horas Planificadas]]+Planning[[#This Row],[Horas ajustadas adicionales]]</f>
        <v>1073</v>
      </c>
    </row>
    <row r="5526" spans="1:23" ht="13.35" customHeight="1" x14ac:dyDescent="0.2">
      <c r="A5526" s="9" t="s">
        <v>626</v>
      </c>
      <c r="B5526" s="9" t="s">
        <v>582</v>
      </c>
      <c r="C5526" s="3">
        <v>116959</v>
      </c>
      <c r="D5526" s="3" t="s">
        <v>957</v>
      </c>
      <c r="E5526" s="4" t="s">
        <v>30</v>
      </c>
      <c r="F5526" s="3"/>
      <c r="G5526" s="9">
        <v>4046</v>
      </c>
      <c r="H5526" s="14">
        <f>SUM(H5527:H5533)</f>
        <v>4046</v>
      </c>
      <c r="I5526" s="14"/>
      <c r="J5526" s="14" t="e">
        <f>SUM(J5527:J5533)</f>
        <v>#REF!</v>
      </c>
      <c r="K5526" s="14" t="e">
        <f>+Planning[[#This Row],[Horas Planificadas]]+Planning[[#This Row],[Horas ajustadas adicionales]]-Planning[[#This Row],[Horas utilizadas]]</f>
        <v>#REF!</v>
      </c>
      <c r="L5526" s="15">
        <f>SUM(L5527:L5533)</f>
        <v>693</v>
      </c>
      <c r="M5526" s="16" t="e">
        <f>SUM(M5527:M5533)</f>
        <v>#REF!</v>
      </c>
      <c r="N5526" s="60" t="e">
        <f>+SUMIFS(#REF!,#REF!,Planning[[#This Row],[Proyectos]],#REF!,Planning[[#This Row],[Tipo de Tarea y especialidad]])+SUMIFS(#REF!,#REF!,Planning[[#This Row],[Proyectos Reiwa]],#REF!,Planning[[#This Row],[Tipo de Tarea y especialidad]])</f>
        <v>#REF!</v>
      </c>
      <c r="O5526" s="16">
        <f t="shared" si="173"/>
        <v>10</v>
      </c>
      <c r="P5526" s="16">
        <f t="shared" si="174"/>
        <v>2024</v>
      </c>
      <c r="Q5526" s="16" t="e">
        <f>SUM(Q5527:Q5533)</f>
        <v>#REF!</v>
      </c>
      <c r="R5526" s="50" t="str">
        <f>TEXT(Planning[[#This Row],[Mes]]*29,"mmmm")</f>
        <v>October</v>
      </c>
      <c r="S552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26" s="152"/>
      <c r="U5526" s="43" t="e">
        <f>IF(Planning[[#This Row],[Horas Planificadas]]&lt;&gt;0,+K5526/Planning[[#This Row],[Horas Planificadas]],0)</f>
        <v>#REF!</v>
      </c>
      <c r="V5526" s="43" t="e">
        <f>IF(Planning[[#This Row],[Horas Planificadas]]&lt;&gt;0,Planning[[#This Row],[Horas utilizadas]]/Planning[[#This Row],[Horas Planificadas]],0)</f>
        <v>#REF!</v>
      </c>
      <c r="W5526" s="44">
        <f>Planning[[#This Row],[Horas Planificadas]]+Planning[[#This Row],[Horas ajustadas adicionales]]</f>
        <v>4046</v>
      </c>
    </row>
    <row r="5527" spans="1:23" ht="13.35" customHeight="1" x14ac:dyDescent="0.2">
      <c r="A5527" s="9" t="s">
        <v>626</v>
      </c>
      <c r="B5527" s="9" t="s">
        <v>582</v>
      </c>
      <c r="C5527" s="3">
        <v>116959</v>
      </c>
      <c r="D5527" s="3" t="s">
        <v>957</v>
      </c>
      <c r="E5527" s="4"/>
      <c r="F5527" s="3" t="s">
        <v>122</v>
      </c>
      <c r="G5527" s="9"/>
      <c r="H5527" s="9">
        <v>680</v>
      </c>
      <c r="I5527" s="12">
        <v>90</v>
      </c>
      <c r="J5527" s="5" t="e">
        <f>SUM(SUMIFS(#REF!,#REF!,Planning[[#This Row],[Tipo de Tarea y especialidad]],#REF!,Planning[[#This Row],[Proyectos Reiwa]]),SUMIFS(#REF!,#REF!,Planning[[#This Row],[Tipo de Tarea y especialidad]],#REF!,Planning[[#This Row],[Proyectos]]))</f>
        <v>#REF!</v>
      </c>
      <c r="K5527" s="5" t="e">
        <f>+Planning[[#This Row],[Horas Planificadas]]+Planning[[#This Row],[Horas ajustadas adicionales]]-Planning[[#This Row],[Horas utilizadas]]</f>
        <v>#REF!</v>
      </c>
      <c r="L5527" s="7">
        <v>153</v>
      </c>
      <c r="M5527" s="19" t="e">
        <f>Planning[[#This Row],[Saldo]]-Planning[[#This Row],[Saldo estimado]]</f>
        <v>#REF!</v>
      </c>
      <c r="N5527" s="60" t="e">
        <f>+SUMIFS(#REF!,#REF!,Planning[[#This Row],[Proyectos]],#REF!,Planning[[#This Row],[Tipo de Tarea y especialidad]])+SUMIFS(#REF!,#REF!,Planning[[#This Row],[Proyectos Reiwa]],#REF!,Planning[[#This Row],[Tipo de Tarea y especialidad]])</f>
        <v>#REF!</v>
      </c>
      <c r="O5527" s="19">
        <f t="shared" si="173"/>
        <v>10</v>
      </c>
      <c r="P5527" s="19">
        <f t="shared" si="174"/>
        <v>2024</v>
      </c>
      <c r="Q55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27" s="49" t="str">
        <f>TEXT(Planning[[#This Row],[Mes]]*29,"mmmm")</f>
        <v>October</v>
      </c>
      <c r="S552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27" s="152"/>
      <c r="U5527" s="43" t="e">
        <f>IF(Planning[[#This Row],[Horas Planificadas]]&lt;&gt;0,+K5527/Planning[[#This Row],[Horas Planificadas]],0)</f>
        <v>#REF!</v>
      </c>
      <c r="V5527" s="43" t="e">
        <f>IF(Planning[[#This Row],[Horas Planificadas]]&lt;&gt;0,Planning[[#This Row],[Horas utilizadas]]/Planning[[#This Row],[Horas Planificadas]],0)</f>
        <v>#REF!</v>
      </c>
      <c r="W5527" s="44">
        <f>Planning[[#This Row],[Horas Planificadas]]+Planning[[#This Row],[Horas ajustadas adicionales]]</f>
        <v>770</v>
      </c>
    </row>
    <row r="5528" spans="1:23" ht="13.35" customHeight="1" x14ac:dyDescent="0.2">
      <c r="A5528" s="9" t="s">
        <v>626</v>
      </c>
      <c r="B5528" s="9" t="s">
        <v>582</v>
      </c>
      <c r="C5528" s="3">
        <v>116959</v>
      </c>
      <c r="D5528" s="3" t="s">
        <v>957</v>
      </c>
      <c r="E5528" s="4"/>
      <c r="F5528" s="3" t="s">
        <v>123</v>
      </c>
      <c r="G5528" s="9"/>
      <c r="H5528" s="9">
        <v>1088</v>
      </c>
      <c r="I5528" s="144">
        <v>-371</v>
      </c>
      <c r="J5528" s="5" t="e">
        <f>SUM(SUMIFS(#REF!,#REF!,Planning[[#This Row],[Tipo de Tarea y especialidad]],#REF!,Planning[[#This Row],[Proyectos Reiwa]]),SUMIFS(#REF!,#REF!,Planning[[#This Row],[Tipo de Tarea y especialidad]],#REF!,Planning[[#This Row],[Proyectos]]))</f>
        <v>#REF!</v>
      </c>
      <c r="K5528" s="5" t="e">
        <f>+Planning[[#This Row],[Horas Planificadas]]+Planning[[#This Row],[Horas ajustadas adicionales]]-Planning[[#This Row],[Horas utilizadas]]</f>
        <v>#REF!</v>
      </c>
      <c r="L5528" s="7">
        <v>0</v>
      </c>
      <c r="M5528" s="19" t="e">
        <f>Planning[[#This Row],[Saldo]]-Planning[[#This Row],[Saldo estimado]]</f>
        <v>#REF!</v>
      </c>
      <c r="N5528" s="60" t="e">
        <f>+SUMIFS(#REF!,#REF!,Planning[[#This Row],[Proyectos]],#REF!,Planning[[#This Row],[Tipo de Tarea y especialidad]])+SUMIFS(#REF!,#REF!,Planning[[#This Row],[Proyectos Reiwa]],#REF!,Planning[[#This Row],[Tipo de Tarea y especialidad]])</f>
        <v>#REF!</v>
      </c>
      <c r="O5528" s="19">
        <f t="shared" si="173"/>
        <v>10</v>
      </c>
      <c r="P5528" s="19">
        <f t="shared" si="174"/>
        <v>2024</v>
      </c>
      <c r="Q55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28" s="49" t="str">
        <f>TEXT(Planning[[#This Row],[Mes]]*29,"mmmm")</f>
        <v>October</v>
      </c>
      <c r="S552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28" s="152"/>
      <c r="U5528" s="43" t="e">
        <f>IF(Planning[[#This Row],[Horas Planificadas]]&lt;&gt;0,+K5528/Planning[[#This Row],[Horas Planificadas]],0)</f>
        <v>#REF!</v>
      </c>
      <c r="V5528" s="43" t="e">
        <f>IF(Planning[[#This Row],[Horas Planificadas]]&lt;&gt;0,Planning[[#This Row],[Horas utilizadas]]/Planning[[#This Row],[Horas Planificadas]],0)</f>
        <v>#REF!</v>
      </c>
      <c r="W5528" s="44">
        <f>Planning[[#This Row],[Horas Planificadas]]+Planning[[#This Row],[Horas ajustadas adicionales]]</f>
        <v>717</v>
      </c>
    </row>
    <row r="5529" spans="1:23" ht="13.35" customHeight="1" x14ac:dyDescent="0.2">
      <c r="A5529" s="9" t="s">
        <v>626</v>
      </c>
      <c r="B5529" s="9" t="s">
        <v>582</v>
      </c>
      <c r="C5529" s="3">
        <v>116959</v>
      </c>
      <c r="D5529" s="3" t="s">
        <v>957</v>
      </c>
      <c r="E5529" s="4"/>
      <c r="F5529" s="3" t="s">
        <v>124</v>
      </c>
      <c r="G5529" s="9">
        <v>590</v>
      </c>
      <c r="H5529" s="9">
        <v>470</v>
      </c>
      <c r="I5529" s="12">
        <v>0</v>
      </c>
      <c r="J5529" s="5" t="e">
        <f>SUM(SUMIFS(#REF!,#REF!,Planning[[#This Row],[Tipo de Tarea y especialidad]],#REF!,Planning[[#This Row],[Proyectos Reiwa]]),SUMIFS(#REF!,#REF!,Planning[[#This Row],[Tipo de Tarea y especialidad]],#REF!,Planning[[#This Row],[Proyectos]]))</f>
        <v>#REF!</v>
      </c>
      <c r="K5529" s="5" t="e">
        <f>+Planning[[#This Row],[Horas Planificadas]]+Planning[[#This Row],[Horas ajustadas adicionales]]-Planning[[#This Row],[Horas utilizadas]]</f>
        <v>#REF!</v>
      </c>
      <c r="L5529" s="7">
        <v>0</v>
      </c>
      <c r="M5529" s="19" t="e">
        <f>Planning[[#This Row],[Saldo]]-Planning[[#This Row],[Saldo estimado]]</f>
        <v>#REF!</v>
      </c>
      <c r="N5529" s="60" t="e">
        <f>+SUMIFS(#REF!,#REF!,Planning[[#This Row],[Proyectos]],#REF!,Planning[[#This Row],[Tipo de Tarea y especialidad]])+SUMIFS(#REF!,#REF!,Planning[[#This Row],[Proyectos Reiwa]],#REF!,Planning[[#This Row],[Tipo de Tarea y especialidad]])</f>
        <v>#REF!</v>
      </c>
      <c r="O5529" s="19">
        <f t="shared" si="173"/>
        <v>10</v>
      </c>
      <c r="P5529" s="19">
        <f t="shared" si="174"/>
        <v>2024</v>
      </c>
      <c r="Q55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29" s="49" t="str">
        <f>TEXT(Planning[[#This Row],[Mes]]*29,"mmmm")</f>
        <v>October</v>
      </c>
      <c r="S552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29" s="152"/>
      <c r="U5529" s="43" t="e">
        <f>IF(Planning[[#This Row],[Horas Planificadas]]&lt;&gt;0,+K5529/Planning[[#This Row],[Horas Planificadas]],0)</f>
        <v>#REF!</v>
      </c>
      <c r="V5529" s="43" t="e">
        <f>IF(Planning[[#This Row],[Horas Planificadas]]&lt;&gt;0,Planning[[#This Row],[Horas utilizadas]]/Planning[[#This Row],[Horas Planificadas]],0)</f>
        <v>#REF!</v>
      </c>
      <c r="W5529" s="44">
        <f>Planning[[#This Row],[Horas Planificadas]]+Planning[[#This Row],[Horas ajustadas adicionales]]</f>
        <v>470</v>
      </c>
    </row>
    <row r="5530" spans="1:23" ht="13.35" customHeight="1" x14ac:dyDescent="0.2">
      <c r="A5530" s="9" t="s">
        <v>626</v>
      </c>
      <c r="B5530" s="9" t="s">
        <v>582</v>
      </c>
      <c r="C5530" s="3">
        <v>116959</v>
      </c>
      <c r="D5530" s="3" t="s">
        <v>957</v>
      </c>
      <c r="E5530" s="4"/>
      <c r="F5530" s="3" t="s">
        <v>125</v>
      </c>
      <c r="G5530" s="9"/>
      <c r="H5530" s="9">
        <v>336</v>
      </c>
      <c r="I5530" s="12">
        <v>27</v>
      </c>
      <c r="J5530" s="5" t="e">
        <f>SUM(SUMIFS(#REF!,#REF!,Planning[[#This Row],[Tipo de Tarea y especialidad]],#REF!,Planning[[#This Row],[Proyectos Reiwa]]),SUMIFS(#REF!,#REF!,Planning[[#This Row],[Tipo de Tarea y especialidad]],#REF!,Planning[[#This Row],[Proyectos]]))</f>
        <v>#REF!</v>
      </c>
      <c r="K5530" s="5" t="e">
        <f>+Planning[[#This Row],[Horas Planificadas]]+Planning[[#This Row],[Horas ajustadas adicionales]]-Planning[[#This Row],[Horas utilizadas]]</f>
        <v>#REF!</v>
      </c>
      <c r="L5530" s="7">
        <v>180</v>
      </c>
      <c r="M5530" s="19" t="e">
        <f>Planning[[#This Row],[Saldo]]-Planning[[#This Row],[Saldo estimado]]</f>
        <v>#REF!</v>
      </c>
      <c r="N5530" s="60" t="e">
        <f>+SUMIFS(#REF!,#REF!,Planning[[#This Row],[Proyectos]],#REF!,Planning[[#This Row],[Tipo de Tarea y especialidad]])+SUMIFS(#REF!,#REF!,Planning[[#This Row],[Proyectos Reiwa]],#REF!,Planning[[#This Row],[Tipo de Tarea y especialidad]])</f>
        <v>#REF!</v>
      </c>
      <c r="O5530" s="19">
        <f t="shared" si="173"/>
        <v>10</v>
      </c>
      <c r="P5530" s="19">
        <f t="shared" si="174"/>
        <v>2024</v>
      </c>
      <c r="Q55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30" s="49" t="str">
        <f>TEXT(Planning[[#This Row],[Mes]]*29,"mmmm")</f>
        <v>October</v>
      </c>
      <c r="S553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30" s="152"/>
      <c r="U5530" s="43" t="e">
        <f>IF(Planning[[#This Row],[Horas Planificadas]]&lt;&gt;0,+K5530/Planning[[#This Row],[Horas Planificadas]],0)</f>
        <v>#REF!</v>
      </c>
      <c r="V5530" s="43" t="e">
        <f>IF(Planning[[#This Row],[Horas Planificadas]]&lt;&gt;0,Planning[[#This Row],[Horas utilizadas]]/Planning[[#This Row],[Horas Planificadas]],0)</f>
        <v>#REF!</v>
      </c>
      <c r="W5530" s="44">
        <f>Planning[[#This Row],[Horas Planificadas]]+Planning[[#This Row],[Horas ajustadas adicionales]]</f>
        <v>363</v>
      </c>
    </row>
    <row r="5531" spans="1:23" ht="13.35" customHeight="1" x14ac:dyDescent="0.2">
      <c r="A5531" s="9" t="s">
        <v>626</v>
      </c>
      <c r="B5531" s="9" t="s">
        <v>582</v>
      </c>
      <c r="C5531" s="3">
        <v>116959</v>
      </c>
      <c r="D5531" s="3" t="s">
        <v>957</v>
      </c>
      <c r="E5531" s="4"/>
      <c r="F5531" s="3" t="s">
        <v>126</v>
      </c>
      <c r="G5531" s="9"/>
      <c r="H5531" s="9">
        <v>458</v>
      </c>
      <c r="I5531" s="12">
        <v>18</v>
      </c>
      <c r="J5531" s="5" t="e">
        <f>SUM(SUMIFS(#REF!,#REF!,Planning[[#This Row],[Tipo de Tarea y especialidad]],#REF!,Planning[[#This Row],[Proyectos Reiwa]]),SUMIFS(#REF!,#REF!,Planning[[#This Row],[Tipo de Tarea y especialidad]],#REF!,Planning[[#This Row],[Proyectos]]))</f>
        <v>#REF!</v>
      </c>
      <c r="K5531" s="5" t="e">
        <f>+Planning[[#This Row],[Horas Planificadas]]+Planning[[#This Row],[Horas ajustadas adicionales]]-Planning[[#This Row],[Horas utilizadas]]</f>
        <v>#REF!</v>
      </c>
      <c r="L5531" s="7">
        <v>135</v>
      </c>
      <c r="M5531" s="19" t="e">
        <f>Planning[[#This Row],[Saldo]]-Planning[[#This Row],[Saldo estimado]]</f>
        <v>#REF!</v>
      </c>
      <c r="N5531" s="60" t="e">
        <f>+SUMIFS(#REF!,#REF!,Planning[[#This Row],[Proyectos]],#REF!,Planning[[#This Row],[Tipo de Tarea y especialidad]])+SUMIFS(#REF!,#REF!,Planning[[#This Row],[Proyectos Reiwa]],#REF!,Planning[[#This Row],[Tipo de Tarea y especialidad]])</f>
        <v>#REF!</v>
      </c>
      <c r="O5531" s="19">
        <f t="shared" si="173"/>
        <v>10</v>
      </c>
      <c r="P5531" s="19">
        <f t="shared" si="174"/>
        <v>2024</v>
      </c>
      <c r="Q55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31" s="49" t="str">
        <f>TEXT(Planning[[#This Row],[Mes]]*29,"mmmm")</f>
        <v>October</v>
      </c>
      <c r="S553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31" s="152"/>
      <c r="U5531" s="43" t="e">
        <f>IF(Planning[[#This Row],[Horas Planificadas]]&lt;&gt;0,+K5531/Planning[[#This Row],[Horas Planificadas]],0)</f>
        <v>#REF!</v>
      </c>
      <c r="V5531" s="43" t="e">
        <f>IF(Planning[[#This Row],[Horas Planificadas]]&lt;&gt;0,Planning[[#This Row],[Horas utilizadas]]/Planning[[#This Row],[Horas Planificadas]],0)</f>
        <v>#REF!</v>
      </c>
      <c r="W5531" s="44">
        <f>Planning[[#This Row],[Horas Planificadas]]+Planning[[#This Row],[Horas ajustadas adicionales]]</f>
        <v>476</v>
      </c>
    </row>
    <row r="5532" spans="1:23" ht="13.35" customHeight="1" x14ac:dyDescent="0.2">
      <c r="A5532" s="9" t="s">
        <v>626</v>
      </c>
      <c r="B5532" s="9" t="s">
        <v>582</v>
      </c>
      <c r="C5532" s="3">
        <v>116959</v>
      </c>
      <c r="D5532" s="3" t="s">
        <v>957</v>
      </c>
      <c r="E5532" s="4"/>
      <c r="F5532" s="3" t="s">
        <v>127</v>
      </c>
      <c r="G5532" s="9"/>
      <c r="H5532" s="9">
        <v>744</v>
      </c>
      <c r="I5532" s="12">
        <v>0</v>
      </c>
      <c r="J5532" s="5" t="e">
        <f>SUM(SUMIFS(#REF!,#REF!,Planning[[#This Row],[Tipo de Tarea y especialidad]],#REF!,Planning[[#This Row],[Proyectos Reiwa]]),SUMIFS(#REF!,#REF!,Planning[[#This Row],[Tipo de Tarea y especialidad]],#REF!,Planning[[#This Row],[Proyectos]]))</f>
        <v>#REF!</v>
      </c>
      <c r="K5532" s="5" t="e">
        <f>+Planning[[#This Row],[Horas Planificadas]]+Planning[[#This Row],[Horas ajustadas adicionales]]-Planning[[#This Row],[Horas utilizadas]]</f>
        <v>#REF!</v>
      </c>
      <c r="L5532" s="7">
        <v>135</v>
      </c>
      <c r="M5532" s="19" t="e">
        <f>Planning[[#This Row],[Saldo]]-Planning[[#This Row],[Saldo estimado]]</f>
        <v>#REF!</v>
      </c>
      <c r="N5532" s="60" t="e">
        <f>+SUMIFS(#REF!,#REF!,Planning[[#This Row],[Proyectos]],#REF!,Planning[[#This Row],[Tipo de Tarea y especialidad]])+SUMIFS(#REF!,#REF!,Planning[[#This Row],[Proyectos Reiwa]],#REF!,Planning[[#This Row],[Tipo de Tarea y especialidad]])</f>
        <v>#REF!</v>
      </c>
      <c r="O5532" s="19">
        <f t="shared" si="173"/>
        <v>10</v>
      </c>
      <c r="P5532" s="19">
        <f t="shared" si="174"/>
        <v>2024</v>
      </c>
      <c r="Q55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32" s="49" t="str">
        <f>TEXT(Planning[[#This Row],[Mes]]*29,"mmmm")</f>
        <v>October</v>
      </c>
      <c r="S553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32" s="152"/>
      <c r="U5532" s="43" t="e">
        <f>IF(Planning[[#This Row],[Horas Planificadas]]&lt;&gt;0,+K5532/Planning[[#This Row],[Horas Planificadas]],0)</f>
        <v>#REF!</v>
      </c>
      <c r="V5532" s="43" t="e">
        <f>IF(Planning[[#This Row],[Horas Planificadas]]&lt;&gt;0,Planning[[#This Row],[Horas utilizadas]]/Planning[[#This Row],[Horas Planificadas]],0)</f>
        <v>#REF!</v>
      </c>
      <c r="W5532" s="44">
        <f>Planning[[#This Row],[Horas Planificadas]]+Planning[[#This Row],[Horas ajustadas adicionales]]</f>
        <v>744</v>
      </c>
    </row>
    <row r="5533" spans="1:23" ht="13.35" customHeight="1" x14ac:dyDescent="0.2">
      <c r="A5533" s="9" t="s">
        <v>626</v>
      </c>
      <c r="B5533" s="9" t="s">
        <v>582</v>
      </c>
      <c r="C5533" s="3">
        <v>116959</v>
      </c>
      <c r="D5533" s="3" t="s">
        <v>957</v>
      </c>
      <c r="E5533" s="4"/>
      <c r="F5533" s="3" t="s">
        <v>128</v>
      </c>
      <c r="G5533" s="9">
        <v>250</v>
      </c>
      <c r="H5533" s="9">
        <v>270</v>
      </c>
      <c r="I5533" s="12">
        <v>0</v>
      </c>
      <c r="J5533" s="5" t="e">
        <f>SUM(SUMIFS(#REF!,#REF!,Planning[[#This Row],[Tipo de Tarea y especialidad]],#REF!,Planning[[#This Row],[Proyectos Reiwa]]),SUMIFS(#REF!,#REF!,Planning[[#This Row],[Tipo de Tarea y especialidad]],#REF!,Planning[[#This Row],[Proyectos]]))</f>
        <v>#REF!</v>
      </c>
      <c r="K5533" s="5" t="e">
        <f>+Planning[[#This Row],[Horas Planificadas]]+Planning[[#This Row],[Horas ajustadas adicionales]]-Planning[[#This Row],[Horas utilizadas]]</f>
        <v>#REF!</v>
      </c>
      <c r="L5533" s="7">
        <v>90</v>
      </c>
      <c r="M5533" s="19" t="e">
        <f>Planning[[#This Row],[Saldo]]-Planning[[#This Row],[Saldo estimado]]</f>
        <v>#REF!</v>
      </c>
      <c r="N5533" s="60" t="e">
        <f>+SUMIFS(#REF!,#REF!,Planning[[#This Row],[Proyectos]],#REF!,Planning[[#This Row],[Tipo de Tarea y especialidad]])+SUMIFS(#REF!,#REF!,Planning[[#This Row],[Proyectos Reiwa]],#REF!,Planning[[#This Row],[Tipo de Tarea y especialidad]])</f>
        <v>#REF!</v>
      </c>
      <c r="O5533" s="19">
        <f t="shared" si="173"/>
        <v>10</v>
      </c>
      <c r="P5533" s="19">
        <f t="shared" si="174"/>
        <v>2024</v>
      </c>
      <c r="Q55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33" s="49" t="str">
        <f>TEXT(Planning[[#This Row],[Mes]]*29,"mmmm")</f>
        <v>October</v>
      </c>
      <c r="S553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33" s="152"/>
      <c r="U5533" s="43" t="e">
        <f>IF(Planning[[#This Row],[Horas Planificadas]]&lt;&gt;0,+K5533/Planning[[#This Row],[Horas Planificadas]],0)</f>
        <v>#REF!</v>
      </c>
      <c r="V5533" s="43" t="e">
        <f>IF(Planning[[#This Row],[Horas Planificadas]]&lt;&gt;0,Planning[[#This Row],[Horas utilizadas]]/Planning[[#This Row],[Horas Planificadas]],0)</f>
        <v>#REF!</v>
      </c>
      <c r="W5533" s="44">
        <f>Planning[[#This Row],[Horas Planificadas]]+Planning[[#This Row],[Horas ajustadas adicionales]]</f>
        <v>270</v>
      </c>
    </row>
    <row r="5534" spans="1:23" ht="13.35" customHeight="1" x14ac:dyDescent="0.2">
      <c r="A5534" s="9" t="s">
        <v>626</v>
      </c>
      <c r="B5534" s="9" t="s">
        <v>582</v>
      </c>
      <c r="C5534" s="3">
        <v>116959</v>
      </c>
      <c r="D5534" s="3" t="s">
        <v>957</v>
      </c>
      <c r="E5534" s="4" t="s">
        <v>31</v>
      </c>
      <c r="F5534" s="3" t="s">
        <v>31</v>
      </c>
      <c r="G5534" s="9">
        <v>190</v>
      </c>
      <c r="H5534" s="17">
        <v>190</v>
      </c>
      <c r="I5534" s="18">
        <v>13</v>
      </c>
      <c r="J5534" s="14" t="e">
        <f>+SUMIFS(#REF!,#REF!,Planning[[#This Row],[Tarifa]],#REF!,Planning[[#This Row],[Proyectos]])</f>
        <v>#REF!</v>
      </c>
      <c r="K5534" s="14" t="e">
        <f>+Planning[[#This Row],[Horas Planificadas]]+Planning[[#This Row],[Horas ajustadas adicionales]]-Planning[[#This Row],[Horas utilizadas]]</f>
        <v>#REF!</v>
      </c>
      <c r="L5534" s="15">
        <v>55</v>
      </c>
      <c r="M5534" s="16" t="e">
        <f>Planning[[#This Row],[Saldo]]-Planning[[#This Row],[Saldo estimado]]</f>
        <v>#REF!</v>
      </c>
      <c r="N5534" s="60" t="e">
        <f>+SUMIFS(#REF!,#REF!,Planning[[#This Row],[Proyectos]],#REF!,Planning[[#This Row],[Tipo de Tarea y especialidad]])+SUMIFS(#REF!,#REF!,Planning[[#This Row],[Proyectos Reiwa]],#REF!,Planning[[#This Row],[Tipo de Tarea y especialidad]])</f>
        <v>#REF!</v>
      </c>
      <c r="O5534" s="16">
        <f t="shared" si="173"/>
        <v>10</v>
      </c>
      <c r="P5534" s="16">
        <f t="shared" si="174"/>
        <v>2024</v>
      </c>
      <c r="Q5534" s="16" t="e">
        <f>+SUMIFS(#REF!,#REF!,Planning[[#This Row],[Tarifa]],#REF!,Planning[[#This Row],[Proyectos]],#REF!,Planning[[#This Row],[Mes]],#REF!,Planning[[#This Row],[Año]])</f>
        <v>#REF!</v>
      </c>
      <c r="R5534" s="50" t="str">
        <f>TEXT(Planning[[#This Row],[Mes]]*29,"mmmm")</f>
        <v>October</v>
      </c>
      <c r="S553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34" s="152"/>
      <c r="U5534" s="43" t="e">
        <f>IF(Planning[[#This Row],[Horas Planificadas]]&lt;&gt;0,+K5534/Planning[[#This Row],[Horas Planificadas]],0)</f>
        <v>#REF!</v>
      </c>
      <c r="V5534" s="43" t="e">
        <f>IF(Planning[[#This Row],[Horas Planificadas]]&lt;&gt;0,Planning[[#This Row],[Horas utilizadas]]/Planning[[#This Row],[Horas Planificadas]],0)</f>
        <v>#REF!</v>
      </c>
      <c r="W5534" s="44">
        <f>Planning[[#This Row],[Horas Planificadas]]+Planning[[#This Row],[Horas ajustadas adicionales]]</f>
        <v>203</v>
      </c>
    </row>
    <row r="5535" spans="1:23" ht="13.35" customHeight="1" x14ac:dyDescent="0.2">
      <c r="A5535" s="9" t="s">
        <v>626</v>
      </c>
      <c r="B5535" s="9" t="s">
        <v>582</v>
      </c>
      <c r="C5535" s="3">
        <v>116959</v>
      </c>
      <c r="D5535" s="3" t="s">
        <v>957</v>
      </c>
      <c r="E5535" s="4" t="s">
        <v>32</v>
      </c>
      <c r="F5535" s="3"/>
      <c r="G5535" s="9">
        <v>1820</v>
      </c>
      <c r="H5535" s="14">
        <f>SUM(H5536:H5538)</f>
        <v>1820</v>
      </c>
      <c r="I5535" s="14"/>
      <c r="J5535" s="14" t="e">
        <f>SUM(J5536:J5538)</f>
        <v>#REF!</v>
      </c>
      <c r="K5535" s="14" t="e">
        <f>+Planning[[#This Row],[Horas Planificadas]]+Planning[[#This Row],[Horas ajustadas adicionales]]-Planning[[#This Row],[Horas utilizadas]]</f>
        <v>#REF!</v>
      </c>
      <c r="L5535" s="15">
        <f>SUM(L5536:L5538)</f>
        <v>1200</v>
      </c>
      <c r="M5535" s="16" t="e">
        <f>SUM(M5536:M5538)</f>
        <v>#REF!</v>
      </c>
      <c r="N5535" s="60" t="e">
        <f>+SUMIFS(#REF!,#REF!,Planning[[#This Row],[Proyectos]],#REF!,Planning[[#This Row],[Tipo de Tarea y especialidad]])+SUMIFS(#REF!,#REF!,Planning[[#This Row],[Proyectos Reiwa]],#REF!,Planning[[#This Row],[Tipo de Tarea y especialidad]])</f>
        <v>#REF!</v>
      </c>
      <c r="O5535" s="16">
        <f t="shared" si="173"/>
        <v>10</v>
      </c>
      <c r="P5535" s="16">
        <f t="shared" si="174"/>
        <v>2024</v>
      </c>
      <c r="Q5535" s="16" t="e">
        <f>SUM(Q5536:Q5538)</f>
        <v>#REF!</v>
      </c>
      <c r="R5535" s="50" t="str">
        <f>TEXT(Planning[[#This Row],[Mes]]*29,"mmmm")</f>
        <v>October</v>
      </c>
      <c r="S553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35" s="152"/>
      <c r="U5535" s="43" t="e">
        <f>IF(Planning[[#This Row],[Horas Planificadas]]&lt;&gt;0,+K5535/Planning[[#This Row],[Horas Planificadas]],0)</f>
        <v>#REF!</v>
      </c>
      <c r="V5535" s="43" t="e">
        <f>IF(Planning[[#This Row],[Horas Planificadas]]&lt;&gt;0,Planning[[#This Row],[Horas utilizadas]]/Planning[[#This Row],[Horas Planificadas]],0)</f>
        <v>#REF!</v>
      </c>
      <c r="W5535" s="44">
        <f>Planning[[#This Row],[Horas Planificadas]]+Planning[[#This Row],[Horas ajustadas adicionales]]</f>
        <v>1820</v>
      </c>
    </row>
    <row r="5536" spans="1:23" ht="13.35" customHeight="1" x14ac:dyDescent="0.2">
      <c r="A5536" s="9" t="s">
        <v>626</v>
      </c>
      <c r="B5536" s="9" t="s">
        <v>582</v>
      </c>
      <c r="C5536" s="3">
        <v>116959</v>
      </c>
      <c r="D5536" s="3" t="s">
        <v>957</v>
      </c>
      <c r="E5536" s="4"/>
      <c r="F5536" s="3" t="s">
        <v>129</v>
      </c>
      <c r="G5536" s="9"/>
      <c r="H5536" s="9">
        <v>600</v>
      </c>
      <c r="I5536" s="12">
        <v>0</v>
      </c>
      <c r="J5536" s="5" t="e">
        <f>SUM(SUMIFS(#REF!,#REF!,Planning[[#This Row],[Tipo de Tarea y especialidad]],#REF!,Planning[[#This Row],[Proyectos Reiwa]]),SUMIFS(#REF!,#REF!,Planning[[#This Row],[Tipo de Tarea y especialidad]],#REF!,Planning[[#This Row],[Proyectos]]))</f>
        <v>#REF!</v>
      </c>
      <c r="K5536" s="5" t="e">
        <f>+Planning[[#This Row],[Horas Planificadas]]+Planning[[#This Row],[Horas ajustadas adicionales]]-Planning[[#This Row],[Horas utilizadas]]</f>
        <v>#REF!</v>
      </c>
      <c r="L5536" s="7">
        <v>480</v>
      </c>
      <c r="M5536" s="19" t="e">
        <f>Planning[[#This Row],[Saldo]]-Planning[[#This Row],[Saldo estimado]]</f>
        <v>#REF!</v>
      </c>
      <c r="N5536" s="60" t="e">
        <f>+SUMIFS(#REF!,#REF!,Planning[[#This Row],[Proyectos]],#REF!,Planning[[#This Row],[Tipo de Tarea y especialidad]])+SUMIFS(#REF!,#REF!,Planning[[#This Row],[Proyectos Reiwa]],#REF!,Planning[[#This Row],[Tipo de Tarea y especialidad]])</f>
        <v>#REF!</v>
      </c>
      <c r="O5536" s="19">
        <f t="shared" si="173"/>
        <v>10</v>
      </c>
      <c r="P5536" s="19">
        <f t="shared" si="174"/>
        <v>2024</v>
      </c>
      <c r="Q55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36" s="49" t="str">
        <f>TEXT(Planning[[#This Row],[Mes]]*29,"mmmm")</f>
        <v>October</v>
      </c>
      <c r="S553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36" s="152"/>
      <c r="U5536" s="43" t="e">
        <f>IF(Planning[[#This Row],[Horas Planificadas]]&lt;&gt;0,+K5536/Planning[[#This Row],[Horas Planificadas]],0)</f>
        <v>#REF!</v>
      </c>
      <c r="V5536" s="43" t="e">
        <f>IF(Planning[[#This Row],[Horas Planificadas]]&lt;&gt;0,Planning[[#This Row],[Horas utilizadas]]/Planning[[#This Row],[Horas Planificadas]],0)</f>
        <v>#REF!</v>
      </c>
      <c r="W5536" s="44">
        <f>Planning[[#This Row],[Horas Planificadas]]+Planning[[#This Row],[Horas ajustadas adicionales]]</f>
        <v>600</v>
      </c>
    </row>
    <row r="5537" spans="1:23" ht="13.35" customHeight="1" x14ac:dyDescent="0.2">
      <c r="A5537" s="9" t="s">
        <v>626</v>
      </c>
      <c r="B5537" s="9" t="s">
        <v>582</v>
      </c>
      <c r="C5537" s="3">
        <v>116959</v>
      </c>
      <c r="D5537" s="3" t="s">
        <v>957</v>
      </c>
      <c r="E5537" s="4"/>
      <c r="F5537" s="3" t="s">
        <v>130</v>
      </c>
      <c r="G5537" s="9"/>
      <c r="H5537" s="9">
        <v>890</v>
      </c>
      <c r="I5537" s="12">
        <v>0</v>
      </c>
      <c r="J5537" s="5" t="e">
        <f>SUM(SUMIFS(#REF!,#REF!,Planning[[#This Row],[Tipo de Tarea y especialidad]],#REF!,Planning[[#This Row],[Proyectos Reiwa]]),SUMIFS(#REF!,#REF!,Planning[[#This Row],[Tipo de Tarea y especialidad]],#REF!,Planning[[#This Row],[Proyectos]]))</f>
        <v>#REF!</v>
      </c>
      <c r="K5537" s="5" t="e">
        <f>+Planning[[#This Row],[Horas Planificadas]]+Planning[[#This Row],[Horas ajustadas adicionales]]-Planning[[#This Row],[Horas utilizadas]]</f>
        <v>#REF!</v>
      </c>
      <c r="L5537" s="7">
        <v>480</v>
      </c>
      <c r="M5537" s="19" t="e">
        <f>Planning[[#This Row],[Saldo]]-Planning[[#This Row],[Saldo estimado]]</f>
        <v>#REF!</v>
      </c>
      <c r="N5537" s="60" t="e">
        <f>+SUMIFS(#REF!,#REF!,Planning[[#This Row],[Proyectos]],#REF!,Planning[[#This Row],[Tipo de Tarea y especialidad]])+SUMIFS(#REF!,#REF!,Planning[[#This Row],[Proyectos Reiwa]],#REF!,Planning[[#This Row],[Tipo de Tarea y especialidad]])</f>
        <v>#REF!</v>
      </c>
      <c r="O5537" s="19">
        <f t="shared" si="173"/>
        <v>10</v>
      </c>
      <c r="P5537" s="19">
        <f t="shared" si="174"/>
        <v>2024</v>
      </c>
      <c r="Q55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37" s="49" t="str">
        <f>TEXT(Planning[[#This Row],[Mes]]*29,"mmmm")</f>
        <v>October</v>
      </c>
      <c r="S553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37" s="152"/>
      <c r="U5537" s="43" t="e">
        <f>IF(Planning[[#This Row],[Horas Planificadas]]&lt;&gt;0,+K5537/Planning[[#This Row],[Horas Planificadas]],0)</f>
        <v>#REF!</v>
      </c>
      <c r="V5537" s="43" t="e">
        <f>IF(Planning[[#This Row],[Horas Planificadas]]&lt;&gt;0,Planning[[#This Row],[Horas utilizadas]]/Planning[[#This Row],[Horas Planificadas]],0)</f>
        <v>#REF!</v>
      </c>
      <c r="W5537" s="44">
        <f>Planning[[#This Row],[Horas Planificadas]]+Planning[[#This Row],[Horas ajustadas adicionales]]</f>
        <v>890</v>
      </c>
    </row>
    <row r="5538" spans="1:23" ht="13.35" customHeight="1" x14ac:dyDescent="0.2">
      <c r="A5538" s="9" t="s">
        <v>626</v>
      </c>
      <c r="B5538" s="9" t="s">
        <v>582</v>
      </c>
      <c r="C5538" s="3">
        <v>116959</v>
      </c>
      <c r="D5538" s="3" t="s">
        <v>957</v>
      </c>
      <c r="E5538" s="4"/>
      <c r="F5538" s="3" t="s">
        <v>131</v>
      </c>
      <c r="G5538" s="9"/>
      <c r="H5538" s="9">
        <v>330</v>
      </c>
      <c r="I5538" s="12">
        <v>0</v>
      </c>
      <c r="J5538" s="5" t="e">
        <f>SUM(SUMIFS(#REF!,#REF!,Planning[[#This Row],[Tipo de Tarea y especialidad]],#REF!,Planning[[#This Row],[Proyectos Reiwa]]),SUMIFS(#REF!,#REF!,Planning[[#This Row],[Tipo de Tarea y especialidad]],#REF!,Planning[[#This Row],[Proyectos]]))</f>
        <v>#REF!</v>
      </c>
      <c r="K5538" s="5" t="e">
        <f>+Planning[[#This Row],[Horas Planificadas]]+Planning[[#This Row],[Horas ajustadas adicionales]]-Planning[[#This Row],[Horas utilizadas]]</f>
        <v>#REF!</v>
      </c>
      <c r="L5538" s="7">
        <v>240</v>
      </c>
      <c r="M5538" s="19" t="e">
        <f>Planning[[#This Row],[Saldo]]-Planning[[#This Row],[Saldo estimado]]</f>
        <v>#REF!</v>
      </c>
      <c r="N5538" s="60" t="e">
        <f>+SUMIFS(#REF!,#REF!,Planning[[#This Row],[Proyectos]],#REF!,Planning[[#This Row],[Tipo de Tarea y especialidad]])+SUMIFS(#REF!,#REF!,Planning[[#This Row],[Proyectos Reiwa]],#REF!,Planning[[#This Row],[Tipo de Tarea y especialidad]])</f>
        <v>#REF!</v>
      </c>
      <c r="O5538" s="19">
        <f t="shared" si="173"/>
        <v>10</v>
      </c>
      <c r="P5538" s="19">
        <f t="shared" si="174"/>
        <v>2024</v>
      </c>
      <c r="Q55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38" s="49" t="str">
        <f>TEXT(Planning[[#This Row],[Mes]]*29,"mmmm")</f>
        <v>October</v>
      </c>
      <c r="S553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38" s="152"/>
      <c r="U5538" s="43" t="e">
        <f>IF(Planning[[#This Row],[Horas Planificadas]]&lt;&gt;0,+K5538/Planning[[#This Row],[Horas Planificadas]],0)</f>
        <v>#REF!</v>
      </c>
      <c r="V5538" s="43" t="e">
        <f>IF(Planning[[#This Row],[Horas Planificadas]]&lt;&gt;0,Planning[[#This Row],[Horas utilizadas]]/Planning[[#This Row],[Horas Planificadas]],0)</f>
        <v>#REF!</v>
      </c>
      <c r="W5538" s="44">
        <f>Planning[[#This Row],[Horas Planificadas]]+Planning[[#This Row],[Horas ajustadas adicionales]]</f>
        <v>330</v>
      </c>
    </row>
    <row r="5539" spans="1:23" ht="12" customHeight="1" x14ac:dyDescent="0.2">
      <c r="A5539" s="9" t="s">
        <v>483</v>
      </c>
      <c r="B5539" s="9" t="s">
        <v>808</v>
      </c>
      <c r="C5539" s="3">
        <v>116967</v>
      </c>
      <c r="D5539" s="3" t="s">
        <v>959</v>
      </c>
      <c r="E5539" s="4" t="s">
        <v>28</v>
      </c>
      <c r="F5539" s="3"/>
      <c r="G5539" s="53"/>
      <c r="H5539" s="14">
        <f>SUM(H5540:H5541)</f>
        <v>200</v>
      </c>
      <c r="I5539" s="18"/>
      <c r="J5539" s="14" t="e">
        <f>SUM(J5540:J5541)</f>
        <v>#REF!</v>
      </c>
      <c r="K5539" s="14" t="e">
        <f>+Planning[[#This Row],[Horas Planificadas]]+Planning[[#This Row],[Horas ajustadas adicionales]]-Planning[[#This Row],[Horas utilizadas]]</f>
        <v>#REF!</v>
      </c>
      <c r="L5539" s="15" t="e">
        <f>SUM(L5540:L5541)</f>
        <v>#REF!</v>
      </c>
      <c r="M5539" s="15" t="e">
        <f>Planning[[#This Row],[Saldo]]-Planning[[#This Row],[Saldo estimado]]</f>
        <v>#REF!</v>
      </c>
      <c r="N5539" s="60" t="e">
        <f>+SUMIFS(#REF!,#REF!,Planning[[#This Row],[Proyectos]],#REF!,Planning[[#This Row],[Tipo de Tarea y especialidad]])+SUMIFS(#REF!,#REF!,Planning[[#This Row],[Proyectos Reiwa]],#REF!,Planning[[#This Row],[Tipo de Tarea y especialidad]])</f>
        <v>#REF!</v>
      </c>
      <c r="O5539" s="83">
        <f t="shared" si="173"/>
        <v>10</v>
      </c>
      <c r="P5539" s="83">
        <f t="shared" si="174"/>
        <v>2024</v>
      </c>
      <c r="Q5539" s="28" t="e">
        <f>SUM(Q5540:Q5541)</f>
        <v>#REF!</v>
      </c>
      <c r="R5539" s="14" t="str">
        <f>TEXT(Planning[[#This Row],[Mes]]*29,"mmmm")</f>
        <v>October</v>
      </c>
      <c r="S553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39" s="114" t="s">
        <v>960</v>
      </c>
    </row>
    <row r="5540" spans="1:23" x14ac:dyDescent="0.2">
      <c r="A5540" s="9" t="s">
        <v>483</v>
      </c>
      <c r="B5540" s="9" t="s">
        <v>808</v>
      </c>
      <c r="C5540" s="3">
        <v>116967</v>
      </c>
      <c r="D5540" s="3" t="s">
        <v>959</v>
      </c>
      <c r="E5540" s="4"/>
      <c r="F5540" s="3" t="s">
        <v>120</v>
      </c>
      <c r="G5540" s="53">
        <v>160</v>
      </c>
      <c r="H5540" s="20">
        <v>160</v>
      </c>
      <c r="I5540" s="12"/>
      <c r="J5540" s="5" t="e">
        <f>SUM(SUMIFS(#REF!,#REF!,Planning[[#This Row],[Tipo de Tarea y especialidad]],#REF!,Planning[[#This Row],[Proyectos Reiwa]]),SUMIFS(#REF!,#REF!,Planning[[#This Row],[Tipo de Tarea y especialidad]],#REF!,Planning[[#This Row],[Proyectos]]))</f>
        <v>#REF!</v>
      </c>
      <c r="K5540" s="5" t="e">
        <f>+Planning[[#This Row],[Horas Planificadas]]+Planning[[#This Row],[Horas ajustadas adicionales]]-Planning[[#This Row],[Horas utilizadas]]</f>
        <v>#REF!</v>
      </c>
      <c r="L5540" s="7" t="e">
        <f>Planning[[#This Row],[Saldo]]</f>
        <v>#REF!</v>
      </c>
      <c r="M5540" s="83" t="e">
        <f>Planning[[#This Row],[Saldo]]-Planning[[#This Row],[Saldo estimado]]</f>
        <v>#REF!</v>
      </c>
      <c r="N5540" s="60" t="e">
        <f>+SUMIFS(#REF!,#REF!,Planning[[#This Row],[Proyectos]],#REF!,Planning[[#This Row],[Tipo de Tarea y especialidad]])+SUMIFS(#REF!,#REF!,Planning[[#This Row],[Proyectos Reiwa]],#REF!,Planning[[#This Row],[Tipo de Tarea y especialidad]])</f>
        <v>#REF!</v>
      </c>
      <c r="O5540" s="83">
        <f t="shared" si="173"/>
        <v>10</v>
      </c>
      <c r="P5540" s="83">
        <f t="shared" si="174"/>
        <v>2024</v>
      </c>
      <c r="Q55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40" s="34" t="str">
        <f>TEXT(Planning[[#This Row],[Mes]]*29,"mmmm")</f>
        <v>October</v>
      </c>
      <c r="S554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40" s="102"/>
    </row>
    <row r="5541" spans="1:23" x14ac:dyDescent="0.2">
      <c r="A5541" s="9" t="s">
        <v>483</v>
      </c>
      <c r="B5541" s="9" t="s">
        <v>808</v>
      </c>
      <c r="C5541" s="3">
        <v>116967</v>
      </c>
      <c r="D5541" s="3" t="s">
        <v>959</v>
      </c>
      <c r="E5541" s="4"/>
      <c r="F5541" s="3" t="s">
        <v>121</v>
      </c>
      <c r="G5541" s="53">
        <v>40</v>
      </c>
      <c r="H5541" s="20">
        <v>40</v>
      </c>
      <c r="I5541" s="12"/>
      <c r="J5541" s="5" t="e">
        <f>SUM(SUMIFS(#REF!,#REF!,Planning[[#This Row],[Tipo de Tarea y especialidad]],#REF!,Planning[[#This Row],[Proyectos Reiwa]]),SUMIFS(#REF!,#REF!,Planning[[#This Row],[Tipo de Tarea y especialidad]],#REF!,Planning[[#This Row],[Proyectos]]))</f>
        <v>#REF!</v>
      </c>
      <c r="K5541" s="5" t="e">
        <f>+Planning[[#This Row],[Horas Planificadas]]+Planning[[#This Row],[Horas ajustadas adicionales]]-Planning[[#This Row],[Horas utilizadas]]</f>
        <v>#REF!</v>
      </c>
      <c r="L5541" s="7" t="e">
        <f>Planning[[#This Row],[Saldo]]</f>
        <v>#REF!</v>
      </c>
      <c r="M5541" s="83" t="e">
        <f>Planning[[#This Row],[Saldo]]-Planning[[#This Row],[Saldo estimado]]</f>
        <v>#REF!</v>
      </c>
      <c r="N5541" s="60" t="e">
        <f>+SUMIFS(#REF!,#REF!,Planning[[#This Row],[Proyectos]],#REF!,Planning[[#This Row],[Tipo de Tarea y especialidad]])+SUMIFS(#REF!,#REF!,Planning[[#This Row],[Proyectos Reiwa]],#REF!,Planning[[#This Row],[Tipo de Tarea y especialidad]])</f>
        <v>#REF!</v>
      </c>
      <c r="O5541" s="83">
        <f t="shared" si="173"/>
        <v>10</v>
      </c>
      <c r="P5541" s="83">
        <f t="shared" si="174"/>
        <v>2024</v>
      </c>
      <c r="Q55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41" s="34" t="str">
        <f>TEXT(Planning[[#This Row],[Mes]]*29,"mmmm")</f>
        <v>October</v>
      </c>
      <c r="S554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41" s="102" t="s">
        <v>961</v>
      </c>
    </row>
    <row r="5542" spans="1:23" x14ac:dyDescent="0.2">
      <c r="A5542" s="9" t="s">
        <v>483</v>
      </c>
      <c r="B5542" s="9" t="s">
        <v>808</v>
      </c>
      <c r="C5542" s="3">
        <v>116967</v>
      </c>
      <c r="D5542" s="3" t="s">
        <v>959</v>
      </c>
      <c r="E5542" s="4" t="s">
        <v>30</v>
      </c>
      <c r="F5542" s="3"/>
      <c r="G5542" s="53"/>
      <c r="H5542" s="14">
        <f>SUM(H5543:H5549)</f>
        <v>340</v>
      </c>
      <c r="I5542" s="18"/>
      <c r="J5542" s="14" t="e">
        <f>SUM(J5543:J5549)</f>
        <v>#REF!</v>
      </c>
      <c r="K5542" s="14" t="e">
        <f>+Planning[[#This Row],[Horas Planificadas]]+Planning[[#This Row],[Horas ajustadas adicionales]]-Planning[[#This Row],[Horas utilizadas]]</f>
        <v>#REF!</v>
      </c>
      <c r="L5542" s="15" t="e">
        <f>SUM(L5543:L5549)</f>
        <v>#REF!</v>
      </c>
      <c r="M5542" s="15" t="e">
        <f>Planning[[#This Row],[Saldo]]-Planning[[#This Row],[Saldo estimado]]</f>
        <v>#REF!</v>
      </c>
      <c r="N5542" s="60" t="e">
        <f>+SUMIFS(#REF!,#REF!,Planning[[#This Row],[Proyectos]],#REF!,Planning[[#This Row],[Tipo de Tarea y especialidad]])+SUMIFS(#REF!,#REF!,Planning[[#This Row],[Proyectos Reiwa]],#REF!,Planning[[#This Row],[Tipo de Tarea y especialidad]])</f>
        <v>#REF!</v>
      </c>
      <c r="O5542" s="83">
        <f t="shared" si="173"/>
        <v>10</v>
      </c>
      <c r="P5542" s="83">
        <f t="shared" si="174"/>
        <v>2024</v>
      </c>
      <c r="Q5542" s="16" t="e">
        <f>SUM(Q5543:Q5549)</f>
        <v>#REF!</v>
      </c>
      <c r="R5542" s="35" t="str">
        <f>TEXT(Planning[[#This Row],[Mes]]*29,"mmmm")</f>
        <v>October</v>
      </c>
      <c r="S554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42" s="102" t="s">
        <v>962</v>
      </c>
    </row>
    <row r="5543" spans="1:23" x14ac:dyDescent="0.2">
      <c r="A5543" s="9" t="s">
        <v>483</v>
      </c>
      <c r="B5543" s="9" t="s">
        <v>808</v>
      </c>
      <c r="C5543" s="3">
        <v>116967</v>
      </c>
      <c r="D5543" s="3" t="s">
        <v>959</v>
      </c>
      <c r="E5543" s="4"/>
      <c r="F5543" s="3" t="s">
        <v>122</v>
      </c>
      <c r="G5543" s="53"/>
      <c r="H5543" s="20">
        <v>0</v>
      </c>
      <c r="I5543" s="12"/>
      <c r="J5543" s="5" t="e">
        <f>SUM(SUMIFS(#REF!,#REF!,Planning[[#This Row],[Tipo de Tarea y especialidad]],#REF!,Planning[[#This Row],[Proyectos Reiwa]]),SUMIFS(#REF!,#REF!,Planning[[#This Row],[Tipo de Tarea y especialidad]],#REF!,Planning[[#This Row],[Proyectos]]))</f>
        <v>#REF!</v>
      </c>
      <c r="K5543" s="5" t="e">
        <f>+Planning[[#This Row],[Horas Planificadas]]+Planning[[#This Row],[Horas ajustadas adicionales]]-Planning[[#This Row],[Horas utilizadas]]</f>
        <v>#REF!</v>
      </c>
      <c r="L5543" s="7" t="e">
        <f>Planning[[#This Row],[Saldo]]</f>
        <v>#REF!</v>
      </c>
      <c r="M5543" s="83" t="e">
        <f>Planning[[#This Row],[Saldo]]-Planning[[#This Row],[Saldo estimado]]</f>
        <v>#REF!</v>
      </c>
      <c r="N5543" s="60" t="e">
        <f>+SUMIFS(#REF!,#REF!,Planning[[#This Row],[Proyectos]],#REF!,Planning[[#This Row],[Tipo de Tarea y especialidad]])+SUMIFS(#REF!,#REF!,Planning[[#This Row],[Proyectos Reiwa]],#REF!,Planning[[#This Row],[Tipo de Tarea y especialidad]])</f>
        <v>#REF!</v>
      </c>
      <c r="O5543" s="83">
        <f t="shared" si="173"/>
        <v>10</v>
      </c>
      <c r="P5543" s="83">
        <f t="shared" si="174"/>
        <v>2024</v>
      </c>
      <c r="Q55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43" s="34" t="str">
        <f>TEXT(Planning[[#This Row],[Mes]]*29,"mmmm")</f>
        <v>October</v>
      </c>
      <c r="S554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43" s="102" t="s">
        <v>963</v>
      </c>
    </row>
    <row r="5544" spans="1:23" x14ac:dyDescent="0.2">
      <c r="A5544" s="9" t="s">
        <v>483</v>
      </c>
      <c r="B5544" s="9" t="s">
        <v>808</v>
      </c>
      <c r="C5544" s="3">
        <v>116967</v>
      </c>
      <c r="D5544" s="3" t="s">
        <v>959</v>
      </c>
      <c r="E5544" s="4"/>
      <c r="F5544" s="3" t="s">
        <v>123</v>
      </c>
      <c r="G5544" s="53"/>
      <c r="H5544" s="20">
        <v>0</v>
      </c>
      <c r="I5544" s="12"/>
      <c r="J5544" s="5" t="e">
        <f>SUM(SUMIFS(#REF!,#REF!,Planning[[#This Row],[Tipo de Tarea y especialidad]],#REF!,Planning[[#This Row],[Proyectos Reiwa]]),SUMIFS(#REF!,#REF!,Planning[[#This Row],[Tipo de Tarea y especialidad]],#REF!,Planning[[#This Row],[Proyectos]]))</f>
        <v>#REF!</v>
      </c>
      <c r="K5544" s="5" t="e">
        <f>+Planning[[#This Row],[Horas Planificadas]]+Planning[[#This Row],[Horas ajustadas adicionales]]-Planning[[#This Row],[Horas utilizadas]]</f>
        <v>#REF!</v>
      </c>
      <c r="L5544" s="7" t="e">
        <f>Planning[[#This Row],[Saldo]]</f>
        <v>#REF!</v>
      </c>
      <c r="M5544" s="83" t="e">
        <f>Planning[[#This Row],[Saldo]]-Planning[[#This Row],[Saldo estimado]]</f>
        <v>#REF!</v>
      </c>
      <c r="N5544" s="60" t="e">
        <f>+SUMIFS(#REF!,#REF!,Planning[[#This Row],[Proyectos]],#REF!,Planning[[#This Row],[Tipo de Tarea y especialidad]])+SUMIFS(#REF!,#REF!,Planning[[#This Row],[Proyectos Reiwa]],#REF!,Planning[[#This Row],[Tipo de Tarea y especialidad]])</f>
        <v>#REF!</v>
      </c>
      <c r="O5544" s="83">
        <f t="shared" si="173"/>
        <v>10</v>
      </c>
      <c r="P5544" s="83">
        <f t="shared" si="174"/>
        <v>2024</v>
      </c>
      <c r="Q55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44" s="34" t="str">
        <f>TEXT(Planning[[#This Row],[Mes]]*29,"mmmm")</f>
        <v>October</v>
      </c>
      <c r="S554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44" s="102" t="s">
        <v>964</v>
      </c>
    </row>
    <row r="5545" spans="1:23" x14ac:dyDescent="0.2">
      <c r="A5545" s="9" t="s">
        <v>483</v>
      </c>
      <c r="B5545" s="9" t="s">
        <v>808</v>
      </c>
      <c r="C5545" s="3">
        <v>116967</v>
      </c>
      <c r="D5545" s="3" t="s">
        <v>959</v>
      </c>
      <c r="E5545" s="4"/>
      <c r="F5545" s="3" t="s">
        <v>124</v>
      </c>
      <c r="G5545" s="53" t="s">
        <v>965</v>
      </c>
      <c r="H5545" s="20">
        <v>180</v>
      </c>
      <c r="I5545" s="12"/>
      <c r="J5545" s="5" t="e">
        <f>SUM(SUMIFS(#REF!,#REF!,Planning[[#This Row],[Tipo de Tarea y especialidad]],#REF!,Planning[[#This Row],[Proyectos Reiwa]]),SUMIFS(#REF!,#REF!,Planning[[#This Row],[Tipo de Tarea y especialidad]],#REF!,Planning[[#This Row],[Proyectos]]))</f>
        <v>#REF!</v>
      </c>
      <c r="K5545" s="5" t="e">
        <f>+Planning[[#This Row],[Horas Planificadas]]+Planning[[#This Row],[Horas ajustadas adicionales]]-Planning[[#This Row],[Horas utilizadas]]</f>
        <v>#REF!</v>
      </c>
      <c r="L5545" s="7" t="e">
        <f>Planning[[#This Row],[Saldo]]</f>
        <v>#REF!</v>
      </c>
      <c r="M5545" s="83" t="e">
        <f>Planning[[#This Row],[Saldo]]-Planning[[#This Row],[Saldo estimado]]</f>
        <v>#REF!</v>
      </c>
      <c r="N5545" s="60" t="e">
        <f>+SUMIFS(#REF!,#REF!,Planning[[#This Row],[Proyectos]],#REF!,Planning[[#This Row],[Tipo de Tarea y especialidad]])+SUMIFS(#REF!,#REF!,Planning[[#This Row],[Proyectos Reiwa]],#REF!,Planning[[#This Row],[Tipo de Tarea y especialidad]])</f>
        <v>#REF!</v>
      </c>
      <c r="O5545" s="83">
        <f t="shared" si="173"/>
        <v>10</v>
      </c>
      <c r="P5545" s="83">
        <f t="shared" si="174"/>
        <v>2024</v>
      </c>
      <c r="Q55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45" s="34" t="str">
        <f>TEXT(Planning[[#This Row],[Mes]]*29,"mmmm")</f>
        <v>October</v>
      </c>
      <c r="S554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45" s="102" t="s">
        <v>966</v>
      </c>
    </row>
    <row r="5546" spans="1:23" x14ac:dyDescent="0.2">
      <c r="A5546" s="9" t="s">
        <v>483</v>
      </c>
      <c r="B5546" s="9" t="s">
        <v>808</v>
      </c>
      <c r="C5546" s="3">
        <v>116967</v>
      </c>
      <c r="D5546" s="3" t="s">
        <v>959</v>
      </c>
      <c r="E5546" s="4"/>
      <c r="F5546" s="3" t="s">
        <v>125</v>
      </c>
      <c r="G5546" s="53">
        <v>60</v>
      </c>
      <c r="H5546" s="20">
        <v>60</v>
      </c>
      <c r="I5546" s="12"/>
      <c r="J5546" s="5" t="e">
        <f>SUM(SUMIFS(#REF!,#REF!,Planning[[#This Row],[Tipo de Tarea y especialidad]],#REF!,Planning[[#This Row],[Proyectos Reiwa]]),SUMIFS(#REF!,#REF!,Planning[[#This Row],[Tipo de Tarea y especialidad]],#REF!,Planning[[#This Row],[Proyectos]]))</f>
        <v>#REF!</v>
      </c>
      <c r="K5546" s="5" t="e">
        <f>+Planning[[#This Row],[Horas Planificadas]]+Planning[[#This Row],[Horas ajustadas adicionales]]-Planning[[#This Row],[Horas utilizadas]]</f>
        <v>#REF!</v>
      </c>
      <c r="L5546" s="7" t="e">
        <f>Planning[[#This Row],[Saldo]]</f>
        <v>#REF!</v>
      </c>
      <c r="M5546" s="83" t="e">
        <f>Planning[[#This Row],[Saldo]]-Planning[[#This Row],[Saldo estimado]]</f>
        <v>#REF!</v>
      </c>
      <c r="N5546" s="60" t="e">
        <f>+SUMIFS(#REF!,#REF!,Planning[[#This Row],[Proyectos]],#REF!,Planning[[#This Row],[Tipo de Tarea y especialidad]])+SUMIFS(#REF!,#REF!,Planning[[#This Row],[Proyectos Reiwa]],#REF!,Planning[[#This Row],[Tipo de Tarea y especialidad]])</f>
        <v>#REF!</v>
      </c>
      <c r="O5546" s="83">
        <f t="shared" si="173"/>
        <v>10</v>
      </c>
      <c r="P5546" s="83">
        <f t="shared" si="174"/>
        <v>2024</v>
      </c>
      <c r="Q55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46" s="34" t="str">
        <f>TEXT(Planning[[#This Row],[Mes]]*29,"mmmm")</f>
        <v>October</v>
      </c>
      <c r="S554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46" s="102" t="s">
        <v>967</v>
      </c>
    </row>
    <row r="5547" spans="1:23" ht="25.5" x14ac:dyDescent="0.2">
      <c r="A5547" s="9" t="s">
        <v>483</v>
      </c>
      <c r="B5547" s="9" t="s">
        <v>808</v>
      </c>
      <c r="C5547" s="3">
        <v>116967</v>
      </c>
      <c r="D5547" s="3" t="s">
        <v>959</v>
      </c>
      <c r="E5547" s="4"/>
      <c r="F5547" s="3" t="s">
        <v>126</v>
      </c>
      <c r="G5547" s="53"/>
      <c r="H5547" s="20">
        <v>0</v>
      </c>
      <c r="I5547" s="12"/>
      <c r="J5547" s="5" t="e">
        <f>SUM(SUMIFS(#REF!,#REF!,Planning[[#This Row],[Tipo de Tarea y especialidad]],#REF!,Planning[[#This Row],[Proyectos Reiwa]]),SUMIFS(#REF!,#REF!,Planning[[#This Row],[Tipo de Tarea y especialidad]],#REF!,Planning[[#This Row],[Proyectos]]))</f>
        <v>#REF!</v>
      </c>
      <c r="K5547" s="5" t="e">
        <f>+Planning[[#This Row],[Horas Planificadas]]+Planning[[#This Row],[Horas ajustadas adicionales]]-Planning[[#This Row],[Horas utilizadas]]</f>
        <v>#REF!</v>
      </c>
      <c r="L5547" s="7" t="e">
        <f>Planning[[#This Row],[Saldo]]</f>
        <v>#REF!</v>
      </c>
      <c r="M5547" s="83" t="e">
        <f>Planning[[#This Row],[Saldo]]-Planning[[#This Row],[Saldo estimado]]</f>
        <v>#REF!</v>
      </c>
      <c r="N5547" s="60" t="e">
        <f>+SUMIFS(#REF!,#REF!,Planning[[#This Row],[Proyectos]],#REF!,Planning[[#This Row],[Tipo de Tarea y especialidad]])+SUMIFS(#REF!,#REF!,Planning[[#This Row],[Proyectos Reiwa]],#REF!,Planning[[#This Row],[Tipo de Tarea y especialidad]])</f>
        <v>#REF!</v>
      </c>
      <c r="O5547" s="83">
        <f t="shared" si="173"/>
        <v>10</v>
      </c>
      <c r="P5547" s="83">
        <f t="shared" si="174"/>
        <v>2024</v>
      </c>
      <c r="Q55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47" s="34" t="str">
        <f>TEXT(Planning[[#This Row],[Mes]]*29,"mmmm")</f>
        <v>October</v>
      </c>
      <c r="S554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47" s="102" t="s">
        <v>968</v>
      </c>
    </row>
    <row r="5548" spans="1:23" x14ac:dyDescent="0.2">
      <c r="A5548" s="9" t="s">
        <v>483</v>
      </c>
      <c r="B5548" s="9" t="s">
        <v>808</v>
      </c>
      <c r="C5548" s="3">
        <v>116967</v>
      </c>
      <c r="D5548" s="3" t="s">
        <v>959</v>
      </c>
      <c r="E5548" s="4"/>
      <c r="F5548" s="3" t="s">
        <v>127</v>
      </c>
      <c r="G5548" s="53"/>
      <c r="H5548" s="20">
        <v>0</v>
      </c>
      <c r="I5548" s="12"/>
      <c r="J5548" s="5" t="e">
        <f>SUM(SUMIFS(#REF!,#REF!,Planning[[#This Row],[Tipo de Tarea y especialidad]],#REF!,Planning[[#This Row],[Proyectos Reiwa]]),SUMIFS(#REF!,#REF!,Planning[[#This Row],[Tipo de Tarea y especialidad]],#REF!,Planning[[#This Row],[Proyectos]]))</f>
        <v>#REF!</v>
      </c>
      <c r="K5548" s="5" t="e">
        <f>+Planning[[#This Row],[Horas Planificadas]]+Planning[[#This Row],[Horas ajustadas adicionales]]-Planning[[#This Row],[Horas utilizadas]]</f>
        <v>#REF!</v>
      </c>
      <c r="L5548" s="7" t="e">
        <f>Planning[[#This Row],[Saldo]]</f>
        <v>#REF!</v>
      </c>
      <c r="M5548" s="83" t="e">
        <f>Planning[[#This Row],[Saldo]]-Planning[[#This Row],[Saldo estimado]]</f>
        <v>#REF!</v>
      </c>
      <c r="N5548" s="60" t="e">
        <f>+SUMIFS(#REF!,#REF!,Planning[[#This Row],[Proyectos]],#REF!,Planning[[#This Row],[Tipo de Tarea y especialidad]])+SUMIFS(#REF!,#REF!,Planning[[#This Row],[Proyectos Reiwa]],#REF!,Planning[[#This Row],[Tipo de Tarea y especialidad]])</f>
        <v>#REF!</v>
      </c>
      <c r="O5548" s="83">
        <f t="shared" si="173"/>
        <v>10</v>
      </c>
      <c r="P5548" s="83">
        <f t="shared" si="174"/>
        <v>2024</v>
      </c>
      <c r="Q55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48" s="34" t="str">
        <f>TEXT(Planning[[#This Row],[Mes]]*29,"mmmm")</f>
        <v>October</v>
      </c>
      <c r="S554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48" s="102"/>
    </row>
    <row r="5549" spans="1:23" x14ac:dyDescent="0.2">
      <c r="A5549" s="9" t="s">
        <v>483</v>
      </c>
      <c r="B5549" s="9" t="s">
        <v>808</v>
      </c>
      <c r="C5549" s="3">
        <v>116967</v>
      </c>
      <c r="D5549" s="3" t="s">
        <v>959</v>
      </c>
      <c r="E5549" s="4"/>
      <c r="F5549" s="3" t="s">
        <v>128</v>
      </c>
      <c r="G5549" s="53">
        <v>100</v>
      </c>
      <c r="H5549" s="20">
        <v>100</v>
      </c>
      <c r="I5549" s="12"/>
      <c r="J5549" s="5" t="e">
        <f>SUM(SUMIFS(#REF!,#REF!,Planning[[#This Row],[Tipo de Tarea y especialidad]],#REF!,Planning[[#This Row],[Proyectos Reiwa]]),SUMIFS(#REF!,#REF!,Planning[[#This Row],[Tipo de Tarea y especialidad]],#REF!,Planning[[#This Row],[Proyectos]]))</f>
        <v>#REF!</v>
      </c>
      <c r="K5549" s="5" t="e">
        <f>+Planning[[#This Row],[Horas Planificadas]]+Planning[[#This Row],[Horas ajustadas adicionales]]-Planning[[#This Row],[Horas utilizadas]]</f>
        <v>#REF!</v>
      </c>
      <c r="L5549" s="7" t="e">
        <f>Planning[[#This Row],[Saldo]]</f>
        <v>#REF!</v>
      </c>
      <c r="M5549" s="83" t="e">
        <f>Planning[[#This Row],[Saldo]]-Planning[[#This Row],[Saldo estimado]]</f>
        <v>#REF!</v>
      </c>
      <c r="N5549" s="60" t="e">
        <f>+SUMIFS(#REF!,#REF!,Planning[[#This Row],[Proyectos]],#REF!,Planning[[#This Row],[Tipo de Tarea y especialidad]])+SUMIFS(#REF!,#REF!,Planning[[#This Row],[Proyectos Reiwa]],#REF!,Planning[[#This Row],[Tipo de Tarea y especialidad]])</f>
        <v>#REF!</v>
      </c>
      <c r="O5549" s="83">
        <f t="shared" si="173"/>
        <v>10</v>
      </c>
      <c r="P5549" s="83">
        <f t="shared" si="174"/>
        <v>2024</v>
      </c>
      <c r="Q55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49" s="34" t="str">
        <f>TEXT(Planning[[#This Row],[Mes]]*29,"mmmm")</f>
        <v>October</v>
      </c>
      <c r="S554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49" s="102" t="s">
        <v>969</v>
      </c>
    </row>
    <row r="5550" spans="1:23" x14ac:dyDescent="0.2">
      <c r="A5550" s="9" t="s">
        <v>483</v>
      </c>
      <c r="B5550" s="9" t="s">
        <v>808</v>
      </c>
      <c r="C5550" s="3">
        <v>116967</v>
      </c>
      <c r="D5550" s="3" t="s">
        <v>959</v>
      </c>
      <c r="E5550" s="4" t="s">
        <v>31</v>
      </c>
      <c r="F5550" s="3" t="s">
        <v>31</v>
      </c>
      <c r="G5550" s="53">
        <v>80</v>
      </c>
      <c r="H5550" s="92">
        <v>80</v>
      </c>
      <c r="I5550" s="18"/>
      <c r="J5550" s="14" t="e">
        <f>+SUMIFS(#REF!,#REF!,Planning[[#This Row],[Tarifa]],#REF!,Planning[[#This Row],[Proyectos]])</f>
        <v>#REF!</v>
      </c>
      <c r="K5550" s="14" t="e">
        <f>+Planning[[#This Row],[Horas Planificadas]]+Planning[[#This Row],[Horas ajustadas adicionales]]-Planning[[#This Row],[Horas utilizadas]]</f>
        <v>#REF!</v>
      </c>
      <c r="L5550" s="15" t="e">
        <f>Planning[[#This Row],[Saldo]]</f>
        <v>#REF!</v>
      </c>
      <c r="M5550" s="15" t="e">
        <f>Planning[[#This Row],[Saldo]]-Planning[[#This Row],[Saldo estimado]]</f>
        <v>#REF!</v>
      </c>
      <c r="N5550" s="60" t="e">
        <f>+SUMIFS(#REF!,#REF!,Planning[[#This Row],[Proyectos]],#REF!,Planning[[#This Row],[Tipo de Tarea y especialidad]])+SUMIFS(#REF!,#REF!,Planning[[#This Row],[Proyectos Reiwa]],#REF!,Planning[[#This Row],[Tipo de Tarea y especialidad]])</f>
        <v>#REF!</v>
      </c>
      <c r="O5550" s="83">
        <f t="shared" si="173"/>
        <v>10</v>
      </c>
      <c r="P5550" s="83">
        <f t="shared" si="174"/>
        <v>2024</v>
      </c>
      <c r="Q5550" s="16" t="e">
        <f>+SUMIFS(#REF!,#REF!,Planning[[#This Row],[Tarifa]],#REF!,Planning[[#This Row],[Proyectos]],#REF!,Planning[[#This Row],[Mes]],#REF!,Planning[[#This Row],[Año]])</f>
        <v>#REF!</v>
      </c>
      <c r="R5550" s="35" t="str">
        <f>TEXT(Planning[[#This Row],[Mes]]*29,"mmmm")</f>
        <v>October</v>
      </c>
      <c r="S555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50" s="102" t="s">
        <v>970</v>
      </c>
    </row>
    <row r="5551" spans="1:23" ht="22.5" x14ac:dyDescent="0.2">
      <c r="A5551" s="9" t="s">
        <v>483</v>
      </c>
      <c r="B5551" s="9" t="s">
        <v>808</v>
      </c>
      <c r="C5551" s="3">
        <v>116967</v>
      </c>
      <c r="D5551" s="3" t="s">
        <v>959</v>
      </c>
      <c r="E5551" s="4" t="s">
        <v>32</v>
      </c>
      <c r="F5551" s="3"/>
      <c r="G5551" s="53"/>
      <c r="H5551" s="14">
        <f>SUM(H5552:H5554)</f>
        <v>140</v>
      </c>
      <c r="I5551" s="18"/>
      <c r="J5551" s="14" t="e">
        <f>SUM(J5552:J5554)</f>
        <v>#REF!</v>
      </c>
      <c r="K5551" s="14" t="e">
        <f>+Planning[[#This Row],[Horas Planificadas]]+Planning[[#This Row],[Horas ajustadas adicionales]]-Planning[[#This Row],[Horas utilizadas]]</f>
        <v>#REF!</v>
      </c>
      <c r="L5551" s="15" t="e">
        <f>SUM(L5552:L5554)</f>
        <v>#REF!</v>
      </c>
      <c r="M5551" s="15" t="e">
        <f>Planning[[#This Row],[Saldo]]-Planning[[#This Row],[Saldo estimado]]</f>
        <v>#REF!</v>
      </c>
      <c r="N5551" s="60" t="e">
        <f>+SUMIFS(#REF!,#REF!,Planning[[#This Row],[Proyectos]],#REF!,Planning[[#This Row],[Tipo de Tarea y especialidad]])+SUMIFS(#REF!,#REF!,Planning[[#This Row],[Proyectos Reiwa]],#REF!,Planning[[#This Row],[Tipo de Tarea y especialidad]])</f>
        <v>#REF!</v>
      </c>
      <c r="O5551" s="83">
        <f t="shared" si="173"/>
        <v>10</v>
      </c>
      <c r="P5551" s="83">
        <f t="shared" si="174"/>
        <v>2024</v>
      </c>
      <c r="Q5551" s="16" t="e">
        <f>SUM(Q5552:Q5554)</f>
        <v>#REF!</v>
      </c>
      <c r="R5551" s="35" t="str">
        <f>TEXT(Planning[[#This Row],[Mes]]*29,"mmmm")</f>
        <v>October</v>
      </c>
      <c r="S555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51" s="102"/>
    </row>
    <row r="5552" spans="1:23" x14ac:dyDescent="0.2">
      <c r="A5552" s="9" t="s">
        <v>483</v>
      </c>
      <c r="B5552" s="9" t="s">
        <v>808</v>
      </c>
      <c r="C5552" s="3">
        <v>116967</v>
      </c>
      <c r="D5552" s="3" t="s">
        <v>959</v>
      </c>
      <c r="E5552" s="4"/>
      <c r="F5552" s="3" t="s">
        <v>129</v>
      </c>
      <c r="G5552" s="53"/>
      <c r="H5552" s="20">
        <v>0</v>
      </c>
      <c r="I5552" s="12"/>
      <c r="J5552" s="5" t="e">
        <f>SUM(SUMIFS(#REF!,#REF!,Planning[[#This Row],[Tipo de Tarea y especialidad]],#REF!,Planning[[#This Row],[Proyectos Reiwa]]),SUMIFS(#REF!,#REF!,Planning[[#This Row],[Tipo de Tarea y especialidad]],#REF!,Planning[[#This Row],[Proyectos]]))</f>
        <v>#REF!</v>
      </c>
      <c r="K5552" s="5" t="e">
        <f>+Planning[[#This Row],[Horas Planificadas]]+Planning[[#This Row],[Horas ajustadas adicionales]]-Planning[[#This Row],[Horas utilizadas]]</f>
        <v>#REF!</v>
      </c>
      <c r="L5552" s="7" t="e">
        <f>Planning[[#This Row],[Saldo]]</f>
        <v>#REF!</v>
      </c>
      <c r="M5552" s="83" t="e">
        <f>Planning[[#This Row],[Saldo]]-Planning[[#This Row],[Saldo estimado]]</f>
        <v>#REF!</v>
      </c>
      <c r="N5552" s="60" t="e">
        <f>+SUMIFS(#REF!,#REF!,Planning[[#This Row],[Proyectos]],#REF!,Planning[[#This Row],[Tipo de Tarea y especialidad]])+SUMIFS(#REF!,#REF!,Planning[[#This Row],[Proyectos Reiwa]],#REF!,Planning[[#This Row],[Tipo de Tarea y especialidad]])</f>
        <v>#REF!</v>
      </c>
      <c r="O5552" s="83">
        <f t="shared" si="173"/>
        <v>10</v>
      </c>
      <c r="P5552" s="83">
        <f t="shared" si="174"/>
        <v>2024</v>
      </c>
      <c r="Q55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52" s="34" t="str">
        <f>TEXT(Planning[[#This Row],[Mes]]*29,"mmmm")</f>
        <v>October</v>
      </c>
      <c r="S555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52" s="102"/>
    </row>
    <row r="5553" spans="1:20" x14ac:dyDescent="0.2">
      <c r="A5553" s="9" t="s">
        <v>483</v>
      </c>
      <c r="B5553" s="9" t="s">
        <v>808</v>
      </c>
      <c r="C5553" s="3">
        <v>116967</v>
      </c>
      <c r="D5553" s="3" t="s">
        <v>959</v>
      </c>
      <c r="E5553" s="4"/>
      <c r="F5553" s="3" t="s">
        <v>130</v>
      </c>
      <c r="G5553" s="53"/>
      <c r="H5553" s="20">
        <v>0</v>
      </c>
      <c r="I5553" s="12"/>
      <c r="J5553" s="5" t="e">
        <f>SUM(SUMIFS(#REF!,#REF!,Planning[[#This Row],[Tipo de Tarea y especialidad]],#REF!,Planning[[#This Row],[Proyectos Reiwa]]),SUMIFS(#REF!,#REF!,Planning[[#This Row],[Tipo de Tarea y especialidad]],#REF!,Planning[[#This Row],[Proyectos]]))</f>
        <v>#REF!</v>
      </c>
      <c r="K5553" s="5" t="e">
        <f>+Planning[[#This Row],[Horas Planificadas]]+Planning[[#This Row],[Horas ajustadas adicionales]]-Planning[[#This Row],[Horas utilizadas]]</f>
        <v>#REF!</v>
      </c>
      <c r="L5553" s="7" t="e">
        <f>Planning[[#This Row],[Saldo]]</f>
        <v>#REF!</v>
      </c>
      <c r="M5553" s="83" t="e">
        <f>Planning[[#This Row],[Saldo]]-Planning[[#This Row],[Saldo estimado]]</f>
        <v>#REF!</v>
      </c>
      <c r="N5553" s="60" t="e">
        <f>+SUMIFS(#REF!,#REF!,Planning[[#This Row],[Proyectos]],#REF!,Planning[[#This Row],[Tipo de Tarea y especialidad]])+SUMIFS(#REF!,#REF!,Planning[[#This Row],[Proyectos Reiwa]],#REF!,Planning[[#This Row],[Tipo de Tarea y especialidad]])</f>
        <v>#REF!</v>
      </c>
      <c r="O5553" s="83">
        <f t="shared" si="173"/>
        <v>10</v>
      </c>
      <c r="P5553" s="83">
        <f t="shared" si="174"/>
        <v>2024</v>
      </c>
      <c r="Q55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53" s="34" t="str">
        <f>TEXT(Planning[[#This Row],[Mes]]*29,"mmmm")</f>
        <v>October</v>
      </c>
      <c r="S555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53" s="102"/>
    </row>
    <row r="5554" spans="1:20" x14ac:dyDescent="0.2">
      <c r="A5554" s="9" t="s">
        <v>483</v>
      </c>
      <c r="B5554" s="9" t="s">
        <v>808</v>
      </c>
      <c r="C5554" s="3">
        <v>116967</v>
      </c>
      <c r="D5554" s="3" t="s">
        <v>959</v>
      </c>
      <c r="E5554" s="4"/>
      <c r="F5554" s="3" t="s">
        <v>131</v>
      </c>
      <c r="G5554" s="53">
        <v>140</v>
      </c>
      <c r="H5554" s="20">
        <v>140</v>
      </c>
      <c r="I5554" s="12"/>
      <c r="J5554" s="5" t="e">
        <f>SUM(SUMIFS(#REF!,#REF!,Planning[[#This Row],[Tipo de Tarea y especialidad]],#REF!,Planning[[#This Row],[Proyectos Reiwa]]),SUMIFS(#REF!,#REF!,Planning[[#This Row],[Tipo de Tarea y especialidad]],#REF!,Planning[[#This Row],[Proyectos]]))</f>
        <v>#REF!</v>
      </c>
      <c r="K5554" s="5" t="e">
        <f>+Planning[[#This Row],[Horas Planificadas]]+Planning[[#This Row],[Horas ajustadas adicionales]]-Planning[[#This Row],[Horas utilizadas]]</f>
        <v>#REF!</v>
      </c>
      <c r="L5554" s="7" t="e">
        <f>Planning[[#This Row],[Saldo]]</f>
        <v>#REF!</v>
      </c>
      <c r="M5554" s="19" t="e">
        <f>Planning[[#This Row],[Saldo]]-Planning[[#This Row],[Saldo estimado]]</f>
        <v>#REF!</v>
      </c>
      <c r="N5554" s="60" t="e">
        <f>+SUMIFS(#REF!,#REF!,Planning[[#This Row],[Proyectos]],#REF!,Planning[[#This Row],[Tipo de Tarea y especialidad]])+SUMIFS(#REF!,#REF!,Planning[[#This Row],[Proyectos Reiwa]],#REF!,Planning[[#This Row],[Tipo de Tarea y especialidad]])</f>
        <v>#REF!</v>
      </c>
      <c r="O5554" s="34">
        <f t="shared" si="173"/>
        <v>10</v>
      </c>
      <c r="P5554" s="34">
        <f t="shared" si="174"/>
        <v>2024</v>
      </c>
      <c r="Q55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54" s="34" t="str">
        <f>TEXT(Planning[[#This Row],[Mes]]*29,"mmmm")</f>
        <v>October</v>
      </c>
      <c r="S555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54" s="103"/>
    </row>
    <row r="5555" spans="1:20" ht="12" customHeight="1" x14ac:dyDescent="0.2">
      <c r="A5555" s="9" t="s">
        <v>435</v>
      </c>
      <c r="B5555" s="9" t="s">
        <v>779</v>
      </c>
      <c r="C5555" s="3">
        <v>117049</v>
      </c>
      <c r="D5555" s="3" t="s">
        <v>971</v>
      </c>
      <c r="E5555" s="4" t="s">
        <v>28</v>
      </c>
      <c r="F5555" s="3"/>
      <c r="G5555" s="53">
        <v>81</v>
      </c>
      <c r="H5555" s="92">
        <v>81</v>
      </c>
      <c r="I5555" s="18"/>
      <c r="J5555" s="14" t="e">
        <f>SUM(J5556:J5557)</f>
        <v>#REF!</v>
      </c>
      <c r="K5555" s="14" t="e">
        <f>+Planning[[#This Row],[Horas Planificadas]]+Planning[[#This Row],[Horas ajustadas adicionales]]-Planning[[#This Row],[Horas utilizadas]]</f>
        <v>#REF!</v>
      </c>
      <c r="L5555" s="15" t="e">
        <f>SUM(L5556:L5557)</f>
        <v>#REF!</v>
      </c>
      <c r="M5555" s="15" t="e">
        <f>Planning[[#This Row],[Saldo]]-Planning[[#This Row],[Saldo estimado]]</f>
        <v>#REF!</v>
      </c>
      <c r="N5555" s="60" t="e">
        <f>+SUMIFS(#REF!,#REF!,Planning[[#This Row],[Proyectos]],#REF!,Planning[[#This Row],[Tipo de Tarea y especialidad]])+SUMIFS(#REF!,#REF!,Planning[[#This Row],[Proyectos Reiwa]],#REF!,Planning[[#This Row],[Tipo de Tarea y especialidad]])</f>
        <v>#REF!</v>
      </c>
      <c r="O5555" s="83">
        <f t="shared" ref="O5555:O5618" si="175">$L$4</f>
        <v>10</v>
      </c>
      <c r="P5555" s="83">
        <f t="shared" ref="P5555:P5618" si="176">$M$4</f>
        <v>2024</v>
      </c>
      <c r="Q5555" s="28" t="e">
        <f>SUM(Q5556:Q5557)</f>
        <v>#REF!</v>
      </c>
      <c r="R5555" s="25" t="str">
        <f>TEXT(Planning[[#This Row],[Mes]]*29,"mmmm")</f>
        <v>October</v>
      </c>
      <c r="S555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55" s="152" t="s">
        <v>972</v>
      </c>
    </row>
    <row r="5556" spans="1:20" x14ac:dyDescent="0.2">
      <c r="A5556" s="9" t="s">
        <v>435</v>
      </c>
      <c r="B5556" s="9" t="s">
        <v>779</v>
      </c>
      <c r="C5556" s="3">
        <v>117049</v>
      </c>
      <c r="D5556" s="3" t="s">
        <v>971</v>
      </c>
      <c r="E5556" s="4"/>
      <c r="F5556" s="3" t="s">
        <v>120</v>
      </c>
      <c r="G5556" s="53">
        <v>45</v>
      </c>
      <c r="H5556" s="20">
        <v>45</v>
      </c>
      <c r="I5556" s="12"/>
      <c r="J5556" s="5" t="e">
        <f>SUM(SUMIFS(#REF!,#REF!,Planning[[#This Row],[Tipo de Tarea y especialidad]],#REF!,Planning[[#This Row],[Proyectos Reiwa]]),SUMIFS(#REF!,#REF!,Planning[[#This Row],[Tipo de Tarea y especialidad]],#REF!,Planning[[#This Row],[Proyectos]]))</f>
        <v>#REF!</v>
      </c>
      <c r="K5556" s="5" t="e">
        <f>+Planning[[#This Row],[Horas Planificadas]]+Planning[[#This Row],[Horas ajustadas adicionales]]-Planning[[#This Row],[Horas utilizadas]]</f>
        <v>#REF!</v>
      </c>
      <c r="L5556" s="7" t="e">
        <f>Planning[[#This Row],[Saldo]]</f>
        <v>#REF!</v>
      </c>
      <c r="M5556" s="83" t="e">
        <f>Planning[[#This Row],[Saldo]]-Planning[[#This Row],[Saldo estimado]]</f>
        <v>#REF!</v>
      </c>
      <c r="N5556" s="60" t="e">
        <f>+SUMIFS(#REF!,#REF!,Planning[[#This Row],[Proyectos]],#REF!,Planning[[#This Row],[Tipo de Tarea y especialidad]])+SUMIFS(#REF!,#REF!,Planning[[#This Row],[Proyectos Reiwa]],#REF!,Planning[[#This Row],[Tipo de Tarea y especialidad]])</f>
        <v>#REF!</v>
      </c>
      <c r="O5556" s="83">
        <f t="shared" si="175"/>
        <v>10</v>
      </c>
      <c r="P5556" s="83">
        <f t="shared" si="176"/>
        <v>2024</v>
      </c>
      <c r="Q55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56" s="49" t="str">
        <f>TEXT(Planning[[#This Row],[Mes]]*29,"mmmm")</f>
        <v>October</v>
      </c>
      <c r="S555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56" s="152"/>
    </row>
    <row r="5557" spans="1:20" x14ac:dyDescent="0.2">
      <c r="A5557" s="9" t="s">
        <v>435</v>
      </c>
      <c r="B5557" s="9" t="s">
        <v>779</v>
      </c>
      <c r="C5557" s="3">
        <v>117049</v>
      </c>
      <c r="D5557" s="3" t="s">
        <v>971</v>
      </c>
      <c r="E5557" s="4"/>
      <c r="F5557" s="3" t="s">
        <v>121</v>
      </c>
      <c r="G5557" s="53">
        <v>36</v>
      </c>
      <c r="H5557" s="20">
        <v>36</v>
      </c>
      <c r="I5557" s="12"/>
      <c r="J5557" s="5" t="e">
        <f>SUM(SUMIFS(#REF!,#REF!,Planning[[#This Row],[Tipo de Tarea y especialidad]],#REF!,Planning[[#This Row],[Proyectos Reiwa]]),SUMIFS(#REF!,#REF!,Planning[[#This Row],[Tipo de Tarea y especialidad]],#REF!,Planning[[#This Row],[Proyectos]]))</f>
        <v>#REF!</v>
      </c>
      <c r="K5557" s="5" t="e">
        <f>+Planning[[#This Row],[Horas Planificadas]]+Planning[[#This Row],[Horas ajustadas adicionales]]-Planning[[#This Row],[Horas utilizadas]]</f>
        <v>#REF!</v>
      </c>
      <c r="L5557" s="7" t="e">
        <f>Planning[[#This Row],[Saldo]]</f>
        <v>#REF!</v>
      </c>
      <c r="M5557" s="83" t="e">
        <f>Planning[[#This Row],[Saldo]]-Planning[[#This Row],[Saldo estimado]]</f>
        <v>#REF!</v>
      </c>
      <c r="N5557" s="60" t="e">
        <f>+SUMIFS(#REF!,#REF!,Planning[[#This Row],[Proyectos]],#REF!,Planning[[#This Row],[Tipo de Tarea y especialidad]])+SUMIFS(#REF!,#REF!,Planning[[#This Row],[Proyectos Reiwa]],#REF!,Planning[[#This Row],[Tipo de Tarea y especialidad]])</f>
        <v>#REF!</v>
      </c>
      <c r="O5557" s="83">
        <f t="shared" si="175"/>
        <v>10</v>
      </c>
      <c r="P5557" s="83">
        <f t="shared" si="176"/>
        <v>2024</v>
      </c>
      <c r="Q55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57" s="49" t="str">
        <f>TEXT(Planning[[#This Row],[Mes]]*29,"mmmm")</f>
        <v>October</v>
      </c>
      <c r="S555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57" s="152"/>
    </row>
    <row r="5558" spans="1:20" x14ac:dyDescent="0.2">
      <c r="A5558" s="9" t="s">
        <v>435</v>
      </c>
      <c r="B5558" s="9" t="s">
        <v>779</v>
      </c>
      <c r="C5558" s="3">
        <v>117049</v>
      </c>
      <c r="D5558" s="3" t="s">
        <v>971</v>
      </c>
      <c r="E5558" s="4" t="s">
        <v>30</v>
      </c>
      <c r="F5558" s="3"/>
      <c r="G5558" s="53">
        <v>54</v>
      </c>
      <c r="H5558" s="92">
        <v>99</v>
      </c>
      <c r="I5558" s="18"/>
      <c r="J5558" s="14" t="e">
        <f>SUM(J5559:J5565)</f>
        <v>#REF!</v>
      </c>
      <c r="K5558" s="14" t="e">
        <f>+Planning[[#This Row],[Horas Planificadas]]+Planning[[#This Row],[Horas ajustadas adicionales]]-Planning[[#This Row],[Horas utilizadas]]</f>
        <v>#REF!</v>
      </c>
      <c r="L5558" s="15" t="e">
        <f>SUM(L5559:L5565)</f>
        <v>#REF!</v>
      </c>
      <c r="M5558" s="15" t="e">
        <f>Planning[[#This Row],[Saldo]]-Planning[[#This Row],[Saldo estimado]]</f>
        <v>#REF!</v>
      </c>
      <c r="N5558" s="60" t="e">
        <f>+SUMIFS(#REF!,#REF!,Planning[[#This Row],[Proyectos]],#REF!,Planning[[#This Row],[Tipo de Tarea y especialidad]])+SUMIFS(#REF!,#REF!,Planning[[#This Row],[Proyectos Reiwa]],#REF!,Planning[[#This Row],[Tipo de Tarea y especialidad]])</f>
        <v>#REF!</v>
      </c>
      <c r="O5558" s="83">
        <f t="shared" si="175"/>
        <v>10</v>
      </c>
      <c r="P5558" s="83">
        <f t="shared" si="176"/>
        <v>2024</v>
      </c>
      <c r="Q5558" s="16" t="e">
        <f>SUM(Q5559:Q5565)</f>
        <v>#REF!</v>
      </c>
      <c r="R5558" s="50" t="str">
        <f>TEXT(Planning[[#This Row],[Mes]]*29,"mmmm")</f>
        <v>October</v>
      </c>
      <c r="S555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58" s="152"/>
    </row>
    <row r="5559" spans="1:20" x14ac:dyDescent="0.2">
      <c r="A5559" s="9" t="s">
        <v>435</v>
      </c>
      <c r="B5559" s="9" t="s">
        <v>779</v>
      </c>
      <c r="C5559" s="3">
        <v>117049</v>
      </c>
      <c r="D5559" s="3" t="s">
        <v>971</v>
      </c>
      <c r="E5559" s="4"/>
      <c r="F5559" s="3" t="s">
        <v>122</v>
      </c>
      <c r="G5559" s="53"/>
      <c r="H5559" s="20"/>
      <c r="I5559" s="12"/>
      <c r="J5559" s="5" t="e">
        <f>SUM(SUMIFS(#REF!,#REF!,Planning[[#This Row],[Tipo de Tarea y especialidad]],#REF!,Planning[[#This Row],[Proyectos Reiwa]]),SUMIFS(#REF!,#REF!,Planning[[#This Row],[Tipo de Tarea y especialidad]],#REF!,Planning[[#This Row],[Proyectos]]))</f>
        <v>#REF!</v>
      </c>
      <c r="K5559" s="5" t="e">
        <f>+Planning[[#This Row],[Horas Planificadas]]+Planning[[#This Row],[Horas ajustadas adicionales]]-Planning[[#This Row],[Horas utilizadas]]</f>
        <v>#REF!</v>
      </c>
      <c r="L5559" s="7" t="e">
        <f>Planning[[#This Row],[Saldo]]</f>
        <v>#REF!</v>
      </c>
      <c r="M5559" s="83" t="e">
        <f>Planning[[#This Row],[Saldo]]-Planning[[#This Row],[Saldo estimado]]</f>
        <v>#REF!</v>
      </c>
      <c r="N5559" s="60" t="e">
        <f>+SUMIFS(#REF!,#REF!,Planning[[#This Row],[Proyectos]],#REF!,Planning[[#This Row],[Tipo de Tarea y especialidad]])+SUMIFS(#REF!,#REF!,Planning[[#This Row],[Proyectos Reiwa]],#REF!,Planning[[#This Row],[Tipo de Tarea y especialidad]])</f>
        <v>#REF!</v>
      </c>
      <c r="O5559" s="83">
        <f t="shared" si="175"/>
        <v>10</v>
      </c>
      <c r="P5559" s="83">
        <f t="shared" si="176"/>
        <v>2024</v>
      </c>
      <c r="Q55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59" s="49" t="str">
        <f>TEXT(Planning[[#This Row],[Mes]]*29,"mmmm")</f>
        <v>October</v>
      </c>
      <c r="S555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59" s="152"/>
    </row>
    <row r="5560" spans="1:20" x14ac:dyDescent="0.2">
      <c r="A5560" s="9" t="s">
        <v>435</v>
      </c>
      <c r="B5560" s="9" t="s">
        <v>779</v>
      </c>
      <c r="C5560" s="3">
        <v>117049</v>
      </c>
      <c r="D5560" s="3" t="s">
        <v>971</v>
      </c>
      <c r="E5560" s="4"/>
      <c r="F5560" s="3" t="s">
        <v>123</v>
      </c>
      <c r="G5560" s="53">
        <v>27</v>
      </c>
      <c r="H5560" s="20">
        <v>45</v>
      </c>
      <c r="I5560" s="12"/>
      <c r="J5560" s="5" t="e">
        <f>SUM(SUMIFS(#REF!,#REF!,Planning[[#This Row],[Tipo de Tarea y especialidad]],#REF!,Planning[[#This Row],[Proyectos Reiwa]]),SUMIFS(#REF!,#REF!,Planning[[#This Row],[Tipo de Tarea y especialidad]],#REF!,Planning[[#This Row],[Proyectos]]))</f>
        <v>#REF!</v>
      </c>
      <c r="K5560" s="5" t="e">
        <f>+Planning[[#This Row],[Horas Planificadas]]+Planning[[#This Row],[Horas ajustadas adicionales]]-Planning[[#This Row],[Horas utilizadas]]</f>
        <v>#REF!</v>
      </c>
      <c r="L5560" s="7" t="e">
        <f>Planning[[#This Row],[Saldo]]</f>
        <v>#REF!</v>
      </c>
      <c r="M5560" s="83" t="e">
        <f>Planning[[#This Row],[Saldo]]-Planning[[#This Row],[Saldo estimado]]</f>
        <v>#REF!</v>
      </c>
      <c r="N5560" s="60" t="e">
        <f>+SUMIFS(#REF!,#REF!,Planning[[#This Row],[Proyectos]],#REF!,Planning[[#This Row],[Tipo de Tarea y especialidad]])+SUMIFS(#REF!,#REF!,Planning[[#This Row],[Proyectos Reiwa]],#REF!,Planning[[#This Row],[Tipo de Tarea y especialidad]])</f>
        <v>#REF!</v>
      </c>
      <c r="O5560" s="83">
        <f t="shared" si="175"/>
        <v>10</v>
      </c>
      <c r="P5560" s="83">
        <f t="shared" si="176"/>
        <v>2024</v>
      </c>
      <c r="Q55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60" s="49" t="str">
        <f>TEXT(Planning[[#This Row],[Mes]]*29,"mmmm")</f>
        <v>October</v>
      </c>
      <c r="S556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60" s="152"/>
    </row>
    <row r="5561" spans="1:20" x14ac:dyDescent="0.2">
      <c r="A5561" s="9" t="s">
        <v>435</v>
      </c>
      <c r="B5561" s="9" t="s">
        <v>779</v>
      </c>
      <c r="C5561" s="3">
        <v>117049</v>
      </c>
      <c r="D5561" s="3" t="s">
        <v>971</v>
      </c>
      <c r="E5561" s="4"/>
      <c r="F5561" s="3" t="s">
        <v>124</v>
      </c>
      <c r="G5561" s="53"/>
      <c r="H5561" s="20">
        <v>0</v>
      </c>
      <c r="I5561" s="12"/>
      <c r="J5561" s="5" t="e">
        <f>SUM(SUMIFS(#REF!,#REF!,Planning[[#This Row],[Tipo de Tarea y especialidad]],#REF!,Planning[[#This Row],[Proyectos Reiwa]]),SUMIFS(#REF!,#REF!,Planning[[#This Row],[Tipo de Tarea y especialidad]],#REF!,Planning[[#This Row],[Proyectos]]))</f>
        <v>#REF!</v>
      </c>
      <c r="K5561" s="5" t="e">
        <f>+Planning[[#This Row],[Horas Planificadas]]+Planning[[#This Row],[Horas ajustadas adicionales]]-Planning[[#This Row],[Horas utilizadas]]</f>
        <v>#REF!</v>
      </c>
      <c r="L5561" s="7">
        <v>0</v>
      </c>
      <c r="M5561" s="83" t="e">
        <f>Planning[[#This Row],[Saldo]]-Planning[[#This Row],[Saldo estimado]]</f>
        <v>#REF!</v>
      </c>
      <c r="N5561" s="60" t="e">
        <f>+SUMIFS(#REF!,#REF!,Planning[[#This Row],[Proyectos]],#REF!,Planning[[#This Row],[Tipo de Tarea y especialidad]])+SUMIFS(#REF!,#REF!,Planning[[#This Row],[Proyectos Reiwa]],#REF!,Planning[[#This Row],[Tipo de Tarea y especialidad]])</f>
        <v>#REF!</v>
      </c>
      <c r="O5561" s="83">
        <f t="shared" si="175"/>
        <v>10</v>
      </c>
      <c r="P5561" s="83">
        <f t="shared" si="176"/>
        <v>2024</v>
      </c>
      <c r="Q55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61" s="49" t="str">
        <f>TEXT(Planning[[#This Row],[Mes]]*29,"mmmm")</f>
        <v>October</v>
      </c>
      <c r="S556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61" s="152"/>
    </row>
    <row r="5562" spans="1:20" x14ac:dyDescent="0.2">
      <c r="A5562" s="9" t="s">
        <v>435</v>
      </c>
      <c r="B5562" s="9" t="s">
        <v>779</v>
      </c>
      <c r="C5562" s="3">
        <v>117049</v>
      </c>
      <c r="D5562" s="3" t="s">
        <v>971</v>
      </c>
      <c r="E5562" s="4"/>
      <c r="F5562" s="3" t="s">
        <v>125</v>
      </c>
      <c r="G5562" s="53">
        <v>20</v>
      </c>
      <c r="H5562" s="20">
        <v>27</v>
      </c>
      <c r="I5562" s="12"/>
      <c r="J5562" s="5" t="e">
        <f>SUM(SUMIFS(#REF!,#REF!,Planning[[#This Row],[Tipo de Tarea y especialidad]],#REF!,Planning[[#This Row],[Proyectos Reiwa]]),SUMIFS(#REF!,#REF!,Planning[[#This Row],[Tipo de Tarea y especialidad]],#REF!,Planning[[#This Row],[Proyectos]]))</f>
        <v>#REF!</v>
      </c>
      <c r="K5562" s="5" t="e">
        <f>+Planning[[#This Row],[Horas Planificadas]]+Planning[[#This Row],[Horas ajustadas adicionales]]-Planning[[#This Row],[Horas utilizadas]]</f>
        <v>#REF!</v>
      </c>
      <c r="L5562" s="7" t="e">
        <f>Planning[[#This Row],[Saldo]]</f>
        <v>#REF!</v>
      </c>
      <c r="M5562" s="83" t="e">
        <f>Planning[[#This Row],[Saldo]]-Planning[[#This Row],[Saldo estimado]]</f>
        <v>#REF!</v>
      </c>
      <c r="N5562" s="60" t="e">
        <f>+SUMIFS(#REF!,#REF!,Planning[[#This Row],[Proyectos]],#REF!,Planning[[#This Row],[Tipo de Tarea y especialidad]])+SUMIFS(#REF!,#REF!,Planning[[#This Row],[Proyectos Reiwa]],#REF!,Planning[[#This Row],[Tipo de Tarea y especialidad]])</f>
        <v>#REF!</v>
      </c>
      <c r="O5562" s="83">
        <f t="shared" si="175"/>
        <v>10</v>
      </c>
      <c r="P5562" s="83">
        <f t="shared" si="176"/>
        <v>2024</v>
      </c>
      <c r="Q55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62" s="49" t="str">
        <f>TEXT(Planning[[#This Row],[Mes]]*29,"mmmm")</f>
        <v>October</v>
      </c>
      <c r="S556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62" s="152"/>
    </row>
    <row r="5563" spans="1:20" x14ac:dyDescent="0.2">
      <c r="A5563" s="9" t="s">
        <v>435</v>
      </c>
      <c r="B5563" s="9" t="s">
        <v>779</v>
      </c>
      <c r="C5563" s="3">
        <v>117049</v>
      </c>
      <c r="D5563" s="3" t="s">
        <v>971</v>
      </c>
      <c r="E5563" s="4"/>
      <c r="F5563" s="3" t="s">
        <v>126</v>
      </c>
      <c r="G5563" s="53"/>
      <c r="H5563" s="20">
        <v>0</v>
      </c>
      <c r="I5563" s="12"/>
      <c r="J5563" s="5" t="e">
        <f>SUM(SUMIFS(#REF!,#REF!,Planning[[#This Row],[Tipo de Tarea y especialidad]],#REF!,Planning[[#This Row],[Proyectos Reiwa]]),SUMIFS(#REF!,#REF!,Planning[[#This Row],[Tipo de Tarea y especialidad]],#REF!,Planning[[#This Row],[Proyectos]]))</f>
        <v>#REF!</v>
      </c>
      <c r="K5563" s="5" t="e">
        <f>+Planning[[#This Row],[Horas Planificadas]]+Planning[[#This Row],[Horas ajustadas adicionales]]-Planning[[#This Row],[Horas utilizadas]]</f>
        <v>#REF!</v>
      </c>
      <c r="L5563" s="7" t="e">
        <f>Planning[[#This Row],[Saldo]]</f>
        <v>#REF!</v>
      </c>
      <c r="M5563" s="83" t="e">
        <f>Planning[[#This Row],[Saldo]]-Planning[[#This Row],[Saldo estimado]]</f>
        <v>#REF!</v>
      </c>
      <c r="N5563" s="60" t="e">
        <f>+SUMIFS(#REF!,#REF!,Planning[[#This Row],[Proyectos]],#REF!,Planning[[#This Row],[Tipo de Tarea y especialidad]])+SUMIFS(#REF!,#REF!,Planning[[#This Row],[Proyectos Reiwa]],#REF!,Planning[[#This Row],[Tipo de Tarea y especialidad]])</f>
        <v>#REF!</v>
      </c>
      <c r="O5563" s="83">
        <f t="shared" si="175"/>
        <v>10</v>
      </c>
      <c r="P5563" s="83">
        <f t="shared" si="176"/>
        <v>2024</v>
      </c>
      <c r="Q55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63" s="49" t="str">
        <f>TEXT(Planning[[#This Row],[Mes]]*29,"mmmm")</f>
        <v>October</v>
      </c>
      <c r="S556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63" s="152"/>
    </row>
    <row r="5564" spans="1:20" x14ac:dyDescent="0.2">
      <c r="A5564" s="9" t="s">
        <v>435</v>
      </c>
      <c r="B5564" s="9" t="s">
        <v>779</v>
      </c>
      <c r="C5564" s="3">
        <v>117049</v>
      </c>
      <c r="D5564" s="3" t="s">
        <v>971</v>
      </c>
      <c r="E5564" s="4"/>
      <c r="F5564" s="3" t="s">
        <v>127</v>
      </c>
      <c r="G5564" s="53">
        <v>27</v>
      </c>
      <c r="H5564" s="20">
        <v>27</v>
      </c>
      <c r="I5564" s="12"/>
      <c r="J5564" s="5" t="e">
        <f>SUM(SUMIFS(#REF!,#REF!,Planning[[#This Row],[Tipo de Tarea y especialidad]],#REF!,Planning[[#This Row],[Proyectos Reiwa]]),SUMIFS(#REF!,#REF!,Planning[[#This Row],[Tipo de Tarea y especialidad]],#REF!,Planning[[#This Row],[Proyectos]]))</f>
        <v>#REF!</v>
      </c>
      <c r="K5564" s="5" t="e">
        <f>+Planning[[#This Row],[Horas Planificadas]]+Planning[[#This Row],[Horas ajustadas adicionales]]-Planning[[#This Row],[Horas utilizadas]]</f>
        <v>#REF!</v>
      </c>
      <c r="L5564" s="7" t="e">
        <f>Planning[[#This Row],[Saldo]]</f>
        <v>#REF!</v>
      </c>
      <c r="M5564" s="83" t="e">
        <f>Planning[[#This Row],[Saldo]]-Planning[[#This Row],[Saldo estimado]]</f>
        <v>#REF!</v>
      </c>
      <c r="N5564" s="60" t="e">
        <f>+SUMIFS(#REF!,#REF!,Planning[[#This Row],[Proyectos]],#REF!,Planning[[#This Row],[Tipo de Tarea y especialidad]])+SUMIFS(#REF!,#REF!,Planning[[#This Row],[Proyectos Reiwa]],#REF!,Planning[[#This Row],[Tipo de Tarea y especialidad]])</f>
        <v>#REF!</v>
      </c>
      <c r="O5564" s="83">
        <f t="shared" si="175"/>
        <v>10</v>
      </c>
      <c r="P5564" s="83">
        <f t="shared" si="176"/>
        <v>2024</v>
      </c>
      <c r="Q55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64" s="49" t="str">
        <f>TEXT(Planning[[#This Row],[Mes]]*29,"mmmm")</f>
        <v>October</v>
      </c>
      <c r="S556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64" s="152"/>
    </row>
    <row r="5565" spans="1:20" x14ac:dyDescent="0.2">
      <c r="A5565" s="9" t="s">
        <v>435</v>
      </c>
      <c r="B5565" s="9" t="s">
        <v>779</v>
      </c>
      <c r="C5565" s="3">
        <v>117049</v>
      </c>
      <c r="D5565" s="3" t="s">
        <v>971</v>
      </c>
      <c r="E5565" s="4"/>
      <c r="F5565" s="3" t="s">
        <v>128</v>
      </c>
      <c r="G5565" s="53"/>
      <c r="H5565" s="20">
        <v>0</v>
      </c>
      <c r="I5565" s="12"/>
      <c r="J5565" s="5" t="e">
        <f>SUM(SUMIFS(#REF!,#REF!,Planning[[#This Row],[Tipo de Tarea y especialidad]],#REF!,Planning[[#This Row],[Proyectos Reiwa]]),SUMIFS(#REF!,#REF!,Planning[[#This Row],[Tipo de Tarea y especialidad]],#REF!,Planning[[#This Row],[Proyectos]]))</f>
        <v>#REF!</v>
      </c>
      <c r="K5565" s="5" t="e">
        <f>+Planning[[#This Row],[Horas Planificadas]]+Planning[[#This Row],[Horas ajustadas adicionales]]-Planning[[#This Row],[Horas utilizadas]]</f>
        <v>#REF!</v>
      </c>
      <c r="L5565" s="7">
        <v>0</v>
      </c>
      <c r="M5565" s="83" t="e">
        <f>Planning[[#This Row],[Saldo]]-Planning[[#This Row],[Saldo estimado]]</f>
        <v>#REF!</v>
      </c>
      <c r="N5565" s="60" t="e">
        <f>+SUMIFS(#REF!,#REF!,Planning[[#This Row],[Proyectos]],#REF!,Planning[[#This Row],[Tipo de Tarea y especialidad]])+SUMIFS(#REF!,#REF!,Planning[[#This Row],[Proyectos Reiwa]],#REF!,Planning[[#This Row],[Tipo de Tarea y especialidad]])</f>
        <v>#REF!</v>
      </c>
      <c r="O5565" s="83">
        <f t="shared" si="175"/>
        <v>10</v>
      </c>
      <c r="P5565" s="83">
        <f t="shared" si="176"/>
        <v>2024</v>
      </c>
      <c r="Q55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65" s="49" t="str">
        <f>TEXT(Planning[[#This Row],[Mes]]*29,"mmmm")</f>
        <v>October</v>
      </c>
      <c r="S556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65" s="152"/>
    </row>
    <row r="5566" spans="1:20" x14ac:dyDescent="0.2">
      <c r="A5566" s="9" t="s">
        <v>435</v>
      </c>
      <c r="B5566" s="9" t="s">
        <v>779</v>
      </c>
      <c r="C5566" s="3">
        <v>117049</v>
      </c>
      <c r="D5566" s="3" t="s">
        <v>971</v>
      </c>
      <c r="E5566" s="4" t="s">
        <v>31</v>
      </c>
      <c r="F5566" s="3" t="s">
        <v>31</v>
      </c>
      <c r="G5566" s="53">
        <v>20</v>
      </c>
      <c r="H5566" s="92">
        <v>18</v>
      </c>
      <c r="I5566" s="18"/>
      <c r="J5566" s="14" t="e">
        <f>+SUMIFS(#REF!,#REF!,Planning[[#This Row],[Tarifa]],#REF!,Planning[[#This Row],[Proyectos]])</f>
        <v>#REF!</v>
      </c>
      <c r="K5566" s="14" t="e">
        <f>+Planning[[#This Row],[Horas Planificadas]]+Planning[[#This Row],[Horas ajustadas adicionales]]-Planning[[#This Row],[Horas utilizadas]]</f>
        <v>#REF!</v>
      </c>
      <c r="L5566" s="15" t="e">
        <f>Planning[[#This Row],[Saldo]]</f>
        <v>#REF!</v>
      </c>
      <c r="M5566" s="15" t="e">
        <f>Planning[[#This Row],[Saldo]]-Planning[[#This Row],[Saldo estimado]]</f>
        <v>#REF!</v>
      </c>
      <c r="N5566" s="60" t="e">
        <f>+SUMIFS(#REF!,#REF!,Planning[[#This Row],[Proyectos]],#REF!,Planning[[#This Row],[Tipo de Tarea y especialidad]])+SUMIFS(#REF!,#REF!,Planning[[#This Row],[Proyectos Reiwa]],#REF!,Planning[[#This Row],[Tipo de Tarea y especialidad]])</f>
        <v>#REF!</v>
      </c>
      <c r="O5566" s="83">
        <f t="shared" si="175"/>
        <v>10</v>
      </c>
      <c r="P5566" s="83">
        <f t="shared" si="176"/>
        <v>2024</v>
      </c>
      <c r="Q5566" s="16" t="e">
        <f>+SUMIFS(#REF!,#REF!,Planning[[#This Row],[Tarifa]],#REF!,Planning[[#This Row],[Proyectos]],#REF!,Planning[[#This Row],[Mes]],#REF!,Planning[[#This Row],[Año]])</f>
        <v>#REF!</v>
      </c>
      <c r="R5566" s="50" t="str">
        <f>TEXT(Planning[[#This Row],[Mes]]*29,"mmmm")</f>
        <v>October</v>
      </c>
      <c r="S556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66" s="152"/>
    </row>
    <row r="5567" spans="1:20" ht="22.5" x14ac:dyDescent="0.2">
      <c r="A5567" s="9" t="s">
        <v>435</v>
      </c>
      <c r="B5567" s="9" t="s">
        <v>779</v>
      </c>
      <c r="C5567" s="3">
        <v>117049</v>
      </c>
      <c r="D5567" s="3" t="s">
        <v>971</v>
      </c>
      <c r="E5567" s="4" t="s">
        <v>32</v>
      </c>
      <c r="F5567" s="3"/>
      <c r="G5567" s="53"/>
      <c r="H5567" s="92">
        <v>0</v>
      </c>
      <c r="I5567" s="18"/>
      <c r="J5567" s="14" t="e">
        <f>SUM(J5568:J5570)</f>
        <v>#REF!</v>
      </c>
      <c r="K5567" s="14" t="e">
        <f>+Planning[[#This Row],[Horas Planificadas]]+Planning[[#This Row],[Horas ajustadas adicionales]]-Planning[[#This Row],[Horas utilizadas]]</f>
        <v>#REF!</v>
      </c>
      <c r="L5567" s="15" t="e">
        <f>SUM(L5568:L5570)</f>
        <v>#REF!</v>
      </c>
      <c r="M5567" s="15" t="e">
        <f>Planning[[#This Row],[Saldo]]-Planning[[#This Row],[Saldo estimado]]</f>
        <v>#REF!</v>
      </c>
      <c r="N5567" s="60" t="e">
        <f>+SUMIFS(#REF!,#REF!,Planning[[#This Row],[Proyectos]],#REF!,Planning[[#This Row],[Tipo de Tarea y especialidad]])+SUMIFS(#REF!,#REF!,Planning[[#This Row],[Proyectos Reiwa]],#REF!,Planning[[#This Row],[Tipo de Tarea y especialidad]])</f>
        <v>#REF!</v>
      </c>
      <c r="O5567" s="83">
        <f t="shared" si="175"/>
        <v>10</v>
      </c>
      <c r="P5567" s="83">
        <f t="shared" si="176"/>
        <v>2024</v>
      </c>
      <c r="Q5567" s="16" t="e">
        <f>SUM(Q5568:Q5570)</f>
        <v>#REF!</v>
      </c>
      <c r="R5567" s="50" t="str">
        <f>TEXT(Planning[[#This Row],[Mes]]*29,"mmmm")</f>
        <v>October</v>
      </c>
      <c r="S556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67" s="152"/>
    </row>
    <row r="5568" spans="1:20" x14ac:dyDescent="0.2">
      <c r="A5568" s="9" t="s">
        <v>435</v>
      </c>
      <c r="B5568" s="9" t="s">
        <v>779</v>
      </c>
      <c r="C5568" s="3">
        <v>117049</v>
      </c>
      <c r="D5568" s="3" t="s">
        <v>971</v>
      </c>
      <c r="E5568" s="4"/>
      <c r="F5568" s="3" t="s">
        <v>129</v>
      </c>
      <c r="G5568" s="53"/>
      <c r="H5568" s="20">
        <v>0</v>
      </c>
      <c r="I5568" s="12"/>
      <c r="J5568" s="5" t="e">
        <f>SUM(SUMIFS(#REF!,#REF!,Planning[[#This Row],[Tipo de Tarea y especialidad]],#REF!,Planning[[#This Row],[Proyectos Reiwa]]),SUMIFS(#REF!,#REF!,Planning[[#This Row],[Tipo de Tarea y especialidad]],#REF!,Planning[[#This Row],[Proyectos]]))</f>
        <v>#REF!</v>
      </c>
      <c r="K5568" s="5" t="e">
        <f>+Planning[[#This Row],[Horas Planificadas]]+Planning[[#This Row],[Horas ajustadas adicionales]]-Planning[[#This Row],[Horas utilizadas]]</f>
        <v>#REF!</v>
      </c>
      <c r="L5568" s="7" t="e">
        <f>Planning[[#This Row],[Saldo]]</f>
        <v>#REF!</v>
      </c>
      <c r="M5568" s="83" t="e">
        <f>Planning[[#This Row],[Saldo]]-Planning[[#This Row],[Saldo estimado]]</f>
        <v>#REF!</v>
      </c>
      <c r="N5568" s="60" t="e">
        <f>+SUMIFS(#REF!,#REF!,Planning[[#This Row],[Proyectos]],#REF!,Planning[[#This Row],[Tipo de Tarea y especialidad]])+SUMIFS(#REF!,#REF!,Planning[[#This Row],[Proyectos Reiwa]],#REF!,Planning[[#This Row],[Tipo de Tarea y especialidad]])</f>
        <v>#REF!</v>
      </c>
      <c r="O5568" s="83">
        <f t="shared" si="175"/>
        <v>10</v>
      </c>
      <c r="P5568" s="83">
        <f t="shared" si="176"/>
        <v>2024</v>
      </c>
      <c r="Q55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68" s="49" t="str">
        <f>TEXT(Planning[[#This Row],[Mes]]*29,"mmmm")</f>
        <v>October</v>
      </c>
      <c r="S556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68" s="152"/>
    </row>
    <row r="5569" spans="1:20" ht="14.85" customHeight="1" x14ac:dyDescent="0.2">
      <c r="A5569" s="9" t="s">
        <v>435</v>
      </c>
      <c r="B5569" s="9" t="s">
        <v>779</v>
      </c>
      <c r="C5569" s="3">
        <v>117049</v>
      </c>
      <c r="D5569" s="3" t="s">
        <v>971</v>
      </c>
      <c r="E5569" s="4"/>
      <c r="F5569" s="3" t="s">
        <v>130</v>
      </c>
      <c r="G5569" s="53"/>
      <c r="H5569" s="20">
        <v>0</v>
      </c>
      <c r="I5569" s="12"/>
      <c r="J5569" s="5" t="e">
        <f>SUM(SUMIFS(#REF!,#REF!,Planning[[#This Row],[Tipo de Tarea y especialidad]],#REF!,Planning[[#This Row],[Proyectos Reiwa]]),SUMIFS(#REF!,#REF!,Planning[[#This Row],[Tipo de Tarea y especialidad]],#REF!,Planning[[#This Row],[Proyectos]]))</f>
        <v>#REF!</v>
      </c>
      <c r="K5569" s="5" t="e">
        <f>+Planning[[#This Row],[Horas Planificadas]]+Planning[[#This Row],[Horas ajustadas adicionales]]-Planning[[#This Row],[Horas utilizadas]]</f>
        <v>#REF!</v>
      </c>
      <c r="L5569" s="7" t="e">
        <f>Planning[[#This Row],[Saldo]]</f>
        <v>#REF!</v>
      </c>
      <c r="M5569" s="83" t="e">
        <f>Planning[[#This Row],[Saldo]]-Planning[[#This Row],[Saldo estimado]]</f>
        <v>#REF!</v>
      </c>
      <c r="N5569" s="60" t="e">
        <f>+SUMIFS(#REF!,#REF!,Planning[[#This Row],[Proyectos]],#REF!,Planning[[#This Row],[Tipo de Tarea y especialidad]])+SUMIFS(#REF!,#REF!,Planning[[#This Row],[Proyectos Reiwa]],#REF!,Planning[[#This Row],[Tipo de Tarea y especialidad]])</f>
        <v>#REF!</v>
      </c>
      <c r="O5569" s="83">
        <f t="shared" si="175"/>
        <v>10</v>
      </c>
      <c r="P5569" s="83">
        <f t="shared" si="176"/>
        <v>2024</v>
      </c>
      <c r="Q55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69" s="49" t="str">
        <f>TEXT(Planning[[#This Row],[Mes]]*29,"mmmm")</f>
        <v>October</v>
      </c>
      <c r="S556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69" s="152"/>
    </row>
    <row r="5570" spans="1:20" x14ac:dyDescent="0.2">
      <c r="A5570" s="9" t="s">
        <v>435</v>
      </c>
      <c r="B5570" s="9" t="s">
        <v>779</v>
      </c>
      <c r="C5570" s="3">
        <v>117049</v>
      </c>
      <c r="D5570" s="3" t="s">
        <v>971</v>
      </c>
      <c r="E5570" s="4"/>
      <c r="F5570" s="3" t="s">
        <v>131</v>
      </c>
      <c r="G5570" s="53"/>
      <c r="H5570" s="20">
        <v>0</v>
      </c>
      <c r="I5570" s="12"/>
      <c r="J5570" s="5" t="e">
        <f>SUM(SUMIFS(#REF!,#REF!,Planning[[#This Row],[Tipo de Tarea y especialidad]],#REF!,Planning[[#This Row],[Proyectos Reiwa]]),SUMIFS(#REF!,#REF!,Planning[[#This Row],[Tipo de Tarea y especialidad]],#REF!,Planning[[#This Row],[Proyectos]]))</f>
        <v>#REF!</v>
      </c>
      <c r="K5570" s="5" t="e">
        <f>+Planning[[#This Row],[Horas Planificadas]]+Planning[[#This Row],[Horas ajustadas adicionales]]-Planning[[#This Row],[Horas utilizadas]]</f>
        <v>#REF!</v>
      </c>
      <c r="L5570" s="7">
        <v>0</v>
      </c>
      <c r="M5570" s="19" t="e">
        <f>Planning[[#This Row],[Saldo]]-Planning[[#This Row],[Saldo estimado]]</f>
        <v>#REF!</v>
      </c>
      <c r="N5570" s="60" t="e">
        <f>+SUMIFS(#REF!,#REF!,Planning[[#This Row],[Proyectos]],#REF!,Planning[[#This Row],[Tipo de Tarea y especialidad]])+SUMIFS(#REF!,#REF!,Planning[[#This Row],[Proyectos Reiwa]],#REF!,Planning[[#This Row],[Tipo de Tarea y especialidad]])</f>
        <v>#REF!</v>
      </c>
      <c r="O5570" s="34">
        <f t="shared" si="175"/>
        <v>10</v>
      </c>
      <c r="P5570" s="34">
        <f t="shared" si="176"/>
        <v>2024</v>
      </c>
      <c r="Q55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70" s="49" t="str">
        <f>TEXT(Planning[[#This Row],[Mes]]*29,"mmmm")</f>
        <v>October</v>
      </c>
      <c r="S557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70" s="152"/>
    </row>
    <row r="5571" spans="1:20" ht="12" customHeight="1" x14ac:dyDescent="0.2">
      <c r="A5571" s="9" t="s">
        <v>684</v>
      </c>
      <c r="B5571" s="9" t="s">
        <v>808</v>
      </c>
      <c r="C5571" s="3">
        <v>116979</v>
      </c>
      <c r="D5571" s="3" t="s">
        <v>27</v>
      </c>
      <c r="E5571" s="4" t="s">
        <v>28</v>
      </c>
      <c r="F5571" s="3"/>
      <c r="G5571" s="53"/>
      <c r="H5571" s="14">
        <f>SUM(H5572:H5573)</f>
        <v>140</v>
      </c>
      <c r="I5571" s="18"/>
      <c r="J5571" s="14" t="e">
        <f>SUM(J5572:J5573)</f>
        <v>#REF!</v>
      </c>
      <c r="K5571" s="14" t="e">
        <f>+Planning[[#This Row],[Horas Planificadas]]+Planning[[#This Row],[Horas ajustadas adicionales]]-Planning[[#This Row],[Horas utilizadas]]</f>
        <v>#REF!</v>
      </c>
      <c r="L5571" s="15" t="e">
        <f>SUM(L5572:L5573)</f>
        <v>#REF!</v>
      </c>
      <c r="M5571" s="15" t="e">
        <f>Planning[[#This Row],[Saldo]]-Planning[[#This Row],[Saldo estimado]]</f>
        <v>#REF!</v>
      </c>
      <c r="N5571" s="60" t="e">
        <f>+SUMIFS(#REF!,#REF!,Planning[[#This Row],[Proyectos]],#REF!,Planning[[#This Row],[Tipo de Tarea y especialidad]])+SUMIFS(#REF!,#REF!,Planning[[#This Row],[Proyectos Reiwa]],#REF!,Planning[[#This Row],[Tipo de Tarea y especialidad]])</f>
        <v>#REF!</v>
      </c>
      <c r="O5571" s="83">
        <f t="shared" si="175"/>
        <v>10</v>
      </c>
      <c r="P5571" s="83">
        <f t="shared" si="176"/>
        <v>2024</v>
      </c>
      <c r="Q5571" s="28" t="e">
        <f>SUM(Q5572:Q5573)</f>
        <v>#REF!</v>
      </c>
      <c r="R5571" s="14" t="str">
        <f>TEXT(Planning[[#This Row],[Mes]]*29,"mmmm")</f>
        <v>October</v>
      </c>
      <c r="S557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71" s="114" t="s">
        <v>973</v>
      </c>
    </row>
    <row r="5572" spans="1:20" x14ac:dyDescent="0.2">
      <c r="A5572" s="9" t="s">
        <v>684</v>
      </c>
      <c r="B5572" s="9" t="s">
        <v>808</v>
      </c>
      <c r="C5572" s="3">
        <v>116979</v>
      </c>
      <c r="D5572" s="3" t="s">
        <v>27</v>
      </c>
      <c r="E5572" s="4"/>
      <c r="F5572" s="3" t="s">
        <v>120</v>
      </c>
      <c r="G5572" s="53">
        <v>100</v>
      </c>
      <c r="H5572" s="20">
        <v>100</v>
      </c>
      <c r="I5572" s="12"/>
      <c r="J5572" s="5" t="e">
        <f>SUM(SUMIFS(#REF!,#REF!,Planning[[#This Row],[Tipo de Tarea y especialidad]],#REF!,Planning[[#This Row],[Proyectos Reiwa]]),SUMIFS(#REF!,#REF!,Planning[[#This Row],[Tipo de Tarea y especialidad]],#REF!,Planning[[#This Row],[Proyectos]]))</f>
        <v>#REF!</v>
      </c>
      <c r="K5572" s="5" t="e">
        <f>+Planning[[#This Row],[Horas Planificadas]]+Planning[[#This Row],[Horas ajustadas adicionales]]-Planning[[#This Row],[Horas utilizadas]]</f>
        <v>#REF!</v>
      </c>
      <c r="L5572" s="7" t="e">
        <f>Planning[[#This Row],[Saldo]]</f>
        <v>#REF!</v>
      </c>
      <c r="M5572" s="83" t="e">
        <f>Planning[[#This Row],[Saldo]]-Planning[[#This Row],[Saldo estimado]]</f>
        <v>#REF!</v>
      </c>
      <c r="N5572" s="60" t="e">
        <f>+SUMIFS(#REF!,#REF!,Planning[[#This Row],[Proyectos]],#REF!,Planning[[#This Row],[Tipo de Tarea y especialidad]])+SUMIFS(#REF!,#REF!,Planning[[#This Row],[Proyectos Reiwa]],#REF!,Planning[[#This Row],[Tipo de Tarea y especialidad]])</f>
        <v>#REF!</v>
      </c>
      <c r="O5572" s="83">
        <f t="shared" si="175"/>
        <v>10</v>
      </c>
      <c r="P5572" s="83">
        <f t="shared" si="176"/>
        <v>2024</v>
      </c>
      <c r="Q55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72" s="34" t="str">
        <f>TEXT(Planning[[#This Row],[Mes]]*29,"mmmm")</f>
        <v>October</v>
      </c>
      <c r="S557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72" s="102"/>
    </row>
    <row r="5573" spans="1:20" x14ac:dyDescent="0.2">
      <c r="A5573" s="9" t="s">
        <v>684</v>
      </c>
      <c r="B5573" s="9" t="s">
        <v>808</v>
      </c>
      <c r="C5573" s="3">
        <v>116979</v>
      </c>
      <c r="D5573" s="3" t="s">
        <v>27</v>
      </c>
      <c r="E5573" s="4"/>
      <c r="F5573" s="3" t="s">
        <v>121</v>
      </c>
      <c r="G5573" s="53">
        <v>40</v>
      </c>
      <c r="H5573" s="20">
        <v>40</v>
      </c>
      <c r="I5573" s="12"/>
      <c r="J5573" s="5" t="e">
        <f>SUM(SUMIFS(#REF!,#REF!,Planning[[#This Row],[Tipo de Tarea y especialidad]],#REF!,Planning[[#This Row],[Proyectos Reiwa]]),SUMIFS(#REF!,#REF!,Planning[[#This Row],[Tipo de Tarea y especialidad]],#REF!,Planning[[#This Row],[Proyectos]]))</f>
        <v>#REF!</v>
      </c>
      <c r="K5573" s="5" t="e">
        <f>+Planning[[#This Row],[Horas Planificadas]]+Planning[[#This Row],[Horas ajustadas adicionales]]-Planning[[#This Row],[Horas utilizadas]]</f>
        <v>#REF!</v>
      </c>
      <c r="L5573" s="7" t="e">
        <f>Planning[[#This Row],[Saldo]]</f>
        <v>#REF!</v>
      </c>
      <c r="M5573" s="83" t="e">
        <f>Planning[[#This Row],[Saldo]]-Planning[[#This Row],[Saldo estimado]]</f>
        <v>#REF!</v>
      </c>
      <c r="N5573" s="60" t="e">
        <f>+SUMIFS(#REF!,#REF!,Planning[[#This Row],[Proyectos]],#REF!,Planning[[#This Row],[Tipo de Tarea y especialidad]])+SUMIFS(#REF!,#REF!,Planning[[#This Row],[Proyectos Reiwa]],#REF!,Planning[[#This Row],[Tipo de Tarea y especialidad]])</f>
        <v>#REF!</v>
      </c>
      <c r="O5573" s="83">
        <f t="shared" si="175"/>
        <v>10</v>
      </c>
      <c r="P5573" s="83">
        <f t="shared" si="176"/>
        <v>2024</v>
      </c>
      <c r="Q55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73" s="34" t="str">
        <f>TEXT(Planning[[#This Row],[Mes]]*29,"mmmm")</f>
        <v>October</v>
      </c>
      <c r="S557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73" s="102" t="s">
        <v>974</v>
      </c>
    </row>
    <row r="5574" spans="1:20" x14ac:dyDescent="0.2">
      <c r="A5574" s="9" t="s">
        <v>684</v>
      </c>
      <c r="B5574" s="9" t="s">
        <v>808</v>
      </c>
      <c r="C5574" s="3">
        <v>116979</v>
      </c>
      <c r="D5574" s="3" t="s">
        <v>27</v>
      </c>
      <c r="E5574" s="4" t="s">
        <v>30</v>
      </c>
      <c r="F5574" s="3"/>
      <c r="G5574" s="53"/>
      <c r="H5574" s="14">
        <f>SUM(H5575:H5581)</f>
        <v>470</v>
      </c>
      <c r="I5574" s="18"/>
      <c r="J5574" s="14" t="e">
        <f>SUM(J5575:J5581)</f>
        <v>#REF!</v>
      </c>
      <c r="K5574" s="14" t="e">
        <f>+Planning[[#This Row],[Horas Planificadas]]+Planning[[#This Row],[Horas ajustadas adicionales]]-Planning[[#This Row],[Horas utilizadas]]</f>
        <v>#REF!</v>
      </c>
      <c r="L5574" s="15" t="e">
        <f>SUM(L5575:L5581)</f>
        <v>#REF!</v>
      </c>
      <c r="M5574" s="15" t="e">
        <f>Planning[[#This Row],[Saldo]]-Planning[[#This Row],[Saldo estimado]]</f>
        <v>#REF!</v>
      </c>
      <c r="N5574" s="60" t="e">
        <f>+SUMIFS(#REF!,#REF!,Planning[[#This Row],[Proyectos]],#REF!,Planning[[#This Row],[Tipo de Tarea y especialidad]])+SUMIFS(#REF!,#REF!,Planning[[#This Row],[Proyectos Reiwa]],#REF!,Planning[[#This Row],[Tipo de Tarea y especialidad]])</f>
        <v>#REF!</v>
      </c>
      <c r="O5574" s="83">
        <f t="shared" si="175"/>
        <v>10</v>
      </c>
      <c r="P5574" s="83">
        <f t="shared" si="176"/>
        <v>2024</v>
      </c>
      <c r="Q5574" s="16" t="e">
        <f>SUM(Q5575:Q5581)</f>
        <v>#REF!</v>
      </c>
      <c r="R5574" s="35" t="str">
        <f>TEXT(Planning[[#This Row],[Mes]]*29,"mmmm")</f>
        <v>October</v>
      </c>
      <c r="S557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74" s="102" t="s">
        <v>975</v>
      </c>
    </row>
    <row r="5575" spans="1:20" x14ac:dyDescent="0.2">
      <c r="A5575" s="9" t="s">
        <v>684</v>
      </c>
      <c r="B5575" s="9" t="s">
        <v>808</v>
      </c>
      <c r="C5575" s="3">
        <v>116979</v>
      </c>
      <c r="D5575" s="3" t="s">
        <v>27</v>
      </c>
      <c r="E5575" s="4"/>
      <c r="F5575" s="3" t="s">
        <v>122</v>
      </c>
      <c r="G5575" s="53"/>
      <c r="H5575" s="20">
        <v>0</v>
      </c>
      <c r="I5575" s="12"/>
      <c r="J5575" s="5" t="e">
        <f>SUM(SUMIFS(#REF!,#REF!,Planning[[#This Row],[Tipo de Tarea y especialidad]],#REF!,Planning[[#This Row],[Proyectos Reiwa]]),SUMIFS(#REF!,#REF!,Planning[[#This Row],[Tipo de Tarea y especialidad]],#REF!,Planning[[#This Row],[Proyectos]]))</f>
        <v>#REF!</v>
      </c>
      <c r="K5575" s="5" t="e">
        <f>+Planning[[#This Row],[Horas Planificadas]]+Planning[[#This Row],[Horas ajustadas adicionales]]-Planning[[#This Row],[Horas utilizadas]]</f>
        <v>#REF!</v>
      </c>
      <c r="L5575" s="7" t="e">
        <f>Planning[[#This Row],[Saldo]]</f>
        <v>#REF!</v>
      </c>
      <c r="M5575" s="83" t="e">
        <f>Planning[[#This Row],[Saldo]]-Planning[[#This Row],[Saldo estimado]]</f>
        <v>#REF!</v>
      </c>
      <c r="N5575" s="60" t="e">
        <f>+SUMIFS(#REF!,#REF!,Planning[[#This Row],[Proyectos]],#REF!,Planning[[#This Row],[Tipo de Tarea y especialidad]])+SUMIFS(#REF!,#REF!,Planning[[#This Row],[Proyectos Reiwa]],#REF!,Planning[[#This Row],[Tipo de Tarea y especialidad]])</f>
        <v>#REF!</v>
      </c>
      <c r="O5575" s="83">
        <f t="shared" si="175"/>
        <v>10</v>
      </c>
      <c r="P5575" s="83">
        <f t="shared" si="176"/>
        <v>2024</v>
      </c>
      <c r="Q55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75" s="34" t="str">
        <f>TEXT(Planning[[#This Row],[Mes]]*29,"mmmm")</f>
        <v>October</v>
      </c>
      <c r="S557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75" s="102" t="s">
        <v>976</v>
      </c>
    </row>
    <row r="5576" spans="1:20" x14ac:dyDescent="0.2">
      <c r="A5576" s="9" t="s">
        <v>684</v>
      </c>
      <c r="B5576" s="9" t="s">
        <v>808</v>
      </c>
      <c r="C5576" s="3">
        <v>116979</v>
      </c>
      <c r="D5576" s="3" t="s">
        <v>27</v>
      </c>
      <c r="E5576" s="4"/>
      <c r="F5576" s="3" t="s">
        <v>123</v>
      </c>
      <c r="G5576" s="53"/>
      <c r="H5576" s="20">
        <v>0</v>
      </c>
      <c r="I5576" s="12"/>
      <c r="J5576" s="5" t="e">
        <f>SUM(SUMIFS(#REF!,#REF!,Planning[[#This Row],[Tipo de Tarea y especialidad]],#REF!,Planning[[#This Row],[Proyectos Reiwa]]),SUMIFS(#REF!,#REF!,Planning[[#This Row],[Tipo de Tarea y especialidad]],#REF!,Planning[[#This Row],[Proyectos]]))</f>
        <v>#REF!</v>
      </c>
      <c r="K5576" s="5" t="e">
        <f>+Planning[[#This Row],[Horas Planificadas]]+Planning[[#This Row],[Horas ajustadas adicionales]]-Planning[[#This Row],[Horas utilizadas]]</f>
        <v>#REF!</v>
      </c>
      <c r="L5576" s="7" t="e">
        <f>Planning[[#This Row],[Saldo]]</f>
        <v>#REF!</v>
      </c>
      <c r="M5576" s="83" t="e">
        <f>Planning[[#This Row],[Saldo]]-Planning[[#This Row],[Saldo estimado]]</f>
        <v>#REF!</v>
      </c>
      <c r="N5576" s="60" t="e">
        <f>+SUMIFS(#REF!,#REF!,Planning[[#This Row],[Proyectos]],#REF!,Planning[[#This Row],[Tipo de Tarea y especialidad]])+SUMIFS(#REF!,#REF!,Planning[[#This Row],[Proyectos Reiwa]],#REF!,Planning[[#This Row],[Tipo de Tarea y especialidad]])</f>
        <v>#REF!</v>
      </c>
      <c r="O5576" s="83">
        <f t="shared" si="175"/>
        <v>10</v>
      </c>
      <c r="P5576" s="83">
        <f t="shared" si="176"/>
        <v>2024</v>
      </c>
      <c r="Q55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76" s="34" t="str">
        <f>TEXT(Planning[[#This Row],[Mes]]*29,"mmmm")</f>
        <v>October</v>
      </c>
      <c r="S557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76" s="102" t="s">
        <v>977</v>
      </c>
    </row>
    <row r="5577" spans="1:20" x14ac:dyDescent="0.2">
      <c r="A5577" s="9" t="s">
        <v>684</v>
      </c>
      <c r="B5577" s="9" t="s">
        <v>808</v>
      </c>
      <c r="C5577" s="3">
        <v>116979</v>
      </c>
      <c r="D5577" s="3" t="s">
        <v>27</v>
      </c>
      <c r="E5577" s="4"/>
      <c r="F5577" s="3" t="s">
        <v>124</v>
      </c>
      <c r="G5577" s="53">
        <v>200</v>
      </c>
      <c r="H5577" s="20">
        <v>200</v>
      </c>
      <c r="I5577" s="12"/>
      <c r="J5577" s="5" t="e">
        <f>SUM(SUMIFS(#REF!,#REF!,Planning[[#This Row],[Tipo de Tarea y especialidad]],#REF!,Planning[[#This Row],[Proyectos Reiwa]]),SUMIFS(#REF!,#REF!,Planning[[#This Row],[Tipo de Tarea y especialidad]],#REF!,Planning[[#This Row],[Proyectos]]))</f>
        <v>#REF!</v>
      </c>
      <c r="K5577" s="5" t="e">
        <f>+Planning[[#This Row],[Horas Planificadas]]+Planning[[#This Row],[Horas ajustadas adicionales]]-Planning[[#This Row],[Horas utilizadas]]</f>
        <v>#REF!</v>
      </c>
      <c r="L5577" s="7" t="e">
        <f>Planning[[#This Row],[Saldo]]</f>
        <v>#REF!</v>
      </c>
      <c r="M5577" s="83" t="e">
        <f>Planning[[#This Row],[Saldo]]-Planning[[#This Row],[Saldo estimado]]</f>
        <v>#REF!</v>
      </c>
      <c r="N5577" s="60" t="e">
        <f>+SUMIFS(#REF!,#REF!,Planning[[#This Row],[Proyectos]],#REF!,Planning[[#This Row],[Tipo de Tarea y especialidad]])+SUMIFS(#REF!,#REF!,Planning[[#This Row],[Proyectos Reiwa]],#REF!,Planning[[#This Row],[Tipo de Tarea y especialidad]])</f>
        <v>#REF!</v>
      </c>
      <c r="O5577" s="83">
        <f t="shared" si="175"/>
        <v>10</v>
      </c>
      <c r="P5577" s="83">
        <f t="shared" si="176"/>
        <v>2024</v>
      </c>
      <c r="Q55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77" s="34" t="str">
        <f>TEXT(Planning[[#This Row],[Mes]]*29,"mmmm")</f>
        <v>October</v>
      </c>
      <c r="S557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77" s="102" t="s">
        <v>978</v>
      </c>
    </row>
    <row r="5578" spans="1:20" x14ac:dyDescent="0.2">
      <c r="A5578" s="9" t="s">
        <v>684</v>
      </c>
      <c r="B5578" s="9" t="s">
        <v>808</v>
      </c>
      <c r="C5578" s="3">
        <v>116979</v>
      </c>
      <c r="D5578" s="3" t="s">
        <v>27</v>
      </c>
      <c r="E5578" s="4"/>
      <c r="F5578" s="3" t="s">
        <v>125</v>
      </c>
      <c r="G5578" s="53">
        <v>80</v>
      </c>
      <c r="H5578" s="20">
        <v>80</v>
      </c>
      <c r="I5578" s="12"/>
      <c r="J5578" s="5" t="e">
        <f>SUM(SUMIFS(#REF!,#REF!,Planning[[#This Row],[Tipo de Tarea y especialidad]],#REF!,Planning[[#This Row],[Proyectos Reiwa]]),SUMIFS(#REF!,#REF!,Planning[[#This Row],[Tipo de Tarea y especialidad]],#REF!,Planning[[#This Row],[Proyectos]]))</f>
        <v>#REF!</v>
      </c>
      <c r="K5578" s="5" t="e">
        <f>+Planning[[#This Row],[Horas Planificadas]]+Planning[[#This Row],[Horas ajustadas adicionales]]-Planning[[#This Row],[Horas utilizadas]]</f>
        <v>#REF!</v>
      </c>
      <c r="L5578" s="7" t="e">
        <f>Planning[[#This Row],[Saldo]]</f>
        <v>#REF!</v>
      </c>
      <c r="M5578" s="83" t="e">
        <f>Planning[[#This Row],[Saldo]]-Planning[[#This Row],[Saldo estimado]]</f>
        <v>#REF!</v>
      </c>
      <c r="N5578" s="60" t="e">
        <f>+SUMIFS(#REF!,#REF!,Planning[[#This Row],[Proyectos]],#REF!,Planning[[#This Row],[Tipo de Tarea y especialidad]])+SUMIFS(#REF!,#REF!,Planning[[#This Row],[Proyectos Reiwa]],#REF!,Planning[[#This Row],[Tipo de Tarea y especialidad]])</f>
        <v>#REF!</v>
      </c>
      <c r="O5578" s="83">
        <f t="shared" si="175"/>
        <v>10</v>
      </c>
      <c r="P5578" s="83">
        <f t="shared" si="176"/>
        <v>2024</v>
      </c>
      <c r="Q55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78" s="34" t="str">
        <f>TEXT(Planning[[#This Row],[Mes]]*29,"mmmm")</f>
        <v>October</v>
      </c>
      <c r="S557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78" s="102" t="s">
        <v>979</v>
      </c>
    </row>
    <row r="5579" spans="1:20" x14ac:dyDescent="0.2">
      <c r="A5579" s="9" t="s">
        <v>684</v>
      </c>
      <c r="B5579" s="9" t="s">
        <v>808</v>
      </c>
      <c r="C5579" s="3">
        <v>116979</v>
      </c>
      <c r="D5579" s="3" t="s">
        <v>27</v>
      </c>
      <c r="E5579" s="4"/>
      <c r="F5579" s="3" t="s">
        <v>126</v>
      </c>
      <c r="G5579" s="53">
        <v>90</v>
      </c>
      <c r="H5579" s="20">
        <v>90</v>
      </c>
      <c r="I5579" s="12"/>
      <c r="J5579" s="5" t="e">
        <f>SUM(SUMIFS(#REF!,#REF!,Planning[[#This Row],[Tipo de Tarea y especialidad]],#REF!,Planning[[#This Row],[Proyectos Reiwa]]),SUMIFS(#REF!,#REF!,Planning[[#This Row],[Tipo de Tarea y especialidad]],#REF!,Planning[[#This Row],[Proyectos]]))</f>
        <v>#REF!</v>
      </c>
      <c r="K5579" s="5" t="e">
        <f>+Planning[[#This Row],[Horas Planificadas]]+Planning[[#This Row],[Horas ajustadas adicionales]]-Planning[[#This Row],[Horas utilizadas]]</f>
        <v>#REF!</v>
      </c>
      <c r="L5579" s="7" t="e">
        <f>Planning[[#This Row],[Saldo]]</f>
        <v>#REF!</v>
      </c>
      <c r="M5579" s="83" t="e">
        <f>Planning[[#This Row],[Saldo]]-Planning[[#This Row],[Saldo estimado]]</f>
        <v>#REF!</v>
      </c>
      <c r="N5579" s="60" t="e">
        <f>+SUMIFS(#REF!,#REF!,Planning[[#This Row],[Proyectos]],#REF!,Planning[[#This Row],[Tipo de Tarea y especialidad]])+SUMIFS(#REF!,#REF!,Planning[[#This Row],[Proyectos Reiwa]],#REF!,Planning[[#This Row],[Tipo de Tarea y especialidad]])</f>
        <v>#REF!</v>
      </c>
      <c r="O5579" s="83">
        <f t="shared" si="175"/>
        <v>10</v>
      </c>
      <c r="P5579" s="83">
        <f t="shared" si="176"/>
        <v>2024</v>
      </c>
      <c r="Q55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79" s="34" t="str">
        <f>TEXT(Planning[[#This Row],[Mes]]*29,"mmmm")</f>
        <v>October</v>
      </c>
      <c r="S557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79" s="102" t="s">
        <v>980</v>
      </c>
    </row>
    <row r="5580" spans="1:20" x14ac:dyDescent="0.2">
      <c r="A5580" s="9" t="s">
        <v>684</v>
      </c>
      <c r="B5580" s="9" t="s">
        <v>808</v>
      </c>
      <c r="C5580" s="3">
        <v>116979</v>
      </c>
      <c r="D5580" s="3" t="s">
        <v>27</v>
      </c>
      <c r="E5580" s="4"/>
      <c r="F5580" s="3" t="s">
        <v>127</v>
      </c>
      <c r="G5580" s="53"/>
      <c r="H5580" s="20">
        <v>0</v>
      </c>
      <c r="I5580" s="12"/>
      <c r="J5580" s="5" t="e">
        <f>SUM(SUMIFS(#REF!,#REF!,Planning[[#This Row],[Tipo de Tarea y especialidad]],#REF!,Planning[[#This Row],[Proyectos Reiwa]]),SUMIFS(#REF!,#REF!,Planning[[#This Row],[Tipo de Tarea y especialidad]],#REF!,Planning[[#This Row],[Proyectos]]))</f>
        <v>#REF!</v>
      </c>
      <c r="K5580" s="5" t="e">
        <f>+Planning[[#This Row],[Horas Planificadas]]+Planning[[#This Row],[Horas ajustadas adicionales]]-Planning[[#This Row],[Horas utilizadas]]</f>
        <v>#REF!</v>
      </c>
      <c r="L5580" s="7" t="e">
        <f>Planning[[#This Row],[Saldo]]</f>
        <v>#REF!</v>
      </c>
      <c r="M5580" s="83" t="e">
        <f>Planning[[#This Row],[Saldo]]-Planning[[#This Row],[Saldo estimado]]</f>
        <v>#REF!</v>
      </c>
      <c r="N5580" s="60" t="e">
        <f>+SUMIFS(#REF!,#REF!,Planning[[#This Row],[Proyectos]],#REF!,Planning[[#This Row],[Tipo de Tarea y especialidad]])+SUMIFS(#REF!,#REF!,Planning[[#This Row],[Proyectos Reiwa]],#REF!,Planning[[#This Row],[Tipo de Tarea y especialidad]])</f>
        <v>#REF!</v>
      </c>
      <c r="O5580" s="83">
        <f t="shared" si="175"/>
        <v>10</v>
      </c>
      <c r="P5580" s="83">
        <f t="shared" si="176"/>
        <v>2024</v>
      </c>
      <c r="Q55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80" s="34" t="str">
        <f>TEXT(Planning[[#This Row],[Mes]]*29,"mmmm")</f>
        <v>October</v>
      </c>
      <c r="S558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80" s="102"/>
    </row>
    <row r="5581" spans="1:20" x14ac:dyDescent="0.2">
      <c r="A5581" s="9" t="s">
        <v>684</v>
      </c>
      <c r="B5581" s="9" t="s">
        <v>808</v>
      </c>
      <c r="C5581" s="3">
        <v>116979</v>
      </c>
      <c r="D5581" s="3" t="s">
        <v>27</v>
      </c>
      <c r="E5581" s="4"/>
      <c r="F5581" s="3" t="s">
        <v>128</v>
      </c>
      <c r="G5581" s="53">
        <v>100</v>
      </c>
      <c r="H5581" s="20">
        <v>100</v>
      </c>
      <c r="I5581" s="12"/>
      <c r="J5581" s="5" t="e">
        <f>SUM(SUMIFS(#REF!,#REF!,Planning[[#This Row],[Tipo de Tarea y especialidad]],#REF!,Planning[[#This Row],[Proyectos Reiwa]]),SUMIFS(#REF!,#REF!,Planning[[#This Row],[Tipo de Tarea y especialidad]],#REF!,Planning[[#This Row],[Proyectos]]))</f>
        <v>#REF!</v>
      </c>
      <c r="K5581" s="5" t="e">
        <f>+Planning[[#This Row],[Horas Planificadas]]+Planning[[#This Row],[Horas ajustadas adicionales]]-Planning[[#This Row],[Horas utilizadas]]</f>
        <v>#REF!</v>
      </c>
      <c r="L5581" s="7" t="e">
        <f>Planning[[#This Row],[Saldo]]</f>
        <v>#REF!</v>
      </c>
      <c r="M5581" s="83" t="e">
        <f>Planning[[#This Row],[Saldo]]-Planning[[#This Row],[Saldo estimado]]</f>
        <v>#REF!</v>
      </c>
      <c r="N5581" s="60" t="e">
        <f>+SUMIFS(#REF!,#REF!,Planning[[#This Row],[Proyectos]],#REF!,Planning[[#This Row],[Tipo de Tarea y especialidad]])+SUMIFS(#REF!,#REF!,Planning[[#This Row],[Proyectos Reiwa]],#REF!,Planning[[#This Row],[Tipo de Tarea y especialidad]])</f>
        <v>#REF!</v>
      </c>
      <c r="O5581" s="83">
        <f t="shared" si="175"/>
        <v>10</v>
      </c>
      <c r="P5581" s="83">
        <f t="shared" si="176"/>
        <v>2024</v>
      </c>
      <c r="Q55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81" s="34" t="str">
        <f>TEXT(Planning[[#This Row],[Mes]]*29,"mmmm")</f>
        <v>October</v>
      </c>
      <c r="S558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81" s="102"/>
    </row>
    <row r="5582" spans="1:20" x14ac:dyDescent="0.2">
      <c r="A5582" s="9" t="s">
        <v>684</v>
      </c>
      <c r="B5582" s="9" t="s">
        <v>808</v>
      </c>
      <c r="C5582" s="3">
        <v>116979</v>
      </c>
      <c r="D5582" s="3" t="s">
        <v>27</v>
      </c>
      <c r="E5582" s="4" t="s">
        <v>31</v>
      </c>
      <c r="F5582" s="3" t="s">
        <v>31</v>
      </c>
      <c r="G5582" s="53" t="s">
        <v>981</v>
      </c>
      <c r="H5582" s="92">
        <v>118</v>
      </c>
      <c r="I5582" s="18"/>
      <c r="J5582" s="14" t="e">
        <f>+SUMIFS(#REF!,#REF!,Planning[[#This Row],[Tarifa]],#REF!,Planning[[#This Row],[Proyectos]])</f>
        <v>#REF!</v>
      </c>
      <c r="K5582" s="14" t="e">
        <f>+Planning[[#This Row],[Horas Planificadas]]+Planning[[#This Row],[Horas ajustadas adicionales]]-Planning[[#This Row],[Horas utilizadas]]</f>
        <v>#REF!</v>
      </c>
      <c r="L5582" s="15" t="e">
        <f>Planning[[#This Row],[Saldo]]</f>
        <v>#REF!</v>
      </c>
      <c r="M5582" s="15" t="e">
        <f>Planning[[#This Row],[Saldo]]-Planning[[#This Row],[Saldo estimado]]</f>
        <v>#REF!</v>
      </c>
      <c r="N5582" s="60" t="e">
        <f>+SUMIFS(#REF!,#REF!,Planning[[#This Row],[Proyectos]],#REF!,Planning[[#This Row],[Tipo de Tarea y especialidad]])+SUMIFS(#REF!,#REF!,Planning[[#This Row],[Proyectos Reiwa]],#REF!,Planning[[#This Row],[Tipo de Tarea y especialidad]])</f>
        <v>#REF!</v>
      </c>
      <c r="O5582" s="83">
        <f t="shared" si="175"/>
        <v>10</v>
      </c>
      <c r="P5582" s="83">
        <f t="shared" si="176"/>
        <v>2024</v>
      </c>
      <c r="Q5582" s="16" t="e">
        <f>+SUMIFS(#REF!,#REF!,Planning[[#This Row],[Tarifa]],#REF!,Planning[[#This Row],[Proyectos]],#REF!,Planning[[#This Row],[Mes]],#REF!,Planning[[#This Row],[Año]])</f>
        <v>#REF!</v>
      </c>
      <c r="R5582" s="35" t="str">
        <f>TEXT(Planning[[#This Row],[Mes]]*29,"mmmm")</f>
        <v>October</v>
      </c>
      <c r="S558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82" s="102"/>
    </row>
    <row r="5583" spans="1:20" ht="22.5" x14ac:dyDescent="0.2">
      <c r="A5583" s="9" t="s">
        <v>684</v>
      </c>
      <c r="B5583" s="9" t="s">
        <v>808</v>
      </c>
      <c r="C5583" s="3">
        <v>116979</v>
      </c>
      <c r="D5583" s="3" t="s">
        <v>27</v>
      </c>
      <c r="E5583" s="4" t="s">
        <v>32</v>
      </c>
      <c r="F5583" s="3"/>
      <c r="G5583" s="53"/>
      <c r="H5583" s="14">
        <f>SUM(H5584:H5586)</f>
        <v>420</v>
      </c>
      <c r="I5583" s="18"/>
      <c r="J5583" s="14" t="e">
        <f>SUM(J5584:J5586)</f>
        <v>#REF!</v>
      </c>
      <c r="K5583" s="14" t="e">
        <f>+Planning[[#This Row],[Horas Planificadas]]+Planning[[#This Row],[Horas ajustadas adicionales]]-Planning[[#This Row],[Horas utilizadas]]</f>
        <v>#REF!</v>
      </c>
      <c r="L5583" s="15" t="e">
        <f>SUM(L5584:L5586)</f>
        <v>#REF!</v>
      </c>
      <c r="M5583" s="15" t="e">
        <f>Planning[[#This Row],[Saldo]]-Planning[[#This Row],[Saldo estimado]]</f>
        <v>#REF!</v>
      </c>
      <c r="N5583" s="60" t="e">
        <f>+SUMIFS(#REF!,#REF!,Planning[[#This Row],[Proyectos]],#REF!,Planning[[#This Row],[Tipo de Tarea y especialidad]])+SUMIFS(#REF!,#REF!,Planning[[#This Row],[Proyectos Reiwa]],#REF!,Planning[[#This Row],[Tipo de Tarea y especialidad]])</f>
        <v>#REF!</v>
      </c>
      <c r="O5583" s="83">
        <f t="shared" si="175"/>
        <v>10</v>
      </c>
      <c r="P5583" s="83">
        <f t="shared" si="176"/>
        <v>2024</v>
      </c>
      <c r="Q5583" s="16" t="e">
        <f>SUM(Q5584:Q5586)</f>
        <v>#REF!</v>
      </c>
      <c r="R5583" s="35" t="str">
        <f>TEXT(Planning[[#This Row],[Mes]]*29,"mmmm")</f>
        <v>October</v>
      </c>
      <c r="S558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83" s="102"/>
    </row>
    <row r="5584" spans="1:20" x14ac:dyDescent="0.2">
      <c r="A5584" s="9" t="s">
        <v>684</v>
      </c>
      <c r="B5584" s="9" t="s">
        <v>808</v>
      </c>
      <c r="C5584" s="3">
        <v>116979</v>
      </c>
      <c r="D5584" s="3" t="s">
        <v>27</v>
      </c>
      <c r="E5584" s="4"/>
      <c r="F5584" s="3" t="s">
        <v>129</v>
      </c>
      <c r="G5584" s="53"/>
      <c r="H5584" s="20">
        <v>0</v>
      </c>
      <c r="I5584" s="12"/>
      <c r="J5584" s="5" t="e">
        <f>SUM(SUMIFS(#REF!,#REF!,Planning[[#This Row],[Tipo de Tarea y especialidad]],#REF!,Planning[[#This Row],[Proyectos Reiwa]]),SUMIFS(#REF!,#REF!,Planning[[#This Row],[Tipo de Tarea y especialidad]],#REF!,Planning[[#This Row],[Proyectos]]))</f>
        <v>#REF!</v>
      </c>
      <c r="K5584" s="5" t="e">
        <f>+Planning[[#This Row],[Horas Planificadas]]+Planning[[#This Row],[Horas ajustadas adicionales]]-Planning[[#This Row],[Horas utilizadas]]</f>
        <v>#REF!</v>
      </c>
      <c r="L5584" s="7" t="e">
        <f>Planning[[#This Row],[Saldo]]</f>
        <v>#REF!</v>
      </c>
      <c r="M5584" s="83" t="e">
        <f>Planning[[#This Row],[Saldo]]-Planning[[#This Row],[Saldo estimado]]</f>
        <v>#REF!</v>
      </c>
      <c r="N5584" s="60" t="e">
        <f>+SUMIFS(#REF!,#REF!,Planning[[#This Row],[Proyectos]],#REF!,Planning[[#This Row],[Tipo de Tarea y especialidad]])+SUMIFS(#REF!,#REF!,Planning[[#This Row],[Proyectos Reiwa]],#REF!,Planning[[#This Row],[Tipo de Tarea y especialidad]])</f>
        <v>#REF!</v>
      </c>
      <c r="O5584" s="83">
        <f t="shared" si="175"/>
        <v>10</v>
      </c>
      <c r="P5584" s="83">
        <f t="shared" si="176"/>
        <v>2024</v>
      </c>
      <c r="Q55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84" s="34" t="str">
        <f>TEXT(Planning[[#This Row],[Mes]]*29,"mmmm")</f>
        <v>October</v>
      </c>
      <c r="S558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84" s="102"/>
    </row>
    <row r="5585" spans="1:20" x14ac:dyDescent="0.2">
      <c r="A5585" s="9" t="s">
        <v>684</v>
      </c>
      <c r="B5585" s="9" t="s">
        <v>808</v>
      </c>
      <c r="C5585" s="3">
        <v>116979</v>
      </c>
      <c r="D5585" s="3" t="s">
        <v>27</v>
      </c>
      <c r="E5585" s="4"/>
      <c r="F5585" s="3" t="s">
        <v>130</v>
      </c>
      <c r="G5585" s="53"/>
      <c r="H5585" s="20">
        <v>0</v>
      </c>
      <c r="I5585" s="12"/>
      <c r="J5585" s="5" t="e">
        <f>SUM(SUMIFS(#REF!,#REF!,Planning[[#This Row],[Tipo de Tarea y especialidad]],#REF!,Planning[[#This Row],[Proyectos Reiwa]]),SUMIFS(#REF!,#REF!,Planning[[#This Row],[Tipo de Tarea y especialidad]],#REF!,Planning[[#This Row],[Proyectos]]))</f>
        <v>#REF!</v>
      </c>
      <c r="K5585" s="5" t="e">
        <f>+Planning[[#This Row],[Horas Planificadas]]+Planning[[#This Row],[Horas ajustadas adicionales]]-Planning[[#This Row],[Horas utilizadas]]</f>
        <v>#REF!</v>
      </c>
      <c r="L5585" s="7" t="e">
        <f>Planning[[#This Row],[Saldo]]</f>
        <v>#REF!</v>
      </c>
      <c r="M5585" s="83" t="e">
        <f>Planning[[#This Row],[Saldo]]-Planning[[#This Row],[Saldo estimado]]</f>
        <v>#REF!</v>
      </c>
      <c r="N5585" s="60" t="e">
        <f>+SUMIFS(#REF!,#REF!,Planning[[#This Row],[Proyectos]],#REF!,Planning[[#This Row],[Tipo de Tarea y especialidad]])+SUMIFS(#REF!,#REF!,Planning[[#This Row],[Proyectos Reiwa]],#REF!,Planning[[#This Row],[Tipo de Tarea y especialidad]])</f>
        <v>#REF!</v>
      </c>
      <c r="O5585" s="83">
        <f t="shared" si="175"/>
        <v>10</v>
      </c>
      <c r="P5585" s="83">
        <f t="shared" si="176"/>
        <v>2024</v>
      </c>
      <c r="Q55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85" s="34" t="str">
        <f>TEXT(Planning[[#This Row],[Mes]]*29,"mmmm")</f>
        <v>October</v>
      </c>
      <c r="S558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85" s="102"/>
    </row>
    <row r="5586" spans="1:20" x14ac:dyDescent="0.2">
      <c r="A5586" s="9" t="s">
        <v>684</v>
      </c>
      <c r="B5586" s="9" t="s">
        <v>808</v>
      </c>
      <c r="C5586" s="3">
        <v>116979</v>
      </c>
      <c r="D5586" s="3" t="s">
        <v>27</v>
      </c>
      <c r="E5586" s="4"/>
      <c r="F5586" s="3" t="s">
        <v>131</v>
      </c>
      <c r="G5586" s="53" t="s">
        <v>982</v>
      </c>
      <c r="H5586" s="20">
        <v>420</v>
      </c>
      <c r="I5586" s="12"/>
      <c r="J5586" s="5" t="e">
        <f>SUM(SUMIFS(#REF!,#REF!,Planning[[#This Row],[Tipo de Tarea y especialidad]],#REF!,Planning[[#This Row],[Proyectos Reiwa]]),SUMIFS(#REF!,#REF!,Planning[[#This Row],[Tipo de Tarea y especialidad]],#REF!,Planning[[#This Row],[Proyectos]]))</f>
        <v>#REF!</v>
      </c>
      <c r="K5586" s="5" t="e">
        <f>+Planning[[#This Row],[Horas Planificadas]]+Planning[[#This Row],[Horas ajustadas adicionales]]-Planning[[#This Row],[Horas utilizadas]]</f>
        <v>#REF!</v>
      </c>
      <c r="L5586" s="7" t="e">
        <f>Planning[[#This Row],[Saldo]]</f>
        <v>#REF!</v>
      </c>
      <c r="M5586" s="19" t="e">
        <f>Planning[[#This Row],[Saldo]]-Planning[[#This Row],[Saldo estimado]]</f>
        <v>#REF!</v>
      </c>
      <c r="N5586" s="60" t="e">
        <f>+SUMIFS(#REF!,#REF!,Planning[[#This Row],[Proyectos]],#REF!,Planning[[#This Row],[Tipo de Tarea y especialidad]])+SUMIFS(#REF!,#REF!,Planning[[#This Row],[Proyectos Reiwa]],#REF!,Planning[[#This Row],[Tipo de Tarea y especialidad]])</f>
        <v>#REF!</v>
      </c>
      <c r="O5586" s="34">
        <f t="shared" si="175"/>
        <v>10</v>
      </c>
      <c r="P5586" s="34">
        <f t="shared" si="176"/>
        <v>2024</v>
      </c>
      <c r="Q55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86" s="34" t="str">
        <f>TEXT(Planning[[#This Row],[Mes]]*29,"mmmm")</f>
        <v>October</v>
      </c>
      <c r="S558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86" s="103"/>
    </row>
    <row r="5587" spans="1:20" ht="22.5" x14ac:dyDescent="0.2">
      <c r="A5587" s="9" t="s">
        <v>626</v>
      </c>
      <c r="B5587" s="9" t="s">
        <v>288</v>
      </c>
      <c r="C5587" s="3">
        <v>116798</v>
      </c>
      <c r="D5587" s="3" t="s">
        <v>983</v>
      </c>
      <c r="E5587" s="4" t="s">
        <v>28</v>
      </c>
      <c r="F5587" s="3"/>
      <c r="G5587" s="9"/>
      <c r="H5587" s="14">
        <f>SUM(H5588:H5589)</f>
        <v>180</v>
      </c>
      <c r="I5587" s="14"/>
      <c r="J5587" s="14" t="e">
        <f>SUM(J5588:J5589)</f>
        <v>#REF!</v>
      </c>
      <c r="K5587" s="14" t="e">
        <f>+Planning[[#This Row],[Horas Planificadas]]+Planning[[#This Row],[Horas ajustadas adicionales]]-Planning[[#This Row],[Horas utilizadas]]</f>
        <v>#REF!</v>
      </c>
      <c r="L5587" s="15">
        <f>SUM(L5588:L5589)</f>
        <v>180</v>
      </c>
      <c r="M5587" s="14" t="e">
        <f>SUM(M5588:M5589)</f>
        <v>#REF!</v>
      </c>
      <c r="N5587" s="60" t="e">
        <f>+SUMIFS(#REF!,#REF!,Planning[[#This Row],[Proyectos]],#REF!,Planning[[#This Row],[Tipo de Tarea y especialidad]])+SUMIFS(#REF!,#REF!,Planning[[#This Row],[Proyectos Reiwa]],#REF!,Planning[[#This Row],[Tipo de Tarea y especialidad]])</f>
        <v>#REF!</v>
      </c>
      <c r="O5587" s="14">
        <f t="shared" si="175"/>
        <v>10</v>
      </c>
      <c r="P5587" s="14">
        <f t="shared" si="176"/>
        <v>2024</v>
      </c>
      <c r="Q5587" s="28" t="e">
        <f>SUM(Q5588:Q5589)</f>
        <v>#REF!</v>
      </c>
      <c r="R5587" s="24" t="str">
        <f>TEXT(Planning[[#This Row],[Mes]]*29,"mmmm")</f>
        <v>October</v>
      </c>
      <c r="S558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87" s="151" t="s">
        <v>984</v>
      </c>
    </row>
    <row r="5588" spans="1:20" x14ac:dyDescent="0.2">
      <c r="A5588" s="9" t="s">
        <v>626</v>
      </c>
      <c r="B5588" s="9" t="s">
        <v>288</v>
      </c>
      <c r="C5588" s="3">
        <v>116798</v>
      </c>
      <c r="D5588" s="3" t="s">
        <v>983</v>
      </c>
      <c r="E5588" s="4"/>
      <c r="F5588" s="3" t="s">
        <v>120</v>
      </c>
      <c r="G5588" s="9">
        <v>135</v>
      </c>
      <c r="H5588" s="9">
        <v>135</v>
      </c>
      <c r="I5588" s="12"/>
      <c r="J5588" s="5" t="e">
        <f>SUM(SUMIFS(#REF!,#REF!,Planning[[#This Row],[Tipo de Tarea y especialidad]],#REF!,Planning[[#This Row],[Proyectos Reiwa]]),SUMIFS(#REF!,#REF!,Planning[[#This Row],[Tipo de Tarea y especialidad]],#REF!,Planning[[#This Row],[Proyectos]]))</f>
        <v>#REF!</v>
      </c>
      <c r="K5588" s="5" t="e">
        <f>+Planning[[#This Row],[Horas Planificadas]]+Planning[[#This Row],[Horas ajustadas adicionales]]-Planning[[#This Row],[Horas utilizadas]]</f>
        <v>#REF!</v>
      </c>
      <c r="L5588" s="7">
        <v>135</v>
      </c>
      <c r="M5588" s="19" t="e">
        <f>Planning[[#This Row],[Saldo]]-Planning[[#This Row],[Saldo estimado]]</f>
        <v>#REF!</v>
      </c>
      <c r="N5588" s="60" t="e">
        <f>+SUMIFS(#REF!,#REF!,Planning[[#This Row],[Proyectos]],#REF!,Planning[[#This Row],[Tipo de Tarea y especialidad]])+SUMIFS(#REF!,#REF!,Planning[[#This Row],[Proyectos Reiwa]],#REF!,Planning[[#This Row],[Tipo de Tarea y especialidad]])</f>
        <v>#REF!</v>
      </c>
      <c r="O5588" s="19">
        <f t="shared" si="175"/>
        <v>10</v>
      </c>
      <c r="P5588" s="19">
        <f t="shared" si="176"/>
        <v>2024</v>
      </c>
      <c r="Q55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88" s="49" t="str">
        <f>TEXT(Planning[[#This Row],[Mes]]*29,"mmmm")</f>
        <v>October</v>
      </c>
      <c r="S558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88" s="152"/>
    </row>
    <row r="5589" spans="1:20" x14ac:dyDescent="0.2">
      <c r="A5589" s="9" t="s">
        <v>626</v>
      </c>
      <c r="B5589" s="9" t="s">
        <v>288</v>
      </c>
      <c r="C5589" s="3">
        <v>116798</v>
      </c>
      <c r="D5589" s="3" t="s">
        <v>983</v>
      </c>
      <c r="E5589" s="4"/>
      <c r="F5589" s="3" t="s">
        <v>121</v>
      </c>
      <c r="G5589" s="9">
        <v>45</v>
      </c>
      <c r="H5589" s="9">
        <v>45</v>
      </c>
      <c r="I5589" s="12"/>
      <c r="J5589" s="5" t="e">
        <f>SUM(SUMIFS(#REF!,#REF!,Planning[[#This Row],[Tipo de Tarea y especialidad]],#REF!,Planning[[#This Row],[Proyectos Reiwa]]),SUMIFS(#REF!,#REF!,Planning[[#This Row],[Tipo de Tarea y especialidad]],#REF!,Planning[[#This Row],[Proyectos]]))</f>
        <v>#REF!</v>
      </c>
      <c r="K5589" s="5" t="e">
        <f>+Planning[[#This Row],[Horas Planificadas]]+Planning[[#This Row],[Horas ajustadas adicionales]]-Planning[[#This Row],[Horas utilizadas]]</f>
        <v>#REF!</v>
      </c>
      <c r="L5589" s="7">
        <v>45</v>
      </c>
      <c r="M5589" s="19" t="e">
        <f>Planning[[#This Row],[Saldo]]-Planning[[#This Row],[Saldo estimado]]</f>
        <v>#REF!</v>
      </c>
      <c r="N5589" s="60" t="e">
        <f>+SUMIFS(#REF!,#REF!,Planning[[#This Row],[Proyectos]],#REF!,Planning[[#This Row],[Tipo de Tarea y especialidad]])+SUMIFS(#REF!,#REF!,Planning[[#This Row],[Proyectos Reiwa]],#REF!,Planning[[#This Row],[Tipo de Tarea y especialidad]])</f>
        <v>#REF!</v>
      </c>
      <c r="O5589" s="19">
        <f t="shared" si="175"/>
        <v>10</v>
      </c>
      <c r="P5589" s="19">
        <f t="shared" si="176"/>
        <v>2024</v>
      </c>
      <c r="Q55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89" s="49" t="str">
        <f>TEXT(Planning[[#This Row],[Mes]]*29,"mmmm")</f>
        <v>October</v>
      </c>
      <c r="S558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89" s="152"/>
    </row>
    <row r="5590" spans="1:20" x14ac:dyDescent="0.2">
      <c r="A5590" s="9" t="s">
        <v>626</v>
      </c>
      <c r="B5590" s="9" t="s">
        <v>288</v>
      </c>
      <c r="C5590" s="3">
        <v>116798</v>
      </c>
      <c r="D5590" s="3" t="s">
        <v>983</v>
      </c>
      <c r="E5590" s="4" t="s">
        <v>30</v>
      </c>
      <c r="F5590" s="3"/>
      <c r="G5590" s="9"/>
      <c r="H5590" s="14">
        <f>SUM(H5591:H5597)</f>
        <v>380</v>
      </c>
      <c r="I5590" s="14"/>
      <c r="J5590" s="14" t="e">
        <f>SUM(J5591:J5597)</f>
        <v>#REF!</v>
      </c>
      <c r="K5590" s="14" t="e">
        <f>+Planning[[#This Row],[Horas Planificadas]]+Planning[[#This Row],[Horas ajustadas adicionales]]-Planning[[#This Row],[Horas utilizadas]]</f>
        <v>#REF!</v>
      </c>
      <c r="L5590" s="15">
        <f>SUM(L5591:L5597)</f>
        <v>380</v>
      </c>
      <c r="M5590" s="16" t="e">
        <f>SUM(M5591:M5597)</f>
        <v>#REF!</v>
      </c>
      <c r="N5590" s="60" t="e">
        <f>+SUMIFS(#REF!,#REF!,Planning[[#This Row],[Proyectos]],#REF!,Planning[[#This Row],[Tipo de Tarea y especialidad]])+SUMIFS(#REF!,#REF!,Planning[[#This Row],[Proyectos Reiwa]],#REF!,Planning[[#This Row],[Tipo de Tarea y especialidad]])</f>
        <v>#REF!</v>
      </c>
      <c r="O5590" s="16">
        <f t="shared" si="175"/>
        <v>10</v>
      </c>
      <c r="P5590" s="16">
        <f t="shared" si="176"/>
        <v>2024</v>
      </c>
      <c r="Q5590" s="16" t="e">
        <f>SUM(Q5591:Q5597)</f>
        <v>#REF!</v>
      </c>
      <c r="R5590" s="50" t="str">
        <f>TEXT(Planning[[#This Row],[Mes]]*29,"mmmm")</f>
        <v>October</v>
      </c>
      <c r="S559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90" s="152"/>
    </row>
    <row r="5591" spans="1:20" x14ac:dyDescent="0.2">
      <c r="A5591" s="9" t="s">
        <v>626</v>
      </c>
      <c r="B5591" s="9" t="s">
        <v>288</v>
      </c>
      <c r="C5591" s="3">
        <v>116798</v>
      </c>
      <c r="D5591" s="3" t="s">
        <v>983</v>
      </c>
      <c r="E5591" s="4"/>
      <c r="F5591" s="3" t="s">
        <v>122</v>
      </c>
      <c r="G5591" s="9"/>
      <c r="H5591" s="9"/>
      <c r="I5591" s="12"/>
      <c r="J5591" s="5" t="e">
        <f>SUM(SUMIFS(#REF!,#REF!,Planning[[#This Row],[Tipo de Tarea y especialidad]],#REF!,Planning[[#This Row],[Proyectos Reiwa]]),SUMIFS(#REF!,#REF!,Planning[[#This Row],[Tipo de Tarea y especialidad]],#REF!,Planning[[#This Row],[Proyectos]]))</f>
        <v>#REF!</v>
      </c>
      <c r="K5591" s="5" t="e">
        <f>+Planning[[#This Row],[Horas Planificadas]]+Planning[[#This Row],[Horas ajustadas adicionales]]-Planning[[#This Row],[Horas utilizadas]]</f>
        <v>#REF!</v>
      </c>
      <c r="L5591" s="7">
        <v>0</v>
      </c>
      <c r="M5591" s="19" t="e">
        <f>Planning[[#This Row],[Saldo]]-Planning[[#This Row],[Saldo estimado]]</f>
        <v>#REF!</v>
      </c>
      <c r="N5591" s="60" t="e">
        <f>+SUMIFS(#REF!,#REF!,Planning[[#This Row],[Proyectos]],#REF!,Planning[[#This Row],[Tipo de Tarea y especialidad]])+SUMIFS(#REF!,#REF!,Planning[[#This Row],[Proyectos Reiwa]],#REF!,Planning[[#This Row],[Tipo de Tarea y especialidad]])</f>
        <v>#REF!</v>
      </c>
      <c r="O5591" s="19">
        <f t="shared" si="175"/>
        <v>10</v>
      </c>
      <c r="P5591" s="19">
        <f t="shared" si="176"/>
        <v>2024</v>
      </c>
      <c r="Q55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91" s="49" t="str">
        <f>TEXT(Planning[[#This Row],[Mes]]*29,"mmmm")</f>
        <v>October</v>
      </c>
      <c r="S559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91" s="152"/>
    </row>
    <row r="5592" spans="1:20" x14ac:dyDescent="0.2">
      <c r="A5592" s="9" t="s">
        <v>626</v>
      </c>
      <c r="B5592" s="9" t="s">
        <v>288</v>
      </c>
      <c r="C5592" s="3">
        <v>116798</v>
      </c>
      <c r="D5592" s="3" t="s">
        <v>983</v>
      </c>
      <c r="E5592" s="4"/>
      <c r="F5592" s="3" t="s">
        <v>123</v>
      </c>
      <c r="G5592" s="9"/>
      <c r="H5592" s="9"/>
      <c r="I5592" s="12"/>
      <c r="J5592" s="5" t="e">
        <f>SUM(SUMIFS(#REF!,#REF!,Planning[[#This Row],[Tipo de Tarea y especialidad]],#REF!,Planning[[#This Row],[Proyectos Reiwa]]),SUMIFS(#REF!,#REF!,Planning[[#This Row],[Tipo de Tarea y especialidad]],#REF!,Planning[[#This Row],[Proyectos]]))</f>
        <v>#REF!</v>
      </c>
      <c r="K5592" s="5" t="e">
        <f>+Planning[[#This Row],[Horas Planificadas]]+Planning[[#This Row],[Horas ajustadas adicionales]]-Planning[[#This Row],[Horas utilizadas]]</f>
        <v>#REF!</v>
      </c>
      <c r="L5592" s="7">
        <v>0</v>
      </c>
      <c r="M5592" s="19" t="e">
        <f>Planning[[#This Row],[Saldo]]-Planning[[#This Row],[Saldo estimado]]</f>
        <v>#REF!</v>
      </c>
      <c r="N5592" s="60" t="e">
        <f>+SUMIFS(#REF!,#REF!,Planning[[#This Row],[Proyectos]],#REF!,Planning[[#This Row],[Tipo de Tarea y especialidad]])+SUMIFS(#REF!,#REF!,Planning[[#This Row],[Proyectos Reiwa]],#REF!,Planning[[#This Row],[Tipo de Tarea y especialidad]])</f>
        <v>#REF!</v>
      </c>
      <c r="O5592" s="19">
        <f t="shared" si="175"/>
        <v>10</v>
      </c>
      <c r="P5592" s="19">
        <f t="shared" si="176"/>
        <v>2024</v>
      </c>
      <c r="Q55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92" s="49" t="str">
        <f>TEXT(Planning[[#This Row],[Mes]]*29,"mmmm")</f>
        <v>October</v>
      </c>
      <c r="S559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92" s="152"/>
    </row>
    <row r="5593" spans="1:20" x14ac:dyDescent="0.2">
      <c r="A5593" s="9" t="s">
        <v>626</v>
      </c>
      <c r="B5593" s="9" t="s">
        <v>288</v>
      </c>
      <c r="C5593" s="3">
        <v>116798</v>
      </c>
      <c r="D5593" s="3" t="s">
        <v>983</v>
      </c>
      <c r="E5593" s="4"/>
      <c r="F5593" s="3" t="s">
        <v>124</v>
      </c>
      <c r="G5593" s="9">
        <v>180</v>
      </c>
      <c r="H5593" s="9">
        <v>180</v>
      </c>
      <c r="I5593" s="12"/>
      <c r="J5593" s="5" t="e">
        <f>SUM(SUMIFS(#REF!,#REF!,Planning[[#This Row],[Tipo de Tarea y especialidad]],#REF!,Planning[[#This Row],[Proyectos Reiwa]]),SUMIFS(#REF!,#REF!,Planning[[#This Row],[Tipo de Tarea y especialidad]],#REF!,Planning[[#This Row],[Proyectos]]))</f>
        <v>#REF!</v>
      </c>
      <c r="K5593" s="5" t="e">
        <f>+Planning[[#This Row],[Horas Planificadas]]+Planning[[#This Row],[Horas ajustadas adicionales]]-Planning[[#This Row],[Horas utilizadas]]</f>
        <v>#REF!</v>
      </c>
      <c r="L5593" s="7">
        <v>180</v>
      </c>
      <c r="M5593" s="19" t="e">
        <f>Planning[[#This Row],[Saldo]]-Planning[[#This Row],[Saldo estimado]]</f>
        <v>#REF!</v>
      </c>
      <c r="N5593" s="60" t="e">
        <f>+SUMIFS(#REF!,#REF!,Planning[[#This Row],[Proyectos]],#REF!,Planning[[#This Row],[Tipo de Tarea y especialidad]])+SUMIFS(#REF!,#REF!,Planning[[#This Row],[Proyectos Reiwa]],#REF!,Planning[[#This Row],[Tipo de Tarea y especialidad]])</f>
        <v>#REF!</v>
      </c>
      <c r="O5593" s="19">
        <f t="shared" si="175"/>
        <v>10</v>
      </c>
      <c r="P5593" s="19">
        <f t="shared" si="176"/>
        <v>2024</v>
      </c>
      <c r="Q55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93" s="49" t="str">
        <f>TEXT(Planning[[#This Row],[Mes]]*29,"mmmm")</f>
        <v>October</v>
      </c>
      <c r="S559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93" s="152"/>
    </row>
    <row r="5594" spans="1:20" x14ac:dyDescent="0.2">
      <c r="A5594" s="9" t="s">
        <v>626</v>
      </c>
      <c r="B5594" s="9" t="s">
        <v>288</v>
      </c>
      <c r="C5594" s="3">
        <v>116798</v>
      </c>
      <c r="D5594" s="3" t="s">
        <v>983</v>
      </c>
      <c r="E5594" s="4"/>
      <c r="F5594" s="3" t="s">
        <v>125</v>
      </c>
      <c r="G5594" s="9">
        <v>80</v>
      </c>
      <c r="H5594" s="9">
        <v>80</v>
      </c>
      <c r="I5594" s="12"/>
      <c r="J5594" s="5" t="e">
        <f>SUM(SUMIFS(#REF!,#REF!,Planning[[#This Row],[Tipo de Tarea y especialidad]],#REF!,Planning[[#This Row],[Proyectos Reiwa]]),SUMIFS(#REF!,#REF!,Planning[[#This Row],[Tipo de Tarea y especialidad]],#REF!,Planning[[#This Row],[Proyectos]]))</f>
        <v>#REF!</v>
      </c>
      <c r="K5594" s="5" t="e">
        <f>+Planning[[#This Row],[Horas Planificadas]]+Planning[[#This Row],[Horas ajustadas adicionales]]-Planning[[#This Row],[Horas utilizadas]]</f>
        <v>#REF!</v>
      </c>
      <c r="L5594" s="7">
        <v>80</v>
      </c>
      <c r="M5594" s="19" t="e">
        <f>Planning[[#This Row],[Saldo]]-Planning[[#This Row],[Saldo estimado]]</f>
        <v>#REF!</v>
      </c>
      <c r="N5594" s="60" t="e">
        <f>+SUMIFS(#REF!,#REF!,Planning[[#This Row],[Proyectos]],#REF!,Planning[[#This Row],[Tipo de Tarea y especialidad]])+SUMIFS(#REF!,#REF!,Planning[[#This Row],[Proyectos Reiwa]],#REF!,Planning[[#This Row],[Tipo de Tarea y especialidad]])</f>
        <v>#REF!</v>
      </c>
      <c r="O5594" s="19">
        <f t="shared" si="175"/>
        <v>10</v>
      </c>
      <c r="P5594" s="19">
        <f t="shared" si="176"/>
        <v>2024</v>
      </c>
      <c r="Q55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94" s="49" t="str">
        <f>TEXT(Planning[[#This Row],[Mes]]*29,"mmmm")</f>
        <v>October</v>
      </c>
      <c r="S559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94" s="152"/>
    </row>
    <row r="5595" spans="1:20" x14ac:dyDescent="0.2">
      <c r="A5595" s="9" t="s">
        <v>626</v>
      </c>
      <c r="B5595" s="9" t="s">
        <v>288</v>
      </c>
      <c r="C5595" s="3">
        <v>116798</v>
      </c>
      <c r="D5595" s="3" t="s">
        <v>983</v>
      </c>
      <c r="E5595" s="4"/>
      <c r="F5595" s="3" t="s">
        <v>126</v>
      </c>
      <c r="G5595" s="9"/>
      <c r="H5595" s="9"/>
      <c r="I5595" s="12"/>
      <c r="J5595" s="5" t="e">
        <f>SUM(SUMIFS(#REF!,#REF!,Planning[[#This Row],[Tipo de Tarea y especialidad]],#REF!,Planning[[#This Row],[Proyectos Reiwa]]),SUMIFS(#REF!,#REF!,Planning[[#This Row],[Tipo de Tarea y especialidad]],#REF!,Planning[[#This Row],[Proyectos]]))</f>
        <v>#REF!</v>
      </c>
      <c r="K5595" s="5" t="e">
        <f>+Planning[[#This Row],[Horas Planificadas]]+Planning[[#This Row],[Horas ajustadas adicionales]]-Planning[[#This Row],[Horas utilizadas]]</f>
        <v>#REF!</v>
      </c>
      <c r="L5595" s="7">
        <v>0</v>
      </c>
      <c r="M5595" s="19" t="e">
        <f>Planning[[#This Row],[Saldo]]-Planning[[#This Row],[Saldo estimado]]</f>
        <v>#REF!</v>
      </c>
      <c r="N5595" s="60" t="e">
        <f>+SUMIFS(#REF!,#REF!,Planning[[#This Row],[Proyectos]],#REF!,Planning[[#This Row],[Tipo de Tarea y especialidad]])+SUMIFS(#REF!,#REF!,Planning[[#This Row],[Proyectos Reiwa]],#REF!,Planning[[#This Row],[Tipo de Tarea y especialidad]])</f>
        <v>#REF!</v>
      </c>
      <c r="O5595" s="19">
        <f t="shared" si="175"/>
        <v>10</v>
      </c>
      <c r="P5595" s="19">
        <f t="shared" si="176"/>
        <v>2024</v>
      </c>
      <c r="Q55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95" s="49" t="str">
        <f>TEXT(Planning[[#This Row],[Mes]]*29,"mmmm")</f>
        <v>October</v>
      </c>
      <c r="S559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95" s="152"/>
    </row>
    <row r="5596" spans="1:20" x14ac:dyDescent="0.2">
      <c r="A5596" s="9" t="s">
        <v>626</v>
      </c>
      <c r="B5596" s="9" t="s">
        <v>288</v>
      </c>
      <c r="C5596" s="3">
        <v>116798</v>
      </c>
      <c r="D5596" s="3" t="s">
        <v>983</v>
      </c>
      <c r="E5596" s="4"/>
      <c r="F5596" s="3" t="s">
        <v>127</v>
      </c>
      <c r="G5596" s="9"/>
      <c r="H5596" s="9"/>
      <c r="I5596" s="12"/>
      <c r="J5596" s="5" t="e">
        <f>SUM(SUMIFS(#REF!,#REF!,Planning[[#This Row],[Tipo de Tarea y especialidad]],#REF!,Planning[[#This Row],[Proyectos Reiwa]]),SUMIFS(#REF!,#REF!,Planning[[#This Row],[Tipo de Tarea y especialidad]],#REF!,Planning[[#This Row],[Proyectos]]))</f>
        <v>#REF!</v>
      </c>
      <c r="K5596" s="5" t="e">
        <f>+Planning[[#This Row],[Horas Planificadas]]+Planning[[#This Row],[Horas ajustadas adicionales]]-Planning[[#This Row],[Horas utilizadas]]</f>
        <v>#REF!</v>
      </c>
      <c r="L5596" s="7">
        <v>0</v>
      </c>
      <c r="M5596" s="19" t="e">
        <f>Planning[[#This Row],[Saldo]]-Planning[[#This Row],[Saldo estimado]]</f>
        <v>#REF!</v>
      </c>
      <c r="N5596" s="60" t="e">
        <f>+SUMIFS(#REF!,#REF!,Planning[[#This Row],[Proyectos]],#REF!,Planning[[#This Row],[Tipo de Tarea y especialidad]])+SUMIFS(#REF!,#REF!,Planning[[#This Row],[Proyectos Reiwa]],#REF!,Planning[[#This Row],[Tipo de Tarea y especialidad]])</f>
        <v>#REF!</v>
      </c>
      <c r="O5596" s="19">
        <f t="shared" si="175"/>
        <v>10</v>
      </c>
      <c r="P5596" s="19">
        <f t="shared" si="176"/>
        <v>2024</v>
      </c>
      <c r="Q55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96" s="49" t="str">
        <f>TEXT(Planning[[#This Row],[Mes]]*29,"mmmm")</f>
        <v>October</v>
      </c>
      <c r="S559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96" s="152"/>
    </row>
    <row r="5597" spans="1:20" x14ac:dyDescent="0.2">
      <c r="A5597" s="9" t="s">
        <v>626</v>
      </c>
      <c r="B5597" s="9" t="s">
        <v>288</v>
      </c>
      <c r="C5597" s="3">
        <v>116798</v>
      </c>
      <c r="D5597" s="3" t="s">
        <v>983</v>
      </c>
      <c r="E5597" s="4"/>
      <c r="F5597" s="3" t="s">
        <v>128</v>
      </c>
      <c r="G5597" s="9">
        <v>120</v>
      </c>
      <c r="H5597" s="9">
        <v>120</v>
      </c>
      <c r="I5597" s="12"/>
      <c r="J5597" s="5" t="e">
        <f>SUM(SUMIFS(#REF!,#REF!,Planning[[#This Row],[Tipo de Tarea y especialidad]],#REF!,Planning[[#This Row],[Proyectos Reiwa]]),SUMIFS(#REF!,#REF!,Planning[[#This Row],[Tipo de Tarea y especialidad]],#REF!,Planning[[#This Row],[Proyectos]]))</f>
        <v>#REF!</v>
      </c>
      <c r="K5597" s="5" t="e">
        <f>+Planning[[#This Row],[Horas Planificadas]]+Planning[[#This Row],[Horas ajustadas adicionales]]-Planning[[#This Row],[Horas utilizadas]]</f>
        <v>#REF!</v>
      </c>
      <c r="L5597" s="7">
        <v>120</v>
      </c>
      <c r="M5597" s="19" t="e">
        <f>Planning[[#This Row],[Saldo]]-Planning[[#This Row],[Saldo estimado]]</f>
        <v>#REF!</v>
      </c>
      <c r="N5597" s="60" t="e">
        <f>+SUMIFS(#REF!,#REF!,Planning[[#This Row],[Proyectos]],#REF!,Planning[[#This Row],[Tipo de Tarea y especialidad]])+SUMIFS(#REF!,#REF!,Planning[[#This Row],[Proyectos Reiwa]],#REF!,Planning[[#This Row],[Tipo de Tarea y especialidad]])</f>
        <v>#REF!</v>
      </c>
      <c r="O5597" s="19">
        <f t="shared" si="175"/>
        <v>10</v>
      </c>
      <c r="P5597" s="19">
        <f t="shared" si="176"/>
        <v>2024</v>
      </c>
      <c r="Q55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597" s="49" t="str">
        <f>TEXT(Planning[[#This Row],[Mes]]*29,"mmmm")</f>
        <v>October</v>
      </c>
      <c r="S559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97" s="152"/>
    </row>
    <row r="5598" spans="1:20" x14ac:dyDescent="0.2">
      <c r="A5598" s="9" t="s">
        <v>626</v>
      </c>
      <c r="B5598" s="9" t="s">
        <v>288</v>
      </c>
      <c r="C5598" s="3">
        <v>116798</v>
      </c>
      <c r="D5598" s="3" t="s">
        <v>983</v>
      </c>
      <c r="E5598" s="4" t="s">
        <v>31</v>
      </c>
      <c r="F5598" s="3" t="s">
        <v>31</v>
      </c>
      <c r="G5598" s="9"/>
      <c r="H5598" s="17"/>
      <c r="I5598" s="18"/>
      <c r="J5598" s="14" t="e">
        <f>+SUMIFS(#REF!,#REF!,Planning[[#This Row],[Tarifa]],#REF!,Planning[[#This Row],[Proyectos]])</f>
        <v>#REF!</v>
      </c>
      <c r="K5598" s="14" t="e">
        <f>+Planning[[#This Row],[Horas Planificadas]]+Planning[[#This Row],[Horas ajustadas adicionales]]-Planning[[#This Row],[Horas utilizadas]]</f>
        <v>#REF!</v>
      </c>
      <c r="L5598" s="15" t="e">
        <f>Planning[[#This Row],[Saldo]]</f>
        <v>#REF!</v>
      </c>
      <c r="M5598" s="16" t="e">
        <f>Planning[[#This Row],[Saldo]]-Planning[[#This Row],[Saldo estimado]]</f>
        <v>#REF!</v>
      </c>
      <c r="N5598" s="60" t="e">
        <f>+SUMIFS(#REF!,#REF!,Planning[[#This Row],[Proyectos]],#REF!,Planning[[#This Row],[Tipo de Tarea y especialidad]])+SUMIFS(#REF!,#REF!,Planning[[#This Row],[Proyectos Reiwa]],#REF!,Planning[[#This Row],[Tipo de Tarea y especialidad]])</f>
        <v>#REF!</v>
      </c>
      <c r="O5598" s="16">
        <f t="shared" si="175"/>
        <v>10</v>
      </c>
      <c r="P5598" s="16">
        <f t="shared" si="176"/>
        <v>2024</v>
      </c>
      <c r="Q5598" s="16" t="e">
        <f>+SUMIFS(#REF!,#REF!,Planning[[#This Row],[Tarifa]],#REF!,Planning[[#This Row],[Proyectos]],#REF!,Planning[[#This Row],[Mes]],#REF!,Planning[[#This Row],[Año]])</f>
        <v>#REF!</v>
      </c>
      <c r="R5598" s="50" t="str">
        <f>TEXT(Planning[[#This Row],[Mes]]*29,"mmmm")</f>
        <v>October</v>
      </c>
      <c r="S559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98" s="152"/>
    </row>
    <row r="5599" spans="1:20" ht="22.5" x14ac:dyDescent="0.2">
      <c r="A5599" s="9" t="s">
        <v>626</v>
      </c>
      <c r="B5599" s="9" t="s">
        <v>288</v>
      </c>
      <c r="C5599" s="3">
        <v>116798</v>
      </c>
      <c r="D5599" s="3" t="s">
        <v>983</v>
      </c>
      <c r="E5599" s="4" t="s">
        <v>32</v>
      </c>
      <c r="F5599" s="3"/>
      <c r="G5599" s="9"/>
      <c r="H5599" s="14">
        <f>SUM(H5600:H5602)</f>
        <v>180</v>
      </c>
      <c r="I5599" s="14"/>
      <c r="J5599" s="14" t="e">
        <f>SUM(J5600:J5602)</f>
        <v>#REF!</v>
      </c>
      <c r="K5599" s="14" t="e">
        <f>+Planning[[#This Row],[Horas Planificadas]]+Planning[[#This Row],[Horas ajustadas adicionales]]-Planning[[#This Row],[Horas utilizadas]]</f>
        <v>#REF!</v>
      </c>
      <c r="L5599" s="15">
        <f>SUM(L5600:L5602)</f>
        <v>180</v>
      </c>
      <c r="M5599" s="16" t="e">
        <f>SUM(M5600:M5602)</f>
        <v>#REF!</v>
      </c>
      <c r="N5599" s="60" t="e">
        <f>+SUMIFS(#REF!,#REF!,Planning[[#This Row],[Proyectos]],#REF!,Planning[[#This Row],[Tipo de Tarea y especialidad]])+SUMIFS(#REF!,#REF!,Planning[[#This Row],[Proyectos Reiwa]],#REF!,Planning[[#This Row],[Tipo de Tarea y especialidad]])</f>
        <v>#REF!</v>
      </c>
      <c r="O5599" s="16">
        <f t="shared" si="175"/>
        <v>10</v>
      </c>
      <c r="P5599" s="16">
        <f t="shared" si="176"/>
        <v>2024</v>
      </c>
      <c r="Q5599" s="16" t="e">
        <f>SUM(Q5600:Q5602)</f>
        <v>#REF!</v>
      </c>
      <c r="R5599" s="50" t="str">
        <f>TEXT(Planning[[#This Row],[Mes]]*29,"mmmm")</f>
        <v>October</v>
      </c>
      <c r="S559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599" s="152"/>
    </row>
    <row r="5600" spans="1:20" x14ac:dyDescent="0.2">
      <c r="A5600" s="9" t="s">
        <v>626</v>
      </c>
      <c r="B5600" s="9" t="s">
        <v>288</v>
      </c>
      <c r="C5600" s="3">
        <v>116798</v>
      </c>
      <c r="D5600" s="3" t="s">
        <v>983</v>
      </c>
      <c r="E5600" s="4"/>
      <c r="F5600" s="3" t="s">
        <v>129</v>
      </c>
      <c r="G5600" s="9"/>
      <c r="H5600" s="9"/>
      <c r="I5600" s="12"/>
      <c r="J5600" s="5" t="e">
        <f>SUM(SUMIFS(#REF!,#REF!,Planning[[#This Row],[Tipo de Tarea y especialidad]],#REF!,Planning[[#This Row],[Proyectos Reiwa]]),SUMIFS(#REF!,#REF!,Planning[[#This Row],[Tipo de Tarea y especialidad]],#REF!,Planning[[#This Row],[Proyectos]]))</f>
        <v>#REF!</v>
      </c>
      <c r="K5600" s="5" t="e">
        <f>+Planning[[#This Row],[Horas Planificadas]]+Planning[[#This Row],[Horas ajustadas adicionales]]-Planning[[#This Row],[Horas utilizadas]]</f>
        <v>#REF!</v>
      </c>
      <c r="L5600" s="7">
        <v>0</v>
      </c>
      <c r="M5600" s="19" t="e">
        <f>Planning[[#This Row],[Saldo]]-Planning[[#This Row],[Saldo estimado]]</f>
        <v>#REF!</v>
      </c>
      <c r="N5600" s="60" t="e">
        <f>+SUMIFS(#REF!,#REF!,Planning[[#This Row],[Proyectos]],#REF!,Planning[[#This Row],[Tipo de Tarea y especialidad]])+SUMIFS(#REF!,#REF!,Planning[[#This Row],[Proyectos Reiwa]],#REF!,Planning[[#This Row],[Tipo de Tarea y especialidad]])</f>
        <v>#REF!</v>
      </c>
      <c r="O5600" s="19">
        <f t="shared" si="175"/>
        <v>10</v>
      </c>
      <c r="P5600" s="19">
        <f t="shared" si="176"/>
        <v>2024</v>
      </c>
      <c r="Q56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00" s="49" t="str">
        <f>TEXT(Planning[[#This Row],[Mes]]*29,"mmmm")</f>
        <v>October</v>
      </c>
      <c r="S560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00" s="152"/>
    </row>
    <row r="5601" spans="1:20" x14ac:dyDescent="0.2">
      <c r="A5601" s="9" t="s">
        <v>626</v>
      </c>
      <c r="B5601" s="9" t="s">
        <v>288</v>
      </c>
      <c r="C5601" s="3">
        <v>116798</v>
      </c>
      <c r="D5601" s="3" t="s">
        <v>983</v>
      </c>
      <c r="E5601" s="4"/>
      <c r="F5601" s="3" t="s">
        <v>130</v>
      </c>
      <c r="G5601" s="9"/>
      <c r="H5601" s="9"/>
      <c r="I5601" s="12"/>
      <c r="J5601" s="5" t="e">
        <f>SUM(SUMIFS(#REF!,#REF!,Planning[[#This Row],[Tipo de Tarea y especialidad]],#REF!,Planning[[#This Row],[Proyectos Reiwa]]),SUMIFS(#REF!,#REF!,Planning[[#This Row],[Tipo de Tarea y especialidad]],#REF!,Planning[[#This Row],[Proyectos]]))</f>
        <v>#REF!</v>
      </c>
      <c r="K5601" s="5" t="e">
        <f>+Planning[[#This Row],[Horas Planificadas]]+Planning[[#This Row],[Horas ajustadas adicionales]]-Planning[[#This Row],[Horas utilizadas]]</f>
        <v>#REF!</v>
      </c>
      <c r="L5601" s="7">
        <v>0</v>
      </c>
      <c r="M5601" s="19" t="e">
        <f>Planning[[#This Row],[Saldo]]-Planning[[#This Row],[Saldo estimado]]</f>
        <v>#REF!</v>
      </c>
      <c r="N5601" s="60" t="e">
        <f>+SUMIFS(#REF!,#REF!,Planning[[#This Row],[Proyectos]],#REF!,Planning[[#This Row],[Tipo de Tarea y especialidad]])+SUMIFS(#REF!,#REF!,Planning[[#This Row],[Proyectos Reiwa]],#REF!,Planning[[#This Row],[Tipo de Tarea y especialidad]])</f>
        <v>#REF!</v>
      </c>
      <c r="O5601" s="19">
        <f t="shared" si="175"/>
        <v>10</v>
      </c>
      <c r="P5601" s="19">
        <f t="shared" si="176"/>
        <v>2024</v>
      </c>
      <c r="Q56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01" s="49" t="str">
        <f>TEXT(Planning[[#This Row],[Mes]]*29,"mmmm")</f>
        <v>October</v>
      </c>
      <c r="S560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01" s="152"/>
    </row>
    <row r="5602" spans="1:20" ht="14.1" customHeight="1" x14ac:dyDescent="0.2">
      <c r="A5602" s="9" t="s">
        <v>626</v>
      </c>
      <c r="B5602" s="9" t="s">
        <v>288</v>
      </c>
      <c r="C5602" s="3">
        <v>116798</v>
      </c>
      <c r="D5602" s="3" t="s">
        <v>983</v>
      </c>
      <c r="E5602" s="4"/>
      <c r="F5602" s="3" t="s">
        <v>131</v>
      </c>
      <c r="G5602" s="9">
        <v>180</v>
      </c>
      <c r="H5602" s="9">
        <v>180</v>
      </c>
      <c r="I5602" s="12"/>
      <c r="J5602" s="5" t="e">
        <f>SUM(SUMIFS(#REF!,#REF!,Planning[[#This Row],[Tipo de Tarea y especialidad]],#REF!,Planning[[#This Row],[Proyectos Reiwa]]),SUMIFS(#REF!,#REF!,Planning[[#This Row],[Tipo de Tarea y especialidad]],#REF!,Planning[[#This Row],[Proyectos]]))</f>
        <v>#REF!</v>
      </c>
      <c r="K5602" s="5" t="e">
        <f>+Planning[[#This Row],[Horas Planificadas]]+Planning[[#This Row],[Horas ajustadas adicionales]]-Planning[[#This Row],[Horas utilizadas]]</f>
        <v>#REF!</v>
      </c>
      <c r="L5602" s="7">
        <v>180</v>
      </c>
      <c r="M5602" s="19" t="e">
        <f>Planning[[#This Row],[Saldo]]-Planning[[#This Row],[Saldo estimado]]</f>
        <v>#REF!</v>
      </c>
      <c r="N5602" s="60" t="e">
        <f>+SUMIFS(#REF!,#REF!,Planning[[#This Row],[Proyectos]],#REF!,Planning[[#This Row],[Tipo de Tarea y especialidad]])+SUMIFS(#REF!,#REF!,Planning[[#This Row],[Proyectos Reiwa]],#REF!,Planning[[#This Row],[Tipo de Tarea y especialidad]])</f>
        <v>#REF!</v>
      </c>
      <c r="O5602" s="19">
        <f t="shared" si="175"/>
        <v>10</v>
      </c>
      <c r="P5602" s="19">
        <f t="shared" si="176"/>
        <v>2024</v>
      </c>
      <c r="Q56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02" s="51" t="str">
        <f>TEXT(Planning[[#This Row],[Mes]]*29,"mmmm")</f>
        <v>October</v>
      </c>
      <c r="S560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02" s="153"/>
    </row>
    <row r="5603" spans="1:20" ht="22.5" x14ac:dyDescent="0.2">
      <c r="A5603" s="9" t="s">
        <v>626</v>
      </c>
      <c r="B5603" s="9" t="s">
        <v>288</v>
      </c>
      <c r="C5603" s="3">
        <v>116799</v>
      </c>
      <c r="D5603" s="3" t="s">
        <v>985</v>
      </c>
      <c r="E5603" s="4" t="s">
        <v>28</v>
      </c>
      <c r="F5603" s="3"/>
      <c r="G5603" s="9"/>
      <c r="H5603" s="14">
        <f>SUM(H5604:H5605)</f>
        <v>120</v>
      </c>
      <c r="I5603" s="14"/>
      <c r="J5603" s="14" t="e">
        <f>SUM(J5604:J5605)</f>
        <v>#REF!</v>
      </c>
      <c r="K5603" s="14" t="e">
        <f>+Planning[[#This Row],[Horas Planificadas]]+Planning[[#This Row],[Horas ajustadas adicionales]]-Planning[[#This Row],[Horas utilizadas]]</f>
        <v>#REF!</v>
      </c>
      <c r="L5603" s="15">
        <f>SUM(L5604:L5605)</f>
        <v>120</v>
      </c>
      <c r="M5603" s="14" t="e">
        <f>SUM(M5604:M5605)</f>
        <v>#REF!</v>
      </c>
      <c r="N5603" s="60" t="e">
        <f>+SUMIFS(#REF!,#REF!,Planning[[#This Row],[Proyectos]],#REF!,Planning[[#This Row],[Tipo de Tarea y especialidad]])+SUMIFS(#REF!,#REF!,Planning[[#This Row],[Proyectos Reiwa]],#REF!,Planning[[#This Row],[Tipo de Tarea y especialidad]])</f>
        <v>#REF!</v>
      </c>
      <c r="O5603" s="14">
        <f t="shared" si="175"/>
        <v>10</v>
      </c>
      <c r="P5603" s="14">
        <f t="shared" si="176"/>
        <v>2024</v>
      </c>
      <c r="Q5603" s="28" t="e">
        <f>SUM(Q5604:Q5605)</f>
        <v>#REF!</v>
      </c>
      <c r="R5603" s="24" t="str">
        <f>TEXT(Planning[[#This Row],[Mes]]*29,"mmmm")</f>
        <v>October</v>
      </c>
      <c r="S5603"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03" s="151" t="s">
        <v>986</v>
      </c>
    </row>
    <row r="5604" spans="1:20" x14ac:dyDescent="0.2">
      <c r="A5604" s="9" t="s">
        <v>626</v>
      </c>
      <c r="B5604" s="9" t="s">
        <v>288</v>
      </c>
      <c r="C5604" s="3">
        <v>116799</v>
      </c>
      <c r="D5604" s="3" t="s">
        <v>985</v>
      </c>
      <c r="E5604" s="4"/>
      <c r="F5604" s="3" t="s">
        <v>120</v>
      </c>
      <c r="G5604" s="9">
        <v>90</v>
      </c>
      <c r="H5604" s="9">
        <v>90</v>
      </c>
      <c r="I5604" s="12"/>
      <c r="J5604" s="5" t="e">
        <f>SUM(SUMIFS(#REF!,#REF!,Planning[[#This Row],[Tipo de Tarea y especialidad]],#REF!,Planning[[#This Row],[Proyectos Reiwa]]),SUMIFS(#REF!,#REF!,Planning[[#This Row],[Tipo de Tarea y especialidad]],#REF!,Planning[[#This Row],[Proyectos]]))</f>
        <v>#REF!</v>
      </c>
      <c r="K5604" s="5" t="e">
        <f>+Planning[[#This Row],[Horas Planificadas]]+Planning[[#This Row],[Horas ajustadas adicionales]]-Planning[[#This Row],[Horas utilizadas]]</f>
        <v>#REF!</v>
      </c>
      <c r="L5604" s="7">
        <v>90</v>
      </c>
      <c r="M5604" s="19" t="e">
        <f>Planning[[#This Row],[Saldo]]-Planning[[#This Row],[Saldo estimado]]</f>
        <v>#REF!</v>
      </c>
      <c r="N5604" s="60" t="e">
        <f>+SUMIFS(#REF!,#REF!,Planning[[#This Row],[Proyectos]],#REF!,Planning[[#This Row],[Tipo de Tarea y especialidad]])+SUMIFS(#REF!,#REF!,Planning[[#This Row],[Proyectos Reiwa]],#REF!,Planning[[#This Row],[Tipo de Tarea y especialidad]])</f>
        <v>#REF!</v>
      </c>
      <c r="O5604" s="19">
        <f t="shared" si="175"/>
        <v>10</v>
      </c>
      <c r="P5604" s="19">
        <f t="shared" si="176"/>
        <v>2024</v>
      </c>
      <c r="Q56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04" s="49" t="str">
        <f>TEXT(Planning[[#This Row],[Mes]]*29,"mmmm")</f>
        <v>October</v>
      </c>
      <c r="S560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04" s="152"/>
    </row>
    <row r="5605" spans="1:20" x14ac:dyDescent="0.2">
      <c r="A5605" s="9" t="s">
        <v>626</v>
      </c>
      <c r="B5605" s="9" t="s">
        <v>288</v>
      </c>
      <c r="C5605" s="3">
        <v>116799</v>
      </c>
      <c r="D5605" s="3" t="s">
        <v>985</v>
      </c>
      <c r="E5605" s="4"/>
      <c r="F5605" s="3" t="s">
        <v>121</v>
      </c>
      <c r="G5605" s="9">
        <v>30</v>
      </c>
      <c r="H5605" s="9">
        <v>30</v>
      </c>
      <c r="I5605" s="12"/>
      <c r="J5605" s="5" t="e">
        <f>SUM(SUMIFS(#REF!,#REF!,Planning[[#This Row],[Tipo de Tarea y especialidad]],#REF!,Planning[[#This Row],[Proyectos Reiwa]]),SUMIFS(#REF!,#REF!,Planning[[#This Row],[Tipo de Tarea y especialidad]],#REF!,Planning[[#This Row],[Proyectos]]))</f>
        <v>#REF!</v>
      </c>
      <c r="K5605" s="5" t="e">
        <f>+Planning[[#This Row],[Horas Planificadas]]+Planning[[#This Row],[Horas ajustadas adicionales]]-Planning[[#This Row],[Horas utilizadas]]</f>
        <v>#REF!</v>
      </c>
      <c r="L5605" s="7">
        <v>30</v>
      </c>
      <c r="M5605" s="19" t="e">
        <f>Planning[[#This Row],[Saldo]]-Planning[[#This Row],[Saldo estimado]]</f>
        <v>#REF!</v>
      </c>
      <c r="N5605" s="60" t="e">
        <f>+SUMIFS(#REF!,#REF!,Planning[[#This Row],[Proyectos]],#REF!,Planning[[#This Row],[Tipo de Tarea y especialidad]])+SUMIFS(#REF!,#REF!,Planning[[#This Row],[Proyectos Reiwa]],#REF!,Planning[[#This Row],[Tipo de Tarea y especialidad]])</f>
        <v>#REF!</v>
      </c>
      <c r="O5605" s="19">
        <f t="shared" si="175"/>
        <v>10</v>
      </c>
      <c r="P5605" s="19">
        <f t="shared" si="176"/>
        <v>2024</v>
      </c>
      <c r="Q56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05" s="49" t="str">
        <f>TEXT(Planning[[#This Row],[Mes]]*29,"mmmm")</f>
        <v>October</v>
      </c>
      <c r="S560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05" s="152"/>
    </row>
    <row r="5606" spans="1:20" x14ac:dyDescent="0.2">
      <c r="A5606" s="9" t="s">
        <v>626</v>
      </c>
      <c r="B5606" s="9" t="s">
        <v>288</v>
      </c>
      <c r="C5606" s="3">
        <v>116799</v>
      </c>
      <c r="D5606" s="3" t="s">
        <v>985</v>
      </c>
      <c r="E5606" s="4" t="s">
        <v>30</v>
      </c>
      <c r="F5606" s="3"/>
      <c r="G5606" s="9"/>
      <c r="H5606" s="14">
        <f>SUM(H5607:H5613)</f>
        <v>280</v>
      </c>
      <c r="I5606" s="14"/>
      <c r="J5606" s="14" t="e">
        <f>SUM(J5607:J5613)</f>
        <v>#REF!</v>
      </c>
      <c r="K5606" s="14" t="e">
        <f>+Planning[[#This Row],[Horas Planificadas]]+Planning[[#This Row],[Horas ajustadas adicionales]]-Planning[[#This Row],[Horas utilizadas]]</f>
        <v>#REF!</v>
      </c>
      <c r="L5606" s="15">
        <f>SUM(L5607:L5613)</f>
        <v>280</v>
      </c>
      <c r="M5606" s="16" t="e">
        <f>SUM(M5607:M5613)</f>
        <v>#REF!</v>
      </c>
      <c r="N5606" s="60" t="e">
        <f>+SUMIFS(#REF!,#REF!,Planning[[#This Row],[Proyectos]],#REF!,Planning[[#This Row],[Tipo de Tarea y especialidad]])+SUMIFS(#REF!,#REF!,Planning[[#This Row],[Proyectos Reiwa]],#REF!,Planning[[#This Row],[Tipo de Tarea y especialidad]])</f>
        <v>#REF!</v>
      </c>
      <c r="O5606" s="16">
        <f t="shared" si="175"/>
        <v>10</v>
      </c>
      <c r="P5606" s="16">
        <f t="shared" si="176"/>
        <v>2024</v>
      </c>
      <c r="Q5606" s="16" t="e">
        <f>SUM(Q5607:Q5613)</f>
        <v>#REF!</v>
      </c>
      <c r="R5606" s="50" t="str">
        <f>TEXT(Planning[[#This Row],[Mes]]*29,"mmmm")</f>
        <v>October</v>
      </c>
      <c r="S560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06" s="152"/>
    </row>
    <row r="5607" spans="1:20" x14ac:dyDescent="0.2">
      <c r="A5607" s="9" t="s">
        <v>626</v>
      </c>
      <c r="B5607" s="9" t="s">
        <v>288</v>
      </c>
      <c r="C5607" s="3">
        <v>116799</v>
      </c>
      <c r="D5607" s="3" t="s">
        <v>985</v>
      </c>
      <c r="E5607" s="4"/>
      <c r="F5607" s="3" t="s">
        <v>122</v>
      </c>
      <c r="G5607" s="9"/>
      <c r="H5607" s="9"/>
      <c r="I5607" s="12"/>
      <c r="J5607" s="5" t="e">
        <f>SUM(SUMIFS(#REF!,#REF!,Planning[[#This Row],[Tipo de Tarea y especialidad]],#REF!,Planning[[#This Row],[Proyectos Reiwa]]),SUMIFS(#REF!,#REF!,Planning[[#This Row],[Tipo de Tarea y especialidad]],#REF!,Planning[[#This Row],[Proyectos]]))</f>
        <v>#REF!</v>
      </c>
      <c r="K5607" s="5" t="e">
        <f>+Planning[[#This Row],[Horas Planificadas]]+Planning[[#This Row],[Horas ajustadas adicionales]]-Planning[[#This Row],[Horas utilizadas]]</f>
        <v>#REF!</v>
      </c>
      <c r="L5607" s="7">
        <v>0</v>
      </c>
      <c r="M5607" s="19" t="e">
        <f>Planning[[#This Row],[Saldo]]-Planning[[#This Row],[Saldo estimado]]</f>
        <v>#REF!</v>
      </c>
      <c r="N5607" s="60" t="e">
        <f>+SUMIFS(#REF!,#REF!,Planning[[#This Row],[Proyectos]],#REF!,Planning[[#This Row],[Tipo de Tarea y especialidad]])+SUMIFS(#REF!,#REF!,Planning[[#This Row],[Proyectos Reiwa]],#REF!,Planning[[#This Row],[Tipo de Tarea y especialidad]])</f>
        <v>#REF!</v>
      </c>
      <c r="O5607" s="19">
        <f t="shared" si="175"/>
        <v>10</v>
      </c>
      <c r="P5607" s="19">
        <f t="shared" si="176"/>
        <v>2024</v>
      </c>
      <c r="Q56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07" s="49" t="str">
        <f>TEXT(Planning[[#This Row],[Mes]]*29,"mmmm")</f>
        <v>October</v>
      </c>
      <c r="S560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07" s="152"/>
    </row>
    <row r="5608" spans="1:20" x14ac:dyDescent="0.2">
      <c r="A5608" s="9" t="s">
        <v>626</v>
      </c>
      <c r="B5608" s="9" t="s">
        <v>288</v>
      </c>
      <c r="C5608" s="3">
        <v>116799</v>
      </c>
      <c r="D5608" s="3" t="s">
        <v>985</v>
      </c>
      <c r="E5608" s="4"/>
      <c r="F5608" s="3" t="s">
        <v>123</v>
      </c>
      <c r="G5608" s="9"/>
      <c r="H5608" s="9"/>
      <c r="I5608" s="12"/>
      <c r="J5608" s="5" t="e">
        <f>SUM(SUMIFS(#REF!,#REF!,Planning[[#This Row],[Tipo de Tarea y especialidad]],#REF!,Planning[[#This Row],[Proyectos Reiwa]]),SUMIFS(#REF!,#REF!,Planning[[#This Row],[Tipo de Tarea y especialidad]],#REF!,Planning[[#This Row],[Proyectos]]))</f>
        <v>#REF!</v>
      </c>
      <c r="K5608" s="5" t="e">
        <f>+Planning[[#This Row],[Horas Planificadas]]+Planning[[#This Row],[Horas ajustadas adicionales]]-Planning[[#This Row],[Horas utilizadas]]</f>
        <v>#REF!</v>
      </c>
      <c r="L5608" s="7">
        <v>0</v>
      </c>
      <c r="M5608" s="19" t="e">
        <f>Planning[[#This Row],[Saldo]]-Planning[[#This Row],[Saldo estimado]]</f>
        <v>#REF!</v>
      </c>
      <c r="N5608" s="60" t="e">
        <f>+SUMIFS(#REF!,#REF!,Planning[[#This Row],[Proyectos]],#REF!,Planning[[#This Row],[Tipo de Tarea y especialidad]])+SUMIFS(#REF!,#REF!,Planning[[#This Row],[Proyectos Reiwa]],#REF!,Planning[[#This Row],[Tipo de Tarea y especialidad]])</f>
        <v>#REF!</v>
      </c>
      <c r="O5608" s="19">
        <f t="shared" si="175"/>
        <v>10</v>
      </c>
      <c r="P5608" s="19">
        <f t="shared" si="176"/>
        <v>2024</v>
      </c>
      <c r="Q56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08" s="49" t="str">
        <f>TEXT(Planning[[#This Row],[Mes]]*29,"mmmm")</f>
        <v>October</v>
      </c>
      <c r="S560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08" s="152"/>
    </row>
    <row r="5609" spans="1:20" x14ac:dyDescent="0.2">
      <c r="A5609" s="9" t="s">
        <v>626</v>
      </c>
      <c r="B5609" s="9" t="s">
        <v>288</v>
      </c>
      <c r="C5609" s="3">
        <v>116799</v>
      </c>
      <c r="D5609" s="3" t="s">
        <v>985</v>
      </c>
      <c r="E5609" s="4"/>
      <c r="F5609" s="3" t="s">
        <v>124</v>
      </c>
      <c r="G5609" s="9">
        <v>120</v>
      </c>
      <c r="H5609" s="9">
        <v>120</v>
      </c>
      <c r="I5609" s="12"/>
      <c r="J5609" s="5" t="e">
        <f>SUM(SUMIFS(#REF!,#REF!,Planning[[#This Row],[Tipo de Tarea y especialidad]],#REF!,Planning[[#This Row],[Proyectos Reiwa]]),SUMIFS(#REF!,#REF!,Planning[[#This Row],[Tipo de Tarea y especialidad]],#REF!,Planning[[#This Row],[Proyectos]]))</f>
        <v>#REF!</v>
      </c>
      <c r="K5609" s="5" t="e">
        <f>+Planning[[#This Row],[Horas Planificadas]]+Planning[[#This Row],[Horas ajustadas adicionales]]-Planning[[#This Row],[Horas utilizadas]]</f>
        <v>#REF!</v>
      </c>
      <c r="L5609" s="7">
        <v>120</v>
      </c>
      <c r="M5609" s="19" t="e">
        <f>Planning[[#This Row],[Saldo]]-Planning[[#This Row],[Saldo estimado]]</f>
        <v>#REF!</v>
      </c>
      <c r="N5609" s="60" t="e">
        <f>+SUMIFS(#REF!,#REF!,Planning[[#This Row],[Proyectos]],#REF!,Planning[[#This Row],[Tipo de Tarea y especialidad]])+SUMIFS(#REF!,#REF!,Planning[[#This Row],[Proyectos Reiwa]],#REF!,Planning[[#This Row],[Tipo de Tarea y especialidad]])</f>
        <v>#REF!</v>
      </c>
      <c r="O5609" s="19">
        <f t="shared" si="175"/>
        <v>10</v>
      </c>
      <c r="P5609" s="19">
        <f t="shared" si="176"/>
        <v>2024</v>
      </c>
      <c r="Q56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09" s="49" t="str">
        <f>TEXT(Planning[[#This Row],[Mes]]*29,"mmmm")</f>
        <v>October</v>
      </c>
      <c r="S560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09" s="152"/>
    </row>
    <row r="5610" spans="1:20" x14ac:dyDescent="0.2">
      <c r="A5610" s="9" t="s">
        <v>626</v>
      </c>
      <c r="B5610" s="9" t="s">
        <v>288</v>
      </c>
      <c r="C5610" s="3">
        <v>116799</v>
      </c>
      <c r="D5610" s="3" t="s">
        <v>985</v>
      </c>
      <c r="E5610" s="4"/>
      <c r="F5610" s="3" t="s">
        <v>125</v>
      </c>
      <c r="G5610" s="9">
        <v>80</v>
      </c>
      <c r="H5610" s="9">
        <v>80</v>
      </c>
      <c r="I5610" s="12"/>
      <c r="J5610" s="5" t="e">
        <f>SUM(SUMIFS(#REF!,#REF!,Planning[[#This Row],[Tipo de Tarea y especialidad]],#REF!,Planning[[#This Row],[Proyectos Reiwa]]),SUMIFS(#REF!,#REF!,Planning[[#This Row],[Tipo de Tarea y especialidad]],#REF!,Planning[[#This Row],[Proyectos]]))</f>
        <v>#REF!</v>
      </c>
      <c r="K5610" s="5" t="e">
        <f>+Planning[[#This Row],[Horas Planificadas]]+Planning[[#This Row],[Horas ajustadas adicionales]]-Planning[[#This Row],[Horas utilizadas]]</f>
        <v>#REF!</v>
      </c>
      <c r="L5610" s="7">
        <v>80</v>
      </c>
      <c r="M5610" s="19" t="e">
        <f>Planning[[#This Row],[Saldo]]-Planning[[#This Row],[Saldo estimado]]</f>
        <v>#REF!</v>
      </c>
      <c r="N5610" s="60" t="e">
        <f>+SUMIFS(#REF!,#REF!,Planning[[#This Row],[Proyectos]],#REF!,Planning[[#This Row],[Tipo de Tarea y especialidad]])+SUMIFS(#REF!,#REF!,Planning[[#This Row],[Proyectos Reiwa]],#REF!,Planning[[#This Row],[Tipo de Tarea y especialidad]])</f>
        <v>#REF!</v>
      </c>
      <c r="O5610" s="19">
        <f t="shared" si="175"/>
        <v>10</v>
      </c>
      <c r="P5610" s="19">
        <f t="shared" si="176"/>
        <v>2024</v>
      </c>
      <c r="Q56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10" s="49" t="str">
        <f>TEXT(Planning[[#This Row],[Mes]]*29,"mmmm")</f>
        <v>October</v>
      </c>
      <c r="S561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10" s="152"/>
    </row>
    <row r="5611" spans="1:20" x14ac:dyDescent="0.2">
      <c r="A5611" s="9" t="s">
        <v>626</v>
      </c>
      <c r="B5611" s="9" t="s">
        <v>288</v>
      </c>
      <c r="C5611" s="3">
        <v>116799</v>
      </c>
      <c r="D5611" s="3" t="s">
        <v>985</v>
      </c>
      <c r="E5611" s="4"/>
      <c r="F5611" s="3" t="s">
        <v>126</v>
      </c>
      <c r="G5611" s="9"/>
      <c r="H5611" s="9"/>
      <c r="I5611" s="12"/>
      <c r="J5611" s="5" t="e">
        <f>SUM(SUMIFS(#REF!,#REF!,Planning[[#This Row],[Tipo de Tarea y especialidad]],#REF!,Planning[[#This Row],[Proyectos Reiwa]]),SUMIFS(#REF!,#REF!,Planning[[#This Row],[Tipo de Tarea y especialidad]],#REF!,Planning[[#This Row],[Proyectos]]))</f>
        <v>#REF!</v>
      </c>
      <c r="K5611" s="5" t="e">
        <f>+Planning[[#This Row],[Horas Planificadas]]+Planning[[#This Row],[Horas ajustadas adicionales]]-Planning[[#This Row],[Horas utilizadas]]</f>
        <v>#REF!</v>
      </c>
      <c r="L5611" s="7">
        <v>0</v>
      </c>
      <c r="M5611" s="19" t="e">
        <f>Planning[[#This Row],[Saldo]]-Planning[[#This Row],[Saldo estimado]]</f>
        <v>#REF!</v>
      </c>
      <c r="N5611" s="60" t="e">
        <f>+SUMIFS(#REF!,#REF!,Planning[[#This Row],[Proyectos]],#REF!,Planning[[#This Row],[Tipo de Tarea y especialidad]])+SUMIFS(#REF!,#REF!,Planning[[#This Row],[Proyectos Reiwa]],#REF!,Planning[[#This Row],[Tipo de Tarea y especialidad]])</f>
        <v>#REF!</v>
      </c>
      <c r="O5611" s="19">
        <f t="shared" si="175"/>
        <v>10</v>
      </c>
      <c r="P5611" s="19">
        <f t="shared" si="176"/>
        <v>2024</v>
      </c>
      <c r="Q56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11" s="49" t="str">
        <f>TEXT(Planning[[#This Row],[Mes]]*29,"mmmm")</f>
        <v>October</v>
      </c>
      <c r="S561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11" s="152"/>
    </row>
    <row r="5612" spans="1:20" x14ac:dyDescent="0.2">
      <c r="A5612" s="9" t="s">
        <v>626</v>
      </c>
      <c r="B5612" s="9" t="s">
        <v>288</v>
      </c>
      <c r="C5612" s="3">
        <v>116799</v>
      </c>
      <c r="D5612" s="3" t="s">
        <v>985</v>
      </c>
      <c r="E5612" s="4"/>
      <c r="F5612" s="3" t="s">
        <v>127</v>
      </c>
      <c r="G5612" s="9"/>
      <c r="H5612" s="9"/>
      <c r="I5612" s="12"/>
      <c r="J5612" s="5" t="e">
        <f>SUM(SUMIFS(#REF!,#REF!,Planning[[#This Row],[Tipo de Tarea y especialidad]],#REF!,Planning[[#This Row],[Proyectos Reiwa]]),SUMIFS(#REF!,#REF!,Planning[[#This Row],[Tipo de Tarea y especialidad]],#REF!,Planning[[#This Row],[Proyectos]]))</f>
        <v>#REF!</v>
      </c>
      <c r="K5612" s="5" t="e">
        <f>+Planning[[#This Row],[Horas Planificadas]]+Planning[[#This Row],[Horas ajustadas adicionales]]-Planning[[#This Row],[Horas utilizadas]]</f>
        <v>#REF!</v>
      </c>
      <c r="L5612" s="7">
        <v>0</v>
      </c>
      <c r="M5612" s="19" t="e">
        <f>Planning[[#This Row],[Saldo]]-Planning[[#This Row],[Saldo estimado]]</f>
        <v>#REF!</v>
      </c>
      <c r="N5612" s="60" t="e">
        <f>+SUMIFS(#REF!,#REF!,Planning[[#This Row],[Proyectos]],#REF!,Planning[[#This Row],[Tipo de Tarea y especialidad]])+SUMIFS(#REF!,#REF!,Planning[[#This Row],[Proyectos Reiwa]],#REF!,Planning[[#This Row],[Tipo de Tarea y especialidad]])</f>
        <v>#REF!</v>
      </c>
      <c r="O5612" s="19">
        <f t="shared" si="175"/>
        <v>10</v>
      </c>
      <c r="P5612" s="19">
        <f t="shared" si="176"/>
        <v>2024</v>
      </c>
      <c r="Q56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12" s="49" t="str">
        <f>TEXT(Planning[[#This Row],[Mes]]*29,"mmmm")</f>
        <v>October</v>
      </c>
      <c r="S561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12" s="152"/>
    </row>
    <row r="5613" spans="1:20" x14ac:dyDescent="0.2">
      <c r="A5613" s="9" t="s">
        <v>626</v>
      </c>
      <c r="B5613" s="9" t="s">
        <v>288</v>
      </c>
      <c r="C5613" s="3">
        <v>116799</v>
      </c>
      <c r="D5613" s="3" t="s">
        <v>985</v>
      </c>
      <c r="E5613" s="4"/>
      <c r="F5613" s="3" t="s">
        <v>128</v>
      </c>
      <c r="G5613" s="9">
        <v>80</v>
      </c>
      <c r="H5613" s="9">
        <v>80</v>
      </c>
      <c r="I5613" s="12"/>
      <c r="J5613" s="5" t="e">
        <f>SUM(SUMIFS(#REF!,#REF!,Planning[[#This Row],[Tipo de Tarea y especialidad]],#REF!,Planning[[#This Row],[Proyectos Reiwa]]),SUMIFS(#REF!,#REF!,Planning[[#This Row],[Tipo de Tarea y especialidad]],#REF!,Planning[[#This Row],[Proyectos]]))</f>
        <v>#REF!</v>
      </c>
      <c r="K5613" s="5" t="e">
        <f>+Planning[[#This Row],[Horas Planificadas]]+Planning[[#This Row],[Horas ajustadas adicionales]]-Planning[[#This Row],[Horas utilizadas]]</f>
        <v>#REF!</v>
      </c>
      <c r="L5613" s="7">
        <v>80</v>
      </c>
      <c r="M5613" s="19" t="e">
        <f>Planning[[#This Row],[Saldo]]-Planning[[#This Row],[Saldo estimado]]</f>
        <v>#REF!</v>
      </c>
      <c r="N5613" s="60" t="e">
        <f>+SUMIFS(#REF!,#REF!,Planning[[#This Row],[Proyectos]],#REF!,Planning[[#This Row],[Tipo de Tarea y especialidad]])+SUMIFS(#REF!,#REF!,Planning[[#This Row],[Proyectos Reiwa]],#REF!,Planning[[#This Row],[Tipo de Tarea y especialidad]])</f>
        <v>#REF!</v>
      </c>
      <c r="O5613" s="19">
        <f t="shared" si="175"/>
        <v>10</v>
      </c>
      <c r="P5613" s="19">
        <f t="shared" si="176"/>
        <v>2024</v>
      </c>
      <c r="Q56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13" s="49" t="str">
        <f>TEXT(Planning[[#This Row],[Mes]]*29,"mmmm")</f>
        <v>October</v>
      </c>
      <c r="S561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13" s="152"/>
    </row>
    <row r="5614" spans="1:20" x14ac:dyDescent="0.2">
      <c r="A5614" s="9" t="s">
        <v>626</v>
      </c>
      <c r="B5614" s="9" t="s">
        <v>288</v>
      </c>
      <c r="C5614" s="3">
        <v>116799</v>
      </c>
      <c r="D5614" s="3" t="s">
        <v>985</v>
      </c>
      <c r="E5614" s="4" t="s">
        <v>31</v>
      </c>
      <c r="F5614" s="3" t="s">
        <v>31</v>
      </c>
      <c r="G5614" s="9"/>
      <c r="H5614" s="17"/>
      <c r="I5614" s="18"/>
      <c r="J5614" s="14" t="e">
        <f>+SUMIFS(#REF!,#REF!,Planning[[#This Row],[Tarifa]],#REF!,Planning[[#This Row],[Proyectos]])</f>
        <v>#REF!</v>
      </c>
      <c r="K5614" s="14" t="e">
        <f>+Planning[[#This Row],[Horas Planificadas]]+Planning[[#This Row],[Horas ajustadas adicionales]]-Planning[[#This Row],[Horas utilizadas]]</f>
        <v>#REF!</v>
      </c>
      <c r="L5614" s="15" t="e">
        <f>Planning[[#This Row],[Saldo]]</f>
        <v>#REF!</v>
      </c>
      <c r="M5614" s="16" t="e">
        <f>Planning[[#This Row],[Saldo]]-Planning[[#This Row],[Saldo estimado]]</f>
        <v>#REF!</v>
      </c>
      <c r="N5614" s="60" t="e">
        <f>+SUMIFS(#REF!,#REF!,Planning[[#This Row],[Proyectos]],#REF!,Planning[[#This Row],[Tipo de Tarea y especialidad]])+SUMIFS(#REF!,#REF!,Planning[[#This Row],[Proyectos Reiwa]],#REF!,Planning[[#This Row],[Tipo de Tarea y especialidad]])</f>
        <v>#REF!</v>
      </c>
      <c r="O5614" s="16">
        <f t="shared" si="175"/>
        <v>10</v>
      </c>
      <c r="P5614" s="16">
        <f t="shared" si="176"/>
        <v>2024</v>
      </c>
      <c r="Q5614" s="16" t="e">
        <f>+SUMIFS(#REF!,#REF!,Planning[[#This Row],[Tarifa]],#REF!,Planning[[#This Row],[Proyectos]],#REF!,Planning[[#This Row],[Mes]],#REF!,Planning[[#This Row],[Año]])</f>
        <v>#REF!</v>
      </c>
      <c r="R5614" s="50" t="str">
        <f>TEXT(Planning[[#This Row],[Mes]]*29,"mmmm")</f>
        <v>October</v>
      </c>
      <c r="S561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14" s="152"/>
    </row>
    <row r="5615" spans="1:20" ht="22.5" x14ac:dyDescent="0.2">
      <c r="A5615" s="9" t="s">
        <v>626</v>
      </c>
      <c r="B5615" s="9" t="s">
        <v>288</v>
      </c>
      <c r="C5615" s="3">
        <v>116799</v>
      </c>
      <c r="D5615" s="3" t="s">
        <v>985</v>
      </c>
      <c r="E5615" s="4" t="s">
        <v>32</v>
      </c>
      <c r="F5615" s="3"/>
      <c r="G5615" s="9"/>
      <c r="H5615" s="14">
        <f>SUM(H5616:H5618)</f>
        <v>180</v>
      </c>
      <c r="I5615" s="14"/>
      <c r="J5615" s="14" t="e">
        <f>SUM(J5616:J5618)</f>
        <v>#REF!</v>
      </c>
      <c r="K5615" s="14" t="e">
        <f>+Planning[[#This Row],[Horas Planificadas]]+Planning[[#This Row],[Horas ajustadas adicionales]]-Planning[[#This Row],[Horas utilizadas]]</f>
        <v>#REF!</v>
      </c>
      <c r="L5615" s="15">
        <f>SUM(L5616:L5618)</f>
        <v>180</v>
      </c>
      <c r="M5615" s="16" t="e">
        <f>SUM(M5616:M5618)</f>
        <v>#REF!</v>
      </c>
      <c r="N5615" s="60" t="e">
        <f>+SUMIFS(#REF!,#REF!,Planning[[#This Row],[Proyectos]],#REF!,Planning[[#This Row],[Tipo de Tarea y especialidad]])+SUMIFS(#REF!,#REF!,Planning[[#This Row],[Proyectos Reiwa]],#REF!,Planning[[#This Row],[Tipo de Tarea y especialidad]])</f>
        <v>#REF!</v>
      </c>
      <c r="O5615" s="16">
        <f t="shared" si="175"/>
        <v>10</v>
      </c>
      <c r="P5615" s="16">
        <f t="shared" si="176"/>
        <v>2024</v>
      </c>
      <c r="Q5615" s="16" t="e">
        <f>SUM(Q5616:Q5618)</f>
        <v>#REF!</v>
      </c>
      <c r="R5615" s="50" t="str">
        <f>TEXT(Planning[[#This Row],[Mes]]*29,"mmmm")</f>
        <v>October</v>
      </c>
      <c r="S561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15" s="152"/>
    </row>
    <row r="5616" spans="1:20" x14ac:dyDescent="0.2">
      <c r="A5616" s="9" t="s">
        <v>626</v>
      </c>
      <c r="B5616" s="9" t="s">
        <v>288</v>
      </c>
      <c r="C5616" s="3">
        <v>116799</v>
      </c>
      <c r="D5616" s="3" t="s">
        <v>985</v>
      </c>
      <c r="E5616" s="4"/>
      <c r="F5616" s="3" t="s">
        <v>129</v>
      </c>
      <c r="G5616" s="9"/>
      <c r="H5616" s="9"/>
      <c r="I5616" s="12"/>
      <c r="J5616" s="5" t="e">
        <f>SUM(SUMIFS(#REF!,#REF!,Planning[[#This Row],[Tipo de Tarea y especialidad]],#REF!,Planning[[#This Row],[Proyectos Reiwa]]),SUMIFS(#REF!,#REF!,Planning[[#This Row],[Tipo de Tarea y especialidad]],#REF!,Planning[[#This Row],[Proyectos]]))</f>
        <v>#REF!</v>
      </c>
      <c r="K5616" s="5" t="e">
        <f>+Planning[[#This Row],[Horas Planificadas]]+Planning[[#This Row],[Horas ajustadas adicionales]]-Planning[[#This Row],[Horas utilizadas]]</f>
        <v>#REF!</v>
      </c>
      <c r="L5616" s="7">
        <v>0</v>
      </c>
      <c r="M5616" s="19" t="e">
        <f>Planning[[#This Row],[Saldo]]-Planning[[#This Row],[Saldo estimado]]</f>
        <v>#REF!</v>
      </c>
      <c r="N5616" s="60" t="e">
        <f>+SUMIFS(#REF!,#REF!,Planning[[#This Row],[Proyectos]],#REF!,Planning[[#This Row],[Tipo de Tarea y especialidad]])+SUMIFS(#REF!,#REF!,Planning[[#This Row],[Proyectos Reiwa]],#REF!,Planning[[#This Row],[Tipo de Tarea y especialidad]])</f>
        <v>#REF!</v>
      </c>
      <c r="O5616" s="19">
        <f t="shared" si="175"/>
        <v>10</v>
      </c>
      <c r="P5616" s="19">
        <f t="shared" si="176"/>
        <v>2024</v>
      </c>
      <c r="Q56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16" s="49" t="str">
        <f>TEXT(Planning[[#This Row],[Mes]]*29,"mmmm")</f>
        <v>October</v>
      </c>
      <c r="S561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16" s="152"/>
    </row>
    <row r="5617" spans="1:20" x14ac:dyDescent="0.2">
      <c r="A5617" s="9" t="s">
        <v>626</v>
      </c>
      <c r="B5617" s="9" t="s">
        <v>288</v>
      </c>
      <c r="C5617" s="3">
        <v>116799</v>
      </c>
      <c r="D5617" s="3" t="s">
        <v>985</v>
      </c>
      <c r="E5617" s="4"/>
      <c r="F5617" s="3" t="s">
        <v>130</v>
      </c>
      <c r="G5617" s="9"/>
      <c r="H5617" s="9"/>
      <c r="I5617" s="12"/>
      <c r="J5617" s="5" t="e">
        <f>SUM(SUMIFS(#REF!,#REF!,Planning[[#This Row],[Tipo de Tarea y especialidad]],#REF!,Planning[[#This Row],[Proyectos Reiwa]]),SUMIFS(#REF!,#REF!,Planning[[#This Row],[Tipo de Tarea y especialidad]],#REF!,Planning[[#This Row],[Proyectos]]))</f>
        <v>#REF!</v>
      </c>
      <c r="K5617" s="5" t="e">
        <f>+Planning[[#This Row],[Horas Planificadas]]+Planning[[#This Row],[Horas ajustadas adicionales]]-Planning[[#This Row],[Horas utilizadas]]</f>
        <v>#REF!</v>
      </c>
      <c r="L5617" s="7">
        <v>0</v>
      </c>
      <c r="M5617" s="19" t="e">
        <f>Planning[[#This Row],[Saldo]]-Planning[[#This Row],[Saldo estimado]]</f>
        <v>#REF!</v>
      </c>
      <c r="N5617" s="60" t="e">
        <f>+SUMIFS(#REF!,#REF!,Planning[[#This Row],[Proyectos]],#REF!,Planning[[#This Row],[Tipo de Tarea y especialidad]])+SUMIFS(#REF!,#REF!,Planning[[#This Row],[Proyectos Reiwa]],#REF!,Planning[[#This Row],[Tipo de Tarea y especialidad]])</f>
        <v>#REF!</v>
      </c>
      <c r="O5617" s="19">
        <f t="shared" si="175"/>
        <v>10</v>
      </c>
      <c r="P5617" s="19">
        <f t="shared" si="176"/>
        <v>2024</v>
      </c>
      <c r="Q56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17" s="49" t="str">
        <f>TEXT(Planning[[#This Row],[Mes]]*29,"mmmm")</f>
        <v>October</v>
      </c>
      <c r="S561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17" s="152"/>
    </row>
    <row r="5618" spans="1:20" ht="14.1" customHeight="1" x14ac:dyDescent="0.2">
      <c r="A5618" s="9" t="s">
        <v>626</v>
      </c>
      <c r="B5618" s="9" t="s">
        <v>288</v>
      </c>
      <c r="C5618" s="3">
        <v>116799</v>
      </c>
      <c r="D5618" s="3" t="s">
        <v>985</v>
      </c>
      <c r="E5618" s="4"/>
      <c r="F5618" s="3" t="s">
        <v>131</v>
      </c>
      <c r="G5618" s="9">
        <v>180</v>
      </c>
      <c r="H5618" s="9">
        <v>180</v>
      </c>
      <c r="I5618" s="12"/>
      <c r="J5618" s="5" t="e">
        <f>SUM(SUMIFS(#REF!,#REF!,Planning[[#This Row],[Tipo de Tarea y especialidad]],#REF!,Planning[[#This Row],[Proyectos Reiwa]]),SUMIFS(#REF!,#REF!,Planning[[#This Row],[Tipo de Tarea y especialidad]],#REF!,Planning[[#This Row],[Proyectos]]))</f>
        <v>#REF!</v>
      </c>
      <c r="K5618" s="5" t="e">
        <f>+Planning[[#This Row],[Horas Planificadas]]+Planning[[#This Row],[Horas ajustadas adicionales]]-Planning[[#This Row],[Horas utilizadas]]</f>
        <v>#REF!</v>
      </c>
      <c r="L5618" s="7">
        <v>180</v>
      </c>
      <c r="M5618" s="19" t="e">
        <f>Planning[[#This Row],[Saldo]]-Planning[[#This Row],[Saldo estimado]]</f>
        <v>#REF!</v>
      </c>
      <c r="N5618" s="60" t="e">
        <f>+SUMIFS(#REF!,#REF!,Planning[[#This Row],[Proyectos]],#REF!,Planning[[#This Row],[Tipo de Tarea y especialidad]])+SUMIFS(#REF!,#REF!,Planning[[#This Row],[Proyectos Reiwa]],#REF!,Planning[[#This Row],[Tipo de Tarea y especialidad]])</f>
        <v>#REF!</v>
      </c>
      <c r="O5618" s="19">
        <f t="shared" si="175"/>
        <v>10</v>
      </c>
      <c r="P5618" s="19">
        <f t="shared" si="176"/>
        <v>2024</v>
      </c>
      <c r="Q56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18" s="51" t="str">
        <f>TEXT(Planning[[#This Row],[Mes]]*29,"mmmm")</f>
        <v>October</v>
      </c>
      <c r="S5618"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18" s="153"/>
    </row>
    <row r="5619" spans="1:20" ht="22.5" x14ac:dyDescent="0.2">
      <c r="A5619" s="9" t="s">
        <v>626</v>
      </c>
      <c r="B5619" s="9" t="s">
        <v>288</v>
      </c>
      <c r="C5619" s="3">
        <v>116958</v>
      </c>
      <c r="D5619" s="3" t="s">
        <v>987</v>
      </c>
      <c r="E5619" s="4" t="s">
        <v>28</v>
      </c>
      <c r="F5619" s="3"/>
      <c r="G5619" s="9"/>
      <c r="H5619" s="14">
        <f>SUM(H5620:H5621)</f>
        <v>210</v>
      </c>
      <c r="I5619" s="14"/>
      <c r="J5619" s="14" t="e">
        <f>SUM(J5620:J5621)</f>
        <v>#REF!</v>
      </c>
      <c r="K5619" s="14" t="e">
        <f>+Planning[[#This Row],[Horas Planificadas]]+Planning[[#This Row],[Horas ajustadas adicionales]]-Planning[[#This Row],[Horas utilizadas]]</f>
        <v>#REF!</v>
      </c>
      <c r="L5619" s="15">
        <f>SUM(L5620:L5621)</f>
        <v>0</v>
      </c>
      <c r="M5619" s="14" t="e">
        <f>SUM(M5620:M5621)</f>
        <v>#REF!</v>
      </c>
      <c r="N5619" s="60" t="e">
        <f>+SUMIFS(#REF!,#REF!,Planning[[#This Row],[Proyectos]],#REF!,Planning[[#This Row],[Tipo de Tarea y especialidad]])+SUMIFS(#REF!,#REF!,Planning[[#This Row],[Proyectos Reiwa]],#REF!,Planning[[#This Row],[Tipo de Tarea y especialidad]])</f>
        <v>#REF!</v>
      </c>
      <c r="O5619" s="14">
        <f t="shared" ref="O5619:O5682" si="177">$L$4</f>
        <v>10</v>
      </c>
      <c r="P5619" s="14">
        <f t="shared" ref="P5619:P5682" si="178">$M$4</f>
        <v>2024</v>
      </c>
      <c r="Q5619" s="28" t="e">
        <f>SUM(Q5620:Q5621)</f>
        <v>#REF!</v>
      </c>
      <c r="R5619" s="25" t="str">
        <f>TEXT(Planning[[#This Row],[Mes]]*29,"mmmm")</f>
        <v>October</v>
      </c>
      <c r="S561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19" s="152" t="s">
        <v>988</v>
      </c>
    </row>
    <row r="5620" spans="1:20" x14ac:dyDescent="0.2">
      <c r="A5620" s="9" t="s">
        <v>626</v>
      </c>
      <c r="B5620" s="9" t="s">
        <v>288</v>
      </c>
      <c r="C5620" s="3">
        <v>116958</v>
      </c>
      <c r="D5620" s="3" t="s">
        <v>987</v>
      </c>
      <c r="E5620" s="4"/>
      <c r="F5620" s="3" t="s">
        <v>120</v>
      </c>
      <c r="G5620" s="9">
        <v>160</v>
      </c>
      <c r="H5620" s="9">
        <v>160</v>
      </c>
      <c r="I5620" s="12"/>
      <c r="J5620" s="5" t="e">
        <f>SUM(SUMIFS(#REF!,#REF!,Planning[[#This Row],[Tipo de Tarea y especialidad]],#REF!,Planning[[#This Row],[Proyectos Reiwa]]),SUMIFS(#REF!,#REF!,Planning[[#This Row],[Tipo de Tarea y especialidad]],#REF!,Planning[[#This Row],[Proyectos]]))</f>
        <v>#REF!</v>
      </c>
      <c r="K5620" s="5" t="e">
        <f>+Planning[[#This Row],[Horas Planificadas]]+Planning[[#This Row],[Horas ajustadas adicionales]]-Planning[[#This Row],[Horas utilizadas]]</f>
        <v>#REF!</v>
      </c>
      <c r="L5620" s="7">
        <v>0</v>
      </c>
      <c r="M5620" s="19" t="e">
        <f>Planning[[#This Row],[Saldo]]-Planning[[#This Row],[Saldo estimado]]</f>
        <v>#REF!</v>
      </c>
      <c r="N5620" s="60" t="e">
        <f>+SUMIFS(#REF!,#REF!,Planning[[#This Row],[Proyectos]],#REF!,Planning[[#This Row],[Tipo de Tarea y especialidad]])+SUMIFS(#REF!,#REF!,Planning[[#This Row],[Proyectos Reiwa]],#REF!,Planning[[#This Row],[Tipo de Tarea y especialidad]])</f>
        <v>#REF!</v>
      </c>
      <c r="O5620" s="19">
        <f t="shared" si="177"/>
        <v>10</v>
      </c>
      <c r="P5620" s="19">
        <f t="shared" si="178"/>
        <v>2024</v>
      </c>
      <c r="Q56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20" s="49" t="str">
        <f>TEXT(Planning[[#This Row],[Mes]]*29,"mmmm")</f>
        <v>October</v>
      </c>
      <c r="S562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20" s="152"/>
    </row>
    <row r="5621" spans="1:20" x14ac:dyDescent="0.2">
      <c r="A5621" s="9" t="s">
        <v>626</v>
      </c>
      <c r="B5621" s="9" t="s">
        <v>288</v>
      </c>
      <c r="C5621" s="3">
        <v>116958</v>
      </c>
      <c r="D5621" s="3" t="s">
        <v>987</v>
      </c>
      <c r="E5621" s="4"/>
      <c r="F5621" s="3" t="s">
        <v>121</v>
      </c>
      <c r="G5621" s="9">
        <v>50</v>
      </c>
      <c r="H5621" s="9">
        <v>50</v>
      </c>
      <c r="I5621" s="12"/>
      <c r="J5621" s="5" t="e">
        <f>SUM(SUMIFS(#REF!,#REF!,Planning[[#This Row],[Tipo de Tarea y especialidad]],#REF!,Planning[[#This Row],[Proyectos Reiwa]]),SUMIFS(#REF!,#REF!,Planning[[#This Row],[Tipo de Tarea y especialidad]],#REF!,Planning[[#This Row],[Proyectos]]))</f>
        <v>#REF!</v>
      </c>
      <c r="K5621" s="5" t="e">
        <f>+Planning[[#This Row],[Horas Planificadas]]+Planning[[#This Row],[Horas ajustadas adicionales]]-Planning[[#This Row],[Horas utilizadas]]</f>
        <v>#REF!</v>
      </c>
      <c r="L5621" s="7">
        <v>0</v>
      </c>
      <c r="M5621" s="19" t="e">
        <f>Planning[[#This Row],[Saldo]]-Planning[[#This Row],[Saldo estimado]]</f>
        <v>#REF!</v>
      </c>
      <c r="N5621" s="60" t="e">
        <f>+SUMIFS(#REF!,#REF!,Planning[[#This Row],[Proyectos]],#REF!,Planning[[#This Row],[Tipo de Tarea y especialidad]])+SUMIFS(#REF!,#REF!,Planning[[#This Row],[Proyectos Reiwa]],#REF!,Planning[[#This Row],[Tipo de Tarea y especialidad]])</f>
        <v>#REF!</v>
      </c>
      <c r="O5621" s="19">
        <f t="shared" si="177"/>
        <v>10</v>
      </c>
      <c r="P5621" s="19">
        <f t="shared" si="178"/>
        <v>2024</v>
      </c>
      <c r="Q56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21" s="49" t="str">
        <f>TEXT(Planning[[#This Row],[Mes]]*29,"mmmm")</f>
        <v>October</v>
      </c>
      <c r="S562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21" s="152"/>
    </row>
    <row r="5622" spans="1:20" x14ac:dyDescent="0.2">
      <c r="A5622" s="9" t="s">
        <v>626</v>
      </c>
      <c r="B5622" s="9" t="s">
        <v>288</v>
      </c>
      <c r="C5622" s="3">
        <v>116958</v>
      </c>
      <c r="D5622" s="3" t="s">
        <v>987</v>
      </c>
      <c r="E5622" s="4" t="s">
        <v>30</v>
      </c>
      <c r="F5622" s="3"/>
      <c r="G5622" s="9"/>
      <c r="H5622" s="14">
        <f>SUM(H5623:H5629)</f>
        <v>495</v>
      </c>
      <c r="I5622" s="14"/>
      <c r="J5622" s="14" t="e">
        <f>SUM(J5623:J5629)</f>
        <v>#REF!</v>
      </c>
      <c r="K5622" s="14" t="e">
        <f>+Planning[[#This Row],[Horas Planificadas]]+Planning[[#This Row],[Horas ajustadas adicionales]]-Planning[[#This Row],[Horas utilizadas]]</f>
        <v>#REF!</v>
      </c>
      <c r="L5622" s="15">
        <f>SUM(L5623:L5629)</f>
        <v>0</v>
      </c>
      <c r="M5622" s="16" t="e">
        <f>SUM(M5623:M5629)</f>
        <v>#REF!</v>
      </c>
      <c r="N5622" s="60" t="e">
        <f>+SUMIFS(#REF!,#REF!,Planning[[#This Row],[Proyectos]],#REF!,Planning[[#This Row],[Tipo de Tarea y especialidad]])+SUMIFS(#REF!,#REF!,Planning[[#This Row],[Proyectos Reiwa]],#REF!,Planning[[#This Row],[Tipo de Tarea y especialidad]])</f>
        <v>#REF!</v>
      </c>
      <c r="O5622" s="16">
        <f t="shared" si="177"/>
        <v>10</v>
      </c>
      <c r="P5622" s="16">
        <f t="shared" si="178"/>
        <v>2024</v>
      </c>
      <c r="Q5622" s="16" t="e">
        <f>SUM(Q5623:Q5629)</f>
        <v>#REF!</v>
      </c>
      <c r="R5622" s="50" t="str">
        <f>TEXT(Planning[[#This Row],[Mes]]*29,"mmmm")</f>
        <v>October</v>
      </c>
      <c r="S562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22" s="152"/>
    </row>
    <row r="5623" spans="1:20" x14ac:dyDescent="0.2">
      <c r="A5623" s="9" t="s">
        <v>626</v>
      </c>
      <c r="B5623" s="9" t="s">
        <v>288</v>
      </c>
      <c r="C5623" s="3">
        <v>116958</v>
      </c>
      <c r="D5623" s="3" t="s">
        <v>987</v>
      </c>
      <c r="E5623" s="4"/>
      <c r="F5623" s="3" t="s">
        <v>122</v>
      </c>
      <c r="G5623" s="9"/>
      <c r="H5623" s="9"/>
      <c r="I5623" s="12"/>
      <c r="J5623" s="5" t="e">
        <f>SUM(SUMIFS(#REF!,#REF!,Planning[[#This Row],[Tipo de Tarea y especialidad]],#REF!,Planning[[#This Row],[Proyectos Reiwa]]),SUMIFS(#REF!,#REF!,Planning[[#This Row],[Tipo de Tarea y especialidad]],#REF!,Planning[[#This Row],[Proyectos]]))</f>
        <v>#REF!</v>
      </c>
      <c r="K5623" s="5" t="e">
        <f>+Planning[[#This Row],[Horas Planificadas]]+Planning[[#This Row],[Horas ajustadas adicionales]]-Planning[[#This Row],[Horas utilizadas]]</f>
        <v>#REF!</v>
      </c>
      <c r="L5623" s="7">
        <v>0</v>
      </c>
      <c r="M5623" s="19" t="e">
        <f>Planning[[#This Row],[Saldo]]-Planning[[#This Row],[Saldo estimado]]</f>
        <v>#REF!</v>
      </c>
      <c r="N5623" s="60" t="e">
        <f>+SUMIFS(#REF!,#REF!,Planning[[#This Row],[Proyectos]],#REF!,Planning[[#This Row],[Tipo de Tarea y especialidad]])+SUMIFS(#REF!,#REF!,Planning[[#This Row],[Proyectos Reiwa]],#REF!,Planning[[#This Row],[Tipo de Tarea y especialidad]])</f>
        <v>#REF!</v>
      </c>
      <c r="O5623" s="19">
        <f t="shared" si="177"/>
        <v>10</v>
      </c>
      <c r="P5623" s="19">
        <f t="shared" si="178"/>
        <v>2024</v>
      </c>
      <c r="Q56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23" s="49" t="str">
        <f>TEXT(Planning[[#This Row],[Mes]]*29,"mmmm")</f>
        <v>October</v>
      </c>
      <c r="S562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23" s="152"/>
    </row>
    <row r="5624" spans="1:20" x14ac:dyDescent="0.2">
      <c r="A5624" s="9" t="s">
        <v>626</v>
      </c>
      <c r="B5624" s="9" t="s">
        <v>288</v>
      </c>
      <c r="C5624" s="3">
        <v>116958</v>
      </c>
      <c r="D5624" s="3" t="s">
        <v>987</v>
      </c>
      <c r="E5624" s="4"/>
      <c r="F5624" s="3" t="s">
        <v>123</v>
      </c>
      <c r="G5624" s="9"/>
      <c r="H5624" s="9"/>
      <c r="I5624" s="12"/>
      <c r="J5624" s="5" t="e">
        <f>SUM(SUMIFS(#REF!,#REF!,Planning[[#This Row],[Tipo de Tarea y especialidad]],#REF!,Planning[[#This Row],[Proyectos Reiwa]]),SUMIFS(#REF!,#REF!,Planning[[#This Row],[Tipo de Tarea y especialidad]],#REF!,Planning[[#This Row],[Proyectos]]))</f>
        <v>#REF!</v>
      </c>
      <c r="K5624" s="5" t="e">
        <f>+Planning[[#This Row],[Horas Planificadas]]+Planning[[#This Row],[Horas ajustadas adicionales]]-Planning[[#This Row],[Horas utilizadas]]</f>
        <v>#REF!</v>
      </c>
      <c r="L5624" s="7">
        <v>0</v>
      </c>
      <c r="M5624" s="19" t="e">
        <f>Planning[[#This Row],[Saldo]]-Planning[[#This Row],[Saldo estimado]]</f>
        <v>#REF!</v>
      </c>
      <c r="N5624" s="60" t="e">
        <f>+SUMIFS(#REF!,#REF!,Planning[[#This Row],[Proyectos]],#REF!,Planning[[#This Row],[Tipo de Tarea y especialidad]])+SUMIFS(#REF!,#REF!,Planning[[#This Row],[Proyectos Reiwa]],#REF!,Planning[[#This Row],[Tipo de Tarea y especialidad]])</f>
        <v>#REF!</v>
      </c>
      <c r="O5624" s="19">
        <f t="shared" si="177"/>
        <v>10</v>
      </c>
      <c r="P5624" s="19">
        <f t="shared" si="178"/>
        <v>2024</v>
      </c>
      <c r="Q56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24" s="49" t="str">
        <f>TEXT(Planning[[#This Row],[Mes]]*29,"mmmm")</f>
        <v>October</v>
      </c>
      <c r="S562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24" s="152"/>
    </row>
    <row r="5625" spans="1:20" x14ac:dyDescent="0.2">
      <c r="A5625" s="9" t="s">
        <v>626</v>
      </c>
      <c r="B5625" s="9" t="s">
        <v>288</v>
      </c>
      <c r="C5625" s="3">
        <v>116958</v>
      </c>
      <c r="D5625" s="3" t="s">
        <v>987</v>
      </c>
      <c r="E5625" s="4"/>
      <c r="F5625" s="3" t="s">
        <v>124</v>
      </c>
      <c r="G5625" s="9">
        <v>225</v>
      </c>
      <c r="H5625" s="9">
        <v>225</v>
      </c>
      <c r="I5625" s="12"/>
      <c r="J5625" s="5" t="e">
        <f>SUM(SUMIFS(#REF!,#REF!,Planning[[#This Row],[Tipo de Tarea y especialidad]],#REF!,Planning[[#This Row],[Proyectos Reiwa]]),SUMIFS(#REF!,#REF!,Planning[[#This Row],[Tipo de Tarea y especialidad]],#REF!,Planning[[#This Row],[Proyectos]]))</f>
        <v>#REF!</v>
      </c>
      <c r="K5625" s="5" t="e">
        <f>+Planning[[#This Row],[Horas Planificadas]]+Planning[[#This Row],[Horas ajustadas adicionales]]-Planning[[#This Row],[Horas utilizadas]]</f>
        <v>#REF!</v>
      </c>
      <c r="L5625" s="7">
        <v>0</v>
      </c>
      <c r="M5625" s="19" t="e">
        <f>Planning[[#This Row],[Saldo]]-Planning[[#This Row],[Saldo estimado]]</f>
        <v>#REF!</v>
      </c>
      <c r="N5625" s="60" t="e">
        <f>+SUMIFS(#REF!,#REF!,Planning[[#This Row],[Proyectos]],#REF!,Planning[[#This Row],[Tipo de Tarea y especialidad]])+SUMIFS(#REF!,#REF!,Planning[[#This Row],[Proyectos Reiwa]],#REF!,Planning[[#This Row],[Tipo de Tarea y especialidad]])</f>
        <v>#REF!</v>
      </c>
      <c r="O5625" s="19">
        <f t="shared" si="177"/>
        <v>10</v>
      </c>
      <c r="P5625" s="19">
        <f t="shared" si="178"/>
        <v>2024</v>
      </c>
      <c r="Q56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25" s="49" t="str">
        <f>TEXT(Planning[[#This Row],[Mes]]*29,"mmmm")</f>
        <v>October</v>
      </c>
      <c r="S562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25" s="152"/>
    </row>
    <row r="5626" spans="1:20" x14ac:dyDescent="0.2">
      <c r="A5626" s="9" t="s">
        <v>626</v>
      </c>
      <c r="B5626" s="9" t="s">
        <v>288</v>
      </c>
      <c r="C5626" s="3">
        <v>116958</v>
      </c>
      <c r="D5626" s="3" t="s">
        <v>987</v>
      </c>
      <c r="E5626" s="4"/>
      <c r="F5626" s="3" t="s">
        <v>125</v>
      </c>
      <c r="G5626" s="9">
        <v>90</v>
      </c>
      <c r="H5626" s="9">
        <v>90</v>
      </c>
      <c r="I5626" s="12"/>
      <c r="J5626" s="5" t="e">
        <f>SUM(SUMIFS(#REF!,#REF!,Planning[[#This Row],[Tipo de Tarea y especialidad]],#REF!,Planning[[#This Row],[Proyectos Reiwa]]),SUMIFS(#REF!,#REF!,Planning[[#This Row],[Tipo de Tarea y especialidad]],#REF!,Planning[[#This Row],[Proyectos]]))</f>
        <v>#REF!</v>
      </c>
      <c r="K5626" s="5" t="e">
        <f>+Planning[[#This Row],[Horas Planificadas]]+Planning[[#This Row],[Horas ajustadas adicionales]]-Planning[[#This Row],[Horas utilizadas]]</f>
        <v>#REF!</v>
      </c>
      <c r="L5626" s="7">
        <v>0</v>
      </c>
      <c r="M5626" s="19" t="e">
        <f>Planning[[#This Row],[Saldo]]-Planning[[#This Row],[Saldo estimado]]</f>
        <v>#REF!</v>
      </c>
      <c r="N5626" s="60" t="e">
        <f>+SUMIFS(#REF!,#REF!,Planning[[#This Row],[Proyectos]],#REF!,Planning[[#This Row],[Tipo de Tarea y especialidad]])+SUMIFS(#REF!,#REF!,Planning[[#This Row],[Proyectos Reiwa]],#REF!,Planning[[#This Row],[Tipo de Tarea y especialidad]])</f>
        <v>#REF!</v>
      </c>
      <c r="O5626" s="19">
        <f t="shared" si="177"/>
        <v>10</v>
      </c>
      <c r="P5626" s="19">
        <f t="shared" si="178"/>
        <v>2024</v>
      </c>
      <c r="Q56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26" s="49" t="str">
        <f>TEXT(Planning[[#This Row],[Mes]]*29,"mmmm")</f>
        <v>October</v>
      </c>
      <c r="S562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26" s="152"/>
    </row>
    <row r="5627" spans="1:20" x14ac:dyDescent="0.2">
      <c r="A5627" s="9" t="s">
        <v>626</v>
      </c>
      <c r="B5627" s="9" t="s">
        <v>288</v>
      </c>
      <c r="C5627" s="3">
        <v>116958</v>
      </c>
      <c r="D5627" s="3" t="s">
        <v>987</v>
      </c>
      <c r="E5627" s="4"/>
      <c r="F5627" s="3" t="s">
        <v>126</v>
      </c>
      <c r="G5627" s="9"/>
      <c r="H5627" s="9"/>
      <c r="I5627" s="12"/>
      <c r="J5627" s="5" t="e">
        <f>SUM(SUMIFS(#REF!,#REF!,Planning[[#This Row],[Tipo de Tarea y especialidad]],#REF!,Planning[[#This Row],[Proyectos Reiwa]]),SUMIFS(#REF!,#REF!,Planning[[#This Row],[Tipo de Tarea y especialidad]],#REF!,Planning[[#This Row],[Proyectos]]))</f>
        <v>#REF!</v>
      </c>
      <c r="K5627" s="5" t="e">
        <f>+Planning[[#This Row],[Horas Planificadas]]+Planning[[#This Row],[Horas ajustadas adicionales]]-Planning[[#This Row],[Horas utilizadas]]</f>
        <v>#REF!</v>
      </c>
      <c r="L5627" s="7">
        <v>0</v>
      </c>
      <c r="M5627" s="19" t="e">
        <f>Planning[[#This Row],[Saldo]]-Planning[[#This Row],[Saldo estimado]]</f>
        <v>#REF!</v>
      </c>
      <c r="N5627" s="60" t="e">
        <f>+SUMIFS(#REF!,#REF!,Planning[[#This Row],[Proyectos]],#REF!,Planning[[#This Row],[Tipo de Tarea y especialidad]])+SUMIFS(#REF!,#REF!,Planning[[#This Row],[Proyectos Reiwa]],#REF!,Planning[[#This Row],[Tipo de Tarea y especialidad]])</f>
        <v>#REF!</v>
      </c>
      <c r="O5627" s="19">
        <f t="shared" si="177"/>
        <v>10</v>
      </c>
      <c r="P5627" s="19">
        <f t="shared" si="178"/>
        <v>2024</v>
      </c>
      <c r="Q56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27" s="49" t="str">
        <f>TEXT(Planning[[#This Row],[Mes]]*29,"mmmm")</f>
        <v>October</v>
      </c>
      <c r="S562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27" s="152"/>
    </row>
    <row r="5628" spans="1:20" x14ac:dyDescent="0.2">
      <c r="A5628" s="9" t="s">
        <v>626</v>
      </c>
      <c r="B5628" s="9" t="s">
        <v>288</v>
      </c>
      <c r="C5628" s="3">
        <v>116958</v>
      </c>
      <c r="D5628" s="3" t="s">
        <v>987</v>
      </c>
      <c r="E5628" s="4"/>
      <c r="F5628" s="3" t="s">
        <v>127</v>
      </c>
      <c r="G5628" s="9"/>
      <c r="H5628" s="9"/>
      <c r="I5628" s="12"/>
      <c r="J5628" s="5" t="e">
        <f>SUM(SUMIFS(#REF!,#REF!,Planning[[#This Row],[Tipo de Tarea y especialidad]],#REF!,Planning[[#This Row],[Proyectos Reiwa]]),SUMIFS(#REF!,#REF!,Planning[[#This Row],[Tipo de Tarea y especialidad]],#REF!,Planning[[#This Row],[Proyectos]]))</f>
        <v>#REF!</v>
      </c>
      <c r="K5628" s="5" t="e">
        <f>+Planning[[#This Row],[Horas Planificadas]]+Planning[[#This Row],[Horas ajustadas adicionales]]-Planning[[#This Row],[Horas utilizadas]]</f>
        <v>#REF!</v>
      </c>
      <c r="L5628" s="7">
        <v>0</v>
      </c>
      <c r="M5628" s="19" t="e">
        <f>Planning[[#This Row],[Saldo]]-Planning[[#This Row],[Saldo estimado]]</f>
        <v>#REF!</v>
      </c>
      <c r="N5628" s="60" t="e">
        <f>+SUMIFS(#REF!,#REF!,Planning[[#This Row],[Proyectos]],#REF!,Planning[[#This Row],[Tipo de Tarea y especialidad]])+SUMIFS(#REF!,#REF!,Planning[[#This Row],[Proyectos Reiwa]],#REF!,Planning[[#This Row],[Tipo de Tarea y especialidad]])</f>
        <v>#REF!</v>
      </c>
      <c r="O5628" s="19">
        <f t="shared" si="177"/>
        <v>10</v>
      </c>
      <c r="P5628" s="19">
        <f t="shared" si="178"/>
        <v>2024</v>
      </c>
      <c r="Q56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28" s="49" t="str">
        <f>TEXT(Planning[[#This Row],[Mes]]*29,"mmmm")</f>
        <v>October</v>
      </c>
      <c r="S562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28" s="152"/>
    </row>
    <row r="5629" spans="1:20" x14ac:dyDescent="0.2">
      <c r="A5629" s="9" t="s">
        <v>626</v>
      </c>
      <c r="B5629" s="9" t="s">
        <v>288</v>
      </c>
      <c r="C5629" s="3">
        <v>116958</v>
      </c>
      <c r="D5629" s="3" t="s">
        <v>987</v>
      </c>
      <c r="E5629" s="4"/>
      <c r="F5629" s="3" t="s">
        <v>128</v>
      </c>
      <c r="G5629" s="9">
        <v>180</v>
      </c>
      <c r="H5629" s="9">
        <v>180</v>
      </c>
      <c r="I5629" s="12"/>
      <c r="J5629" s="5" t="e">
        <f>SUM(SUMIFS(#REF!,#REF!,Planning[[#This Row],[Tipo de Tarea y especialidad]],#REF!,Planning[[#This Row],[Proyectos Reiwa]]),SUMIFS(#REF!,#REF!,Planning[[#This Row],[Tipo de Tarea y especialidad]],#REF!,Planning[[#This Row],[Proyectos]]))</f>
        <v>#REF!</v>
      </c>
      <c r="K5629" s="5" t="e">
        <f>+Planning[[#This Row],[Horas Planificadas]]+Planning[[#This Row],[Horas ajustadas adicionales]]-Planning[[#This Row],[Horas utilizadas]]</f>
        <v>#REF!</v>
      </c>
      <c r="L5629" s="7">
        <v>0</v>
      </c>
      <c r="M5629" s="19" t="e">
        <f>Planning[[#This Row],[Saldo]]-Planning[[#This Row],[Saldo estimado]]</f>
        <v>#REF!</v>
      </c>
      <c r="N5629" s="60" t="e">
        <f>+SUMIFS(#REF!,#REF!,Planning[[#This Row],[Proyectos]],#REF!,Planning[[#This Row],[Tipo de Tarea y especialidad]])+SUMIFS(#REF!,#REF!,Planning[[#This Row],[Proyectos Reiwa]],#REF!,Planning[[#This Row],[Tipo de Tarea y especialidad]])</f>
        <v>#REF!</v>
      </c>
      <c r="O5629" s="19">
        <f t="shared" si="177"/>
        <v>10</v>
      </c>
      <c r="P5629" s="19">
        <f t="shared" si="178"/>
        <v>2024</v>
      </c>
      <c r="Q56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29" s="49" t="str">
        <f>TEXT(Planning[[#This Row],[Mes]]*29,"mmmm")</f>
        <v>October</v>
      </c>
      <c r="S562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29" s="152"/>
    </row>
    <row r="5630" spans="1:20" x14ac:dyDescent="0.2">
      <c r="A5630" s="9" t="s">
        <v>626</v>
      </c>
      <c r="B5630" s="9" t="s">
        <v>288</v>
      </c>
      <c r="C5630" s="3">
        <v>116958</v>
      </c>
      <c r="D5630" s="3" t="s">
        <v>987</v>
      </c>
      <c r="E5630" s="4" t="s">
        <v>31</v>
      </c>
      <c r="F5630" s="3" t="s">
        <v>31</v>
      </c>
      <c r="G5630" s="9"/>
      <c r="H5630" s="17"/>
      <c r="I5630" s="18"/>
      <c r="J5630" s="14" t="e">
        <f>+SUMIFS(#REF!,#REF!,Planning[[#This Row],[Tarifa]],#REF!,Planning[[#This Row],[Proyectos]])</f>
        <v>#REF!</v>
      </c>
      <c r="K5630" s="14" t="e">
        <f>+Planning[[#This Row],[Horas Planificadas]]+Planning[[#This Row],[Horas ajustadas adicionales]]-Planning[[#This Row],[Horas utilizadas]]</f>
        <v>#REF!</v>
      </c>
      <c r="L5630" s="15" t="e">
        <f>Planning[[#This Row],[Saldo]]</f>
        <v>#REF!</v>
      </c>
      <c r="M5630" s="16" t="e">
        <f>Planning[[#This Row],[Saldo]]-Planning[[#This Row],[Saldo estimado]]</f>
        <v>#REF!</v>
      </c>
      <c r="N5630" s="60" t="e">
        <f>+SUMIFS(#REF!,#REF!,Planning[[#This Row],[Proyectos]],#REF!,Planning[[#This Row],[Tipo de Tarea y especialidad]])+SUMIFS(#REF!,#REF!,Planning[[#This Row],[Proyectos Reiwa]],#REF!,Planning[[#This Row],[Tipo de Tarea y especialidad]])</f>
        <v>#REF!</v>
      </c>
      <c r="O5630" s="16">
        <f t="shared" si="177"/>
        <v>10</v>
      </c>
      <c r="P5630" s="16">
        <f t="shared" si="178"/>
        <v>2024</v>
      </c>
      <c r="Q5630" s="16" t="e">
        <f>+SUMIFS(#REF!,#REF!,Planning[[#This Row],[Tarifa]],#REF!,Planning[[#This Row],[Proyectos]],#REF!,Planning[[#This Row],[Mes]],#REF!,Planning[[#This Row],[Año]])</f>
        <v>#REF!</v>
      </c>
      <c r="R5630" s="50" t="str">
        <f>TEXT(Planning[[#This Row],[Mes]]*29,"mmmm")</f>
        <v>October</v>
      </c>
      <c r="S563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30" s="152"/>
    </row>
    <row r="5631" spans="1:20" ht="22.5" x14ac:dyDescent="0.2">
      <c r="A5631" s="9" t="s">
        <v>626</v>
      </c>
      <c r="B5631" s="9" t="s">
        <v>288</v>
      </c>
      <c r="C5631" s="3">
        <v>116958</v>
      </c>
      <c r="D5631" s="3" t="s">
        <v>987</v>
      </c>
      <c r="E5631" s="4" t="s">
        <v>32</v>
      </c>
      <c r="F5631" s="3"/>
      <c r="G5631" s="9"/>
      <c r="H5631" s="14">
        <f>SUM(H5632:H5634)</f>
        <v>0</v>
      </c>
      <c r="I5631" s="14"/>
      <c r="J5631" s="14" t="e">
        <f>SUM(J5632:J5634)</f>
        <v>#REF!</v>
      </c>
      <c r="K5631" s="14" t="e">
        <f>+Planning[[#This Row],[Horas Planificadas]]+Planning[[#This Row],[Horas ajustadas adicionales]]-Planning[[#This Row],[Horas utilizadas]]</f>
        <v>#REF!</v>
      </c>
      <c r="L5631" s="15">
        <f>SUM(L5632:L5634)</f>
        <v>0</v>
      </c>
      <c r="M5631" s="16" t="e">
        <f>SUM(M5632:M5634)</f>
        <v>#REF!</v>
      </c>
      <c r="N5631" s="60" t="e">
        <f>+SUMIFS(#REF!,#REF!,Planning[[#This Row],[Proyectos]],#REF!,Planning[[#This Row],[Tipo de Tarea y especialidad]])+SUMIFS(#REF!,#REF!,Planning[[#This Row],[Proyectos Reiwa]],#REF!,Planning[[#This Row],[Tipo de Tarea y especialidad]])</f>
        <v>#REF!</v>
      </c>
      <c r="O5631" s="16">
        <f t="shared" si="177"/>
        <v>10</v>
      </c>
      <c r="P5631" s="16">
        <f t="shared" si="178"/>
        <v>2024</v>
      </c>
      <c r="Q5631" s="16" t="e">
        <f>SUM(Q5632:Q5634)</f>
        <v>#REF!</v>
      </c>
      <c r="R5631" s="50" t="str">
        <f>TEXT(Planning[[#This Row],[Mes]]*29,"mmmm")</f>
        <v>October</v>
      </c>
      <c r="S563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31" s="152"/>
    </row>
    <row r="5632" spans="1:20" x14ac:dyDescent="0.2">
      <c r="A5632" s="9" t="s">
        <v>626</v>
      </c>
      <c r="B5632" s="9" t="s">
        <v>288</v>
      </c>
      <c r="C5632" s="3">
        <v>116958</v>
      </c>
      <c r="D5632" s="3" t="s">
        <v>987</v>
      </c>
      <c r="E5632" s="4"/>
      <c r="F5632" s="3" t="s">
        <v>129</v>
      </c>
      <c r="G5632" s="9"/>
      <c r="H5632" s="9"/>
      <c r="I5632" s="12"/>
      <c r="J5632" s="5" t="e">
        <f>SUM(SUMIFS(#REF!,#REF!,Planning[[#This Row],[Tipo de Tarea y especialidad]],#REF!,Planning[[#This Row],[Proyectos Reiwa]]),SUMIFS(#REF!,#REF!,Planning[[#This Row],[Tipo de Tarea y especialidad]],#REF!,Planning[[#This Row],[Proyectos]]))</f>
        <v>#REF!</v>
      </c>
      <c r="K5632" s="5" t="e">
        <f>+Planning[[#This Row],[Horas Planificadas]]+Planning[[#This Row],[Horas ajustadas adicionales]]-Planning[[#This Row],[Horas utilizadas]]</f>
        <v>#REF!</v>
      </c>
      <c r="L5632" s="7">
        <v>0</v>
      </c>
      <c r="M5632" s="19" t="e">
        <f>Planning[[#This Row],[Saldo]]-Planning[[#This Row],[Saldo estimado]]</f>
        <v>#REF!</v>
      </c>
      <c r="N5632" s="60" t="e">
        <f>+SUMIFS(#REF!,#REF!,Planning[[#This Row],[Proyectos]],#REF!,Planning[[#This Row],[Tipo de Tarea y especialidad]])+SUMIFS(#REF!,#REF!,Planning[[#This Row],[Proyectos Reiwa]],#REF!,Planning[[#This Row],[Tipo de Tarea y especialidad]])</f>
        <v>#REF!</v>
      </c>
      <c r="O5632" s="19">
        <f t="shared" si="177"/>
        <v>10</v>
      </c>
      <c r="P5632" s="19">
        <f t="shared" si="178"/>
        <v>2024</v>
      </c>
      <c r="Q56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32" s="49" t="str">
        <f>TEXT(Planning[[#This Row],[Mes]]*29,"mmmm")</f>
        <v>October</v>
      </c>
      <c r="S563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32" s="152"/>
    </row>
    <row r="5633" spans="1:23" x14ac:dyDescent="0.2">
      <c r="A5633" s="9" t="s">
        <v>626</v>
      </c>
      <c r="B5633" s="9" t="s">
        <v>288</v>
      </c>
      <c r="C5633" s="3">
        <v>116958</v>
      </c>
      <c r="D5633" s="3" t="s">
        <v>987</v>
      </c>
      <c r="E5633" s="4"/>
      <c r="F5633" s="3" t="s">
        <v>130</v>
      </c>
      <c r="G5633" s="9"/>
      <c r="H5633" s="9"/>
      <c r="I5633" s="12"/>
      <c r="J5633" s="5" t="e">
        <f>SUM(SUMIFS(#REF!,#REF!,Planning[[#This Row],[Tipo de Tarea y especialidad]],#REF!,Planning[[#This Row],[Proyectos Reiwa]]),SUMIFS(#REF!,#REF!,Planning[[#This Row],[Tipo de Tarea y especialidad]],#REF!,Planning[[#This Row],[Proyectos]]))</f>
        <v>#REF!</v>
      </c>
      <c r="K5633" s="5" t="e">
        <f>+Planning[[#This Row],[Horas Planificadas]]+Planning[[#This Row],[Horas ajustadas adicionales]]-Planning[[#This Row],[Horas utilizadas]]</f>
        <v>#REF!</v>
      </c>
      <c r="L5633" s="7">
        <v>0</v>
      </c>
      <c r="M5633" s="19" t="e">
        <f>Planning[[#This Row],[Saldo]]-Planning[[#This Row],[Saldo estimado]]</f>
        <v>#REF!</v>
      </c>
      <c r="N5633" s="60" t="e">
        <f>+SUMIFS(#REF!,#REF!,Planning[[#This Row],[Proyectos]],#REF!,Planning[[#This Row],[Tipo de Tarea y especialidad]])+SUMIFS(#REF!,#REF!,Planning[[#This Row],[Proyectos Reiwa]],#REF!,Planning[[#This Row],[Tipo de Tarea y especialidad]])</f>
        <v>#REF!</v>
      </c>
      <c r="O5633" s="19">
        <f t="shared" si="177"/>
        <v>10</v>
      </c>
      <c r="P5633" s="19">
        <f t="shared" si="178"/>
        <v>2024</v>
      </c>
      <c r="Q56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33" s="49" t="str">
        <f>TEXT(Planning[[#This Row],[Mes]]*29,"mmmm")</f>
        <v>October</v>
      </c>
      <c r="S563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33" s="152"/>
    </row>
    <row r="5634" spans="1:23" ht="14.1" customHeight="1" x14ac:dyDescent="0.2">
      <c r="A5634" s="9" t="s">
        <v>626</v>
      </c>
      <c r="B5634" s="9" t="s">
        <v>288</v>
      </c>
      <c r="C5634" s="3">
        <v>116958</v>
      </c>
      <c r="D5634" s="3" t="s">
        <v>987</v>
      </c>
      <c r="E5634" s="4"/>
      <c r="F5634" s="3" t="s">
        <v>131</v>
      </c>
      <c r="G5634" s="9"/>
      <c r="H5634" s="9"/>
      <c r="I5634" s="12"/>
      <c r="J5634" s="5" t="e">
        <f>SUM(SUMIFS(#REF!,#REF!,Planning[[#This Row],[Tipo de Tarea y especialidad]],#REF!,Planning[[#This Row],[Proyectos Reiwa]]),SUMIFS(#REF!,#REF!,Planning[[#This Row],[Tipo de Tarea y especialidad]],#REF!,Planning[[#This Row],[Proyectos]]))</f>
        <v>#REF!</v>
      </c>
      <c r="K5634" s="5" t="e">
        <f>+Planning[[#This Row],[Horas Planificadas]]+Planning[[#This Row],[Horas ajustadas adicionales]]-Planning[[#This Row],[Horas utilizadas]]</f>
        <v>#REF!</v>
      </c>
      <c r="L5634" s="7">
        <v>0</v>
      </c>
      <c r="M5634" s="19" t="e">
        <f>Planning[[#This Row],[Saldo]]-Planning[[#This Row],[Saldo estimado]]</f>
        <v>#REF!</v>
      </c>
      <c r="N5634" s="60" t="e">
        <f>+SUMIFS(#REF!,#REF!,Planning[[#This Row],[Proyectos]],#REF!,Planning[[#This Row],[Tipo de Tarea y especialidad]])+SUMIFS(#REF!,#REF!,Planning[[#This Row],[Proyectos Reiwa]],#REF!,Planning[[#This Row],[Tipo de Tarea y especialidad]])</f>
        <v>#REF!</v>
      </c>
      <c r="O5634" s="19">
        <f t="shared" si="177"/>
        <v>10</v>
      </c>
      <c r="P5634" s="19">
        <f t="shared" si="178"/>
        <v>2024</v>
      </c>
      <c r="Q56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34" s="51" t="str">
        <f>TEXT(Planning[[#This Row],[Mes]]*29,"mmmm")</f>
        <v>October</v>
      </c>
      <c r="S5634"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34" s="153"/>
    </row>
    <row r="5635" spans="1:23" ht="14.1" customHeight="1" x14ac:dyDescent="0.2">
      <c r="A5635" s="9" t="s">
        <v>483</v>
      </c>
      <c r="B5635" s="9" t="s">
        <v>582</v>
      </c>
      <c r="C5635" s="3">
        <v>117052</v>
      </c>
      <c r="D5635" s="3" t="s">
        <v>989</v>
      </c>
      <c r="E5635" s="4" t="s">
        <v>28</v>
      </c>
      <c r="F5635" s="3"/>
      <c r="G5635" s="9">
        <v>0</v>
      </c>
      <c r="H5635" s="14">
        <f>SUM(H5636:H5637)</f>
        <v>0</v>
      </c>
      <c r="I5635" s="14"/>
      <c r="J5635" s="14" t="e">
        <f>SUM(J5636:J5637)</f>
        <v>#REF!</v>
      </c>
      <c r="K5635" s="14" t="e">
        <f>+Planning[[#This Row],[Horas Planificadas]]+Planning[[#This Row],[Horas ajustadas adicionales]]-Planning[[#This Row],[Horas utilizadas]]</f>
        <v>#REF!</v>
      </c>
      <c r="L5635" s="15" t="e">
        <f>SUM(L5636:L5637)</f>
        <v>#REF!</v>
      </c>
      <c r="M5635" s="14" t="e">
        <f>SUM(M5636:M5637)</f>
        <v>#REF!</v>
      </c>
      <c r="N5635" s="60" t="e">
        <f>+SUMIFS(#REF!,#REF!,Planning[[#This Row],[Proyectos]],#REF!,Planning[[#This Row],[Tipo de Tarea y especialidad]])+SUMIFS(#REF!,#REF!,Planning[[#This Row],[Proyectos Reiwa]],#REF!,Planning[[#This Row],[Tipo de Tarea y especialidad]])</f>
        <v>#REF!</v>
      </c>
      <c r="O5635" s="14">
        <f t="shared" si="177"/>
        <v>10</v>
      </c>
      <c r="P5635" s="14">
        <f t="shared" si="178"/>
        <v>2024</v>
      </c>
      <c r="Q5635" s="28" t="e">
        <f>SUM(Q5636:Q5637)</f>
        <v>#REF!</v>
      </c>
      <c r="R5635" s="24" t="str">
        <f>TEXT(Planning[[#This Row],[Mes]]*29,"mmmm")</f>
        <v>October</v>
      </c>
      <c r="S5635"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35" s="161" t="s">
        <v>990</v>
      </c>
      <c r="U5635" s="93"/>
      <c r="V5635" s="93"/>
      <c r="W5635" s="94"/>
    </row>
    <row r="5636" spans="1:23" ht="14.1" customHeight="1" x14ac:dyDescent="0.2">
      <c r="A5636" s="9" t="s">
        <v>483</v>
      </c>
      <c r="B5636" s="9" t="s">
        <v>582</v>
      </c>
      <c r="C5636" s="3">
        <v>117052</v>
      </c>
      <c r="D5636" s="3" t="s">
        <v>989</v>
      </c>
      <c r="E5636" s="4"/>
      <c r="F5636" s="3" t="s">
        <v>120</v>
      </c>
      <c r="G5636" s="9"/>
      <c r="H5636" s="9">
        <v>0</v>
      </c>
      <c r="I5636" s="12"/>
      <c r="J5636" s="5" t="e">
        <f>SUM(SUMIFS(#REF!,#REF!,Planning[[#This Row],[Tipo de Tarea y especialidad]],#REF!,Planning[[#This Row],[Proyectos Reiwa]]),SUMIFS(#REF!,#REF!,Planning[[#This Row],[Tipo de Tarea y especialidad]],#REF!,Planning[[#This Row],[Proyectos]]))</f>
        <v>#REF!</v>
      </c>
      <c r="K5636" s="5" t="e">
        <f>+Planning[[#This Row],[Horas Planificadas]]+Planning[[#This Row],[Horas ajustadas adicionales]]-Planning[[#This Row],[Horas utilizadas]]</f>
        <v>#REF!</v>
      </c>
      <c r="L5636" s="7" t="e">
        <f>Planning[[#This Row],[Saldo]]</f>
        <v>#REF!</v>
      </c>
      <c r="M5636" s="19" t="e">
        <f>Planning[[#This Row],[Saldo]]-Planning[[#This Row],[Saldo estimado]]</f>
        <v>#REF!</v>
      </c>
      <c r="N5636" s="60" t="e">
        <f>+SUMIFS(#REF!,#REF!,Planning[[#This Row],[Proyectos]],#REF!,Planning[[#This Row],[Tipo de Tarea y especialidad]])+SUMIFS(#REF!,#REF!,Planning[[#This Row],[Proyectos Reiwa]],#REF!,Planning[[#This Row],[Tipo de Tarea y especialidad]])</f>
        <v>#REF!</v>
      </c>
      <c r="O5636" s="19">
        <f t="shared" si="177"/>
        <v>10</v>
      </c>
      <c r="P5636" s="19">
        <f t="shared" si="178"/>
        <v>2024</v>
      </c>
      <c r="Q56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36" s="49" t="str">
        <f>TEXT(Planning[[#This Row],[Mes]]*29,"mmmm")</f>
        <v>October</v>
      </c>
      <c r="S563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36" s="156"/>
      <c r="U5636" s="93"/>
      <c r="V5636" s="93"/>
      <c r="W5636" s="94"/>
    </row>
    <row r="5637" spans="1:23" ht="14.1" customHeight="1" x14ac:dyDescent="0.2">
      <c r="A5637" s="9" t="s">
        <v>483</v>
      </c>
      <c r="B5637" s="9" t="s">
        <v>582</v>
      </c>
      <c r="C5637" s="3">
        <v>117052</v>
      </c>
      <c r="D5637" s="3" t="s">
        <v>989</v>
      </c>
      <c r="E5637" s="4"/>
      <c r="F5637" s="3" t="s">
        <v>121</v>
      </c>
      <c r="G5637" s="9"/>
      <c r="H5637" s="9">
        <v>0</v>
      </c>
      <c r="I5637" s="12"/>
      <c r="J5637" s="5" t="e">
        <f>SUM(SUMIFS(#REF!,#REF!,Planning[[#This Row],[Tipo de Tarea y especialidad]],#REF!,Planning[[#This Row],[Proyectos Reiwa]]),SUMIFS(#REF!,#REF!,Planning[[#This Row],[Tipo de Tarea y especialidad]],#REF!,Planning[[#This Row],[Proyectos]]))</f>
        <v>#REF!</v>
      </c>
      <c r="K5637" s="5" t="e">
        <f>+Planning[[#This Row],[Horas Planificadas]]+Planning[[#This Row],[Horas ajustadas adicionales]]-Planning[[#This Row],[Horas utilizadas]]</f>
        <v>#REF!</v>
      </c>
      <c r="L5637" s="7" t="e">
        <f>Planning[[#This Row],[Saldo]]</f>
        <v>#REF!</v>
      </c>
      <c r="M5637" s="19" t="e">
        <f>Planning[[#This Row],[Saldo]]-Planning[[#This Row],[Saldo estimado]]</f>
        <v>#REF!</v>
      </c>
      <c r="N5637" s="60" t="e">
        <f>+SUMIFS(#REF!,#REF!,Planning[[#This Row],[Proyectos]],#REF!,Planning[[#This Row],[Tipo de Tarea y especialidad]])+SUMIFS(#REF!,#REF!,Planning[[#This Row],[Proyectos Reiwa]],#REF!,Planning[[#This Row],[Tipo de Tarea y especialidad]])</f>
        <v>#REF!</v>
      </c>
      <c r="O5637" s="19">
        <f t="shared" si="177"/>
        <v>10</v>
      </c>
      <c r="P5637" s="19">
        <f t="shared" si="178"/>
        <v>2024</v>
      </c>
      <c r="Q56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37" s="49" t="str">
        <f>TEXT(Planning[[#This Row],[Mes]]*29,"mmmm")</f>
        <v>October</v>
      </c>
      <c r="S563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37" s="156"/>
      <c r="U5637" s="93"/>
      <c r="V5637" s="93"/>
      <c r="W5637" s="94"/>
    </row>
    <row r="5638" spans="1:23" ht="14.1" customHeight="1" x14ac:dyDescent="0.2">
      <c r="A5638" s="9" t="s">
        <v>483</v>
      </c>
      <c r="B5638" s="9" t="s">
        <v>582</v>
      </c>
      <c r="C5638" s="3">
        <v>117052</v>
      </c>
      <c r="D5638" s="3" t="s">
        <v>989</v>
      </c>
      <c r="E5638" s="4" t="s">
        <v>30</v>
      </c>
      <c r="F5638" s="3"/>
      <c r="G5638" s="9">
        <v>72</v>
      </c>
      <c r="H5638" s="14">
        <f>SUM(H5639:H5645)</f>
        <v>72</v>
      </c>
      <c r="I5638" s="14"/>
      <c r="J5638" s="14" t="e">
        <f>SUM(J5639:J5645)</f>
        <v>#REF!</v>
      </c>
      <c r="K5638" s="14" t="e">
        <f>+Planning[[#This Row],[Horas Planificadas]]+Planning[[#This Row],[Horas ajustadas adicionales]]-Planning[[#This Row],[Horas utilizadas]]</f>
        <v>#REF!</v>
      </c>
      <c r="L5638" s="15" t="e">
        <f>SUM(L5639:L5645)</f>
        <v>#REF!</v>
      </c>
      <c r="M5638" s="16" t="e">
        <f>SUM(M5639:M5645)</f>
        <v>#REF!</v>
      </c>
      <c r="N5638" s="60" t="e">
        <f>+SUMIFS(#REF!,#REF!,Planning[[#This Row],[Proyectos]],#REF!,Planning[[#This Row],[Tipo de Tarea y especialidad]])+SUMIFS(#REF!,#REF!,Planning[[#This Row],[Proyectos Reiwa]],#REF!,Planning[[#This Row],[Tipo de Tarea y especialidad]])</f>
        <v>#REF!</v>
      </c>
      <c r="O5638" s="16">
        <f t="shared" si="177"/>
        <v>10</v>
      </c>
      <c r="P5638" s="16">
        <f t="shared" si="178"/>
        <v>2024</v>
      </c>
      <c r="Q5638" s="16" t="e">
        <f>SUM(Q5639:Q5645)</f>
        <v>#REF!</v>
      </c>
      <c r="R5638" s="50" t="str">
        <f>TEXT(Planning[[#This Row],[Mes]]*29,"mmmm")</f>
        <v>October</v>
      </c>
      <c r="S563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38" s="156"/>
      <c r="U5638" s="93"/>
      <c r="V5638" s="93"/>
      <c r="W5638" s="94"/>
    </row>
    <row r="5639" spans="1:23" ht="14.1" customHeight="1" x14ac:dyDescent="0.2">
      <c r="A5639" s="9" t="s">
        <v>483</v>
      </c>
      <c r="B5639" s="9" t="s">
        <v>582</v>
      </c>
      <c r="C5639" s="3">
        <v>117052</v>
      </c>
      <c r="D5639" s="3" t="s">
        <v>989</v>
      </c>
      <c r="E5639" s="4"/>
      <c r="F5639" s="3" t="s">
        <v>122</v>
      </c>
      <c r="G5639" s="9"/>
      <c r="H5639" s="9">
        <v>0</v>
      </c>
      <c r="I5639" s="12"/>
      <c r="J5639" s="5" t="e">
        <f>SUM(SUMIFS(#REF!,#REF!,Planning[[#This Row],[Tipo de Tarea y especialidad]],#REF!,Planning[[#This Row],[Proyectos Reiwa]]),SUMIFS(#REF!,#REF!,Planning[[#This Row],[Tipo de Tarea y especialidad]],#REF!,Planning[[#This Row],[Proyectos]]))</f>
        <v>#REF!</v>
      </c>
      <c r="K5639" s="5" t="e">
        <f>+Planning[[#This Row],[Horas Planificadas]]+Planning[[#This Row],[Horas ajustadas adicionales]]-Planning[[#This Row],[Horas utilizadas]]</f>
        <v>#REF!</v>
      </c>
      <c r="L5639" s="7">
        <v>0</v>
      </c>
      <c r="M5639" s="19" t="e">
        <f>Planning[[#This Row],[Saldo]]-Planning[[#This Row],[Saldo estimado]]</f>
        <v>#REF!</v>
      </c>
      <c r="N5639" s="60" t="e">
        <f>+SUMIFS(#REF!,#REF!,Planning[[#This Row],[Proyectos]],#REF!,Planning[[#This Row],[Tipo de Tarea y especialidad]])+SUMIFS(#REF!,#REF!,Planning[[#This Row],[Proyectos Reiwa]],#REF!,Planning[[#This Row],[Tipo de Tarea y especialidad]])</f>
        <v>#REF!</v>
      </c>
      <c r="O5639" s="19">
        <f t="shared" si="177"/>
        <v>10</v>
      </c>
      <c r="P5639" s="19">
        <f t="shared" si="178"/>
        <v>2024</v>
      </c>
      <c r="Q56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39" s="49" t="str">
        <f>TEXT(Planning[[#This Row],[Mes]]*29,"mmmm")</f>
        <v>October</v>
      </c>
      <c r="S563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39" s="156"/>
      <c r="U5639" s="93"/>
      <c r="V5639" s="93"/>
      <c r="W5639" s="94"/>
    </row>
    <row r="5640" spans="1:23" ht="14.1" customHeight="1" x14ac:dyDescent="0.2">
      <c r="A5640" s="9" t="s">
        <v>483</v>
      </c>
      <c r="B5640" s="9" t="s">
        <v>582</v>
      </c>
      <c r="C5640" s="3">
        <v>117052</v>
      </c>
      <c r="D5640" s="3" t="s">
        <v>989</v>
      </c>
      <c r="E5640" s="4"/>
      <c r="F5640" s="3" t="s">
        <v>123</v>
      </c>
      <c r="G5640" s="9"/>
      <c r="H5640" s="9">
        <v>63</v>
      </c>
      <c r="I5640" s="12"/>
      <c r="J5640" s="5" t="e">
        <f>SUM(SUMIFS(#REF!,#REF!,Planning[[#This Row],[Tipo de Tarea y especialidad]],#REF!,Planning[[#This Row],[Proyectos Reiwa]]),SUMIFS(#REF!,#REF!,Planning[[#This Row],[Tipo de Tarea y especialidad]],#REF!,Planning[[#This Row],[Proyectos]]))</f>
        <v>#REF!</v>
      </c>
      <c r="K5640" s="5" t="e">
        <f>+Planning[[#This Row],[Horas Planificadas]]+Planning[[#This Row],[Horas ajustadas adicionales]]-Planning[[#This Row],[Horas utilizadas]]</f>
        <v>#REF!</v>
      </c>
      <c r="L5640" s="7">
        <v>0</v>
      </c>
      <c r="M5640" s="19" t="e">
        <f>Planning[[#This Row],[Saldo]]-Planning[[#This Row],[Saldo estimado]]</f>
        <v>#REF!</v>
      </c>
      <c r="N5640" s="60" t="e">
        <f>+SUMIFS(#REF!,#REF!,Planning[[#This Row],[Proyectos]],#REF!,Planning[[#This Row],[Tipo de Tarea y especialidad]])+SUMIFS(#REF!,#REF!,Planning[[#This Row],[Proyectos Reiwa]],#REF!,Planning[[#This Row],[Tipo de Tarea y especialidad]])</f>
        <v>#REF!</v>
      </c>
      <c r="O5640" s="19">
        <f t="shared" si="177"/>
        <v>10</v>
      </c>
      <c r="P5640" s="19">
        <f t="shared" si="178"/>
        <v>2024</v>
      </c>
      <c r="Q56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40" s="49" t="str">
        <f>TEXT(Planning[[#This Row],[Mes]]*29,"mmmm")</f>
        <v>October</v>
      </c>
      <c r="S564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40" s="156"/>
      <c r="U5640" s="93"/>
      <c r="V5640" s="93"/>
      <c r="W5640" s="94"/>
    </row>
    <row r="5641" spans="1:23" ht="14.1" customHeight="1" x14ac:dyDescent="0.2">
      <c r="A5641" s="9" t="s">
        <v>483</v>
      </c>
      <c r="B5641" s="9" t="s">
        <v>582</v>
      </c>
      <c r="C5641" s="3">
        <v>117052</v>
      </c>
      <c r="D5641" s="3" t="s">
        <v>989</v>
      </c>
      <c r="E5641" s="4"/>
      <c r="F5641" s="3" t="s">
        <v>124</v>
      </c>
      <c r="G5641" s="9"/>
      <c r="H5641" s="9">
        <v>0</v>
      </c>
      <c r="I5641" s="12"/>
      <c r="J5641" s="5" t="e">
        <f>SUM(SUMIFS(#REF!,#REF!,Planning[[#This Row],[Tipo de Tarea y especialidad]],#REF!,Planning[[#This Row],[Proyectos Reiwa]]),SUMIFS(#REF!,#REF!,Planning[[#This Row],[Tipo de Tarea y especialidad]],#REF!,Planning[[#This Row],[Proyectos]]))</f>
        <v>#REF!</v>
      </c>
      <c r="K5641" s="5" t="e">
        <f>+Planning[[#This Row],[Horas Planificadas]]+Planning[[#This Row],[Horas ajustadas adicionales]]-Planning[[#This Row],[Horas utilizadas]]</f>
        <v>#REF!</v>
      </c>
      <c r="L5641" s="7">
        <v>0</v>
      </c>
      <c r="M5641" s="19" t="e">
        <f>Planning[[#This Row],[Saldo]]-Planning[[#This Row],[Saldo estimado]]</f>
        <v>#REF!</v>
      </c>
      <c r="N5641" s="60" t="e">
        <f>+SUMIFS(#REF!,#REF!,Planning[[#This Row],[Proyectos]],#REF!,Planning[[#This Row],[Tipo de Tarea y especialidad]])+SUMIFS(#REF!,#REF!,Planning[[#This Row],[Proyectos Reiwa]],#REF!,Planning[[#This Row],[Tipo de Tarea y especialidad]])</f>
        <v>#REF!</v>
      </c>
      <c r="O5641" s="19">
        <f t="shared" si="177"/>
        <v>10</v>
      </c>
      <c r="P5641" s="19">
        <f t="shared" si="178"/>
        <v>2024</v>
      </c>
      <c r="Q56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41" s="49" t="str">
        <f>TEXT(Planning[[#This Row],[Mes]]*29,"mmmm")</f>
        <v>October</v>
      </c>
      <c r="S564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41" s="156"/>
      <c r="U5641" s="93"/>
      <c r="V5641" s="93"/>
      <c r="W5641" s="94"/>
    </row>
    <row r="5642" spans="1:23" ht="14.1" customHeight="1" x14ac:dyDescent="0.2">
      <c r="A5642" s="9" t="s">
        <v>483</v>
      </c>
      <c r="B5642" s="9" t="s">
        <v>582</v>
      </c>
      <c r="C5642" s="3">
        <v>117052</v>
      </c>
      <c r="D5642" s="3" t="s">
        <v>989</v>
      </c>
      <c r="E5642" s="4"/>
      <c r="F5642" s="3" t="s">
        <v>125</v>
      </c>
      <c r="G5642" s="9"/>
      <c r="H5642" s="9">
        <v>9</v>
      </c>
      <c r="I5642" s="12"/>
      <c r="J5642" s="5" t="e">
        <f>SUM(SUMIFS(#REF!,#REF!,Planning[[#This Row],[Tipo de Tarea y especialidad]],#REF!,Planning[[#This Row],[Proyectos Reiwa]]),SUMIFS(#REF!,#REF!,Planning[[#This Row],[Tipo de Tarea y especialidad]],#REF!,Planning[[#This Row],[Proyectos]]))</f>
        <v>#REF!</v>
      </c>
      <c r="K5642" s="5" t="e">
        <f>+Planning[[#This Row],[Horas Planificadas]]+Planning[[#This Row],[Horas ajustadas adicionales]]-Planning[[#This Row],[Horas utilizadas]]</f>
        <v>#REF!</v>
      </c>
      <c r="L5642" s="7">
        <v>9</v>
      </c>
      <c r="M5642" s="19" t="e">
        <f>Planning[[#This Row],[Saldo]]-Planning[[#This Row],[Saldo estimado]]</f>
        <v>#REF!</v>
      </c>
      <c r="N5642" s="60" t="e">
        <f>+SUMIFS(#REF!,#REF!,Planning[[#This Row],[Proyectos]],#REF!,Planning[[#This Row],[Tipo de Tarea y especialidad]])+SUMIFS(#REF!,#REF!,Planning[[#This Row],[Proyectos Reiwa]],#REF!,Planning[[#This Row],[Tipo de Tarea y especialidad]])</f>
        <v>#REF!</v>
      </c>
      <c r="O5642" s="19">
        <f t="shared" si="177"/>
        <v>10</v>
      </c>
      <c r="P5642" s="19">
        <f t="shared" si="178"/>
        <v>2024</v>
      </c>
      <c r="Q56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42" s="49" t="str">
        <f>TEXT(Planning[[#This Row],[Mes]]*29,"mmmm")</f>
        <v>October</v>
      </c>
      <c r="S564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42" s="156"/>
      <c r="U5642" s="93"/>
      <c r="V5642" s="93"/>
      <c r="W5642" s="94"/>
    </row>
    <row r="5643" spans="1:23" ht="14.1" customHeight="1" x14ac:dyDescent="0.2">
      <c r="A5643" s="9" t="s">
        <v>483</v>
      </c>
      <c r="B5643" s="9" t="s">
        <v>582</v>
      </c>
      <c r="C5643" s="3">
        <v>117052</v>
      </c>
      <c r="D5643" s="3" t="s">
        <v>989</v>
      </c>
      <c r="E5643" s="4"/>
      <c r="F5643" s="3" t="s">
        <v>126</v>
      </c>
      <c r="G5643" s="9"/>
      <c r="H5643" s="9">
        <v>0</v>
      </c>
      <c r="I5643" s="12"/>
      <c r="J5643" s="5" t="e">
        <f>SUM(SUMIFS(#REF!,#REF!,Planning[[#This Row],[Tipo de Tarea y especialidad]],#REF!,Planning[[#This Row],[Proyectos Reiwa]]),SUMIFS(#REF!,#REF!,Planning[[#This Row],[Tipo de Tarea y especialidad]],#REF!,Planning[[#This Row],[Proyectos]]))</f>
        <v>#REF!</v>
      </c>
      <c r="K5643" s="5" t="e">
        <f>+Planning[[#This Row],[Horas Planificadas]]+Planning[[#This Row],[Horas ajustadas adicionales]]-Planning[[#This Row],[Horas utilizadas]]</f>
        <v>#REF!</v>
      </c>
      <c r="L5643" s="7" t="e">
        <f>Planning[[#This Row],[Saldo]]</f>
        <v>#REF!</v>
      </c>
      <c r="M5643" s="19" t="e">
        <f>Planning[[#This Row],[Saldo]]-Planning[[#This Row],[Saldo estimado]]</f>
        <v>#REF!</v>
      </c>
      <c r="N5643" s="60" t="e">
        <f>+SUMIFS(#REF!,#REF!,Planning[[#This Row],[Proyectos]],#REF!,Planning[[#This Row],[Tipo de Tarea y especialidad]])+SUMIFS(#REF!,#REF!,Planning[[#This Row],[Proyectos Reiwa]],#REF!,Planning[[#This Row],[Tipo de Tarea y especialidad]])</f>
        <v>#REF!</v>
      </c>
      <c r="O5643" s="19">
        <f t="shared" si="177"/>
        <v>10</v>
      </c>
      <c r="P5643" s="19">
        <f t="shared" si="178"/>
        <v>2024</v>
      </c>
      <c r="Q56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43" s="49" t="str">
        <f>TEXT(Planning[[#This Row],[Mes]]*29,"mmmm")</f>
        <v>October</v>
      </c>
      <c r="S564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43" s="156"/>
      <c r="U5643" s="93"/>
      <c r="V5643" s="93"/>
      <c r="W5643" s="94"/>
    </row>
    <row r="5644" spans="1:23" ht="14.1" customHeight="1" x14ac:dyDescent="0.2">
      <c r="A5644" s="9" t="s">
        <v>483</v>
      </c>
      <c r="B5644" s="9" t="s">
        <v>582</v>
      </c>
      <c r="C5644" s="3">
        <v>117052</v>
      </c>
      <c r="D5644" s="3" t="s">
        <v>989</v>
      </c>
      <c r="E5644" s="4"/>
      <c r="F5644" s="3" t="s">
        <v>127</v>
      </c>
      <c r="G5644" s="9"/>
      <c r="H5644" s="9">
        <v>0</v>
      </c>
      <c r="I5644" s="12"/>
      <c r="J5644" s="5" t="e">
        <f>SUM(SUMIFS(#REF!,#REF!,Planning[[#This Row],[Tipo de Tarea y especialidad]],#REF!,Planning[[#This Row],[Proyectos Reiwa]]),SUMIFS(#REF!,#REF!,Planning[[#This Row],[Tipo de Tarea y especialidad]],#REF!,Planning[[#This Row],[Proyectos]]))</f>
        <v>#REF!</v>
      </c>
      <c r="K5644" s="5" t="e">
        <f>+Planning[[#This Row],[Horas Planificadas]]+Planning[[#This Row],[Horas ajustadas adicionales]]-Planning[[#This Row],[Horas utilizadas]]</f>
        <v>#REF!</v>
      </c>
      <c r="L5644" s="7">
        <v>0</v>
      </c>
      <c r="M5644" s="19" t="e">
        <f>Planning[[#This Row],[Saldo]]-Planning[[#This Row],[Saldo estimado]]</f>
        <v>#REF!</v>
      </c>
      <c r="N5644" s="60" t="e">
        <f>+SUMIFS(#REF!,#REF!,Planning[[#This Row],[Proyectos]],#REF!,Planning[[#This Row],[Tipo de Tarea y especialidad]])+SUMIFS(#REF!,#REF!,Planning[[#This Row],[Proyectos Reiwa]],#REF!,Planning[[#This Row],[Tipo de Tarea y especialidad]])</f>
        <v>#REF!</v>
      </c>
      <c r="O5644" s="19">
        <f t="shared" si="177"/>
        <v>10</v>
      </c>
      <c r="P5644" s="19">
        <f t="shared" si="178"/>
        <v>2024</v>
      </c>
      <c r="Q56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44" s="49" t="str">
        <f>TEXT(Planning[[#This Row],[Mes]]*29,"mmmm")</f>
        <v>October</v>
      </c>
      <c r="S564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44" s="156"/>
      <c r="U5644" s="93"/>
      <c r="V5644" s="93"/>
      <c r="W5644" s="94"/>
    </row>
    <row r="5645" spans="1:23" ht="14.1" customHeight="1" x14ac:dyDescent="0.2">
      <c r="A5645" s="9" t="s">
        <v>483</v>
      </c>
      <c r="B5645" s="9" t="s">
        <v>582</v>
      </c>
      <c r="C5645" s="3">
        <v>117052</v>
      </c>
      <c r="D5645" s="3" t="s">
        <v>989</v>
      </c>
      <c r="E5645" s="4"/>
      <c r="F5645" s="3" t="s">
        <v>128</v>
      </c>
      <c r="G5645" s="9"/>
      <c r="H5645" s="9">
        <v>0</v>
      </c>
      <c r="I5645" s="12"/>
      <c r="J5645" s="5" t="e">
        <f>SUM(SUMIFS(#REF!,#REF!,Planning[[#This Row],[Tipo de Tarea y especialidad]],#REF!,Planning[[#This Row],[Proyectos Reiwa]]),SUMIFS(#REF!,#REF!,Planning[[#This Row],[Tipo de Tarea y especialidad]],#REF!,Planning[[#This Row],[Proyectos]]))</f>
        <v>#REF!</v>
      </c>
      <c r="K5645" s="5" t="e">
        <f>+Planning[[#This Row],[Horas Planificadas]]+Planning[[#This Row],[Horas ajustadas adicionales]]-Planning[[#This Row],[Horas utilizadas]]</f>
        <v>#REF!</v>
      </c>
      <c r="L5645" s="7" t="e">
        <f>Planning[[#This Row],[Saldo]]</f>
        <v>#REF!</v>
      </c>
      <c r="M5645" s="19" t="e">
        <f>Planning[[#This Row],[Saldo]]-Planning[[#This Row],[Saldo estimado]]</f>
        <v>#REF!</v>
      </c>
      <c r="N5645" s="60" t="e">
        <f>+SUMIFS(#REF!,#REF!,Planning[[#This Row],[Proyectos]],#REF!,Planning[[#This Row],[Tipo de Tarea y especialidad]])+SUMIFS(#REF!,#REF!,Planning[[#This Row],[Proyectos Reiwa]],#REF!,Planning[[#This Row],[Tipo de Tarea y especialidad]])</f>
        <v>#REF!</v>
      </c>
      <c r="O5645" s="19">
        <f t="shared" si="177"/>
        <v>10</v>
      </c>
      <c r="P5645" s="19">
        <f t="shared" si="178"/>
        <v>2024</v>
      </c>
      <c r="Q56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45" s="49" t="str">
        <f>TEXT(Planning[[#This Row],[Mes]]*29,"mmmm")</f>
        <v>October</v>
      </c>
      <c r="S564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45" s="156"/>
      <c r="U5645" s="93"/>
      <c r="V5645" s="93"/>
      <c r="W5645" s="94"/>
    </row>
    <row r="5646" spans="1:23" ht="14.1" customHeight="1" x14ac:dyDescent="0.2">
      <c r="A5646" s="9" t="s">
        <v>483</v>
      </c>
      <c r="B5646" s="9" t="s">
        <v>582</v>
      </c>
      <c r="C5646" s="3">
        <v>117052</v>
      </c>
      <c r="D5646" s="3" t="s">
        <v>989</v>
      </c>
      <c r="E5646" s="4" t="s">
        <v>31</v>
      </c>
      <c r="F5646" s="3" t="s">
        <v>31</v>
      </c>
      <c r="G5646" s="9">
        <v>16</v>
      </c>
      <c r="H5646" s="17">
        <v>16</v>
      </c>
      <c r="I5646" s="18"/>
      <c r="J5646" s="14" t="e">
        <f>+SUMIFS(#REF!,#REF!,Planning[[#This Row],[Tarifa]],#REF!,Planning[[#This Row],[Proyectos]])</f>
        <v>#REF!</v>
      </c>
      <c r="K5646" s="14" t="e">
        <f>+Planning[[#This Row],[Horas Planificadas]]+Planning[[#This Row],[Horas ajustadas adicionales]]-Planning[[#This Row],[Horas utilizadas]]</f>
        <v>#REF!</v>
      </c>
      <c r="L5646" s="15" t="e">
        <f>Planning[[#This Row],[Saldo]]</f>
        <v>#REF!</v>
      </c>
      <c r="M5646" s="16" t="e">
        <f>Planning[[#This Row],[Saldo]]-Planning[[#This Row],[Saldo estimado]]</f>
        <v>#REF!</v>
      </c>
      <c r="N5646" s="60" t="e">
        <f>+SUMIFS(#REF!,#REF!,Planning[[#This Row],[Proyectos]],#REF!,Planning[[#This Row],[Tipo de Tarea y especialidad]])+SUMIFS(#REF!,#REF!,Planning[[#This Row],[Proyectos Reiwa]],#REF!,Planning[[#This Row],[Tipo de Tarea y especialidad]])</f>
        <v>#REF!</v>
      </c>
      <c r="O5646" s="16">
        <f t="shared" si="177"/>
        <v>10</v>
      </c>
      <c r="P5646" s="16">
        <f t="shared" si="178"/>
        <v>2024</v>
      </c>
      <c r="Q5646" s="16" t="e">
        <f>+SUMIFS(#REF!,#REF!,Planning[[#This Row],[Tarifa]],#REF!,Planning[[#This Row],[Proyectos]],#REF!,Planning[[#This Row],[Mes]],#REF!,Planning[[#This Row],[Año]])</f>
        <v>#REF!</v>
      </c>
      <c r="R5646" s="50" t="str">
        <f>TEXT(Planning[[#This Row],[Mes]]*29,"mmmm")</f>
        <v>October</v>
      </c>
      <c r="S564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46" s="156"/>
      <c r="U5646" s="93"/>
      <c r="V5646" s="93"/>
      <c r="W5646" s="94"/>
    </row>
    <row r="5647" spans="1:23" ht="14.1" customHeight="1" x14ac:dyDescent="0.2">
      <c r="A5647" s="9" t="s">
        <v>483</v>
      </c>
      <c r="B5647" s="9" t="s">
        <v>582</v>
      </c>
      <c r="C5647" s="3">
        <v>117052</v>
      </c>
      <c r="D5647" s="3" t="s">
        <v>989</v>
      </c>
      <c r="E5647" s="4" t="s">
        <v>32</v>
      </c>
      <c r="F5647" s="3"/>
      <c r="G5647" s="9">
        <v>40</v>
      </c>
      <c r="H5647" s="14">
        <f>SUM(H5648:H5650)</f>
        <v>40</v>
      </c>
      <c r="I5647" s="14"/>
      <c r="J5647" s="14" t="e">
        <f>SUM(J5648:J5650)</f>
        <v>#REF!</v>
      </c>
      <c r="K5647" s="14" t="e">
        <f>+Planning[[#This Row],[Horas Planificadas]]+Planning[[#This Row],[Horas ajustadas adicionales]]-Planning[[#This Row],[Horas utilizadas]]</f>
        <v>#REF!</v>
      </c>
      <c r="L5647" s="15" t="e">
        <f>SUM(L5648:L5650)</f>
        <v>#REF!</v>
      </c>
      <c r="M5647" s="16" t="e">
        <f>SUM(M5648:M5650)</f>
        <v>#REF!</v>
      </c>
      <c r="N5647" s="60" t="e">
        <f>+SUMIFS(#REF!,#REF!,Planning[[#This Row],[Proyectos]],#REF!,Planning[[#This Row],[Tipo de Tarea y especialidad]])+SUMIFS(#REF!,#REF!,Planning[[#This Row],[Proyectos Reiwa]],#REF!,Planning[[#This Row],[Tipo de Tarea y especialidad]])</f>
        <v>#REF!</v>
      </c>
      <c r="O5647" s="16">
        <f t="shared" si="177"/>
        <v>10</v>
      </c>
      <c r="P5647" s="16">
        <f t="shared" si="178"/>
        <v>2024</v>
      </c>
      <c r="Q5647" s="16" t="e">
        <f>SUM(Q5648:Q5650)</f>
        <v>#REF!</v>
      </c>
      <c r="R5647" s="50" t="str">
        <f>TEXT(Planning[[#This Row],[Mes]]*29,"mmmm")</f>
        <v>October</v>
      </c>
      <c r="S564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47" s="156"/>
      <c r="U5647" s="93"/>
      <c r="V5647" s="93"/>
      <c r="W5647" s="94"/>
    </row>
    <row r="5648" spans="1:23" ht="14.1" customHeight="1" x14ac:dyDescent="0.2">
      <c r="A5648" s="9" t="s">
        <v>483</v>
      </c>
      <c r="B5648" s="9" t="s">
        <v>582</v>
      </c>
      <c r="C5648" s="3">
        <v>117052</v>
      </c>
      <c r="D5648" s="3" t="s">
        <v>989</v>
      </c>
      <c r="E5648" s="4"/>
      <c r="F5648" s="3" t="s">
        <v>129</v>
      </c>
      <c r="G5648" s="9"/>
      <c r="H5648" s="9">
        <v>0</v>
      </c>
      <c r="I5648" s="12"/>
      <c r="J5648" s="5" t="e">
        <f>SUM(SUMIFS(#REF!,#REF!,Planning[[#This Row],[Tipo de Tarea y especialidad]],#REF!,Planning[[#This Row],[Proyectos Reiwa]]),SUMIFS(#REF!,#REF!,Planning[[#This Row],[Tipo de Tarea y especialidad]],#REF!,Planning[[#This Row],[Proyectos]]))</f>
        <v>#REF!</v>
      </c>
      <c r="K5648" s="5" t="e">
        <f>+Planning[[#This Row],[Horas Planificadas]]+Planning[[#This Row],[Horas ajustadas adicionales]]-Planning[[#This Row],[Horas utilizadas]]</f>
        <v>#REF!</v>
      </c>
      <c r="L5648" s="7" t="e">
        <f>Planning[[#This Row],[Saldo]]</f>
        <v>#REF!</v>
      </c>
      <c r="M5648" s="19" t="e">
        <f>Planning[[#This Row],[Saldo]]-Planning[[#This Row],[Saldo estimado]]</f>
        <v>#REF!</v>
      </c>
      <c r="N5648" s="60" t="e">
        <f>+SUMIFS(#REF!,#REF!,Planning[[#This Row],[Proyectos]],#REF!,Planning[[#This Row],[Tipo de Tarea y especialidad]])+SUMIFS(#REF!,#REF!,Planning[[#This Row],[Proyectos Reiwa]],#REF!,Planning[[#This Row],[Tipo de Tarea y especialidad]])</f>
        <v>#REF!</v>
      </c>
      <c r="O5648" s="19">
        <f t="shared" si="177"/>
        <v>10</v>
      </c>
      <c r="P5648" s="19">
        <f t="shared" si="178"/>
        <v>2024</v>
      </c>
      <c r="Q56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48" s="49" t="str">
        <f>TEXT(Planning[[#This Row],[Mes]]*29,"mmmm")</f>
        <v>October</v>
      </c>
      <c r="S564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48" s="156"/>
      <c r="U5648" s="93"/>
      <c r="V5648" s="93"/>
      <c r="W5648" s="94"/>
    </row>
    <row r="5649" spans="1:23" ht="14.1" customHeight="1" x14ac:dyDescent="0.2">
      <c r="A5649" s="9" t="s">
        <v>483</v>
      </c>
      <c r="B5649" s="9" t="s">
        <v>582</v>
      </c>
      <c r="C5649" s="3">
        <v>117052</v>
      </c>
      <c r="D5649" s="3" t="s">
        <v>989</v>
      </c>
      <c r="E5649" s="4"/>
      <c r="F5649" s="3" t="s">
        <v>130</v>
      </c>
      <c r="G5649" s="9"/>
      <c r="H5649" s="9">
        <v>40</v>
      </c>
      <c r="I5649" s="12"/>
      <c r="J5649" s="5" t="e">
        <f>SUM(SUMIFS(#REF!,#REF!,Planning[[#This Row],[Tipo de Tarea y especialidad]],#REF!,Planning[[#This Row],[Proyectos Reiwa]]),SUMIFS(#REF!,#REF!,Planning[[#This Row],[Tipo de Tarea y especialidad]],#REF!,Planning[[#This Row],[Proyectos]]))</f>
        <v>#REF!</v>
      </c>
      <c r="K5649" s="5" t="e">
        <f>+Planning[[#This Row],[Horas Planificadas]]+Planning[[#This Row],[Horas ajustadas adicionales]]-Planning[[#This Row],[Horas utilizadas]]</f>
        <v>#REF!</v>
      </c>
      <c r="L5649" s="7">
        <v>40</v>
      </c>
      <c r="M5649" s="19" t="e">
        <f>Planning[[#This Row],[Saldo]]-Planning[[#This Row],[Saldo estimado]]</f>
        <v>#REF!</v>
      </c>
      <c r="N5649" s="60" t="e">
        <f>+SUMIFS(#REF!,#REF!,Planning[[#This Row],[Proyectos]],#REF!,Planning[[#This Row],[Tipo de Tarea y especialidad]])+SUMIFS(#REF!,#REF!,Planning[[#This Row],[Proyectos Reiwa]],#REF!,Planning[[#This Row],[Tipo de Tarea y especialidad]])</f>
        <v>#REF!</v>
      </c>
      <c r="O5649" s="19">
        <f t="shared" si="177"/>
        <v>10</v>
      </c>
      <c r="P5649" s="19">
        <f t="shared" si="178"/>
        <v>2024</v>
      </c>
      <c r="Q56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49" s="49" t="str">
        <f>TEXT(Planning[[#This Row],[Mes]]*29,"mmmm")</f>
        <v>October</v>
      </c>
      <c r="S564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49" s="156"/>
      <c r="U5649" s="93"/>
      <c r="V5649" s="93"/>
      <c r="W5649" s="94"/>
    </row>
    <row r="5650" spans="1:23" ht="14.1" customHeight="1" x14ac:dyDescent="0.2">
      <c r="A5650" s="9" t="s">
        <v>483</v>
      </c>
      <c r="B5650" s="9" t="s">
        <v>582</v>
      </c>
      <c r="C5650" s="3">
        <v>117052</v>
      </c>
      <c r="D5650" s="3" t="s">
        <v>989</v>
      </c>
      <c r="E5650" s="4"/>
      <c r="F5650" s="3" t="s">
        <v>131</v>
      </c>
      <c r="G5650" s="9"/>
      <c r="H5650" s="9">
        <v>0</v>
      </c>
      <c r="I5650" s="12"/>
      <c r="J5650" s="5" t="e">
        <f>SUM(SUMIFS(#REF!,#REF!,Planning[[#This Row],[Tipo de Tarea y especialidad]],#REF!,Planning[[#This Row],[Proyectos Reiwa]]),SUMIFS(#REF!,#REF!,Planning[[#This Row],[Tipo de Tarea y especialidad]],#REF!,Planning[[#This Row],[Proyectos]]))</f>
        <v>#REF!</v>
      </c>
      <c r="K5650" s="5" t="e">
        <f>+Planning[[#This Row],[Horas Planificadas]]+Planning[[#This Row],[Horas ajustadas adicionales]]-Planning[[#This Row],[Horas utilizadas]]</f>
        <v>#REF!</v>
      </c>
      <c r="L5650" s="7">
        <v>0</v>
      </c>
      <c r="M5650" s="19" t="e">
        <f>Planning[[#This Row],[Saldo]]-Planning[[#This Row],[Saldo estimado]]</f>
        <v>#REF!</v>
      </c>
      <c r="N5650" s="60" t="e">
        <f>+SUMIFS(#REF!,#REF!,Planning[[#This Row],[Proyectos]],#REF!,Planning[[#This Row],[Tipo de Tarea y especialidad]])+SUMIFS(#REF!,#REF!,Planning[[#This Row],[Proyectos Reiwa]],#REF!,Planning[[#This Row],[Tipo de Tarea y especialidad]])</f>
        <v>#REF!</v>
      </c>
      <c r="O5650" s="19">
        <f t="shared" si="177"/>
        <v>10</v>
      </c>
      <c r="P5650" s="19">
        <f t="shared" si="178"/>
        <v>2024</v>
      </c>
      <c r="Q56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50" s="51" t="str">
        <f>TEXT(Planning[[#This Row],[Mes]]*29,"mmmm")</f>
        <v>October</v>
      </c>
      <c r="S5650"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50" s="157"/>
      <c r="U5650" s="93"/>
      <c r="V5650" s="93"/>
      <c r="W5650" s="94"/>
    </row>
    <row r="5651" spans="1:23" ht="14.1" customHeight="1" x14ac:dyDescent="0.2">
      <c r="A5651" s="9" t="s">
        <v>991</v>
      </c>
      <c r="B5651" s="9" t="s">
        <v>582</v>
      </c>
      <c r="C5651" s="3">
        <v>116973</v>
      </c>
      <c r="D5651" s="3" t="s">
        <v>992</v>
      </c>
      <c r="E5651" s="4" t="s">
        <v>28</v>
      </c>
      <c r="F5651" s="3"/>
      <c r="G5651" s="9">
        <v>0</v>
      </c>
      <c r="H5651" s="14">
        <f>SUM(H5652:H5653)</f>
        <v>0</v>
      </c>
      <c r="I5651" s="14"/>
      <c r="J5651" s="14" t="e">
        <f>SUM(J5652:J5653)</f>
        <v>#REF!</v>
      </c>
      <c r="K5651" s="14" t="e">
        <f>+Planning[[#This Row],[Horas Planificadas]]+Planning[[#This Row],[Horas ajustadas adicionales]]-Planning[[#This Row],[Horas utilizadas]]</f>
        <v>#REF!</v>
      </c>
      <c r="L5651" s="15" t="e">
        <f>SUM(L5652:L5653)</f>
        <v>#REF!</v>
      </c>
      <c r="M5651" s="14" t="e">
        <f>SUM(M5652:M5653)</f>
        <v>#REF!</v>
      </c>
      <c r="N5651" s="60" t="e">
        <f>+SUMIFS(#REF!,#REF!,Planning[[#This Row],[Proyectos]],#REF!,Planning[[#This Row],[Tipo de Tarea y especialidad]])+SUMIFS(#REF!,#REF!,Planning[[#This Row],[Proyectos Reiwa]],#REF!,Planning[[#This Row],[Tipo de Tarea y especialidad]])</f>
        <v>#REF!</v>
      </c>
      <c r="O5651" s="14">
        <f t="shared" si="177"/>
        <v>10</v>
      </c>
      <c r="P5651" s="14">
        <f t="shared" si="178"/>
        <v>2024</v>
      </c>
      <c r="Q5651" s="28" t="e">
        <f>SUM(Q5652:Q5653)</f>
        <v>#REF!</v>
      </c>
      <c r="R5651" s="24" t="str">
        <f>TEXT(Planning[[#This Row],[Mes]]*29,"mmmm")</f>
        <v>October</v>
      </c>
      <c r="S5651"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51" s="161" t="s">
        <v>993</v>
      </c>
      <c r="U5651" s="93"/>
      <c r="V5651" s="93"/>
      <c r="W5651" s="94"/>
    </row>
    <row r="5652" spans="1:23" ht="14.1" customHeight="1" x14ac:dyDescent="0.2">
      <c r="A5652" s="9" t="s">
        <v>991</v>
      </c>
      <c r="B5652" s="9" t="s">
        <v>582</v>
      </c>
      <c r="C5652" s="3">
        <v>116973</v>
      </c>
      <c r="D5652" s="3" t="s">
        <v>992</v>
      </c>
      <c r="E5652" s="4"/>
      <c r="F5652" s="3" t="s">
        <v>120</v>
      </c>
      <c r="G5652" s="9"/>
      <c r="H5652" s="9">
        <v>0</v>
      </c>
      <c r="I5652" s="12"/>
      <c r="J5652" s="5" t="e">
        <f>SUM(SUMIFS(#REF!,#REF!,Planning[[#This Row],[Tipo de Tarea y especialidad]],#REF!,Planning[[#This Row],[Proyectos Reiwa]]),SUMIFS(#REF!,#REF!,Planning[[#This Row],[Tipo de Tarea y especialidad]],#REF!,Planning[[#This Row],[Proyectos]]))</f>
        <v>#REF!</v>
      </c>
      <c r="K5652" s="5" t="e">
        <f>+Planning[[#This Row],[Horas Planificadas]]+Planning[[#This Row],[Horas ajustadas adicionales]]-Planning[[#This Row],[Horas utilizadas]]</f>
        <v>#REF!</v>
      </c>
      <c r="L5652" s="7" t="e">
        <f>Planning[[#This Row],[Saldo]]</f>
        <v>#REF!</v>
      </c>
      <c r="M5652" s="19" t="e">
        <f>Planning[[#This Row],[Saldo]]-Planning[[#This Row],[Saldo estimado]]</f>
        <v>#REF!</v>
      </c>
      <c r="N5652" s="60" t="e">
        <f>+SUMIFS(#REF!,#REF!,Planning[[#This Row],[Proyectos]],#REF!,Planning[[#This Row],[Tipo de Tarea y especialidad]])+SUMIFS(#REF!,#REF!,Planning[[#This Row],[Proyectos Reiwa]],#REF!,Planning[[#This Row],[Tipo de Tarea y especialidad]])</f>
        <v>#REF!</v>
      </c>
      <c r="O5652" s="19">
        <f t="shared" si="177"/>
        <v>10</v>
      </c>
      <c r="P5652" s="19">
        <f t="shared" si="178"/>
        <v>2024</v>
      </c>
      <c r="Q56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52" s="49" t="str">
        <f>TEXT(Planning[[#This Row],[Mes]]*29,"mmmm")</f>
        <v>October</v>
      </c>
      <c r="S565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52" s="156"/>
      <c r="U5652" s="93"/>
      <c r="V5652" s="93"/>
      <c r="W5652" s="94"/>
    </row>
    <row r="5653" spans="1:23" ht="14.1" customHeight="1" x14ac:dyDescent="0.2">
      <c r="A5653" s="9" t="s">
        <v>991</v>
      </c>
      <c r="B5653" s="9" t="s">
        <v>582</v>
      </c>
      <c r="C5653" s="3">
        <v>116973</v>
      </c>
      <c r="D5653" s="3" t="s">
        <v>992</v>
      </c>
      <c r="E5653" s="4"/>
      <c r="F5653" s="3" t="s">
        <v>121</v>
      </c>
      <c r="G5653" s="9"/>
      <c r="H5653" s="9">
        <v>0</v>
      </c>
      <c r="I5653" s="12"/>
      <c r="J5653" s="5" t="e">
        <f>SUM(SUMIFS(#REF!,#REF!,Planning[[#This Row],[Tipo de Tarea y especialidad]],#REF!,Planning[[#This Row],[Proyectos Reiwa]]),SUMIFS(#REF!,#REF!,Planning[[#This Row],[Tipo de Tarea y especialidad]],#REF!,Planning[[#This Row],[Proyectos]]))</f>
        <v>#REF!</v>
      </c>
      <c r="K5653" s="5" t="e">
        <f>+Planning[[#This Row],[Horas Planificadas]]+Planning[[#This Row],[Horas ajustadas adicionales]]-Planning[[#This Row],[Horas utilizadas]]</f>
        <v>#REF!</v>
      </c>
      <c r="L5653" s="7" t="e">
        <f>Planning[[#This Row],[Saldo]]</f>
        <v>#REF!</v>
      </c>
      <c r="M5653" s="19" t="e">
        <f>Planning[[#This Row],[Saldo]]-Planning[[#This Row],[Saldo estimado]]</f>
        <v>#REF!</v>
      </c>
      <c r="N5653" s="60" t="e">
        <f>+SUMIFS(#REF!,#REF!,Planning[[#This Row],[Proyectos]],#REF!,Planning[[#This Row],[Tipo de Tarea y especialidad]])+SUMIFS(#REF!,#REF!,Planning[[#This Row],[Proyectos Reiwa]],#REF!,Planning[[#This Row],[Tipo de Tarea y especialidad]])</f>
        <v>#REF!</v>
      </c>
      <c r="O5653" s="19">
        <f t="shared" si="177"/>
        <v>10</v>
      </c>
      <c r="P5653" s="19">
        <f t="shared" si="178"/>
        <v>2024</v>
      </c>
      <c r="Q56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53" s="49" t="str">
        <f>TEXT(Planning[[#This Row],[Mes]]*29,"mmmm")</f>
        <v>October</v>
      </c>
      <c r="S565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53" s="156"/>
      <c r="U5653" s="93"/>
      <c r="V5653" s="93"/>
      <c r="W5653" s="94"/>
    </row>
    <row r="5654" spans="1:23" ht="14.1" customHeight="1" x14ac:dyDescent="0.2">
      <c r="A5654" s="9" t="s">
        <v>991</v>
      </c>
      <c r="B5654" s="9" t="s">
        <v>582</v>
      </c>
      <c r="C5654" s="3">
        <v>116973</v>
      </c>
      <c r="D5654" s="3" t="s">
        <v>992</v>
      </c>
      <c r="E5654" s="4" t="s">
        <v>30</v>
      </c>
      <c r="F5654" s="3"/>
      <c r="G5654" s="9">
        <v>468</v>
      </c>
      <c r="H5654" s="14">
        <f>SUM(H5655:H5661)</f>
        <v>468</v>
      </c>
      <c r="I5654" s="14"/>
      <c r="J5654" s="14" t="e">
        <f>SUM(J5655:J5661)</f>
        <v>#REF!</v>
      </c>
      <c r="K5654" s="14" t="e">
        <f>+Planning[[#This Row],[Horas Planificadas]]+Planning[[#This Row],[Horas ajustadas adicionales]]-Planning[[#This Row],[Horas utilizadas]]</f>
        <v>#REF!</v>
      </c>
      <c r="L5654" s="15" t="e">
        <f>SUM(L5655:L5661)</f>
        <v>#REF!</v>
      </c>
      <c r="M5654" s="16" t="e">
        <f>SUM(M5655:M5661)</f>
        <v>#REF!</v>
      </c>
      <c r="N5654" s="60" t="e">
        <f>+SUMIFS(#REF!,#REF!,Planning[[#This Row],[Proyectos]],#REF!,Planning[[#This Row],[Tipo de Tarea y especialidad]])+SUMIFS(#REF!,#REF!,Planning[[#This Row],[Proyectos Reiwa]],#REF!,Planning[[#This Row],[Tipo de Tarea y especialidad]])</f>
        <v>#REF!</v>
      </c>
      <c r="O5654" s="16">
        <f t="shared" si="177"/>
        <v>10</v>
      </c>
      <c r="P5654" s="16">
        <f t="shared" si="178"/>
        <v>2024</v>
      </c>
      <c r="Q5654" s="16" t="e">
        <f>SUM(Q5655:Q5661)</f>
        <v>#REF!</v>
      </c>
      <c r="R5654" s="50" t="str">
        <f>TEXT(Planning[[#This Row],[Mes]]*29,"mmmm")</f>
        <v>October</v>
      </c>
      <c r="S565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54" s="156"/>
      <c r="U5654" s="93"/>
      <c r="V5654" s="93"/>
      <c r="W5654" s="94"/>
    </row>
    <row r="5655" spans="1:23" ht="14.1" customHeight="1" x14ac:dyDescent="0.2">
      <c r="A5655" s="9" t="s">
        <v>991</v>
      </c>
      <c r="B5655" s="9" t="s">
        <v>582</v>
      </c>
      <c r="C5655" s="3">
        <v>116973</v>
      </c>
      <c r="D5655" s="3" t="s">
        <v>992</v>
      </c>
      <c r="E5655" s="4"/>
      <c r="F5655" s="3" t="s">
        <v>122</v>
      </c>
      <c r="G5655" s="9"/>
      <c r="H5655" s="9">
        <v>0</v>
      </c>
      <c r="I5655" s="12"/>
      <c r="J5655" s="5" t="e">
        <f>SUM(SUMIFS(#REF!,#REF!,Planning[[#This Row],[Tipo de Tarea y especialidad]],#REF!,Planning[[#This Row],[Proyectos Reiwa]]),SUMIFS(#REF!,#REF!,Planning[[#This Row],[Tipo de Tarea y especialidad]],#REF!,Planning[[#This Row],[Proyectos]]))</f>
        <v>#REF!</v>
      </c>
      <c r="K5655" s="5" t="e">
        <f>+Planning[[#This Row],[Horas Planificadas]]+Planning[[#This Row],[Horas ajustadas adicionales]]-Planning[[#This Row],[Horas utilizadas]]</f>
        <v>#REF!</v>
      </c>
      <c r="L5655" s="7">
        <v>0</v>
      </c>
      <c r="M5655" s="19" t="e">
        <f>Planning[[#This Row],[Saldo]]-Planning[[#This Row],[Saldo estimado]]</f>
        <v>#REF!</v>
      </c>
      <c r="N5655" s="60" t="e">
        <f>+SUMIFS(#REF!,#REF!,Planning[[#This Row],[Proyectos]],#REF!,Planning[[#This Row],[Tipo de Tarea y especialidad]])+SUMIFS(#REF!,#REF!,Planning[[#This Row],[Proyectos Reiwa]],#REF!,Planning[[#This Row],[Tipo de Tarea y especialidad]])</f>
        <v>#REF!</v>
      </c>
      <c r="O5655" s="19">
        <f t="shared" si="177"/>
        <v>10</v>
      </c>
      <c r="P5655" s="19">
        <f t="shared" si="178"/>
        <v>2024</v>
      </c>
      <c r="Q56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55" s="49" t="str">
        <f>TEXT(Planning[[#This Row],[Mes]]*29,"mmmm")</f>
        <v>October</v>
      </c>
      <c r="S565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55" s="156"/>
      <c r="U5655" s="93"/>
      <c r="V5655" s="93"/>
      <c r="W5655" s="94"/>
    </row>
    <row r="5656" spans="1:23" ht="14.1" customHeight="1" x14ac:dyDescent="0.2">
      <c r="A5656" s="9" t="s">
        <v>991</v>
      </c>
      <c r="B5656" s="9" t="s">
        <v>582</v>
      </c>
      <c r="C5656" s="3">
        <v>116973</v>
      </c>
      <c r="D5656" s="3" t="s">
        <v>992</v>
      </c>
      <c r="E5656" s="4"/>
      <c r="F5656" s="3" t="s">
        <v>123</v>
      </c>
      <c r="G5656" s="9"/>
      <c r="H5656" s="9">
        <v>468</v>
      </c>
      <c r="I5656" s="12">
        <v>110</v>
      </c>
      <c r="J5656" s="5" t="e">
        <f>SUM(SUMIFS(#REF!,#REF!,Planning[[#This Row],[Tipo de Tarea y especialidad]],#REF!,Planning[[#This Row],[Proyectos Reiwa]]),SUMIFS(#REF!,#REF!,Planning[[#This Row],[Tipo de Tarea y especialidad]],#REF!,Planning[[#This Row],[Proyectos]]))</f>
        <v>#REF!</v>
      </c>
      <c r="K5656" s="5" t="e">
        <f>+Planning[[#This Row],[Horas Planificadas]]+Planning[[#This Row],[Horas ajustadas adicionales]]-Planning[[#This Row],[Horas utilizadas]]</f>
        <v>#REF!</v>
      </c>
      <c r="L5656" s="7">
        <v>110</v>
      </c>
      <c r="M5656" s="19" t="e">
        <f>Planning[[#This Row],[Saldo]]-Planning[[#This Row],[Saldo estimado]]</f>
        <v>#REF!</v>
      </c>
      <c r="N5656" s="60" t="e">
        <f>+SUMIFS(#REF!,#REF!,Planning[[#This Row],[Proyectos]],#REF!,Planning[[#This Row],[Tipo de Tarea y especialidad]])+SUMIFS(#REF!,#REF!,Planning[[#This Row],[Proyectos Reiwa]],#REF!,Planning[[#This Row],[Tipo de Tarea y especialidad]])</f>
        <v>#REF!</v>
      </c>
      <c r="O5656" s="19">
        <f t="shared" si="177"/>
        <v>10</v>
      </c>
      <c r="P5656" s="19">
        <f t="shared" si="178"/>
        <v>2024</v>
      </c>
      <c r="Q56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56" s="49" t="str">
        <f>TEXT(Planning[[#This Row],[Mes]]*29,"mmmm")</f>
        <v>October</v>
      </c>
      <c r="S565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56" s="156"/>
      <c r="U5656" s="93"/>
      <c r="V5656" s="93"/>
      <c r="W5656" s="94"/>
    </row>
    <row r="5657" spans="1:23" ht="14.1" customHeight="1" x14ac:dyDescent="0.2">
      <c r="A5657" s="9" t="s">
        <v>991</v>
      </c>
      <c r="B5657" s="9" t="s">
        <v>582</v>
      </c>
      <c r="C5657" s="3">
        <v>116973</v>
      </c>
      <c r="D5657" s="3" t="s">
        <v>992</v>
      </c>
      <c r="E5657" s="4"/>
      <c r="F5657" s="3" t="s">
        <v>124</v>
      </c>
      <c r="G5657" s="9"/>
      <c r="H5657" s="9">
        <v>0</v>
      </c>
      <c r="I5657" s="12"/>
      <c r="J5657" s="5" t="e">
        <f>SUM(SUMIFS(#REF!,#REF!,Planning[[#This Row],[Tipo de Tarea y especialidad]],#REF!,Planning[[#This Row],[Proyectos Reiwa]]),SUMIFS(#REF!,#REF!,Planning[[#This Row],[Tipo de Tarea y especialidad]],#REF!,Planning[[#This Row],[Proyectos]]))</f>
        <v>#REF!</v>
      </c>
      <c r="K5657" s="5" t="e">
        <f>+Planning[[#This Row],[Horas Planificadas]]+Planning[[#This Row],[Horas ajustadas adicionales]]-Planning[[#This Row],[Horas utilizadas]]</f>
        <v>#REF!</v>
      </c>
      <c r="L5657" s="7">
        <v>0</v>
      </c>
      <c r="M5657" s="19" t="e">
        <f>Planning[[#This Row],[Saldo]]-Planning[[#This Row],[Saldo estimado]]</f>
        <v>#REF!</v>
      </c>
      <c r="N5657" s="60" t="e">
        <f>+SUMIFS(#REF!,#REF!,Planning[[#This Row],[Proyectos]],#REF!,Planning[[#This Row],[Tipo de Tarea y especialidad]])+SUMIFS(#REF!,#REF!,Planning[[#This Row],[Proyectos Reiwa]],#REF!,Planning[[#This Row],[Tipo de Tarea y especialidad]])</f>
        <v>#REF!</v>
      </c>
      <c r="O5657" s="19">
        <f t="shared" si="177"/>
        <v>10</v>
      </c>
      <c r="P5657" s="19">
        <f t="shared" si="178"/>
        <v>2024</v>
      </c>
      <c r="Q56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57" s="49" t="str">
        <f>TEXT(Planning[[#This Row],[Mes]]*29,"mmmm")</f>
        <v>October</v>
      </c>
      <c r="S565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57" s="156"/>
      <c r="U5657" s="93"/>
      <c r="V5657" s="93"/>
      <c r="W5657" s="94"/>
    </row>
    <row r="5658" spans="1:23" ht="14.1" customHeight="1" x14ac:dyDescent="0.2">
      <c r="A5658" s="9" t="s">
        <v>991</v>
      </c>
      <c r="B5658" s="9" t="s">
        <v>582</v>
      </c>
      <c r="C5658" s="3">
        <v>116973</v>
      </c>
      <c r="D5658" s="3" t="s">
        <v>992</v>
      </c>
      <c r="E5658" s="4"/>
      <c r="F5658" s="3" t="s">
        <v>125</v>
      </c>
      <c r="G5658" s="9"/>
      <c r="H5658" s="9">
        <v>0</v>
      </c>
      <c r="I5658" s="12"/>
      <c r="J5658" s="5" t="e">
        <f>SUM(SUMIFS(#REF!,#REF!,Planning[[#This Row],[Tipo de Tarea y especialidad]],#REF!,Planning[[#This Row],[Proyectos Reiwa]]),SUMIFS(#REF!,#REF!,Planning[[#This Row],[Tipo de Tarea y especialidad]],#REF!,Planning[[#This Row],[Proyectos]]))</f>
        <v>#REF!</v>
      </c>
      <c r="K5658" s="5" t="e">
        <f>+Planning[[#This Row],[Horas Planificadas]]+Planning[[#This Row],[Horas ajustadas adicionales]]-Planning[[#This Row],[Horas utilizadas]]</f>
        <v>#REF!</v>
      </c>
      <c r="L5658" s="7">
        <v>306</v>
      </c>
      <c r="M5658" s="19" t="e">
        <f>Planning[[#This Row],[Saldo]]-Planning[[#This Row],[Saldo estimado]]</f>
        <v>#REF!</v>
      </c>
      <c r="N5658" s="60" t="e">
        <f>+SUMIFS(#REF!,#REF!,Planning[[#This Row],[Proyectos]],#REF!,Planning[[#This Row],[Tipo de Tarea y especialidad]])+SUMIFS(#REF!,#REF!,Planning[[#This Row],[Proyectos Reiwa]],#REF!,Planning[[#This Row],[Tipo de Tarea y especialidad]])</f>
        <v>#REF!</v>
      </c>
      <c r="O5658" s="19">
        <f t="shared" si="177"/>
        <v>10</v>
      </c>
      <c r="P5658" s="19">
        <f t="shared" si="178"/>
        <v>2024</v>
      </c>
      <c r="Q56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58" s="49" t="str">
        <f>TEXT(Planning[[#This Row],[Mes]]*29,"mmmm")</f>
        <v>October</v>
      </c>
      <c r="S565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58" s="156"/>
      <c r="U5658" s="93"/>
      <c r="V5658" s="93"/>
      <c r="W5658" s="94"/>
    </row>
    <row r="5659" spans="1:23" ht="14.1" customHeight="1" x14ac:dyDescent="0.2">
      <c r="A5659" s="9" t="s">
        <v>991</v>
      </c>
      <c r="B5659" s="9" t="s">
        <v>582</v>
      </c>
      <c r="C5659" s="3">
        <v>116973</v>
      </c>
      <c r="D5659" s="3" t="s">
        <v>992</v>
      </c>
      <c r="E5659" s="4"/>
      <c r="F5659" s="3" t="s">
        <v>126</v>
      </c>
      <c r="G5659" s="9"/>
      <c r="H5659" s="9">
        <v>0</v>
      </c>
      <c r="I5659" s="12"/>
      <c r="J5659" s="5" t="e">
        <f>SUM(SUMIFS(#REF!,#REF!,Planning[[#This Row],[Tipo de Tarea y especialidad]],#REF!,Planning[[#This Row],[Proyectos Reiwa]]),SUMIFS(#REF!,#REF!,Planning[[#This Row],[Tipo de Tarea y especialidad]],#REF!,Planning[[#This Row],[Proyectos]]))</f>
        <v>#REF!</v>
      </c>
      <c r="K5659" s="5" t="e">
        <f>+Planning[[#This Row],[Horas Planificadas]]+Planning[[#This Row],[Horas ajustadas adicionales]]-Planning[[#This Row],[Horas utilizadas]]</f>
        <v>#REF!</v>
      </c>
      <c r="L5659" s="7" t="e">
        <f>Planning[[#This Row],[Saldo]]</f>
        <v>#REF!</v>
      </c>
      <c r="M5659" s="19" t="e">
        <f>Planning[[#This Row],[Saldo]]-Planning[[#This Row],[Saldo estimado]]</f>
        <v>#REF!</v>
      </c>
      <c r="N5659" s="60" t="e">
        <f>+SUMIFS(#REF!,#REF!,Planning[[#This Row],[Proyectos]],#REF!,Planning[[#This Row],[Tipo de Tarea y especialidad]])+SUMIFS(#REF!,#REF!,Planning[[#This Row],[Proyectos Reiwa]],#REF!,Planning[[#This Row],[Tipo de Tarea y especialidad]])</f>
        <v>#REF!</v>
      </c>
      <c r="O5659" s="19">
        <f t="shared" si="177"/>
        <v>10</v>
      </c>
      <c r="P5659" s="19">
        <f t="shared" si="178"/>
        <v>2024</v>
      </c>
      <c r="Q56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59" s="49" t="str">
        <f>TEXT(Planning[[#This Row],[Mes]]*29,"mmmm")</f>
        <v>October</v>
      </c>
      <c r="S565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59" s="156"/>
      <c r="U5659" s="93"/>
      <c r="V5659" s="93"/>
      <c r="W5659" s="94"/>
    </row>
    <row r="5660" spans="1:23" ht="14.1" customHeight="1" x14ac:dyDescent="0.2">
      <c r="A5660" s="9" t="s">
        <v>991</v>
      </c>
      <c r="B5660" s="9" t="s">
        <v>582</v>
      </c>
      <c r="C5660" s="3">
        <v>116973</v>
      </c>
      <c r="D5660" s="3" t="s">
        <v>992</v>
      </c>
      <c r="E5660" s="4"/>
      <c r="F5660" s="3" t="s">
        <v>127</v>
      </c>
      <c r="G5660" s="9"/>
      <c r="H5660" s="9">
        <v>0</v>
      </c>
      <c r="I5660" s="12"/>
      <c r="J5660" s="5" t="e">
        <f>SUM(SUMIFS(#REF!,#REF!,Planning[[#This Row],[Tipo de Tarea y especialidad]],#REF!,Planning[[#This Row],[Proyectos Reiwa]]),SUMIFS(#REF!,#REF!,Planning[[#This Row],[Tipo de Tarea y especialidad]],#REF!,Planning[[#This Row],[Proyectos]]))</f>
        <v>#REF!</v>
      </c>
      <c r="K5660" s="5" t="e">
        <f>+Planning[[#This Row],[Horas Planificadas]]+Planning[[#This Row],[Horas ajustadas adicionales]]-Planning[[#This Row],[Horas utilizadas]]</f>
        <v>#REF!</v>
      </c>
      <c r="L5660" s="7">
        <v>0</v>
      </c>
      <c r="M5660" s="19" t="e">
        <f>Planning[[#This Row],[Saldo]]-Planning[[#This Row],[Saldo estimado]]</f>
        <v>#REF!</v>
      </c>
      <c r="N5660" s="60" t="e">
        <f>+SUMIFS(#REF!,#REF!,Planning[[#This Row],[Proyectos]],#REF!,Planning[[#This Row],[Tipo de Tarea y especialidad]])+SUMIFS(#REF!,#REF!,Planning[[#This Row],[Proyectos Reiwa]],#REF!,Planning[[#This Row],[Tipo de Tarea y especialidad]])</f>
        <v>#REF!</v>
      </c>
      <c r="O5660" s="19">
        <f t="shared" si="177"/>
        <v>10</v>
      </c>
      <c r="P5660" s="19">
        <f t="shared" si="178"/>
        <v>2024</v>
      </c>
      <c r="Q56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60" s="49" t="str">
        <f>TEXT(Planning[[#This Row],[Mes]]*29,"mmmm")</f>
        <v>October</v>
      </c>
      <c r="S566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60" s="156"/>
      <c r="U5660" s="93"/>
      <c r="V5660" s="93"/>
      <c r="W5660" s="94"/>
    </row>
    <row r="5661" spans="1:23" ht="14.1" customHeight="1" x14ac:dyDescent="0.2">
      <c r="A5661" s="9" t="s">
        <v>991</v>
      </c>
      <c r="B5661" s="9" t="s">
        <v>582</v>
      </c>
      <c r="C5661" s="3">
        <v>116973</v>
      </c>
      <c r="D5661" s="3" t="s">
        <v>992</v>
      </c>
      <c r="E5661" s="4"/>
      <c r="F5661" s="3" t="s">
        <v>128</v>
      </c>
      <c r="G5661" s="9"/>
      <c r="H5661" s="9">
        <v>0</v>
      </c>
      <c r="I5661" s="12"/>
      <c r="J5661" s="5" t="e">
        <f>SUM(SUMIFS(#REF!,#REF!,Planning[[#This Row],[Tipo de Tarea y especialidad]],#REF!,Planning[[#This Row],[Proyectos Reiwa]]),SUMIFS(#REF!,#REF!,Planning[[#This Row],[Tipo de Tarea y especialidad]],#REF!,Planning[[#This Row],[Proyectos]]))</f>
        <v>#REF!</v>
      </c>
      <c r="K5661" s="5" t="e">
        <f>+Planning[[#This Row],[Horas Planificadas]]+Planning[[#This Row],[Horas ajustadas adicionales]]-Planning[[#This Row],[Horas utilizadas]]</f>
        <v>#REF!</v>
      </c>
      <c r="L5661" s="7" t="e">
        <f>Planning[[#This Row],[Saldo]]</f>
        <v>#REF!</v>
      </c>
      <c r="M5661" s="19" t="e">
        <f>Planning[[#This Row],[Saldo]]-Planning[[#This Row],[Saldo estimado]]</f>
        <v>#REF!</v>
      </c>
      <c r="N5661" s="60" t="e">
        <f>+SUMIFS(#REF!,#REF!,Planning[[#This Row],[Proyectos]],#REF!,Planning[[#This Row],[Tipo de Tarea y especialidad]])+SUMIFS(#REF!,#REF!,Planning[[#This Row],[Proyectos Reiwa]],#REF!,Planning[[#This Row],[Tipo de Tarea y especialidad]])</f>
        <v>#REF!</v>
      </c>
      <c r="O5661" s="19">
        <f t="shared" si="177"/>
        <v>10</v>
      </c>
      <c r="P5661" s="19">
        <f t="shared" si="178"/>
        <v>2024</v>
      </c>
      <c r="Q56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61" s="49" t="str">
        <f>TEXT(Planning[[#This Row],[Mes]]*29,"mmmm")</f>
        <v>October</v>
      </c>
      <c r="S566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61" s="156"/>
      <c r="U5661" s="93"/>
      <c r="V5661" s="93"/>
      <c r="W5661" s="94"/>
    </row>
    <row r="5662" spans="1:23" ht="14.1" customHeight="1" x14ac:dyDescent="0.2">
      <c r="A5662" s="9" t="s">
        <v>991</v>
      </c>
      <c r="B5662" s="9" t="s">
        <v>582</v>
      </c>
      <c r="C5662" s="3">
        <v>116973</v>
      </c>
      <c r="D5662" s="3" t="s">
        <v>992</v>
      </c>
      <c r="E5662" s="4" t="s">
        <v>31</v>
      </c>
      <c r="F5662" s="3" t="s">
        <v>31</v>
      </c>
      <c r="G5662" s="9">
        <v>32</v>
      </c>
      <c r="H5662" s="17">
        <v>32</v>
      </c>
      <c r="I5662" s="18">
        <v>8</v>
      </c>
      <c r="J5662" s="14" t="e">
        <f>+SUMIFS(#REF!,#REF!,Planning[[#This Row],[Tarifa]],#REF!,Planning[[#This Row],[Proyectos]])</f>
        <v>#REF!</v>
      </c>
      <c r="K5662" s="14" t="e">
        <f>+Planning[[#This Row],[Horas Planificadas]]+Planning[[#This Row],[Horas ajustadas adicionales]]-Planning[[#This Row],[Horas utilizadas]]</f>
        <v>#REF!</v>
      </c>
      <c r="L5662" s="15">
        <v>40</v>
      </c>
      <c r="M5662" s="16" t="e">
        <f>Planning[[#This Row],[Saldo]]-Planning[[#This Row],[Saldo estimado]]</f>
        <v>#REF!</v>
      </c>
      <c r="N5662" s="60" t="e">
        <f>+SUMIFS(#REF!,#REF!,Planning[[#This Row],[Proyectos]],#REF!,Planning[[#This Row],[Tipo de Tarea y especialidad]])+SUMIFS(#REF!,#REF!,Planning[[#This Row],[Proyectos Reiwa]],#REF!,Planning[[#This Row],[Tipo de Tarea y especialidad]])</f>
        <v>#REF!</v>
      </c>
      <c r="O5662" s="16">
        <f t="shared" si="177"/>
        <v>10</v>
      </c>
      <c r="P5662" s="16">
        <f t="shared" si="178"/>
        <v>2024</v>
      </c>
      <c r="Q5662" s="16" t="e">
        <f>+SUMIFS(#REF!,#REF!,Planning[[#This Row],[Tarifa]],#REF!,Planning[[#This Row],[Proyectos]],#REF!,Planning[[#This Row],[Mes]],#REF!,Planning[[#This Row],[Año]])</f>
        <v>#REF!</v>
      </c>
      <c r="R5662" s="50" t="str">
        <f>TEXT(Planning[[#This Row],[Mes]]*29,"mmmm")</f>
        <v>October</v>
      </c>
      <c r="S566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62" s="156"/>
      <c r="U5662" s="93"/>
      <c r="V5662" s="93"/>
      <c r="W5662" s="94"/>
    </row>
    <row r="5663" spans="1:23" ht="14.1" customHeight="1" x14ac:dyDescent="0.2">
      <c r="A5663" s="9" t="s">
        <v>991</v>
      </c>
      <c r="B5663" s="9" t="s">
        <v>582</v>
      </c>
      <c r="C5663" s="3">
        <v>116973</v>
      </c>
      <c r="D5663" s="3" t="s">
        <v>992</v>
      </c>
      <c r="E5663" s="4" t="s">
        <v>32</v>
      </c>
      <c r="F5663" s="3"/>
      <c r="G5663" s="9">
        <v>0</v>
      </c>
      <c r="H5663" s="14">
        <f>SUM(H5664:H5666)</f>
        <v>0</v>
      </c>
      <c r="I5663" s="14"/>
      <c r="J5663" s="14" t="e">
        <f>SUM(J5664:J5666)</f>
        <v>#REF!</v>
      </c>
      <c r="K5663" s="14" t="e">
        <f>+Planning[[#This Row],[Horas Planificadas]]+Planning[[#This Row],[Horas ajustadas adicionales]]-Planning[[#This Row],[Horas utilizadas]]</f>
        <v>#REF!</v>
      </c>
      <c r="L5663" s="15" t="e">
        <f>SUM(L5664:L5666)</f>
        <v>#REF!</v>
      </c>
      <c r="M5663" s="16" t="e">
        <f>SUM(M5664:M5666)</f>
        <v>#REF!</v>
      </c>
      <c r="N5663" s="60" t="e">
        <f>+SUMIFS(#REF!,#REF!,Planning[[#This Row],[Proyectos]],#REF!,Planning[[#This Row],[Tipo de Tarea y especialidad]])+SUMIFS(#REF!,#REF!,Planning[[#This Row],[Proyectos Reiwa]],#REF!,Planning[[#This Row],[Tipo de Tarea y especialidad]])</f>
        <v>#REF!</v>
      </c>
      <c r="O5663" s="16">
        <f t="shared" si="177"/>
        <v>10</v>
      </c>
      <c r="P5663" s="16">
        <f t="shared" si="178"/>
        <v>2024</v>
      </c>
      <c r="Q5663" s="16" t="e">
        <f>SUM(Q5664:Q5666)</f>
        <v>#REF!</v>
      </c>
      <c r="R5663" s="50" t="str">
        <f>TEXT(Planning[[#This Row],[Mes]]*29,"mmmm")</f>
        <v>October</v>
      </c>
      <c r="S566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63" s="156"/>
      <c r="U5663" s="93"/>
      <c r="V5663" s="93"/>
      <c r="W5663" s="94"/>
    </row>
    <row r="5664" spans="1:23" ht="14.1" customHeight="1" x14ac:dyDescent="0.2">
      <c r="A5664" s="9" t="s">
        <v>991</v>
      </c>
      <c r="B5664" s="9" t="s">
        <v>582</v>
      </c>
      <c r="C5664" s="3">
        <v>116973</v>
      </c>
      <c r="D5664" s="3" t="s">
        <v>992</v>
      </c>
      <c r="E5664" s="4"/>
      <c r="F5664" s="3" t="s">
        <v>129</v>
      </c>
      <c r="G5664" s="9"/>
      <c r="H5664" s="9">
        <v>0</v>
      </c>
      <c r="I5664" s="12"/>
      <c r="J5664" s="5" t="e">
        <f>SUM(SUMIFS(#REF!,#REF!,Planning[[#This Row],[Tipo de Tarea y especialidad]],#REF!,Planning[[#This Row],[Proyectos Reiwa]]),SUMIFS(#REF!,#REF!,Planning[[#This Row],[Tipo de Tarea y especialidad]],#REF!,Planning[[#This Row],[Proyectos]]))</f>
        <v>#REF!</v>
      </c>
      <c r="K5664" s="5" t="e">
        <f>+Planning[[#This Row],[Horas Planificadas]]+Planning[[#This Row],[Horas ajustadas adicionales]]-Planning[[#This Row],[Horas utilizadas]]</f>
        <v>#REF!</v>
      </c>
      <c r="L5664" s="7" t="e">
        <f>Planning[[#This Row],[Saldo]]</f>
        <v>#REF!</v>
      </c>
      <c r="M5664" s="19" t="e">
        <f>Planning[[#This Row],[Saldo]]-Planning[[#This Row],[Saldo estimado]]</f>
        <v>#REF!</v>
      </c>
      <c r="N5664" s="60" t="e">
        <f>+SUMIFS(#REF!,#REF!,Planning[[#This Row],[Proyectos]],#REF!,Planning[[#This Row],[Tipo de Tarea y especialidad]])+SUMIFS(#REF!,#REF!,Planning[[#This Row],[Proyectos Reiwa]],#REF!,Planning[[#This Row],[Tipo de Tarea y especialidad]])</f>
        <v>#REF!</v>
      </c>
      <c r="O5664" s="19">
        <f t="shared" si="177"/>
        <v>10</v>
      </c>
      <c r="P5664" s="19">
        <f t="shared" si="178"/>
        <v>2024</v>
      </c>
      <c r="Q56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64" s="49" t="str">
        <f>TEXT(Planning[[#This Row],[Mes]]*29,"mmmm")</f>
        <v>October</v>
      </c>
      <c r="S566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64" s="156"/>
      <c r="U5664" s="93"/>
      <c r="V5664" s="93"/>
      <c r="W5664" s="94"/>
    </row>
    <row r="5665" spans="1:23" ht="14.1" customHeight="1" x14ac:dyDescent="0.2">
      <c r="A5665" s="9" t="s">
        <v>991</v>
      </c>
      <c r="B5665" s="9" t="s">
        <v>582</v>
      </c>
      <c r="C5665" s="3">
        <v>116973</v>
      </c>
      <c r="D5665" s="3" t="s">
        <v>992</v>
      </c>
      <c r="E5665" s="4"/>
      <c r="F5665" s="3" t="s">
        <v>130</v>
      </c>
      <c r="G5665" s="9"/>
      <c r="H5665" s="9">
        <v>0</v>
      </c>
      <c r="I5665" s="12"/>
      <c r="J5665" s="5" t="e">
        <f>SUM(SUMIFS(#REF!,#REF!,Planning[[#This Row],[Tipo de Tarea y especialidad]],#REF!,Planning[[#This Row],[Proyectos Reiwa]]),SUMIFS(#REF!,#REF!,Planning[[#This Row],[Tipo de Tarea y especialidad]],#REF!,Planning[[#This Row],[Proyectos]]))</f>
        <v>#REF!</v>
      </c>
      <c r="K5665" s="5" t="e">
        <f>+Planning[[#This Row],[Horas Planificadas]]+Planning[[#This Row],[Horas ajustadas adicionales]]-Planning[[#This Row],[Horas utilizadas]]</f>
        <v>#REF!</v>
      </c>
      <c r="L5665" s="7">
        <v>0</v>
      </c>
      <c r="M5665" s="19" t="e">
        <f>Planning[[#This Row],[Saldo]]-Planning[[#This Row],[Saldo estimado]]</f>
        <v>#REF!</v>
      </c>
      <c r="N5665" s="60" t="e">
        <f>+SUMIFS(#REF!,#REF!,Planning[[#This Row],[Proyectos]],#REF!,Planning[[#This Row],[Tipo de Tarea y especialidad]])+SUMIFS(#REF!,#REF!,Planning[[#This Row],[Proyectos Reiwa]],#REF!,Planning[[#This Row],[Tipo de Tarea y especialidad]])</f>
        <v>#REF!</v>
      </c>
      <c r="O5665" s="19">
        <f t="shared" si="177"/>
        <v>10</v>
      </c>
      <c r="P5665" s="19">
        <f t="shared" si="178"/>
        <v>2024</v>
      </c>
      <c r="Q56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65" s="49" t="str">
        <f>TEXT(Planning[[#This Row],[Mes]]*29,"mmmm")</f>
        <v>October</v>
      </c>
      <c r="S566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65" s="156"/>
      <c r="U5665" s="93"/>
      <c r="V5665" s="93"/>
      <c r="W5665" s="94"/>
    </row>
    <row r="5666" spans="1:23" ht="14.1" customHeight="1" x14ac:dyDescent="0.2">
      <c r="A5666" s="9" t="s">
        <v>991</v>
      </c>
      <c r="B5666" s="9" t="s">
        <v>582</v>
      </c>
      <c r="C5666" s="3">
        <v>116973</v>
      </c>
      <c r="D5666" s="3" t="s">
        <v>992</v>
      </c>
      <c r="E5666" s="4"/>
      <c r="F5666" s="3" t="s">
        <v>131</v>
      </c>
      <c r="G5666" s="9"/>
      <c r="H5666" s="9">
        <v>0</v>
      </c>
      <c r="I5666" s="12"/>
      <c r="J5666" s="5" t="e">
        <f>SUM(SUMIFS(#REF!,#REF!,Planning[[#This Row],[Tipo de Tarea y especialidad]],#REF!,Planning[[#This Row],[Proyectos Reiwa]]),SUMIFS(#REF!,#REF!,Planning[[#This Row],[Tipo de Tarea y especialidad]],#REF!,Planning[[#This Row],[Proyectos]]))</f>
        <v>#REF!</v>
      </c>
      <c r="K5666" s="5" t="e">
        <f>+Planning[[#This Row],[Horas Planificadas]]+Planning[[#This Row],[Horas ajustadas adicionales]]-Planning[[#This Row],[Horas utilizadas]]</f>
        <v>#REF!</v>
      </c>
      <c r="L5666" s="7">
        <v>0</v>
      </c>
      <c r="M5666" s="19" t="e">
        <f>Planning[[#This Row],[Saldo]]-Planning[[#This Row],[Saldo estimado]]</f>
        <v>#REF!</v>
      </c>
      <c r="N5666" s="60" t="e">
        <f>+SUMIFS(#REF!,#REF!,Planning[[#This Row],[Proyectos]],#REF!,Planning[[#This Row],[Tipo de Tarea y especialidad]])+SUMIFS(#REF!,#REF!,Planning[[#This Row],[Proyectos Reiwa]],#REF!,Planning[[#This Row],[Tipo de Tarea y especialidad]])</f>
        <v>#REF!</v>
      </c>
      <c r="O5666" s="19">
        <f t="shared" si="177"/>
        <v>10</v>
      </c>
      <c r="P5666" s="19">
        <f t="shared" si="178"/>
        <v>2024</v>
      </c>
      <c r="Q56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66" s="51" t="str">
        <f>TEXT(Planning[[#This Row],[Mes]]*29,"mmmm")</f>
        <v>October</v>
      </c>
      <c r="S5666"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66" s="157"/>
      <c r="U5666" s="93"/>
      <c r="V5666" s="93"/>
      <c r="W5666" s="94"/>
    </row>
    <row r="5667" spans="1:23" ht="13.35" customHeight="1" x14ac:dyDescent="0.2">
      <c r="A5667" s="9" t="s">
        <v>991</v>
      </c>
      <c r="B5667" s="9" t="s">
        <v>220</v>
      </c>
      <c r="C5667" s="3">
        <v>117056</v>
      </c>
      <c r="D5667" s="3" t="s">
        <v>994</v>
      </c>
      <c r="E5667" s="4" t="s">
        <v>28</v>
      </c>
      <c r="F5667" s="3"/>
      <c r="G5667" s="9"/>
      <c r="H5667" s="14">
        <f>SUM(H5668:H5669)</f>
        <v>135</v>
      </c>
      <c r="I5667" s="14"/>
      <c r="J5667" s="14" t="e">
        <f>SUM(J5668:J5669)</f>
        <v>#REF!</v>
      </c>
      <c r="K5667" s="14" t="e">
        <f>+Planning[[#This Row],[Horas Planificadas]]+Planning[[#This Row],[Horas ajustadas adicionales]]-Planning[[#This Row],[Horas utilizadas]]</f>
        <v>#REF!</v>
      </c>
      <c r="L5667" s="15" t="e">
        <f>SUM(L5668:L5669)</f>
        <v>#REF!</v>
      </c>
      <c r="M5667" s="14" t="e">
        <f>SUM(M5668:M5669)</f>
        <v>#REF!</v>
      </c>
      <c r="N5667" s="60" t="e">
        <f>+SUMIFS(#REF!,#REF!,Planning[[#This Row],[Proyectos]],#REF!,Planning[[#This Row],[Tipo de Tarea y especialidad]])+SUMIFS(#REF!,#REF!,Planning[[#This Row],[Proyectos Reiwa]],#REF!,Planning[[#This Row],[Tipo de Tarea y especialidad]])</f>
        <v>#REF!</v>
      </c>
      <c r="O5667" s="14">
        <f t="shared" si="177"/>
        <v>10</v>
      </c>
      <c r="P5667" s="14">
        <f t="shared" si="178"/>
        <v>2024</v>
      </c>
      <c r="Q5667" s="28" t="e">
        <f>SUM(Q5668:Q5669)</f>
        <v>#REF!</v>
      </c>
      <c r="R5667" s="24" t="str">
        <f>TEXT(Planning[[#This Row],[Mes]]*29,"mmmm")</f>
        <v>October</v>
      </c>
      <c r="S566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67" s="151" t="s">
        <v>995</v>
      </c>
    </row>
    <row r="5668" spans="1:23" x14ac:dyDescent="0.2">
      <c r="A5668" s="9" t="s">
        <v>991</v>
      </c>
      <c r="B5668" s="9" t="s">
        <v>220</v>
      </c>
      <c r="C5668" s="3">
        <v>117056</v>
      </c>
      <c r="D5668" s="3" t="s">
        <v>994</v>
      </c>
      <c r="E5668" s="4"/>
      <c r="F5668" s="3" t="s">
        <v>120</v>
      </c>
      <c r="G5668" s="9">
        <v>90</v>
      </c>
      <c r="H5668" s="9">
        <v>90</v>
      </c>
      <c r="I5668" s="12"/>
      <c r="J5668" s="5" t="e">
        <f>SUM(SUMIFS(#REF!,#REF!,Planning[[#This Row],[Tipo de Tarea y especialidad]],#REF!,Planning[[#This Row],[Proyectos Reiwa]]),SUMIFS(#REF!,#REF!,Planning[[#This Row],[Tipo de Tarea y especialidad]],#REF!,Planning[[#This Row],[Proyectos]]))</f>
        <v>#REF!</v>
      </c>
      <c r="K5668" s="5" t="e">
        <f>+Planning[[#This Row],[Horas Planificadas]]+Planning[[#This Row],[Horas ajustadas adicionales]]-Planning[[#This Row],[Horas utilizadas]]</f>
        <v>#REF!</v>
      </c>
      <c r="L5668" s="7">
        <v>18</v>
      </c>
      <c r="M5668" s="19" t="e">
        <f>Planning[[#This Row],[Saldo]]-Planning[[#This Row],[Saldo estimado]]</f>
        <v>#REF!</v>
      </c>
      <c r="N5668" s="60" t="e">
        <f>+SUMIFS(#REF!,#REF!,Planning[[#This Row],[Proyectos]],#REF!,Planning[[#This Row],[Tipo de Tarea y especialidad]])+SUMIFS(#REF!,#REF!,Planning[[#This Row],[Proyectos Reiwa]],#REF!,Planning[[#This Row],[Tipo de Tarea y especialidad]])</f>
        <v>#REF!</v>
      </c>
      <c r="O5668" s="19">
        <f t="shared" si="177"/>
        <v>10</v>
      </c>
      <c r="P5668" s="19">
        <f t="shared" si="178"/>
        <v>2024</v>
      </c>
      <c r="Q56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68" s="49" t="str">
        <f>TEXT(Planning[[#This Row],[Mes]]*29,"mmmm")</f>
        <v>October</v>
      </c>
      <c r="S566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68" s="152"/>
    </row>
    <row r="5669" spans="1:23" x14ac:dyDescent="0.2">
      <c r="A5669" s="9" t="s">
        <v>991</v>
      </c>
      <c r="B5669" s="9" t="s">
        <v>220</v>
      </c>
      <c r="C5669" s="3">
        <v>117056</v>
      </c>
      <c r="D5669" s="3" t="s">
        <v>994</v>
      </c>
      <c r="E5669" s="4"/>
      <c r="F5669" s="3" t="s">
        <v>121</v>
      </c>
      <c r="G5669" s="9">
        <v>45</v>
      </c>
      <c r="H5669" s="9">
        <v>45</v>
      </c>
      <c r="I5669" s="12"/>
      <c r="J5669" s="5" t="e">
        <f>SUM(SUMIFS(#REF!,#REF!,Planning[[#This Row],[Tipo de Tarea y especialidad]],#REF!,Planning[[#This Row],[Proyectos Reiwa]]),SUMIFS(#REF!,#REF!,Planning[[#This Row],[Tipo de Tarea y especialidad]],#REF!,Planning[[#This Row],[Proyectos]]))</f>
        <v>#REF!</v>
      </c>
      <c r="K5669" s="5" t="e">
        <f>+Planning[[#This Row],[Horas Planificadas]]+Planning[[#This Row],[Horas ajustadas adicionales]]-Planning[[#This Row],[Horas utilizadas]]</f>
        <v>#REF!</v>
      </c>
      <c r="L5669" s="7" t="e">
        <f>Planning[[#This Row],[Saldo]]</f>
        <v>#REF!</v>
      </c>
      <c r="M5669" s="19" t="e">
        <f>Planning[[#This Row],[Saldo]]-Planning[[#This Row],[Saldo estimado]]</f>
        <v>#REF!</v>
      </c>
      <c r="N5669" s="60" t="e">
        <f>+SUMIFS(#REF!,#REF!,Planning[[#This Row],[Proyectos]],#REF!,Planning[[#This Row],[Tipo de Tarea y especialidad]])+SUMIFS(#REF!,#REF!,Planning[[#This Row],[Proyectos Reiwa]],#REF!,Planning[[#This Row],[Tipo de Tarea y especialidad]])</f>
        <v>#REF!</v>
      </c>
      <c r="O5669" s="19">
        <f t="shared" si="177"/>
        <v>10</v>
      </c>
      <c r="P5669" s="19">
        <f t="shared" si="178"/>
        <v>2024</v>
      </c>
      <c r="Q56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69" s="49" t="str">
        <f>TEXT(Planning[[#This Row],[Mes]]*29,"mmmm")</f>
        <v>October</v>
      </c>
      <c r="S566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69" s="152"/>
    </row>
    <row r="5670" spans="1:23" x14ac:dyDescent="0.2">
      <c r="A5670" s="9" t="s">
        <v>991</v>
      </c>
      <c r="B5670" s="9" t="s">
        <v>220</v>
      </c>
      <c r="C5670" s="3">
        <v>117056</v>
      </c>
      <c r="D5670" s="3" t="s">
        <v>994</v>
      </c>
      <c r="E5670" s="4" t="s">
        <v>30</v>
      </c>
      <c r="F5670" s="3"/>
      <c r="G5670" s="9"/>
      <c r="H5670" s="14">
        <f>SUM(H5671:H5677)</f>
        <v>349</v>
      </c>
      <c r="I5670" s="14"/>
      <c r="J5670" s="14" t="e">
        <f>SUM(J5671:J5677)</f>
        <v>#REF!</v>
      </c>
      <c r="K5670" s="14" t="e">
        <f>+Planning[[#This Row],[Horas Planificadas]]+Planning[[#This Row],[Horas ajustadas adicionales]]-Planning[[#This Row],[Horas utilizadas]]</f>
        <v>#REF!</v>
      </c>
      <c r="L5670" s="15" t="e">
        <f>SUM(L5671:L5677)</f>
        <v>#REF!</v>
      </c>
      <c r="M5670" s="16" t="e">
        <f>SUM(M5671:M5677)</f>
        <v>#REF!</v>
      </c>
      <c r="N5670" s="60" t="e">
        <f>+SUMIFS(#REF!,#REF!,Planning[[#This Row],[Proyectos]],#REF!,Planning[[#This Row],[Tipo de Tarea y especialidad]])+SUMIFS(#REF!,#REF!,Planning[[#This Row],[Proyectos Reiwa]],#REF!,Planning[[#This Row],[Tipo de Tarea y especialidad]])</f>
        <v>#REF!</v>
      </c>
      <c r="O5670" s="16">
        <f t="shared" si="177"/>
        <v>10</v>
      </c>
      <c r="P5670" s="16">
        <f t="shared" si="178"/>
        <v>2024</v>
      </c>
      <c r="Q5670" s="16" t="e">
        <f>SUM(Q5671:Q5677)</f>
        <v>#REF!</v>
      </c>
      <c r="R5670" s="50" t="str">
        <f>TEXT(Planning[[#This Row],[Mes]]*29,"mmmm")</f>
        <v>October</v>
      </c>
      <c r="S567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70" s="152"/>
    </row>
    <row r="5671" spans="1:23" x14ac:dyDescent="0.2">
      <c r="A5671" s="9" t="s">
        <v>991</v>
      </c>
      <c r="B5671" s="9" t="s">
        <v>220</v>
      </c>
      <c r="C5671" s="3">
        <v>117056</v>
      </c>
      <c r="D5671" s="3" t="s">
        <v>994</v>
      </c>
      <c r="E5671" s="4">
        <v>1563</v>
      </c>
      <c r="F5671" s="3" t="s">
        <v>122</v>
      </c>
      <c r="G5671" s="9">
        <v>45</v>
      </c>
      <c r="H5671" s="9">
        <v>45</v>
      </c>
      <c r="I5671" s="12"/>
      <c r="J5671" s="5" t="e">
        <f>SUM(SUMIFS(#REF!,#REF!,Planning[[#This Row],[Tipo de Tarea y especialidad]],#REF!,Planning[[#This Row],[Proyectos Reiwa]]),SUMIFS(#REF!,#REF!,Planning[[#This Row],[Tipo de Tarea y especialidad]],#REF!,Planning[[#This Row],[Proyectos]]))</f>
        <v>#REF!</v>
      </c>
      <c r="K5671" s="5" t="e">
        <f>+Planning[[#This Row],[Horas Planificadas]]+Planning[[#This Row],[Horas ajustadas adicionales]]-Planning[[#This Row],[Horas utilizadas]]</f>
        <v>#REF!</v>
      </c>
      <c r="L5671" s="7" t="e">
        <f>Planning[[#This Row],[Saldo]]</f>
        <v>#REF!</v>
      </c>
      <c r="M5671" s="19" t="e">
        <f>Planning[[#This Row],[Saldo]]-Planning[[#This Row],[Saldo estimado]]</f>
        <v>#REF!</v>
      </c>
      <c r="N5671" s="60" t="e">
        <f>+SUMIFS(#REF!,#REF!,Planning[[#This Row],[Proyectos]],#REF!,Planning[[#This Row],[Tipo de Tarea y especialidad]])+SUMIFS(#REF!,#REF!,Planning[[#This Row],[Proyectos Reiwa]],#REF!,Planning[[#This Row],[Tipo de Tarea y especialidad]])</f>
        <v>#REF!</v>
      </c>
      <c r="O5671" s="19">
        <f t="shared" si="177"/>
        <v>10</v>
      </c>
      <c r="P5671" s="19">
        <f t="shared" si="178"/>
        <v>2024</v>
      </c>
      <c r="Q56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71" s="49" t="str">
        <f>TEXT(Planning[[#This Row],[Mes]]*29,"mmmm")</f>
        <v>October</v>
      </c>
      <c r="S567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71" s="152"/>
    </row>
    <row r="5672" spans="1:23" x14ac:dyDescent="0.2">
      <c r="A5672" s="9" t="s">
        <v>991</v>
      </c>
      <c r="B5672" s="9" t="s">
        <v>220</v>
      </c>
      <c r="C5672" s="3">
        <v>117056</v>
      </c>
      <c r="D5672" s="3" t="s">
        <v>994</v>
      </c>
      <c r="E5672" s="4"/>
      <c r="F5672" s="3" t="s">
        <v>123</v>
      </c>
      <c r="G5672" s="9"/>
      <c r="H5672" s="9"/>
      <c r="I5672" s="12"/>
      <c r="J5672" s="5" t="e">
        <f>SUM(SUMIFS(#REF!,#REF!,Planning[[#This Row],[Tipo de Tarea y especialidad]],#REF!,Planning[[#This Row],[Proyectos Reiwa]]),SUMIFS(#REF!,#REF!,Planning[[#This Row],[Tipo de Tarea y especialidad]],#REF!,Planning[[#This Row],[Proyectos]]))</f>
        <v>#REF!</v>
      </c>
      <c r="K5672" s="5" t="e">
        <f>+Planning[[#This Row],[Horas Planificadas]]+Planning[[#This Row],[Horas ajustadas adicionales]]-Planning[[#This Row],[Horas utilizadas]]</f>
        <v>#REF!</v>
      </c>
      <c r="L5672" s="7" t="e">
        <f>Planning[[#This Row],[Saldo]]</f>
        <v>#REF!</v>
      </c>
      <c r="M5672" s="19" t="e">
        <f>Planning[[#This Row],[Saldo]]-Planning[[#This Row],[Saldo estimado]]</f>
        <v>#REF!</v>
      </c>
      <c r="N5672" s="60" t="e">
        <f>+SUMIFS(#REF!,#REF!,Planning[[#This Row],[Proyectos]],#REF!,Planning[[#This Row],[Tipo de Tarea y especialidad]])+SUMIFS(#REF!,#REF!,Planning[[#This Row],[Proyectos Reiwa]],#REF!,Planning[[#This Row],[Tipo de Tarea y especialidad]])</f>
        <v>#REF!</v>
      </c>
      <c r="O5672" s="19">
        <f t="shared" si="177"/>
        <v>10</v>
      </c>
      <c r="P5672" s="19">
        <f t="shared" si="178"/>
        <v>2024</v>
      </c>
      <c r="Q56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72" s="49" t="str">
        <f>TEXT(Planning[[#This Row],[Mes]]*29,"mmmm")</f>
        <v>October</v>
      </c>
      <c r="S567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72" s="152"/>
    </row>
    <row r="5673" spans="1:23" x14ac:dyDescent="0.2">
      <c r="A5673" s="9" t="s">
        <v>991</v>
      </c>
      <c r="B5673" s="9" t="s">
        <v>220</v>
      </c>
      <c r="C5673" s="3">
        <v>117056</v>
      </c>
      <c r="D5673" s="3" t="s">
        <v>994</v>
      </c>
      <c r="E5673" s="4"/>
      <c r="F5673" s="3" t="s">
        <v>124</v>
      </c>
      <c r="G5673" s="9"/>
      <c r="H5673" s="9"/>
      <c r="I5673" s="12"/>
      <c r="J5673" s="5" t="e">
        <f>SUM(SUMIFS(#REF!,#REF!,Planning[[#This Row],[Tipo de Tarea y especialidad]],#REF!,Planning[[#This Row],[Proyectos Reiwa]]),SUMIFS(#REF!,#REF!,Planning[[#This Row],[Tipo de Tarea y especialidad]],#REF!,Planning[[#This Row],[Proyectos]]))</f>
        <v>#REF!</v>
      </c>
      <c r="K5673" s="5" t="e">
        <f>+Planning[[#This Row],[Horas Planificadas]]+Planning[[#This Row],[Horas ajustadas adicionales]]-Planning[[#This Row],[Horas utilizadas]]</f>
        <v>#REF!</v>
      </c>
      <c r="L5673" s="7" t="e">
        <f>Planning[[#This Row],[Saldo]]</f>
        <v>#REF!</v>
      </c>
      <c r="M5673" s="19" t="e">
        <f>Planning[[#This Row],[Saldo]]-Planning[[#This Row],[Saldo estimado]]</f>
        <v>#REF!</v>
      </c>
      <c r="N5673" s="60" t="e">
        <f>+SUMIFS(#REF!,#REF!,Planning[[#This Row],[Proyectos]],#REF!,Planning[[#This Row],[Tipo de Tarea y especialidad]])+SUMIFS(#REF!,#REF!,Planning[[#This Row],[Proyectos Reiwa]],#REF!,Planning[[#This Row],[Tipo de Tarea y especialidad]])</f>
        <v>#REF!</v>
      </c>
      <c r="O5673" s="19">
        <f t="shared" si="177"/>
        <v>10</v>
      </c>
      <c r="P5673" s="19">
        <f t="shared" si="178"/>
        <v>2024</v>
      </c>
      <c r="Q56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73" s="49" t="str">
        <f>TEXT(Planning[[#This Row],[Mes]]*29,"mmmm")</f>
        <v>October</v>
      </c>
      <c r="S567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73" s="152"/>
    </row>
    <row r="5674" spans="1:23" x14ac:dyDescent="0.2">
      <c r="A5674" s="9" t="s">
        <v>991</v>
      </c>
      <c r="B5674" s="9" t="s">
        <v>220</v>
      </c>
      <c r="C5674" s="3">
        <v>117056</v>
      </c>
      <c r="D5674" s="3" t="s">
        <v>994</v>
      </c>
      <c r="E5674" s="4"/>
      <c r="F5674" s="3" t="s">
        <v>125</v>
      </c>
      <c r="G5674" s="9">
        <f>214-G5671</f>
        <v>169</v>
      </c>
      <c r="H5674" s="9">
        <v>169</v>
      </c>
      <c r="I5674" s="12"/>
      <c r="J5674" s="5" t="e">
        <f>SUM(SUMIFS(#REF!,#REF!,Planning[[#This Row],[Tipo de Tarea y especialidad]],#REF!,Planning[[#This Row],[Proyectos Reiwa]]),SUMIFS(#REF!,#REF!,Planning[[#This Row],[Tipo de Tarea y especialidad]],#REF!,Planning[[#This Row],[Proyectos]]))</f>
        <v>#REF!</v>
      </c>
      <c r="K5674" s="5" t="e">
        <f>+Planning[[#This Row],[Horas Planificadas]]+Planning[[#This Row],[Horas ajustadas adicionales]]-Planning[[#This Row],[Horas utilizadas]]</f>
        <v>#REF!</v>
      </c>
      <c r="L5674" s="7">
        <v>70</v>
      </c>
      <c r="M5674" s="19" t="e">
        <f>Planning[[#This Row],[Saldo]]-Planning[[#This Row],[Saldo estimado]]</f>
        <v>#REF!</v>
      </c>
      <c r="N5674" s="60" t="e">
        <f>+SUMIFS(#REF!,#REF!,Planning[[#This Row],[Proyectos]],#REF!,Planning[[#This Row],[Tipo de Tarea y especialidad]])+SUMIFS(#REF!,#REF!,Planning[[#This Row],[Proyectos Reiwa]],#REF!,Planning[[#This Row],[Tipo de Tarea y especialidad]])</f>
        <v>#REF!</v>
      </c>
      <c r="O5674" s="19">
        <f t="shared" si="177"/>
        <v>10</v>
      </c>
      <c r="P5674" s="19">
        <f t="shared" si="178"/>
        <v>2024</v>
      </c>
      <c r="Q56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74" s="49" t="str">
        <f>TEXT(Planning[[#This Row],[Mes]]*29,"mmmm")</f>
        <v>October</v>
      </c>
      <c r="S567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74" s="152"/>
    </row>
    <row r="5675" spans="1:23" x14ac:dyDescent="0.2">
      <c r="A5675" s="9" t="s">
        <v>991</v>
      </c>
      <c r="B5675" s="9" t="s">
        <v>220</v>
      </c>
      <c r="C5675" s="3">
        <v>117056</v>
      </c>
      <c r="D5675" s="3" t="s">
        <v>994</v>
      </c>
      <c r="E5675" s="4">
        <v>972</v>
      </c>
      <c r="F5675" s="3" t="s">
        <v>126</v>
      </c>
      <c r="G5675" s="9">
        <v>135</v>
      </c>
      <c r="H5675" s="9">
        <v>135</v>
      </c>
      <c r="I5675" s="12"/>
      <c r="J5675" s="5" t="e">
        <f>SUM(SUMIFS(#REF!,#REF!,Planning[[#This Row],[Tipo de Tarea y especialidad]],#REF!,Planning[[#This Row],[Proyectos Reiwa]]),SUMIFS(#REF!,#REF!,Planning[[#This Row],[Tipo de Tarea y especialidad]],#REF!,Planning[[#This Row],[Proyectos]]))</f>
        <v>#REF!</v>
      </c>
      <c r="K5675" s="5" t="e">
        <f>+Planning[[#This Row],[Horas Planificadas]]+Planning[[#This Row],[Horas ajustadas adicionales]]-Planning[[#This Row],[Horas utilizadas]]</f>
        <v>#REF!</v>
      </c>
      <c r="L5675" s="7">
        <v>90</v>
      </c>
      <c r="M5675" s="19" t="e">
        <f>Planning[[#This Row],[Saldo]]-Planning[[#This Row],[Saldo estimado]]</f>
        <v>#REF!</v>
      </c>
      <c r="N5675" s="60" t="e">
        <f>+SUMIFS(#REF!,#REF!,Planning[[#This Row],[Proyectos]],#REF!,Planning[[#This Row],[Tipo de Tarea y especialidad]])+SUMIFS(#REF!,#REF!,Planning[[#This Row],[Proyectos Reiwa]],#REF!,Planning[[#This Row],[Tipo de Tarea y especialidad]])</f>
        <v>#REF!</v>
      </c>
      <c r="O5675" s="19">
        <f t="shared" si="177"/>
        <v>10</v>
      </c>
      <c r="P5675" s="19">
        <f t="shared" si="178"/>
        <v>2024</v>
      </c>
      <c r="Q56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75" s="49" t="str">
        <f>TEXT(Planning[[#This Row],[Mes]]*29,"mmmm")</f>
        <v>October</v>
      </c>
      <c r="S567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75" s="152"/>
    </row>
    <row r="5676" spans="1:23" x14ac:dyDescent="0.2">
      <c r="A5676" s="9" t="s">
        <v>991</v>
      </c>
      <c r="B5676" s="9" t="s">
        <v>220</v>
      </c>
      <c r="C5676" s="3">
        <v>117056</v>
      </c>
      <c r="D5676" s="3" t="s">
        <v>994</v>
      </c>
      <c r="E5676" s="4"/>
      <c r="F5676" s="3" t="s">
        <v>127</v>
      </c>
      <c r="G5676" s="9"/>
      <c r="H5676" s="9"/>
      <c r="I5676" s="12"/>
      <c r="J5676" s="5" t="e">
        <f>SUM(SUMIFS(#REF!,#REF!,Planning[[#This Row],[Tipo de Tarea y especialidad]],#REF!,Planning[[#This Row],[Proyectos Reiwa]]),SUMIFS(#REF!,#REF!,Planning[[#This Row],[Tipo de Tarea y especialidad]],#REF!,Planning[[#This Row],[Proyectos]]))</f>
        <v>#REF!</v>
      </c>
      <c r="K5676" s="5" t="e">
        <f>+Planning[[#This Row],[Horas Planificadas]]+Planning[[#This Row],[Horas ajustadas adicionales]]-Planning[[#This Row],[Horas utilizadas]]</f>
        <v>#REF!</v>
      </c>
      <c r="L5676" s="7" t="e">
        <f>Planning[[#This Row],[Saldo]]</f>
        <v>#REF!</v>
      </c>
      <c r="M5676" s="19" t="e">
        <f>Planning[[#This Row],[Saldo]]-Planning[[#This Row],[Saldo estimado]]</f>
        <v>#REF!</v>
      </c>
      <c r="N5676" s="60" t="e">
        <f>+SUMIFS(#REF!,#REF!,Planning[[#This Row],[Proyectos]],#REF!,Planning[[#This Row],[Tipo de Tarea y especialidad]])+SUMIFS(#REF!,#REF!,Planning[[#This Row],[Proyectos Reiwa]],#REF!,Planning[[#This Row],[Tipo de Tarea y especialidad]])</f>
        <v>#REF!</v>
      </c>
      <c r="O5676" s="19">
        <f t="shared" si="177"/>
        <v>10</v>
      </c>
      <c r="P5676" s="19">
        <f t="shared" si="178"/>
        <v>2024</v>
      </c>
      <c r="Q56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76" s="49" t="str">
        <f>TEXT(Planning[[#This Row],[Mes]]*29,"mmmm")</f>
        <v>October</v>
      </c>
      <c r="S567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76" s="152"/>
    </row>
    <row r="5677" spans="1:23" x14ac:dyDescent="0.2">
      <c r="A5677" s="9" t="s">
        <v>991</v>
      </c>
      <c r="B5677" s="9" t="s">
        <v>220</v>
      </c>
      <c r="C5677" s="3">
        <v>117056</v>
      </c>
      <c r="D5677" s="3" t="s">
        <v>994</v>
      </c>
      <c r="E5677" s="4"/>
      <c r="F5677" s="3" t="s">
        <v>128</v>
      </c>
      <c r="G5677" s="9"/>
      <c r="H5677" s="9"/>
      <c r="I5677" s="12"/>
      <c r="J5677" s="5" t="e">
        <f>SUM(SUMIFS(#REF!,#REF!,Planning[[#This Row],[Tipo de Tarea y especialidad]],#REF!,Planning[[#This Row],[Proyectos Reiwa]]),SUMIFS(#REF!,#REF!,Planning[[#This Row],[Tipo de Tarea y especialidad]],#REF!,Planning[[#This Row],[Proyectos]]))</f>
        <v>#REF!</v>
      </c>
      <c r="K5677" s="5" t="e">
        <f>+Planning[[#This Row],[Horas Planificadas]]+Planning[[#This Row],[Horas ajustadas adicionales]]-Planning[[#This Row],[Horas utilizadas]]</f>
        <v>#REF!</v>
      </c>
      <c r="L5677" s="7" t="e">
        <f>Planning[[#This Row],[Saldo]]</f>
        <v>#REF!</v>
      </c>
      <c r="M5677" s="19" t="e">
        <f>Planning[[#This Row],[Saldo]]-Planning[[#This Row],[Saldo estimado]]</f>
        <v>#REF!</v>
      </c>
      <c r="N5677" s="60" t="e">
        <f>+SUMIFS(#REF!,#REF!,Planning[[#This Row],[Proyectos]],#REF!,Planning[[#This Row],[Tipo de Tarea y especialidad]])+SUMIFS(#REF!,#REF!,Planning[[#This Row],[Proyectos Reiwa]],#REF!,Planning[[#This Row],[Tipo de Tarea y especialidad]])</f>
        <v>#REF!</v>
      </c>
      <c r="O5677" s="19">
        <f t="shared" si="177"/>
        <v>10</v>
      </c>
      <c r="P5677" s="19">
        <f t="shared" si="178"/>
        <v>2024</v>
      </c>
      <c r="Q56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77" s="49" t="str">
        <f>TEXT(Planning[[#This Row],[Mes]]*29,"mmmm")</f>
        <v>October</v>
      </c>
      <c r="S567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77" s="152"/>
    </row>
    <row r="5678" spans="1:23" x14ac:dyDescent="0.2">
      <c r="A5678" s="9" t="s">
        <v>991</v>
      </c>
      <c r="B5678" s="9" t="s">
        <v>220</v>
      </c>
      <c r="C5678" s="3">
        <v>117056</v>
      </c>
      <c r="D5678" s="3" t="s">
        <v>994</v>
      </c>
      <c r="E5678" s="4" t="s">
        <v>31</v>
      </c>
      <c r="F5678" s="3" t="s">
        <v>31</v>
      </c>
      <c r="G5678" s="9">
        <v>99</v>
      </c>
      <c r="H5678" s="17">
        <v>99</v>
      </c>
      <c r="I5678" s="18"/>
      <c r="J5678" s="14" t="e">
        <f>+SUMIFS(#REF!,#REF!,Planning[[#This Row],[Tarifa]],#REF!,Planning[[#This Row],[Proyectos]])</f>
        <v>#REF!</v>
      </c>
      <c r="K5678" s="14" t="e">
        <f>+Planning[[#This Row],[Horas Planificadas]]+Planning[[#This Row],[Horas ajustadas adicionales]]-Planning[[#This Row],[Horas utilizadas]]</f>
        <v>#REF!</v>
      </c>
      <c r="L5678" s="15" t="e">
        <f>Planning[[#This Row],[Saldo]]</f>
        <v>#REF!</v>
      </c>
      <c r="M5678" s="16" t="e">
        <f>Planning[[#This Row],[Saldo]]-Planning[[#This Row],[Saldo estimado]]</f>
        <v>#REF!</v>
      </c>
      <c r="N5678" s="60" t="e">
        <f>+SUMIFS(#REF!,#REF!,Planning[[#This Row],[Proyectos]],#REF!,Planning[[#This Row],[Tipo de Tarea y especialidad]])+SUMIFS(#REF!,#REF!,Planning[[#This Row],[Proyectos Reiwa]],#REF!,Planning[[#This Row],[Tipo de Tarea y especialidad]])</f>
        <v>#REF!</v>
      </c>
      <c r="O5678" s="16">
        <f t="shared" si="177"/>
        <v>10</v>
      </c>
      <c r="P5678" s="16">
        <f t="shared" si="178"/>
        <v>2024</v>
      </c>
      <c r="Q5678" s="16" t="e">
        <f>+SUMIFS(#REF!,#REF!,Planning[[#This Row],[Tarifa]],#REF!,Planning[[#This Row],[Proyectos]],#REF!,Planning[[#This Row],[Mes]],#REF!,Planning[[#This Row],[Año]])</f>
        <v>#REF!</v>
      </c>
      <c r="R5678" s="50" t="str">
        <f>TEXT(Planning[[#This Row],[Mes]]*29,"mmmm")</f>
        <v>October</v>
      </c>
      <c r="S567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78" s="152"/>
    </row>
    <row r="5679" spans="1:23" ht="22.5" x14ac:dyDescent="0.2">
      <c r="A5679" s="9" t="s">
        <v>991</v>
      </c>
      <c r="B5679" s="9" t="s">
        <v>220</v>
      </c>
      <c r="C5679" s="3">
        <v>117056</v>
      </c>
      <c r="D5679" s="3" t="s">
        <v>994</v>
      </c>
      <c r="E5679" s="4" t="s">
        <v>32</v>
      </c>
      <c r="F5679" s="3"/>
      <c r="G5679" s="9"/>
      <c r="H5679" s="14">
        <f>SUM(H5680:H5682)</f>
        <v>100</v>
      </c>
      <c r="I5679" s="14"/>
      <c r="J5679" s="14" t="e">
        <f>SUM(J5680:J5682)</f>
        <v>#REF!</v>
      </c>
      <c r="K5679" s="14" t="e">
        <f>+Planning[[#This Row],[Horas Planificadas]]+Planning[[#This Row],[Horas ajustadas adicionales]]-Planning[[#This Row],[Horas utilizadas]]</f>
        <v>#REF!</v>
      </c>
      <c r="L5679" s="15" t="e">
        <f>SUM(L5680:L5682)</f>
        <v>#REF!</v>
      </c>
      <c r="M5679" s="16" t="e">
        <f>SUM(M5680:M5682)</f>
        <v>#REF!</v>
      </c>
      <c r="N5679" s="60" t="e">
        <f>+SUMIFS(#REF!,#REF!,Planning[[#This Row],[Proyectos]],#REF!,Planning[[#This Row],[Tipo de Tarea y especialidad]])+SUMIFS(#REF!,#REF!,Planning[[#This Row],[Proyectos Reiwa]],#REF!,Planning[[#This Row],[Tipo de Tarea y especialidad]])</f>
        <v>#REF!</v>
      </c>
      <c r="O5679" s="16">
        <f t="shared" si="177"/>
        <v>10</v>
      </c>
      <c r="P5679" s="16">
        <f t="shared" si="178"/>
        <v>2024</v>
      </c>
      <c r="Q5679" s="16" t="e">
        <f>SUM(Q5680:Q5682)</f>
        <v>#REF!</v>
      </c>
      <c r="R5679" s="50" t="str">
        <f>TEXT(Planning[[#This Row],[Mes]]*29,"mmmm")</f>
        <v>October</v>
      </c>
      <c r="S567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79" s="152"/>
    </row>
    <row r="5680" spans="1:23" x14ac:dyDescent="0.2">
      <c r="A5680" s="9" t="s">
        <v>991</v>
      </c>
      <c r="B5680" s="9" t="s">
        <v>220</v>
      </c>
      <c r="C5680" s="3">
        <v>117056</v>
      </c>
      <c r="D5680" s="3" t="s">
        <v>994</v>
      </c>
      <c r="E5680" s="4">
        <v>1410</v>
      </c>
      <c r="F5680" s="3" t="s">
        <v>129</v>
      </c>
      <c r="G5680" s="9">
        <v>100</v>
      </c>
      <c r="H5680" s="9">
        <v>100</v>
      </c>
      <c r="I5680" s="12"/>
      <c r="J5680" s="5" t="e">
        <f>SUM(SUMIFS(#REF!,#REF!,Planning[[#This Row],[Tipo de Tarea y especialidad]],#REF!,Planning[[#This Row],[Proyectos Reiwa]]),SUMIFS(#REF!,#REF!,Planning[[#This Row],[Tipo de Tarea y especialidad]],#REF!,Planning[[#This Row],[Proyectos]]))</f>
        <v>#REF!</v>
      </c>
      <c r="K5680" s="5" t="e">
        <f>+Planning[[#This Row],[Horas Planificadas]]+Planning[[#This Row],[Horas ajustadas adicionales]]-Planning[[#This Row],[Horas utilizadas]]</f>
        <v>#REF!</v>
      </c>
      <c r="L5680" s="7" t="e">
        <f>Planning[[#This Row],[Saldo]]</f>
        <v>#REF!</v>
      </c>
      <c r="M5680" s="19" t="e">
        <f>Planning[[#This Row],[Saldo]]-Planning[[#This Row],[Saldo estimado]]</f>
        <v>#REF!</v>
      </c>
      <c r="N5680" s="60" t="e">
        <f>+SUMIFS(#REF!,#REF!,Planning[[#This Row],[Proyectos]],#REF!,Planning[[#This Row],[Tipo de Tarea y especialidad]])+SUMIFS(#REF!,#REF!,Planning[[#This Row],[Proyectos Reiwa]],#REF!,Planning[[#This Row],[Tipo de Tarea y especialidad]])</f>
        <v>#REF!</v>
      </c>
      <c r="O5680" s="19">
        <f t="shared" si="177"/>
        <v>10</v>
      </c>
      <c r="P5680" s="19">
        <f t="shared" si="178"/>
        <v>2024</v>
      </c>
      <c r="Q56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80" s="49" t="str">
        <f>TEXT(Planning[[#This Row],[Mes]]*29,"mmmm")</f>
        <v>October</v>
      </c>
      <c r="S568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80" s="152"/>
    </row>
    <row r="5681" spans="1:23" x14ac:dyDescent="0.2">
      <c r="A5681" s="9" t="s">
        <v>991</v>
      </c>
      <c r="B5681" s="9" t="s">
        <v>220</v>
      </c>
      <c r="C5681" s="3">
        <v>117056</v>
      </c>
      <c r="D5681" s="3" t="s">
        <v>994</v>
      </c>
      <c r="E5681" s="4"/>
      <c r="F5681" s="3" t="s">
        <v>130</v>
      </c>
      <c r="G5681" s="9"/>
      <c r="H5681" s="9"/>
      <c r="I5681" s="12"/>
      <c r="J5681" s="5" t="e">
        <f>SUM(SUMIFS(#REF!,#REF!,Planning[[#This Row],[Tipo de Tarea y especialidad]],#REF!,Planning[[#This Row],[Proyectos Reiwa]]),SUMIFS(#REF!,#REF!,Planning[[#This Row],[Tipo de Tarea y especialidad]],#REF!,Planning[[#This Row],[Proyectos]]))</f>
        <v>#REF!</v>
      </c>
      <c r="K5681" s="5" t="e">
        <f>+Planning[[#This Row],[Horas Planificadas]]+Planning[[#This Row],[Horas ajustadas adicionales]]-Planning[[#This Row],[Horas utilizadas]]</f>
        <v>#REF!</v>
      </c>
      <c r="L5681" s="7">
        <v>0</v>
      </c>
      <c r="M5681" s="19" t="e">
        <f>Planning[[#This Row],[Saldo]]-Planning[[#This Row],[Saldo estimado]]</f>
        <v>#REF!</v>
      </c>
      <c r="N5681" s="60" t="e">
        <f>+SUMIFS(#REF!,#REF!,Planning[[#This Row],[Proyectos]],#REF!,Planning[[#This Row],[Tipo de Tarea y especialidad]])+SUMIFS(#REF!,#REF!,Planning[[#This Row],[Proyectos Reiwa]],#REF!,Planning[[#This Row],[Tipo de Tarea y especialidad]])</f>
        <v>#REF!</v>
      </c>
      <c r="O5681" s="19">
        <f t="shared" si="177"/>
        <v>10</v>
      </c>
      <c r="P5681" s="19">
        <f t="shared" si="178"/>
        <v>2024</v>
      </c>
      <c r="Q56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81" s="49" t="str">
        <f>TEXT(Planning[[#This Row],[Mes]]*29,"mmmm")</f>
        <v>October</v>
      </c>
      <c r="S568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81" s="152"/>
    </row>
    <row r="5682" spans="1:23" ht="14.1" customHeight="1" x14ac:dyDescent="0.2">
      <c r="A5682" s="9" t="s">
        <v>991</v>
      </c>
      <c r="B5682" s="9" t="s">
        <v>220</v>
      </c>
      <c r="C5682" s="3">
        <v>117056</v>
      </c>
      <c r="D5682" s="3" t="s">
        <v>994</v>
      </c>
      <c r="E5682" s="4"/>
      <c r="F5682" s="3" t="s">
        <v>131</v>
      </c>
      <c r="G5682" s="9"/>
      <c r="H5682" s="9"/>
      <c r="I5682" s="12"/>
      <c r="J5682" s="5" t="e">
        <f>SUM(SUMIFS(#REF!,#REF!,Planning[[#This Row],[Tipo de Tarea y especialidad]],#REF!,Planning[[#This Row],[Proyectos Reiwa]]),SUMIFS(#REF!,#REF!,Planning[[#This Row],[Tipo de Tarea y especialidad]],#REF!,Planning[[#This Row],[Proyectos]]))</f>
        <v>#REF!</v>
      </c>
      <c r="K5682" s="5" t="e">
        <f>+Planning[[#This Row],[Horas Planificadas]]+Planning[[#This Row],[Horas ajustadas adicionales]]-Planning[[#This Row],[Horas utilizadas]]</f>
        <v>#REF!</v>
      </c>
      <c r="L5682" s="7">
        <v>0</v>
      </c>
      <c r="M5682" s="19" t="e">
        <f>Planning[[#This Row],[Saldo]]-Planning[[#This Row],[Saldo estimado]]</f>
        <v>#REF!</v>
      </c>
      <c r="N5682" s="60" t="e">
        <f>+SUMIFS(#REF!,#REF!,Planning[[#This Row],[Proyectos]],#REF!,Planning[[#This Row],[Tipo de Tarea y especialidad]])+SUMIFS(#REF!,#REF!,Planning[[#This Row],[Proyectos Reiwa]],#REF!,Planning[[#This Row],[Tipo de Tarea y especialidad]])</f>
        <v>#REF!</v>
      </c>
      <c r="O5682" s="19">
        <f t="shared" si="177"/>
        <v>10</v>
      </c>
      <c r="P5682" s="19">
        <f t="shared" si="178"/>
        <v>2024</v>
      </c>
      <c r="Q56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82" s="51" t="str">
        <f>TEXT(Planning[[#This Row],[Mes]]*29,"mmmm")</f>
        <v>October</v>
      </c>
      <c r="S568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82" s="153"/>
    </row>
    <row r="5683" spans="1:23" ht="12.75" customHeight="1" x14ac:dyDescent="0.2">
      <c r="A5683" s="9" t="s">
        <v>991</v>
      </c>
      <c r="B5683" s="9" t="s">
        <v>779</v>
      </c>
      <c r="C5683" s="3">
        <v>117053</v>
      </c>
      <c r="D5683" s="3" t="s">
        <v>996</v>
      </c>
      <c r="E5683" s="4" t="s">
        <v>28</v>
      </c>
      <c r="F5683" s="3"/>
      <c r="G5683" s="9"/>
      <c r="H5683" s="14"/>
      <c r="I5683" s="14"/>
      <c r="J5683" s="14" t="e">
        <f>SUM(J5684:J5685)</f>
        <v>#REF!</v>
      </c>
      <c r="K5683" s="14" t="e">
        <f>+Planning[[#This Row],[Horas Planificadas]]+Planning[[#This Row],[Horas ajustadas adicionales]]-Planning[[#This Row],[Horas utilizadas]]</f>
        <v>#REF!</v>
      </c>
      <c r="L5683" s="15" t="e">
        <f>Planning[[#This Row],[Saldo]]</f>
        <v>#REF!</v>
      </c>
      <c r="M5683" s="14" t="e">
        <f>SUM(M5684:M5685)</f>
        <v>#REF!</v>
      </c>
      <c r="N5683" s="60" t="e">
        <f>+SUMIFS(#REF!,#REF!,Planning[[#This Row],[Proyectos]],#REF!,Planning[[#This Row],[Tipo de Tarea y especialidad]])+SUMIFS(#REF!,#REF!,Planning[[#This Row],[Proyectos Reiwa]],#REF!,Planning[[#This Row],[Tipo de Tarea y especialidad]])</f>
        <v>#REF!</v>
      </c>
      <c r="O5683" s="14">
        <f t="shared" ref="O5683:O5746" si="179">$L$4</f>
        <v>10</v>
      </c>
      <c r="P5683" s="14">
        <f t="shared" ref="P5683:P5746" si="180">$M$4</f>
        <v>2024</v>
      </c>
      <c r="Q5683" s="28" t="e">
        <f>SUM(Q5684:Q5685)</f>
        <v>#REF!</v>
      </c>
      <c r="R5683" s="24" t="str">
        <f>TEXT(Planning[[#This Row],[Mes]]*29,"mmmm")</f>
        <v>October</v>
      </c>
      <c r="S5683"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83" s="161" t="s">
        <v>997</v>
      </c>
      <c r="U5683" s="43">
        <f>IF(Planning[[#This Row],[Horas Planificadas]]&lt;&gt;0,+K5683/Planning[[#This Row],[Horas Planificadas]],0)</f>
        <v>0</v>
      </c>
      <c r="V5683" s="43">
        <f>IF(Planning[[#This Row],[Horas Planificadas]]&lt;&gt;0,Planning[[#This Row],[Horas utilizadas]]/Planning[[#This Row],[Horas Planificadas]],0)</f>
        <v>0</v>
      </c>
      <c r="W5683" s="44">
        <f>Planning[[#This Row],[Horas Planificadas]]+Planning[[#This Row],[Horas ajustadas adicionales]]</f>
        <v>0</v>
      </c>
    </row>
    <row r="5684" spans="1:23" ht="13.35" customHeight="1" x14ac:dyDescent="0.2">
      <c r="A5684" s="9" t="s">
        <v>991</v>
      </c>
      <c r="B5684" s="9" t="s">
        <v>779</v>
      </c>
      <c r="C5684" s="3">
        <v>117053</v>
      </c>
      <c r="D5684" s="3" t="s">
        <v>996</v>
      </c>
      <c r="E5684" s="4"/>
      <c r="F5684" s="3" t="s">
        <v>120</v>
      </c>
      <c r="G5684" s="9"/>
      <c r="H5684" s="9"/>
      <c r="I5684" s="12"/>
      <c r="J5684" s="5" t="e">
        <f>SUM(SUMIFS(#REF!,#REF!,Planning[[#This Row],[Tipo de Tarea y especialidad]],#REF!,Planning[[#This Row],[Proyectos Reiwa]]),SUMIFS(#REF!,#REF!,Planning[[#This Row],[Tipo de Tarea y especialidad]],#REF!,Planning[[#This Row],[Proyectos]]))</f>
        <v>#REF!</v>
      </c>
      <c r="K5684" s="5" t="e">
        <f>+Planning[[#This Row],[Horas Planificadas]]+Planning[[#This Row],[Horas ajustadas adicionales]]-Planning[[#This Row],[Horas utilizadas]]</f>
        <v>#REF!</v>
      </c>
      <c r="L5684" s="15" t="e">
        <f>Planning[[#This Row],[Saldo]]</f>
        <v>#REF!</v>
      </c>
      <c r="M5684" s="19" t="e">
        <f>Planning[[#This Row],[Saldo]]-Planning[[#This Row],[Saldo estimado]]</f>
        <v>#REF!</v>
      </c>
      <c r="N5684" s="60" t="e">
        <f>+SUMIFS(#REF!,#REF!,Planning[[#This Row],[Proyectos]],#REF!,Planning[[#This Row],[Tipo de Tarea y especialidad]])+SUMIFS(#REF!,#REF!,Planning[[#This Row],[Proyectos Reiwa]],#REF!,Planning[[#This Row],[Tipo de Tarea y especialidad]])</f>
        <v>#REF!</v>
      </c>
      <c r="O5684" s="19">
        <f t="shared" si="179"/>
        <v>10</v>
      </c>
      <c r="P5684" s="19">
        <f t="shared" si="180"/>
        <v>2024</v>
      </c>
      <c r="Q56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84" s="49" t="str">
        <f>TEXT(Planning[[#This Row],[Mes]]*29,"mmmm")</f>
        <v>October</v>
      </c>
      <c r="S568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84" s="166"/>
      <c r="U5684" s="43">
        <f>IF(Planning[[#This Row],[Horas Planificadas]]&lt;&gt;0,+K5684/Planning[[#This Row],[Horas Planificadas]],0)</f>
        <v>0</v>
      </c>
      <c r="V5684" s="43">
        <f>IF(Planning[[#This Row],[Horas Planificadas]]&lt;&gt;0,Planning[[#This Row],[Horas utilizadas]]/Planning[[#This Row],[Horas Planificadas]],0)</f>
        <v>0</v>
      </c>
      <c r="W5684" s="44">
        <f>Planning[[#This Row],[Horas Planificadas]]+Planning[[#This Row],[Horas ajustadas adicionales]]</f>
        <v>0</v>
      </c>
    </row>
    <row r="5685" spans="1:23" ht="13.35" customHeight="1" x14ac:dyDescent="0.2">
      <c r="A5685" s="9" t="s">
        <v>991</v>
      </c>
      <c r="B5685" s="9" t="s">
        <v>779</v>
      </c>
      <c r="C5685" s="3">
        <v>117053</v>
      </c>
      <c r="D5685" s="3" t="s">
        <v>996</v>
      </c>
      <c r="E5685" s="4"/>
      <c r="F5685" s="3" t="s">
        <v>121</v>
      </c>
      <c r="G5685" s="9"/>
      <c r="H5685" s="9"/>
      <c r="I5685" s="12"/>
      <c r="J5685" s="5" t="e">
        <f>SUM(SUMIFS(#REF!,#REF!,Planning[[#This Row],[Tipo de Tarea y especialidad]],#REF!,Planning[[#This Row],[Proyectos Reiwa]]),SUMIFS(#REF!,#REF!,Planning[[#This Row],[Tipo de Tarea y especialidad]],#REF!,Planning[[#This Row],[Proyectos]]))</f>
        <v>#REF!</v>
      </c>
      <c r="K5685" s="5" t="e">
        <f>+Planning[[#This Row],[Horas Planificadas]]+Planning[[#This Row],[Horas ajustadas adicionales]]-Planning[[#This Row],[Horas utilizadas]]</f>
        <v>#REF!</v>
      </c>
      <c r="L5685" s="15" t="e">
        <f>Planning[[#This Row],[Saldo]]</f>
        <v>#REF!</v>
      </c>
      <c r="M5685" s="19" t="e">
        <f>Planning[[#This Row],[Saldo]]-Planning[[#This Row],[Saldo estimado]]</f>
        <v>#REF!</v>
      </c>
      <c r="N5685" s="60" t="e">
        <f>+SUMIFS(#REF!,#REF!,Planning[[#This Row],[Proyectos]],#REF!,Planning[[#This Row],[Tipo de Tarea y especialidad]])+SUMIFS(#REF!,#REF!,Planning[[#This Row],[Proyectos Reiwa]],#REF!,Planning[[#This Row],[Tipo de Tarea y especialidad]])</f>
        <v>#REF!</v>
      </c>
      <c r="O5685" s="19">
        <f t="shared" si="179"/>
        <v>10</v>
      </c>
      <c r="P5685" s="19">
        <f t="shared" si="180"/>
        <v>2024</v>
      </c>
      <c r="Q56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85" s="49" t="str">
        <f>TEXT(Planning[[#This Row],[Mes]]*29,"mmmm")</f>
        <v>October</v>
      </c>
      <c r="S568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85" s="166"/>
      <c r="U5685" s="43">
        <f>IF(Planning[[#This Row],[Horas Planificadas]]&lt;&gt;0,+K5685/Planning[[#This Row],[Horas Planificadas]],0)</f>
        <v>0</v>
      </c>
      <c r="V5685" s="43">
        <f>IF(Planning[[#This Row],[Horas Planificadas]]&lt;&gt;0,Planning[[#This Row],[Horas utilizadas]]/Planning[[#This Row],[Horas Planificadas]],0)</f>
        <v>0</v>
      </c>
      <c r="W5685" s="44">
        <f>Planning[[#This Row],[Horas Planificadas]]+Planning[[#This Row],[Horas ajustadas adicionales]]</f>
        <v>0</v>
      </c>
    </row>
    <row r="5686" spans="1:23" ht="13.35" customHeight="1" x14ac:dyDescent="0.2">
      <c r="A5686" s="9" t="s">
        <v>991</v>
      </c>
      <c r="B5686" s="9" t="s">
        <v>779</v>
      </c>
      <c r="C5686" s="3">
        <v>117053</v>
      </c>
      <c r="D5686" s="3" t="s">
        <v>996</v>
      </c>
      <c r="E5686" s="4" t="s">
        <v>30</v>
      </c>
      <c r="F5686" s="3"/>
      <c r="G5686" s="9">
        <v>180</v>
      </c>
      <c r="H5686" s="14">
        <v>180</v>
      </c>
      <c r="I5686" s="14"/>
      <c r="J5686" s="14" t="e">
        <f>SUM(J5687:J5693)</f>
        <v>#REF!</v>
      </c>
      <c r="K5686" s="14">
        <v>0</v>
      </c>
      <c r="L5686" s="15">
        <v>0</v>
      </c>
      <c r="M5686" s="16">
        <v>0</v>
      </c>
      <c r="N5686" s="60" t="e">
        <f>+SUMIFS(#REF!,#REF!,Planning[[#This Row],[Proyectos]],#REF!,Planning[[#This Row],[Tipo de Tarea y especialidad]])+SUMIFS(#REF!,#REF!,Planning[[#This Row],[Proyectos Reiwa]],#REF!,Planning[[#This Row],[Tipo de Tarea y especialidad]])</f>
        <v>#REF!</v>
      </c>
      <c r="O5686" s="16">
        <f t="shared" si="179"/>
        <v>10</v>
      </c>
      <c r="P5686" s="16">
        <f t="shared" si="180"/>
        <v>2024</v>
      </c>
      <c r="Q5686" s="16" t="e">
        <f>SUM(Q5687:Q5693)</f>
        <v>#REF!</v>
      </c>
      <c r="R5686" s="50" t="str">
        <f>TEXT(Planning[[#This Row],[Mes]]*29,"mmmm")</f>
        <v>October</v>
      </c>
      <c r="S568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86" s="166"/>
      <c r="U5686" s="43">
        <f>IF(Planning[[#This Row],[Horas Planificadas]]&lt;&gt;0,+K5686/Planning[[#This Row],[Horas Planificadas]],0)</f>
        <v>0</v>
      </c>
      <c r="V5686" s="43" t="e">
        <f>IF(Planning[[#This Row],[Horas Planificadas]]&lt;&gt;0,Planning[[#This Row],[Horas utilizadas]]/Planning[[#This Row],[Horas Planificadas]],0)</f>
        <v>#REF!</v>
      </c>
      <c r="W5686" s="44">
        <f>Planning[[#This Row],[Horas Planificadas]]+Planning[[#This Row],[Horas ajustadas adicionales]]</f>
        <v>180</v>
      </c>
    </row>
    <row r="5687" spans="1:23" ht="13.35" customHeight="1" x14ac:dyDescent="0.2">
      <c r="A5687" s="9" t="s">
        <v>991</v>
      </c>
      <c r="B5687" s="9" t="s">
        <v>779</v>
      </c>
      <c r="C5687" s="3">
        <v>117053</v>
      </c>
      <c r="D5687" s="3" t="s">
        <v>996</v>
      </c>
      <c r="E5687" s="4"/>
      <c r="F5687" s="3" t="s">
        <v>122</v>
      </c>
      <c r="G5687" s="9"/>
      <c r="H5687" s="9"/>
      <c r="I5687" s="12"/>
      <c r="J5687" s="5" t="e">
        <f>SUM(SUMIFS(#REF!,#REF!,Planning[[#This Row],[Tipo de Tarea y especialidad]],#REF!,Planning[[#This Row],[Proyectos Reiwa]]),SUMIFS(#REF!,#REF!,Planning[[#This Row],[Tipo de Tarea y especialidad]],#REF!,Planning[[#This Row],[Proyectos]]))</f>
        <v>#REF!</v>
      </c>
      <c r="K5687" s="5" t="e">
        <f>+Planning[[#This Row],[Horas Planificadas]]+Planning[[#This Row],[Horas ajustadas adicionales]]-Planning[[#This Row],[Horas utilizadas]]</f>
        <v>#REF!</v>
      </c>
      <c r="L5687" s="15" t="e">
        <f>Planning[[#This Row],[Saldo]]</f>
        <v>#REF!</v>
      </c>
      <c r="M5687" s="19" t="e">
        <f>Planning[[#This Row],[Saldo]]-Planning[[#This Row],[Saldo estimado]]</f>
        <v>#REF!</v>
      </c>
      <c r="N5687" s="60" t="e">
        <f>+SUMIFS(#REF!,#REF!,Planning[[#This Row],[Proyectos]],#REF!,Planning[[#This Row],[Tipo de Tarea y especialidad]])+SUMIFS(#REF!,#REF!,Planning[[#This Row],[Proyectos Reiwa]],#REF!,Planning[[#This Row],[Tipo de Tarea y especialidad]])</f>
        <v>#REF!</v>
      </c>
      <c r="O5687" s="19">
        <f t="shared" si="179"/>
        <v>10</v>
      </c>
      <c r="P5687" s="19">
        <f t="shared" si="180"/>
        <v>2024</v>
      </c>
      <c r="Q56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87" s="49" t="str">
        <f>TEXT(Planning[[#This Row],[Mes]]*29,"mmmm")</f>
        <v>October</v>
      </c>
      <c r="S568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87" s="166"/>
      <c r="U5687" s="43">
        <f>IF(Planning[[#This Row],[Horas Planificadas]]&lt;&gt;0,+K5687/Planning[[#This Row],[Horas Planificadas]],0)</f>
        <v>0</v>
      </c>
      <c r="V5687" s="43">
        <f>IF(Planning[[#This Row],[Horas Planificadas]]&lt;&gt;0,Planning[[#This Row],[Horas utilizadas]]/Planning[[#This Row],[Horas Planificadas]],0)</f>
        <v>0</v>
      </c>
      <c r="W5687" s="44">
        <f>Planning[[#This Row],[Horas Planificadas]]+Planning[[#This Row],[Horas ajustadas adicionales]]</f>
        <v>0</v>
      </c>
    </row>
    <row r="5688" spans="1:23" ht="13.35" customHeight="1" x14ac:dyDescent="0.2">
      <c r="A5688" s="9" t="s">
        <v>991</v>
      </c>
      <c r="B5688" s="9" t="s">
        <v>779</v>
      </c>
      <c r="C5688" s="3">
        <v>117053</v>
      </c>
      <c r="D5688" s="3" t="s">
        <v>996</v>
      </c>
      <c r="E5688" s="4"/>
      <c r="F5688" s="3" t="s">
        <v>123</v>
      </c>
      <c r="G5688" s="9"/>
      <c r="H5688" s="9"/>
      <c r="I5688" s="12"/>
      <c r="J5688" s="5" t="e">
        <f>SUM(SUMIFS(#REF!,#REF!,Planning[[#This Row],[Tipo de Tarea y especialidad]],#REF!,Planning[[#This Row],[Proyectos Reiwa]]),SUMIFS(#REF!,#REF!,Planning[[#This Row],[Tipo de Tarea y especialidad]],#REF!,Planning[[#This Row],[Proyectos]]))</f>
        <v>#REF!</v>
      </c>
      <c r="K5688" s="5" t="e">
        <f>+Planning[[#This Row],[Horas Planificadas]]+Planning[[#This Row],[Horas ajustadas adicionales]]-Planning[[#This Row],[Horas utilizadas]]</f>
        <v>#REF!</v>
      </c>
      <c r="L5688" s="15" t="e">
        <f>Planning[[#This Row],[Saldo]]</f>
        <v>#REF!</v>
      </c>
      <c r="M5688" s="19" t="e">
        <f>Planning[[#This Row],[Saldo]]-Planning[[#This Row],[Saldo estimado]]</f>
        <v>#REF!</v>
      </c>
      <c r="N5688" s="60" t="e">
        <f>+SUMIFS(#REF!,#REF!,Planning[[#This Row],[Proyectos]],#REF!,Planning[[#This Row],[Tipo de Tarea y especialidad]])+SUMIFS(#REF!,#REF!,Planning[[#This Row],[Proyectos Reiwa]],#REF!,Planning[[#This Row],[Tipo de Tarea y especialidad]])</f>
        <v>#REF!</v>
      </c>
      <c r="O5688" s="19">
        <f t="shared" si="179"/>
        <v>10</v>
      </c>
      <c r="P5688" s="19">
        <f t="shared" si="180"/>
        <v>2024</v>
      </c>
      <c r="Q56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88" s="49" t="str">
        <f>TEXT(Planning[[#This Row],[Mes]]*29,"mmmm")</f>
        <v>October</v>
      </c>
      <c r="S568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88" s="166"/>
      <c r="U5688" s="43">
        <f>IF(Planning[[#This Row],[Horas Planificadas]]&lt;&gt;0,+K5688/Planning[[#This Row],[Horas Planificadas]],0)</f>
        <v>0</v>
      </c>
      <c r="V5688" s="43">
        <f>IF(Planning[[#This Row],[Horas Planificadas]]&lt;&gt;0,Planning[[#This Row],[Horas utilizadas]]/Planning[[#This Row],[Horas Planificadas]],0)</f>
        <v>0</v>
      </c>
      <c r="W5688" s="44">
        <f>Planning[[#This Row],[Horas Planificadas]]+Planning[[#This Row],[Horas ajustadas adicionales]]</f>
        <v>0</v>
      </c>
    </row>
    <row r="5689" spans="1:23" ht="13.35" customHeight="1" x14ac:dyDescent="0.2">
      <c r="A5689" s="9" t="s">
        <v>991</v>
      </c>
      <c r="B5689" s="9" t="s">
        <v>779</v>
      </c>
      <c r="C5689" s="3">
        <v>117053</v>
      </c>
      <c r="D5689" s="3" t="s">
        <v>996</v>
      </c>
      <c r="E5689" s="4"/>
      <c r="F5689" s="3" t="s">
        <v>124</v>
      </c>
      <c r="G5689" s="9"/>
      <c r="H5689" s="9"/>
      <c r="I5689" s="12"/>
      <c r="J5689" s="5" t="e">
        <f>SUM(SUMIFS(#REF!,#REF!,Planning[[#This Row],[Tipo de Tarea y especialidad]],#REF!,Planning[[#This Row],[Proyectos Reiwa]]),SUMIFS(#REF!,#REF!,Planning[[#This Row],[Tipo de Tarea y especialidad]],#REF!,Planning[[#This Row],[Proyectos]]))</f>
        <v>#REF!</v>
      </c>
      <c r="K5689" s="5" t="e">
        <f>+Planning[[#This Row],[Horas Planificadas]]+Planning[[#This Row],[Horas ajustadas adicionales]]-Planning[[#This Row],[Horas utilizadas]]</f>
        <v>#REF!</v>
      </c>
      <c r="L5689" s="15" t="e">
        <f>Planning[[#This Row],[Saldo]]</f>
        <v>#REF!</v>
      </c>
      <c r="M5689" s="19" t="e">
        <f>Planning[[#This Row],[Saldo]]-Planning[[#This Row],[Saldo estimado]]</f>
        <v>#REF!</v>
      </c>
      <c r="N5689" s="60" t="e">
        <f>+SUMIFS(#REF!,#REF!,Planning[[#This Row],[Proyectos]],#REF!,Planning[[#This Row],[Tipo de Tarea y especialidad]])+SUMIFS(#REF!,#REF!,Planning[[#This Row],[Proyectos Reiwa]],#REF!,Planning[[#This Row],[Tipo de Tarea y especialidad]])</f>
        <v>#REF!</v>
      </c>
      <c r="O5689" s="19">
        <f t="shared" si="179"/>
        <v>10</v>
      </c>
      <c r="P5689" s="19">
        <f t="shared" si="180"/>
        <v>2024</v>
      </c>
      <c r="Q56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89" s="49" t="str">
        <f>TEXT(Planning[[#This Row],[Mes]]*29,"mmmm")</f>
        <v>October</v>
      </c>
      <c r="S568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89" s="166"/>
      <c r="U5689" s="43">
        <f>IF(Planning[[#This Row],[Horas Planificadas]]&lt;&gt;0,+K5689/Planning[[#This Row],[Horas Planificadas]],0)</f>
        <v>0</v>
      </c>
      <c r="V5689" s="43">
        <f>IF(Planning[[#This Row],[Horas Planificadas]]&lt;&gt;0,Planning[[#This Row],[Horas utilizadas]]/Planning[[#This Row],[Horas Planificadas]],0)</f>
        <v>0</v>
      </c>
      <c r="W5689" s="44">
        <f>Planning[[#This Row],[Horas Planificadas]]+Planning[[#This Row],[Horas ajustadas adicionales]]</f>
        <v>0</v>
      </c>
    </row>
    <row r="5690" spans="1:23" ht="13.35" customHeight="1" x14ac:dyDescent="0.2">
      <c r="A5690" s="9" t="s">
        <v>991</v>
      </c>
      <c r="B5690" s="9" t="s">
        <v>779</v>
      </c>
      <c r="C5690" s="3">
        <v>117053</v>
      </c>
      <c r="D5690" s="3" t="s">
        <v>996</v>
      </c>
      <c r="E5690" s="4"/>
      <c r="F5690" s="3" t="s">
        <v>125</v>
      </c>
      <c r="G5690" s="9"/>
      <c r="H5690" s="9"/>
      <c r="I5690" s="12"/>
      <c r="J5690" s="5" t="e">
        <f>SUM(SUMIFS(#REF!,#REF!,Planning[[#This Row],[Tipo de Tarea y especialidad]],#REF!,Planning[[#This Row],[Proyectos Reiwa]]),SUMIFS(#REF!,#REF!,Planning[[#This Row],[Tipo de Tarea y especialidad]],#REF!,Planning[[#This Row],[Proyectos]]))</f>
        <v>#REF!</v>
      </c>
      <c r="K5690" s="5">
        <v>0</v>
      </c>
      <c r="L5690" s="15">
        <v>0</v>
      </c>
      <c r="M5690" s="19">
        <f>Planning[[#This Row],[Saldo]]-Planning[[#This Row],[Saldo estimado]]</f>
        <v>0</v>
      </c>
      <c r="N5690" s="60" t="e">
        <f>+SUMIFS(#REF!,#REF!,Planning[[#This Row],[Proyectos]],#REF!,Planning[[#This Row],[Tipo de Tarea y especialidad]])+SUMIFS(#REF!,#REF!,Planning[[#This Row],[Proyectos Reiwa]],#REF!,Planning[[#This Row],[Tipo de Tarea y especialidad]])</f>
        <v>#REF!</v>
      </c>
      <c r="O5690" s="19">
        <f t="shared" si="179"/>
        <v>10</v>
      </c>
      <c r="P5690" s="19">
        <f t="shared" si="180"/>
        <v>2024</v>
      </c>
      <c r="Q56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90" s="49" t="str">
        <f>TEXT(Planning[[#This Row],[Mes]]*29,"mmmm")</f>
        <v>October</v>
      </c>
      <c r="S569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90" s="166"/>
      <c r="U5690" s="43">
        <f>IF(Planning[[#This Row],[Horas Planificadas]]&lt;&gt;0,+K5690/Planning[[#This Row],[Horas Planificadas]],0)</f>
        <v>0</v>
      </c>
      <c r="V5690" s="43">
        <f>IF(Planning[[#This Row],[Horas Planificadas]]&lt;&gt;0,Planning[[#This Row],[Horas utilizadas]]/Planning[[#This Row],[Horas Planificadas]],0)</f>
        <v>0</v>
      </c>
      <c r="W5690" s="44">
        <f>Planning[[#This Row],[Horas Planificadas]]+Planning[[#This Row],[Horas ajustadas adicionales]]</f>
        <v>0</v>
      </c>
    </row>
    <row r="5691" spans="1:23" ht="13.35" customHeight="1" x14ac:dyDescent="0.2">
      <c r="A5691" s="9" t="s">
        <v>991</v>
      </c>
      <c r="B5691" s="9" t="s">
        <v>779</v>
      </c>
      <c r="C5691" s="3">
        <v>117053</v>
      </c>
      <c r="D5691" s="3" t="s">
        <v>996</v>
      </c>
      <c r="E5691" s="4"/>
      <c r="F5691" s="3" t="s">
        <v>126</v>
      </c>
      <c r="G5691" s="9"/>
      <c r="H5691" s="9"/>
      <c r="I5691" s="12"/>
      <c r="J5691" s="5" t="e">
        <f>SUM(SUMIFS(#REF!,#REF!,Planning[[#This Row],[Tipo de Tarea y especialidad]],#REF!,Planning[[#This Row],[Proyectos Reiwa]]),SUMIFS(#REF!,#REF!,Planning[[#This Row],[Tipo de Tarea y especialidad]],#REF!,Planning[[#This Row],[Proyectos]]))</f>
        <v>#REF!</v>
      </c>
      <c r="K5691" s="5">
        <v>0</v>
      </c>
      <c r="L5691" s="15">
        <v>0</v>
      </c>
      <c r="M5691" s="19">
        <f>Planning[[#This Row],[Saldo]]-Planning[[#This Row],[Saldo estimado]]</f>
        <v>0</v>
      </c>
      <c r="N5691" s="60" t="e">
        <f>+SUMIFS(#REF!,#REF!,Planning[[#This Row],[Proyectos]],#REF!,Planning[[#This Row],[Tipo de Tarea y especialidad]])+SUMIFS(#REF!,#REF!,Planning[[#This Row],[Proyectos Reiwa]],#REF!,Planning[[#This Row],[Tipo de Tarea y especialidad]])</f>
        <v>#REF!</v>
      </c>
      <c r="O5691" s="19">
        <f t="shared" si="179"/>
        <v>10</v>
      </c>
      <c r="P5691" s="19">
        <f t="shared" si="180"/>
        <v>2024</v>
      </c>
      <c r="Q56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91" s="49" t="str">
        <f>TEXT(Planning[[#This Row],[Mes]]*29,"mmmm")</f>
        <v>October</v>
      </c>
      <c r="S569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91" s="166"/>
      <c r="U5691" s="43">
        <f>IF(Planning[[#This Row],[Horas Planificadas]]&lt;&gt;0,+K5691/Planning[[#This Row],[Horas Planificadas]],0)</f>
        <v>0</v>
      </c>
      <c r="V5691" s="43">
        <f>IF(Planning[[#This Row],[Horas Planificadas]]&lt;&gt;0,Planning[[#This Row],[Horas utilizadas]]/Planning[[#This Row],[Horas Planificadas]],0)</f>
        <v>0</v>
      </c>
      <c r="W5691" s="44">
        <f>Planning[[#This Row],[Horas Planificadas]]+Planning[[#This Row],[Horas ajustadas adicionales]]</f>
        <v>0</v>
      </c>
    </row>
    <row r="5692" spans="1:23" ht="13.35" customHeight="1" x14ac:dyDescent="0.2">
      <c r="A5692" s="9" t="s">
        <v>991</v>
      </c>
      <c r="B5692" s="9" t="s">
        <v>779</v>
      </c>
      <c r="C5692" s="3">
        <v>117053</v>
      </c>
      <c r="D5692" s="3" t="s">
        <v>996</v>
      </c>
      <c r="E5692" s="4"/>
      <c r="F5692" s="3" t="s">
        <v>127</v>
      </c>
      <c r="G5692" s="9"/>
      <c r="H5692" s="9"/>
      <c r="I5692" s="12"/>
      <c r="J5692" s="5" t="e">
        <f>SUM(SUMIFS(#REF!,#REF!,Planning[[#This Row],[Tipo de Tarea y especialidad]],#REF!,Planning[[#This Row],[Proyectos Reiwa]]),SUMIFS(#REF!,#REF!,Planning[[#This Row],[Tipo de Tarea y especialidad]],#REF!,Planning[[#This Row],[Proyectos]]))</f>
        <v>#REF!</v>
      </c>
      <c r="K5692" s="5" t="e">
        <f>+Planning[[#This Row],[Horas Planificadas]]+Planning[[#This Row],[Horas ajustadas adicionales]]-Planning[[#This Row],[Horas utilizadas]]</f>
        <v>#REF!</v>
      </c>
      <c r="L5692" s="15" t="e">
        <f>Planning[[#This Row],[Saldo]]</f>
        <v>#REF!</v>
      </c>
      <c r="M5692" s="19" t="e">
        <f>Planning[[#This Row],[Saldo]]-Planning[[#This Row],[Saldo estimado]]</f>
        <v>#REF!</v>
      </c>
      <c r="N5692" s="60" t="e">
        <f>+SUMIFS(#REF!,#REF!,Planning[[#This Row],[Proyectos]],#REF!,Planning[[#This Row],[Tipo de Tarea y especialidad]])+SUMIFS(#REF!,#REF!,Planning[[#This Row],[Proyectos Reiwa]],#REF!,Planning[[#This Row],[Tipo de Tarea y especialidad]])</f>
        <v>#REF!</v>
      </c>
      <c r="O5692" s="19">
        <f t="shared" si="179"/>
        <v>10</v>
      </c>
      <c r="P5692" s="19">
        <f t="shared" si="180"/>
        <v>2024</v>
      </c>
      <c r="Q56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92" s="49" t="str">
        <f>TEXT(Planning[[#This Row],[Mes]]*29,"mmmm")</f>
        <v>October</v>
      </c>
      <c r="S569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92" s="166"/>
      <c r="U5692" s="43">
        <f>IF(Planning[[#This Row],[Horas Planificadas]]&lt;&gt;0,+K5692/Planning[[#This Row],[Horas Planificadas]],0)</f>
        <v>0</v>
      </c>
      <c r="V5692" s="43">
        <f>IF(Planning[[#This Row],[Horas Planificadas]]&lt;&gt;0,Planning[[#This Row],[Horas utilizadas]]/Planning[[#This Row],[Horas Planificadas]],0)</f>
        <v>0</v>
      </c>
      <c r="W5692" s="44">
        <f>Planning[[#This Row],[Horas Planificadas]]+Planning[[#This Row],[Horas ajustadas adicionales]]</f>
        <v>0</v>
      </c>
    </row>
    <row r="5693" spans="1:23" ht="13.35" customHeight="1" x14ac:dyDescent="0.2">
      <c r="A5693" s="9" t="s">
        <v>991</v>
      </c>
      <c r="B5693" s="9" t="s">
        <v>779</v>
      </c>
      <c r="C5693" s="3">
        <v>117053</v>
      </c>
      <c r="D5693" s="3" t="s">
        <v>996</v>
      </c>
      <c r="E5693" s="4"/>
      <c r="F5693" s="3" t="s">
        <v>128</v>
      </c>
      <c r="G5693" s="9"/>
      <c r="H5693" s="9"/>
      <c r="I5693" s="12"/>
      <c r="J5693" s="5" t="e">
        <f>SUM(SUMIFS(#REF!,#REF!,Planning[[#This Row],[Tipo de Tarea y especialidad]],#REF!,Planning[[#This Row],[Proyectos Reiwa]]),SUMIFS(#REF!,#REF!,Planning[[#This Row],[Tipo de Tarea y especialidad]],#REF!,Planning[[#This Row],[Proyectos]]))</f>
        <v>#REF!</v>
      </c>
      <c r="K5693" s="5" t="e">
        <f>+Planning[[#This Row],[Horas Planificadas]]+Planning[[#This Row],[Horas ajustadas adicionales]]-Planning[[#This Row],[Horas utilizadas]]</f>
        <v>#REF!</v>
      </c>
      <c r="L5693" s="15" t="e">
        <f>Planning[[#This Row],[Saldo]]</f>
        <v>#REF!</v>
      </c>
      <c r="M5693" s="19" t="e">
        <f>Planning[[#This Row],[Saldo]]-Planning[[#This Row],[Saldo estimado]]</f>
        <v>#REF!</v>
      </c>
      <c r="N5693" s="60" t="e">
        <f>+SUMIFS(#REF!,#REF!,Planning[[#This Row],[Proyectos]],#REF!,Planning[[#This Row],[Tipo de Tarea y especialidad]])+SUMIFS(#REF!,#REF!,Planning[[#This Row],[Proyectos Reiwa]],#REF!,Planning[[#This Row],[Tipo de Tarea y especialidad]])</f>
        <v>#REF!</v>
      </c>
      <c r="O5693" s="19">
        <f t="shared" si="179"/>
        <v>10</v>
      </c>
      <c r="P5693" s="19">
        <f t="shared" si="180"/>
        <v>2024</v>
      </c>
      <c r="Q56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93" s="49" t="str">
        <f>TEXT(Planning[[#This Row],[Mes]]*29,"mmmm")</f>
        <v>October</v>
      </c>
      <c r="S569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93" s="166"/>
      <c r="U5693" s="43">
        <f>IF(Planning[[#This Row],[Horas Planificadas]]&lt;&gt;0,+K5693/Planning[[#This Row],[Horas Planificadas]],0)</f>
        <v>0</v>
      </c>
      <c r="V5693" s="43">
        <f>IF(Planning[[#This Row],[Horas Planificadas]]&lt;&gt;0,Planning[[#This Row],[Horas utilizadas]]/Planning[[#This Row],[Horas Planificadas]],0)</f>
        <v>0</v>
      </c>
      <c r="W5693" s="44">
        <f>Planning[[#This Row],[Horas Planificadas]]+Planning[[#This Row],[Horas ajustadas adicionales]]</f>
        <v>0</v>
      </c>
    </row>
    <row r="5694" spans="1:23" ht="13.35" customHeight="1" x14ac:dyDescent="0.2">
      <c r="A5694" s="9" t="s">
        <v>991</v>
      </c>
      <c r="B5694" s="9" t="s">
        <v>779</v>
      </c>
      <c r="C5694" s="3">
        <v>117053</v>
      </c>
      <c r="D5694" s="3" t="s">
        <v>996</v>
      </c>
      <c r="E5694" s="4" t="s">
        <v>31</v>
      </c>
      <c r="F5694" s="3" t="s">
        <v>31</v>
      </c>
      <c r="G5694" s="9">
        <v>30</v>
      </c>
      <c r="H5694" s="17">
        <v>30</v>
      </c>
      <c r="I5694" s="18"/>
      <c r="J5694" s="14" t="e">
        <f>+SUMIFS(#REF!,#REF!,Planning[[#This Row],[Tarifa]],#REF!,Planning[[#This Row],[Proyectos]])</f>
        <v>#REF!</v>
      </c>
      <c r="K5694" s="14">
        <v>0</v>
      </c>
      <c r="L5694" s="15">
        <v>0</v>
      </c>
      <c r="M5694" s="16">
        <f>Planning[[#This Row],[Saldo]]-Planning[[#This Row],[Saldo estimado]]</f>
        <v>0</v>
      </c>
      <c r="N5694" s="60" t="e">
        <f>+SUMIFS(#REF!,#REF!,Planning[[#This Row],[Proyectos]],#REF!,Planning[[#This Row],[Tipo de Tarea y especialidad]])+SUMIFS(#REF!,#REF!,Planning[[#This Row],[Proyectos Reiwa]],#REF!,Planning[[#This Row],[Tipo de Tarea y especialidad]])</f>
        <v>#REF!</v>
      </c>
      <c r="O5694" s="16">
        <f t="shared" si="179"/>
        <v>10</v>
      </c>
      <c r="P5694" s="16">
        <f t="shared" si="180"/>
        <v>2024</v>
      </c>
      <c r="Q5694" s="16" t="e">
        <f>+SUMIFS(#REF!,#REF!,Planning[[#This Row],[Tarifa]],#REF!,Planning[[#This Row],[Proyectos]],#REF!,Planning[[#This Row],[Mes]],#REF!,Planning[[#This Row],[Año]])</f>
        <v>#REF!</v>
      </c>
      <c r="R5694" s="50" t="str">
        <f>TEXT(Planning[[#This Row],[Mes]]*29,"mmmm")</f>
        <v>October</v>
      </c>
      <c r="S569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94" s="166"/>
      <c r="U5694" s="43">
        <f>IF(Planning[[#This Row],[Horas Planificadas]]&lt;&gt;0,+K5694/Planning[[#This Row],[Horas Planificadas]],0)</f>
        <v>0</v>
      </c>
      <c r="V5694" s="43" t="e">
        <f>IF(Planning[[#This Row],[Horas Planificadas]]&lt;&gt;0,Planning[[#This Row],[Horas utilizadas]]/Planning[[#This Row],[Horas Planificadas]],0)</f>
        <v>#REF!</v>
      </c>
      <c r="W5694" s="44">
        <f>Planning[[#This Row],[Horas Planificadas]]+Planning[[#This Row],[Horas ajustadas adicionales]]</f>
        <v>30</v>
      </c>
    </row>
    <row r="5695" spans="1:23" ht="13.35" customHeight="1" x14ac:dyDescent="0.2">
      <c r="A5695" s="9" t="s">
        <v>991</v>
      </c>
      <c r="B5695" s="9" t="s">
        <v>779</v>
      </c>
      <c r="C5695" s="3">
        <v>117053</v>
      </c>
      <c r="D5695" s="3" t="s">
        <v>996</v>
      </c>
      <c r="E5695" s="4" t="s">
        <v>32</v>
      </c>
      <c r="F5695" s="3"/>
      <c r="G5695" s="9"/>
      <c r="H5695" s="14"/>
      <c r="I5695" s="14"/>
      <c r="J5695" s="14" t="e">
        <f>SUM(J5696:J5698)</f>
        <v>#REF!</v>
      </c>
      <c r="K5695" s="14" t="e">
        <f>+Planning[[#This Row],[Horas Planificadas]]+Planning[[#This Row],[Horas ajustadas adicionales]]-Planning[[#This Row],[Horas utilizadas]]</f>
        <v>#REF!</v>
      </c>
      <c r="L5695" s="15" t="e">
        <f>Planning[[#This Row],[Saldo]]</f>
        <v>#REF!</v>
      </c>
      <c r="M5695" s="16" t="e">
        <f>SUM(M5696:M5698)</f>
        <v>#REF!</v>
      </c>
      <c r="N5695" s="60" t="e">
        <f>+SUMIFS(#REF!,#REF!,Planning[[#This Row],[Proyectos]],#REF!,Planning[[#This Row],[Tipo de Tarea y especialidad]])+SUMIFS(#REF!,#REF!,Planning[[#This Row],[Proyectos Reiwa]],#REF!,Planning[[#This Row],[Tipo de Tarea y especialidad]])</f>
        <v>#REF!</v>
      </c>
      <c r="O5695" s="16">
        <f t="shared" si="179"/>
        <v>10</v>
      </c>
      <c r="P5695" s="16">
        <f t="shared" si="180"/>
        <v>2024</v>
      </c>
      <c r="Q5695" s="16" t="e">
        <f>SUM(Q5696:Q5698)</f>
        <v>#REF!</v>
      </c>
      <c r="R5695" s="50" t="str">
        <f>TEXT(Planning[[#This Row],[Mes]]*29,"mmmm")</f>
        <v>October</v>
      </c>
      <c r="S569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95" s="166"/>
      <c r="U5695" s="43">
        <f>IF(Planning[[#This Row],[Horas Planificadas]]&lt;&gt;0,+K5695/Planning[[#This Row],[Horas Planificadas]],0)</f>
        <v>0</v>
      </c>
      <c r="V5695" s="43">
        <f>IF(Planning[[#This Row],[Horas Planificadas]]&lt;&gt;0,Planning[[#This Row],[Horas utilizadas]]/Planning[[#This Row],[Horas Planificadas]],0)</f>
        <v>0</v>
      </c>
      <c r="W5695" s="44">
        <f>Planning[[#This Row],[Horas Planificadas]]+Planning[[#This Row],[Horas ajustadas adicionales]]</f>
        <v>0</v>
      </c>
    </row>
    <row r="5696" spans="1:23" ht="13.35" customHeight="1" x14ac:dyDescent="0.2">
      <c r="A5696" s="9" t="s">
        <v>991</v>
      </c>
      <c r="B5696" s="9" t="s">
        <v>779</v>
      </c>
      <c r="C5696" s="3">
        <v>117053</v>
      </c>
      <c r="D5696" s="3" t="s">
        <v>996</v>
      </c>
      <c r="E5696" s="4"/>
      <c r="F5696" s="3" t="s">
        <v>129</v>
      </c>
      <c r="G5696" s="9"/>
      <c r="H5696" s="9"/>
      <c r="I5696" s="12"/>
      <c r="J5696" s="5" t="e">
        <f>SUM(SUMIFS(#REF!,#REF!,Planning[[#This Row],[Tipo de Tarea y especialidad]],#REF!,Planning[[#This Row],[Proyectos Reiwa]]),SUMIFS(#REF!,#REF!,Planning[[#This Row],[Tipo de Tarea y especialidad]],#REF!,Planning[[#This Row],[Proyectos]]))</f>
        <v>#REF!</v>
      </c>
      <c r="K5696" s="5" t="e">
        <f>+Planning[[#This Row],[Horas Planificadas]]+Planning[[#This Row],[Horas ajustadas adicionales]]-Planning[[#This Row],[Horas utilizadas]]</f>
        <v>#REF!</v>
      </c>
      <c r="L5696" s="15" t="e">
        <f>Planning[[#This Row],[Saldo]]</f>
        <v>#REF!</v>
      </c>
      <c r="M5696" s="19" t="e">
        <f>Planning[[#This Row],[Saldo]]-Planning[[#This Row],[Saldo estimado]]</f>
        <v>#REF!</v>
      </c>
      <c r="N5696" s="60" t="e">
        <f>+SUMIFS(#REF!,#REF!,Planning[[#This Row],[Proyectos]],#REF!,Planning[[#This Row],[Tipo de Tarea y especialidad]])+SUMIFS(#REF!,#REF!,Planning[[#This Row],[Proyectos Reiwa]],#REF!,Planning[[#This Row],[Tipo de Tarea y especialidad]])</f>
        <v>#REF!</v>
      </c>
      <c r="O5696" s="19">
        <f t="shared" si="179"/>
        <v>10</v>
      </c>
      <c r="P5696" s="19">
        <f t="shared" si="180"/>
        <v>2024</v>
      </c>
      <c r="Q56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96" s="49" t="str">
        <f>TEXT(Planning[[#This Row],[Mes]]*29,"mmmm")</f>
        <v>October</v>
      </c>
      <c r="S569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96" s="166"/>
      <c r="U5696" s="43">
        <f>IF(Planning[[#This Row],[Horas Planificadas]]&lt;&gt;0,+K5696/Planning[[#This Row],[Horas Planificadas]],0)</f>
        <v>0</v>
      </c>
      <c r="V5696" s="43">
        <f>IF(Planning[[#This Row],[Horas Planificadas]]&lt;&gt;0,Planning[[#This Row],[Horas utilizadas]]/Planning[[#This Row],[Horas Planificadas]],0)</f>
        <v>0</v>
      </c>
      <c r="W5696" s="44">
        <f>Planning[[#This Row],[Horas Planificadas]]+Planning[[#This Row],[Horas ajustadas adicionales]]</f>
        <v>0</v>
      </c>
    </row>
    <row r="5697" spans="1:23" ht="13.35" customHeight="1" x14ac:dyDescent="0.2">
      <c r="A5697" s="9" t="s">
        <v>991</v>
      </c>
      <c r="B5697" s="9" t="s">
        <v>779</v>
      </c>
      <c r="C5697" s="3">
        <v>117053</v>
      </c>
      <c r="D5697" s="3" t="s">
        <v>996</v>
      </c>
      <c r="E5697" s="4"/>
      <c r="F5697" s="3" t="s">
        <v>130</v>
      </c>
      <c r="G5697" s="9"/>
      <c r="H5697" s="9"/>
      <c r="I5697" s="12"/>
      <c r="J5697" s="5" t="e">
        <f>SUM(SUMIFS(#REF!,#REF!,Planning[[#This Row],[Tipo de Tarea y especialidad]],#REF!,Planning[[#This Row],[Proyectos Reiwa]]),SUMIFS(#REF!,#REF!,Planning[[#This Row],[Tipo de Tarea y especialidad]],#REF!,Planning[[#This Row],[Proyectos]]))</f>
        <v>#REF!</v>
      </c>
      <c r="K5697" s="5" t="e">
        <f>+Planning[[#This Row],[Horas Planificadas]]+Planning[[#This Row],[Horas ajustadas adicionales]]-Planning[[#This Row],[Horas utilizadas]]</f>
        <v>#REF!</v>
      </c>
      <c r="L5697" s="15" t="e">
        <f>Planning[[#This Row],[Saldo]]</f>
        <v>#REF!</v>
      </c>
      <c r="M5697" s="19" t="e">
        <f>Planning[[#This Row],[Saldo]]-Planning[[#This Row],[Saldo estimado]]</f>
        <v>#REF!</v>
      </c>
      <c r="N5697" s="60" t="e">
        <f>+SUMIFS(#REF!,#REF!,Planning[[#This Row],[Proyectos]],#REF!,Planning[[#This Row],[Tipo de Tarea y especialidad]])+SUMIFS(#REF!,#REF!,Planning[[#This Row],[Proyectos Reiwa]],#REF!,Planning[[#This Row],[Tipo de Tarea y especialidad]])</f>
        <v>#REF!</v>
      </c>
      <c r="O5697" s="19">
        <f t="shared" si="179"/>
        <v>10</v>
      </c>
      <c r="P5697" s="19">
        <f t="shared" si="180"/>
        <v>2024</v>
      </c>
      <c r="Q56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97" s="49" t="str">
        <f>TEXT(Planning[[#This Row],[Mes]]*29,"mmmm")</f>
        <v>October</v>
      </c>
      <c r="S569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97" s="166"/>
      <c r="U5697" s="43">
        <f>IF(Planning[[#This Row],[Horas Planificadas]]&lt;&gt;0,+K5697/Planning[[#This Row],[Horas Planificadas]],0)</f>
        <v>0</v>
      </c>
      <c r="V5697" s="43">
        <f>IF(Planning[[#This Row],[Horas Planificadas]]&lt;&gt;0,Planning[[#This Row],[Horas utilizadas]]/Planning[[#This Row],[Horas Planificadas]],0)</f>
        <v>0</v>
      </c>
      <c r="W5697" s="44">
        <f>Planning[[#This Row],[Horas Planificadas]]+Planning[[#This Row],[Horas ajustadas adicionales]]</f>
        <v>0</v>
      </c>
    </row>
    <row r="5698" spans="1:23" ht="13.35" customHeight="1" x14ac:dyDescent="0.2">
      <c r="A5698" s="9" t="s">
        <v>991</v>
      </c>
      <c r="B5698" s="9" t="s">
        <v>779</v>
      </c>
      <c r="C5698" s="3">
        <v>117053</v>
      </c>
      <c r="D5698" s="3" t="s">
        <v>996</v>
      </c>
      <c r="E5698" s="4"/>
      <c r="F5698" s="3" t="s">
        <v>131</v>
      </c>
      <c r="G5698" s="9"/>
      <c r="H5698" s="9"/>
      <c r="I5698" s="12"/>
      <c r="J5698" s="5" t="e">
        <f>SUM(SUMIFS(#REF!,#REF!,Planning[[#This Row],[Tipo de Tarea y especialidad]],#REF!,Planning[[#This Row],[Proyectos Reiwa]]),SUMIFS(#REF!,#REF!,Planning[[#This Row],[Tipo de Tarea y especialidad]],#REF!,Planning[[#This Row],[Proyectos]]))</f>
        <v>#REF!</v>
      </c>
      <c r="K5698" s="5" t="e">
        <f>+Planning[[#This Row],[Horas Planificadas]]+Planning[[#This Row],[Horas ajustadas adicionales]]-Planning[[#This Row],[Horas utilizadas]]</f>
        <v>#REF!</v>
      </c>
      <c r="L5698" s="15" t="e">
        <f>Planning[[#This Row],[Saldo]]</f>
        <v>#REF!</v>
      </c>
      <c r="M5698" s="19" t="e">
        <f>Planning[[#This Row],[Saldo]]-Planning[[#This Row],[Saldo estimado]]</f>
        <v>#REF!</v>
      </c>
      <c r="N5698" s="60" t="e">
        <f>+SUMIFS(#REF!,#REF!,Planning[[#This Row],[Proyectos]],#REF!,Planning[[#This Row],[Tipo de Tarea y especialidad]])+SUMIFS(#REF!,#REF!,Planning[[#This Row],[Proyectos Reiwa]],#REF!,Planning[[#This Row],[Tipo de Tarea y especialidad]])</f>
        <v>#REF!</v>
      </c>
      <c r="O5698" s="19">
        <f t="shared" si="179"/>
        <v>10</v>
      </c>
      <c r="P5698" s="19">
        <f t="shared" si="180"/>
        <v>2024</v>
      </c>
      <c r="Q56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698" s="51" t="str">
        <f>TEXT(Planning[[#This Row],[Mes]]*29,"mmmm")</f>
        <v>October</v>
      </c>
      <c r="S5698"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98" s="167"/>
      <c r="U5698" s="43">
        <f>IF(Planning[[#This Row],[Horas Planificadas]]&lt;&gt;0,+K5698/Planning[[#This Row],[Horas Planificadas]],0)</f>
        <v>0</v>
      </c>
      <c r="V5698" s="43">
        <f>IF(Planning[[#This Row],[Horas Planificadas]]&lt;&gt;0,Planning[[#This Row],[Horas utilizadas]]/Planning[[#This Row],[Horas Planificadas]],0)</f>
        <v>0</v>
      </c>
      <c r="W5698" s="44">
        <f>Planning[[#This Row],[Horas Planificadas]]+Planning[[#This Row],[Horas ajustadas adicionales]]</f>
        <v>0</v>
      </c>
    </row>
    <row r="5699" spans="1:23" ht="13.35" customHeight="1" x14ac:dyDescent="0.2">
      <c r="A5699" s="9" t="s">
        <v>991</v>
      </c>
      <c r="B5699" s="9" t="s">
        <v>582</v>
      </c>
      <c r="C5699" s="3">
        <v>117054</v>
      </c>
      <c r="D5699" s="3" t="s">
        <v>998</v>
      </c>
      <c r="E5699" s="4" t="s">
        <v>28</v>
      </c>
      <c r="F5699" s="3"/>
      <c r="G5699" s="9">
        <v>0</v>
      </c>
      <c r="H5699" s="14">
        <f>SUM(H5700:H5701)</f>
        <v>0</v>
      </c>
      <c r="I5699" s="14"/>
      <c r="J5699" s="14" t="e">
        <f>SUM(J5700:J5701)</f>
        <v>#REF!</v>
      </c>
      <c r="K5699" s="14" t="e">
        <f>+Planning[[#This Row],[Horas Planificadas]]+Planning[[#This Row],[Horas ajustadas adicionales]]-Planning[[#This Row],[Horas utilizadas]]</f>
        <v>#REF!</v>
      </c>
      <c r="L5699" s="15" t="e">
        <f>SUM(L5700:L5701)</f>
        <v>#REF!</v>
      </c>
      <c r="M5699" s="14" t="e">
        <f>SUM(M5700:M5701)</f>
        <v>#REF!</v>
      </c>
      <c r="N5699" s="60" t="e">
        <f>+SUMIFS(#REF!,#REF!,Planning[[#This Row],[Proyectos]],#REF!,Planning[[#This Row],[Tipo de Tarea y especialidad]])+SUMIFS(#REF!,#REF!,Planning[[#This Row],[Proyectos Reiwa]],#REF!,Planning[[#This Row],[Tipo de Tarea y especialidad]])</f>
        <v>#REF!</v>
      </c>
      <c r="O5699" s="14">
        <f t="shared" si="179"/>
        <v>10</v>
      </c>
      <c r="P5699" s="14">
        <f t="shared" si="180"/>
        <v>2024</v>
      </c>
      <c r="Q5699" s="28" t="e">
        <f>SUM(Q5700:Q5701)</f>
        <v>#REF!</v>
      </c>
      <c r="R5699" s="24" t="str">
        <f>TEXT(Planning[[#This Row],[Mes]]*29,"mmmm")</f>
        <v>October</v>
      </c>
      <c r="S5699"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699" s="161" t="s">
        <v>999</v>
      </c>
      <c r="U5699" s="93"/>
      <c r="V5699" s="93"/>
      <c r="W5699" s="94"/>
    </row>
    <row r="5700" spans="1:23" ht="13.35" customHeight="1" x14ac:dyDescent="0.2">
      <c r="A5700" s="9" t="s">
        <v>991</v>
      </c>
      <c r="B5700" s="9" t="s">
        <v>582</v>
      </c>
      <c r="C5700" s="3">
        <v>117054</v>
      </c>
      <c r="D5700" s="3" t="s">
        <v>998</v>
      </c>
      <c r="E5700" s="4"/>
      <c r="F5700" s="3" t="s">
        <v>120</v>
      </c>
      <c r="G5700" s="9"/>
      <c r="H5700" s="9">
        <v>0</v>
      </c>
      <c r="I5700" s="12"/>
      <c r="J5700" s="5" t="e">
        <f>SUM(SUMIFS(#REF!,#REF!,Planning[[#This Row],[Tipo de Tarea y especialidad]],#REF!,Planning[[#This Row],[Proyectos Reiwa]]),SUMIFS(#REF!,#REF!,Planning[[#This Row],[Tipo de Tarea y especialidad]],#REF!,Planning[[#This Row],[Proyectos]]))</f>
        <v>#REF!</v>
      </c>
      <c r="K5700" s="5" t="e">
        <f>+Planning[[#This Row],[Horas Planificadas]]+Planning[[#This Row],[Horas ajustadas adicionales]]-Planning[[#This Row],[Horas utilizadas]]</f>
        <v>#REF!</v>
      </c>
      <c r="L5700" s="7">
        <v>0</v>
      </c>
      <c r="M5700" s="19" t="e">
        <f>Planning[[#This Row],[Saldo]]-Planning[[#This Row],[Saldo estimado]]</f>
        <v>#REF!</v>
      </c>
      <c r="N5700" s="60" t="e">
        <f>+SUMIFS(#REF!,#REF!,Planning[[#This Row],[Proyectos]],#REF!,Planning[[#This Row],[Tipo de Tarea y especialidad]])+SUMIFS(#REF!,#REF!,Planning[[#This Row],[Proyectos Reiwa]],#REF!,Planning[[#This Row],[Tipo de Tarea y especialidad]])</f>
        <v>#REF!</v>
      </c>
      <c r="O5700" s="19">
        <f t="shared" si="179"/>
        <v>10</v>
      </c>
      <c r="P5700" s="19">
        <f t="shared" si="180"/>
        <v>2024</v>
      </c>
      <c r="Q57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00" s="49" t="str">
        <f>TEXT(Planning[[#This Row],[Mes]]*29,"mmmm")</f>
        <v>October</v>
      </c>
      <c r="S570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00" s="156"/>
      <c r="U5700" s="93"/>
      <c r="V5700" s="93"/>
      <c r="W5700" s="94"/>
    </row>
    <row r="5701" spans="1:23" ht="13.35" customHeight="1" x14ac:dyDescent="0.2">
      <c r="A5701" s="9" t="s">
        <v>991</v>
      </c>
      <c r="B5701" s="9" t="s">
        <v>582</v>
      </c>
      <c r="C5701" s="3">
        <v>117054</v>
      </c>
      <c r="D5701" s="3" t="s">
        <v>998</v>
      </c>
      <c r="E5701" s="4"/>
      <c r="F5701" s="3" t="s">
        <v>121</v>
      </c>
      <c r="G5701" s="9"/>
      <c r="H5701" s="9">
        <v>0</v>
      </c>
      <c r="I5701" s="12"/>
      <c r="J5701" s="5" t="e">
        <f>SUM(SUMIFS(#REF!,#REF!,Planning[[#This Row],[Tipo de Tarea y especialidad]],#REF!,Planning[[#This Row],[Proyectos Reiwa]]),SUMIFS(#REF!,#REF!,Planning[[#This Row],[Tipo de Tarea y especialidad]],#REF!,Planning[[#This Row],[Proyectos]]))</f>
        <v>#REF!</v>
      </c>
      <c r="K5701" s="5" t="e">
        <f>+Planning[[#This Row],[Horas Planificadas]]+Planning[[#This Row],[Horas ajustadas adicionales]]-Planning[[#This Row],[Horas utilizadas]]</f>
        <v>#REF!</v>
      </c>
      <c r="L5701" s="7" t="e">
        <f>Planning[[#This Row],[Saldo]]</f>
        <v>#REF!</v>
      </c>
      <c r="M5701" s="19" t="e">
        <f>Planning[[#This Row],[Saldo]]-Planning[[#This Row],[Saldo estimado]]</f>
        <v>#REF!</v>
      </c>
      <c r="N5701" s="60" t="e">
        <f>+SUMIFS(#REF!,#REF!,Planning[[#This Row],[Proyectos]],#REF!,Planning[[#This Row],[Tipo de Tarea y especialidad]])+SUMIFS(#REF!,#REF!,Planning[[#This Row],[Proyectos Reiwa]],#REF!,Planning[[#This Row],[Tipo de Tarea y especialidad]])</f>
        <v>#REF!</v>
      </c>
      <c r="O5701" s="19">
        <f t="shared" si="179"/>
        <v>10</v>
      </c>
      <c r="P5701" s="19">
        <f t="shared" si="180"/>
        <v>2024</v>
      </c>
      <c r="Q57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01" s="49" t="str">
        <f>TEXT(Planning[[#This Row],[Mes]]*29,"mmmm")</f>
        <v>October</v>
      </c>
      <c r="S570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01" s="156"/>
      <c r="U5701" s="93"/>
      <c r="V5701" s="93"/>
      <c r="W5701" s="94"/>
    </row>
    <row r="5702" spans="1:23" ht="13.35" customHeight="1" x14ac:dyDescent="0.2">
      <c r="A5702" s="9" t="s">
        <v>991</v>
      </c>
      <c r="B5702" s="9" t="s">
        <v>582</v>
      </c>
      <c r="C5702" s="3">
        <v>117054</v>
      </c>
      <c r="D5702" s="3" t="s">
        <v>998</v>
      </c>
      <c r="E5702" s="4" t="s">
        <v>30</v>
      </c>
      <c r="F5702" s="3"/>
      <c r="G5702" s="9">
        <v>56</v>
      </c>
      <c r="H5702" s="14">
        <f>SUM(H5703:H5709)</f>
        <v>56</v>
      </c>
      <c r="I5702" s="14"/>
      <c r="J5702" s="14" t="e">
        <f>SUM(J5703:J5709)</f>
        <v>#REF!</v>
      </c>
      <c r="K5702" s="14" t="e">
        <f>+Planning[[#This Row],[Horas Planificadas]]+Planning[[#This Row],[Horas ajustadas adicionales]]-Planning[[#This Row],[Horas utilizadas]]</f>
        <v>#REF!</v>
      </c>
      <c r="L5702" s="15" t="e">
        <f>SUM(L5703:L5709)</f>
        <v>#REF!</v>
      </c>
      <c r="M5702" s="16" t="e">
        <f>SUM(M5703:M5709)</f>
        <v>#REF!</v>
      </c>
      <c r="N5702" s="60" t="e">
        <f>+SUMIFS(#REF!,#REF!,Planning[[#This Row],[Proyectos]],#REF!,Planning[[#This Row],[Tipo de Tarea y especialidad]])+SUMIFS(#REF!,#REF!,Planning[[#This Row],[Proyectos Reiwa]],#REF!,Planning[[#This Row],[Tipo de Tarea y especialidad]])</f>
        <v>#REF!</v>
      </c>
      <c r="O5702" s="16">
        <f t="shared" si="179"/>
        <v>10</v>
      </c>
      <c r="P5702" s="16">
        <f t="shared" si="180"/>
        <v>2024</v>
      </c>
      <c r="Q5702" s="16" t="e">
        <f>SUM(Q5703:Q5709)</f>
        <v>#REF!</v>
      </c>
      <c r="R5702" s="50" t="str">
        <f>TEXT(Planning[[#This Row],[Mes]]*29,"mmmm")</f>
        <v>October</v>
      </c>
      <c r="S570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02" s="156"/>
      <c r="U5702" s="93"/>
      <c r="V5702" s="93"/>
      <c r="W5702" s="94"/>
    </row>
    <row r="5703" spans="1:23" ht="13.35" customHeight="1" x14ac:dyDescent="0.2">
      <c r="A5703" s="9" t="s">
        <v>991</v>
      </c>
      <c r="B5703" s="9" t="s">
        <v>582</v>
      </c>
      <c r="C5703" s="3">
        <v>117054</v>
      </c>
      <c r="D5703" s="3" t="s">
        <v>998</v>
      </c>
      <c r="E5703" s="4"/>
      <c r="F5703" s="3" t="s">
        <v>122</v>
      </c>
      <c r="G5703" s="9"/>
      <c r="H5703" s="9">
        <v>0</v>
      </c>
      <c r="I5703" s="12"/>
      <c r="J5703" s="5" t="e">
        <f>SUM(SUMIFS(#REF!,#REF!,Planning[[#This Row],[Tipo de Tarea y especialidad]],#REF!,Planning[[#This Row],[Proyectos Reiwa]]),SUMIFS(#REF!,#REF!,Planning[[#This Row],[Tipo de Tarea y especialidad]],#REF!,Planning[[#This Row],[Proyectos]]))</f>
        <v>#REF!</v>
      </c>
      <c r="K5703" s="5" t="e">
        <f>+Planning[[#This Row],[Horas Planificadas]]+Planning[[#This Row],[Horas ajustadas adicionales]]-Planning[[#This Row],[Horas utilizadas]]</f>
        <v>#REF!</v>
      </c>
      <c r="L5703" s="7">
        <v>0</v>
      </c>
      <c r="M5703" s="19" t="e">
        <f>Planning[[#This Row],[Saldo]]-Planning[[#This Row],[Saldo estimado]]</f>
        <v>#REF!</v>
      </c>
      <c r="N5703" s="60" t="e">
        <f>+SUMIFS(#REF!,#REF!,Planning[[#This Row],[Proyectos]],#REF!,Planning[[#This Row],[Tipo de Tarea y especialidad]])+SUMIFS(#REF!,#REF!,Planning[[#This Row],[Proyectos Reiwa]],#REF!,Planning[[#This Row],[Tipo de Tarea y especialidad]])</f>
        <v>#REF!</v>
      </c>
      <c r="O5703" s="19">
        <f t="shared" si="179"/>
        <v>10</v>
      </c>
      <c r="P5703" s="19">
        <f t="shared" si="180"/>
        <v>2024</v>
      </c>
      <c r="Q57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03" s="49" t="str">
        <f>TEXT(Planning[[#This Row],[Mes]]*29,"mmmm")</f>
        <v>October</v>
      </c>
      <c r="S570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03" s="156"/>
      <c r="U5703" s="93"/>
      <c r="V5703" s="93"/>
      <c r="W5703" s="94"/>
    </row>
    <row r="5704" spans="1:23" ht="13.35" customHeight="1" x14ac:dyDescent="0.2">
      <c r="A5704" s="9" t="s">
        <v>991</v>
      </c>
      <c r="B5704" s="9" t="s">
        <v>582</v>
      </c>
      <c r="C5704" s="3">
        <v>117054</v>
      </c>
      <c r="D5704" s="3" t="s">
        <v>998</v>
      </c>
      <c r="E5704" s="4"/>
      <c r="F5704" s="3" t="s">
        <v>123</v>
      </c>
      <c r="G5704" s="9"/>
      <c r="H5704" s="9">
        <v>0</v>
      </c>
      <c r="I5704" s="12"/>
      <c r="J5704" s="5" t="e">
        <f>SUM(SUMIFS(#REF!,#REF!,Planning[[#This Row],[Tipo de Tarea y especialidad]],#REF!,Planning[[#This Row],[Proyectos Reiwa]]),SUMIFS(#REF!,#REF!,Planning[[#This Row],[Tipo de Tarea y especialidad]],#REF!,Planning[[#This Row],[Proyectos]]))</f>
        <v>#REF!</v>
      </c>
      <c r="K5704" s="5" t="e">
        <f>+Planning[[#This Row],[Horas Planificadas]]+Planning[[#This Row],[Horas ajustadas adicionales]]-Planning[[#This Row],[Horas utilizadas]]</f>
        <v>#REF!</v>
      </c>
      <c r="L5704" s="7">
        <v>0</v>
      </c>
      <c r="M5704" s="19" t="e">
        <f>Planning[[#This Row],[Saldo]]-Planning[[#This Row],[Saldo estimado]]</f>
        <v>#REF!</v>
      </c>
      <c r="N5704" s="60" t="e">
        <f>+SUMIFS(#REF!,#REF!,Planning[[#This Row],[Proyectos]],#REF!,Planning[[#This Row],[Tipo de Tarea y especialidad]])+SUMIFS(#REF!,#REF!,Planning[[#This Row],[Proyectos Reiwa]],#REF!,Planning[[#This Row],[Tipo de Tarea y especialidad]])</f>
        <v>#REF!</v>
      </c>
      <c r="O5704" s="19">
        <f t="shared" si="179"/>
        <v>10</v>
      </c>
      <c r="P5704" s="19">
        <f t="shared" si="180"/>
        <v>2024</v>
      </c>
      <c r="Q57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04" s="49" t="str">
        <f>TEXT(Planning[[#This Row],[Mes]]*29,"mmmm")</f>
        <v>October</v>
      </c>
      <c r="S570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04" s="156"/>
      <c r="U5704" s="93"/>
      <c r="V5704" s="93"/>
      <c r="W5704" s="94"/>
    </row>
    <row r="5705" spans="1:23" ht="13.35" customHeight="1" x14ac:dyDescent="0.2">
      <c r="A5705" s="9" t="s">
        <v>991</v>
      </c>
      <c r="B5705" s="9" t="s">
        <v>582</v>
      </c>
      <c r="C5705" s="3">
        <v>117054</v>
      </c>
      <c r="D5705" s="3" t="s">
        <v>998</v>
      </c>
      <c r="E5705" s="4"/>
      <c r="F5705" s="3" t="s">
        <v>124</v>
      </c>
      <c r="G5705" s="9"/>
      <c r="H5705" s="9">
        <v>0</v>
      </c>
      <c r="I5705" s="12"/>
      <c r="J5705" s="5" t="e">
        <f>SUM(SUMIFS(#REF!,#REF!,Planning[[#This Row],[Tipo de Tarea y especialidad]],#REF!,Planning[[#This Row],[Proyectos Reiwa]]),SUMIFS(#REF!,#REF!,Planning[[#This Row],[Tipo de Tarea y especialidad]],#REF!,Planning[[#This Row],[Proyectos]]))</f>
        <v>#REF!</v>
      </c>
      <c r="K5705" s="5" t="e">
        <f>+Planning[[#This Row],[Horas Planificadas]]+Planning[[#This Row],[Horas ajustadas adicionales]]-Planning[[#This Row],[Horas utilizadas]]</f>
        <v>#REF!</v>
      </c>
      <c r="L5705" s="7">
        <v>0</v>
      </c>
      <c r="M5705" s="19" t="e">
        <f>Planning[[#This Row],[Saldo]]-Planning[[#This Row],[Saldo estimado]]</f>
        <v>#REF!</v>
      </c>
      <c r="N5705" s="60" t="e">
        <f>+SUMIFS(#REF!,#REF!,Planning[[#This Row],[Proyectos]],#REF!,Planning[[#This Row],[Tipo de Tarea y especialidad]])+SUMIFS(#REF!,#REF!,Planning[[#This Row],[Proyectos Reiwa]],#REF!,Planning[[#This Row],[Tipo de Tarea y especialidad]])</f>
        <v>#REF!</v>
      </c>
      <c r="O5705" s="19">
        <f t="shared" si="179"/>
        <v>10</v>
      </c>
      <c r="P5705" s="19">
        <f t="shared" si="180"/>
        <v>2024</v>
      </c>
      <c r="Q57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05" s="49" t="str">
        <f>TEXT(Planning[[#This Row],[Mes]]*29,"mmmm")</f>
        <v>October</v>
      </c>
      <c r="S570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05" s="156"/>
      <c r="U5705" s="93"/>
      <c r="V5705" s="93"/>
      <c r="W5705" s="94"/>
    </row>
    <row r="5706" spans="1:23" ht="13.35" customHeight="1" x14ac:dyDescent="0.2">
      <c r="A5706" s="9" t="s">
        <v>991</v>
      </c>
      <c r="B5706" s="9" t="s">
        <v>582</v>
      </c>
      <c r="C5706" s="3">
        <v>117054</v>
      </c>
      <c r="D5706" s="3" t="s">
        <v>998</v>
      </c>
      <c r="E5706" s="4"/>
      <c r="F5706" s="3" t="s">
        <v>125</v>
      </c>
      <c r="G5706" s="9"/>
      <c r="H5706" s="9">
        <v>8</v>
      </c>
      <c r="I5706" s="12"/>
      <c r="J5706" s="5" t="e">
        <f>SUM(SUMIFS(#REF!,#REF!,Planning[[#This Row],[Tipo de Tarea y especialidad]],#REF!,Planning[[#This Row],[Proyectos Reiwa]]),SUMIFS(#REF!,#REF!,Planning[[#This Row],[Tipo de Tarea y especialidad]],#REF!,Planning[[#This Row],[Proyectos]]))</f>
        <v>#REF!</v>
      </c>
      <c r="K5706" s="5" t="e">
        <f>+Planning[[#This Row],[Horas Planificadas]]+Planning[[#This Row],[Horas ajustadas adicionales]]-Planning[[#This Row],[Horas utilizadas]]</f>
        <v>#REF!</v>
      </c>
      <c r="L5706" s="7">
        <v>0</v>
      </c>
      <c r="M5706" s="19" t="e">
        <f>Planning[[#This Row],[Saldo]]-Planning[[#This Row],[Saldo estimado]]</f>
        <v>#REF!</v>
      </c>
      <c r="N5706" s="60" t="e">
        <f>+SUMIFS(#REF!,#REF!,Planning[[#This Row],[Proyectos]],#REF!,Planning[[#This Row],[Tipo de Tarea y especialidad]])+SUMIFS(#REF!,#REF!,Planning[[#This Row],[Proyectos Reiwa]],#REF!,Planning[[#This Row],[Tipo de Tarea y especialidad]])</f>
        <v>#REF!</v>
      </c>
      <c r="O5706" s="19">
        <f t="shared" si="179"/>
        <v>10</v>
      </c>
      <c r="P5706" s="19">
        <f t="shared" si="180"/>
        <v>2024</v>
      </c>
      <c r="Q57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06" s="49" t="str">
        <f>TEXT(Planning[[#This Row],[Mes]]*29,"mmmm")</f>
        <v>October</v>
      </c>
      <c r="S570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06" s="156"/>
      <c r="U5706" s="93"/>
      <c r="V5706" s="93"/>
      <c r="W5706" s="94"/>
    </row>
    <row r="5707" spans="1:23" ht="13.35" customHeight="1" x14ac:dyDescent="0.2">
      <c r="A5707" s="9" t="s">
        <v>991</v>
      </c>
      <c r="B5707" s="9" t="s">
        <v>582</v>
      </c>
      <c r="C5707" s="3">
        <v>117054</v>
      </c>
      <c r="D5707" s="3" t="s">
        <v>998</v>
      </c>
      <c r="E5707" s="4"/>
      <c r="F5707" s="3" t="s">
        <v>126</v>
      </c>
      <c r="G5707" s="9"/>
      <c r="H5707" s="9">
        <v>0</v>
      </c>
      <c r="I5707" s="12"/>
      <c r="J5707" s="5" t="e">
        <f>SUM(SUMIFS(#REF!,#REF!,Planning[[#This Row],[Tipo de Tarea y especialidad]],#REF!,Planning[[#This Row],[Proyectos Reiwa]]),SUMIFS(#REF!,#REF!,Planning[[#This Row],[Tipo de Tarea y especialidad]],#REF!,Planning[[#This Row],[Proyectos]]))</f>
        <v>#REF!</v>
      </c>
      <c r="K5707" s="5" t="e">
        <f>+Planning[[#This Row],[Horas Planificadas]]+Planning[[#This Row],[Horas ajustadas adicionales]]-Planning[[#This Row],[Horas utilizadas]]</f>
        <v>#REF!</v>
      </c>
      <c r="L5707" s="7" t="e">
        <f>Planning[[#This Row],[Saldo]]</f>
        <v>#REF!</v>
      </c>
      <c r="M5707" s="19" t="e">
        <f>Planning[[#This Row],[Saldo]]-Planning[[#This Row],[Saldo estimado]]</f>
        <v>#REF!</v>
      </c>
      <c r="N5707" s="60" t="e">
        <f>+SUMIFS(#REF!,#REF!,Planning[[#This Row],[Proyectos]],#REF!,Planning[[#This Row],[Tipo de Tarea y especialidad]])+SUMIFS(#REF!,#REF!,Planning[[#This Row],[Proyectos Reiwa]],#REF!,Planning[[#This Row],[Tipo de Tarea y especialidad]])</f>
        <v>#REF!</v>
      </c>
      <c r="O5707" s="19">
        <f t="shared" si="179"/>
        <v>10</v>
      </c>
      <c r="P5707" s="19">
        <f t="shared" si="180"/>
        <v>2024</v>
      </c>
      <c r="Q57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07" s="49" t="str">
        <f>TEXT(Planning[[#This Row],[Mes]]*29,"mmmm")</f>
        <v>October</v>
      </c>
      <c r="S570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07" s="156"/>
      <c r="U5707" s="93"/>
      <c r="V5707" s="93"/>
      <c r="W5707" s="94"/>
    </row>
    <row r="5708" spans="1:23" ht="13.35" customHeight="1" x14ac:dyDescent="0.2">
      <c r="A5708" s="9" t="s">
        <v>991</v>
      </c>
      <c r="B5708" s="9" t="s">
        <v>582</v>
      </c>
      <c r="C5708" s="3">
        <v>117054</v>
      </c>
      <c r="D5708" s="3" t="s">
        <v>998</v>
      </c>
      <c r="E5708" s="4"/>
      <c r="F5708" s="3" t="s">
        <v>127</v>
      </c>
      <c r="G5708" s="9"/>
      <c r="H5708" s="9">
        <v>48</v>
      </c>
      <c r="I5708" s="12"/>
      <c r="J5708" s="5" t="e">
        <f>SUM(SUMIFS(#REF!,#REF!,Planning[[#This Row],[Tipo de Tarea y especialidad]],#REF!,Planning[[#This Row],[Proyectos Reiwa]]),SUMIFS(#REF!,#REF!,Planning[[#This Row],[Tipo de Tarea y especialidad]],#REF!,Planning[[#This Row],[Proyectos]]))</f>
        <v>#REF!</v>
      </c>
      <c r="K5708" s="5" t="e">
        <f>+Planning[[#This Row],[Horas Planificadas]]+Planning[[#This Row],[Horas ajustadas adicionales]]-Planning[[#This Row],[Horas utilizadas]]</f>
        <v>#REF!</v>
      </c>
      <c r="L5708" s="7">
        <v>0</v>
      </c>
      <c r="M5708" s="19" t="e">
        <f>Planning[[#This Row],[Saldo]]-Planning[[#This Row],[Saldo estimado]]</f>
        <v>#REF!</v>
      </c>
      <c r="N5708" s="60" t="e">
        <f>+SUMIFS(#REF!,#REF!,Planning[[#This Row],[Proyectos]],#REF!,Planning[[#This Row],[Tipo de Tarea y especialidad]])+SUMIFS(#REF!,#REF!,Planning[[#This Row],[Proyectos Reiwa]],#REF!,Planning[[#This Row],[Tipo de Tarea y especialidad]])</f>
        <v>#REF!</v>
      </c>
      <c r="O5708" s="19">
        <f t="shared" si="179"/>
        <v>10</v>
      </c>
      <c r="P5708" s="19">
        <f t="shared" si="180"/>
        <v>2024</v>
      </c>
      <c r="Q57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08" s="49" t="str">
        <f>TEXT(Planning[[#This Row],[Mes]]*29,"mmmm")</f>
        <v>October</v>
      </c>
      <c r="S570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08" s="156"/>
      <c r="U5708" s="93"/>
      <c r="V5708" s="93"/>
      <c r="W5708" s="94"/>
    </row>
    <row r="5709" spans="1:23" ht="13.35" customHeight="1" x14ac:dyDescent="0.2">
      <c r="A5709" s="9" t="s">
        <v>991</v>
      </c>
      <c r="B5709" s="9" t="s">
        <v>582</v>
      </c>
      <c r="C5709" s="3">
        <v>117054</v>
      </c>
      <c r="D5709" s="3" t="s">
        <v>998</v>
      </c>
      <c r="E5709" s="4"/>
      <c r="F5709" s="3" t="s">
        <v>128</v>
      </c>
      <c r="G5709" s="9"/>
      <c r="H5709" s="9">
        <v>0</v>
      </c>
      <c r="I5709" s="12"/>
      <c r="J5709" s="5" t="e">
        <f>SUM(SUMIFS(#REF!,#REF!,Planning[[#This Row],[Tipo de Tarea y especialidad]],#REF!,Planning[[#This Row],[Proyectos Reiwa]]),SUMIFS(#REF!,#REF!,Planning[[#This Row],[Tipo de Tarea y especialidad]],#REF!,Planning[[#This Row],[Proyectos]]))</f>
        <v>#REF!</v>
      </c>
      <c r="K5709" s="5" t="e">
        <f>+Planning[[#This Row],[Horas Planificadas]]+Planning[[#This Row],[Horas ajustadas adicionales]]-Planning[[#This Row],[Horas utilizadas]]</f>
        <v>#REF!</v>
      </c>
      <c r="L5709" s="7" t="e">
        <f>Planning[[#This Row],[Saldo]]</f>
        <v>#REF!</v>
      </c>
      <c r="M5709" s="19" t="e">
        <f>Planning[[#This Row],[Saldo]]-Planning[[#This Row],[Saldo estimado]]</f>
        <v>#REF!</v>
      </c>
      <c r="N5709" s="60" t="e">
        <f>+SUMIFS(#REF!,#REF!,Planning[[#This Row],[Proyectos]],#REF!,Planning[[#This Row],[Tipo de Tarea y especialidad]])+SUMIFS(#REF!,#REF!,Planning[[#This Row],[Proyectos Reiwa]],#REF!,Planning[[#This Row],[Tipo de Tarea y especialidad]])</f>
        <v>#REF!</v>
      </c>
      <c r="O5709" s="19">
        <f t="shared" si="179"/>
        <v>10</v>
      </c>
      <c r="P5709" s="19">
        <f t="shared" si="180"/>
        <v>2024</v>
      </c>
      <c r="Q57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09" s="49" t="str">
        <f>TEXT(Planning[[#This Row],[Mes]]*29,"mmmm")</f>
        <v>October</v>
      </c>
      <c r="S570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09" s="156"/>
      <c r="U5709" s="93"/>
      <c r="V5709" s="93"/>
      <c r="W5709" s="94"/>
    </row>
    <row r="5710" spans="1:23" ht="13.35" customHeight="1" x14ac:dyDescent="0.2">
      <c r="A5710" s="9" t="s">
        <v>991</v>
      </c>
      <c r="B5710" s="9" t="s">
        <v>582</v>
      </c>
      <c r="C5710" s="3">
        <v>117054</v>
      </c>
      <c r="D5710" s="3" t="s">
        <v>998</v>
      </c>
      <c r="E5710" s="4" t="s">
        <v>31</v>
      </c>
      <c r="F5710" s="3" t="s">
        <v>31</v>
      </c>
      <c r="G5710" s="9">
        <v>7</v>
      </c>
      <c r="H5710" s="17">
        <v>7</v>
      </c>
      <c r="I5710" s="18"/>
      <c r="J5710" s="14" t="e">
        <f>+SUMIFS(#REF!,#REF!,Planning[[#This Row],[Tarifa]],#REF!,Planning[[#This Row],[Proyectos]])</f>
        <v>#REF!</v>
      </c>
      <c r="K5710" s="14" t="e">
        <f>+Planning[[#This Row],[Horas Planificadas]]+Planning[[#This Row],[Horas ajustadas adicionales]]-Planning[[#This Row],[Horas utilizadas]]</f>
        <v>#REF!</v>
      </c>
      <c r="L5710" s="15">
        <v>0</v>
      </c>
      <c r="M5710" s="16" t="e">
        <f>Planning[[#This Row],[Saldo]]-Planning[[#This Row],[Saldo estimado]]</f>
        <v>#REF!</v>
      </c>
      <c r="N5710" s="60" t="e">
        <f>+SUMIFS(#REF!,#REF!,Planning[[#This Row],[Proyectos]],#REF!,Planning[[#This Row],[Tipo de Tarea y especialidad]])+SUMIFS(#REF!,#REF!,Planning[[#This Row],[Proyectos Reiwa]],#REF!,Planning[[#This Row],[Tipo de Tarea y especialidad]])</f>
        <v>#REF!</v>
      </c>
      <c r="O5710" s="16">
        <f t="shared" si="179"/>
        <v>10</v>
      </c>
      <c r="P5710" s="16">
        <f t="shared" si="180"/>
        <v>2024</v>
      </c>
      <c r="Q5710" s="16" t="e">
        <f>+SUMIFS(#REF!,#REF!,Planning[[#This Row],[Tarifa]],#REF!,Planning[[#This Row],[Proyectos]],#REF!,Planning[[#This Row],[Mes]],#REF!,Planning[[#This Row],[Año]])</f>
        <v>#REF!</v>
      </c>
      <c r="R5710" s="50" t="str">
        <f>TEXT(Planning[[#This Row],[Mes]]*29,"mmmm")</f>
        <v>October</v>
      </c>
      <c r="S571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10" s="156"/>
      <c r="U5710" s="93"/>
      <c r="V5710" s="93"/>
      <c r="W5710" s="94"/>
    </row>
    <row r="5711" spans="1:23" ht="13.35" customHeight="1" x14ac:dyDescent="0.2">
      <c r="A5711" s="9" t="s">
        <v>991</v>
      </c>
      <c r="B5711" s="9" t="s">
        <v>582</v>
      </c>
      <c r="C5711" s="3">
        <v>117054</v>
      </c>
      <c r="D5711" s="3" t="s">
        <v>998</v>
      </c>
      <c r="E5711" s="4" t="s">
        <v>32</v>
      </c>
      <c r="F5711" s="3"/>
      <c r="G5711" s="9">
        <v>20</v>
      </c>
      <c r="H5711" s="14">
        <f>SUM(H5712:H5714)</f>
        <v>20</v>
      </c>
      <c r="I5711" s="14"/>
      <c r="J5711" s="14" t="e">
        <f>SUM(J5712:J5714)</f>
        <v>#REF!</v>
      </c>
      <c r="K5711" s="14" t="e">
        <f>+Planning[[#This Row],[Horas Planificadas]]+Planning[[#This Row],[Horas ajustadas adicionales]]-Planning[[#This Row],[Horas utilizadas]]</f>
        <v>#REF!</v>
      </c>
      <c r="L5711" s="15" t="e">
        <f>SUM(L5712:L5714)</f>
        <v>#REF!</v>
      </c>
      <c r="M5711" s="16" t="e">
        <f>SUM(M5712:M5714)</f>
        <v>#REF!</v>
      </c>
      <c r="N5711" s="60" t="e">
        <f>+SUMIFS(#REF!,#REF!,Planning[[#This Row],[Proyectos]],#REF!,Planning[[#This Row],[Tipo de Tarea y especialidad]])+SUMIFS(#REF!,#REF!,Planning[[#This Row],[Proyectos Reiwa]],#REF!,Planning[[#This Row],[Tipo de Tarea y especialidad]])</f>
        <v>#REF!</v>
      </c>
      <c r="O5711" s="16">
        <f t="shared" si="179"/>
        <v>10</v>
      </c>
      <c r="P5711" s="16">
        <f t="shared" si="180"/>
        <v>2024</v>
      </c>
      <c r="Q5711" s="16" t="e">
        <f>SUM(Q5712:Q5714)</f>
        <v>#REF!</v>
      </c>
      <c r="R5711" s="50" t="str">
        <f>TEXT(Planning[[#This Row],[Mes]]*29,"mmmm")</f>
        <v>October</v>
      </c>
      <c r="S571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11" s="156"/>
      <c r="U5711" s="93"/>
      <c r="V5711" s="93"/>
      <c r="W5711" s="94"/>
    </row>
    <row r="5712" spans="1:23" ht="13.35" customHeight="1" x14ac:dyDescent="0.2">
      <c r="A5712" s="9" t="s">
        <v>991</v>
      </c>
      <c r="B5712" s="9" t="s">
        <v>582</v>
      </c>
      <c r="C5712" s="3">
        <v>117054</v>
      </c>
      <c r="D5712" s="3" t="s">
        <v>998</v>
      </c>
      <c r="E5712" s="4"/>
      <c r="F5712" s="3" t="s">
        <v>129</v>
      </c>
      <c r="G5712" s="9"/>
      <c r="H5712" s="9">
        <v>0</v>
      </c>
      <c r="I5712" s="12"/>
      <c r="J5712" s="5" t="e">
        <f>SUM(SUMIFS(#REF!,#REF!,Planning[[#This Row],[Tipo de Tarea y especialidad]],#REF!,Planning[[#This Row],[Proyectos Reiwa]]),SUMIFS(#REF!,#REF!,Planning[[#This Row],[Tipo de Tarea y especialidad]],#REF!,Planning[[#This Row],[Proyectos]]))</f>
        <v>#REF!</v>
      </c>
      <c r="K5712" s="5" t="e">
        <f>+Planning[[#This Row],[Horas Planificadas]]+Planning[[#This Row],[Horas ajustadas adicionales]]-Planning[[#This Row],[Horas utilizadas]]</f>
        <v>#REF!</v>
      </c>
      <c r="L5712" s="7" t="e">
        <f>Planning[[#This Row],[Saldo]]</f>
        <v>#REF!</v>
      </c>
      <c r="M5712" s="19" t="e">
        <f>Planning[[#This Row],[Saldo]]-Planning[[#This Row],[Saldo estimado]]</f>
        <v>#REF!</v>
      </c>
      <c r="N5712" s="60" t="e">
        <f>+SUMIFS(#REF!,#REF!,Planning[[#This Row],[Proyectos]],#REF!,Planning[[#This Row],[Tipo de Tarea y especialidad]])+SUMIFS(#REF!,#REF!,Planning[[#This Row],[Proyectos Reiwa]],#REF!,Planning[[#This Row],[Tipo de Tarea y especialidad]])</f>
        <v>#REF!</v>
      </c>
      <c r="O5712" s="19">
        <f t="shared" si="179"/>
        <v>10</v>
      </c>
      <c r="P5712" s="19">
        <f t="shared" si="180"/>
        <v>2024</v>
      </c>
      <c r="Q57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12" s="49" t="str">
        <f>TEXT(Planning[[#This Row],[Mes]]*29,"mmmm")</f>
        <v>October</v>
      </c>
      <c r="S571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12" s="156"/>
      <c r="U5712" s="93"/>
      <c r="V5712" s="93"/>
      <c r="W5712" s="94"/>
    </row>
    <row r="5713" spans="1:23" ht="13.35" customHeight="1" x14ac:dyDescent="0.2">
      <c r="A5713" s="9" t="s">
        <v>991</v>
      </c>
      <c r="B5713" s="9" t="s">
        <v>582</v>
      </c>
      <c r="C5713" s="3">
        <v>117054</v>
      </c>
      <c r="D5713" s="3" t="s">
        <v>998</v>
      </c>
      <c r="E5713" s="4"/>
      <c r="F5713" s="3" t="s">
        <v>130</v>
      </c>
      <c r="G5713" s="9"/>
      <c r="H5713" s="9">
        <v>20</v>
      </c>
      <c r="I5713" s="12"/>
      <c r="J5713" s="5" t="e">
        <f>SUM(SUMIFS(#REF!,#REF!,Planning[[#This Row],[Tipo de Tarea y especialidad]],#REF!,Planning[[#This Row],[Proyectos Reiwa]]),SUMIFS(#REF!,#REF!,Planning[[#This Row],[Tipo de Tarea y especialidad]],#REF!,Planning[[#This Row],[Proyectos]]))</f>
        <v>#REF!</v>
      </c>
      <c r="K5713" s="5" t="e">
        <f>+Planning[[#This Row],[Horas Planificadas]]+Planning[[#This Row],[Horas ajustadas adicionales]]-Planning[[#This Row],[Horas utilizadas]]</f>
        <v>#REF!</v>
      </c>
      <c r="L5713" s="7">
        <v>0</v>
      </c>
      <c r="M5713" s="19" t="e">
        <f>Planning[[#This Row],[Saldo]]-Planning[[#This Row],[Saldo estimado]]</f>
        <v>#REF!</v>
      </c>
      <c r="N5713" s="60" t="e">
        <f>+SUMIFS(#REF!,#REF!,Planning[[#This Row],[Proyectos]],#REF!,Planning[[#This Row],[Tipo de Tarea y especialidad]])+SUMIFS(#REF!,#REF!,Planning[[#This Row],[Proyectos Reiwa]],#REF!,Planning[[#This Row],[Tipo de Tarea y especialidad]])</f>
        <v>#REF!</v>
      </c>
      <c r="O5713" s="19">
        <f t="shared" si="179"/>
        <v>10</v>
      </c>
      <c r="P5713" s="19">
        <f t="shared" si="180"/>
        <v>2024</v>
      </c>
      <c r="Q57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13" s="49" t="str">
        <f>TEXT(Planning[[#This Row],[Mes]]*29,"mmmm")</f>
        <v>October</v>
      </c>
      <c r="S571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13" s="156"/>
      <c r="U5713" s="93"/>
      <c r="V5713" s="93"/>
      <c r="W5713" s="94"/>
    </row>
    <row r="5714" spans="1:23" ht="13.35" customHeight="1" x14ac:dyDescent="0.2">
      <c r="A5714" s="9" t="s">
        <v>991</v>
      </c>
      <c r="B5714" s="9" t="s">
        <v>582</v>
      </c>
      <c r="C5714" s="3">
        <v>117054</v>
      </c>
      <c r="D5714" s="3" t="s">
        <v>998</v>
      </c>
      <c r="E5714" s="4"/>
      <c r="F5714" s="3" t="s">
        <v>131</v>
      </c>
      <c r="G5714" s="9"/>
      <c r="H5714" s="9">
        <v>0</v>
      </c>
      <c r="I5714" s="12"/>
      <c r="J5714" s="5" t="e">
        <f>SUM(SUMIFS(#REF!,#REF!,Planning[[#This Row],[Tipo de Tarea y especialidad]],#REF!,Planning[[#This Row],[Proyectos Reiwa]]),SUMIFS(#REF!,#REF!,Planning[[#This Row],[Tipo de Tarea y especialidad]],#REF!,Planning[[#This Row],[Proyectos]]))</f>
        <v>#REF!</v>
      </c>
      <c r="K5714" s="5" t="e">
        <f>+Planning[[#This Row],[Horas Planificadas]]+Planning[[#This Row],[Horas ajustadas adicionales]]-Planning[[#This Row],[Horas utilizadas]]</f>
        <v>#REF!</v>
      </c>
      <c r="L5714" s="7">
        <v>0</v>
      </c>
      <c r="M5714" s="19" t="e">
        <f>Planning[[#This Row],[Saldo]]-Planning[[#This Row],[Saldo estimado]]</f>
        <v>#REF!</v>
      </c>
      <c r="N5714" s="60" t="e">
        <f>+SUMIFS(#REF!,#REF!,Planning[[#This Row],[Proyectos]],#REF!,Planning[[#This Row],[Tipo de Tarea y especialidad]])+SUMIFS(#REF!,#REF!,Planning[[#This Row],[Proyectos Reiwa]],#REF!,Planning[[#This Row],[Tipo de Tarea y especialidad]])</f>
        <v>#REF!</v>
      </c>
      <c r="O5714" s="19">
        <f t="shared" si="179"/>
        <v>10</v>
      </c>
      <c r="P5714" s="19">
        <f t="shared" si="180"/>
        <v>2024</v>
      </c>
      <c r="Q57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14" s="51" t="str">
        <f>TEXT(Planning[[#This Row],[Mes]]*29,"mmmm")</f>
        <v>October</v>
      </c>
      <c r="S5714"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14" s="157"/>
      <c r="U5714" s="93"/>
      <c r="V5714" s="93"/>
      <c r="W5714" s="94"/>
    </row>
    <row r="5715" spans="1:23" ht="12.75" customHeight="1" x14ac:dyDescent="0.2">
      <c r="A5715" s="9" t="s">
        <v>435</v>
      </c>
      <c r="B5715" s="9" t="s">
        <v>779</v>
      </c>
      <c r="C5715" s="3">
        <v>117208</v>
      </c>
      <c r="D5715" s="3" t="s">
        <v>1000</v>
      </c>
      <c r="E5715" s="4" t="s">
        <v>28</v>
      </c>
      <c r="F5715" s="3"/>
      <c r="G5715" s="9">
        <v>279</v>
      </c>
      <c r="H5715" s="14">
        <v>279</v>
      </c>
      <c r="I5715" s="14"/>
      <c r="J5715" s="14" t="e">
        <f>SUM(J5716:J5717)</f>
        <v>#REF!</v>
      </c>
      <c r="K5715" s="14" t="e">
        <f>+Planning[[#This Row],[Horas Planificadas]]+Planning[[#This Row],[Horas ajustadas adicionales]]-Planning[[#This Row],[Horas utilizadas]]</f>
        <v>#REF!</v>
      </c>
      <c r="L5715" s="15" t="e">
        <f>Planning[[#This Row],[Saldo]]</f>
        <v>#REF!</v>
      </c>
      <c r="M5715" s="14" t="e">
        <f>SUM(M5716:M5717)</f>
        <v>#REF!</v>
      </c>
      <c r="N5715" s="60" t="e">
        <f>+SUMIFS(#REF!,#REF!,Planning[[#This Row],[Proyectos]],#REF!,Planning[[#This Row],[Tipo de Tarea y especialidad]])+SUMIFS(#REF!,#REF!,Planning[[#This Row],[Proyectos Reiwa]],#REF!,Planning[[#This Row],[Tipo de Tarea y especialidad]])</f>
        <v>#REF!</v>
      </c>
      <c r="O5715" s="14">
        <f t="shared" si="179"/>
        <v>10</v>
      </c>
      <c r="P5715" s="14">
        <f t="shared" si="180"/>
        <v>2024</v>
      </c>
      <c r="Q5715" s="28" t="e">
        <f>SUM(Q5716:Q5717)</f>
        <v>#REF!</v>
      </c>
      <c r="R5715" s="26" t="str">
        <f>TEXT(Planning[[#This Row],[Mes]]*29,"mmmm")</f>
        <v>October</v>
      </c>
      <c r="S5715" s="147"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15" s="170" t="s">
        <v>1001</v>
      </c>
      <c r="U5715" s="43" t="e">
        <f>IF(Planning[[#This Row],[Horas Planificadas]]&lt;&gt;0,+K5715/Planning[[#This Row],[Horas Planificadas]],0)</f>
        <v>#REF!</v>
      </c>
      <c r="V5715" s="43" t="e">
        <f>IF(Planning[[#This Row],[Horas Planificadas]]&lt;&gt;0,Planning[[#This Row],[Horas utilizadas]]/Planning[[#This Row],[Horas Planificadas]],0)</f>
        <v>#REF!</v>
      </c>
      <c r="W5715" s="44">
        <f>Planning[[#This Row],[Horas Planificadas]]+Planning[[#This Row],[Horas ajustadas adicionales]]</f>
        <v>279</v>
      </c>
    </row>
    <row r="5716" spans="1:23" ht="13.35" customHeight="1" x14ac:dyDescent="0.2">
      <c r="A5716" s="9" t="s">
        <v>435</v>
      </c>
      <c r="B5716" s="9" t="s">
        <v>779</v>
      </c>
      <c r="C5716" s="3">
        <v>117208</v>
      </c>
      <c r="D5716" s="3" t="s">
        <v>1000</v>
      </c>
      <c r="E5716" s="4"/>
      <c r="F5716" s="3" t="s">
        <v>120</v>
      </c>
      <c r="G5716" s="9">
        <v>145</v>
      </c>
      <c r="H5716" s="118">
        <v>145</v>
      </c>
      <c r="I5716" s="12"/>
      <c r="J5716" s="5" t="e">
        <f>SUM(SUMIFS(#REF!,#REF!,Planning[[#This Row],[Tipo de Tarea y especialidad]],#REF!,Planning[[#This Row],[Proyectos Reiwa]]),SUMIFS(#REF!,#REF!,Planning[[#This Row],[Tipo de Tarea y especialidad]],#REF!,Planning[[#This Row],[Proyectos]]))</f>
        <v>#REF!</v>
      </c>
      <c r="K5716" s="5" t="e">
        <f>+Planning[[#This Row],[Horas Planificadas]]+Planning[[#This Row],[Horas ajustadas adicionales]]-Planning[[#This Row],[Horas utilizadas]]</f>
        <v>#REF!</v>
      </c>
      <c r="L5716" s="15" t="e">
        <f>Planning[[#This Row],[Saldo]]</f>
        <v>#REF!</v>
      </c>
      <c r="M5716" s="19" t="e">
        <f>Planning[[#This Row],[Saldo]]-Planning[[#This Row],[Saldo estimado]]</f>
        <v>#REF!</v>
      </c>
      <c r="N5716" s="60" t="e">
        <f>+SUMIFS(#REF!,#REF!,Planning[[#This Row],[Proyectos]],#REF!,Planning[[#This Row],[Tipo de Tarea y especialidad]])+SUMIFS(#REF!,#REF!,Planning[[#This Row],[Proyectos Reiwa]],#REF!,Planning[[#This Row],[Tipo de Tarea y especialidad]])</f>
        <v>#REF!</v>
      </c>
      <c r="O5716" s="19">
        <f t="shared" si="179"/>
        <v>10</v>
      </c>
      <c r="P5716" s="19">
        <f t="shared" si="180"/>
        <v>2024</v>
      </c>
      <c r="Q57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16" s="34" t="str">
        <f>TEXT(Planning[[#This Row],[Mes]]*29,"mmmm")</f>
        <v>October</v>
      </c>
      <c r="S571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16" s="171"/>
      <c r="U5716" s="43" t="e">
        <f>IF(Planning[[#This Row],[Horas Planificadas]]&lt;&gt;0,+K5716/Planning[[#This Row],[Horas Planificadas]],0)</f>
        <v>#REF!</v>
      </c>
      <c r="V5716" s="43" t="e">
        <f>IF(Planning[[#This Row],[Horas Planificadas]]&lt;&gt;0,Planning[[#This Row],[Horas utilizadas]]/Planning[[#This Row],[Horas Planificadas]],0)</f>
        <v>#REF!</v>
      </c>
      <c r="W5716" s="44">
        <f>Planning[[#This Row],[Horas Planificadas]]+Planning[[#This Row],[Horas ajustadas adicionales]]</f>
        <v>145</v>
      </c>
    </row>
    <row r="5717" spans="1:23" ht="13.35" customHeight="1" x14ac:dyDescent="0.2">
      <c r="A5717" s="9" t="s">
        <v>435</v>
      </c>
      <c r="B5717" s="9" t="s">
        <v>779</v>
      </c>
      <c r="C5717" s="3">
        <v>117208</v>
      </c>
      <c r="D5717" s="3" t="s">
        <v>1000</v>
      </c>
      <c r="E5717" s="4"/>
      <c r="F5717" s="3" t="s">
        <v>121</v>
      </c>
      <c r="G5717" s="9">
        <v>134</v>
      </c>
      <c r="H5717" s="118">
        <v>134</v>
      </c>
      <c r="I5717" s="12"/>
      <c r="J5717" s="5" t="e">
        <f>SUM(SUMIFS(#REF!,#REF!,Planning[[#This Row],[Tipo de Tarea y especialidad]],#REF!,Planning[[#This Row],[Proyectos Reiwa]]),SUMIFS(#REF!,#REF!,Planning[[#This Row],[Tipo de Tarea y especialidad]],#REF!,Planning[[#This Row],[Proyectos]]))</f>
        <v>#REF!</v>
      </c>
      <c r="K5717" s="5" t="e">
        <f>+Planning[[#This Row],[Horas Planificadas]]+Planning[[#This Row],[Horas ajustadas adicionales]]-Planning[[#This Row],[Horas utilizadas]]</f>
        <v>#REF!</v>
      </c>
      <c r="L5717" s="15" t="e">
        <f>Planning[[#This Row],[Saldo]]</f>
        <v>#REF!</v>
      </c>
      <c r="M5717" s="19" t="e">
        <f>Planning[[#This Row],[Saldo]]-Planning[[#This Row],[Saldo estimado]]</f>
        <v>#REF!</v>
      </c>
      <c r="N5717" s="60" t="e">
        <f>+SUMIFS(#REF!,#REF!,Planning[[#This Row],[Proyectos]],#REF!,Planning[[#This Row],[Tipo de Tarea y especialidad]])+SUMIFS(#REF!,#REF!,Planning[[#This Row],[Proyectos Reiwa]],#REF!,Planning[[#This Row],[Tipo de Tarea y especialidad]])</f>
        <v>#REF!</v>
      </c>
      <c r="O5717" s="19">
        <f t="shared" si="179"/>
        <v>10</v>
      </c>
      <c r="P5717" s="19">
        <f t="shared" si="180"/>
        <v>2024</v>
      </c>
      <c r="Q57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17" s="34" t="str">
        <f>TEXT(Planning[[#This Row],[Mes]]*29,"mmmm")</f>
        <v>October</v>
      </c>
      <c r="S571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17" s="171"/>
      <c r="U5717" s="43" t="e">
        <f>IF(Planning[[#This Row],[Horas Planificadas]]&lt;&gt;0,+K5717/Planning[[#This Row],[Horas Planificadas]],0)</f>
        <v>#REF!</v>
      </c>
      <c r="V5717" s="43" t="e">
        <f>IF(Planning[[#This Row],[Horas Planificadas]]&lt;&gt;0,Planning[[#This Row],[Horas utilizadas]]/Planning[[#This Row],[Horas Planificadas]],0)</f>
        <v>#REF!</v>
      </c>
      <c r="W5717" s="44">
        <f>Planning[[#This Row],[Horas Planificadas]]+Planning[[#This Row],[Horas ajustadas adicionales]]</f>
        <v>134</v>
      </c>
    </row>
    <row r="5718" spans="1:23" ht="13.35" customHeight="1" x14ac:dyDescent="0.2">
      <c r="A5718" s="9" t="s">
        <v>435</v>
      </c>
      <c r="B5718" s="9" t="s">
        <v>779</v>
      </c>
      <c r="C5718" s="3">
        <v>117208</v>
      </c>
      <c r="D5718" s="3" t="s">
        <v>1000</v>
      </c>
      <c r="E5718" s="4" t="s">
        <v>30</v>
      </c>
      <c r="F5718" s="3"/>
      <c r="G5718" s="9">
        <v>347</v>
      </c>
      <c r="H5718" s="145">
        <v>383</v>
      </c>
      <c r="I5718" s="14"/>
      <c r="J5718" s="14" t="e">
        <f>SUM(J5719:J5725)</f>
        <v>#REF!</v>
      </c>
      <c r="K5718" s="14" t="e">
        <f>+Planning[[#This Row],[Horas Planificadas]]+Planning[[#This Row],[Horas ajustadas adicionales]]-Planning[[#This Row],[Horas utilizadas]]</f>
        <v>#REF!</v>
      </c>
      <c r="L5718" s="15" t="e">
        <f>Planning[[#This Row],[Saldo]]</f>
        <v>#REF!</v>
      </c>
      <c r="M5718" s="16">
        <v>0</v>
      </c>
      <c r="N5718" s="60" t="e">
        <f>+SUMIFS(#REF!,#REF!,Planning[[#This Row],[Proyectos]],#REF!,Planning[[#This Row],[Tipo de Tarea y especialidad]])+SUMIFS(#REF!,#REF!,Planning[[#This Row],[Proyectos Reiwa]],#REF!,Planning[[#This Row],[Tipo de Tarea y especialidad]])</f>
        <v>#REF!</v>
      </c>
      <c r="O5718" s="16">
        <f t="shared" si="179"/>
        <v>10</v>
      </c>
      <c r="P5718" s="16">
        <f t="shared" si="180"/>
        <v>2024</v>
      </c>
      <c r="Q5718" s="16" t="e">
        <f>SUM(Q5719:Q5725)</f>
        <v>#REF!</v>
      </c>
      <c r="R5718" s="35" t="str">
        <f>TEXT(Planning[[#This Row],[Mes]]*29,"mmmm")</f>
        <v>October</v>
      </c>
      <c r="S571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18" s="171"/>
      <c r="U5718" s="43" t="e">
        <f>IF(Planning[[#This Row],[Horas Planificadas]]&lt;&gt;0,+K5718/Planning[[#This Row],[Horas Planificadas]],0)</f>
        <v>#REF!</v>
      </c>
      <c r="V5718" s="43" t="e">
        <f>IF(Planning[[#This Row],[Horas Planificadas]]&lt;&gt;0,Planning[[#This Row],[Horas utilizadas]]/Planning[[#This Row],[Horas Planificadas]],0)</f>
        <v>#REF!</v>
      </c>
      <c r="W5718" s="44">
        <f>Planning[[#This Row],[Horas Planificadas]]+Planning[[#This Row],[Horas ajustadas adicionales]]</f>
        <v>383</v>
      </c>
    </row>
    <row r="5719" spans="1:23" ht="13.35" customHeight="1" x14ac:dyDescent="0.2">
      <c r="A5719" s="9" t="s">
        <v>435</v>
      </c>
      <c r="B5719" s="9" t="s">
        <v>779</v>
      </c>
      <c r="C5719" s="3">
        <v>117208</v>
      </c>
      <c r="D5719" s="3" t="s">
        <v>1000</v>
      </c>
      <c r="E5719" s="4"/>
      <c r="F5719" s="3" t="s">
        <v>122</v>
      </c>
      <c r="G5719" s="11"/>
      <c r="H5719" s="118">
        <v>135</v>
      </c>
      <c r="I5719" s="12"/>
      <c r="J5719" s="5" t="e">
        <f>SUM(SUMIFS(#REF!,#REF!,Planning[[#This Row],[Tipo de Tarea y especialidad]],#REF!,Planning[[#This Row],[Proyectos Reiwa]]),SUMIFS(#REF!,#REF!,Planning[[#This Row],[Tipo de Tarea y especialidad]],#REF!,Planning[[#This Row],[Proyectos]]))</f>
        <v>#REF!</v>
      </c>
      <c r="K5719" s="5" t="e">
        <f>+Planning[[#This Row],[Horas Planificadas]]+Planning[[#This Row],[Horas ajustadas adicionales]]-Planning[[#This Row],[Horas utilizadas]]</f>
        <v>#REF!</v>
      </c>
      <c r="L5719" s="15" t="e">
        <f>Planning[[#This Row],[Saldo]]</f>
        <v>#REF!</v>
      </c>
      <c r="M5719" s="19" t="e">
        <f>Planning[[#This Row],[Saldo]]-Planning[[#This Row],[Saldo estimado]]</f>
        <v>#REF!</v>
      </c>
      <c r="N5719" s="60" t="e">
        <f>+SUMIFS(#REF!,#REF!,Planning[[#This Row],[Proyectos]],#REF!,Planning[[#This Row],[Tipo de Tarea y especialidad]])+SUMIFS(#REF!,#REF!,Planning[[#This Row],[Proyectos Reiwa]],#REF!,Planning[[#This Row],[Tipo de Tarea y especialidad]])</f>
        <v>#REF!</v>
      </c>
      <c r="O5719" s="19">
        <f t="shared" si="179"/>
        <v>10</v>
      </c>
      <c r="P5719" s="19">
        <f t="shared" si="180"/>
        <v>2024</v>
      </c>
      <c r="Q57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19" s="34" t="str">
        <f>TEXT(Planning[[#This Row],[Mes]]*29,"mmmm")</f>
        <v>October</v>
      </c>
      <c r="S571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19" s="171"/>
      <c r="U5719" s="43" t="e">
        <f>IF(Planning[[#This Row],[Horas Planificadas]]&lt;&gt;0,+K5719/Planning[[#This Row],[Horas Planificadas]],0)</f>
        <v>#REF!</v>
      </c>
      <c r="V5719" s="43" t="e">
        <f>IF(Planning[[#This Row],[Horas Planificadas]]&lt;&gt;0,Planning[[#This Row],[Horas utilizadas]]/Planning[[#This Row],[Horas Planificadas]],0)</f>
        <v>#REF!</v>
      </c>
      <c r="W5719" s="44">
        <f>Planning[[#This Row],[Horas Planificadas]]+Planning[[#This Row],[Horas ajustadas adicionales]]</f>
        <v>135</v>
      </c>
    </row>
    <row r="5720" spans="1:23" ht="13.35" customHeight="1" x14ac:dyDescent="0.2">
      <c r="A5720" s="9" t="s">
        <v>435</v>
      </c>
      <c r="B5720" s="9" t="s">
        <v>779</v>
      </c>
      <c r="C5720" s="3">
        <v>117208</v>
      </c>
      <c r="D5720" s="3" t="s">
        <v>1000</v>
      </c>
      <c r="E5720" s="4"/>
      <c r="F5720" s="3" t="s">
        <v>123</v>
      </c>
      <c r="G5720" s="9"/>
      <c r="H5720" s="118">
        <v>90</v>
      </c>
      <c r="I5720" s="12"/>
      <c r="J5720" s="5" t="e">
        <f>SUM(SUMIFS(#REF!,#REF!,Planning[[#This Row],[Tipo de Tarea y especialidad]],#REF!,Planning[[#This Row],[Proyectos Reiwa]]),SUMIFS(#REF!,#REF!,Planning[[#This Row],[Tipo de Tarea y especialidad]],#REF!,Planning[[#This Row],[Proyectos]]))</f>
        <v>#REF!</v>
      </c>
      <c r="K5720" s="5" t="e">
        <f>+Planning[[#This Row],[Horas Planificadas]]+Planning[[#This Row],[Horas ajustadas adicionales]]-Planning[[#This Row],[Horas utilizadas]]</f>
        <v>#REF!</v>
      </c>
      <c r="L5720" s="15" t="e">
        <f>Planning[[#This Row],[Saldo]]</f>
        <v>#REF!</v>
      </c>
      <c r="M5720" s="19" t="e">
        <f>Planning[[#This Row],[Saldo]]-Planning[[#This Row],[Saldo estimado]]</f>
        <v>#REF!</v>
      </c>
      <c r="N5720" s="60" t="e">
        <f>+SUMIFS(#REF!,#REF!,Planning[[#This Row],[Proyectos]],#REF!,Planning[[#This Row],[Tipo de Tarea y especialidad]])+SUMIFS(#REF!,#REF!,Planning[[#This Row],[Proyectos Reiwa]],#REF!,Planning[[#This Row],[Tipo de Tarea y especialidad]])</f>
        <v>#REF!</v>
      </c>
      <c r="O5720" s="19">
        <f t="shared" si="179"/>
        <v>10</v>
      </c>
      <c r="P5720" s="19">
        <f t="shared" si="180"/>
        <v>2024</v>
      </c>
      <c r="Q57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20" s="34" t="str">
        <f>TEXT(Planning[[#This Row],[Mes]]*29,"mmmm")</f>
        <v>October</v>
      </c>
      <c r="S572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20" s="171"/>
      <c r="U5720" s="43" t="e">
        <f>IF(Planning[[#This Row],[Horas Planificadas]]&lt;&gt;0,+K5720/Planning[[#This Row],[Horas Planificadas]],0)</f>
        <v>#REF!</v>
      </c>
      <c r="V5720" s="43" t="e">
        <f>IF(Planning[[#This Row],[Horas Planificadas]]&lt;&gt;0,Planning[[#This Row],[Horas utilizadas]]/Planning[[#This Row],[Horas Planificadas]],0)</f>
        <v>#REF!</v>
      </c>
      <c r="W5720" s="44">
        <f>Planning[[#This Row],[Horas Planificadas]]+Planning[[#This Row],[Horas ajustadas adicionales]]</f>
        <v>90</v>
      </c>
    </row>
    <row r="5721" spans="1:23" ht="13.35" customHeight="1" x14ac:dyDescent="0.2">
      <c r="A5721" s="9" t="s">
        <v>435</v>
      </c>
      <c r="B5721" s="9" t="s">
        <v>779</v>
      </c>
      <c r="C5721" s="3">
        <v>117208</v>
      </c>
      <c r="D5721" s="3" t="s">
        <v>1000</v>
      </c>
      <c r="E5721" s="4"/>
      <c r="F5721" s="3" t="s">
        <v>124</v>
      </c>
      <c r="G5721" s="9"/>
      <c r="H5721" s="118">
        <v>0</v>
      </c>
      <c r="I5721" s="12"/>
      <c r="J5721" s="5" t="e">
        <f>SUM(SUMIFS(#REF!,#REF!,Planning[[#This Row],[Tipo de Tarea y especialidad]],#REF!,Planning[[#This Row],[Proyectos Reiwa]]),SUMIFS(#REF!,#REF!,Planning[[#This Row],[Tipo de Tarea y especialidad]],#REF!,Planning[[#This Row],[Proyectos]]))</f>
        <v>#REF!</v>
      </c>
      <c r="K5721" s="5" t="e">
        <f>+Planning[[#This Row],[Horas Planificadas]]+Planning[[#This Row],[Horas ajustadas adicionales]]-Planning[[#This Row],[Horas utilizadas]]</f>
        <v>#REF!</v>
      </c>
      <c r="L5721" s="15" t="e">
        <f>Planning[[#This Row],[Saldo]]</f>
        <v>#REF!</v>
      </c>
      <c r="M5721" s="19" t="e">
        <f>Planning[[#This Row],[Saldo]]-Planning[[#This Row],[Saldo estimado]]</f>
        <v>#REF!</v>
      </c>
      <c r="N5721" s="60" t="e">
        <f>+SUMIFS(#REF!,#REF!,Planning[[#This Row],[Proyectos]],#REF!,Planning[[#This Row],[Tipo de Tarea y especialidad]])+SUMIFS(#REF!,#REF!,Planning[[#This Row],[Proyectos Reiwa]],#REF!,Planning[[#This Row],[Tipo de Tarea y especialidad]])</f>
        <v>#REF!</v>
      </c>
      <c r="O5721" s="19">
        <f t="shared" si="179"/>
        <v>10</v>
      </c>
      <c r="P5721" s="19">
        <f t="shared" si="180"/>
        <v>2024</v>
      </c>
      <c r="Q57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21" s="34" t="str">
        <f>TEXT(Planning[[#This Row],[Mes]]*29,"mmmm")</f>
        <v>October</v>
      </c>
      <c r="S572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21" s="171"/>
      <c r="U5721" s="43">
        <f>IF(Planning[[#This Row],[Horas Planificadas]]&lt;&gt;0,+K5721/Planning[[#This Row],[Horas Planificadas]],0)</f>
        <v>0</v>
      </c>
      <c r="V5721" s="43">
        <f>IF(Planning[[#This Row],[Horas Planificadas]]&lt;&gt;0,Planning[[#This Row],[Horas utilizadas]]/Planning[[#This Row],[Horas Planificadas]],0)</f>
        <v>0</v>
      </c>
      <c r="W5721" s="44">
        <f>Planning[[#This Row],[Horas Planificadas]]+Planning[[#This Row],[Horas ajustadas adicionales]]</f>
        <v>0</v>
      </c>
    </row>
    <row r="5722" spans="1:23" ht="13.35" customHeight="1" x14ac:dyDescent="0.2">
      <c r="A5722" s="9" t="s">
        <v>435</v>
      </c>
      <c r="B5722" s="9" t="s">
        <v>779</v>
      </c>
      <c r="C5722" s="3">
        <v>117208</v>
      </c>
      <c r="D5722" s="3" t="s">
        <v>1000</v>
      </c>
      <c r="E5722" s="4"/>
      <c r="F5722" s="3" t="s">
        <v>125</v>
      </c>
      <c r="G5722" s="9">
        <v>56</v>
      </c>
      <c r="H5722" s="118">
        <v>63</v>
      </c>
      <c r="I5722" s="12"/>
      <c r="J5722" s="5" t="e">
        <f>SUM(SUMIFS(#REF!,#REF!,Planning[[#This Row],[Tipo de Tarea y especialidad]],#REF!,Planning[[#This Row],[Proyectos Reiwa]]),SUMIFS(#REF!,#REF!,Planning[[#This Row],[Tipo de Tarea y especialidad]],#REF!,Planning[[#This Row],[Proyectos]]))</f>
        <v>#REF!</v>
      </c>
      <c r="K5722" s="5" t="e">
        <f>+Planning[[#This Row],[Horas Planificadas]]+Planning[[#This Row],[Horas ajustadas adicionales]]-Planning[[#This Row],[Horas utilizadas]]</f>
        <v>#REF!</v>
      </c>
      <c r="L5722" s="15" t="e">
        <f>Planning[[#This Row],[Saldo]]</f>
        <v>#REF!</v>
      </c>
      <c r="M5722" s="19" t="e">
        <f>Planning[[#This Row],[Saldo]]-Planning[[#This Row],[Saldo estimado]]</f>
        <v>#REF!</v>
      </c>
      <c r="N5722" s="60" t="e">
        <f>+SUMIFS(#REF!,#REF!,Planning[[#This Row],[Proyectos]],#REF!,Planning[[#This Row],[Tipo de Tarea y especialidad]])+SUMIFS(#REF!,#REF!,Planning[[#This Row],[Proyectos Reiwa]],#REF!,Planning[[#This Row],[Tipo de Tarea y especialidad]])</f>
        <v>#REF!</v>
      </c>
      <c r="O5722" s="19">
        <f t="shared" si="179"/>
        <v>10</v>
      </c>
      <c r="P5722" s="19">
        <f t="shared" si="180"/>
        <v>2024</v>
      </c>
      <c r="Q57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22" s="34" t="str">
        <f>TEXT(Planning[[#This Row],[Mes]]*29,"mmmm")</f>
        <v>October</v>
      </c>
      <c r="S572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22" s="171"/>
      <c r="U5722" s="43" t="e">
        <f>IF(Planning[[#This Row],[Horas Planificadas]]&lt;&gt;0,+K5722/Planning[[#This Row],[Horas Planificadas]],0)</f>
        <v>#REF!</v>
      </c>
      <c r="V5722" s="43" t="e">
        <f>IF(Planning[[#This Row],[Horas Planificadas]]&lt;&gt;0,Planning[[#This Row],[Horas utilizadas]]/Planning[[#This Row],[Horas Planificadas]],0)</f>
        <v>#REF!</v>
      </c>
      <c r="W5722" s="44">
        <f>Planning[[#This Row],[Horas Planificadas]]+Planning[[#This Row],[Horas ajustadas adicionales]]</f>
        <v>63</v>
      </c>
    </row>
    <row r="5723" spans="1:23" ht="13.35" customHeight="1" x14ac:dyDescent="0.2">
      <c r="A5723" s="9" t="s">
        <v>435</v>
      </c>
      <c r="B5723" s="9" t="s">
        <v>779</v>
      </c>
      <c r="C5723" s="3">
        <v>117208</v>
      </c>
      <c r="D5723" s="3" t="s">
        <v>1000</v>
      </c>
      <c r="E5723" s="4"/>
      <c r="F5723" s="3" t="s">
        <v>126</v>
      </c>
      <c r="G5723" s="9">
        <v>81</v>
      </c>
      <c r="H5723" s="118">
        <v>59</v>
      </c>
      <c r="I5723" s="12"/>
      <c r="J5723" s="5" t="e">
        <f>SUM(SUMIFS(#REF!,#REF!,Planning[[#This Row],[Tipo de Tarea y especialidad]],#REF!,Planning[[#This Row],[Proyectos Reiwa]]),SUMIFS(#REF!,#REF!,Planning[[#This Row],[Tipo de Tarea y especialidad]],#REF!,Planning[[#This Row],[Proyectos]]))</f>
        <v>#REF!</v>
      </c>
      <c r="K5723" s="5" t="e">
        <f>+Planning[[#This Row],[Horas Planificadas]]+Planning[[#This Row],[Horas ajustadas adicionales]]-Planning[[#This Row],[Horas utilizadas]]</f>
        <v>#REF!</v>
      </c>
      <c r="L5723" s="15" t="e">
        <f>Planning[[#This Row],[Saldo]]</f>
        <v>#REF!</v>
      </c>
      <c r="M5723" s="19" t="e">
        <f>Planning[[#This Row],[Saldo]]-Planning[[#This Row],[Saldo estimado]]</f>
        <v>#REF!</v>
      </c>
      <c r="N5723" s="60" t="e">
        <f>+SUMIFS(#REF!,#REF!,Planning[[#This Row],[Proyectos]],#REF!,Planning[[#This Row],[Tipo de Tarea y especialidad]])+SUMIFS(#REF!,#REF!,Planning[[#This Row],[Proyectos Reiwa]],#REF!,Planning[[#This Row],[Tipo de Tarea y especialidad]])</f>
        <v>#REF!</v>
      </c>
      <c r="O5723" s="19">
        <f t="shared" si="179"/>
        <v>10</v>
      </c>
      <c r="P5723" s="19">
        <f t="shared" si="180"/>
        <v>2024</v>
      </c>
      <c r="Q57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23" s="34" t="str">
        <f>TEXT(Planning[[#This Row],[Mes]]*29,"mmmm")</f>
        <v>October</v>
      </c>
      <c r="S572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23" s="171"/>
      <c r="U5723" s="43" t="e">
        <f>IF(Planning[[#This Row],[Horas Planificadas]]&lt;&gt;0,+K5723/Planning[[#This Row],[Horas Planificadas]],0)</f>
        <v>#REF!</v>
      </c>
      <c r="V5723" s="43" t="e">
        <f>IF(Planning[[#This Row],[Horas Planificadas]]&lt;&gt;0,Planning[[#This Row],[Horas utilizadas]]/Planning[[#This Row],[Horas Planificadas]],0)</f>
        <v>#REF!</v>
      </c>
      <c r="W5723" s="44">
        <f>Planning[[#This Row],[Horas Planificadas]]+Planning[[#This Row],[Horas ajustadas adicionales]]</f>
        <v>59</v>
      </c>
    </row>
    <row r="5724" spans="1:23" ht="13.35" customHeight="1" x14ac:dyDescent="0.2">
      <c r="A5724" s="9" t="s">
        <v>435</v>
      </c>
      <c r="B5724" s="9" t="s">
        <v>779</v>
      </c>
      <c r="C5724" s="3">
        <v>117208</v>
      </c>
      <c r="D5724" s="3" t="s">
        <v>1000</v>
      </c>
      <c r="E5724" s="4"/>
      <c r="F5724" s="3" t="s">
        <v>127</v>
      </c>
      <c r="G5724" s="9"/>
      <c r="H5724" s="118">
        <v>36</v>
      </c>
      <c r="I5724" s="12"/>
      <c r="J5724" s="5" t="e">
        <f>SUM(SUMIFS(#REF!,#REF!,Planning[[#This Row],[Tipo de Tarea y especialidad]],#REF!,Planning[[#This Row],[Proyectos Reiwa]]),SUMIFS(#REF!,#REF!,Planning[[#This Row],[Tipo de Tarea y especialidad]],#REF!,Planning[[#This Row],[Proyectos]]))</f>
        <v>#REF!</v>
      </c>
      <c r="K5724" s="5" t="e">
        <f>+Planning[[#This Row],[Horas Planificadas]]+Planning[[#This Row],[Horas ajustadas adicionales]]-Planning[[#This Row],[Horas utilizadas]]</f>
        <v>#REF!</v>
      </c>
      <c r="L5724" s="15" t="e">
        <f>Planning[[#This Row],[Saldo]]</f>
        <v>#REF!</v>
      </c>
      <c r="M5724" s="19" t="e">
        <f>Planning[[#This Row],[Saldo]]-Planning[[#This Row],[Saldo estimado]]</f>
        <v>#REF!</v>
      </c>
      <c r="N5724" s="60" t="e">
        <f>+SUMIFS(#REF!,#REF!,Planning[[#This Row],[Proyectos]],#REF!,Planning[[#This Row],[Tipo de Tarea y especialidad]])+SUMIFS(#REF!,#REF!,Planning[[#This Row],[Proyectos Reiwa]],#REF!,Planning[[#This Row],[Tipo de Tarea y especialidad]])</f>
        <v>#REF!</v>
      </c>
      <c r="O5724" s="19">
        <f t="shared" si="179"/>
        <v>10</v>
      </c>
      <c r="P5724" s="19">
        <f t="shared" si="180"/>
        <v>2024</v>
      </c>
      <c r="Q57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24" s="34" t="str">
        <f>TEXT(Planning[[#This Row],[Mes]]*29,"mmmm")</f>
        <v>October</v>
      </c>
      <c r="S572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24" s="171"/>
      <c r="U5724" s="43" t="e">
        <f>IF(Planning[[#This Row],[Horas Planificadas]]&lt;&gt;0,+K5724/Planning[[#This Row],[Horas Planificadas]],0)</f>
        <v>#REF!</v>
      </c>
      <c r="V5724" s="43" t="e">
        <f>IF(Planning[[#This Row],[Horas Planificadas]]&lt;&gt;0,Planning[[#This Row],[Horas utilizadas]]/Planning[[#This Row],[Horas Planificadas]],0)</f>
        <v>#REF!</v>
      </c>
      <c r="W5724" s="44">
        <f>Planning[[#This Row],[Horas Planificadas]]+Planning[[#This Row],[Horas ajustadas adicionales]]</f>
        <v>36</v>
      </c>
    </row>
    <row r="5725" spans="1:23" ht="13.35" customHeight="1" x14ac:dyDescent="0.2">
      <c r="A5725" s="9" t="s">
        <v>435</v>
      </c>
      <c r="B5725" s="9" t="s">
        <v>779</v>
      </c>
      <c r="C5725" s="3">
        <v>117208</v>
      </c>
      <c r="D5725" s="3" t="s">
        <v>1000</v>
      </c>
      <c r="E5725" s="4"/>
      <c r="F5725" s="3" t="s">
        <v>128</v>
      </c>
      <c r="G5725" s="9"/>
      <c r="H5725" s="9"/>
      <c r="I5725" s="12"/>
      <c r="J5725" s="5" t="e">
        <f>SUM(SUMIFS(#REF!,#REF!,Planning[[#This Row],[Tipo de Tarea y especialidad]],#REF!,Planning[[#This Row],[Proyectos Reiwa]]),SUMIFS(#REF!,#REF!,Planning[[#This Row],[Tipo de Tarea y especialidad]],#REF!,Planning[[#This Row],[Proyectos]]))</f>
        <v>#REF!</v>
      </c>
      <c r="K5725" s="5" t="e">
        <f>+Planning[[#This Row],[Horas Planificadas]]+Planning[[#This Row],[Horas ajustadas adicionales]]-Planning[[#This Row],[Horas utilizadas]]</f>
        <v>#REF!</v>
      </c>
      <c r="L5725" s="15" t="e">
        <f>Planning[[#This Row],[Saldo]]</f>
        <v>#REF!</v>
      </c>
      <c r="M5725" s="19" t="e">
        <f>Planning[[#This Row],[Saldo]]-Planning[[#This Row],[Saldo estimado]]</f>
        <v>#REF!</v>
      </c>
      <c r="N5725" s="60" t="e">
        <f>+SUMIFS(#REF!,#REF!,Planning[[#This Row],[Proyectos]],#REF!,Planning[[#This Row],[Tipo de Tarea y especialidad]])+SUMIFS(#REF!,#REF!,Planning[[#This Row],[Proyectos Reiwa]],#REF!,Planning[[#This Row],[Tipo de Tarea y especialidad]])</f>
        <v>#REF!</v>
      </c>
      <c r="O5725" s="19">
        <f t="shared" si="179"/>
        <v>10</v>
      </c>
      <c r="P5725" s="19">
        <f t="shared" si="180"/>
        <v>2024</v>
      </c>
      <c r="Q57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25" s="34" t="str">
        <f>TEXT(Planning[[#This Row],[Mes]]*29,"mmmm")</f>
        <v>October</v>
      </c>
      <c r="S572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25" s="171"/>
      <c r="U5725" s="43">
        <f>IF(Planning[[#This Row],[Horas Planificadas]]&lt;&gt;0,+K5725/Planning[[#This Row],[Horas Planificadas]],0)</f>
        <v>0</v>
      </c>
      <c r="V5725" s="43">
        <f>IF(Planning[[#This Row],[Horas Planificadas]]&lt;&gt;0,Planning[[#This Row],[Horas utilizadas]]/Planning[[#This Row],[Horas Planificadas]],0)</f>
        <v>0</v>
      </c>
      <c r="W5725" s="44">
        <f>Planning[[#This Row],[Horas Planificadas]]+Planning[[#This Row],[Horas ajustadas adicionales]]</f>
        <v>0</v>
      </c>
    </row>
    <row r="5726" spans="1:23" ht="13.35" customHeight="1" x14ac:dyDescent="0.2">
      <c r="A5726" s="9" t="s">
        <v>435</v>
      </c>
      <c r="B5726" s="9" t="s">
        <v>779</v>
      </c>
      <c r="C5726" s="3">
        <v>117208</v>
      </c>
      <c r="D5726" s="3" t="s">
        <v>1000</v>
      </c>
      <c r="E5726" s="4" t="s">
        <v>31</v>
      </c>
      <c r="F5726" s="3" t="s">
        <v>31</v>
      </c>
      <c r="G5726" s="9">
        <v>60</v>
      </c>
      <c r="H5726" s="17">
        <v>60</v>
      </c>
      <c r="I5726" s="18"/>
      <c r="J5726" s="14" t="e">
        <f>+SUMIFS(#REF!,#REF!,Planning[[#This Row],[Tarifa]],#REF!,Planning[[#This Row],[Proyectos]])</f>
        <v>#REF!</v>
      </c>
      <c r="K5726" s="14" t="e">
        <f>+Planning[[#This Row],[Horas Planificadas]]+Planning[[#This Row],[Horas ajustadas adicionales]]-Planning[[#This Row],[Horas utilizadas]]</f>
        <v>#REF!</v>
      </c>
      <c r="L5726" s="15" t="e">
        <f>Planning[[#This Row],[Saldo]]</f>
        <v>#REF!</v>
      </c>
      <c r="M5726" s="16" t="e">
        <f>Planning[[#This Row],[Saldo]]-Planning[[#This Row],[Saldo estimado]]</f>
        <v>#REF!</v>
      </c>
      <c r="N5726" s="60" t="e">
        <f>+SUMIFS(#REF!,#REF!,Planning[[#This Row],[Proyectos]],#REF!,Planning[[#This Row],[Tipo de Tarea y especialidad]])+SUMIFS(#REF!,#REF!,Planning[[#This Row],[Proyectos Reiwa]],#REF!,Planning[[#This Row],[Tipo de Tarea y especialidad]])</f>
        <v>#REF!</v>
      </c>
      <c r="O5726" s="16">
        <f t="shared" si="179"/>
        <v>10</v>
      </c>
      <c r="P5726" s="16">
        <f t="shared" si="180"/>
        <v>2024</v>
      </c>
      <c r="Q5726" s="16" t="e">
        <f>+SUMIFS(#REF!,#REF!,Planning[[#This Row],[Tarifa]],#REF!,Planning[[#This Row],[Proyectos]],#REF!,Planning[[#This Row],[Mes]],#REF!,Planning[[#This Row],[Año]])</f>
        <v>#REF!</v>
      </c>
      <c r="R5726" s="35" t="str">
        <f>TEXT(Planning[[#This Row],[Mes]]*29,"mmmm")</f>
        <v>October</v>
      </c>
      <c r="S572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26" s="171"/>
      <c r="U5726" s="43" t="e">
        <f>IF(Planning[[#This Row],[Horas Planificadas]]&lt;&gt;0,+K5726/Planning[[#This Row],[Horas Planificadas]],0)</f>
        <v>#REF!</v>
      </c>
      <c r="V5726" s="43" t="e">
        <f>IF(Planning[[#This Row],[Horas Planificadas]]&lt;&gt;0,Planning[[#This Row],[Horas utilizadas]]/Planning[[#This Row],[Horas Planificadas]],0)</f>
        <v>#REF!</v>
      </c>
      <c r="W5726" s="44">
        <f>Planning[[#This Row],[Horas Planificadas]]+Planning[[#This Row],[Horas ajustadas adicionales]]</f>
        <v>60</v>
      </c>
    </row>
    <row r="5727" spans="1:23" ht="13.35" customHeight="1" x14ac:dyDescent="0.2">
      <c r="A5727" s="9" t="s">
        <v>435</v>
      </c>
      <c r="B5727" s="9" t="s">
        <v>779</v>
      </c>
      <c r="C5727" s="3">
        <v>117208</v>
      </c>
      <c r="D5727" s="3" t="s">
        <v>1000</v>
      </c>
      <c r="E5727" s="4" t="s">
        <v>32</v>
      </c>
      <c r="F5727" s="3"/>
      <c r="G5727" s="9">
        <v>150</v>
      </c>
      <c r="H5727" s="14"/>
      <c r="I5727" s="14"/>
      <c r="J5727" s="14" t="e">
        <f>SUM(J5728:J5730)</f>
        <v>#REF!</v>
      </c>
      <c r="K5727" s="14" t="e">
        <f>+Planning[[#This Row],[Horas Planificadas]]+Planning[[#This Row],[Horas ajustadas adicionales]]-Planning[[#This Row],[Horas utilizadas]]</f>
        <v>#REF!</v>
      </c>
      <c r="L5727" s="15" t="e">
        <f>Planning[[#This Row],[Saldo]]</f>
        <v>#REF!</v>
      </c>
      <c r="M5727" s="16" t="e">
        <f>SUM(M5728:M5730)</f>
        <v>#REF!</v>
      </c>
      <c r="N5727" s="60" t="e">
        <f>+SUMIFS(#REF!,#REF!,Planning[[#This Row],[Proyectos]],#REF!,Planning[[#This Row],[Tipo de Tarea y especialidad]])+SUMIFS(#REF!,#REF!,Planning[[#This Row],[Proyectos Reiwa]],#REF!,Planning[[#This Row],[Tipo de Tarea y especialidad]])</f>
        <v>#REF!</v>
      </c>
      <c r="O5727" s="16">
        <f t="shared" si="179"/>
        <v>10</v>
      </c>
      <c r="P5727" s="16">
        <f t="shared" si="180"/>
        <v>2024</v>
      </c>
      <c r="Q5727" s="16" t="e">
        <f>SUM(Q5728:Q5730)</f>
        <v>#REF!</v>
      </c>
      <c r="R5727" s="35" t="str">
        <f>TEXT(Planning[[#This Row],[Mes]]*29,"mmmm")</f>
        <v>October</v>
      </c>
      <c r="S572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27" s="171"/>
      <c r="U5727" s="43">
        <f>IF(Planning[[#This Row],[Horas Planificadas]]&lt;&gt;0,+K5727/Planning[[#This Row],[Horas Planificadas]],0)</f>
        <v>0</v>
      </c>
      <c r="V5727" s="43">
        <f>IF(Planning[[#This Row],[Horas Planificadas]]&lt;&gt;0,Planning[[#This Row],[Horas utilizadas]]/Planning[[#This Row],[Horas Planificadas]],0)</f>
        <v>0</v>
      </c>
      <c r="W5727" s="44">
        <f>Planning[[#This Row],[Horas Planificadas]]+Planning[[#This Row],[Horas ajustadas adicionales]]</f>
        <v>0</v>
      </c>
    </row>
    <row r="5728" spans="1:23" ht="13.35" customHeight="1" x14ac:dyDescent="0.2">
      <c r="A5728" s="9" t="s">
        <v>435</v>
      </c>
      <c r="B5728" s="9" t="s">
        <v>779</v>
      </c>
      <c r="C5728" s="3">
        <v>117208</v>
      </c>
      <c r="D5728" s="3" t="s">
        <v>1000</v>
      </c>
      <c r="E5728" s="4"/>
      <c r="F5728" s="3" t="s">
        <v>129</v>
      </c>
      <c r="G5728" s="9"/>
      <c r="H5728" s="118">
        <v>86</v>
      </c>
      <c r="I5728" s="12"/>
      <c r="J5728" s="5" t="e">
        <f>SUM(SUMIFS(#REF!,#REF!,Planning[[#This Row],[Tipo de Tarea y especialidad]],#REF!,Planning[[#This Row],[Proyectos Reiwa]]),SUMIFS(#REF!,#REF!,Planning[[#This Row],[Tipo de Tarea y especialidad]],#REF!,Planning[[#This Row],[Proyectos]]))</f>
        <v>#REF!</v>
      </c>
      <c r="K5728" s="5" t="e">
        <f>+Planning[[#This Row],[Horas Planificadas]]+Planning[[#This Row],[Horas ajustadas adicionales]]-Planning[[#This Row],[Horas utilizadas]]</f>
        <v>#REF!</v>
      </c>
      <c r="L5728" s="15" t="e">
        <f>Planning[[#This Row],[Saldo]]</f>
        <v>#REF!</v>
      </c>
      <c r="M5728" s="19" t="e">
        <f>Planning[[#This Row],[Saldo]]-Planning[[#This Row],[Saldo estimado]]</f>
        <v>#REF!</v>
      </c>
      <c r="N5728" s="60" t="e">
        <f>+SUMIFS(#REF!,#REF!,Planning[[#This Row],[Proyectos]],#REF!,Planning[[#This Row],[Tipo de Tarea y especialidad]])+SUMIFS(#REF!,#REF!,Planning[[#This Row],[Proyectos Reiwa]],#REF!,Planning[[#This Row],[Tipo de Tarea y especialidad]])</f>
        <v>#REF!</v>
      </c>
      <c r="O5728" s="19">
        <f t="shared" si="179"/>
        <v>10</v>
      </c>
      <c r="P5728" s="19">
        <f t="shared" si="180"/>
        <v>2024</v>
      </c>
      <c r="Q57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28" s="34" t="str">
        <f>TEXT(Planning[[#This Row],[Mes]]*29,"mmmm")</f>
        <v>October</v>
      </c>
      <c r="S572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28" s="171"/>
      <c r="U5728" s="43" t="e">
        <f>IF(Planning[[#This Row],[Horas Planificadas]]&lt;&gt;0,+K5728/Planning[[#This Row],[Horas Planificadas]],0)</f>
        <v>#REF!</v>
      </c>
      <c r="V5728" s="43" t="e">
        <f>IF(Planning[[#This Row],[Horas Planificadas]]&lt;&gt;0,Planning[[#This Row],[Horas utilizadas]]/Planning[[#This Row],[Horas Planificadas]],0)</f>
        <v>#REF!</v>
      </c>
      <c r="W5728" s="44">
        <f>Planning[[#This Row],[Horas Planificadas]]+Planning[[#This Row],[Horas ajustadas adicionales]]</f>
        <v>86</v>
      </c>
    </row>
    <row r="5729" spans="1:23" ht="13.35" customHeight="1" x14ac:dyDescent="0.2">
      <c r="A5729" s="9" t="s">
        <v>435</v>
      </c>
      <c r="B5729" s="9" t="s">
        <v>779</v>
      </c>
      <c r="C5729" s="3">
        <v>117208</v>
      </c>
      <c r="D5729" s="3" t="s">
        <v>1000</v>
      </c>
      <c r="E5729" s="4"/>
      <c r="F5729" s="3" t="s">
        <v>130</v>
      </c>
      <c r="G5729" s="9"/>
      <c r="H5729" s="118">
        <v>58</v>
      </c>
      <c r="I5729" s="12"/>
      <c r="J5729" s="5" t="e">
        <f>SUM(SUMIFS(#REF!,#REF!,Planning[[#This Row],[Tipo de Tarea y especialidad]],#REF!,Planning[[#This Row],[Proyectos Reiwa]]),SUMIFS(#REF!,#REF!,Planning[[#This Row],[Tipo de Tarea y especialidad]],#REF!,Planning[[#This Row],[Proyectos]]))</f>
        <v>#REF!</v>
      </c>
      <c r="K5729" s="5" t="e">
        <f>+Planning[[#This Row],[Horas Planificadas]]+Planning[[#This Row],[Horas ajustadas adicionales]]-Planning[[#This Row],[Horas utilizadas]]</f>
        <v>#REF!</v>
      </c>
      <c r="L5729" s="15" t="e">
        <f>Planning[[#This Row],[Saldo]]</f>
        <v>#REF!</v>
      </c>
      <c r="M5729" s="19" t="e">
        <f>Planning[[#This Row],[Saldo]]-Planning[[#This Row],[Saldo estimado]]</f>
        <v>#REF!</v>
      </c>
      <c r="N5729" s="60" t="e">
        <f>+SUMIFS(#REF!,#REF!,Planning[[#This Row],[Proyectos]],#REF!,Planning[[#This Row],[Tipo de Tarea y especialidad]])+SUMIFS(#REF!,#REF!,Planning[[#This Row],[Proyectos Reiwa]],#REF!,Planning[[#This Row],[Tipo de Tarea y especialidad]])</f>
        <v>#REF!</v>
      </c>
      <c r="O5729" s="19">
        <f t="shared" si="179"/>
        <v>10</v>
      </c>
      <c r="P5729" s="19">
        <f t="shared" si="180"/>
        <v>2024</v>
      </c>
      <c r="Q57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29" s="34" t="str">
        <f>TEXT(Planning[[#This Row],[Mes]]*29,"mmmm")</f>
        <v>October</v>
      </c>
      <c r="S572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29" s="171"/>
      <c r="U5729" s="43" t="e">
        <f>IF(Planning[[#This Row],[Horas Planificadas]]&lt;&gt;0,+K5729/Planning[[#This Row],[Horas Planificadas]],0)</f>
        <v>#REF!</v>
      </c>
      <c r="V5729" s="43" t="e">
        <f>IF(Planning[[#This Row],[Horas Planificadas]]&lt;&gt;0,Planning[[#This Row],[Horas utilizadas]]/Planning[[#This Row],[Horas Planificadas]],0)</f>
        <v>#REF!</v>
      </c>
      <c r="W5729" s="44">
        <f>Planning[[#This Row],[Horas Planificadas]]+Planning[[#This Row],[Horas ajustadas adicionales]]</f>
        <v>58</v>
      </c>
    </row>
    <row r="5730" spans="1:23" ht="13.35" customHeight="1" x14ac:dyDescent="0.2">
      <c r="A5730" s="9" t="s">
        <v>435</v>
      </c>
      <c r="B5730" s="9" t="s">
        <v>779</v>
      </c>
      <c r="C5730" s="3">
        <v>117208</v>
      </c>
      <c r="D5730" s="3" t="s">
        <v>1000</v>
      </c>
      <c r="E5730" s="4"/>
      <c r="F5730" s="3" t="s">
        <v>131</v>
      </c>
      <c r="G5730" s="9"/>
      <c r="H5730" s="9"/>
      <c r="I5730" s="12"/>
      <c r="J5730" s="5" t="e">
        <f>SUM(SUMIFS(#REF!,#REF!,Planning[[#This Row],[Tipo de Tarea y especialidad]],#REF!,Planning[[#This Row],[Proyectos Reiwa]]),SUMIFS(#REF!,#REF!,Planning[[#This Row],[Tipo de Tarea y especialidad]],#REF!,Planning[[#This Row],[Proyectos]]))</f>
        <v>#REF!</v>
      </c>
      <c r="K5730" s="5" t="e">
        <f>+Planning[[#This Row],[Horas Planificadas]]+Planning[[#This Row],[Horas ajustadas adicionales]]-Planning[[#This Row],[Horas utilizadas]]</f>
        <v>#REF!</v>
      </c>
      <c r="L5730" s="15" t="e">
        <f>Planning[[#This Row],[Saldo]]</f>
        <v>#REF!</v>
      </c>
      <c r="M5730" s="19" t="e">
        <f>Planning[[#This Row],[Saldo]]-Planning[[#This Row],[Saldo estimado]]</f>
        <v>#REF!</v>
      </c>
      <c r="N5730" s="60" t="e">
        <f>+SUMIFS(#REF!,#REF!,Planning[[#This Row],[Proyectos]],#REF!,Planning[[#This Row],[Tipo de Tarea y especialidad]])+SUMIFS(#REF!,#REF!,Planning[[#This Row],[Proyectos Reiwa]],#REF!,Planning[[#This Row],[Tipo de Tarea y especialidad]])</f>
        <v>#REF!</v>
      </c>
      <c r="O5730" s="19">
        <f t="shared" si="179"/>
        <v>10</v>
      </c>
      <c r="P5730" s="19">
        <f t="shared" si="180"/>
        <v>2024</v>
      </c>
      <c r="Q57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30" s="34" t="str">
        <f>TEXT(Planning[[#This Row],[Mes]]*29,"mmmm")</f>
        <v>October</v>
      </c>
      <c r="S573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30" s="172"/>
      <c r="U5730" s="43">
        <f>IF(Planning[[#This Row],[Horas Planificadas]]&lt;&gt;0,+K5730/Planning[[#This Row],[Horas Planificadas]],0)</f>
        <v>0</v>
      </c>
      <c r="V5730" s="43">
        <f>IF(Planning[[#This Row],[Horas Planificadas]]&lt;&gt;0,Planning[[#This Row],[Horas utilizadas]]/Planning[[#This Row],[Horas Planificadas]],0)</f>
        <v>0</v>
      </c>
      <c r="W5730" s="44">
        <f>Planning[[#This Row],[Horas Planificadas]]+Planning[[#This Row],[Horas ajustadas adicionales]]</f>
        <v>0</v>
      </c>
    </row>
    <row r="5731" spans="1:23" ht="22.5" x14ac:dyDescent="0.2">
      <c r="A5731" s="9" t="s">
        <v>204</v>
      </c>
      <c r="B5731" s="9" t="s">
        <v>288</v>
      </c>
      <c r="C5731" s="3">
        <v>116977</v>
      </c>
      <c r="D5731" s="3" t="s">
        <v>1002</v>
      </c>
      <c r="E5731" s="4" t="s">
        <v>28</v>
      </c>
      <c r="F5731" s="3"/>
      <c r="G5731" s="9"/>
      <c r="H5731" s="14">
        <f>SUM(H5732:H5733)</f>
        <v>486</v>
      </c>
      <c r="I5731" s="14"/>
      <c r="J5731" s="14" t="e">
        <f>SUM(J5732:J5733)</f>
        <v>#REF!</v>
      </c>
      <c r="K5731" s="14" t="e">
        <f>+Planning[[#This Row],[Horas Planificadas]]+Planning[[#This Row],[Horas ajustadas adicionales]]-Planning[[#This Row],[Horas utilizadas]]</f>
        <v>#REF!</v>
      </c>
      <c r="L5731" s="15">
        <f>SUM(L5732:L5733)</f>
        <v>486</v>
      </c>
      <c r="M5731" s="14" t="e">
        <f>SUM(M5732:M5733)</f>
        <v>#REF!</v>
      </c>
      <c r="N5731" s="60" t="e">
        <f>+SUMIFS(#REF!,#REF!,Planning[[#This Row],[Proyectos]],#REF!,Planning[[#This Row],[Tipo de Tarea y especialidad]])+SUMIFS(#REF!,#REF!,Planning[[#This Row],[Proyectos Reiwa]],#REF!,Planning[[#This Row],[Tipo de Tarea y especialidad]])</f>
        <v>#REF!</v>
      </c>
      <c r="O5731" s="14">
        <f t="shared" si="179"/>
        <v>10</v>
      </c>
      <c r="P5731" s="14">
        <f t="shared" si="180"/>
        <v>2024</v>
      </c>
      <c r="Q5731" s="28" t="e">
        <f>SUM(Q5732:Q5733)</f>
        <v>#REF!</v>
      </c>
      <c r="R5731" s="24" t="str">
        <f>TEXT(Planning[[#This Row],[Mes]]*29,"mmmm")</f>
        <v>October</v>
      </c>
      <c r="S5731"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31" s="151" t="s">
        <v>1003</v>
      </c>
    </row>
    <row r="5732" spans="1:23" x14ac:dyDescent="0.2">
      <c r="A5732" s="9" t="s">
        <v>204</v>
      </c>
      <c r="B5732" s="9" t="s">
        <v>288</v>
      </c>
      <c r="C5732" s="3">
        <v>116977</v>
      </c>
      <c r="D5732" s="3" t="s">
        <v>1002</v>
      </c>
      <c r="E5732" s="4"/>
      <c r="F5732" s="3" t="s">
        <v>120</v>
      </c>
      <c r="G5732" s="9">
        <v>225</v>
      </c>
      <c r="H5732" s="9">
        <v>225</v>
      </c>
      <c r="I5732" s="12"/>
      <c r="J5732" s="5" t="e">
        <f>SUM(SUMIFS(#REF!,#REF!,Planning[[#This Row],[Tipo de Tarea y especialidad]],#REF!,Planning[[#This Row],[Proyectos Reiwa]]),SUMIFS(#REF!,#REF!,Planning[[#This Row],[Tipo de Tarea y especialidad]],#REF!,Planning[[#This Row],[Proyectos]]))</f>
        <v>#REF!</v>
      </c>
      <c r="K5732" s="5" t="e">
        <f>+Planning[[#This Row],[Horas Planificadas]]+Planning[[#This Row],[Horas ajustadas adicionales]]-Planning[[#This Row],[Horas utilizadas]]</f>
        <v>#REF!</v>
      </c>
      <c r="L5732" s="7">
        <v>225</v>
      </c>
      <c r="M5732" s="19" t="e">
        <f>Planning[[#This Row],[Saldo]]-Planning[[#This Row],[Saldo estimado]]</f>
        <v>#REF!</v>
      </c>
      <c r="N5732" s="60" t="e">
        <f>+SUMIFS(#REF!,#REF!,Planning[[#This Row],[Proyectos]],#REF!,Planning[[#This Row],[Tipo de Tarea y especialidad]])+SUMIFS(#REF!,#REF!,Planning[[#This Row],[Proyectos Reiwa]],#REF!,Planning[[#This Row],[Tipo de Tarea y especialidad]])</f>
        <v>#REF!</v>
      </c>
      <c r="O5732" s="19">
        <f t="shared" si="179"/>
        <v>10</v>
      </c>
      <c r="P5732" s="19">
        <f t="shared" si="180"/>
        <v>2024</v>
      </c>
      <c r="Q57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32" s="49" t="str">
        <f>TEXT(Planning[[#This Row],[Mes]]*29,"mmmm")</f>
        <v>October</v>
      </c>
      <c r="S573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32" s="152"/>
    </row>
    <row r="5733" spans="1:23" x14ac:dyDescent="0.2">
      <c r="A5733" s="9" t="s">
        <v>204</v>
      </c>
      <c r="B5733" s="9" t="s">
        <v>288</v>
      </c>
      <c r="C5733" s="3">
        <v>116977</v>
      </c>
      <c r="D5733" s="3" t="s">
        <v>1002</v>
      </c>
      <c r="E5733" s="4"/>
      <c r="F5733" s="3" t="s">
        <v>121</v>
      </c>
      <c r="G5733" s="9">
        <v>261</v>
      </c>
      <c r="H5733" s="9">
        <v>261</v>
      </c>
      <c r="I5733" s="12"/>
      <c r="J5733" s="5" t="e">
        <f>SUM(SUMIFS(#REF!,#REF!,Planning[[#This Row],[Tipo de Tarea y especialidad]],#REF!,Planning[[#This Row],[Proyectos Reiwa]]),SUMIFS(#REF!,#REF!,Planning[[#This Row],[Tipo de Tarea y especialidad]],#REF!,Planning[[#This Row],[Proyectos]]))</f>
        <v>#REF!</v>
      </c>
      <c r="K5733" s="5" t="e">
        <f>+Planning[[#This Row],[Horas Planificadas]]+Planning[[#This Row],[Horas ajustadas adicionales]]-Planning[[#This Row],[Horas utilizadas]]</f>
        <v>#REF!</v>
      </c>
      <c r="L5733" s="7">
        <v>261</v>
      </c>
      <c r="M5733" s="19" t="e">
        <f>Planning[[#This Row],[Saldo]]-Planning[[#This Row],[Saldo estimado]]</f>
        <v>#REF!</v>
      </c>
      <c r="N5733" s="60" t="e">
        <f>+SUMIFS(#REF!,#REF!,Planning[[#This Row],[Proyectos]],#REF!,Planning[[#This Row],[Tipo de Tarea y especialidad]])+SUMIFS(#REF!,#REF!,Planning[[#This Row],[Proyectos Reiwa]],#REF!,Planning[[#This Row],[Tipo de Tarea y especialidad]])</f>
        <v>#REF!</v>
      </c>
      <c r="O5733" s="19">
        <f t="shared" si="179"/>
        <v>10</v>
      </c>
      <c r="P5733" s="19">
        <f t="shared" si="180"/>
        <v>2024</v>
      </c>
      <c r="Q57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33" s="49" t="str">
        <f>TEXT(Planning[[#This Row],[Mes]]*29,"mmmm")</f>
        <v>October</v>
      </c>
      <c r="S573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33" s="152"/>
    </row>
    <row r="5734" spans="1:23" x14ac:dyDescent="0.2">
      <c r="A5734" s="9" t="s">
        <v>204</v>
      </c>
      <c r="B5734" s="9" t="s">
        <v>288</v>
      </c>
      <c r="C5734" s="3">
        <v>116977</v>
      </c>
      <c r="D5734" s="3" t="s">
        <v>1002</v>
      </c>
      <c r="E5734" s="4" t="s">
        <v>30</v>
      </c>
      <c r="F5734" s="3"/>
      <c r="G5734" s="9"/>
      <c r="H5734" s="14">
        <f>SUM(H5735:H5741)</f>
        <v>817</v>
      </c>
      <c r="I5734" s="14"/>
      <c r="J5734" s="14" t="e">
        <f>SUM(J5735:J5741)</f>
        <v>#REF!</v>
      </c>
      <c r="K5734" s="14" t="e">
        <f>+Planning[[#This Row],[Horas Planificadas]]+Planning[[#This Row],[Horas ajustadas adicionales]]-Planning[[#This Row],[Horas utilizadas]]</f>
        <v>#REF!</v>
      </c>
      <c r="L5734" s="15">
        <f>SUM(L5735:L5741)</f>
        <v>793</v>
      </c>
      <c r="M5734" s="16" t="e">
        <f>SUM(M5735:M5741)</f>
        <v>#REF!</v>
      </c>
      <c r="N5734" s="60" t="e">
        <f>+SUMIFS(#REF!,#REF!,Planning[[#This Row],[Proyectos]],#REF!,Planning[[#This Row],[Tipo de Tarea y especialidad]])+SUMIFS(#REF!,#REF!,Planning[[#This Row],[Proyectos Reiwa]],#REF!,Planning[[#This Row],[Tipo de Tarea y especialidad]])</f>
        <v>#REF!</v>
      </c>
      <c r="O5734" s="16">
        <f t="shared" si="179"/>
        <v>10</v>
      </c>
      <c r="P5734" s="16">
        <f t="shared" si="180"/>
        <v>2024</v>
      </c>
      <c r="Q5734" s="16" t="e">
        <f>SUM(Q5735:Q5741)</f>
        <v>#REF!</v>
      </c>
      <c r="R5734" s="50" t="str">
        <f>TEXT(Planning[[#This Row],[Mes]]*29,"mmmm")</f>
        <v>October</v>
      </c>
      <c r="S573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34" s="152"/>
    </row>
    <row r="5735" spans="1:23" x14ac:dyDescent="0.2">
      <c r="A5735" s="9" t="s">
        <v>204</v>
      </c>
      <c r="B5735" s="9" t="s">
        <v>288</v>
      </c>
      <c r="C5735" s="3">
        <v>116977</v>
      </c>
      <c r="D5735" s="3" t="s">
        <v>1002</v>
      </c>
      <c r="E5735" s="4"/>
      <c r="F5735" s="3" t="s">
        <v>122</v>
      </c>
      <c r="G5735" s="9"/>
      <c r="H5735" s="9"/>
      <c r="I5735" s="12"/>
      <c r="J5735" s="5" t="e">
        <f>SUM(SUMIFS(#REF!,#REF!,Planning[[#This Row],[Tipo de Tarea y especialidad]],#REF!,Planning[[#This Row],[Proyectos Reiwa]]),SUMIFS(#REF!,#REF!,Planning[[#This Row],[Tipo de Tarea y especialidad]],#REF!,Planning[[#This Row],[Proyectos]]))</f>
        <v>#REF!</v>
      </c>
      <c r="K5735" s="5" t="e">
        <f>+Planning[[#This Row],[Horas Planificadas]]+Planning[[#This Row],[Horas ajustadas adicionales]]-Planning[[#This Row],[Horas utilizadas]]</f>
        <v>#REF!</v>
      </c>
      <c r="L5735" s="7">
        <v>0</v>
      </c>
      <c r="M5735" s="19" t="e">
        <f>Planning[[#This Row],[Saldo]]-Planning[[#This Row],[Saldo estimado]]</f>
        <v>#REF!</v>
      </c>
      <c r="N5735" s="60" t="e">
        <f>+SUMIFS(#REF!,#REF!,Planning[[#This Row],[Proyectos]],#REF!,Planning[[#This Row],[Tipo de Tarea y especialidad]])+SUMIFS(#REF!,#REF!,Planning[[#This Row],[Proyectos Reiwa]],#REF!,Planning[[#This Row],[Tipo de Tarea y especialidad]])</f>
        <v>#REF!</v>
      </c>
      <c r="O5735" s="19">
        <f t="shared" si="179"/>
        <v>10</v>
      </c>
      <c r="P5735" s="19">
        <f t="shared" si="180"/>
        <v>2024</v>
      </c>
      <c r="Q57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35" s="49" t="str">
        <f>TEXT(Planning[[#This Row],[Mes]]*29,"mmmm")</f>
        <v>October</v>
      </c>
      <c r="S573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35" s="152"/>
    </row>
    <row r="5736" spans="1:23" x14ac:dyDescent="0.2">
      <c r="A5736" s="9" t="s">
        <v>204</v>
      </c>
      <c r="B5736" s="9" t="s">
        <v>288</v>
      </c>
      <c r="C5736" s="3">
        <v>116977</v>
      </c>
      <c r="D5736" s="3" t="s">
        <v>1002</v>
      </c>
      <c r="E5736" s="4"/>
      <c r="F5736" s="3" t="s">
        <v>123</v>
      </c>
      <c r="G5736" s="9">
        <v>208</v>
      </c>
      <c r="H5736" s="9">
        <v>208</v>
      </c>
      <c r="I5736" s="12"/>
      <c r="J5736" s="5" t="e">
        <f>SUM(SUMIFS(#REF!,#REF!,Planning[[#This Row],[Tipo de Tarea y especialidad]],#REF!,Planning[[#This Row],[Proyectos Reiwa]]),SUMIFS(#REF!,#REF!,Planning[[#This Row],[Tipo de Tarea y especialidad]],#REF!,Planning[[#This Row],[Proyectos]]))</f>
        <v>#REF!</v>
      </c>
      <c r="K5736" s="5" t="e">
        <f>+Planning[[#This Row],[Horas Planificadas]]+Planning[[#This Row],[Horas ajustadas adicionales]]-Planning[[#This Row],[Horas utilizadas]]</f>
        <v>#REF!</v>
      </c>
      <c r="L5736" s="7">
        <v>202</v>
      </c>
      <c r="M5736" s="19" t="e">
        <f>Planning[[#This Row],[Saldo]]-Planning[[#This Row],[Saldo estimado]]</f>
        <v>#REF!</v>
      </c>
      <c r="N5736" s="60" t="e">
        <f>+SUMIFS(#REF!,#REF!,Planning[[#This Row],[Proyectos]],#REF!,Planning[[#This Row],[Tipo de Tarea y especialidad]])+SUMIFS(#REF!,#REF!,Planning[[#This Row],[Proyectos Reiwa]],#REF!,Planning[[#This Row],[Tipo de Tarea y especialidad]])</f>
        <v>#REF!</v>
      </c>
      <c r="O5736" s="19">
        <f t="shared" si="179"/>
        <v>10</v>
      </c>
      <c r="P5736" s="19">
        <f t="shared" si="180"/>
        <v>2024</v>
      </c>
      <c r="Q57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36" s="49" t="str">
        <f>TEXT(Planning[[#This Row],[Mes]]*29,"mmmm")</f>
        <v>October</v>
      </c>
      <c r="S573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36" s="152"/>
    </row>
    <row r="5737" spans="1:23" x14ac:dyDescent="0.2">
      <c r="A5737" s="9" t="s">
        <v>204</v>
      </c>
      <c r="B5737" s="9" t="s">
        <v>288</v>
      </c>
      <c r="C5737" s="3">
        <v>116977</v>
      </c>
      <c r="D5737" s="3" t="s">
        <v>1002</v>
      </c>
      <c r="E5737" s="4"/>
      <c r="F5737" s="3" t="s">
        <v>124</v>
      </c>
      <c r="G5737" s="9">
        <v>330</v>
      </c>
      <c r="H5737" s="9">
        <v>330</v>
      </c>
      <c r="I5737" s="12"/>
      <c r="J5737" s="5" t="e">
        <f>SUM(SUMIFS(#REF!,#REF!,Planning[[#This Row],[Tipo de Tarea y especialidad]],#REF!,Planning[[#This Row],[Proyectos Reiwa]]),SUMIFS(#REF!,#REF!,Planning[[#This Row],[Tipo de Tarea y especialidad]],#REF!,Planning[[#This Row],[Proyectos]]))</f>
        <v>#REF!</v>
      </c>
      <c r="K5737" s="5" t="e">
        <f>+Planning[[#This Row],[Horas Planificadas]]+Planning[[#This Row],[Horas ajustadas adicionales]]-Planning[[#This Row],[Horas utilizadas]]</f>
        <v>#REF!</v>
      </c>
      <c r="L5737" s="7">
        <v>312</v>
      </c>
      <c r="M5737" s="19" t="e">
        <f>Planning[[#This Row],[Saldo]]-Planning[[#This Row],[Saldo estimado]]</f>
        <v>#REF!</v>
      </c>
      <c r="N5737" s="60" t="e">
        <f>+SUMIFS(#REF!,#REF!,Planning[[#This Row],[Proyectos]],#REF!,Planning[[#This Row],[Tipo de Tarea y especialidad]])+SUMIFS(#REF!,#REF!,Planning[[#This Row],[Proyectos Reiwa]],#REF!,Planning[[#This Row],[Tipo de Tarea y especialidad]])</f>
        <v>#REF!</v>
      </c>
      <c r="O5737" s="19">
        <f t="shared" si="179"/>
        <v>10</v>
      </c>
      <c r="P5737" s="19">
        <f t="shared" si="180"/>
        <v>2024</v>
      </c>
      <c r="Q57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37" s="49" t="str">
        <f>TEXT(Planning[[#This Row],[Mes]]*29,"mmmm")</f>
        <v>October</v>
      </c>
      <c r="S573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37" s="152"/>
    </row>
    <row r="5738" spans="1:23" x14ac:dyDescent="0.2">
      <c r="A5738" s="9" t="s">
        <v>204</v>
      </c>
      <c r="B5738" s="9" t="s">
        <v>288</v>
      </c>
      <c r="C5738" s="3">
        <v>116977</v>
      </c>
      <c r="D5738" s="3" t="s">
        <v>1002</v>
      </c>
      <c r="E5738" s="4"/>
      <c r="F5738" s="3" t="s">
        <v>125</v>
      </c>
      <c r="G5738" s="9">
        <v>0</v>
      </c>
      <c r="H5738" s="9">
        <v>0</v>
      </c>
      <c r="I5738" s="12"/>
      <c r="J5738" s="5" t="e">
        <f>SUM(SUMIFS(#REF!,#REF!,Planning[[#This Row],[Tipo de Tarea y especialidad]],#REF!,Planning[[#This Row],[Proyectos Reiwa]]),SUMIFS(#REF!,#REF!,Planning[[#This Row],[Tipo de Tarea y especialidad]],#REF!,Planning[[#This Row],[Proyectos]]))</f>
        <v>#REF!</v>
      </c>
      <c r="K5738" s="5" t="e">
        <f>+Planning[[#This Row],[Horas Planificadas]]+Planning[[#This Row],[Horas ajustadas adicionales]]-Planning[[#This Row],[Horas utilizadas]]</f>
        <v>#REF!</v>
      </c>
      <c r="L5738" s="7">
        <v>0</v>
      </c>
      <c r="M5738" s="19" t="e">
        <f>Planning[[#This Row],[Saldo]]-Planning[[#This Row],[Saldo estimado]]</f>
        <v>#REF!</v>
      </c>
      <c r="N5738" s="60" t="e">
        <f>+SUMIFS(#REF!,#REF!,Planning[[#This Row],[Proyectos]],#REF!,Planning[[#This Row],[Tipo de Tarea y especialidad]])+SUMIFS(#REF!,#REF!,Planning[[#This Row],[Proyectos Reiwa]],#REF!,Planning[[#This Row],[Tipo de Tarea y especialidad]])</f>
        <v>#REF!</v>
      </c>
      <c r="O5738" s="19">
        <f t="shared" si="179"/>
        <v>10</v>
      </c>
      <c r="P5738" s="19">
        <f t="shared" si="180"/>
        <v>2024</v>
      </c>
      <c r="Q57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38" s="49" t="str">
        <f>TEXT(Planning[[#This Row],[Mes]]*29,"mmmm")</f>
        <v>October</v>
      </c>
      <c r="S573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38" s="152"/>
    </row>
    <row r="5739" spans="1:23" x14ac:dyDescent="0.2">
      <c r="A5739" s="9" t="s">
        <v>204</v>
      </c>
      <c r="B5739" s="9" t="s">
        <v>288</v>
      </c>
      <c r="C5739" s="3">
        <v>116977</v>
      </c>
      <c r="D5739" s="3" t="s">
        <v>1002</v>
      </c>
      <c r="E5739" s="4"/>
      <c r="F5739" s="3" t="s">
        <v>126</v>
      </c>
      <c r="G5739" s="9"/>
      <c r="H5739" s="9"/>
      <c r="I5739" s="12"/>
      <c r="J5739" s="5" t="e">
        <f>SUM(SUMIFS(#REF!,#REF!,Planning[[#This Row],[Tipo de Tarea y especialidad]],#REF!,Planning[[#This Row],[Proyectos Reiwa]]),SUMIFS(#REF!,#REF!,Planning[[#This Row],[Tipo de Tarea y especialidad]],#REF!,Planning[[#This Row],[Proyectos]]))</f>
        <v>#REF!</v>
      </c>
      <c r="K5739" s="5" t="e">
        <f>+Planning[[#This Row],[Horas Planificadas]]+Planning[[#This Row],[Horas ajustadas adicionales]]-Planning[[#This Row],[Horas utilizadas]]</f>
        <v>#REF!</v>
      </c>
      <c r="L5739" s="7">
        <v>0</v>
      </c>
      <c r="M5739" s="19" t="e">
        <f>Planning[[#This Row],[Saldo]]-Planning[[#This Row],[Saldo estimado]]</f>
        <v>#REF!</v>
      </c>
      <c r="N5739" s="60" t="e">
        <f>+SUMIFS(#REF!,#REF!,Planning[[#This Row],[Proyectos]],#REF!,Planning[[#This Row],[Tipo de Tarea y especialidad]])+SUMIFS(#REF!,#REF!,Planning[[#This Row],[Proyectos Reiwa]],#REF!,Planning[[#This Row],[Tipo de Tarea y especialidad]])</f>
        <v>#REF!</v>
      </c>
      <c r="O5739" s="19">
        <f t="shared" si="179"/>
        <v>10</v>
      </c>
      <c r="P5739" s="19">
        <f t="shared" si="180"/>
        <v>2024</v>
      </c>
      <c r="Q57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39" s="49" t="str">
        <f>TEXT(Planning[[#This Row],[Mes]]*29,"mmmm")</f>
        <v>October</v>
      </c>
      <c r="S573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39" s="152"/>
    </row>
    <row r="5740" spans="1:23" x14ac:dyDescent="0.2">
      <c r="A5740" s="9" t="s">
        <v>204</v>
      </c>
      <c r="B5740" s="9" t="s">
        <v>288</v>
      </c>
      <c r="C5740" s="3">
        <v>116977</v>
      </c>
      <c r="D5740" s="3" t="s">
        <v>1002</v>
      </c>
      <c r="E5740" s="4"/>
      <c r="F5740" s="3" t="s">
        <v>127</v>
      </c>
      <c r="G5740" s="9">
        <v>90</v>
      </c>
      <c r="H5740" s="9">
        <v>90</v>
      </c>
      <c r="I5740" s="12"/>
      <c r="J5740" s="5" t="e">
        <f>SUM(SUMIFS(#REF!,#REF!,Planning[[#This Row],[Tipo de Tarea y especialidad]],#REF!,Planning[[#This Row],[Proyectos Reiwa]]),SUMIFS(#REF!,#REF!,Planning[[#This Row],[Tipo de Tarea y especialidad]],#REF!,Planning[[#This Row],[Proyectos]]))</f>
        <v>#REF!</v>
      </c>
      <c r="K5740" s="5" t="e">
        <f>+Planning[[#This Row],[Horas Planificadas]]+Planning[[#This Row],[Horas ajustadas adicionales]]-Planning[[#This Row],[Horas utilizadas]]</f>
        <v>#REF!</v>
      </c>
      <c r="L5740" s="7">
        <v>90</v>
      </c>
      <c r="M5740" s="19" t="e">
        <f>Planning[[#This Row],[Saldo]]-Planning[[#This Row],[Saldo estimado]]</f>
        <v>#REF!</v>
      </c>
      <c r="N5740" s="60" t="e">
        <f>+SUMIFS(#REF!,#REF!,Planning[[#This Row],[Proyectos]],#REF!,Planning[[#This Row],[Tipo de Tarea y especialidad]])+SUMIFS(#REF!,#REF!,Planning[[#This Row],[Proyectos Reiwa]],#REF!,Planning[[#This Row],[Tipo de Tarea y especialidad]])</f>
        <v>#REF!</v>
      </c>
      <c r="O5740" s="19">
        <f t="shared" si="179"/>
        <v>10</v>
      </c>
      <c r="P5740" s="19">
        <f t="shared" si="180"/>
        <v>2024</v>
      </c>
      <c r="Q57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40" s="49" t="str">
        <f>TEXT(Planning[[#This Row],[Mes]]*29,"mmmm")</f>
        <v>October</v>
      </c>
      <c r="S574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40" s="152"/>
    </row>
    <row r="5741" spans="1:23" x14ac:dyDescent="0.2">
      <c r="A5741" s="9" t="s">
        <v>204</v>
      </c>
      <c r="B5741" s="9" t="s">
        <v>288</v>
      </c>
      <c r="C5741" s="3">
        <v>116977</v>
      </c>
      <c r="D5741" s="3" t="s">
        <v>1002</v>
      </c>
      <c r="E5741" s="4"/>
      <c r="F5741" s="3" t="s">
        <v>128</v>
      </c>
      <c r="G5741" s="9">
        <v>189</v>
      </c>
      <c r="H5741" s="9">
        <v>189</v>
      </c>
      <c r="I5741" s="12"/>
      <c r="J5741" s="5" t="e">
        <f>SUM(SUMIFS(#REF!,#REF!,Planning[[#This Row],[Tipo de Tarea y especialidad]],#REF!,Planning[[#This Row],[Proyectos Reiwa]]),SUMIFS(#REF!,#REF!,Planning[[#This Row],[Tipo de Tarea y especialidad]],#REF!,Planning[[#This Row],[Proyectos]]))</f>
        <v>#REF!</v>
      </c>
      <c r="K5741" s="5" t="e">
        <f>+Planning[[#This Row],[Horas Planificadas]]+Planning[[#This Row],[Horas ajustadas adicionales]]-Planning[[#This Row],[Horas utilizadas]]</f>
        <v>#REF!</v>
      </c>
      <c r="L5741" s="7">
        <v>189</v>
      </c>
      <c r="M5741" s="19" t="e">
        <f>Planning[[#This Row],[Saldo]]-Planning[[#This Row],[Saldo estimado]]</f>
        <v>#REF!</v>
      </c>
      <c r="N5741" s="60" t="e">
        <f>+SUMIFS(#REF!,#REF!,Planning[[#This Row],[Proyectos]],#REF!,Planning[[#This Row],[Tipo de Tarea y especialidad]])+SUMIFS(#REF!,#REF!,Planning[[#This Row],[Proyectos Reiwa]],#REF!,Planning[[#This Row],[Tipo de Tarea y especialidad]])</f>
        <v>#REF!</v>
      </c>
      <c r="O5741" s="19">
        <f t="shared" si="179"/>
        <v>10</v>
      </c>
      <c r="P5741" s="19">
        <f t="shared" si="180"/>
        <v>2024</v>
      </c>
      <c r="Q57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41" s="49" t="str">
        <f>TEXT(Planning[[#This Row],[Mes]]*29,"mmmm")</f>
        <v>October</v>
      </c>
      <c r="S574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41" s="152"/>
    </row>
    <row r="5742" spans="1:23" x14ac:dyDescent="0.2">
      <c r="A5742" s="9" t="s">
        <v>204</v>
      </c>
      <c r="B5742" s="9" t="s">
        <v>288</v>
      </c>
      <c r="C5742" s="3">
        <v>116977</v>
      </c>
      <c r="D5742" s="3" t="s">
        <v>1002</v>
      </c>
      <c r="E5742" s="4" t="s">
        <v>31</v>
      </c>
      <c r="F5742" s="3" t="s">
        <v>31</v>
      </c>
      <c r="G5742" s="9"/>
      <c r="H5742" s="17"/>
      <c r="I5742" s="18"/>
      <c r="J5742" s="14" t="e">
        <f>+SUMIFS(#REF!,#REF!,Planning[[#This Row],[Tarifa]],#REF!,Planning[[#This Row],[Proyectos]])</f>
        <v>#REF!</v>
      </c>
      <c r="K5742" s="14" t="e">
        <f>+Planning[[#This Row],[Horas Planificadas]]+Planning[[#This Row],[Horas ajustadas adicionales]]-Planning[[#This Row],[Horas utilizadas]]</f>
        <v>#REF!</v>
      </c>
      <c r="L5742" s="15" t="e">
        <f>Planning[[#This Row],[Saldo]]</f>
        <v>#REF!</v>
      </c>
      <c r="M5742" s="16" t="e">
        <f>Planning[[#This Row],[Saldo]]-Planning[[#This Row],[Saldo estimado]]</f>
        <v>#REF!</v>
      </c>
      <c r="N5742" s="60" t="e">
        <f>+SUMIFS(#REF!,#REF!,Planning[[#This Row],[Proyectos]],#REF!,Planning[[#This Row],[Tipo de Tarea y especialidad]])+SUMIFS(#REF!,#REF!,Planning[[#This Row],[Proyectos Reiwa]],#REF!,Planning[[#This Row],[Tipo de Tarea y especialidad]])</f>
        <v>#REF!</v>
      </c>
      <c r="O5742" s="16">
        <f t="shared" si="179"/>
        <v>10</v>
      </c>
      <c r="P5742" s="16">
        <f t="shared" si="180"/>
        <v>2024</v>
      </c>
      <c r="Q5742" s="16" t="e">
        <f>+SUMIFS(#REF!,#REF!,Planning[[#This Row],[Tarifa]],#REF!,Planning[[#This Row],[Proyectos]],#REF!,Planning[[#This Row],[Mes]],#REF!,Planning[[#This Row],[Año]])</f>
        <v>#REF!</v>
      </c>
      <c r="R5742" s="50" t="str">
        <f>TEXT(Planning[[#This Row],[Mes]]*29,"mmmm")</f>
        <v>October</v>
      </c>
      <c r="S574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42" s="152"/>
    </row>
    <row r="5743" spans="1:23" ht="22.5" x14ac:dyDescent="0.2">
      <c r="A5743" s="9" t="s">
        <v>204</v>
      </c>
      <c r="B5743" s="9" t="s">
        <v>288</v>
      </c>
      <c r="C5743" s="3">
        <v>116977</v>
      </c>
      <c r="D5743" s="3" t="s">
        <v>1002</v>
      </c>
      <c r="E5743" s="4" t="s">
        <v>32</v>
      </c>
      <c r="F5743" s="3"/>
      <c r="G5743" s="9"/>
      <c r="H5743" s="14">
        <f>SUM(H5744:H5746)</f>
        <v>530</v>
      </c>
      <c r="I5743" s="14"/>
      <c r="J5743" s="14" t="e">
        <f>SUM(J5744:J5746)</f>
        <v>#REF!</v>
      </c>
      <c r="K5743" s="14" t="e">
        <f>+Planning[[#This Row],[Horas Planificadas]]+Planning[[#This Row],[Horas ajustadas adicionales]]-Planning[[#This Row],[Horas utilizadas]]</f>
        <v>#REF!</v>
      </c>
      <c r="L5743" s="15">
        <f>SUM(L5744:L5746)</f>
        <v>530</v>
      </c>
      <c r="M5743" s="16" t="e">
        <f>SUM(M5744:M5746)</f>
        <v>#REF!</v>
      </c>
      <c r="N5743" s="60" t="e">
        <f>+SUMIFS(#REF!,#REF!,Planning[[#This Row],[Proyectos]],#REF!,Planning[[#This Row],[Tipo de Tarea y especialidad]])+SUMIFS(#REF!,#REF!,Planning[[#This Row],[Proyectos Reiwa]],#REF!,Planning[[#This Row],[Tipo de Tarea y especialidad]])</f>
        <v>#REF!</v>
      </c>
      <c r="O5743" s="16">
        <f t="shared" si="179"/>
        <v>10</v>
      </c>
      <c r="P5743" s="16">
        <f t="shared" si="180"/>
        <v>2024</v>
      </c>
      <c r="Q5743" s="16" t="e">
        <f>SUM(Q5744:Q5746)</f>
        <v>#REF!</v>
      </c>
      <c r="R5743" s="50" t="str">
        <f>TEXT(Planning[[#This Row],[Mes]]*29,"mmmm")</f>
        <v>October</v>
      </c>
      <c r="S574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43" s="152"/>
    </row>
    <row r="5744" spans="1:23" x14ac:dyDescent="0.2">
      <c r="A5744" s="9" t="s">
        <v>204</v>
      </c>
      <c r="B5744" s="9" t="s">
        <v>288</v>
      </c>
      <c r="C5744" s="3">
        <v>116977</v>
      </c>
      <c r="D5744" s="3" t="s">
        <v>1002</v>
      </c>
      <c r="E5744" s="4"/>
      <c r="F5744" s="3" t="s">
        <v>129</v>
      </c>
      <c r="G5744" s="9"/>
      <c r="H5744" s="9"/>
      <c r="I5744" s="12"/>
      <c r="J5744" s="5" t="e">
        <f>SUM(SUMIFS(#REF!,#REF!,Planning[[#This Row],[Tipo de Tarea y especialidad]],#REF!,Planning[[#This Row],[Proyectos Reiwa]]),SUMIFS(#REF!,#REF!,Planning[[#This Row],[Tipo de Tarea y especialidad]],#REF!,Planning[[#This Row],[Proyectos]]))</f>
        <v>#REF!</v>
      </c>
      <c r="K5744" s="5" t="e">
        <f>+Planning[[#This Row],[Horas Planificadas]]+Planning[[#This Row],[Horas ajustadas adicionales]]-Planning[[#This Row],[Horas utilizadas]]</f>
        <v>#REF!</v>
      </c>
      <c r="L5744" s="7">
        <v>0</v>
      </c>
      <c r="M5744" s="19" t="e">
        <f>Planning[[#This Row],[Saldo]]-Planning[[#This Row],[Saldo estimado]]</f>
        <v>#REF!</v>
      </c>
      <c r="N5744" s="60" t="e">
        <f>+SUMIFS(#REF!,#REF!,Planning[[#This Row],[Proyectos]],#REF!,Planning[[#This Row],[Tipo de Tarea y especialidad]])+SUMIFS(#REF!,#REF!,Planning[[#This Row],[Proyectos Reiwa]],#REF!,Planning[[#This Row],[Tipo de Tarea y especialidad]])</f>
        <v>#REF!</v>
      </c>
      <c r="O5744" s="19">
        <f t="shared" si="179"/>
        <v>10</v>
      </c>
      <c r="P5744" s="19">
        <f t="shared" si="180"/>
        <v>2024</v>
      </c>
      <c r="Q57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44" s="49" t="str">
        <f>TEXT(Planning[[#This Row],[Mes]]*29,"mmmm")</f>
        <v>October</v>
      </c>
      <c r="S574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44" s="152"/>
    </row>
    <row r="5745" spans="1:23" x14ac:dyDescent="0.2">
      <c r="A5745" s="9" t="s">
        <v>204</v>
      </c>
      <c r="B5745" s="9" t="s">
        <v>288</v>
      </c>
      <c r="C5745" s="3">
        <v>116977</v>
      </c>
      <c r="D5745" s="3" t="s">
        <v>1002</v>
      </c>
      <c r="E5745" s="4"/>
      <c r="F5745" s="3" t="s">
        <v>130</v>
      </c>
      <c r="G5745" s="9">
        <v>250</v>
      </c>
      <c r="H5745" s="9">
        <v>250</v>
      </c>
      <c r="I5745" s="12"/>
      <c r="J5745" s="5" t="e">
        <f>SUM(SUMIFS(#REF!,#REF!,Planning[[#This Row],[Tipo de Tarea y especialidad]],#REF!,Planning[[#This Row],[Proyectos Reiwa]]),SUMIFS(#REF!,#REF!,Planning[[#This Row],[Tipo de Tarea y especialidad]],#REF!,Planning[[#This Row],[Proyectos]]))</f>
        <v>#REF!</v>
      </c>
      <c r="K5745" s="5" t="e">
        <f>+Planning[[#This Row],[Horas Planificadas]]+Planning[[#This Row],[Horas ajustadas adicionales]]-Planning[[#This Row],[Horas utilizadas]]</f>
        <v>#REF!</v>
      </c>
      <c r="L5745" s="7">
        <v>250</v>
      </c>
      <c r="M5745" s="19" t="e">
        <f>Planning[[#This Row],[Saldo]]-Planning[[#This Row],[Saldo estimado]]</f>
        <v>#REF!</v>
      </c>
      <c r="N5745" s="60" t="e">
        <f>+SUMIFS(#REF!,#REF!,Planning[[#This Row],[Proyectos]],#REF!,Planning[[#This Row],[Tipo de Tarea y especialidad]])+SUMIFS(#REF!,#REF!,Planning[[#This Row],[Proyectos Reiwa]],#REF!,Planning[[#This Row],[Tipo de Tarea y especialidad]])</f>
        <v>#REF!</v>
      </c>
      <c r="O5745" s="19">
        <f t="shared" si="179"/>
        <v>10</v>
      </c>
      <c r="P5745" s="19">
        <f t="shared" si="180"/>
        <v>2024</v>
      </c>
      <c r="Q57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45" s="49" t="str">
        <f>TEXT(Planning[[#This Row],[Mes]]*29,"mmmm")</f>
        <v>October</v>
      </c>
      <c r="S574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45" s="152"/>
    </row>
    <row r="5746" spans="1:23" ht="14.1" customHeight="1" x14ac:dyDescent="0.2">
      <c r="A5746" s="9" t="s">
        <v>204</v>
      </c>
      <c r="B5746" s="9" t="s">
        <v>288</v>
      </c>
      <c r="C5746" s="3">
        <v>116977</v>
      </c>
      <c r="D5746" s="3" t="s">
        <v>1002</v>
      </c>
      <c r="E5746" s="4"/>
      <c r="F5746" s="3" t="s">
        <v>131</v>
      </c>
      <c r="G5746" s="9">
        <v>280</v>
      </c>
      <c r="H5746" s="9">
        <v>280</v>
      </c>
      <c r="I5746" s="12"/>
      <c r="J5746" s="5" t="e">
        <f>SUM(SUMIFS(#REF!,#REF!,Planning[[#This Row],[Tipo de Tarea y especialidad]],#REF!,Planning[[#This Row],[Proyectos Reiwa]]),SUMIFS(#REF!,#REF!,Planning[[#This Row],[Tipo de Tarea y especialidad]],#REF!,Planning[[#This Row],[Proyectos]]))</f>
        <v>#REF!</v>
      </c>
      <c r="K5746" s="5" t="e">
        <f>+Planning[[#This Row],[Horas Planificadas]]+Planning[[#This Row],[Horas ajustadas adicionales]]-Planning[[#This Row],[Horas utilizadas]]</f>
        <v>#REF!</v>
      </c>
      <c r="L5746" s="7">
        <v>280</v>
      </c>
      <c r="M5746" s="19" t="e">
        <f>Planning[[#This Row],[Saldo]]-Planning[[#This Row],[Saldo estimado]]</f>
        <v>#REF!</v>
      </c>
      <c r="N5746" s="60" t="e">
        <f>+SUMIFS(#REF!,#REF!,Planning[[#This Row],[Proyectos]],#REF!,Planning[[#This Row],[Tipo de Tarea y especialidad]])+SUMIFS(#REF!,#REF!,Planning[[#This Row],[Proyectos Reiwa]],#REF!,Planning[[#This Row],[Tipo de Tarea y especialidad]])</f>
        <v>#REF!</v>
      </c>
      <c r="O5746" s="19">
        <f t="shared" si="179"/>
        <v>10</v>
      </c>
      <c r="P5746" s="19">
        <f t="shared" si="180"/>
        <v>2024</v>
      </c>
      <c r="Q57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46" s="51" t="str">
        <f>TEXT(Planning[[#This Row],[Mes]]*29,"mmmm")</f>
        <v>October</v>
      </c>
      <c r="S5746"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46" s="153"/>
    </row>
    <row r="5747" spans="1:23" ht="13.35" customHeight="1" x14ac:dyDescent="0.2">
      <c r="A5747" s="9" t="s">
        <v>483</v>
      </c>
      <c r="B5747" s="9" t="s">
        <v>685</v>
      </c>
      <c r="C5747" s="3">
        <v>117057</v>
      </c>
      <c r="D5747" s="3" t="s">
        <v>1004</v>
      </c>
      <c r="E5747" s="4" t="s">
        <v>28</v>
      </c>
      <c r="F5747" s="3"/>
      <c r="G5747" s="9">
        <f>+G5748+G5749</f>
        <v>290</v>
      </c>
      <c r="H5747" s="14">
        <f>SUM(H5748:H5749)</f>
        <v>290</v>
      </c>
      <c r="I5747" s="14"/>
      <c r="J5747" s="14" t="e">
        <f>SUM(J5748:J5749)</f>
        <v>#REF!</v>
      </c>
      <c r="K5747" s="14" t="e">
        <f>+Planning[[#This Row],[Horas Planificadas]]+Planning[[#This Row],[Horas ajustadas adicionales]]-Planning[[#This Row],[Horas utilizadas]]</f>
        <v>#REF!</v>
      </c>
      <c r="L5747" s="15" t="e">
        <f>SUM(L5748:L5749)</f>
        <v>#REF!</v>
      </c>
      <c r="M5747" s="14" t="e">
        <f>SUM(M5748:M5749)</f>
        <v>#REF!</v>
      </c>
      <c r="N5747" s="60" t="e">
        <f>+SUMIFS(#REF!,#REF!,Planning[[#This Row],[Proyectos]],#REF!,Planning[[#This Row],[Tipo de Tarea y especialidad]])+SUMIFS(#REF!,#REF!,Planning[[#This Row],[Proyectos Reiwa]],#REF!,Planning[[#This Row],[Tipo de Tarea y especialidad]])</f>
        <v>#REF!</v>
      </c>
      <c r="O5747" s="14">
        <f t="shared" ref="O5747:O5810" si="181">$L$4</f>
        <v>10</v>
      </c>
      <c r="P5747" s="14">
        <f t="shared" ref="P5747:P5810" si="182">$M$4</f>
        <v>2024</v>
      </c>
      <c r="Q5747" s="28" t="e">
        <f>SUM(Q5748:Q5749)</f>
        <v>#REF!</v>
      </c>
      <c r="R5747" s="24" t="str">
        <f>TEXT(Planning[[#This Row],[Mes]]*29,"mmmm")</f>
        <v>October</v>
      </c>
      <c r="S574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47" s="161" t="s">
        <v>1005</v>
      </c>
      <c r="U5747" s="93"/>
      <c r="V5747" s="93"/>
      <c r="W5747" s="94"/>
    </row>
    <row r="5748" spans="1:23" ht="13.35" customHeight="1" x14ac:dyDescent="0.2">
      <c r="A5748" s="9" t="s">
        <v>483</v>
      </c>
      <c r="B5748" s="9" t="s">
        <v>685</v>
      </c>
      <c r="C5748" s="3">
        <v>117057</v>
      </c>
      <c r="D5748" s="3" t="s">
        <v>1004</v>
      </c>
      <c r="E5748" s="4"/>
      <c r="F5748" s="3" t="s">
        <v>120</v>
      </c>
      <c r="G5748" s="9">
        <v>290</v>
      </c>
      <c r="H5748" s="9">
        <v>290</v>
      </c>
      <c r="I5748" s="12"/>
      <c r="J5748" s="5" t="e">
        <f>SUM(SUMIFS(#REF!,#REF!,Planning[[#This Row],[Tipo de Tarea y especialidad]],#REF!,Planning[[#This Row],[Proyectos Reiwa]]),SUMIFS(#REF!,#REF!,Planning[[#This Row],[Tipo de Tarea y especialidad]],#REF!,Planning[[#This Row],[Proyectos]]))</f>
        <v>#REF!</v>
      </c>
      <c r="K5748" s="5" t="e">
        <f>+Planning[[#This Row],[Horas Planificadas]]+Planning[[#This Row],[Horas ajustadas adicionales]]-Planning[[#This Row],[Horas utilizadas]]</f>
        <v>#REF!</v>
      </c>
      <c r="L5748" s="7" t="e">
        <f>Planning[[#This Row],[Saldo]]</f>
        <v>#REF!</v>
      </c>
      <c r="M5748" s="19" t="e">
        <f>Planning[[#This Row],[Saldo]]-Planning[[#This Row],[Saldo estimado]]</f>
        <v>#REF!</v>
      </c>
      <c r="N5748" s="60" t="e">
        <f>+SUMIFS(#REF!,#REF!,Planning[[#This Row],[Proyectos]],#REF!,Planning[[#This Row],[Tipo de Tarea y especialidad]])+SUMIFS(#REF!,#REF!,Planning[[#This Row],[Proyectos Reiwa]],#REF!,Planning[[#This Row],[Tipo de Tarea y especialidad]])</f>
        <v>#REF!</v>
      </c>
      <c r="O5748" s="19">
        <f t="shared" si="181"/>
        <v>10</v>
      </c>
      <c r="P5748" s="19">
        <f t="shared" si="182"/>
        <v>2024</v>
      </c>
      <c r="Q57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48" s="49" t="str">
        <f>TEXT(Planning[[#This Row],[Mes]]*29,"mmmm")</f>
        <v>October</v>
      </c>
      <c r="S574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48" s="156"/>
      <c r="U5748" s="93"/>
      <c r="V5748" s="93"/>
      <c r="W5748" s="94"/>
    </row>
    <row r="5749" spans="1:23" ht="13.35" customHeight="1" x14ac:dyDescent="0.2">
      <c r="A5749" s="9" t="s">
        <v>483</v>
      </c>
      <c r="B5749" s="9" t="s">
        <v>685</v>
      </c>
      <c r="C5749" s="3">
        <v>117057</v>
      </c>
      <c r="D5749" s="3" t="s">
        <v>1004</v>
      </c>
      <c r="E5749" s="4"/>
      <c r="F5749" s="3" t="s">
        <v>121</v>
      </c>
      <c r="G5749" s="9">
        <v>0</v>
      </c>
      <c r="H5749" s="9">
        <v>0</v>
      </c>
      <c r="I5749" s="12"/>
      <c r="J5749" s="5" t="e">
        <f>SUM(SUMIFS(#REF!,#REF!,Planning[[#This Row],[Tipo de Tarea y especialidad]],#REF!,Planning[[#This Row],[Proyectos Reiwa]]),SUMIFS(#REF!,#REF!,Planning[[#This Row],[Tipo de Tarea y especialidad]],#REF!,Planning[[#This Row],[Proyectos]]))</f>
        <v>#REF!</v>
      </c>
      <c r="K5749" s="5" t="e">
        <f>+Planning[[#This Row],[Horas Planificadas]]+Planning[[#This Row],[Horas ajustadas adicionales]]-Planning[[#This Row],[Horas utilizadas]]</f>
        <v>#REF!</v>
      </c>
      <c r="L5749" s="7">
        <v>117</v>
      </c>
      <c r="M5749" s="19" t="e">
        <f>Planning[[#This Row],[Saldo]]-Planning[[#This Row],[Saldo estimado]]</f>
        <v>#REF!</v>
      </c>
      <c r="N5749" s="60" t="e">
        <f>+SUMIFS(#REF!,#REF!,Planning[[#This Row],[Proyectos]],#REF!,Planning[[#This Row],[Tipo de Tarea y especialidad]])+SUMIFS(#REF!,#REF!,Planning[[#This Row],[Proyectos Reiwa]],#REF!,Planning[[#This Row],[Tipo de Tarea y especialidad]])</f>
        <v>#REF!</v>
      </c>
      <c r="O5749" s="19">
        <f t="shared" si="181"/>
        <v>10</v>
      </c>
      <c r="P5749" s="19">
        <f t="shared" si="182"/>
        <v>2024</v>
      </c>
      <c r="Q57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49" s="49" t="str">
        <f>TEXT(Planning[[#This Row],[Mes]]*29,"mmmm")</f>
        <v>October</v>
      </c>
      <c r="S574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49" s="156"/>
      <c r="U5749" s="93"/>
      <c r="V5749" s="93"/>
      <c r="W5749" s="94"/>
    </row>
    <row r="5750" spans="1:23" ht="13.35" customHeight="1" x14ac:dyDescent="0.2">
      <c r="A5750" s="9" t="s">
        <v>483</v>
      </c>
      <c r="B5750" s="9" t="s">
        <v>685</v>
      </c>
      <c r="C5750" s="3">
        <v>117057</v>
      </c>
      <c r="D5750" s="3" t="s">
        <v>1004</v>
      </c>
      <c r="E5750" s="4" t="s">
        <v>30</v>
      </c>
      <c r="F5750" s="3"/>
      <c r="G5750" s="9">
        <f>G5751+G5752+G5753+G5754+G5755+G5756+G5757</f>
        <v>578</v>
      </c>
      <c r="H5750" s="14">
        <f>SUM(H5751:H5757)</f>
        <v>578</v>
      </c>
      <c r="I5750" s="14"/>
      <c r="J5750" s="14" t="e">
        <f>SUM(J5751:J5757)</f>
        <v>#REF!</v>
      </c>
      <c r="K5750" s="14" t="e">
        <f>+Planning[[#This Row],[Horas Planificadas]]+Planning[[#This Row],[Horas ajustadas adicionales]]-Planning[[#This Row],[Horas utilizadas]]</f>
        <v>#REF!</v>
      </c>
      <c r="L5750" s="15" t="e">
        <f>SUM(L5751:L5757)</f>
        <v>#REF!</v>
      </c>
      <c r="M5750" s="16" t="e">
        <f>SUM(M5751:M5757)</f>
        <v>#REF!</v>
      </c>
      <c r="N5750" s="60" t="e">
        <f>+SUMIFS(#REF!,#REF!,Planning[[#This Row],[Proyectos]],#REF!,Planning[[#This Row],[Tipo de Tarea y especialidad]])+SUMIFS(#REF!,#REF!,Planning[[#This Row],[Proyectos Reiwa]],#REF!,Planning[[#This Row],[Tipo de Tarea y especialidad]])</f>
        <v>#REF!</v>
      </c>
      <c r="O5750" s="16">
        <f t="shared" si="181"/>
        <v>10</v>
      </c>
      <c r="P5750" s="16">
        <f t="shared" si="182"/>
        <v>2024</v>
      </c>
      <c r="Q5750" s="16" t="e">
        <f>SUM(Q5751:Q5757)</f>
        <v>#REF!</v>
      </c>
      <c r="R5750" s="50" t="str">
        <f>TEXT(Planning[[#This Row],[Mes]]*29,"mmmm")</f>
        <v>October</v>
      </c>
      <c r="S575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50" s="156"/>
      <c r="U5750" s="93"/>
      <c r="V5750" s="93"/>
      <c r="W5750" s="94"/>
    </row>
    <row r="5751" spans="1:23" ht="13.35" customHeight="1" x14ac:dyDescent="0.2">
      <c r="A5751" s="9" t="s">
        <v>483</v>
      </c>
      <c r="B5751" s="9" t="s">
        <v>685</v>
      </c>
      <c r="C5751" s="3">
        <v>117057</v>
      </c>
      <c r="D5751" s="3" t="s">
        <v>1004</v>
      </c>
      <c r="E5751" s="4"/>
      <c r="F5751" s="3" t="s">
        <v>122</v>
      </c>
      <c r="G5751" s="9">
        <v>216</v>
      </c>
      <c r="H5751" s="9">
        <v>216</v>
      </c>
      <c r="I5751" s="12"/>
      <c r="J5751" s="5" t="e">
        <f>SUM(SUMIFS(#REF!,#REF!,Planning[[#This Row],[Tipo de Tarea y especialidad]],#REF!,Planning[[#This Row],[Proyectos Reiwa]]),SUMIFS(#REF!,#REF!,Planning[[#This Row],[Tipo de Tarea y especialidad]],#REF!,Planning[[#This Row],[Proyectos]]))</f>
        <v>#REF!</v>
      </c>
      <c r="K5751" s="5" t="e">
        <f>+Planning[[#This Row],[Horas Planificadas]]+Planning[[#This Row],[Horas ajustadas adicionales]]-Planning[[#This Row],[Horas utilizadas]]</f>
        <v>#REF!</v>
      </c>
      <c r="L5751" s="7" t="e">
        <f>Planning[[#This Row],[Saldo]]</f>
        <v>#REF!</v>
      </c>
      <c r="M5751" s="19" t="e">
        <f>Planning[[#This Row],[Saldo]]-Planning[[#This Row],[Saldo estimado]]</f>
        <v>#REF!</v>
      </c>
      <c r="N5751" s="60" t="e">
        <f>+SUMIFS(#REF!,#REF!,Planning[[#This Row],[Proyectos]],#REF!,Planning[[#This Row],[Tipo de Tarea y especialidad]])+SUMIFS(#REF!,#REF!,Planning[[#This Row],[Proyectos Reiwa]],#REF!,Planning[[#This Row],[Tipo de Tarea y especialidad]])</f>
        <v>#REF!</v>
      </c>
      <c r="O5751" s="19">
        <f t="shared" si="181"/>
        <v>10</v>
      </c>
      <c r="P5751" s="19">
        <f t="shared" si="182"/>
        <v>2024</v>
      </c>
      <c r="Q57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51" s="49" t="str">
        <f>TEXT(Planning[[#This Row],[Mes]]*29,"mmmm")</f>
        <v>October</v>
      </c>
      <c r="S575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51" s="156"/>
      <c r="U5751" s="93"/>
      <c r="V5751" s="93"/>
      <c r="W5751" s="94"/>
    </row>
    <row r="5752" spans="1:23" ht="13.35" customHeight="1" x14ac:dyDescent="0.2">
      <c r="A5752" s="9" t="s">
        <v>483</v>
      </c>
      <c r="B5752" s="9" t="s">
        <v>685</v>
      </c>
      <c r="C5752" s="3">
        <v>117057</v>
      </c>
      <c r="D5752" s="3" t="s">
        <v>1004</v>
      </c>
      <c r="E5752" s="4"/>
      <c r="F5752" s="3" t="s">
        <v>123</v>
      </c>
      <c r="G5752" s="9">
        <v>0</v>
      </c>
      <c r="H5752" s="9">
        <v>0</v>
      </c>
      <c r="I5752" s="12"/>
      <c r="J5752" s="5" t="e">
        <f>SUM(SUMIFS(#REF!,#REF!,Planning[[#This Row],[Tipo de Tarea y especialidad]],#REF!,Planning[[#This Row],[Proyectos Reiwa]]),SUMIFS(#REF!,#REF!,Planning[[#This Row],[Tipo de Tarea y especialidad]],#REF!,Planning[[#This Row],[Proyectos]]))</f>
        <v>#REF!</v>
      </c>
      <c r="K5752" s="5" t="e">
        <f>+Planning[[#This Row],[Horas Planificadas]]+Planning[[#This Row],[Horas ajustadas adicionales]]-Planning[[#This Row],[Horas utilizadas]]</f>
        <v>#REF!</v>
      </c>
      <c r="L5752" s="7" t="e">
        <f>Planning[[#This Row],[Saldo]]</f>
        <v>#REF!</v>
      </c>
      <c r="M5752" s="19" t="e">
        <f>Planning[[#This Row],[Saldo]]-Planning[[#This Row],[Saldo estimado]]</f>
        <v>#REF!</v>
      </c>
      <c r="N5752" s="60" t="e">
        <f>+SUMIFS(#REF!,#REF!,Planning[[#This Row],[Proyectos]],#REF!,Planning[[#This Row],[Tipo de Tarea y especialidad]])+SUMIFS(#REF!,#REF!,Planning[[#This Row],[Proyectos Reiwa]],#REF!,Planning[[#This Row],[Tipo de Tarea y especialidad]])</f>
        <v>#REF!</v>
      </c>
      <c r="O5752" s="19">
        <f t="shared" si="181"/>
        <v>10</v>
      </c>
      <c r="P5752" s="19">
        <f t="shared" si="182"/>
        <v>2024</v>
      </c>
      <c r="Q57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52" s="49" t="str">
        <f>TEXT(Planning[[#This Row],[Mes]]*29,"mmmm")</f>
        <v>October</v>
      </c>
      <c r="S575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52" s="156"/>
      <c r="U5752" s="93"/>
      <c r="V5752" s="93"/>
      <c r="W5752" s="94"/>
    </row>
    <row r="5753" spans="1:23" ht="13.35" customHeight="1" x14ac:dyDescent="0.2">
      <c r="A5753" s="9" t="s">
        <v>483</v>
      </c>
      <c r="B5753" s="9" t="s">
        <v>685</v>
      </c>
      <c r="C5753" s="3">
        <v>117057</v>
      </c>
      <c r="D5753" s="3" t="s">
        <v>1004</v>
      </c>
      <c r="E5753" s="4"/>
      <c r="F5753" s="3" t="s">
        <v>124</v>
      </c>
      <c r="G5753" s="9">
        <v>0</v>
      </c>
      <c r="H5753" s="9">
        <v>0</v>
      </c>
      <c r="I5753" s="12"/>
      <c r="J5753" s="5" t="e">
        <f>SUM(SUMIFS(#REF!,#REF!,Planning[[#This Row],[Tipo de Tarea y especialidad]],#REF!,Planning[[#This Row],[Proyectos Reiwa]]),SUMIFS(#REF!,#REF!,Planning[[#This Row],[Tipo de Tarea y especialidad]],#REF!,Planning[[#This Row],[Proyectos]]))</f>
        <v>#REF!</v>
      </c>
      <c r="K5753" s="5" t="e">
        <f>+Planning[[#This Row],[Horas Planificadas]]+Planning[[#This Row],[Horas ajustadas adicionales]]-Planning[[#This Row],[Horas utilizadas]]</f>
        <v>#REF!</v>
      </c>
      <c r="L5753" s="7" t="e">
        <f>Planning[[#This Row],[Saldo]]</f>
        <v>#REF!</v>
      </c>
      <c r="M5753" s="19" t="e">
        <f>Planning[[#This Row],[Saldo]]-Planning[[#This Row],[Saldo estimado]]</f>
        <v>#REF!</v>
      </c>
      <c r="N5753" s="60" t="e">
        <f>+SUMIFS(#REF!,#REF!,Planning[[#This Row],[Proyectos]],#REF!,Planning[[#This Row],[Tipo de Tarea y especialidad]])+SUMIFS(#REF!,#REF!,Planning[[#This Row],[Proyectos Reiwa]],#REF!,Planning[[#This Row],[Tipo de Tarea y especialidad]])</f>
        <v>#REF!</v>
      </c>
      <c r="O5753" s="19">
        <f t="shared" si="181"/>
        <v>10</v>
      </c>
      <c r="P5753" s="19">
        <f t="shared" si="182"/>
        <v>2024</v>
      </c>
      <c r="Q57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53" s="49" t="str">
        <f>TEXT(Planning[[#This Row],[Mes]]*29,"mmmm")</f>
        <v>October</v>
      </c>
      <c r="S575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53" s="156"/>
      <c r="U5753" s="93"/>
      <c r="V5753" s="93"/>
      <c r="W5753" s="94"/>
    </row>
    <row r="5754" spans="1:23" ht="13.35" customHeight="1" x14ac:dyDescent="0.2">
      <c r="A5754" s="9" t="s">
        <v>483</v>
      </c>
      <c r="B5754" s="9" t="s">
        <v>685</v>
      </c>
      <c r="C5754" s="3">
        <v>117057</v>
      </c>
      <c r="D5754" s="3" t="s">
        <v>1004</v>
      </c>
      <c r="E5754" s="4"/>
      <c r="F5754" s="3" t="s">
        <v>125</v>
      </c>
      <c r="G5754" s="9">
        <v>144</v>
      </c>
      <c r="H5754" s="9">
        <v>144</v>
      </c>
      <c r="I5754" s="12"/>
      <c r="J5754" s="5" t="e">
        <f>SUM(SUMIFS(#REF!,#REF!,Planning[[#This Row],[Tipo de Tarea y especialidad]],#REF!,Planning[[#This Row],[Proyectos Reiwa]]),SUMIFS(#REF!,#REF!,Planning[[#This Row],[Tipo de Tarea y especialidad]],#REF!,Planning[[#This Row],[Proyectos]]))</f>
        <v>#REF!</v>
      </c>
      <c r="K5754" s="5" t="e">
        <f>+Planning[[#This Row],[Horas Planificadas]]+Planning[[#This Row],[Horas ajustadas adicionales]]-Planning[[#This Row],[Horas utilizadas]]</f>
        <v>#REF!</v>
      </c>
      <c r="L5754" s="7" t="e">
        <f>Planning[[#This Row],[Saldo]]</f>
        <v>#REF!</v>
      </c>
      <c r="M5754" s="19" t="e">
        <f>Planning[[#This Row],[Saldo]]-Planning[[#This Row],[Saldo estimado]]</f>
        <v>#REF!</v>
      </c>
      <c r="N5754" s="60" t="e">
        <f>+SUMIFS(#REF!,#REF!,Planning[[#This Row],[Proyectos]],#REF!,Planning[[#This Row],[Tipo de Tarea y especialidad]])+SUMIFS(#REF!,#REF!,Planning[[#This Row],[Proyectos Reiwa]],#REF!,Planning[[#This Row],[Tipo de Tarea y especialidad]])</f>
        <v>#REF!</v>
      </c>
      <c r="O5754" s="19">
        <f t="shared" si="181"/>
        <v>10</v>
      </c>
      <c r="P5754" s="19">
        <f t="shared" si="182"/>
        <v>2024</v>
      </c>
      <c r="Q57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54" s="49" t="str">
        <f>TEXT(Planning[[#This Row],[Mes]]*29,"mmmm")</f>
        <v>October</v>
      </c>
      <c r="S575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54" s="156"/>
      <c r="U5754" s="93"/>
      <c r="V5754" s="93"/>
      <c r="W5754" s="94"/>
    </row>
    <row r="5755" spans="1:23" ht="13.35" customHeight="1" x14ac:dyDescent="0.2">
      <c r="A5755" s="9" t="s">
        <v>483</v>
      </c>
      <c r="B5755" s="9" t="s">
        <v>685</v>
      </c>
      <c r="C5755" s="3">
        <v>117057</v>
      </c>
      <c r="D5755" s="3" t="s">
        <v>1004</v>
      </c>
      <c r="E5755" s="4"/>
      <c r="F5755" s="3" t="s">
        <v>126</v>
      </c>
      <c r="G5755" s="9">
        <v>218</v>
      </c>
      <c r="H5755" s="9">
        <v>218</v>
      </c>
      <c r="I5755" s="12"/>
      <c r="J5755" s="5" t="e">
        <f>SUM(SUMIFS(#REF!,#REF!,Planning[[#This Row],[Tipo de Tarea y especialidad]],#REF!,Planning[[#This Row],[Proyectos Reiwa]]),SUMIFS(#REF!,#REF!,Planning[[#This Row],[Tipo de Tarea y especialidad]],#REF!,Planning[[#This Row],[Proyectos]]))</f>
        <v>#REF!</v>
      </c>
      <c r="K5755" s="5" t="e">
        <f>+Planning[[#This Row],[Horas Planificadas]]+Planning[[#This Row],[Horas ajustadas adicionales]]-Planning[[#This Row],[Horas utilizadas]]</f>
        <v>#REF!</v>
      </c>
      <c r="L5755" s="7" t="e">
        <f>Planning[[#This Row],[Saldo]]</f>
        <v>#REF!</v>
      </c>
      <c r="M5755" s="19" t="e">
        <f>Planning[[#This Row],[Saldo]]-Planning[[#This Row],[Saldo estimado]]</f>
        <v>#REF!</v>
      </c>
      <c r="N5755" s="60" t="e">
        <f>+SUMIFS(#REF!,#REF!,Planning[[#This Row],[Proyectos]],#REF!,Planning[[#This Row],[Tipo de Tarea y especialidad]])+SUMIFS(#REF!,#REF!,Planning[[#This Row],[Proyectos Reiwa]],#REF!,Planning[[#This Row],[Tipo de Tarea y especialidad]])</f>
        <v>#REF!</v>
      </c>
      <c r="O5755" s="19">
        <f t="shared" si="181"/>
        <v>10</v>
      </c>
      <c r="P5755" s="19">
        <f t="shared" si="182"/>
        <v>2024</v>
      </c>
      <c r="Q57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55" s="49" t="str">
        <f>TEXT(Planning[[#This Row],[Mes]]*29,"mmmm")</f>
        <v>October</v>
      </c>
      <c r="S575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55" s="156"/>
      <c r="U5755" s="93"/>
      <c r="V5755" s="93"/>
      <c r="W5755" s="94"/>
    </row>
    <row r="5756" spans="1:23" ht="13.35" customHeight="1" x14ac:dyDescent="0.2">
      <c r="A5756" s="9" t="s">
        <v>483</v>
      </c>
      <c r="B5756" s="9" t="s">
        <v>685</v>
      </c>
      <c r="C5756" s="3">
        <v>117057</v>
      </c>
      <c r="D5756" s="3" t="s">
        <v>1004</v>
      </c>
      <c r="E5756" s="4"/>
      <c r="F5756" s="3" t="s">
        <v>127</v>
      </c>
      <c r="G5756" s="9">
        <v>0</v>
      </c>
      <c r="H5756" s="9">
        <v>0</v>
      </c>
      <c r="I5756" s="12"/>
      <c r="J5756" s="5" t="e">
        <f>SUM(SUMIFS(#REF!,#REF!,Planning[[#This Row],[Tipo de Tarea y especialidad]],#REF!,Planning[[#This Row],[Proyectos Reiwa]]),SUMIFS(#REF!,#REF!,Planning[[#This Row],[Tipo de Tarea y especialidad]],#REF!,Planning[[#This Row],[Proyectos]]))</f>
        <v>#REF!</v>
      </c>
      <c r="K5756" s="5" t="e">
        <f>+Planning[[#This Row],[Horas Planificadas]]+Planning[[#This Row],[Horas ajustadas adicionales]]-Planning[[#This Row],[Horas utilizadas]]</f>
        <v>#REF!</v>
      </c>
      <c r="L5756" s="7" t="e">
        <f>Planning[[#This Row],[Saldo]]</f>
        <v>#REF!</v>
      </c>
      <c r="M5756" s="19" t="e">
        <f>Planning[[#This Row],[Saldo]]-Planning[[#This Row],[Saldo estimado]]</f>
        <v>#REF!</v>
      </c>
      <c r="N5756" s="60" t="e">
        <f>+SUMIFS(#REF!,#REF!,Planning[[#This Row],[Proyectos]],#REF!,Planning[[#This Row],[Tipo de Tarea y especialidad]])+SUMIFS(#REF!,#REF!,Planning[[#This Row],[Proyectos Reiwa]],#REF!,Planning[[#This Row],[Tipo de Tarea y especialidad]])</f>
        <v>#REF!</v>
      </c>
      <c r="O5756" s="19">
        <f t="shared" si="181"/>
        <v>10</v>
      </c>
      <c r="P5756" s="19">
        <f t="shared" si="182"/>
        <v>2024</v>
      </c>
      <c r="Q57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56" s="49" t="str">
        <f>TEXT(Planning[[#This Row],[Mes]]*29,"mmmm")</f>
        <v>October</v>
      </c>
      <c r="S575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56" s="156"/>
      <c r="U5756" s="93"/>
      <c r="V5756" s="93"/>
      <c r="W5756" s="94"/>
    </row>
    <row r="5757" spans="1:23" ht="13.35" customHeight="1" x14ac:dyDescent="0.2">
      <c r="A5757" s="9" t="s">
        <v>483</v>
      </c>
      <c r="B5757" s="9" t="s">
        <v>685</v>
      </c>
      <c r="C5757" s="3">
        <v>117057</v>
      </c>
      <c r="D5757" s="3" t="s">
        <v>1004</v>
      </c>
      <c r="E5757" s="4"/>
      <c r="F5757" s="3" t="s">
        <v>128</v>
      </c>
      <c r="G5757" s="9">
        <v>0</v>
      </c>
      <c r="H5757" s="9">
        <v>0</v>
      </c>
      <c r="I5757" s="12"/>
      <c r="J5757" s="5" t="e">
        <f>SUM(SUMIFS(#REF!,#REF!,Planning[[#This Row],[Tipo de Tarea y especialidad]],#REF!,Planning[[#This Row],[Proyectos Reiwa]]),SUMIFS(#REF!,#REF!,Planning[[#This Row],[Tipo de Tarea y especialidad]],#REF!,Planning[[#This Row],[Proyectos]]))</f>
        <v>#REF!</v>
      </c>
      <c r="K5757" s="5" t="e">
        <f>+Planning[[#This Row],[Horas Planificadas]]+Planning[[#This Row],[Horas ajustadas adicionales]]-Planning[[#This Row],[Horas utilizadas]]</f>
        <v>#REF!</v>
      </c>
      <c r="L5757" s="7" t="e">
        <f>Planning[[#This Row],[Saldo]]</f>
        <v>#REF!</v>
      </c>
      <c r="M5757" s="19" t="e">
        <f>Planning[[#This Row],[Saldo]]-Planning[[#This Row],[Saldo estimado]]</f>
        <v>#REF!</v>
      </c>
      <c r="N5757" s="60" t="e">
        <f>+SUMIFS(#REF!,#REF!,Planning[[#This Row],[Proyectos]],#REF!,Planning[[#This Row],[Tipo de Tarea y especialidad]])+SUMIFS(#REF!,#REF!,Planning[[#This Row],[Proyectos Reiwa]],#REF!,Planning[[#This Row],[Tipo de Tarea y especialidad]])</f>
        <v>#REF!</v>
      </c>
      <c r="O5757" s="19">
        <f t="shared" si="181"/>
        <v>10</v>
      </c>
      <c r="P5757" s="19">
        <f t="shared" si="182"/>
        <v>2024</v>
      </c>
      <c r="Q57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57" s="49" t="str">
        <f>TEXT(Planning[[#This Row],[Mes]]*29,"mmmm")</f>
        <v>October</v>
      </c>
      <c r="S575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57" s="156"/>
      <c r="U5757" s="93"/>
      <c r="V5757" s="93"/>
      <c r="W5757" s="94"/>
    </row>
    <row r="5758" spans="1:23" ht="13.35" customHeight="1" x14ac:dyDescent="0.2">
      <c r="A5758" s="9" t="s">
        <v>483</v>
      </c>
      <c r="B5758" s="9" t="s">
        <v>685</v>
      </c>
      <c r="C5758" s="3">
        <v>117057</v>
      </c>
      <c r="D5758" s="3" t="s">
        <v>1004</v>
      </c>
      <c r="E5758" s="4" t="s">
        <v>31</v>
      </c>
      <c r="F5758" s="3" t="s">
        <v>31</v>
      </c>
      <c r="G5758" s="9"/>
      <c r="H5758" s="17">
        <v>80</v>
      </c>
      <c r="I5758" s="18"/>
      <c r="J5758" s="14" t="e">
        <f>+SUMIFS(#REF!,#REF!,Planning[[#This Row],[Tarifa]],#REF!,Planning[[#This Row],[Proyectos]])</f>
        <v>#REF!</v>
      </c>
      <c r="K5758" s="14" t="e">
        <f>+Planning[[#This Row],[Horas Planificadas]]+Planning[[#This Row],[Horas ajustadas adicionales]]-Planning[[#This Row],[Horas utilizadas]]</f>
        <v>#REF!</v>
      </c>
      <c r="L5758" s="15" t="e">
        <f>Planning[[#This Row],[Saldo]]</f>
        <v>#REF!</v>
      </c>
      <c r="M5758" s="16" t="e">
        <f>Planning[[#This Row],[Saldo]]-Planning[[#This Row],[Saldo estimado]]</f>
        <v>#REF!</v>
      </c>
      <c r="N5758" s="60" t="e">
        <f>+SUMIFS(#REF!,#REF!,Planning[[#This Row],[Proyectos]],#REF!,Planning[[#This Row],[Tipo de Tarea y especialidad]])+SUMIFS(#REF!,#REF!,Planning[[#This Row],[Proyectos Reiwa]],#REF!,Planning[[#This Row],[Tipo de Tarea y especialidad]])</f>
        <v>#REF!</v>
      </c>
      <c r="O5758" s="16">
        <f t="shared" si="181"/>
        <v>10</v>
      </c>
      <c r="P5758" s="16">
        <f t="shared" si="182"/>
        <v>2024</v>
      </c>
      <c r="Q5758" s="16" t="e">
        <f>+SUMIFS(#REF!,#REF!,Planning[[#This Row],[Tarifa]],#REF!,Planning[[#This Row],[Proyectos]],#REF!,Planning[[#This Row],[Mes]],#REF!,Planning[[#This Row],[Año]])</f>
        <v>#REF!</v>
      </c>
      <c r="R5758" s="50" t="str">
        <f>TEXT(Planning[[#This Row],[Mes]]*29,"mmmm")</f>
        <v>October</v>
      </c>
      <c r="S575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58" s="156"/>
      <c r="U5758" s="93"/>
      <c r="V5758" s="93"/>
      <c r="W5758" s="94"/>
    </row>
    <row r="5759" spans="1:23" ht="13.35" customHeight="1" x14ac:dyDescent="0.2">
      <c r="A5759" s="9" t="s">
        <v>483</v>
      </c>
      <c r="B5759" s="9" t="s">
        <v>685</v>
      </c>
      <c r="C5759" s="3">
        <v>117057</v>
      </c>
      <c r="D5759" s="3" t="s">
        <v>1004</v>
      </c>
      <c r="E5759" s="4" t="s">
        <v>32</v>
      </c>
      <c r="F5759" s="3"/>
      <c r="G5759" s="9">
        <f>G5760+G5761+G5762</f>
        <v>170</v>
      </c>
      <c r="H5759" s="14">
        <f>SUM(H5760:H5762)</f>
        <v>170</v>
      </c>
      <c r="I5759" s="14"/>
      <c r="J5759" s="14" t="e">
        <f>SUM(J5760:J5762)</f>
        <v>#REF!</v>
      </c>
      <c r="K5759" s="14" t="e">
        <f>+Planning[[#This Row],[Horas Planificadas]]+Planning[[#This Row],[Horas ajustadas adicionales]]-Planning[[#This Row],[Horas utilizadas]]</f>
        <v>#REF!</v>
      </c>
      <c r="L5759" s="15" t="e">
        <f>SUM(L5760:L5762)</f>
        <v>#REF!</v>
      </c>
      <c r="M5759" s="16" t="e">
        <f>SUM(M5760:M5762)</f>
        <v>#REF!</v>
      </c>
      <c r="N5759" s="60" t="e">
        <f>+SUMIFS(#REF!,#REF!,Planning[[#This Row],[Proyectos]],#REF!,Planning[[#This Row],[Tipo de Tarea y especialidad]])+SUMIFS(#REF!,#REF!,Planning[[#This Row],[Proyectos Reiwa]],#REF!,Planning[[#This Row],[Tipo de Tarea y especialidad]])</f>
        <v>#REF!</v>
      </c>
      <c r="O5759" s="16">
        <f t="shared" si="181"/>
        <v>10</v>
      </c>
      <c r="P5759" s="16">
        <f t="shared" si="182"/>
        <v>2024</v>
      </c>
      <c r="Q5759" s="16" t="e">
        <f>SUM(Q5760:Q5762)</f>
        <v>#REF!</v>
      </c>
      <c r="R5759" s="50" t="str">
        <f>TEXT(Planning[[#This Row],[Mes]]*29,"mmmm")</f>
        <v>October</v>
      </c>
      <c r="S575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59" s="156"/>
      <c r="U5759" s="93"/>
      <c r="V5759" s="93"/>
      <c r="W5759" s="94"/>
    </row>
    <row r="5760" spans="1:23" ht="13.35" customHeight="1" x14ac:dyDescent="0.2">
      <c r="A5760" s="9" t="s">
        <v>483</v>
      </c>
      <c r="B5760" s="9" t="s">
        <v>685</v>
      </c>
      <c r="C5760" s="3">
        <v>117057</v>
      </c>
      <c r="D5760" s="3" t="s">
        <v>1004</v>
      </c>
      <c r="E5760" s="4"/>
      <c r="F5760" s="3" t="s">
        <v>129</v>
      </c>
      <c r="G5760" s="9">
        <v>170</v>
      </c>
      <c r="H5760" s="9">
        <v>170</v>
      </c>
      <c r="I5760" s="12"/>
      <c r="J5760" s="5" t="e">
        <f>SUM(SUMIFS(#REF!,#REF!,Planning[[#This Row],[Tipo de Tarea y especialidad]],#REF!,Planning[[#This Row],[Proyectos Reiwa]]),SUMIFS(#REF!,#REF!,Planning[[#This Row],[Tipo de Tarea y especialidad]],#REF!,Planning[[#This Row],[Proyectos]]))</f>
        <v>#REF!</v>
      </c>
      <c r="K5760" s="5" t="e">
        <f>+Planning[[#This Row],[Horas Planificadas]]+Planning[[#This Row],[Horas ajustadas adicionales]]-Planning[[#This Row],[Horas utilizadas]]</f>
        <v>#REF!</v>
      </c>
      <c r="L5760" s="7" t="e">
        <f>Planning[[#This Row],[Saldo]]</f>
        <v>#REF!</v>
      </c>
      <c r="M5760" s="19" t="e">
        <f>Planning[[#This Row],[Saldo]]-Planning[[#This Row],[Saldo estimado]]</f>
        <v>#REF!</v>
      </c>
      <c r="N5760" s="60" t="e">
        <f>+SUMIFS(#REF!,#REF!,Planning[[#This Row],[Proyectos]],#REF!,Planning[[#This Row],[Tipo de Tarea y especialidad]])+SUMIFS(#REF!,#REF!,Planning[[#This Row],[Proyectos Reiwa]],#REF!,Planning[[#This Row],[Tipo de Tarea y especialidad]])</f>
        <v>#REF!</v>
      </c>
      <c r="O5760" s="19">
        <f t="shared" si="181"/>
        <v>10</v>
      </c>
      <c r="P5760" s="19">
        <f t="shared" si="182"/>
        <v>2024</v>
      </c>
      <c r="Q57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60" s="49" t="str">
        <f>TEXT(Planning[[#This Row],[Mes]]*29,"mmmm")</f>
        <v>October</v>
      </c>
      <c r="S576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60" s="156"/>
      <c r="U5760" s="93"/>
      <c r="V5760" s="93"/>
      <c r="W5760" s="94"/>
    </row>
    <row r="5761" spans="1:23" ht="13.35" customHeight="1" x14ac:dyDescent="0.2">
      <c r="A5761" s="9" t="s">
        <v>483</v>
      </c>
      <c r="B5761" s="9" t="s">
        <v>685</v>
      </c>
      <c r="C5761" s="3">
        <v>117057</v>
      </c>
      <c r="D5761" s="3" t="s">
        <v>1004</v>
      </c>
      <c r="E5761" s="4"/>
      <c r="F5761" s="3" t="s">
        <v>130</v>
      </c>
      <c r="G5761" s="9">
        <v>0</v>
      </c>
      <c r="H5761" s="9">
        <v>0</v>
      </c>
      <c r="I5761" s="12"/>
      <c r="J5761" s="5" t="e">
        <f>SUM(SUMIFS(#REF!,#REF!,Planning[[#This Row],[Tipo de Tarea y especialidad]],#REF!,Planning[[#This Row],[Proyectos Reiwa]]),SUMIFS(#REF!,#REF!,Planning[[#This Row],[Tipo de Tarea y especialidad]],#REF!,Planning[[#This Row],[Proyectos]]))</f>
        <v>#REF!</v>
      </c>
      <c r="K5761" s="5" t="e">
        <f>+Planning[[#This Row],[Horas Planificadas]]+Planning[[#This Row],[Horas ajustadas adicionales]]-Planning[[#This Row],[Horas utilizadas]]</f>
        <v>#REF!</v>
      </c>
      <c r="L5761" s="7" t="e">
        <f>Planning[[#This Row],[Saldo]]</f>
        <v>#REF!</v>
      </c>
      <c r="M5761" s="19" t="e">
        <f>Planning[[#This Row],[Saldo]]-Planning[[#This Row],[Saldo estimado]]</f>
        <v>#REF!</v>
      </c>
      <c r="N5761" s="60" t="e">
        <f>+SUMIFS(#REF!,#REF!,Planning[[#This Row],[Proyectos]],#REF!,Planning[[#This Row],[Tipo de Tarea y especialidad]])+SUMIFS(#REF!,#REF!,Planning[[#This Row],[Proyectos Reiwa]],#REF!,Planning[[#This Row],[Tipo de Tarea y especialidad]])</f>
        <v>#REF!</v>
      </c>
      <c r="O5761" s="19">
        <f t="shared" si="181"/>
        <v>10</v>
      </c>
      <c r="P5761" s="19">
        <f t="shared" si="182"/>
        <v>2024</v>
      </c>
      <c r="Q57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61" s="49" t="str">
        <f>TEXT(Planning[[#This Row],[Mes]]*29,"mmmm")</f>
        <v>October</v>
      </c>
      <c r="S576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61" s="156"/>
      <c r="U5761" s="93"/>
      <c r="V5761" s="93"/>
      <c r="W5761" s="94"/>
    </row>
    <row r="5762" spans="1:23" ht="13.35" customHeight="1" x14ac:dyDescent="0.2">
      <c r="A5762" s="9" t="s">
        <v>483</v>
      </c>
      <c r="B5762" s="9" t="s">
        <v>685</v>
      </c>
      <c r="C5762" s="3">
        <v>117057</v>
      </c>
      <c r="D5762" s="3" t="s">
        <v>1004</v>
      </c>
      <c r="E5762" s="4"/>
      <c r="F5762" s="3" t="s">
        <v>131</v>
      </c>
      <c r="G5762" s="9">
        <v>0</v>
      </c>
      <c r="H5762" s="9">
        <v>0</v>
      </c>
      <c r="I5762" s="12"/>
      <c r="J5762" s="5" t="e">
        <f>SUM(SUMIFS(#REF!,#REF!,Planning[[#This Row],[Tipo de Tarea y especialidad]],#REF!,Planning[[#This Row],[Proyectos Reiwa]]),SUMIFS(#REF!,#REF!,Planning[[#This Row],[Tipo de Tarea y especialidad]],#REF!,Planning[[#This Row],[Proyectos]]))</f>
        <v>#REF!</v>
      </c>
      <c r="K5762" s="5" t="e">
        <f>+Planning[[#This Row],[Horas Planificadas]]+Planning[[#This Row],[Horas ajustadas adicionales]]-Planning[[#This Row],[Horas utilizadas]]</f>
        <v>#REF!</v>
      </c>
      <c r="L5762" s="7" t="e">
        <f>Planning[[#This Row],[Saldo]]</f>
        <v>#REF!</v>
      </c>
      <c r="M5762" s="19" t="e">
        <f>Planning[[#This Row],[Saldo]]-Planning[[#This Row],[Saldo estimado]]</f>
        <v>#REF!</v>
      </c>
      <c r="N5762" s="60" t="e">
        <f>+SUMIFS(#REF!,#REF!,Planning[[#This Row],[Proyectos]],#REF!,Planning[[#This Row],[Tipo de Tarea y especialidad]])+SUMIFS(#REF!,#REF!,Planning[[#This Row],[Proyectos Reiwa]],#REF!,Planning[[#This Row],[Tipo de Tarea y especialidad]])</f>
        <v>#REF!</v>
      </c>
      <c r="O5762" s="19">
        <f t="shared" si="181"/>
        <v>10</v>
      </c>
      <c r="P5762" s="19">
        <f t="shared" si="182"/>
        <v>2024</v>
      </c>
      <c r="Q57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62" s="51" t="str">
        <f>TEXT(Planning[[#This Row],[Mes]]*29,"mmmm")</f>
        <v>October</v>
      </c>
      <c r="S576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62" s="157"/>
      <c r="U5762" s="93"/>
      <c r="V5762" s="93"/>
      <c r="W5762" s="94"/>
    </row>
    <row r="5763" spans="1:23" ht="13.35" customHeight="1" x14ac:dyDescent="0.2">
      <c r="A5763" s="9" t="s">
        <v>626</v>
      </c>
      <c r="B5763" s="9" t="s">
        <v>582</v>
      </c>
      <c r="C5763" s="3">
        <v>116983</v>
      </c>
      <c r="D5763" s="3" t="s">
        <v>1006</v>
      </c>
      <c r="E5763" s="4" t="s">
        <v>28</v>
      </c>
      <c r="F5763" s="3"/>
      <c r="G5763" s="9">
        <v>1356</v>
      </c>
      <c r="H5763" s="14">
        <f>SUM(H5764:H5765)</f>
        <v>1356</v>
      </c>
      <c r="I5763" s="14"/>
      <c r="J5763" s="14" t="e">
        <f>SUM(J5764:J5765)</f>
        <v>#REF!</v>
      </c>
      <c r="K5763" s="14" t="e">
        <f>+Planning[[#This Row],[Horas Planificadas]]+Planning[[#This Row],[Horas ajustadas adicionales]]-Planning[[#This Row],[Horas utilizadas]]</f>
        <v>#REF!</v>
      </c>
      <c r="L5763" s="15" t="e">
        <f>SUM(L5764:L5765)</f>
        <v>#REF!</v>
      </c>
      <c r="M5763" s="14" t="e">
        <f>SUM(M5764:M5765)</f>
        <v>#REF!</v>
      </c>
      <c r="N5763" s="60" t="e">
        <f>+SUMIFS(#REF!,#REF!,Planning[[#This Row],[Proyectos]],#REF!,Planning[[#This Row],[Tipo de Tarea y especialidad]])+SUMIFS(#REF!,#REF!,Planning[[#This Row],[Proyectos Reiwa]],#REF!,Planning[[#This Row],[Tipo de Tarea y especialidad]])</f>
        <v>#REF!</v>
      </c>
      <c r="O5763" s="14">
        <f t="shared" si="181"/>
        <v>10</v>
      </c>
      <c r="P5763" s="14">
        <f t="shared" si="182"/>
        <v>2024</v>
      </c>
      <c r="Q5763" s="28" t="e">
        <f>SUM(Q5764:Q5765)</f>
        <v>#REF!</v>
      </c>
      <c r="R5763" s="24" t="str">
        <f>TEXT(Planning[[#This Row],[Mes]]*29,"mmmm")</f>
        <v>October</v>
      </c>
      <c r="S5763"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63" s="161" t="s">
        <v>1007</v>
      </c>
      <c r="U5763" s="93"/>
      <c r="V5763" s="93"/>
      <c r="W5763" s="94"/>
    </row>
    <row r="5764" spans="1:23" ht="13.35" customHeight="1" x14ac:dyDescent="0.2">
      <c r="A5764" s="9" t="s">
        <v>626</v>
      </c>
      <c r="B5764" s="9" t="s">
        <v>582</v>
      </c>
      <c r="C5764" s="3">
        <v>116983</v>
      </c>
      <c r="D5764" s="3" t="s">
        <v>1006</v>
      </c>
      <c r="E5764" s="4"/>
      <c r="F5764" s="3" t="s">
        <v>120</v>
      </c>
      <c r="G5764" s="9"/>
      <c r="H5764" s="9">
        <v>960</v>
      </c>
      <c r="I5764" s="12"/>
      <c r="J5764" s="5" t="e">
        <f>SUM(SUMIFS(#REF!,#REF!,Planning[[#This Row],[Tipo de Tarea y especialidad]],#REF!,Planning[[#This Row],[Proyectos Reiwa]]),SUMIFS(#REF!,#REF!,Planning[[#This Row],[Tipo de Tarea y especialidad]],#REF!,Planning[[#This Row],[Proyectos]]))</f>
        <v>#REF!</v>
      </c>
      <c r="K5764" s="5" t="e">
        <f>+Planning[[#This Row],[Horas Planificadas]]+Planning[[#This Row],[Horas ajustadas adicionales]]-Planning[[#This Row],[Horas utilizadas]]</f>
        <v>#REF!</v>
      </c>
      <c r="L5764" s="7" t="e">
        <f>Planning[[#This Row],[Saldo]]</f>
        <v>#REF!</v>
      </c>
      <c r="M5764" s="19" t="e">
        <f>Planning[[#This Row],[Saldo]]-Planning[[#This Row],[Saldo estimado]]</f>
        <v>#REF!</v>
      </c>
      <c r="N5764" s="60" t="e">
        <f>+SUMIFS(#REF!,#REF!,Planning[[#This Row],[Proyectos]],#REF!,Planning[[#This Row],[Tipo de Tarea y especialidad]])+SUMIFS(#REF!,#REF!,Planning[[#This Row],[Proyectos Reiwa]],#REF!,Planning[[#This Row],[Tipo de Tarea y especialidad]])</f>
        <v>#REF!</v>
      </c>
      <c r="O5764" s="19">
        <f t="shared" si="181"/>
        <v>10</v>
      </c>
      <c r="P5764" s="19">
        <f t="shared" si="182"/>
        <v>2024</v>
      </c>
      <c r="Q57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64" s="49" t="str">
        <f>TEXT(Planning[[#This Row],[Mes]]*29,"mmmm")</f>
        <v>October</v>
      </c>
      <c r="S576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64" s="156"/>
      <c r="U5764" s="93"/>
      <c r="V5764" s="93"/>
      <c r="W5764" s="94"/>
    </row>
    <row r="5765" spans="1:23" ht="13.35" customHeight="1" x14ac:dyDescent="0.2">
      <c r="A5765" s="9" t="s">
        <v>626</v>
      </c>
      <c r="B5765" s="9" t="s">
        <v>582</v>
      </c>
      <c r="C5765" s="3">
        <v>116983</v>
      </c>
      <c r="D5765" s="3" t="s">
        <v>1006</v>
      </c>
      <c r="E5765" s="4"/>
      <c r="F5765" s="3" t="s">
        <v>121</v>
      </c>
      <c r="G5765" s="9"/>
      <c r="H5765" s="9">
        <v>396</v>
      </c>
      <c r="I5765" s="12"/>
      <c r="J5765" s="5" t="e">
        <f>SUM(SUMIFS(#REF!,#REF!,Planning[[#This Row],[Tipo de Tarea y especialidad]],#REF!,Planning[[#This Row],[Proyectos Reiwa]]),SUMIFS(#REF!,#REF!,Planning[[#This Row],[Tipo de Tarea y especialidad]],#REF!,Planning[[#This Row],[Proyectos]]))</f>
        <v>#REF!</v>
      </c>
      <c r="K5765" s="5" t="e">
        <f>+Planning[[#This Row],[Horas Planificadas]]+Planning[[#This Row],[Horas ajustadas adicionales]]-Planning[[#This Row],[Horas utilizadas]]</f>
        <v>#REF!</v>
      </c>
      <c r="L5765" s="7" t="e">
        <f>Planning[[#This Row],[Saldo]]</f>
        <v>#REF!</v>
      </c>
      <c r="M5765" s="19" t="e">
        <f>Planning[[#This Row],[Saldo]]-Planning[[#This Row],[Saldo estimado]]</f>
        <v>#REF!</v>
      </c>
      <c r="N5765" s="60" t="e">
        <f>+SUMIFS(#REF!,#REF!,Planning[[#This Row],[Proyectos]],#REF!,Planning[[#This Row],[Tipo de Tarea y especialidad]])+SUMIFS(#REF!,#REF!,Planning[[#This Row],[Proyectos Reiwa]],#REF!,Planning[[#This Row],[Tipo de Tarea y especialidad]])</f>
        <v>#REF!</v>
      </c>
      <c r="O5765" s="19">
        <f t="shared" si="181"/>
        <v>10</v>
      </c>
      <c r="P5765" s="19">
        <f t="shared" si="182"/>
        <v>2024</v>
      </c>
      <c r="Q57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65" s="49" t="str">
        <f>TEXT(Planning[[#This Row],[Mes]]*29,"mmmm")</f>
        <v>October</v>
      </c>
      <c r="S576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65" s="156"/>
      <c r="U5765" s="93"/>
      <c r="V5765" s="93"/>
      <c r="W5765" s="94"/>
    </row>
    <row r="5766" spans="1:23" ht="13.35" customHeight="1" x14ac:dyDescent="0.2">
      <c r="A5766" s="9" t="s">
        <v>626</v>
      </c>
      <c r="B5766" s="9" t="s">
        <v>582</v>
      </c>
      <c r="C5766" s="3">
        <v>116983</v>
      </c>
      <c r="D5766" s="3" t="s">
        <v>1006</v>
      </c>
      <c r="E5766" s="4" t="s">
        <v>30</v>
      </c>
      <c r="F5766" s="3"/>
      <c r="G5766" s="9">
        <v>2499</v>
      </c>
      <c r="H5766" s="14">
        <f>SUM(H5767:H5773)</f>
        <v>2499</v>
      </c>
      <c r="I5766" s="14"/>
      <c r="J5766" s="14" t="e">
        <f>SUM(J5767:J5773)</f>
        <v>#REF!</v>
      </c>
      <c r="K5766" s="14" t="e">
        <f>+Planning[[#This Row],[Horas Planificadas]]+Planning[[#This Row],[Horas ajustadas adicionales]]-Planning[[#This Row],[Horas utilizadas]]</f>
        <v>#REF!</v>
      </c>
      <c r="L5766" s="15" t="e">
        <f>SUM(L5767:L5773)</f>
        <v>#REF!</v>
      </c>
      <c r="M5766" s="16" t="e">
        <f>SUM(M5767:M5773)</f>
        <v>#REF!</v>
      </c>
      <c r="N5766" s="60" t="e">
        <f>+SUMIFS(#REF!,#REF!,Planning[[#This Row],[Proyectos]],#REF!,Planning[[#This Row],[Tipo de Tarea y especialidad]])+SUMIFS(#REF!,#REF!,Planning[[#This Row],[Proyectos Reiwa]],#REF!,Planning[[#This Row],[Tipo de Tarea y especialidad]])</f>
        <v>#REF!</v>
      </c>
      <c r="O5766" s="16">
        <f t="shared" si="181"/>
        <v>10</v>
      </c>
      <c r="P5766" s="16">
        <f t="shared" si="182"/>
        <v>2024</v>
      </c>
      <c r="Q5766" s="16" t="e">
        <f>SUM(Q5767:Q5773)</f>
        <v>#REF!</v>
      </c>
      <c r="R5766" s="50" t="str">
        <f>TEXT(Planning[[#This Row],[Mes]]*29,"mmmm")</f>
        <v>October</v>
      </c>
      <c r="S576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66" s="156"/>
      <c r="U5766" s="93"/>
      <c r="V5766" s="93"/>
      <c r="W5766" s="94"/>
    </row>
    <row r="5767" spans="1:23" ht="13.35" customHeight="1" x14ac:dyDescent="0.2">
      <c r="A5767" s="9" t="s">
        <v>626</v>
      </c>
      <c r="B5767" s="9" t="s">
        <v>582</v>
      </c>
      <c r="C5767" s="3">
        <v>116983</v>
      </c>
      <c r="D5767" s="3" t="s">
        <v>1006</v>
      </c>
      <c r="E5767" s="4"/>
      <c r="F5767" s="3" t="s">
        <v>122</v>
      </c>
      <c r="G5767" s="9"/>
      <c r="H5767" s="9">
        <v>0</v>
      </c>
      <c r="I5767" s="12"/>
      <c r="J5767" s="5" t="e">
        <f>SUM(SUMIFS(#REF!,#REF!,Planning[[#This Row],[Tipo de Tarea y especialidad]],#REF!,Planning[[#This Row],[Proyectos Reiwa]]),SUMIFS(#REF!,#REF!,Planning[[#This Row],[Tipo de Tarea y especialidad]],#REF!,Planning[[#This Row],[Proyectos]]))</f>
        <v>#REF!</v>
      </c>
      <c r="K5767" s="5" t="e">
        <f>+Planning[[#This Row],[Horas Planificadas]]+Planning[[#This Row],[Horas ajustadas adicionales]]-Planning[[#This Row],[Horas utilizadas]]</f>
        <v>#REF!</v>
      </c>
      <c r="L5767" s="7" t="e">
        <f>Planning[[#This Row],[Saldo]]</f>
        <v>#REF!</v>
      </c>
      <c r="M5767" s="19" t="e">
        <f>Planning[[#This Row],[Saldo]]-Planning[[#This Row],[Saldo estimado]]</f>
        <v>#REF!</v>
      </c>
      <c r="N5767" s="60" t="e">
        <f>+SUMIFS(#REF!,#REF!,Planning[[#This Row],[Proyectos]],#REF!,Planning[[#This Row],[Tipo de Tarea y especialidad]])+SUMIFS(#REF!,#REF!,Planning[[#This Row],[Proyectos Reiwa]],#REF!,Planning[[#This Row],[Tipo de Tarea y especialidad]])</f>
        <v>#REF!</v>
      </c>
      <c r="O5767" s="19">
        <f t="shared" si="181"/>
        <v>10</v>
      </c>
      <c r="P5767" s="19">
        <f t="shared" si="182"/>
        <v>2024</v>
      </c>
      <c r="Q57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67" s="49" t="str">
        <f>TEXT(Planning[[#This Row],[Mes]]*29,"mmmm")</f>
        <v>October</v>
      </c>
      <c r="S576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67" s="156"/>
      <c r="U5767" s="93"/>
      <c r="V5767" s="93"/>
      <c r="W5767" s="94"/>
    </row>
    <row r="5768" spans="1:23" ht="13.35" customHeight="1" x14ac:dyDescent="0.2">
      <c r="A5768" s="9" t="s">
        <v>626</v>
      </c>
      <c r="B5768" s="9" t="s">
        <v>582</v>
      </c>
      <c r="C5768" s="3">
        <v>116983</v>
      </c>
      <c r="D5768" s="3" t="s">
        <v>1006</v>
      </c>
      <c r="E5768" s="4"/>
      <c r="F5768" s="3" t="s">
        <v>123</v>
      </c>
      <c r="G5768" s="9"/>
      <c r="H5768" s="9">
        <v>1050</v>
      </c>
      <c r="I5768" s="12"/>
      <c r="J5768" s="5" t="e">
        <f>SUM(SUMIFS(#REF!,#REF!,Planning[[#This Row],[Tipo de Tarea y especialidad]],#REF!,Planning[[#This Row],[Proyectos Reiwa]]),SUMIFS(#REF!,#REF!,Planning[[#This Row],[Tipo de Tarea y especialidad]],#REF!,Planning[[#This Row],[Proyectos]]))</f>
        <v>#REF!</v>
      </c>
      <c r="K5768" s="5" t="e">
        <f>+Planning[[#This Row],[Horas Planificadas]]+Planning[[#This Row],[Horas ajustadas adicionales]]-Planning[[#This Row],[Horas utilizadas]]</f>
        <v>#REF!</v>
      </c>
      <c r="L5768" s="7" t="e">
        <f>Planning[[#This Row],[Saldo]]</f>
        <v>#REF!</v>
      </c>
      <c r="M5768" s="19" t="e">
        <f>Planning[[#This Row],[Saldo]]-Planning[[#This Row],[Saldo estimado]]</f>
        <v>#REF!</v>
      </c>
      <c r="N5768" s="60" t="e">
        <f>+SUMIFS(#REF!,#REF!,Planning[[#This Row],[Proyectos]],#REF!,Planning[[#This Row],[Tipo de Tarea y especialidad]])+SUMIFS(#REF!,#REF!,Planning[[#This Row],[Proyectos Reiwa]],#REF!,Planning[[#This Row],[Tipo de Tarea y especialidad]])</f>
        <v>#REF!</v>
      </c>
      <c r="O5768" s="19">
        <f t="shared" si="181"/>
        <v>10</v>
      </c>
      <c r="P5768" s="19">
        <f t="shared" si="182"/>
        <v>2024</v>
      </c>
      <c r="Q57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68" s="49" t="str">
        <f>TEXT(Planning[[#This Row],[Mes]]*29,"mmmm")</f>
        <v>October</v>
      </c>
      <c r="S576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68" s="156"/>
      <c r="U5768" s="93"/>
      <c r="V5768" s="93"/>
      <c r="W5768" s="94"/>
    </row>
    <row r="5769" spans="1:23" ht="13.35" customHeight="1" x14ac:dyDescent="0.2">
      <c r="A5769" s="9" t="s">
        <v>626</v>
      </c>
      <c r="B5769" s="9" t="s">
        <v>582</v>
      </c>
      <c r="C5769" s="3">
        <v>116983</v>
      </c>
      <c r="D5769" s="3" t="s">
        <v>1006</v>
      </c>
      <c r="E5769" s="4"/>
      <c r="F5769" s="3" t="s">
        <v>124</v>
      </c>
      <c r="G5769" s="9"/>
      <c r="H5769" s="9">
        <v>0</v>
      </c>
      <c r="I5769" s="12"/>
      <c r="J5769" s="5" t="e">
        <f>SUM(SUMIFS(#REF!,#REF!,Planning[[#This Row],[Tipo de Tarea y especialidad]],#REF!,Planning[[#This Row],[Proyectos Reiwa]]),SUMIFS(#REF!,#REF!,Planning[[#This Row],[Tipo de Tarea y especialidad]],#REF!,Planning[[#This Row],[Proyectos]]))</f>
        <v>#REF!</v>
      </c>
      <c r="K5769" s="5" t="e">
        <f>+Planning[[#This Row],[Horas Planificadas]]+Planning[[#This Row],[Horas ajustadas adicionales]]-Planning[[#This Row],[Horas utilizadas]]</f>
        <v>#REF!</v>
      </c>
      <c r="L5769" s="7" t="e">
        <f>Planning[[#This Row],[Saldo]]</f>
        <v>#REF!</v>
      </c>
      <c r="M5769" s="19" t="e">
        <f>Planning[[#This Row],[Saldo]]-Planning[[#This Row],[Saldo estimado]]</f>
        <v>#REF!</v>
      </c>
      <c r="N5769" s="60" t="e">
        <f>+SUMIFS(#REF!,#REF!,Planning[[#This Row],[Proyectos]],#REF!,Planning[[#This Row],[Tipo de Tarea y especialidad]])+SUMIFS(#REF!,#REF!,Planning[[#This Row],[Proyectos Reiwa]],#REF!,Planning[[#This Row],[Tipo de Tarea y especialidad]])</f>
        <v>#REF!</v>
      </c>
      <c r="O5769" s="19">
        <f t="shared" si="181"/>
        <v>10</v>
      </c>
      <c r="P5769" s="19">
        <f t="shared" si="182"/>
        <v>2024</v>
      </c>
      <c r="Q57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69" s="49" t="str">
        <f>TEXT(Planning[[#This Row],[Mes]]*29,"mmmm")</f>
        <v>October</v>
      </c>
      <c r="S576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69" s="156"/>
      <c r="U5769" s="93"/>
      <c r="V5769" s="93"/>
      <c r="W5769" s="94"/>
    </row>
    <row r="5770" spans="1:23" ht="13.35" customHeight="1" x14ac:dyDescent="0.2">
      <c r="A5770" s="9" t="s">
        <v>626</v>
      </c>
      <c r="B5770" s="9" t="s">
        <v>582</v>
      </c>
      <c r="C5770" s="3">
        <v>116983</v>
      </c>
      <c r="D5770" s="3" t="s">
        <v>1006</v>
      </c>
      <c r="E5770" s="4"/>
      <c r="F5770" s="3" t="s">
        <v>125</v>
      </c>
      <c r="G5770" s="9"/>
      <c r="H5770" s="9">
        <v>432</v>
      </c>
      <c r="I5770" s="12"/>
      <c r="J5770" s="5" t="e">
        <f>SUM(SUMIFS(#REF!,#REF!,Planning[[#This Row],[Tipo de Tarea y especialidad]],#REF!,Planning[[#This Row],[Proyectos Reiwa]]),SUMIFS(#REF!,#REF!,Planning[[#This Row],[Tipo de Tarea y especialidad]],#REF!,Planning[[#This Row],[Proyectos]]))</f>
        <v>#REF!</v>
      </c>
      <c r="K5770" s="5" t="e">
        <f>+Planning[[#This Row],[Horas Planificadas]]+Planning[[#This Row],[Horas ajustadas adicionales]]-Planning[[#This Row],[Horas utilizadas]]</f>
        <v>#REF!</v>
      </c>
      <c r="L5770" s="7" t="e">
        <f>Planning[[#This Row],[Saldo]]</f>
        <v>#REF!</v>
      </c>
      <c r="M5770" s="19" t="e">
        <f>Planning[[#This Row],[Saldo]]-Planning[[#This Row],[Saldo estimado]]</f>
        <v>#REF!</v>
      </c>
      <c r="N5770" s="60" t="e">
        <f>+SUMIFS(#REF!,#REF!,Planning[[#This Row],[Proyectos]],#REF!,Planning[[#This Row],[Tipo de Tarea y especialidad]])+SUMIFS(#REF!,#REF!,Planning[[#This Row],[Proyectos Reiwa]],#REF!,Planning[[#This Row],[Tipo de Tarea y especialidad]])</f>
        <v>#REF!</v>
      </c>
      <c r="O5770" s="19">
        <f t="shared" si="181"/>
        <v>10</v>
      </c>
      <c r="P5770" s="19">
        <f t="shared" si="182"/>
        <v>2024</v>
      </c>
      <c r="Q57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70" s="49" t="str">
        <f>TEXT(Planning[[#This Row],[Mes]]*29,"mmmm")</f>
        <v>October</v>
      </c>
      <c r="S577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70" s="156"/>
      <c r="U5770" s="93"/>
      <c r="V5770" s="93"/>
      <c r="W5770" s="94"/>
    </row>
    <row r="5771" spans="1:23" ht="13.35" customHeight="1" x14ac:dyDescent="0.2">
      <c r="A5771" s="9" t="s">
        <v>626</v>
      </c>
      <c r="B5771" s="9" t="s">
        <v>582</v>
      </c>
      <c r="C5771" s="3">
        <v>116983</v>
      </c>
      <c r="D5771" s="3" t="s">
        <v>1006</v>
      </c>
      <c r="E5771" s="4"/>
      <c r="F5771" s="3" t="s">
        <v>126</v>
      </c>
      <c r="G5771" s="9"/>
      <c r="H5771" s="9">
        <v>0</v>
      </c>
      <c r="I5771" s="12"/>
      <c r="J5771" s="5" t="e">
        <f>SUM(SUMIFS(#REF!,#REF!,Planning[[#This Row],[Tipo de Tarea y especialidad]],#REF!,Planning[[#This Row],[Proyectos Reiwa]]),SUMIFS(#REF!,#REF!,Planning[[#This Row],[Tipo de Tarea y especialidad]],#REF!,Planning[[#This Row],[Proyectos]]))</f>
        <v>#REF!</v>
      </c>
      <c r="K5771" s="5" t="e">
        <f>+Planning[[#This Row],[Horas Planificadas]]+Planning[[#This Row],[Horas ajustadas adicionales]]-Planning[[#This Row],[Horas utilizadas]]</f>
        <v>#REF!</v>
      </c>
      <c r="L5771" s="7" t="e">
        <f>Planning[[#This Row],[Saldo]]</f>
        <v>#REF!</v>
      </c>
      <c r="M5771" s="19" t="e">
        <f>Planning[[#This Row],[Saldo]]-Planning[[#This Row],[Saldo estimado]]</f>
        <v>#REF!</v>
      </c>
      <c r="N5771" s="60" t="e">
        <f>+SUMIFS(#REF!,#REF!,Planning[[#This Row],[Proyectos]],#REF!,Planning[[#This Row],[Tipo de Tarea y especialidad]])+SUMIFS(#REF!,#REF!,Planning[[#This Row],[Proyectos Reiwa]],#REF!,Planning[[#This Row],[Tipo de Tarea y especialidad]])</f>
        <v>#REF!</v>
      </c>
      <c r="O5771" s="19">
        <f t="shared" si="181"/>
        <v>10</v>
      </c>
      <c r="P5771" s="19">
        <f t="shared" si="182"/>
        <v>2024</v>
      </c>
      <c r="Q57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71" s="49" t="str">
        <f>TEXT(Planning[[#This Row],[Mes]]*29,"mmmm")</f>
        <v>October</v>
      </c>
      <c r="S577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71" s="156"/>
      <c r="U5771" s="93"/>
      <c r="V5771" s="93"/>
      <c r="W5771" s="94"/>
    </row>
    <row r="5772" spans="1:23" ht="13.35" customHeight="1" x14ac:dyDescent="0.2">
      <c r="A5772" s="9" t="s">
        <v>626</v>
      </c>
      <c r="B5772" s="9" t="s">
        <v>582</v>
      </c>
      <c r="C5772" s="3">
        <v>116983</v>
      </c>
      <c r="D5772" s="3" t="s">
        <v>1006</v>
      </c>
      <c r="E5772" s="4"/>
      <c r="F5772" s="3" t="s">
        <v>127</v>
      </c>
      <c r="G5772" s="9"/>
      <c r="H5772" s="9">
        <v>1017</v>
      </c>
      <c r="I5772" s="12"/>
      <c r="J5772" s="5" t="e">
        <f>SUM(SUMIFS(#REF!,#REF!,Planning[[#This Row],[Tipo de Tarea y especialidad]],#REF!,Planning[[#This Row],[Proyectos Reiwa]]),SUMIFS(#REF!,#REF!,Planning[[#This Row],[Tipo de Tarea y especialidad]],#REF!,Planning[[#This Row],[Proyectos]]))</f>
        <v>#REF!</v>
      </c>
      <c r="K5772" s="5" t="e">
        <f>+Planning[[#This Row],[Horas Planificadas]]+Planning[[#This Row],[Horas ajustadas adicionales]]-Planning[[#This Row],[Horas utilizadas]]</f>
        <v>#REF!</v>
      </c>
      <c r="L5772" s="7" t="e">
        <f>Planning[[#This Row],[Saldo]]</f>
        <v>#REF!</v>
      </c>
      <c r="M5772" s="19" t="e">
        <f>Planning[[#This Row],[Saldo]]-Planning[[#This Row],[Saldo estimado]]</f>
        <v>#REF!</v>
      </c>
      <c r="N5772" s="60" t="e">
        <f>+SUMIFS(#REF!,#REF!,Planning[[#This Row],[Proyectos]],#REF!,Planning[[#This Row],[Tipo de Tarea y especialidad]])+SUMIFS(#REF!,#REF!,Planning[[#This Row],[Proyectos Reiwa]],#REF!,Planning[[#This Row],[Tipo de Tarea y especialidad]])</f>
        <v>#REF!</v>
      </c>
      <c r="O5772" s="19">
        <f t="shared" si="181"/>
        <v>10</v>
      </c>
      <c r="P5772" s="19">
        <f t="shared" si="182"/>
        <v>2024</v>
      </c>
      <c r="Q57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72" s="49" t="str">
        <f>TEXT(Planning[[#This Row],[Mes]]*29,"mmmm")</f>
        <v>October</v>
      </c>
      <c r="S577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72" s="156"/>
      <c r="U5772" s="93"/>
      <c r="V5772" s="93"/>
      <c r="W5772" s="94"/>
    </row>
    <row r="5773" spans="1:23" ht="13.35" customHeight="1" x14ac:dyDescent="0.2">
      <c r="A5773" s="9" t="s">
        <v>626</v>
      </c>
      <c r="B5773" s="9" t="s">
        <v>582</v>
      </c>
      <c r="C5773" s="3">
        <v>116983</v>
      </c>
      <c r="D5773" s="3" t="s">
        <v>1006</v>
      </c>
      <c r="E5773" s="4"/>
      <c r="F5773" s="3" t="s">
        <v>128</v>
      </c>
      <c r="G5773" s="9"/>
      <c r="H5773" s="9">
        <v>0</v>
      </c>
      <c r="I5773" s="12"/>
      <c r="J5773" s="5" t="e">
        <f>SUM(SUMIFS(#REF!,#REF!,Planning[[#This Row],[Tipo de Tarea y especialidad]],#REF!,Planning[[#This Row],[Proyectos Reiwa]]),SUMIFS(#REF!,#REF!,Planning[[#This Row],[Tipo de Tarea y especialidad]],#REF!,Planning[[#This Row],[Proyectos]]))</f>
        <v>#REF!</v>
      </c>
      <c r="K5773" s="5" t="e">
        <f>+Planning[[#This Row],[Horas Planificadas]]+Planning[[#This Row],[Horas ajustadas adicionales]]-Planning[[#This Row],[Horas utilizadas]]</f>
        <v>#REF!</v>
      </c>
      <c r="L5773" s="7" t="e">
        <f>Planning[[#This Row],[Saldo]]</f>
        <v>#REF!</v>
      </c>
      <c r="M5773" s="19" t="e">
        <f>Planning[[#This Row],[Saldo]]-Planning[[#This Row],[Saldo estimado]]</f>
        <v>#REF!</v>
      </c>
      <c r="N5773" s="60" t="e">
        <f>+SUMIFS(#REF!,#REF!,Planning[[#This Row],[Proyectos]],#REF!,Planning[[#This Row],[Tipo de Tarea y especialidad]])+SUMIFS(#REF!,#REF!,Planning[[#This Row],[Proyectos Reiwa]],#REF!,Planning[[#This Row],[Tipo de Tarea y especialidad]])</f>
        <v>#REF!</v>
      </c>
      <c r="O5773" s="19">
        <f t="shared" si="181"/>
        <v>10</v>
      </c>
      <c r="P5773" s="19">
        <f t="shared" si="182"/>
        <v>2024</v>
      </c>
      <c r="Q57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73" s="49" t="str">
        <f>TEXT(Planning[[#This Row],[Mes]]*29,"mmmm")</f>
        <v>October</v>
      </c>
      <c r="S577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73" s="156"/>
      <c r="U5773" s="93"/>
      <c r="V5773" s="93"/>
      <c r="W5773" s="94"/>
    </row>
    <row r="5774" spans="1:23" ht="13.35" customHeight="1" x14ac:dyDescent="0.2">
      <c r="A5774" s="9" t="s">
        <v>626</v>
      </c>
      <c r="B5774" s="9" t="s">
        <v>582</v>
      </c>
      <c r="C5774" s="3">
        <v>116983</v>
      </c>
      <c r="D5774" s="3" t="s">
        <v>1006</v>
      </c>
      <c r="E5774" s="4" t="s">
        <v>31</v>
      </c>
      <c r="F5774" s="3" t="s">
        <v>31</v>
      </c>
      <c r="G5774" s="9">
        <v>230</v>
      </c>
      <c r="H5774" s="17">
        <v>230</v>
      </c>
      <c r="I5774" s="18"/>
      <c r="J5774" s="14" t="e">
        <f>+SUMIFS(#REF!,#REF!,Planning[[#This Row],[Tarifa]],#REF!,Planning[[#This Row],[Proyectos]])</f>
        <v>#REF!</v>
      </c>
      <c r="K5774" s="14" t="e">
        <f>+Planning[[#This Row],[Horas Planificadas]]+Planning[[#This Row],[Horas ajustadas adicionales]]-Planning[[#This Row],[Horas utilizadas]]</f>
        <v>#REF!</v>
      </c>
      <c r="L5774" s="15" t="e">
        <f>Planning[[#This Row],[Saldo]]</f>
        <v>#REF!</v>
      </c>
      <c r="M5774" s="16" t="e">
        <f>Planning[[#This Row],[Saldo]]-Planning[[#This Row],[Saldo estimado]]</f>
        <v>#REF!</v>
      </c>
      <c r="N5774" s="60" t="e">
        <f>+SUMIFS(#REF!,#REF!,Planning[[#This Row],[Proyectos]],#REF!,Planning[[#This Row],[Tipo de Tarea y especialidad]])+SUMIFS(#REF!,#REF!,Planning[[#This Row],[Proyectos Reiwa]],#REF!,Planning[[#This Row],[Tipo de Tarea y especialidad]])</f>
        <v>#REF!</v>
      </c>
      <c r="O5774" s="16">
        <f t="shared" si="181"/>
        <v>10</v>
      </c>
      <c r="P5774" s="16">
        <f t="shared" si="182"/>
        <v>2024</v>
      </c>
      <c r="Q5774" s="16" t="e">
        <f>+SUMIFS(#REF!,#REF!,Planning[[#This Row],[Tarifa]],#REF!,Planning[[#This Row],[Proyectos]],#REF!,Planning[[#This Row],[Mes]],#REF!,Planning[[#This Row],[Año]])</f>
        <v>#REF!</v>
      </c>
      <c r="R5774" s="50" t="str">
        <f>TEXT(Planning[[#This Row],[Mes]]*29,"mmmm")</f>
        <v>October</v>
      </c>
      <c r="S577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74" s="156"/>
      <c r="U5774" s="93"/>
      <c r="V5774" s="93"/>
      <c r="W5774" s="94"/>
    </row>
    <row r="5775" spans="1:23" ht="13.35" customHeight="1" x14ac:dyDescent="0.2">
      <c r="A5775" s="9" t="s">
        <v>626</v>
      </c>
      <c r="B5775" s="9" t="s">
        <v>582</v>
      </c>
      <c r="C5775" s="3">
        <v>116983</v>
      </c>
      <c r="D5775" s="3" t="s">
        <v>1006</v>
      </c>
      <c r="E5775" s="4" t="s">
        <v>32</v>
      </c>
      <c r="F5775" s="3"/>
      <c r="G5775" s="9">
        <v>960</v>
      </c>
      <c r="H5775" s="14">
        <f>SUM(H5776:H5778)</f>
        <v>960</v>
      </c>
      <c r="I5775" s="14"/>
      <c r="J5775" s="14" t="e">
        <f>SUM(J5776:J5778)</f>
        <v>#REF!</v>
      </c>
      <c r="K5775" s="14" t="e">
        <f>+Planning[[#This Row],[Horas Planificadas]]+Planning[[#This Row],[Horas ajustadas adicionales]]-Planning[[#This Row],[Horas utilizadas]]</f>
        <v>#REF!</v>
      </c>
      <c r="L5775" s="15" t="e">
        <f>SUM(L5776:L5778)</f>
        <v>#REF!</v>
      </c>
      <c r="M5775" s="16" t="e">
        <f>SUM(M5776:M5778)</f>
        <v>#REF!</v>
      </c>
      <c r="N5775" s="60" t="e">
        <f>+SUMIFS(#REF!,#REF!,Planning[[#This Row],[Proyectos]],#REF!,Planning[[#This Row],[Tipo de Tarea y especialidad]])+SUMIFS(#REF!,#REF!,Planning[[#This Row],[Proyectos Reiwa]],#REF!,Planning[[#This Row],[Tipo de Tarea y especialidad]])</f>
        <v>#REF!</v>
      </c>
      <c r="O5775" s="16">
        <f t="shared" si="181"/>
        <v>10</v>
      </c>
      <c r="P5775" s="16">
        <f t="shared" si="182"/>
        <v>2024</v>
      </c>
      <c r="Q5775" s="16" t="e">
        <f>SUM(Q5776:Q5778)</f>
        <v>#REF!</v>
      </c>
      <c r="R5775" s="50" t="str">
        <f>TEXT(Planning[[#This Row],[Mes]]*29,"mmmm")</f>
        <v>October</v>
      </c>
      <c r="S577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75" s="156"/>
      <c r="U5775" s="93"/>
      <c r="V5775" s="93"/>
      <c r="W5775" s="94"/>
    </row>
    <row r="5776" spans="1:23" ht="13.35" customHeight="1" x14ac:dyDescent="0.2">
      <c r="A5776" s="9" t="s">
        <v>626</v>
      </c>
      <c r="B5776" s="9" t="s">
        <v>582</v>
      </c>
      <c r="C5776" s="3">
        <v>116983</v>
      </c>
      <c r="D5776" s="3" t="s">
        <v>1006</v>
      </c>
      <c r="E5776" s="4"/>
      <c r="F5776" s="3" t="s">
        <v>129</v>
      </c>
      <c r="G5776" s="9"/>
      <c r="H5776" s="9">
        <v>0</v>
      </c>
      <c r="I5776" s="12"/>
      <c r="J5776" s="5" t="e">
        <f>SUM(SUMIFS(#REF!,#REF!,Planning[[#This Row],[Tipo de Tarea y especialidad]],#REF!,Planning[[#This Row],[Proyectos Reiwa]]),SUMIFS(#REF!,#REF!,Planning[[#This Row],[Tipo de Tarea y especialidad]],#REF!,Planning[[#This Row],[Proyectos]]))</f>
        <v>#REF!</v>
      </c>
      <c r="K5776" s="5" t="e">
        <f>+Planning[[#This Row],[Horas Planificadas]]+Planning[[#This Row],[Horas ajustadas adicionales]]-Planning[[#This Row],[Horas utilizadas]]</f>
        <v>#REF!</v>
      </c>
      <c r="L5776" s="7" t="e">
        <f>Planning[[#This Row],[Saldo]]</f>
        <v>#REF!</v>
      </c>
      <c r="M5776" s="19" t="e">
        <f>Planning[[#This Row],[Saldo]]-Planning[[#This Row],[Saldo estimado]]</f>
        <v>#REF!</v>
      </c>
      <c r="N5776" s="60" t="e">
        <f>+SUMIFS(#REF!,#REF!,Planning[[#This Row],[Proyectos]],#REF!,Planning[[#This Row],[Tipo de Tarea y especialidad]])+SUMIFS(#REF!,#REF!,Planning[[#This Row],[Proyectos Reiwa]],#REF!,Planning[[#This Row],[Tipo de Tarea y especialidad]])</f>
        <v>#REF!</v>
      </c>
      <c r="O5776" s="19">
        <f t="shared" si="181"/>
        <v>10</v>
      </c>
      <c r="P5776" s="19">
        <f t="shared" si="182"/>
        <v>2024</v>
      </c>
      <c r="Q57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76" s="49" t="str">
        <f>TEXT(Planning[[#This Row],[Mes]]*29,"mmmm")</f>
        <v>October</v>
      </c>
      <c r="S577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76" s="156"/>
      <c r="U5776" s="93"/>
      <c r="V5776" s="93"/>
      <c r="W5776" s="94"/>
    </row>
    <row r="5777" spans="1:23" ht="13.35" customHeight="1" x14ac:dyDescent="0.2">
      <c r="A5777" s="9" t="s">
        <v>626</v>
      </c>
      <c r="B5777" s="9" t="s">
        <v>582</v>
      </c>
      <c r="C5777" s="3">
        <v>116983</v>
      </c>
      <c r="D5777" s="3" t="s">
        <v>1006</v>
      </c>
      <c r="E5777" s="4"/>
      <c r="F5777" s="3" t="s">
        <v>130</v>
      </c>
      <c r="G5777" s="9"/>
      <c r="H5777" s="9">
        <v>960</v>
      </c>
      <c r="I5777" s="12"/>
      <c r="J5777" s="5" t="e">
        <f>SUM(SUMIFS(#REF!,#REF!,Planning[[#This Row],[Tipo de Tarea y especialidad]],#REF!,Planning[[#This Row],[Proyectos Reiwa]]),SUMIFS(#REF!,#REF!,Planning[[#This Row],[Tipo de Tarea y especialidad]],#REF!,Planning[[#This Row],[Proyectos]]))</f>
        <v>#REF!</v>
      </c>
      <c r="K5777" s="5" t="e">
        <f>+Planning[[#This Row],[Horas Planificadas]]+Planning[[#This Row],[Horas ajustadas adicionales]]-Planning[[#This Row],[Horas utilizadas]]</f>
        <v>#REF!</v>
      </c>
      <c r="L5777" s="7" t="e">
        <f>Planning[[#This Row],[Saldo]]</f>
        <v>#REF!</v>
      </c>
      <c r="M5777" s="19" t="e">
        <f>Planning[[#This Row],[Saldo]]-Planning[[#This Row],[Saldo estimado]]</f>
        <v>#REF!</v>
      </c>
      <c r="N5777" s="60" t="e">
        <f>+SUMIFS(#REF!,#REF!,Planning[[#This Row],[Proyectos]],#REF!,Planning[[#This Row],[Tipo de Tarea y especialidad]])+SUMIFS(#REF!,#REF!,Planning[[#This Row],[Proyectos Reiwa]],#REF!,Planning[[#This Row],[Tipo de Tarea y especialidad]])</f>
        <v>#REF!</v>
      </c>
      <c r="O5777" s="19">
        <f t="shared" si="181"/>
        <v>10</v>
      </c>
      <c r="P5777" s="19">
        <f t="shared" si="182"/>
        <v>2024</v>
      </c>
      <c r="Q57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77" s="49" t="str">
        <f>TEXT(Planning[[#This Row],[Mes]]*29,"mmmm")</f>
        <v>October</v>
      </c>
      <c r="S577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77" s="156"/>
      <c r="U5777" s="93"/>
      <c r="V5777" s="93"/>
      <c r="W5777" s="94"/>
    </row>
    <row r="5778" spans="1:23" ht="13.35" customHeight="1" x14ac:dyDescent="0.2">
      <c r="A5778" s="9" t="s">
        <v>626</v>
      </c>
      <c r="B5778" s="9" t="s">
        <v>582</v>
      </c>
      <c r="C5778" s="3">
        <v>116983</v>
      </c>
      <c r="D5778" s="3" t="s">
        <v>1006</v>
      </c>
      <c r="E5778" s="4"/>
      <c r="F5778" s="3" t="s">
        <v>131</v>
      </c>
      <c r="G5778" s="9"/>
      <c r="H5778" s="9">
        <v>0</v>
      </c>
      <c r="I5778" s="12"/>
      <c r="J5778" s="5" t="e">
        <f>SUM(SUMIFS(#REF!,#REF!,Planning[[#This Row],[Tipo de Tarea y especialidad]],#REF!,Planning[[#This Row],[Proyectos Reiwa]]),SUMIFS(#REF!,#REF!,Planning[[#This Row],[Tipo de Tarea y especialidad]],#REF!,Planning[[#This Row],[Proyectos]]))</f>
        <v>#REF!</v>
      </c>
      <c r="K5778" s="5" t="e">
        <f>+Planning[[#This Row],[Horas Planificadas]]+Planning[[#This Row],[Horas ajustadas adicionales]]-Planning[[#This Row],[Horas utilizadas]]</f>
        <v>#REF!</v>
      </c>
      <c r="L5778" s="7" t="e">
        <f>Planning[[#This Row],[Saldo]]</f>
        <v>#REF!</v>
      </c>
      <c r="M5778" s="19" t="e">
        <f>Planning[[#This Row],[Saldo]]-Planning[[#This Row],[Saldo estimado]]</f>
        <v>#REF!</v>
      </c>
      <c r="N5778" s="60" t="e">
        <f>+SUMIFS(#REF!,#REF!,Planning[[#This Row],[Proyectos]],#REF!,Planning[[#This Row],[Tipo de Tarea y especialidad]])+SUMIFS(#REF!,#REF!,Planning[[#This Row],[Proyectos Reiwa]],#REF!,Planning[[#This Row],[Tipo de Tarea y especialidad]])</f>
        <v>#REF!</v>
      </c>
      <c r="O5778" s="19">
        <f t="shared" si="181"/>
        <v>10</v>
      </c>
      <c r="P5778" s="19">
        <f t="shared" si="182"/>
        <v>2024</v>
      </c>
      <c r="Q57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78" s="51" t="str">
        <f>TEXT(Planning[[#This Row],[Mes]]*29,"mmmm")</f>
        <v>October</v>
      </c>
      <c r="S5778"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78" s="157"/>
      <c r="U5778" s="93"/>
      <c r="V5778" s="93"/>
      <c r="W5778" s="94"/>
    </row>
    <row r="5779" spans="1:23" ht="13.35" customHeight="1" x14ac:dyDescent="0.2">
      <c r="A5779" s="9" t="s">
        <v>435</v>
      </c>
      <c r="B5779" s="9" t="s">
        <v>463</v>
      </c>
      <c r="C5779" s="3">
        <v>117060</v>
      </c>
      <c r="D5779" s="3" t="s">
        <v>1008</v>
      </c>
      <c r="E5779" s="4" t="s">
        <v>28</v>
      </c>
      <c r="F5779" s="3"/>
      <c r="G5779" s="9">
        <v>0</v>
      </c>
      <c r="H5779" s="14">
        <f>SUM(H5780:H5781)</f>
        <v>0</v>
      </c>
      <c r="I5779" s="14"/>
      <c r="J5779" s="14" t="e">
        <f>SUM(J5780:J5781)</f>
        <v>#REF!</v>
      </c>
      <c r="K5779" s="14" t="e">
        <f>+Planning[[#This Row],[Horas Planificadas]]+Planning[[#This Row],[Horas ajustadas adicionales]]-Planning[[#This Row],[Horas utilizadas]]</f>
        <v>#REF!</v>
      </c>
      <c r="L5779" s="15" t="e">
        <f>SUM(L5780:L5781)</f>
        <v>#REF!</v>
      </c>
      <c r="M5779" s="14" t="e">
        <f>SUM(M5780:M5781)</f>
        <v>#REF!</v>
      </c>
      <c r="N5779" s="60" t="e">
        <f>+SUMIFS(#REF!,#REF!,Planning[[#This Row],[Proyectos]],#REF!,Planning[[#This Row],[Tipo de Tarea y especialidad]])+SUMIFS(#REF!,#REF!,Planning[[#This Row],[Proyectos Reiwa]],#REF!,Planning[[#This Row],[Tipo de Tarea y especialidad]])</f>
        <v>#REF!</v>
      </c>
      <c r="O5779" s="14">
        <f t="shared" si="181"/>
        <v>10</v>
      </c>
      <c r="P5779" s="14">
        <f t="shared" si="182"/>
        <v>2024</v>
      </c>
      <c r="Q5779" s="28" t="e">
        <f>SUM(Q5780:Q5781)</f>
        <v>#REF!</v>
      </c>
      <c r="R5779" s="24" t="str">
        <f>TEXT(Planning[[#This Row],[Mes]]*29,"mmmm")</f>
        <v>October</v>
      </c>
      <c r="S5779"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79" s="161" t="s">
        <v>1009</v>
      </c>
      <c r="U5779" s="93"/>
      <c r="V5779" s="93"/>
      <c r="W5779" s="94"/>
    </row>
    <row r="5780" spans="1:23" ht="13.35" customHeight="1" x14ac:dyDescent="0.2">
      <c r="A5780" s="9" t="s">
        <v>435</v>
      </c>
      <c r="B5780" s="9" t="s">
        <v>463</v>
      </c>
      <c r="C5780" s="3">
        <v>117060</v>
      </c>
      <c r="D5780" s="3" t="s">
        <v>1008</v>
      </c>
      <c r="E5780" s="4"/>
      <c r="F5780" s="3" t="s">
        <v>120</v>
      </c>
      <c r="G5780" s="9"/>
      <c r="H5780" s="9">
        <v>0</v>
      </c>
      <c r="I5780" s="12"/>
      <c r="J5780" s="5" t="e">
        <f>SUM(SUMIFS(#REF!,#REF!,Planning[[#This Row],[Tipo de Tarea y especialidad]],#REF!,Planning[[#This Row],[Proyectos Reiwa]]),SUMIFS(#REF!,#REF!,Planning[[#This Row],[Tipo de Tarea y especialidad]],#REF!,Planning[[#This Row],[Proyectos]]))</f>
        <v>#REF!</v>
      </c>
      <c r="K5780" s="5" t="e">
        <f>+Planning[[#This Row],[Horas Planificadas]]+Planning[[#This Row],[Horas ajustadas adicionales]]-Planning[[#This Row],[Horas utilizadas]]</f>
        <v>#REF!</v>
      </c>
      <c r="L5780" s="7" t="e">
        <f>Planning[[#This Row],[Saldo]]</f>
        <v>#REF!</v>
      </c>
      <c r="M5780" s="19" t="e">
        <f>Planning[[#This Row],[Saldo]]-Planning[[#This Row],[Saldo estimado]]</f>
        <v>#REF!</v>
      </c>
      <c r="N5780" s="60" t="e">
        <f>+SUMIFS(#REF!,#REF!,Planning[[#This Row],[Proyectos]],#REF!,Planning[[#This Row],[Tipo de Tarea y especialidad]])+SUMIFS(#REF!,#REF!,Planning[[#This Row],[Proyectos Reiwa]],#REF!,Planning[[#This Row],[Tipo de Tarea y especialidad]])</f>
        <v>#REF!</v>
      </c>
      <c r="O5780" s="19">
        <f t="shared" si="181"/>
        <v>10</v>
      </c>
      <c r="P5780" s="19">
        <f t="shared" si="182"/>
        <v>2024</v>
      </c>
      <c r="Q57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80" s="49" t="str">
        <f>TEXT(Planning[[#This Row],[Mes]]*29,"mmmm")</f>
        <v>October</v>
      </c>
      <c r="S578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80" s="156"/>
      <c r="U5780" s="93"/>
      <c r="V5780" s="93"/>
      <c r="W5780" s="94"/>
    </row>
    <row r="5781" spans="1:23" ht="13.35" customHeight="1" x14ac:dyDescent="0.2">
      <c r="A5781" s="9" t="s">
        <v>435</v>
      </c>
      <c r="B5781" s="9" t="s">
        <v>463</v>
      </c>
      <c r="C5781" s="3">
        <v>117060</v>
      </c>
      <c r="D5781" s="3" t="s">
        <v>1008</v>
      </c>
      <c r="E5781" s="4"/>
      <c r="F5781" s="3" t="s">
        <v>121</v>
      </c>
      <c r="G5781" s="9"/>
      <c r="H5781" s="9">
        <v>0</v>
      </c>
      <c r="I5781" s="12"/>
      <c r="J5781" s="5" t="e">
        <f>SUM(SUMIFS(#REF!,#REF!,Planning[[#This Row],[Tipo de Tarea y especialidad]],#REF!,Planning[[#This Row],[Proyectos Reiwa]]),SUMIFS(#REF!,#REF!,Planning[[#This Row],[Tipo de Tarea y especialidad]],#REF!,Planning[[#This Row],[Proyectos]]))</f>
        <v>#REF!</v>
      </c>
      <c r="K5781" s="5" t="e">
        <f>+Planning[[#This Row],[Horas Planificadas]]+Planning[[#This Row],[Horas ajustadas adicionales]]-Planning[[#This Row],[Horas utilizadas]]</f>
        <v>#REF!</v>
      </c>
      <c r="L5781" s="7" t="e">
        <f>Planning[[#This Row],[Saldo]]</f>
        <v>#REF!</v>
      </c>
      <c r="M5781" s="19" t="e">
        <f>Planning[[#This Row],[Saldo]]-Planning[[#This Row],[Saldo estimado]]</f>
        <v>#REF!</v>
      </c>
      <c r="N5781" s="60" t="e">
        <f>+SUMIFS(#REF!,#REF!,Planning[[#This Row],[Proyectos]],#REF!,Planning[[#This Row],[Tipo de Tarea y especialidad]])+SUMIFS(#REF!,#REF!,Planning[[#This Row],[Proyectos Reiwa]],#REF!,Planning[[#This Row],[Tipo de Tarea y especialidad]])</f>
        <v>#REF!</v>
      </c>
      <c r="O5781" s="19">
        <f t="shared" si="181"/>
        <v>10</v>
      </c>
      <c r="P5781" s="19">
        <f t="shared" si="182"/>
        <v>2024</v>
      </c>
      <c r="Q57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81" s="49" t="str">
        <f>TEXT(Planning[[#This Row],[Mes]]*29,"mmmm")</f>
        <v>October</v>
      </c>
      <c r="S578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81" s="156"/>
      <c r="U5781" s="93"/>
      <c r="V5781" s="93"/>
      <c r="W5781" s="94"/>
    </row>
    <row r="5782" spans="1:23" ht="13.35" customHeight="1" x14ac:dyDescent="0.2">
      <c r="A5782" s="9" t="s">
        <v>435</v>
      </c>
      <c r="B5782" s="9" t="s">
        <v>463</v>
      </c>
      <c r="C5782" s="3">
        <v>117060</v>
      </c>
      <c r="D5782" s="3" t="s">
        <v>1008</v>
      </c>
      <c r="E5782" s="4" t="s">
        <v>30</v>
      </c>
      <c r="F5782" s="3"/>
      <c r="G5782" s="9">
        <v>177</v>
      </c>
      <c r="H5782" s="14">
        <f>SUM(H5783:H5789)</f>
        <v>177</v>
      </c>
      <c r="I5782" s="14"/>
      <c r="J5782" s="14" t="e">
        <f>SUM(J5783:J5789)</f>
        <v>#REF!</v>
      </c>
      <c r="K5782" s="14" t="e">
        <f>+Planning[[#This Row],[Horas Planificadas]]+Planning[[#This Row],[Horas ajustadas adicionales]]-Planning[[#This Row],[Horas utilizadas]]</f>
        <v>#REF!</v>
      </c>
      <c r="L5782" s="15" t="e">
        <f>SUM(L5783:L5789)</f>
        <v>#REF!</v>
      </c>
      <c r="M5782" s="16" t="e">
        <f>SUM(M5783:M5789)</f>
        <v>#REF!</v>
      </c>
      <c r="N5782" s="60" t="e">
        <f>+SUMIFS(#REF!,#REF!,Planning[[#This Row],[Proyectos]],#REF!,Planning[[#This Row],[Tipo de Tarea y especialidad]])+SUMIFS(#REF!,#REF!,Planning[[#This Row],[Proyectos Reiwa]],#REF!,Planning[[#This Row],[Tipo de Tarea y especialidad]])</f>
        <v>#REF!</v>
      </c>
      <c r="O5782" s="16">
        <f t="shared" si="181"/>
        <v>10</v>
      </c>
      <c r="P5782" s="16">
        <f t="shared" si="182"/>
        <v>2024</v>
      </c>
      <c r="Q5782" s="16" t="e">
        <f>SUM(Q5783:Q5789)</f>
        <v>#REF!</v>
      </c>
      <c r="R5782" s="50" t="str">
        <f>TEXT(Planning[[#This Row],[Mes]]*29,"mmmm")</f>
        <v>October</v>
      </c>
      <c r="S578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82" s="156"/>
      <c r="U5782" s="93"/>
      <c r="V5782" s="93"/>
      <c r="W5782" s="94"/>
    </row>
    <row r="5783" spans="1:23" ht="13.35" customHeight="1" x14ac:dyDescent="0.2">
      <c r="A5783" s="9" t="s">
        <v>435</v>
      </c>
      <c r="B5783" s="9" t="s">
        <v>463</v>
      </c>
      <c r="C5783" s="3">
        <v>117060</v>
      </c>
      <c r="D5783" s="3" t="s">
        <v>1008</v>
      </c>
      <c r="E5783" s="4"/>
      <c r="F5783" s="3" t="s">
        <v>122</v>
      </c>
      <c r="G5783" s="9"/>
      <c r="H5783" s="9"/>
      <c r="I5783" s="12"/>
      <c r="J5783" s="5" t="e">
        <f>SUM(SUMIFS(#REF!,#REF!,Planning[[#This Row],[Tipo de Tarea y especialidad]],#REF!,Planning[[#This Row],[Proyectos Reiwa]]),SUMIFS(#REF!,#REF!,Planning[[#This Row],[Tipo de Tarea y especialidad]],#REF!,Planning[[#This Row],[Proyectos]]))</f>
        <v>#REF!</v>
      </c>
      <c r="K5783" s="5" t="e">
        <f>+Planning[[#This Row],[Horas Planificadas]]+Planning[[#This Row],[Horas ajustadas adicionales]]-Planning[[#This Row],[Horas utilizadas]]</f>
        <v>#REF!</v>
      </c>
      <c r="L5783" s="7" t="e">
        <f>Planning[[#This Row],[Saldo]]</f>
        <v>#REF!</v>
      </c>
      <c r="M5783" s="19" t="e">
        <f>Planning[[#This Row],[Saldo]]-Planning[[#This Row],[Saldo estimado]]</f>
        <v>#REF!</v>
      </c>
      <c r="N5783" s="60" t="e">
        <f>+SUMIFS(#REF!,#REF!,Planning[[#This Row],[Proyectos]],#REF!,Planning[[#This Row],[Tipo de Tarea y especialidad]])+SUMIFS(#REF!,#REF!,Planning[[#This Row],[Proyectos Reiwa]],#REF!,Planning[[#This Row],[Tipo de Tarea y especialidad]])</f>
        <v>#REF!</v>
      </c>
      <c r="O5783" s="19">
        <f t="shared" si="181"/>
        <v>10</v>
      </c>
      <c r="P5783" s="19">
        <f t="shared" si="182"/>
        <v>2024</v>
      </c>
      <c r="Q57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83" s="49" t="str">
        <f>TEXT(Planning[[#This Row],[Mes]]*29,"mmmm")</f>
        <v>October</v>
      </c>
      <c r="S578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83" s="156"/>
      <c r="U5783" s="93"/>
      <c r="V5783" s="93"/>
      <c r="W5783" s="94"/>
    </row>
    <row r="5784" spans="1:23" ht="13.35" customHeight="1" x14ac:dyDescent="0.2">
      <c r="A5784" s="9" t="s">
        <v>435</v>
      </c>
      <c r="B5784" s="9" t="s">
        <v>463</v>
      </c>
      <c r="C5784" s="3">
        <v>117060</v>
      </c>
      <c r="D5784" s="3" t="s">
        <v>1008</v>
      </c>
      <c r="E5784" s="4"/>
      <c r="F5784" s="3" t="s">
        <v>123</v>
      </c>
      <c r="G5784" s="9"/>
      <c r="H5784" s="9">
        <v>120</v>
      </c>
      <c r="I5784" s="12"/>
      <c r="J5784" s="5" t="e">
        <f>SUM(SUMIFS(#REF!,#REF!,Planning[[#This Row],[Tipo de Tarea y especialidad]],#REF!,Planning[[#This Row],[Proyectos Reiwa]]),SUMIFS(#REF!,#REF!,Planning[[#This Row],[Tipo de Tarea y especialidad]],#REF!,Planning[[#This Row],[Proyectos]]))</f>
        <v>#REF!</v>
      </c>
      <c r="K5784" s="5" t="e">
        <f>+Planning[[#This Row],[Horas Planificadas]]+Planning[[#This Row],[Horas ajustadas adicionales]]-Planning[[#This Row],[Horas utilizadas]]</f>
        <v>#REF!</v>
      </c>
      <c r="L5784" s="7" t="e">
        <f>Planning[[#This Row],[Saldo]]</f>
        <v>#REF!</v>
      </c>
      <c r="M5784" s="19" t="e">
        <f>Planning[[#This Row],[Saldo]]-Planning[[#This Row],[Saldo estimado]]</f>
        <v>#REF!</v>
      </c>
      <c r="N5784" s="60" t="e">
        <f>+SUMIFS(#REF!,#REF!,Planning[[#This Row],[Proyectos]],#REF!,Planning[[#This Row],[Tipo de Tarea y especialidad]])+SUMIFS(#REF!,#REF!,Planning[[#This Row],[Proyectos Reiwa]],#REF!,Planning[[#This Row],[Tipo de Tarea y especialidad]])</f>
        <v>#REF!</v>
      </c>
      <c r="O5784" s="19">
        <f t="shared" si="181"/>
        <v>10</v>
      </c>
      <c r="P5784" s="19">
        <f t="shared" si="182"/>
        <v>2024</v>
      </c>
      <c r="Q57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84" s="49" t="str">
        <f>TEXT(Planning[[#This Row],[Mes]]*29,"mmmm")</f>
        <v>October</v>
      </c>
      <c r="S578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84" s="156"/>
      <c r="U5784" s="93"/>
      <c r="V5784" s="93"/>
      <c r="W5784" s="94"/>
    </row>
    <row r="5785" spans="1:23" ht="13.35" customHeight="1" x14ac:dyDescent="0.2">
      <c r="A5785" s="9" t="s">
        <v>435</v>
      </c>
      <c r="B5785" s="9" t="s">
        <v>463</v>
      </c>
      <c r="C5785" s="3">
        <v>117060</v>
      </c>
      <c r="D5785" s="3" t="s">
        <v>1008</v>
      </c>
      <c r="E5785" s="4"/>
      <c r="F5785" s="3" t="s">
        <v>124</v>
      </c>
      <c r="G5785" s="9"/>
      <c r="H5785" s="9">
        <v>30</v>
      </c>
      <c r="I5785" s="12"/>
      <c r="J5785" s="5" t="e">
        <f>SUM(SUMIFS(#REF!,#REF!,Planning[[#This Row],[Tipo de Tarea y especialidad]],#REF!,Planning[[#This Row],[Proyectos Reiwa]]),SUMIFS(#REF!,#REF!,Planning[[#This Row],[Tipo de Tarea y especialidad]],#REF!,Planning[[#This Row],[Proyectos]]))</f>
        <v>#REF!</v>
      </c>
      <c r="K5785" s="5" t="e">
        <f>+Planning[[#This Row],[Horas Planificadas]]+Planning[[#This Row],[Horas ajustadas adicionales]]-Planning[[#This Row],[Horas utilizadas]]</f>
        <v>#REF!</v>
      </c>
      <c r="L5785" s="7" t="e">
        <f>Planning[[#This Row],[Saldo]]</f>
        <v>#REF!</v>
      </c>
      <c r="M5785" s="19" t="e">
        <f>Planning[[#This Row],[Saldo]]-Planning[[#This Row],[Saldo estimado]]</f>
        <v>#REF!</v>
      </c>
      <c r="N5785" s="60" t="e">
        <f>+SUMIFS(#REF!,#REF!,Planning[[#This Row],[Proyectos]],#REF!,Planning[[#This Row],[Tipo de Tarea y especialidad]])+SUMIFS(#REF!,#REF!,Planning[[#This Row],[Proyectos Reiwa]],#REF!,Planning[[#This Row],[Tipo de Tarea y especialidad]])</f>
        <v>#REF!</v>
      </c>
      <c r="O5785" s="19">
        <f t="shared" si="181"/>
        <v>10</v>
      </c>
      <c r="P5785" s="19">
        <f t="shared" si="182"/>
        <v>2024</v>
      </c>
      <c r="Q57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85" s="49" t="str">
        <f>TEXT(Planning[[#This Row],[Mes]]*29,"mmmm")</f>
        <v>October</v>
      </c>
      <c r="S578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85" s="156"/>
      <c r="U5785" s="93"/>
      <c r="V5785" s="93"/>
      <c r="W5785" s="94"/>
    </row>
    <row r="5786" spans="1:23" ht="13.35" customHeight="1" x14ac:dyDescent="0.2">
      <c r="A5786" s="9" t="s">
        <v>435</v>
      </c>
      <c r="B5786" s="9" t="s">
        <v>463</v>
      </c>
      <c r="C5786" s="3">
        <v>117060</v>
      </c>
      <c r="D5786" s="3" t="s">
        <v>1008</v>
      </c>
      <c r="E5786" s="4"/>
      <c r="F5786" s="3" t="s">
        <v>125</v>
      </c>
      <c r="G5786" s="9"/>
      <c r="H5786" s="9">
        <v>27</v>
      </c>
      <c r="I5786" s="12"/>
      <c r="J5786" s="5" t="e">
        <f>SUM(SUMIFS(#REF!,#REF!,Planning[[#This Row],[Tipo de Tarea y especialidad]],#REF!,Planning[[#This Row],[Proyectos Reiwa]]),SUMIFS(#REF!,#REF!,Planning[[#This Row],[Tipo de Tarea y especialidad]],#REF!,Planning[[#This Row],[Proyectos]]))</f>
        <v>#REF!</v>
      </c>
      <c r="K5786" s="5" t="e">
        <f>+Planning[[#This Row],[Horas Planificadas]]+Planning[[#This Row],[Horas ajustadas adicionales]]-Planning[[#This Row],[Horas utilizadas]]</f>
        <v>#REF!</v>
      </c>
      <c r="L5786" s="7" t="e">
        <f>Planning[[#This Row],[Saldo]]</f>
        <v>#REF!</v>
      </c>
      <c r="M5786" s="19" t="e">
        <f>Planning[[#This Row],[Saldo]]-Planning[[#This Row],[Saldo estimado]]</f>
        <v>#REF!</v>
      </c>
      <c r="N5786" s="60" t="e">
        <f>+SUMIFS(#REF!,#REF!,Planning[[#This Row],[Proyectos]],#REF!,Planning[[#This Row],[Tipo de Tarea y especialidad]])+SUMIFS(#REF!,#REF!,Planning[[#This Row],[Proyectos Reiwa]],#REF!,Planning[[#This Row],[Tipo de Tarea y especialidad]])</f>
        <v>#REF!</v>
      </c>
      <c r="O5786" s="19">
        <f t="shared" si="181"/>
        <v>10</v>
      </c>
      <c r="P5786" s="19">
        <f t="shared" si="182"/>
        <v>2024</v>
      </c>
      <c r="Q57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86" s="49" t="str">
        <f>TEXT(Planning[[#This Row],[Mes]]*29,"mmmm")</f>
        <v>October</v>
      </c>
      <c r="S578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86" s="156"/>
      <c r="U5786" s="93"/>
      <c r="V5786" s="93"/>
      <c r="W5786" s="94"/>
    </row>
    <row r="5787" spans="1:23" ht="13.35" customHeight="1" x14ac:dyDescent="0.2">
      <c r="A5787" s="9" t="s">
        <v>435</v>
      </c>
      <c r="B5787" s="9" t="s">
        <v>463</v>
      </c>
      <c r="C5787" s="3">
        <v>117060</v>
      </c>
      <c r="D5787" s="3" t="s">
        <v>1008</v>
      </c>
      <c r="E5787" s="4"/>
      <c r="F5787" s="3" t="s">
        <v>126</v>
      </c>
      <c r="G5787" s="9"/>
      <c r="H5787" s="9"/>
      <c r="I5787" s="12"/>
      <c r="J5787" s="5" t="e">
        <f>SUM(SUMIFS(#REF!,#REF!,Planning[[#This Row],[Tipo de Tarea y especialidad]],#REF!,Planning[[#This Row],[Proyectos Reiwa]]),SUMIFS(#REF!,#REF!,Planning[[#This Row],[Tipo de Tarea y especialidad]],#REF!,Planning[[#This Row],[Proyectos]]))</f>
        <v>#REF!</v>
      </c>
      <c r="K5787" s="5" t="e">
        <f>+Planning[[#This Row],[Horas Planificadas]]+Planning[[#This Row],[Horas ajustadas adicionales]]-Planning[[#This Row],[Horas utilizadas]]</f>
        <v>#REF!</v>
      </c>
      <c r="L5787" s="7" t="e">
        <f>Planning[[#This Row],[Saldo]]</f>
        <v>#REF!</v>
      </c>
      <c r="M5787" s="19" t="e">
        <f>Planning[[#This Row],[Saldo]]-Planning[[#This Row],[Saldo estimado]]</f>
        <v>#REF!</v>
      </c>
      <c r="N5787" s="60" t="e">
        <f>+SUMIFS(#REF!,#REF!,Planning[[#This Row],[Proyectos]],#REF!,Planning[[#This Row],[Tipo de Tarea y especialidad]])+SUMIFS(#REF!,#REF!,Planning[[#This Row],[Proyectos Reiwa]],#REF!,Planning[[#This Row],[Tipo de Tarea y especialidad]])</f>
        <v>#REF!</v>
      </c>
      <c r="O5787" s="19">
        <f t="shared" si="181"/>
        <v>10</v>
      </c>
      <c r="P5787" s="19">
        <f t="shared" si="182"/>
        <v>2024</v>
      </c>
      <c r="Q578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87" s="49" t="str">
        <f>TEXT(Planning[[#This Row],[Mes]]*29,"mmmm")</f>
        <v>October</v>
      </c>
      <c r="S578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87" s="156"/>
      <c r="U5787" s="93"/>
      <c r="V5787" s="93"/>
      <c r="W5787" s="94"/>
    </row>
    <row r="5788" spans="1:23" ht="13.35" customHeight="1" x14ac:dyDescent="0.2">
      <c r="A5788" s="9" t="s">
        <v>435</v>
      </c>
      <c r="B5788" s="9" t="s">
        <v>463</v>
      </c>
      <c r="C5788" s="3">
        <v>117060</v>
      </c>
      <c r="D5788" s="3" t="s">
        <v>1008</v>
      </c>
      <c r="E5788" s="4"/>
      <c r="F5788" s="3" t="s">
        <v>127</v>
      </c>
      <c r="G5788" s="9"/>
      <c r="H5788" s="9"/>
      <c r="I5788" s="12"/>
      <c r="J5788" s="5" t="e">
        <f>SUM(SUMIFS(#REF!,#REF!,Planning[[#This Row],[Tipo de Tarea y especialidad]],#REF!,Planning[[#This Row],[Proyectos Reiwa]]),SUMIFS(#REF!,#REF!,Planning[[#This Row],[Tipo de Tarea y especialidad]],#REF!,Planning[[#This Row],[Proyectos]]))</f>
        <v>#REF!</v>
      </c>
      <c r="K5788" s="5" t="e">
        <f>+Planning[[#This Row],[Horas Planificadas]]+Planning[[#This Row],[Horas ajustadas adicionales]]-Planning[[#This Row],[Horas utilizadas]]</f>
        <v>#REF!</v>
      </c>
      <c r="L5788" s="7">
        <v>0</v>
      </c>
      <c r="M5788" s="19" t="e">
        <f>Planning[[#This Row],[Saldo]]-Planning[[#This Row],[Saldo estimado]]</f>
        <v>#REF!</v>
      </c>
      <c r="N5788" s="60" t="e">
        <f>+SUMIFS(#REF!,#REF!,Planning[[#This Row],[Proyectos]],#REF!,Planning[[#This Row],[Tipo de Tarea y especialidad]])+SUMIFS(#REF!,#REF!,Planning[[#This Row],[Proyectos Reiwa]],#REF!,Planning[[#This Row],[Tipo de Tarea y especialidad]])</f>
        <v>#REF!</v>
      </c>
      <c r="O5788" s="19">
        <f t="shared" si="181"/>
        <v>10</v>
      </c>
      <c r="P5788" s="19">
        <f t="shared" si="182"/>
        <v>2024</v>
      </c>
      <c r="Q57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88" s="49" t="str">
        <f>TEXT(Planning[[#This Row],[Mes]]*29,"mmmm")</f>
        <v>October</v>
      </c>
      <c r="S578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88" s="156"/>
      <c r="U5788" s="93"/>
      <c r="V5788" s="93"/>
      <c r="W5788" s="94"/>
    </row>
    <row r="5789" spans="1:23" ht="13.35" customHeight="1" x14ac:dyDescent="0.2">
      <c r="A5789" s="9" t="s">
        <v>435</v>
      </c>
      <c r="B5789" s="9" t="s">
        <v>463</v>
      </c>
      <c r="C5789" s="3">
        <v>117060</v>
      </c>
      <c r="D5789" s="3" t="s">
        <v>1008</v>
      </c>
      <c r="E5789" s="4"/>
      <c r="F5789" s="3" t="s">
        <v>128</v>
      </c>
      <c r="G5789" s="9"/>
      <c r="H5789" s="9"/>
      <c r="I5789" s="12"/>
      <c r="J5789" s="5" t="e">
        <f>SUM(SUMIFS(#REF!,#REF!,Planning[[#This Row],[Tipo de Tarea y especialidad]],#REF!,Planning[[#This Row],[Proyectos Reiwa]]),SUMIFS(#REF!,#REF!,Planning[[#This Row],[Tipo de Tarea y especialidad]],#REF!,Planning[[#This Row],[Proyectos]]))</f>
        <v>#REF!</v>
      </c>
      <c r="K5789" s="5" t="e">
        <f>+Planning[[#This Row],[Horas Planificadas]]+Planning[[#This Row],[Horas ajustadas adicionales]]-Planning[[#This Row],[Horas utilizadas]]</f>
        <v>#REF!</v>
      </c>
      <c r="L5789" s="7" t="e">
        <f>Planning[[#This Row],[Saldo]]</f>
        <v>#REF!</v>
      </c>
      <c r="M5789" s="19" t="e">
        <f>Planning[[#This Row],[Saldo]]-Planning[[#This Row],[Saldo estimado]]</f>
        <v>#REF!</v>
      </c>
      <c r="N5789" s="60" t="e">
        <f>+SUMIFS(#REF!,#REF!,Planning[[#This Row],[Proyectos]],#REF!,Planning[[#This Row],[Tipo de Tarea y especialidad]])+SUMIFS(#REF!,#REF!,Planning[[#This Row],[Proyectos Reiwa]],#REF!,Planning[[#This Row],[Tipo de Tarea y especialidad]])</f>
        <v>#REF!</v>
      </c>
      <c r="O5789" s="19">
        <f t="shared" si="181"/>
        <v>10</v>
      </c>
      <c r="P5789" s="19">
        <f t="shared" si="182"/>
        <v>2024</v>
      </c>
      <c r="Q57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89" s="49" t="str">
        <f>TEXT(Planning[[#This Row],[Mes]]*29,"mmmm")</f>
        <v>October</v>
      </c>
      <c r="S578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89" s="156"/>
      <c r="U5789" s="93"/>
      <c r="V5789" s="93"/>
      <c r="W5789" s="94"/>
    </row>
    <row r="5790" spans="1:23" ht="13.35" customHeight="1" x14ac:dyDescent="0.2">
      <c r="A5790" s="9" t="s">
        <v>435</v>
      </c>
      <c r="B5790" s="9" t="s">
        <v>463</v>
      </c>
      <c r="C5790" s="3">
        <v>117060</v>
      </c>
      <c r="D5790" s="3" t="s">
        <v>1008</v>
      </c>
      <c r="E5790" s="4" t="s">
        <v>31</v>
      </c>
      <c r="F5790" s="3" t="s">
        <v>31</v>
      </c>
      <c r="G5790" s="9">
        <v>22</v>
      </c>
      <c r="H5790" s="17">
        <v>18</v>
      </c>
      <c r="I5790" s="18"/>
      <c r="J5790" s="14" t="e">
        <f>+SUMIFS(#REF!,#REF!,Planning[[#This Row],[Tarifa]],#REF!,Planning[[#This Row],[Proyectos]])</f>
        <v>#REF!</v>
      </c>
      <c r="K5790" s="14" t="e">
        <f>+Planning[[#This Row],[Horas Planificadas]]+Planning[[#This Row],[Horas ajustadas adicionales]]-Planning[[#This Row],[Horas utilizadas]]</f>
        <v>#REF!</v>
      </c>
      <c r="L5790" s="15" t="e">
        <f>Planning[[#This Row],[Saldo]]</f>
        <v>#REF!</v>
      </c>
      <c r="M5790" s="16" t="e">
        <f>Planning[[#This Row],[Saldo]]-Planning[[#This Row],[Saldo estimado]]</f>
        <v>#REF!</v>
      </c>
      <c r="N5790" s="60" t="e">
        <f>+SUMIFS(#REF!,#REF!,Planning[[#This Row],[Proyectos]],#REF!,Planning[[#This Row],[Tipo de Tarea y especialidad]])+SUMIFS(#REF!,#REF!,Planning[[#This Row],[Proyectos Reiwa]],#REF!,Planning[[#This Row],[Tipo de Tarea y especialidad]])</f>
        <v>#REF!</v>
      </c>
      <c r="O5790" s="16">
        <f t="shared" si="181"/>
        <v>10</v>
      </c>
      <c r="P5790" s="16">
        <f t="shared" si="182"/>
        <v>2024</v>
      </c>
      <c r="Q5790" s="16" t="e">
        <f>+SUMIFS(#REF!,#REF!,Planning[[#This Row],[Tarifa]],#REF!,Planning[[#This Row],[Proyectos]],#REF!,Planning[[#This Row],[Mes]],#REF!,Planning[[#This Row],[Año]])</f>
        <v>#REF!</v>
      </c>
      <c r="R5790" s="50" t="str">
        <f>TEXT(Planning[[#This Row],[Mes]]*29,"mmmm")</f>
        <v>October</v>
      </c>
      <c r="S579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90" s="156"/>
      <c r="U5790" s="93"/>
      <c r="V5790" s="93"/>
      <c r="W5790" s="94"/>
    </row>
    <row r="5791" spans="1:23" ht="13.35" customHeight="1" x14ac:dyDescent="0.2">
      <c r="A5791" s="9" t="s">
        <v>435</v>
      </c>
      <c r="B5791" s="9" t="s">
        <v>463</v>
      </c>
      <c r="C5791" s="3">
        <v>117060</v>
      </c>
      <c r="D5791" s="3" t="s">
        <v>1008</v>
      </c>
      <c r="E5791" s="4" t="s">
        <v>32</v>
      </c>
      <c r="F5791" s="3"/>
      <c r="G5791" s="9">
        <v>120</v>
      </c>
      <c r="H5791" s="14">
        <f>SUM(H5792:H5794)</f>
        <v>120</v>
      </c>
      <c r="I5791" s="14"/>
      <c r="J5791" s="14" t="e">
        <f>SUM(J5792:J5794)</f>
        <v>#REF!</v>
      </c>
      <c r="K5791" s="14" t="e">
        <f>+Planning[[#This Row],[Horas Planificadas]]+Planning[[#This Row],[Horas ajustadas adicionales]]-Planning[[#This Row],[Horas utilizadas]]</f>
        <v>#REF!</v>
      </c>
      <c r="L5791" s="15" t="e">
        <f>SUM(L5792:L5794)</f>
        <v>#REF!</v>
      </c>
      <c r="M5791" s="16" t="e">
        <f>SUM(M5792:M5794)</f>
        <v>#REF!</v>
      </c>
      <c r="N5791" s="60" t="e">
        <f>+SUMIFS(#REF!,#REF!,Planning[[#This Row],[Proyectos]],#REF!,Planning[[#This Row],[Tipo de Tarea y especialidad]])+SUMIFS(#REF!,#REF!,Planning[[#This Row],[Proyectos Reiwa]],#REF!,Planning[[#This Row],[Tipo de Tarea y especialidad]])</f>
        <v>#REF!</v>
      </c>
      <c r="O5791" s="16">
        <f t="shared" si="181"/>
        <v>10</v>
      </c>
      <c r="P5791" s="16">
        <f t="shared" si="182"/>
        <v>2024</v>
      </c>
      <c r="Q5791" s="16" t="e">
        <f>SUM(Q5792:Q5794)</f>
        <v>#REF!</v>
      </c>
      <c r="R5791" s="50" t="str">
        <f>TEXT(Planning[[#This Row],[Mes]]*29,"mmmm")</f>
        <v>October</v>
      </c>
      <c r="S579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91" s="156"/>
      <c r="U5791" s="93"/>
      <c r="V5791" s="93"/>
      <c r="W5791" s="94"/>
    </row>
    <row r="5792" spans="1:23" ht="13.35" customHeight="1" x14ac:dyDescent="0.2">
      <c r="A5792" s="9" t="s">
        <v>435</v>
      </c>
      <c r="B5792" s="9" t="s">
        <v>463</v>
      </c>
      <c r="C5792" s="3">
        <v>117060</v>
      </c>
      <c r="D5792" s="3" t="s">
        <v>1008</v>
      </c>
      <c r="E5792" s="4"/>
      <c r="F5792" s="3" t="s">
        <v>129</v>
      </c>
      <c r="G5792" s="9"/>
      <c r="H5792" s="9">
        <v>0</v>
      </c>
      <c r="I5792" s="12"/>
      <c r="J5792" s="5" t="e">
        <f>SUM(SUMIFS(#REF!,#REF!,Planning[[#This Row],[Tipo de Tarea y especialidad]],#REF!,Planning[[#This Row],[Proyectos Reiwa]]),SUMIFS(#REF!,#REF!,Planning[[#This Row],[Tipo de Tarea y especialidad]],#REF!,Planning[[#This Row],[Proyectos]]))</f>
        <v>#REF!</v>
      </c>
      <c r="K5792" s="5" t="e">
        <f>+Planning[[#This Row],[Horas Planificadas]]+Planning[[#This Row],[Horas ajustadas adicionales]]-Planning[[#This Row],[Horas utilizadas]]</f>
        <v>#REF!</v>
      </c>
      <c r="L5792" s="7" t="e">
        <f>Planning[[#This Row],[Saldo]]</f>
        <v>#REF!</v>
      </c>
      <c r="M5792" s="19" t="e">
        <f>Planning[[#This Row],[Saldo]]-Planning[[#This Row],[Saldo estimado]]</f>
        <v>#REF!</v>
      </c>
      <c r="N5792" s="60" t="e">
        <f>+SUMIFS(#REF!,#REF!,Planning[[#This Row],[Proyectos]],#REF!,Planning[[#This Row],[Tipo de Tarea y especialidad]])+SUMIFS(#REF!,#REF!,Planning[[#This Row],[Proyectos Reiwa]],#REF!,Planning[[#This Row],[Tipo de Tarea y especialidad]])</f>
        <v>#REF!</v>
      </c>
      <c r="O5792" s="19">
        <f t="shared" si="181"/>
        <v>10</v>
      </c>
      <c r="P5792" s="19">
        <f t="shared" si="182"/>
        <v>2024</v>
      </c>
      <c r="Q57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92" s="49" t="str">
        <f>TEXT(Planning[[#This Row],[Mes]]*29,"mmmm")</f>
        <v>October</v>
      </c>
      <c r="S579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92" s="156"/>
      <c r="U5792" s="93"/>
      <c r="V5792" s="93"/>
      <c r="W5792" s="94"/>
    </row>
    <row r="5793" spans="1:23" ht="13.35" customHeight="1" x14ac:dyDescent="0.2">
      <c r="A5793" s="9" t="s">
        <v>435</v>
      </c>
      <c r="B5793" s="9" t="s">
        <v>463</v>
      </c>
      <c r="C5793" s="3">
        <v>117060</v>
      </c>
      <c r="D5793" s="3" t="s">
        <v>1008</v>
      </c>
      <c r="E5793" s="4"/>
      <c r="F5793" s="3" t="s">
        <v>130</v>
      </c>
      <c r="G5793" s="9"/>
      <c r="H5793" s="9">
        <v>90</v>
      </c>
      <c r="I5793" s="12"/>
      <c r="J5793" s="5" t="e">
        <f>SUM(SUMIFS(#REF!,#REF!,Planning[[#This Row],[Tipo de Tarea y especialidad]],#REF!,Planning[[#This Row],[Proyectos Reiwa]]),SUMIFS(#REF!,#REF!,Planning[[#This Row],[Tipo de Tarea y especialidad]],#REF!,Planning[[#This Row],[Proyectos]]))</f>
        <v>#REF!</v>
      </c>
      <c r="K5793" s="5" t="e">
        <f>+Planning[[#This Row],[Horas Planificadas]]+Planning[[#This Row],[Horas ajustadas adicionales]]-Planning[[#This Row],[Horas utilizadas]]</f>
        <v>#REF!</v>
      </c>
      <c r="L5793" s="7" t="e">
        <f>Planning[[#This Row],[Saldo]]</f>
        <v>#REF!</v>
      </c>
      <c r="M5793" s="19" t="e">
        <f>Planning[[#This Row],[Saldo]]-Planning[[#This Row],[Saldo estimado]]</f>
        <v>#REF!</v>
      </c>
      <c r="N5793" s="60" t="e">
        <f>+SUMIFS(#REF!,#REF!,Planning[[#This Row],[Proyectos]],#REF!,Planning[[#This Row],[Tipo de Tarea y especialidad]])+SUMIFS(#REF!,#REF!,Planning[[#This Row],[Proyectos Reiwa]],#REF!,Planning[[#This Row],[Tipo de Tarea y especialidad]])</f>
        <v>#REF!</v>
      </c>
      <c r="O5793" s="19">
        <f t="shared" si="181"/>
        <v>10</v>
      </c>
      <c r="P5793" s="19">
        <f t="shared" si="182"/>
        <v>2024</v>
      </c>
      <c r="Q57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93" s="49" t="str">
        <f>TEXT(Planning[[#This Row],[Mes]]*29,"mmmm")</f>
        <v>October</v>
      </c>
      <c r="S579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93" s="156"/>
      <c r="U5793" s="93"/>
      <c r="V5793" s="93"/>
      <c r="W5793" s="94"/>
    </row>
    <row r="5794" spans="1:23" ht="13.35" customHeight="1" x14ac:dyDescent="0.2">
      <c r="A5794" s="9" t="s">
        <v>435</v>
      </c>
      <c r="B5794" s="9" t="s">
        <v>463</v>
      </c>
      <c r="C5794" s="3">
        <v>117060</v>
      </c>
      <c r="D5794" s="3" t="s">
        <v>1008</v>
      </c>
      <c r="E5794" s="4"/>
      <c r="F5794" s="3" t="s">
        <v>131</v>
      </c>
      <c r="G5794" s="9"/>
      <c r="H5794" s="9">
        <v>30</v>
      </c>
      <c r="I5794" s="12"/>
      <c r="J5794" s="5" t="e">
        <f>SUM(SUMIFS(#REF!,#REF!,Planning[[#This Row],[Tipo de Tarea y especialidad]],#REF!,Planning[[#This Row],[Proyectos Reiwa]]),SUMIFS(#REF!,#REF!,Planning[[#This Row],[Tipo de Tarea y especialidad]],#REF!,Planning[[#This Row],[Proyectos]]))</f>
        <v>#REF!</v>
      </c>
      <c r="K5794" s="5" t="e">
        <f>+Planning[[#This Row],[Horas Planificadas]]+Planning[[#This Row],[Horas ajustadas adicionales]]-Planning[[#This Row],[Horas utilizadas]]</f>
        <v>#REF!</v>
      </c>
      <c r="L5794" s="7" t="e">
        <f>Planning[[#This Row],[Saldo]]</f>
        <v>#REF!</v>
      </c>
      <c r="M5794" s="19" t="e">
        <f>Planning[[#This Row],[Saldo]]-Planning[[#This Row],[Saldo estimado]]</f>
        <v>#REF!</v>
      </c>
      <c r="N5794" s="60" t="e">
        <f>+SUMIFS(#REF!,#REF!,Planning[[#This Row],[Proyectos]],#REF!,Planning[[#This Row],[Tipo de Tarea y especialidad]])+SUMIFS(#REF!,#REF!,Planning[[#This Row],[Proyectos Reiwa]],#REF!,Planning[[#This Row],[Tipo de Tarea y especialidad]])</f>
        <v>#REF!</v>
      </c>
      <c r="O5794" s="19">
        <f t="shared" si="181"/>
        <v>10</v>
      </c>
      <c r="P5794" s="19">
        <f t="shared" si="182"/>
        <v>2024</v>
      </c>
      <c r="Q57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94" s="51" t="str">
        <f>TEXT(Planning[[#This Row],[Mes]]*29,"mmmm")</f>
        <v>October</v>
      </c>
      <c r="S5794"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94" s="157"/>
      <c r="U5794" s="93"/>
      <c r="V5794" s="93"/>
      <c r="W5794" s="94"/>
    </row>
    <row r="5795" spans="1:23" ht="13.35" customHeight="1" x14ac:dyDescent="0.2">
      <c r="A5795" s="9" t="s">
        <v>991</v>
      </c>
      <c r="B5795" s="9" t="s">
        <v>779</v>
      </c>
      <c r="C5795" s="3">
        <v>116787</v>
      </c>
      <c r="D5795" s="3" t="s">
        <v>1010</v>
      </c>
      <c r="E5795" s="4" t="s">
        <v>28</v>
      </c>
      <c r="F5795" s="3"/>
      <c r="G5795" s="9"/>
      <c r="H5795" s="14"/>
      <c r="I5795" s="14"/>
      <c r="J5795" s="14" t="e">
        <f>SUM(J5796:J5797)</f>
        <v>#REF!</v>
      </c>
      <c r="K5795" s="14" t="e">
        <f>+Planning[[#This Row],[Horas Planificadas]]+Planning[[#This Row],[Horas ajustadas adicionales]]-Planning[[#This Row],[Horas utilizadas]]</f>
        <v>#REF!</v>
      </c>
      <c r="L5795" s="15" t="e">
        <f>Planning[[#This Row],[Saldo]]</f>
        <v>#REF!</v>
      </c>
      <c r="M5795" s="14" t="e">
        <f>SUM(M5796:M5797)</f>
        <v>#REF!</v>
      </c>
      <c r="N5795" s="60" t="e">
        <f>+SUMIFS(#REF!,#REF!,Planning[[#This Row],[Proyectos]],#REF!,Planning[[#This Row],[Tipo de Tarea y especialidad]])+SUMIFS(#REF!,#REF!,Planning[[#This Row],[Proyectos Reiwa]],#REF!,Planning[[#This Row],[Tipo de Tarea y especialidad]])</f>
        <v>#REF!</v>
      </c>
      <c r="O5795" s="14">
        <f t="shared" si="181"/>
        <v>10</v>
      </c>
      <c r="P5795" s="14">
        <f t="shared" si="182"/>
        <v>2024</v>
      </c>
      <c r="Q5795" s="28" t="e">
        <f>SUM(Q5796:Q5797)</f>
        <v>#REF!</v>
      </c>
      <c r="R5795" s="24" t="str">
        <f>TEXT(Planning[[#This Row],[Mes]]*29,"mmmm")</f>
        <v>October</v>
      </c>
      <c r="S5795"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95" s="161" t="s">
        <v>1011</v>
      </c>
      <c r="U5795" s="43">
        <f>IF(Planning[[#This Row],[Horas Planificadas]]&lt;&gt;0,+K5795/Planning[[#This Row],[Horas Planificadas]],0)</f>
        <v>0</v>
      </c>
      <c r="V5795" s="43">
        <f>IF(Planning[[#This Row],[Horas Planificadas]]&lt;&gt;0,Planning[[#This Row],[Horas utilizadas]]/Planning[[#This Row],[Horas Planificadas]],0)</f>
        <v>0</v>
      </c>
      <c r="W5795" s="44">
        <f>Planning[[#This Row],[Horas Planificadas]]+Planning[[#This Row],[Horas ajustadas adicionales]]</f>
        <v>0</v>
      </c>
    </row>
    <row r="5796" spans="1:23" ht="13.35" customHeight="1" x14ac:dyDescent="0.2">
      <c r="A5796" s="9" t="s">
        <v>991</v>
      </c>
      <c r="B5796" s="9" t="s">
        <v>779</v>
      </c>
      <c r="C5796" s="3">
        <v>116787</v>
      </c>
      <c r="D5796" s="3" t="s">
        <v>1010</v>
      </c>
      <c r="E5796" s="4"/>
      <c r="F5796" s="3" t="s">
        <v>120</v>
      </c>
      <c r="G5796" s="9"/>
      <c r="H5796" s="9"/>
      <c r="I5796" s="12"/>
      <c r="J5796" s="5" t="e">
        <f>SUM(SUMIFS(#REF!,#REF!,Planning[[#This Row],[Tipo de Tarea y especialidad]],#REF!,Planning[[#This Row],[Proyectos Reiwa]]),SUMIFS(#REF!,#REF!,Planning[[#This Row],[Tipo de Tarea y especialidad]],#REF!,Planning[[#This Row],[Proyectos]]))</f>
        <v>#REF!</v>
      </c>
      <c r="K5796" s="5" t="e">
        <f>+Planning[[#This Row],[Horas Planificadas]]+Planning[[#This Row],[Horas ajustadas adicionales]]-Planning[[#This Row],[Horas utilizadas]]</f>
        <v>#REF!</v>
      </c>
      <c r="L5796" s="15" t="e">
        <f>Planning[[#This Row],[Saldo]]</f>
        <v>#REF!</v>
      </c>
      <c r="M5796" s="19" t="e">
        <f>Planning[[#This Row],[Saldo]]-Planning[[#This Row],[Saldo estimado]]</f>
        <v>#REF!</v>
      </c>
      <c r="N5796" s="60" t="e">
        <f>+SUMIFS(#REF!,#REF!,Planning[[#This Row],[Proyectos]],#REF!,Planning[[#This Row],[Tipo de Tarea y especialidad]])+SUMIFS(#REF!,#REF!,Planning[[#This Row],[Proyectos Reiwa]],#REF!,Planning[[#This Row],[Tipo de Tarea y especialidad]])</f>
        <v>#REF!</v>
      </c>
      <c r="O5796" s="19">
        <f t="shared" si="181"/>
        <v>10</v>
      </c>
      <c r="P5796" s="19">
        <f t="shared" si="182"/>
        <v>2024</v>
      </c>
      <c r="Q57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96" s="49" t="str">
        <f>TEXT(Planning[[#This Row],[Mes]]*29,"mmmm")</f>
        <v>October</v>
      </c>
      <c r="S579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96" s="166"/>
      <c r="U5796" s="43">
        <f>IF(Planning[[#This Row],[Horas Planificadas]]&lt;&gt;0,+K5796/Planning[[#This Row],[Horas Planificadas]],0)</f>
        <v>0</v>
      </c>
      <c r="V5796" s="43">
        <f>IF(Planning[[#This Row],[Horas Planificadas]]&lt;&gt;0,Planning[[#This Row],[Horas utilizadas]]/Planning[[#This Row],[Horas Planificadas]],0)</f>
        <v>0</v>
      </c>
      <c r="W5796" s="44">
        <f>Planning[[#This Row],[Horas Planificadas]]+Planning[[#This Row],[Horas ajustadas adicionales]]</f>
        <v>0</v>
      </c>
    </row>
    <row r="5797" spans="1:23" ht="13.35" customHeight="1" x14ac:dyDescent="0.2">
      <c r="A5797" s="9" t="s">
        <v>991</v>
      </c>
      <c r="B5797" s="9" t="s">
        <v>779</v>
      </c>
      <c r="C5797" s="3">
        <v>116787</v>
      </c>
      <c r="D5797" s="3" t="s">
        <v>1010</v>
      </c>
      <c r="E5797" s="4"/>
      <c r="F5797" s="3" t="s">
        <v>121</v>
      </c>
      <c r="G5797" s="9"/>
      <c r="H5797" s="9"/>
      <c r="I5797" s="12"/>
      <c r="J5797" s="5" t="e">
        <f>SUM(SUMIFS(#REF!,#REF!,Planning[[#This Row],[Tipo de Tarea y especialidad]],#REF!,Planning[[#This Row],[Proyectos Reiwa]]),SUMIFS(#REF!,#REF!,Planning[[#This Row],[Tipo de Tarea y especialidad]],#REF!,Planning[[#This Row],[Proyectos]]))</f>
        <v>#REF!</v>
      </c>
      <c r="K5797" s="5" t="e">
        <f>+Planning[[#This Row],[Horas Planificadas]]+Planning[[#This Row],[Horas ajustadas adicionales]]-Planning[[#This Row],[Horas utilizadas]]</f>
        <v>#REF!</v>
      </c>
      <c r="L5797" s="15" t="e">
        <f>Planning[[#This Row],[Saldo]]</f>
        <v>#REF!</v>
      </c>
      <c r="M5797" s="19" t="e">
        <f>Planning[[#This Row],[Saldo]]-Planning[[#This Row],[Saldo estimado]]</f>
        <v>#REF!</v>
      </c>
      <c r="N5797" s="60" t="e">
        <f>+SUMIFS(#REF!,#REF!,Planning[[#This Row],[Proyectos]],#REF!,Planning[[#This Row],[Tipo de Tarea y especialidad]])+SUMIFS(#REF!,#REF!,Planning[[#This Row],[Proyectos Reiwa]],#REF!,Planning[[#This Row],[Tipo de Tarea y especialidad]])</f>
        <v>#REF!</v>
      </c>
      <c r="O5797" s="19">
        <f t="shared" si="181"/>
        <v>10</v>
      </c>
      <c r="P5797" s="19">
        <f t="shared" si="182"/>
        <v>2024</v>
      </c>
      <c r="Q57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97" s="49" t="str">
        <f>TEXT(Planning[[#This Row],[Mes]]*29,"mmmm")</f>
        <v>October</v>
      </c>
      <c r="S579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97" s="166"/>
      <c r="U5797" s="43">
        <f>IF(Planning[[#This Row],[Horas Planificadas]]&lt;&gt;0,+K5797/Planning[[#This Row],[Horas Planificadas]],0)</f>
        <v>0</v>
      </c>
      <c r="V5797" s="43">
        <f>IF(Planning[[#This Row],[Horas Planificadas]]&lt;&gt;0,Planning[[#This Row],[Horas utilizadas]]/Planning[[#This Row],[Horas Planificadas]],0)</f>
        <v>0</v>
      </c>
      <c r="W5797" s="44">
        <f>Planning[[#This Row],[Horas Planificadas]]+Planning[[#This Row],[Horas ajustadas adicionales]]</f>
        <v>0</v>
      </c>
    </row>
    <row r="5798" spans="1:23" ht="13.35" customHeight="1" x14ac:dyDescent="0.2">
      <c r="A5798" s="9" t="s">
        <v>991</v>
      </c>
      <c r="B5798" s="9" t="s">
        <v>779</v>
      </c>
      <c r="C5798" s="3">
        <v>116787</v>
      </c>
      <c r="D5798" s="3" t="s">
        <v>1010</v>
      </c>
      <c r="E5798" s="4" t="s">
        <v>30</v>
      </c>
      <c r="F5798" s="3"/>
      <c r="G5798" s="53">
        <f>G5799+G5800+G5801+G5802+G5803+G5804+G5805</f>
        <v>54</v>
      </c>
      <c r="H5798" s="20">
        <f>SUM(H5799:H5805)</f>
        <v>54</v>
      </c>
      <c r="I5798" s="14"/>
      <c r="J5798" s="14" t="e">
        <f>SUM(J5799:J5805)</f>
        <v>#REF!</v>
      </c>
      <c r="K5798" s="76" t="e">
        <f>+Planning[[#This Row],[Horas Planificadas]]+Planning[[#This Row],[Horas ajustadas adicionales]]-Planning[[#This Row],[Horas utilizadas]]</f>
        <v>#REF!</v>
      </c>
      <c r="L5798" s="119" t="e">
        <f>SUM(L5799:L5805)</f>
        <v>#REF!</v>
      </c>
      <c r="M5798" s="16">
        <v>0</v>
      </c>
      <c r="N5798" s="60" t="e">
        <f>+SUMIFS(#REF!,#REF!,Planning[[#This Row],[Proyectos]],#REF!,Planning[[#This Row],[Tipo de Tarea y especialidad]])+SUMIFS(#REF!,#REF!,Planning[[#This Row],[Proyectos Reiwa]],#REF!,Planning[[#This Row],[Tipo de Tarea y especialidad]])</f>
        <v>#REF!</v>
      </c>
      <c r="O5798" s="16">
        <f t="shared" si="181"/>
        <v>10</v>
      </c>
      <c r="P5798" s="16">
        <f t="shared" si="182"/>
        <v>2024</v>
      </c>
      <c r="Q5798" s="16" t="e">
        <f>SUM(Q5799:Q5805)</f>
        <v>#REF!</v>
      </c>
      <c r="R5798" s="50" t="str">
        <f>TEXT(Planning[[#This Row],[Mes]]*29,"mmmm")</f>
        <v>October</v>
      </c>
      <c r="S579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98" s="166"/>
      <c r="U5798" s="43" t="e">
        <f>IF(Planning[[#This Row],[Horas Planificadas]]&lt;&gt;0,+K5798/Planning[[#This Row],[Horas Planificadas]],0)</f>
        <v>#REF!</v>
      </c>
      <c r="V5798" s="43" t="e">
        <f>IF(Planning[[#This Row],[Horas Planificadas]]&lt;&gt;0,Planning[[#This Row],[Horas utilizadas]]/Planning[[#This Row],[Horas Planificadas]],0)</f>
        <v>#REF!</v>
      </c>
      <c r="W5798" s="44">
        <f>Planning[[#This Row],[Horas Planificadas]]+Planning[[#This Row],[Horas ajustadas adicionales]]</f>
        <v>54</v>
      </c>
    </row>
    <row r="5799" spans="1:23" ht="13.35" customHeight="1" x14ac:dyDescent="0.2">
      <c r="A5799" s="9" t="s">
        <v>991</v>
      </c>
      <c r="B5799" s="9" t="s">
        <v>779</v>
      </c>
      <c r="C5799" s="3">
        <v>116787</v>
      </c>
      <c r="D5799" s="3" t="s">
        <v>1010</v>
      </c>
      <c r="E5799" s="4"/>
      <c r="F5799" s="3" t="s">
        <v>122</v>
      </c>
      <c r="G5799" s="9"/>
      <c r="H5799" s="9"/>
      <c r="I5799" s="12"/>
      <c r="J5799" s="5" t="e">
        <f>SUM(SUMIFS(#REF!,#REF!,Planning[[#This Row],[Tipo de Tarea y especialidad]],#REF!,Planning[[#This Row],[Proyectos Reiwa]]),SUMIFS(#REF!,#REF!,Planning[[#This Row],[Tipo de Tarea y especialidad]],#REF!,Planning[[#This Row],[Proyectos]]))</f>
        <v>#REF!</v>
      </c>
      <c r="K5799" s="5" t="e">
        <f>+Planning[[#This Row],[Horas Planificadas]]+Planning[[#This Row],[Horas ajustadas adicionales]]-Planning[[#This Row],[Horas utilizadas]]</f>
        <v>#REF!</v>
      </c>
      <c r="L5799" s="15" t="e">
        <f>Planning[[#This Row],[Saldo]]</f>
        <v>#REF!</v>
      </c>
      <c r="M5799" s="19" t="e">
        <f>Planning[[#This Row],[Saldo]]-Planning[[#This Row],[Saldo estimado]]</f>
        <v>#REF!</v>
      </c>
      <c r="N5799" s="60" t="e">
        <f>+SUMIFS(#REF!,#REF!,Planning[[#This Row],[Proyectos]],#REF!,Planning[[#This Row],[Tipo de Tarea y especialidad]])+SUMIFS(#REF!,#REF!,Planning[[#This Row],[Proyectos Reiwa]],#REF!,Planning[[#This Row],[Tipo de Tarea y especialidad]])</f>
        <v>#REF!</v>
      </c>
      <c r="O5799" s="19">
        <f t="shared" si="181"/>
        <v>10</v>
      </c>
      <c r="P5799" s="19">
        <f t="shared" si="182"/>
        <v>2024</v>
      </c>
      <c r="Q57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799" s="49" t="str">
        <f>TEXT(Planning[[#This Row],[Mes]]*29,"mmmm")</f>
        <v>October</v>
      </c>
      <c r="S579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799" s="166"/>
      <c r="U5799" s="43">
        <f>IF(Planning[[#This Row],[Horas Planificadas]]&lt;&gt;0,+K5799/Planning[[#This Row],[Horas Planificadas]],0)</f>
        <v>0</v>
      </c>
      <c r="V5799" s="43">
        <f>IF(Planning[[#This Row],[Horas Planificadas]]&lt;&gt;0,Planning[[#This Row],[Horas utilizadas]]/Planning[[#This Row],[Horas Planificadas]],0)</f>
        <v>0</v>
      </c>
      <c r="W5799" s="44">
        <f>Planning[[#This Row],[Horas Planificadas]]+Planning[[#This Row],[Horas ajustadas adicionales]]</f>
        <v>0</v>
      </c>
    </row>
    <row r="5800" spans="1:23" ht="13.35" customHeight="1" x14ac:dyDescent="0.2">
      <c r="A5800" s="9" t="s">
        <v>991</v>
      </c>
      <c r="B5800" s="9" t="s">
        <v>779</v>
      </c>
      <c r="C5800" s="3">
        <v>116787</v>
      </c>
      <c r="D5800" s="3" t="s">
        <v>1010</v>
      </c>
      <c r="E5800" s="4"/>
      <c r="F5800" s="3" t="s">
        <v>123</v>
      </c>
      <c r="G5800" s="9">
        <v>36</v>
      </c>
      <c r="H5800" s="9">
        <v>36</v>
      </c>
      <c r="I5800" s="12"/>
      <c r="J5800" s="5" t="e">
        <f>SUM(SUMIFS(#REF!,#REF!,Planning[[#This Row],[Tipo de Tarea y especialidad]],#REF!,Planning[[#This Row],[Proyectos Reiwa]]),SUMIFS(#REF!,#REF!,Planning[[#This Row],[Tipo de Tarea y especialidad]],#REF!,Planning[[#This Row],[Proyectos]]))</f>
        <v>#REF!</v>
      </c>
      <c r="K5800" s="5" t="e">
        <f>+Planning[[#This Row],[Horas Planificadas]]+Planning[[#This Row],[Horas ajustadas adicionales]]-Planning[[#This Row],[Horas utilizadas]]</f>
        <v>#REF!</v>
      </c>
      <c r="L5800" s="15" t="e">
        <f>Planning[[#This Row],[Saldo]]</f>
        <v>#REF!</v>
      </c>
      <c r="M5800" s="19" t="e">
        <f>Planning[[#This Row],[Saldo]]-Planning[[#This Row],[Saldo estimado]]</f>
        <v>#REF!</v>
      </c>
      <c r="N5800" s="60" t="e">
        <f>+SUMIFS(#REF!,#REF!,Planning[[#This Row],[Proyectos]],#REF!,Planning[[#This Row],[Tipo de Tarea y especialidad]])+SUMIFS(#REF!,#REF!,Planning[[#This Row],[Proyectos Reiwa]],#REF!,Planning[[#This Row],[Tipo de Tarea y especialidad]])</f>
        <v>#REF!</v>
      </c>
      <c r="O5800" s="19">
        <f t="shared" si="181"/>
        <v>10</v>
      </c>
      <c r="P5800" s="19">
        <f t="shared" si="182"/>
        <v>2024</v>
      </c>
      <c r="Q58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00" s="49" t="str">
        <f>TEXT(Planning[[#This Row],[Mes]]*29,"mmmm")</f>
        <v>October</v>
      </c>
      <c r="S580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00" s="166"/>
      <c r="U5800" s="43" t="e">
        <f>IF(Planning[[#This Row],[Horas Planificadas]]&lt;&gt;0,+K5800/Planning[[#This Row],[Horas Planificadas]],0)</f>
        <v>#REF!</v>
      </c>
      <c r="V5800" s="43" t="e">
        <f>IF(Planning[[#This Row],[Horas Planificadas]]&lt;&gt;0,Planning[[#This Row],[Horas utilizadas]]/Planning[[#This Row],[Horas Planificadas]],0)</f>
        <v>#REF!</v>
      </c>
      <c r="W5800" s="44">
        <f>Planning[[#This Row],[Horas Planificadas]]+Planning[[#This Row],[Horas ajustadas adicionales]]</f>
        <v>36</v>
      </c>
    </row>
    <row r="5801" spans="1:23" ht="13.35" customHeight="1" x14ac:dyDescent="0.2">
      <c r="A5801" s="9" t="s">
        <v>991</v>
      </c>
      <c r="B5801" s="9" t="s">
        <v>779</v>
      </c>
      <c r="C5801" s="3">
        <v>116787</v>
      </c>
      <c r="D5801" s="3" t="s">
        <v>1010</v>
      </c>
      <c r="E5801" s="4"/>
      <c r="F5801" s="3" t="s">
        <v>124</v>
      </c>
      <c r="G5801" s="9"/>
      <c r="H5801" s="9"/>
      <c r="I5801" s="12"/>
      <c r="J5801" s="5" t="e">
        <f>SUM(SUMIFS(#REF!,#REF!,Planning[[#This Row],[Tipo de Tarea y especialidad]],#REF!,Planning[[#This Row],[Proyectos Reiwa]]),SUMIFS(#REF!,#REF!,Planning[[#This Row],[Tipo de Tarea y especialidad]],#REF!,Planning[[#This Row],[Proyectos]]))</f>
        <v>#REF!</v>
      </c>
      <c r="K5801" s="5" t="e">
        <f>+Planning[[#This Row],[Horas Planificadas]]+Planning[[#This Row],[Horas ajustadas adicionales]]-Planning[[#This Row],[Horas utilizadas]]</f>
        <v>#REF!</v>
      </c>
      <c r="L5801" s="15" t="e">
        <f>Planning[[#This Row],[Saldo]]</f>
        <v>#REF!</v>
      </c>
      <c r="M5801" s="19" t="e">
        <f>Planning[[#This Row],[Saldo]]-Planning[[#This Row],[Saldo estimado]]</f>
        <v>#REF!</v>
      </c>
      <c r="N5801" s="60" t="e">
        <f>+SUMIFS(#REF!,#REF!,Planning[[#This Row],[Proyectos]],#REF!,Planning[[#This Row],[Tipo de Tarea y especialidad]])+SUMIFS(#REF!,#REF!,Planning[[#This Row],[Proyectos Reiwa]],#REF!,Planning[[#This Row],[Tipo de Tarea y especialidad]])</f>
        <v>#REF!</v>
      </c>
      <c r="O5801" s="19">
        <f t="shared" si="181"/>
        <v>10</v>
      </c>
      <c r="P5801" s="19">
        <f t="shared" si="182"/>
        <v>2024</v>
      </c>
      <c r="Q58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01" s="49" t="str">
        <f>TEXT(Planning[[#This Row],[Mes]]*29,"mmmm")</f>
        <v>October</v>
      </c>
      <c r="S580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01" s="166"/>
      <c r="U5801" s="43">
        <f>IF(Planning[[#This Row],[Horas Planificadas]]&lt;&gt;0,+K5801/Planning[[#This Row],[Horas Planificadas]],0)</f>
        <v>0</v>
      </c>
      <c r="V5801" s="43">
        <f>IF(Planning[[#This Row],[Horas Planificadas]]&lt;&gt;0,Planning[[#This Row],[Horas utilizadas]]/Planning[[#This Row],[Horas Planificadas]],0)</f>
        <v>0</v>
      </c>
      <c r="W5801" s="44">
        <f>Planning[[#This Row],[Horas Planificadas]]+Planning[[#This Row],[Horas ajustadas adicionales]]</f>
        <v>0</v>
      </c>
    </row>
    <row r="5802" spans="1:23" ht="13.35" customHeight="1" x14ac:dyDescent="0.2">
      <c r="A5802" s="9" t="s">
        <v>991</v>
      </c>
      <c r="B5802" s="9" t="s">
        <v>779</v>
      </c>
      <c r="C5802" s="3">
        <v>116787</v>
      </c>
      <c r="D5802" s="3" t="s">
        <v>1010</v>
      </c>
      <c r="E5802" s="4"/>
      <c r="F5802" s="3" t="s">
        <v>125</v>
      </c>
      <c r="G5802" s="9">
        <v>18</v>
      </c>
      <c r="H5802" s="9">
        <v>18</v>
      </c>
      <c r="I5802" s="12"/>
      <c r="J5802" s="5" t="e">
        <f>SUM(SUMIFS(#REF!,#REF!,Planning[[#This Row],[Tipo de Tarea y especialidad]],#REF!,Planning[[#This Row],[Proyectos Reiwa]]),SUMIFS(#REF!,#REF!,Planning[[#This Row],[Tipo de Tarea y especialidad]],#REF!,Planning[[#This Row],[Proyectos]]))</f>
        <v>#REF!</v>
      </c>
      <c r="K5802" s="5" t="e">
        <f>+Planning[[#This Row],[Horas Planificadas]]+Planning[[#This Row],[Horas ajustadas adicionales]]-Planning[[#This Row],[Horas utilizadas]]</f>
        <v>#REF!</v>
      </c>
      <c r="L5802" s="15">
        <v>0</v>
      </c>
      <c r="M5802" s="19" t="e">
        <f>Planning[[#This Row],[Saldo]]-Planning[[#This Row],[Saldo estimado]]</f>
        <v>#REF!</v>
      </c>
      <c r="N5802" s="60" t="e">
        <f>+SUMIFS(#REF!,#REF!,Planning[[#This Row],[Proyectos]],#REF!,Planning[[#This Row],[Tipo de Tarea y especialidad]])+SUMIFS(#REF!,#REF!,Planning[[#This Row],[Proyectos Reiwa]],#REF!,Planning[[#This Row],[Tipo de Tarea y especialidad]])</f>
        <v>#REF!</v>
      </c>
      <c r="O5802" s="19">
        <f t="shared" si="181"/>
        <v>10</v>
      </c>
      <c r="P5802" s="19">
        <f t="shared" si="182"/>
        <v>2024</v>
      </c>
      <c r="Q58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02" s="49" t="str">
        <f>TEXT(Planning[[#This Row],[Mes]]*29,"mmmm")</f>
        <v>October</v>
      </c>
      <c r="S580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02" s="166"/>
      <c r="U5802" s="43" t="e">
        <f>IF(Planning[[#This Row],[Horas Planificadas]]&lt;&gt;0,+K5802/Planning[[#This Row],[Horas Planificadas]],0)</f>
        <v>#REF!</v>
      </c>
      <c r="V5802" s="43" t="e">
        <f>IF(Planning[[#This Row],[Horas Planificadas]]&lt;&gt;0,Planning[[#This Row],[Horas utilizadas]]/Planning[[#This Row],[Horas Planificadas]],0)</f>
        <v>#REF!</v>
      </c>
      <c r="W5802" s="44">
        <f>Planning[[#This Row],[Horas Planificadas]]+Planning[[#This Row],[Horas ajustadas adicionales]]</f>
        <v>18</v>
      </c>
    </row>
    <row r="5803" spans="1:23" ht="13.35" customHeight="1" x14ac:dyDescent="0.2">
      <c r="A5803" s="9" t="s">
        <v>991</v>
      </c>
      <c r="B5803" s="9" t="s">
        <v>779</v>
      </c>
      <c r="C5803" s="3">
        <v>116787</v>
      </c>
      <c r="D5803" s="3" t="s">
        <v>1010</v>
      </c>
      <c r="E5803" s="4"/>
      <c r="F5803" s="3" t="s">
        <v>126</v>
      </c>
      <c r="G5803" s="9"/>
      <c r="H5803" s="9"/>
      <c r="I5803" s="12"/>
      <c r="J5803" s="5" t="e">
        <f>SUM(SUMIFS(#REF!,#REF!,Planning[[#This Row],[Tipo de Tarea y especialidad]],#REF!,Planning[[#This Row],[Proyectos Reiwa]]),SUMIFS(#REF!,#REF!,Planning[[#This Row],[Tipo de Tarea y especialidad]],#REF!,Planning[[#This Row],[Proyectos]]))</f>
        <v>#REF!</v>
      </c>
      <c r="K5803" s="5">
        <v>0</v>
      </c>
      <c r="L5803" s="15">
        <v>0</v>
      </c>
      <c r="M5803" s="19">
        <f>Planning[[#This Row],[Saldo]]-Planning[[#This Row],[Saldo estimado]]</f>
        <v>0</v>
      </c>
      <c r="N5803" s="60" t="e">
        <f>+SUMIFS(#REF!,#REF!,Planning[[#This Row],[Proyectos]],#REF!,Planning[[#This Row],[Tipo de Tarea y especialidad]])+SUMIFS(#REF!,#REF!,Planning[[#This Row],[Proyectos Reiwa]],#REF!,Planning[[#This Row],[Tipo de Tarea y especialidad]])</f>
        <v>#REF!</v>
      </c>
      <c r="O5803" s="19">
        <f t="shared" si="181"/>
        <v>10</v>
      </c>
      <c r="P5803" s="19">
        <f t="shared" si="182"/>
        <v>2024</v>
      </c>
      <c r="Q580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03" s="49" t="str">
        <f>TEXT(Planning[[#This Row],[Mes]]*29,"mmmm")</f>
        <v>October</v>
      </c>
      <c r="S580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03" s="166"/>
      <c r="U5803" s="43">
        <f>IF(Planning[[#This Row],[Horas Planificadas]]&lt;&gt;0,+K5803/Planning[[#This Row],[Horas Planificadas]],0)</f>
        <v>0</v>
      </c>
      <c r="V5803" s="43">
        <f>IF(Planning[[#This Row],[Horas Planificadas]]&lt;&gt;0,Planning[[#This Row],[Horas utilizadas]]/Planning[[#This Row],[Horas Planificadas]],0)</f>
        <v>0</v>
      </c>
      <c r="W5803" s="44">
        <f>Planning[[#This Row],[Horas Planificadas]]+Planning[[#This Row],[Horas ajustadas adicionales]]</f>
        <v>0</v>
      </c>
    </row>
    <row r="5804" spans="1:23" ht="13.35" customHeight="1" x14ac:dyDescent="0.2">
      <c r="A5804" s="9" t="s">
        <v>991</v>
      </c>
      <c r="B5804" s="9" t="s">
        <v>779</v>
      </c>
      <c r="C5804" s="3">
        <v>116787</v>
      </c>
      <c r="D5804" s="3" t="s">
        <v>1010</v>
      </c>
      <c r="E5804" s="4"/>
      <c r="F5804" s="3" t="s">
        <v>127</v>
      </c>
      <c r="G5804" s="9"/>
      <c r="H5804" s="9"/>
      <c r="I5804" s="12"/>
      <c r="J5804" s="5" t="e">
        <f>SUM(SUMIFS(#REF!,#REF!,Planning[[#This Row],[Tipo de Tarea y especialidad]],#REF!,Planning[[#This Row],[Proyectos Reiwa]]),SUMIFS(#REF!,#REF!,Planning[[#This Row],[Tipo de Tarea y especialidad]],#REF!,Planning[[#This Row],[Proyectos]]))</f>
        <v>#REF!</v>
      </c>
      <c r="K5804" s="5" t="e">
        <f>+Planning[[#This Row],[Horas Planificadas]]+Planning[[#This Row],[Horas ajustadas adicionales]]-Planning[[#This Row],[Horas utilizadas]]</f>
        <v>#REF!</v>
      </c>
      <c r="L5804" s="15" t="e">
        <f>Planning[[#This Row],[Saldo]]</f>
        <v>#REF!</v>
      </c>
      <c r="M5804" s="19" t="e">
        <f>Planning[[#This Row],[Saldo]]-Planning[[#This Row],[Saldo estimado]]</f>
        <v>#REF!</v>
      </c>
      <c r="N5804" s="60" t="e">
        <f>+SUMIFS(#REF!,#REF!,Planning[[#This Row],[Proyectos]],#REF!,Planning[[#This Row],[Tipo de Tarea y especialidad]])+SUMIFS(#REF!,#REF!,Planning[[#This Row],[Proyectos Reiwa]],#REF!,Planning[[#This Row],[Tipo de Tarea y especialidad]])</f>
        <v>#REF!</v>
      </c>
      <c r="O5804" s="19">
        <f t="shared" si="181"/>
        <v>10</v>
      </c>
      <c r="P5804" s="19">
        <f t="shared" si="182"/>
        <v>2024</v>
      </c>
      <c r="Q58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04" s="49" t="str">
        <f>TEXT(Planning[[#This Row],[Mes]]*29,"mmmm")</f>
        <v>October</v>
      </c>
      <c r="S580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04" s="166"/>
      <c r="U5804" s="43">
        <f>IF(Planning[[#This Row],[Horas Planificadas]]&lt;&gt;0,+K5804/Planning[[#This Row],[Horas Planificadas]],0)</f>
        <v>0</v>
      </c>
      <c r="V5804" s="43">
        <f>IF(Planning[[#This Row],[Horas Planificadas]]&lt;&gt;0,Planning[[#This Row],[Horas utilizadas]]/Planning[[#This Row],[Horas Planificadas]],0)</f>
        <v>0</v>
      </c>
      <c r="W5804" s="44">
        <f>Planning[[#This Row],[Horas Planificadas]]+Planning[[#This Row],[Horas ajustadas adicionales]]</f>
        <v>0</v>
      </c>
    </row>
    <row r="5805" spans="1:23" ht="13.35" customHeight="1" x14ac:dyDescent="0.2">
      <c r="A5805" s="9" t="s">
        <v>991</v>
      </c>
      <c r="B5805" s="9" t="s">
        <v>779</v>
      </c>
      <c r="C5805" s="3">
        <v>116787</v>
      </c>
      <c r="D5805" s="3" t="s">
        <v>1010</v>
      </c>
      <c r="E5805" s="4"/>
      <c r="F5805" s="3" t="s">
        <v>128</v>
      </c>
      <c r="G5805" s="9"/>
      <c r="H5805" s="9"/>
      <c r="I5805" s="12"/>
      <c r="J5805" s="5" t="e">
        <f>SUM(SUMIFS(#REF!,#REF!,Planning[[#This Row],[Tipo de Tarea y especialidad]],#REF!,Planning[[#This Row],[Proyectos Reiwa]]),SUMIFS(#REF!,#REF!,Planning[[#This Row],[Tipo de Tarea y especialidad]],#REF!,Planning[[#This Row],[Proyectos]]))</f>
        <v>#REF!</v>
      </c>
      <c r="K5805" s="5" t="e">
        <f>+Planning[[#This Row],[Horas Planificadas]]+Planning[[#This Row],[Horas ajustadas adicionales]]-Planning[[#This Row],[Horas utilizadas]]</f>
        <v>#REF!</v>
      </c>
      <c r="L5805" s="15" t="e">
        <f>Planning[[#This Row],[Saldo]]</f>
        <v>#REF!</v>
      </c>
      <c r="M5805" s="19" t="e">
        <f>Planning[[#This Row],[Saldo]]-Planning[[#This Row],[Saldo estimado]]</f>
        <v>#REF!</v>
      </c>
      <c r="N5805" s="60" t="e">
        <f>+SUMIFS(#REF!,#REF!,Planning[[#This Row],[Proyectos]],#REF!,Planning[[#This Row],[Tipo de Tarea y especialidad]])+SUMIFS(#REF!,#REF!,Planning[[#This Row],[Proyectos Reiwa]],#REF!,Planning[[#This Row],[Tipo de Tarea y especialidad]])</f>
        <v>#REF!</v>
      </c>
      <c r="O5805" s="19">
        <f t="shared" si="181"/>
        <v>10</v>
      </c>
      <c r="P5805" s="19">
        <f t="shared" si="182"/>
        <v>2024</v>
      </c>
      <c r="Q58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05" s="49" t="str">
        <f>TEXT(Planning[[#This Row],[Mes]]*29,"mmmm")</f>
        <v>October</v>
      </c>
      <c r="S580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05" s="166"/>
      <c r="U5805" s="43">
        <f>IF(Planning[[#This Row],[Horas Planificadas]]&lt;&gt;0,+K5805/Planning[[#This Row],[Horas Planificadas]],0)</f>
        <v>0</v>
      </c>
      <c r="V5805" s="43">
        <f>IF(Planning[[#This Row],[Horas Planificadas]]&lt;&gt;0,Planning[[#This Row],[Horas utilizadas]]/Planning[[#This Row],[Horas Planificadas]],0)</f>
        <v>0</v>
      </c>
      <c r="W5805" s="44">
        <f>Planning[[#This Row],[Horas Planificadas]]+Planning[[#This Row],[Horas ajustadas adicionales]]</f>
        <v>0</v>
      </c>
    </row>
    <row r="5806" spans="1:23" ht="13.35" customHeight="1" x14ac:dyDescent="0.2">
      <c r="A5806" s="9" t="s">
        <v>991</v>
      </c>
      <c r="B5806" s="9" t="s">
        <v>779</v>
      </c>
      <c r="C5806" s="3">
        <v>116787</v>
      </c>
      <c r="D5806" s="3" t="s">
        <v>1010</v>
      </c>
      <c r="E5806" s="4" t="s">
        <v>31</v>
      </c>
      <c r="F5806" s="3" t="s">
        <v>31</v>
      </c>
      <c r="G5806" s="9">
        <v>9</v>
      </c>
      <c r="H5806" s="17">
        <v>9</v>
      </c>
      <c r="I5806" s="18"/>
      <c r="J5806" s="14" t="e">
        <f>+SUMIFS(#REF!,#REF!,Planning[[#This Row],[Tarifa]],#REF!,Planning[[#This Row],[Proyectos]])</f>
        <v>#REF!</v>
      </c>
      <c r="K5806" s="14">
        <v>0</v>
      </c>
      <c r="L5806" s="15">
        <v>0</v>
      </c>
      <c r="M5806" s="16">
        <f>Planning[[#This Row],[Saldo]]-Planning[[#This Row],[Saldo estimado]]</f>
        <v>0</v>
      </c>
      <c r="N5806" s="60" t="e">
        <f>+SUMIFS(#REF!,#REF!,Planning[[#This Row],[Proyectos]],#REF!,Planning[[#This Row],[Tipo de Tarea y especialidad]])+SUMIFS(#REF!,#REF!,Planning[[#This Row],[Proyectos Reiwa]],#REF!,Planning[[#This Row],[Tipo de Tarea y especialidad]])</f>
        <v>#REF!</v>
      </c>
      <c r="O5806" s="16">
        <f t="shared" si="181"/>
        <v>10</v>
      </c>
      <c r="P5806" s="16">
        <f t="shared" si="182"/>
        <v>2024</v>
      </c>
      <c r="Q5806" s="16" t="e">
        <f>+SUMIFS(#REF!,#REF!,Planning[[#This Row],[Tarifa]],#REF!,Planning[[#This Row],[Proyectos]],#REF!,Planning[[#This Row],[Mes]],#REF!,Planning[[#This Row],[Año]])</f>
        <v>#REF!</v>
      </c>
      <c r="R5806" s="50" t="str">
        <f>TEXT(Planning[[#This Row],[Mes]]*29,"mmmm")</f>
        <v>October</v>
      </c>
      <c r="S580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06" s="166"/>
      <c r="U5806" s="43">
        <f>IF(Planning[[#This Row],[Horas Planificadas]]&lt;&gt;0,+K5806/Planning[[#This Row],[Horas Planificadas]],0)</f>
        <v>0</v>
      </c>
      <c r="V5806" s="43" t="e">
        <f>IF(Planning[[#This Row],[Horas Planificadas]]&lt;&gt;0,Planning[[#This Row],[Horas utilizadas]]/Planning[[#This Row],[Horas Planificadas]],0)</f>
        <v>#REF!</v>
      </c>
      <c r="W5806" s="44">
        <f>Planning[[#This Row],[Horas Planificadas]]+Planning[[#This Row],[Horas ajustadas adicionales]]</f>
        <v>9</v>
      </c>
    </row>
    <row r="5807" spans="1:23" ht="13.35" customHeight="1" x14ac:dyDescent="0.2">
      <c r="A5807" s="9" t="s">
        <v>991</v>
      </c>
      <c r="B5807" s="9" t="s">
        <v>779</v>
      </c>
      <c r="C5807" s="3">
        <v>116787</v>
      </c>
      <c r="D5807" s="3" t="s">
        <v>1010</v>
      </c>
      <c r="E5807" s="4" t="s">
        <v>32</v>
      </c>
      <c r="F5807" s="3"/>
      <c r="G5807" s="9">
        <v>27</v>
      </c>
      <c r="H5807" s="14">
        <v>27</v>
      </c>
      <c r="I5807" s="14"/>
      <c r="J5807" s="14" t="e">
        <f>SUM(J5808:J5810)</f>
        <v>#REF!</v>
      </c>
      <c r="K5807" s="14" t="e">
        <f>+Planning[[#This Row],[Horas Planificadas]]+Planning[[#This Row],[Horas ajustadas adicionales]]-Planning[[#This Row],[Horas utilizadas]]</f>
        <v>#REF!</v>
      </c>
      <c r="L5807" s="15" t="e">
        <f>Planning[[#This Row],[Saldo]]</f>
        <v>#REF!</v>
      </c>
      <c r="M5807" s="16" t="e">
        <f>SUM(M5808:M5810)</f>
        <v>#REF!</v>
      </c>
      <c r="N5807" s="60" t="e">
        <f>+SUMIFS(#REF!,#REF!,Planning[[#This Row],[Proyectos]],#REF!,Planning[[#This Row],[Tipo de Tarea y especialidad]])+SUMIFS(#REF!,#REF!,Planning[[#This Row],[Proyectos Reiwa]],#REF!,Planning[[#This Row],[Tipo de Tarea y especialidad]])</f>
        <v>#REF!</v>
      </c>
      <c r="O5807" s="16">
        <f t="shared" si="181"/>
        <v>10</v>
      </c>
      <c r="P5807" s="16">
        <f t="shared" si="182"/>
        <v>2024</v>
      </c>
      <c r="Q5807" s="16" t="e">
        <f>SUM(Q5808:Q5810)</f>
        <v>#REF!</v>
      </c>
      <c r="R5807" s="50" t="str">
        <f>TEXT(Planning[[#This Row],[Mes]]*29,"mmmm")</f>
        <v>October</v>
      </c>
      <c r="S580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07" s="166"/>
      <c r="U5807" s="43" t="e">
        <f>IF(Planning[[#This Row],[Horas Planificadas]]&lt;&gt;0,+K5807/Planning[[#This Row],[Horas Planificadas]],0)</f>
        <v>#REF!</v>
      </c>
      <c r="V5807" s="43" t="e">
        <f>IF(Planning[[#This Row],[Horas Planificadas]]&lt;&gt;0,Planning[[#This Row],[Horas utilizadas]]/Planning[[#This Row],[Horas Planificadas]],0)</f>
        <v>#REF!</v>
      </c>
      <c r="W5807" s="44">
        <f>Planning[[#This Row],[Horas Planificadas]]+Planning[[#This Row],[Horas ajustadas adicionales]]</f>
        <v>27</v>
      </c>
    </row>
    <row r="5808" spans="1:23" ht="13.35" customHeight="1" x14ac:dyDescent="0.2">
      <c r="A5808" s="9" t="s">
        <v>991</v>
      </c>
      <c r="B5808" s="9" t="s">
        <v>779</v>
      </c>
      <c r="C5808" s="3">
        <v>116787</v>
      </c>
      <c r="D5808" s="3" t="s">
        <v>1010</v>
      </c>
      <c r="E5808" s="4"/>
      <c r="F5808" s="3" t="s">
        <v>129</v>
      </c>
      <c r="G5808" s="9"/>
      <c r="H5808" s="9"/>
      <c r="I5808" s="12"/>
      <c r="J5808" s="5" t="e">
        <f>SUM(SUMIFS(#REF!,#REF!,Planning[[#This Row],[Tipo de Tarea y especialidad]],#REF!,Planning[[#This Row],[Proyectos Reiwa]]),SUMIFS(#REF!,#REF!,Planning[[#This Row],[Tipo de Tarea y especialidad]],#REF!,Planning[[#This Row],[Proyectos]]))</f>
        <v>#REF!</v>
      </c>
      <c r="K5808" s="5" t="e">
        <f>+Planning[[#This Row],[Horas Planificadas]]+Planning[[#This Row],[Horas ajustadas adicionales]]-Planning[[#This Row],[Horas utilizadas]]</f>
        <v>#REF!</v>
      </c>
      <c r="L5808" s="15" t="e">
        <f>Planning[[#This Row],[Saldo]]</f>
        <v>#REF!</v>
      </c>
      <c r="M5808" s="19" t="e">
        <f>Planning[[#This Row],[Saldo]]-Planning[[#This Row],[Saldo estimado]]</f>
        <v>#REF!</v>
      </c>
      <c r="N5808" s="60" t="e">
        <f>+SUMIFS(#REF!,#REF!,Planning[[#This Row],[Proyectos]],#REF!,Planning[[#This Row],[Tipo de Tarea y especialidad]])+SUMIFS(#REF!,#REF!,Planning[[#This Row],[Proyectos Reiwa]],#REF!,Planning[[#This Row],[Tipo de Tarea y especialidad]])</f>
        <v>#REF!</v>
      </c>
      <c r="O5808" s="19">
        <f t="shared" si="181"/>
        <v>10</v>
      </c>
      <c r="P5808" s="19">
        <f t="shared" si="182"/>
        <v>2024</v>
      </c>
      <c r="Q58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08" s="49" t="str">
        <f>TEXT(Planning[[#This Row],[Mes]]*29,"mmmm")</f>
        <v>October</v>
      </c>
      <c r="S580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08" s="166"/>
      <c r="U5808" s="43">
        <f>IF(Planning[[#This Row],[Horas Planificadas]]&lt;&gt;0,+K5808/Planning[[#This Row],[Horas Planificadas]],0)</f>
        <v>0</v>
      </c>
      <c r="V5808" s="43">
        <f>IF(Planning[[#This Row],[Horas Planificadas]]&lt;&gt;0,Planning[[#This Row],[Horas utilizadas]]/Planning[[#This Row],[Horas Planificadas]],0)</f>
        <v>0</v>
      </c>
      <c r="W5808" s="44">
        <f>Planning[[#This Row],[Horas Planificadas]]+Planning[[#This Row],[Horas ajustadas adicionales]]</f>
        <v>0</v>
      </c>
    </row>
    <row r="5809" spans="1:23" ht="13.35" customHeight="1" x14ac:dyDescent="0.2">
      <c r="A5809" s="9" t="s">
        <v>991</v>
      </c>
      <c r="B5809" s="9" t="s">
        <v>779</v>
      </c>
      <c r="C5809" s="3">
        <v>116787</v>
      </c>
      <c r="D5809" s="3" t="s">
        <v>1010</v>
      </c>
      <c r="E5809" s="4"/>
      <c r="F5809" s="3" t="s">
        <v>130</v>
      </c>
      <c r="G5809" s="9">
        <v>27</v>
      </c>
      <c r="H5809" s="9">
        <v>27</v>
      </c>
      <c r="I5809" s="12"/>
      <c r="J5809" s="5" t="e">
        <f>SUM(SUMIFS(#REF!,#REF!,Planning[[#This Row],[Tipo de Tarea y especialidad]],#REF!,Planning[[#This Row],[Proyectos Reiwa]]),SUMIFS(#REF!,#REF!,Planning[[#This Row],[Tipo de Tarea y especialidad]],#REF!,Planning[[#This Row],[Proyectos]]))</f>
        <v>#REF!</v>
      </c>
      <c r="K5809" s="5" t="e">
        <f>+Planning[[#This Row],[Horas Planificadas]]+Planning[[#This Row],[Horas ajustadas adicionales]]-Planning[[#This Row],[Horas utilizadas]]</f>
        <v>#REF!</v>
      </c>
      <c r="L5809" s="15" t="e">
        <f>Planning[[#This Row],[Saldo]]</f>
        <v>#REF!</v>
      </c>
      <c r="M5809" s="19" t="e">
        <f>Planning[[#This Row],[Saldo]]-Planning[[#This Row],[Saldo estimado]]</f>
        <v>#REF!</v>
      </c>
      <c r="N5809" s="60" t="e">
        <f>+SUMIFS(#REF!,#REF!,Planning[[#This Row],[Proyectos]],#REF!,Planning[[#This Row],[Tipo de Tarea y especialidad]])+SUMIFS(#REF!,#REF!,Planning[[#This Row],[Proyectos Reiwa]],#REF!,Planning[[#This Row],[Tipo de Tarea y especialidad]])</f>
        <v>#REF!</v>
      </c>
      <c r="O5809" s="19">
        <f t="shared" si="181"/>
        <v>10</v>
      </c>
      <c r="P5809" s="19">
        <f t="shared" si="182"/>
        <v>2024</v>
      </c>
      <c r="Q58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09" s="49" t="str">
        <f>TEXT(Planning[[#This Row],[Mes]]*29,"mmmm")</f>
        <v>October</v>
      </c>
      <c r="S580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09" s="166"/>
      <c r="U5809" s="43" t="e">
        <f>IF(Planning[[#This Row],[Horas Planificadas]]&lt;&gt;0,+K5809/Planning[[#This Row],[Horas Planificadas]],0)</f>
        <v>#REF!</v>
      </c>
      <c r="V5809" s="43" t="e">
        <f>IF(Planning[[#This Row],[Horas Planificadas]]&lt;&gt;0,Planning[[#This Row],[Horas utilizadas]]/Planning[[#This Row],[Horas Planificadas]],0)</f>
        <v>#REF!</v>
      </c>
      <c r="W5809" s="44">
        <f>Planning[[#This Row],[Horas Planificadas]]+Planning[[#This Row],[Horas ajustadas adicionales]]</f>
        <v>27</v>
      </c>
    </row>
    <row r="5810" spans="1:23" ht="13.35" customHeight="1" x14ac:dyDescent="0.2">
      <c r="A5810" s="9" t="s">
        <v>991</v>
      </c>
      <c r="B5810" s="9" t="s">
        <v>779</v>
      </c>
      <c r="C5810" s="3">
        <v>116787</v>
      </c>
      <c r="D5810" s="3" t="s">
        <v>1010</v>
      </c>
      <c r="E5810" s="4"/>
      <c r="F5810" s="3" t="s">
        <v>131</v>
      </c>
      <c r="G5810" s="9"/>
      <c r="H5810" s="9"/>
      <c r="I5810" s="12"/>
      <c r="J5810" s="5" t="e">
        <f>SUM(SUMIFS(#REF!,#REF!,Planning[[#This Row],[Tipo de Tarea y especialidad]],#REF!,Planning[[#This Row],[Proyectos Reiwa]]),SUMIFS(#REF!,#REF!,Planning[[#This Row],[Tipo de Tarea y especialidad]],#REF!,Planning[[#This Row],[Proyectos]]))</f>
        <v>#REF!</v>
      </c>
      <c r="K5810" s="5" t="e">
        <f>+Planning[[#This Row],[Horas Planificadas]]+Planning[[#This Row],[Horas ajustadas adicionales]]-Planning[[#This Row],[Horas utilizadas]]</f>
        <v>#REF!</v>
      </c>
      <c r="L5810" s="15" t="e">
        <f>Planning[[#This Row],[Saldo]]</f>
        <v>#REF!</v>
      </c>
      <c r="M5810" s="19" t="e">
        <f>Planning[[#This Row],[Saldo]]-Planning[[#This Row],[Saldo estimado]]</f>
        <v>#REF!</v>
      </c>
      <c r="N5810" s="60" t="e">
        <f>+SUMIFS(#REF!,#REF!,Planning[[#This Row],[Proyectos]],#REF!,Planning[[#This Row],[Tipo de Tarea y especialidad]])+SUMIFS(#REF!,#REF!,Planning[[#This Row],[Proyectos Reiwa]],#REF!,Planning[[#This Row],[Tipo de Tarea y especialidad]])</f>
        <v>#REF!</v>
      </c>
      <c r="O5810" s="19">
        <f t="shared" si="181"/>
        <v>10</v>
      </c>
      <c r="P5810" s="19">
        <f t="shared" si="182"/>
        <v>2024</v>
      </c>
      <c r="Q58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10" s="51" t="str">
        <f>TEXT(Planning[[#This Row],[Mes]]*29,"mmmm")</f>
        <v>October</v>
      </c>
      <c r="S5810"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10" s="167"/>
      <c r="U5810" s="43">
        <f>IF(Planning[[#This Row],[Horas Planificadas]]&lt;&gt;0,+K5810/Planning[[#This Row],[Horas Planificadas]],0)</f>
        <v>0</v>
      </c>
      <c r="V5810" s="43">
        <f>IF(Planning[[#This Row],[Horas Planificadas]]&lt;&gt;0,Planning[[#This Row],[Horas utilizadas]]/Planning[[#This Row],[Horas Planificadas]],0)</f>
        <v>0</v>
      </c>
      <c r="W5810" s="44">
        <f>Planning[[#This Row],[Horas Planificadas]]+Planning[[#This Row],[Horas ajustadas adicionales]]</f>
        <v>0</v>
      </c>
    </row>
    <row r="5811" spans="1:23" ht="13.35" customHeight="1" x14ac:dyDescent="0.2">
      <c r="A5811" s="9" t="s">
        <v>626</v>
      </c>
      <c r="B5811" s="9" t="s">
        <v>685</v>
      </c>
      <c r="C5811" s="3">
        <v>116796</v>
      </c>
      <c r="D5811" s="3" t="s">
        <v>1012</v>
      </c>
      <c r="E5811" s="4" t="s">
        <v>28</v>
      </c>
      <c r="F5811" s="3"/>
      <c r="G5811" s="9">
        <f>+G5812+G5813</f>
        <v>0</v>
      </c>
      <c r="H5811" s="14">
        <f>SUM(H5812:H5813)</f>
        <v>0</v>
      </c>
      <c r="I5811" s="14"/>
      <c r="J5811" s="14" t="e">
        <f>SUM(J5812:J5813)</f>
        <v>#REF!</v>
      </c>
      <c r="K5811" s="14" t="e">
        <f>+Planning[[#This Row],[Horas Planificadas]]+Planning[[#This Row],[Horas ajustadas adicionales]]-Planning[[#This Row],[Horas utilizadas]]</f>
        <v>#REF!</v>
      </c>
      <c r="L5811" s="15" t="e">
        <f>SUM(L5812:L5813)</f>
        <v>#REF!</v>
      </c>
      <c r="M5811" s="14" t="e">
        <f>SUM(M5812:M5813)</f>
        <v>#REF!</v>
      </c>
      <c r="N5811" s="60" t="e">
        <f>+SUMIFS(#REF!,#REF!,Planning[[#This Row],[Proyectos]],#REF!,Planning[[#This Row],[Tipo de Tarea y especialidad]])+SUMIFS(#REF!,#REF!,Planning[[#This Row],[Proyectos Reiwa]],#REF!,Planning[[#This Row],[Tipo de Tarea y especialidad]])</f>
        <v>#REF!</v>
      </c>
      <c r="O5811" s="14">
        <f t="shared" ref="O5811:O5874" si="183">$L$4</f>
        <v>10</v>
      </c>
      <c r="P5811" s="14">
        <f t="shared" ref="P5811:P5874" si="184">$M$4</f>
        <v>2024</v>
      </c>
      <c r="Q5811" s="28" t="e">
        <f>SUM(Q5812:Q5813)</f>
        <v>#REF!</v>
      </c>
      <c r="R5811" s="24" t="str">
        <f>TEXT(Planning[[#This Row],[Mes]]*29,"mmmm")</f>
        <v>October</v>
      </c>
      <c r="S5811"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11" s="161" t="s">
        <v>1013</v>
      </c>
      <c r="U5811" s="95"/>
      <c r="V5811" s="95"/>
      <c r="W5811" s="96"/>
    </row>
    <row r="5812" spans="1:23" ht="13.35" customHeight="1" x14ac:dyDescent="0.2">
      <c r="A5812" s="9" t="s">
        <v>626</v>
      </c>
      <c r="B5812" s="9" t="s">
        <v>685</v>
      </c>
      <c r="C5812" s="3">
        <v>116796</v>
      </c>
      <c r="D5812" s="3" t="s">
        <v>1012</v>
      </c>
      <c r="E5812" s="4"/>
      <c r="F5812" s="3" t="s">
        <v>120</v>
      </c>
      <c r="G5812" s="9">
        <v>0</v>
      </c>
      <c r="H5812" s="9">
        <v>0</v>
      </c>
      <c r="I5812" s="12"/>
      <c r="J5812" s="5" t="e">
        <f>SUM(SUMIFS(#REF!,#REF!,Planning[[#This Row],[Tipo de Tarea y especialidad]],#REF!,Planning[[#This Row],[Proyectos Reiwa]]),SUMIFS(#REF!,#REF!,Planning[[#This Row],[Tipo de Tarea y especialidad]],#REF!,Planning[[#This Row],[Proyectos]]))</f>
        <v>#REF!</v>
      </c>
      <c r="K5812" s="5" t="e">
        <f>+Planning[[#This Row],[Horas Planificadas]]+Planning[[#This Row],[Horas ajustadas adicionales]]-Planning[[#This Row],[Horas utilizadas]]</f>
        <v>#REF!</v>
      </c>
      <c r="L5812" s="7" t="e">
        <f>Planning[[#This Row],[Saldo]]</f>
        <v>#REF!</v>
      </c>
      <c r="M5812" s="19" t="e">
        <f>Planning[[#This Row],[Saldo]]-Planning[[#This Row],[Saldo estimado]]</f>
        <v>#REF!</v>
      </c>
      <c r="N5812" s="60" t="e">
        <f>+SUMIFS(#REF!,#REF!,Planning[[#This Row],[Proyectos]],#REF!,Planning[[#This Row],[Tipo de Tarea y especialidad]])+SUMIFS(#REF!,#REF!,Planning[[#This Row],[Proyectos Reiwa]],#REF!,Planning[[#This Row],[Tipo de Tarea y especialidad]])</f>
        <v>#REF!</v>
      </c>
      <c r="O5812" s="19">
        <f t="shared" si="183"/>
        <v>10</v>
      </c>
      <c r="P5812" s="19">
        <f t="shared" si="184"/>
        <v>2024</v>
      </c>
      <c r="Q58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12" s="49" t="str">
        <f>TEXT(Planning[[#This Row],[Mes]]*29,"mmmm")</f>
        <v>October</v>
      </c>
      <c r="S581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12" s="156"/>
      <c r="U5812" s="95"/>
      <c r="V5812" s="95"/>
      <c r="W5812" s="96"/>
    </row>
    <row r="5813" spans="1:23" ht="13.35" customHeight="1" x14ac:dyDescent="0.2">
      <c r="A5813" s="9" t="s">
        <v>626</v>
      </c>
      <c r="B5813" s="9" t="s">
        <v>685</v>
      </c>
      <c r="C5813" s="3">
        <v>116796</v>
      </c>
      <c r="D5813" s="3" t="s">
        <v>1012</v>
      </c>
      <c r="E5813" s="4"/>
      <c r="F5813" s="3" t="s">
        <v>121</v>
      </c>
      <c r="G5813" s="9">
        <v>0</v>
      </c>
      <c r="H5813" s="9">
        <v>0</v>
      </c>
      <c r="I5813" s="12"/>
      <c r="J5813" s="5" t="e">
        <f>SUM(SUMIFS(#REF!,#REF!,Planning[[#This Row],[Tipo de Tarea y especialidad]],#REF!,Planning[[#This Row],[Proyectos Reiwa]]),SUMIFS(#REF!,#REF!,Planning[[#This Row],[Tipo de Tarea y especialidad]],#REF!,Planning[[#This Row],[Proyectos]]))</f>
        <v>#REF!</v>
      </c>
      <c r="K5813" s="5" t="e">
        <f>+Planning[[#This Row],[Horas Planificadas]]+Planning[[#This Row],[Horas ajustadas adicionales]]-Planning[[#This Row],[Horas utilizadas]]</f>
        <v>#REF!</v>
      </c>
      <c r="L5813" s="7" t="e">
        <f>Planning[[#This Row],[Saldo]]</f>
        <v>#REF!</v>
      </c>
      <c r="M5813" s="19" t="e">
        <f>Planning[[#This Row],[Saldo]]-Planning[[#This Row],[Saldo estimado]]</f>
        <v>#REF!</v>
      </c>
      <c r="N5813" s="60" t="e">
        <f>+SUMIFS(#REF!,#REF!,Planning[[#This Row],[Proyectos]],#REF!,Planning[[#This Row],[Tipo de Tarea y especialidad]])+SUMIFS(#REF!,#REF!,Planning[[#This Row],[Proyectos Reiwa]],#REF!,Planning[[#This Row],[Tipo de Tarea y especialidad]])</f>
        <v>#REF!</v>
      </c>
      <c r="O5813" s="19">
        <f t="shared" si="183"/>
        <v>10</v>
      </c>
      <c r="P5813" s="19">
        <f t="shared" si="184"/>
        <v>2024</v>
      </c>
      <c r="Q58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13" s="49" t="str">
        <f>TEXT(Planning[[#This Row],[Mes]]*29,"mmmm")</f>
        <v>October</v>
      </c>
      <c r="S581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13" s="156"/>
      <c r="U5813" s="95"/>
      <c r="V5813" s="95"/>
      <c r="W5813" s="96"/>
    </row>
    <row r="5814" spans="1:23" ht="13.35" customHeight="1" x14ac:dyDescent="0.2">
      <c r="A5814" s="9" t="s">
        <v>626</v>
      </c>
      <c r="B5814" s="9" t="s">
        <v>685</v>
      </c>
      <c r="C5814" s="3">
        <v>116796</v>
      </c>
      <c r="D5814" s="3" t="s">
        <v>1012</v>
      </c>
      <c r="E5814" s="4" t="s">
        <v>30</v>
      </c>
      <c r="F5814" s="3"/>
      <c r="G5814" s="9">
        <f>G5815+G5816+G5817+G5818+G5819+G5820+G5821</f>
        <v>804</v>
      </c>
      <c r="H5814" s="14">
        <f>SUM(H5815:H5821)</f>
        <v>804</v>
      </c>
      <c r="I5814" s="14"/>
      <c r="J5814" s="14" t="e">
        <f>SUM(J5815:J5821)</f>
        <v>#REF!</v>
      </c>
      <c r="K5814" s="14" t="e">
        <f>+Planning[[#This Row],[Horas Planificadas]]+Planning[[#This Row],[Horas ajustadas adicionales]]-Planning[[#This Row],[Horas utilizadas]]</f>
        <v>#REF!</v>
      </c>
      <c r="L5814" s="15" t="e">
        <f>SUM(L5815:L5821)</f>
        <v>#REF!</v>
      </c>
      <c r="M5814" s="16" t="e">
        <f>SUM(M5815:M5821)</f>
        <v>#REF!</v>
      </c>
      <c r="N5814" s="60" t="e">
        <f>+SUMIFS(#REF!,#REF!,Planning[[#This Row],[Proyectos]],#REF!,Planning[[#This Row],[Tipo de Tarea y especialidad]])+SUMIFS(#REF!,#REF!,Planning[[#This Row],[Proyectos Reiwa]],#REF!,Planning[[#This Row],[Tipo de Tarea y especialidad]])</f>
        <v>#REF!</v>
      </c>
      <c r="O5814" s="16">
        <f t="shared" si="183"/>
        <v>10</v>
      </c>
      <c r="P5814" s="16">
        <f t="shared" si="184"/>
        <v>2024</v>
      </c>
      <c r="Q5814" s="16" t="e">
        <f>SUM(Q5815:Q5821)</f>
        <v>#REF!</v>
      </c>
      <c r="R5814" s="50" t="str">
        <f>TEXT(Planning[[#This Row],[Mes]]*29,"mmmm")</f>
        <v>October</v>
      </c>
      <c r="S581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14" s="156"/>
      <c r="U5814" s="95"/>
      <c r="V5814" s="95"/>
      <c r="W5814" s="96"/>
    </row>
    <row r="5815" spans="1:23" ht="13.35" customHeight="1" x14ac:dyDescent="0.2">
      <c r="A5815" s="9" t="s">
        <v>626</v>
      </c>
      <c r="B5815" s="9" t="s">
        <v>685</v>
      </c>
      <c r="C5815" s="3">
        <v>116796</v>
      </c>
      <c r="D5815" s="3" t="s">
        <v>1012</v>
      </c>
      <c r="E5815" s="4"/>
      <c r="F5815" s="3" t="s">
        <v>122</v>
      </c>
      <c r="G5815" s="9">
        <v>553</v>
      </c>
      <c r="H5815" s="9">
        <v>553</v>
      </c>
      <c r="I5815" s="12"/>
      <c r="J5815" s="5" t="e">
        <f>SUM(SUMIFS(#REF!,#REF!,Planning[[#This Row],[Tipo de Tarea y especialidad]],#REF!,Planning[[#This Row],[Proyectos Reiwa]]),SUMIFS(#REF!,#REF!,Planning[[#This Row],[Tipo de Tarea y especialidad]],#REF!,Planning[[#This Row],[Proyectos]]))</f>
        <v>#REF!</v>
      </c>
      <c r="K5815" s="5" t="e">
        <f>+Planning[[#This Row],[Horas Planificadas]]+Planning[[#This Row],[Horas ajustadas adicionales]]-Planning[[#This Row],[Horas utilizadas]]</f>
        <v>#REF!</v>
      </c>
      <c r="L5815" s="7" t="e">
        <f>Planning[[#This Row],[Saldo]]</f>
        <v>#REF!</v>
      </c>
      <c r="M5815" s="19" t="e">
        <f>Planning[[#This Row],[Saldo]]-Planning[[#This Row],[Saldo estimado]]</f>
        <v>#REF!</v>
      </c>
      <c r="N5815" s="60" t="e">
        <f>+SUMIFS(#REF!,#REF!,Planning[[#This Row],[Proyectos]],#REF!,Planning[[#This Row],[Tipo de Tarea y especialidad]])+SUMIFS(#REF!,#REF!,Planning[[#This Row],[Proyectos Reiwa]],#REF!,Planning[[#This Row],[Tipo de Tarea y especialidad]])</f>
        <v>#REF!</v>
      </c>
      <c r="O5815" s="19">
        <f t="shared" si="183"/>
        <v>10</v>
      </c>
      <c r="P5815" s="19">
        <f t="shared" si="184"/>
        <v>2024</v>
      </c>
      <c r="Q58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15" s="49" t="str">
        <f>TEXT(Planning[[#This Row],[Mes]]*29,"mmmm")</f>
        <v>October</v>
      </c>
      <c r="S581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15" s="156"/>
      <c r="U5815" s="95"/>
      <c r="V5815" s="95"/>
      <c r="W5815" s="96"/>
    </row>
    <row r="5816" spans="1:23" ht="13.35" customHeight="1" x14ac:dyDescent="0.2">
      <c r="A5816" s="9" t="s">
        <v>626</v>
      </c>
      <c r="B5816" s="9" t="s">
        <v>685</v>
      </c>
      <c r="C5816" s="3">
        <v>116796</v>
      </c>
      <c r="D5816" s="3" t="s">
        <v>1012</v>
      </c>
      <c r="E5816" s="4"/>
      <c r="F5816" s="3" t="s">
        <v>123</v>
      </c>
      <c r="G5816" s="9">
        <v>0</v>
      </c>
      <c r="H5816" s="9">
        <v>0</v>
      </c>
      <c r="I5816" s="12"/>
      <c r="J5816" s="5" t="e">
        <f>SUM(SUMIFS(#REF!,#REF!,Planning[[#This Row],[Tipo de Tarea y especialidad]],#REF!,Planning[[#This Row],[Proyectos Reiwa]]),SUMIFS(#REF!,#REF!,Planning[[#This Row],[Tipo de Tarea y especialidad]],#REF!,Planning[[#This Row],[Proyectos]]))</f>
        <v>#REF!</v>
      </c>
      <c r="K5816" s="5" t="e">
        <f>+Planning[[#This Row],[Horas Planificadas]]+Planning[[#This Row],[Horas ajustadas adicionales]]-Planning[[#This Row],[Horas utilizadas]]</f>
        <v>#REF!</v>
      </c>
      <c r="L5816" s="7" t="e">
        <f>Planning[[#This Row],[Saldo]]</f>
        <v>#REF!</v>
      </c>
      <c r="M5816" s="19" t="e">
        <f>Planning[[#This Row],[Saldo]]-Planning[[#This Row],[Saldo estimado]]</f>
        <v>#REF!</v>
      </c>
      <c r="N5816" s="60" t="e">
        <f>+SUMIFS(#REF!,#REF!,Planning[[#This Row],[Proyectos]],#REF!,Planning[[#This Row],[Tipo de Tarea y especialidad]])+SUMIFS(#REF!,#REF!,Planning[[#This Row],[Proyectos Reiwa]],#REF!,Planning[[#This Row],[Tipo de Tarea y especialidad]])</f>
        <v>#REF!</v>
      </c>
      <c r="O5816" s="19">
        <f t="shared" si="183"/>
        <v>10</v>
      </c>
      <c r="P5816" s="19">
        <f t="shared" si="184"/>
        <v>2024</v>
      </c>
      <c r="Q58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16" s="49" t="str">
        <f>TEXT(Planning[[#This Row],[Mes]]*29,"mmmm")</f>
        <v>October</v>
      </c>
      <c r="S581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16" s="156"/>
      <c r="U5816" s="95"/>
      <c r="V5816" s="95"/>
      <c r="W5816" s="96"/>
    </row>
    <row r="5817" spans="1:23" ht="13.35" customHeight="1" x14ac:dyDescent="0.2">
      <c r="A5817" s="9" t="s">
        <v>626</v>
      </c>
      <c r="B5817" s="9" t="s">
        <v>685</v>
      </c>
      <c r="C5817" s="3">
        <v>116796</v>
      </c>
      <c r="D5817" s="3" t="s">
        <v>1012</v>
      </c>
      <c r="E5817" s="4"/>
      <c r="F5817" s="3" t="s">
        <v>124</v>
      </c>
      <c r="G5817" s="9">
        <v>0</v>
      </c>
      <c r="H5817" s="9">
        <v>0</v>
      </c>
      <c r="I5817" s="12"/>
      <c r="J5817" s="5" t="e">
        <f>SUM(SUMIFS(#REF!,#REF!,Planning[[#This Row],[Tipo de Tarea y especialidad]],#REF!,Planning[[#This Row],[Proyectos Reiwa]]),SUMIFS(#REF!,#REF!,Planning[[#This Row],[Tipo de Tarea y especialidad]],#REF!,Planning[[#This Row],[Proyectos]]))</f>
        <v>#REF!</v>
      </c>
      <c r="K5817" s="5" t="e">
        <f>+Planning[[#This Row],[Horas Planificadas]]+Planning[[#This Row],[Horas ajustadas adicionales]]-Planning[[#This Row],[Horas utilizadas]]</f>
        <v>#REF!</v>
      </c>
      <c r="L5817" s="7" t="e">
        <f>Planning[[#This Row],[Saldo]]</f>
        <v>#REF!</v>
      </c>
      <c r="M5817" s="19" t="e">
        <f>Planning[[#This Row],[Saldo]]-Planning[[#This Row],[Saldo estimado]]</f>
        <v>#REF!</v>
      </c>
      <c r="N5817" s="60" t="e">
        <f>+SUMIFS(#REF!,#REF!,Planning[[#This Row],[Proyectos]],#REF!,Planning[[#This Row],[Tipo de Tarea y especialidad]])+SUMIFS(#REF!,#REF!,Planning[[#This Row],[Proyectos Reiwa]],#REF!,Planning[[#This Row],[Tipo de Tarea y especialidad]])</f>
        <v>#REF!</v>
      </c>
      <c r="O5817" s="19">
        <f t="shared" si="183"/>
        <v>10</v>
      </c>
      <c r="P5817" s="19">
        <f t="shared" si="184"/>
        <v>2024</v>
      </c>
      <c r="Q58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17" s="49" t="str">
        <f>TEXT(Planning[[#This Row],[Mes]]*29,"mmmm")</f>
        <v>October</v>
      </c>
      <c r="S581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17" s="156"/>
      <c r="U5817" s="95"/>
      <c r="V5817" s="95"/>
      <c r="W5817" s="96"/>
    </row>
    <row r="5818" spans="1:23" ht="13.35" customHeight="1" x14ac:dyDescent="0.2">
      <c r="A5818" s="9" t="s">
        <v>626</v>
      </c>
      <c r="B5818" s="9" t="s">
        <v>685</v>
      </c>
      <c r="C5818" s="3">
        <v>116796</v>
      </c>
      <c r="D5818" s="3" t="s">
        <v>1012</v>
      </c>
      <c r="E5818" s="4"/>
      <c r="F5818" s="3" t="s">
        <v>125</v>
      </c>
      <c r="G5818" s="9">
        <v>135</v>
      </c>
      <c r="H5818" s="9">
        <v>135</v>
      </c>
      <c r="I5818" s="12"/>
      <c r="J5818" s="5" t="e">
        <f>SUM(SUMIFS(#REF!,#REF!,Planning[[#This Row],[Tipo de Tarea y especialidad]],#REF!,Planning[[#This Row],[Proyectos Reiwa]]),SUMIFS(#REF!,#REF!,Planning[[#This Row],[Tipo de Tarea y especialidad]],#REF!,Planning[[#This Row],[Proyectos]]))</f>
        <v>#REF!</v>
      </c>
      <c r="K5818" s="5" t="e">
        <f>+Planning[[#This Row],[Horas Planificadas]]+Planning[[#This Row],[Horas ajustadas adicionales]]-Planning[[#This Row],[Horas utilizadas]]</f>
        <v>#REF!</v>
      </c>
      <c r="L5818" s="7" t="e">
        <f>Planning[[#This Row],[Saldo]]</f>
        <v>#REF!</v>
      </c>
      <c r="M5818" s="19" t="e">
        <f>Planning[[#This Row],[Saldo]]-Planning[[#This Row],[Saldo estimado]]</f>
        <v>#REF!</v>
      </c>
      <c r="N5818" s="60" t="e">
        <f>+SUMIFS(#REF!,#REF!,Planning[[#This Row],[Proyectos]],#REF!,Planning[[#This Row],[Tipo de Tarea y especialidad]])+SUMIFS(#REF!,#REF!,Planning[[#This Row],[Proyectos Reiwa]],#REF!,Planning[[#This Row],[Tipo de Tarea y especialidad]])</f>
        <v>#REF!</v>
      </c>
      <c r="O5818" s="19">
        <f t="shared" si="183"/>
        <v>10</v>
      </c>
      <c r="P5818" s="19">
        <f t="shared" si="184"/>
        <v>2024</v>
      </c>
      <c r="Q58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18" s="49" t="str">
        <f>TEXT(Planning[[#This Row],[Mes]]*29,"mmmm")</f>
        <v>October</v>
      </c>
      <c r="S581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18" s="156"/>
      <c r="U5818" s="95"/>
      <c r="V5818" s="95"/>
      <c r="W5818" s="96"/>
    </row>
    <row r="5819" spans="1:23" ht="13.35" customHeight="1" x14ac:dyDescent="0.2">
      <c r="A5819" s="9" t="s">
        <v>626</v>
      </c>
      <c r="B5819" s="9" t="s">
        <v>685</v>
      </c>
      <c r="C5819" s="3">
        <v>116796</v>
      </c>
      <c r="D5819" s="3" t="s">
        <v>1012</v>
      </c>
      <c r="E5819" s="4"/>
      <c r="F5819" s="3" t="s">
        <v>126</v>
      </c>
      <c r="G5819" s="9">
        <v>116</v>
      </c>
      <c r="H5819" s="9">
        <v>116</v>
      </c>
      <c r="I5819" s="12"/>
      <c r="J5819" s="5" t="e">
        <f>SUM(SUMIFS(#REF!,#REF!,Planning[[#This Row],[Tipo de Tarea y especialidad]],#REF!,Planning[[#This Row],[Proyectos Reiwa]]),SUMIFS(#REF!,#REF!,Planning[[#This Row],[Tipo de Tarea y especialidad]],#REF!,Planning[[#This Row],[Proyectos]]))</f>
        <v>#REF!</v>
      </c>
      <c r="K5819" s="5" t="e">
        <f>+Planning[[#This Row],[Horas Planificadas]]+Planning[[#This Row],[Horas ajustadas adicionales]]-Planning[[#This Row],[Horas utilizadas]]</f>
        <v>#REF!</v>
      </c>
      <c r="L5819" s="7" t="e">
        <f>Planning[[#This Row],[Saldo]]</f>
        <v>#REF!</v>
      </c>
      <c r="M5819" s="19" t="e">
        <f>Planning[[#This Row],[Saldo]]-Planning[[#This Row],[Saldo estimado]]</f>
        <v>#REF!</v>
      </c>
      <c r="N5819" s="60" t="e">
        <f>+SUMIFS(#REF!,#REF!,Planning[[#This Row],[Proyectos]],#REF!,Planning[[#This Row],[Tipo de Tarea y especialidad]])+SUMIFS(#REF!,#REF!,Planning[[#This Row],[Proyectos Reiwa]],#REF!,Planning[[#This Row],[Tipo de Tarea y especialidad]])</f>
        <v>#REF!</v>
      </c>
      <c r="O5819" s="19">
        <f t="shared" si="183"/>
        <v>10</v>
      </c>
      <c r="P5819" s="19">
        <f t="shared" si="184"/>
        <v>2024</v>
      </c>
      <c r="Q581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19" s="49" t="str">
        <f>TEXT(Planning[[#This Row],[Mes]]*29,"mmmm")</f>
        <v>October</v>
      </c>
      <c r="S581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19" s="156"/>
      <c r="U5819" s="95"/>
      <c r="V5819" s="95"/>
      <c r="W5819" s="96"/>
    </row>
    <row r="5820" spans="1:23" ht="13.35" customHeight="1" x14ac:dyDescent="0.2">
      <c r="A5820" s="9" t="s">
        <v>626</v>
      </c>
      <c r="B5820" s="9" t="s">
        <v>685</v>
      </c>
      <c r="C5820" s="3">
        <v>116796</v>
      </c>
      <c r="D5820" s="3" t="s">
        <v>1012</v>
      </c>
      <c r="E5820" s="4"/>
      <c r="F5820" s="3" t="s">
        <v>127</v>
      </c>
      <c r="G5820" s="9">
        <v>0</v>
      </c>
      <c r="H5820" s="9">
        <v>0</v>
      </c>
      <c r="I5820" s="12"/>
      <c r="J5820" s="5" t="e">
        <f>SUM(SUMIFS(#REF!,#REF!,Planning[[#This Row],[Tipo de Tarea y especialidad]],#REF!,Planning[[#This Row],[Proyectos Reiwa]]),SUMIFS(#REF!,#REF!,Planning[[#This Row],[Tipo de Tarea y especialidad]],#REF!,Planning[[#This Row],[Proyectos]]))</f>
        <v>#REF!</v>
      </c>
      <c r="K5820" s="5" t="e">
        <f>+Planning[[#This Row],[Horas Planificadas]]+Planning[[#This Row],[Horas ajustadas adicionales]]-Planning[[#This Row],[Horas utilizadas]]</f>
        <v>#REF!</v>
      </c>
      <c r="L5820" s="7" t="e">
        <f>Planning[[#This Row],[Saldo]]</f>
        <v>#REF!</v>
      </c>
      <c r="M5820" s="19" t="e">
        <f>Planning[[#This Row],[Saldo]]-Planning[[#This Row],[Saldo estimado]]</f>
        <v>#REF!</v>
      </c>
      <c r="N5820" s="60" t="e">
        <f>+SUMIFS(#REF!,#REF!,Planning[[#This Row],[Proyectos]],#REF!,Planning[[#This Row],[Tipo de Tarea y especialidad]])+SUMIFS(#REF!,#REF!,Planning[[#This Row],[Proyectos Reiwa]],#REF!,Planning[[#This Row],[Tipo de Tarea y especialidad]])</f>
        <v>#REF!</v>
      </c>
      <c r="O5820" s="19">
        <f t="shared" si="183"/>
        <v>10</v>
      </c>
      <c r="P5820" s="19">
        <f t="shared" si="184"/>
        <v>2024</v>
      </c>
      <c r="Q58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20" s="49" t="str">
        <f>TEXT(Planning[[#This Row],[Mes]]*29,"mmmm")</f>
        <v>October</v>
      </c>
      <c r="S582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20" s="156"/>
      <c r="U5820" s="95"/>
      <c r="V5820" s="95"/>
      <c r="W5820" s="96"/>
    </row>
    <row r="5821" spans="1:23" ht="13.35" customHeight="1" x14ac:dyDescent="0.2">
      <c r="A5821" s="9" t="s">
        <v>626</v>
      </c>
      <c r="B5821" s="9" t="s">
        <v>685</v>
      </c>
      <c r="C5821" s="3">
        <v>116796</v>
      </c>
      <c r="D5821" s="3" t="s">
        <v>1012</v>
      </c>
      <c r="E5821" s="4"/>
      <c r="F5821" s="3" t="s">
        <v>128</v>
      </c>
      <c r="G5821" s="9">
        <v>0</v>
      </c>
      <c r="H5821" s="9">
        <v>0</v>
      </c>
      <c r="I5821" s="12"/>
      <c r="J5821" s="5" t="e">
        <f>SUM(SUMIFS(#REF!,#REF!,Planning[[#This Row],[Tipo de Tarea y especialidad]],#REF!,Planning[[#This Row],[Proyectos Reiwa]]),SUMIFS(#REF!,#REF!,Planning[[#This Row],[Tipo de Tarea y especialidad]],#REF!,Planning[[#This Row],[Proyectos]]))</f>
        <v>#REF!</v>
      </c>
      <c r="K5821" s="5" t="e">
        <f>+Planning[[#This Row],[Horas Planificadas]]+Planning[[#This Row],[Horas ajustadas adicionales]]-Planning[[#This Row],[Horas utilizadas]]</f>
        <v>#REF!</v>
      </c>
      <c r="L5821" s="7" t="e">
        <f>Planning[[#This Row],[Saldo]]</f>
        <v>#REF!</v>
      </c>
      <c r="M5821" s="19" t="e">
        <f>Planning[[#This Row],[Saldo]]-Planning[[#This Row],[Saldo estimado]]</f>
        <v>#REF!</v>
      </c>
      <c r="N5821" s="60" t="e">
        <f>+SUMIFS(#REF!,#REF!,Planning[[#This Row],[Proyectos]],#REF!,Planning[[#This Row],[Tipo de Tarea y especialidad]])+SUMIFS(#REF!,#REF!,Planning[[#This Row],[Proyectos Reiwa]],#REF!,Planning[[#This Row],[Tipo de Tarea y especialidad]])</f>
        <v>#REF!</v>
      </c>
      <c r="O5821" s="19">
        <f t="shared" si="183"/>
        <v>10</v>
      </c>
      <c r="P5821" s="19">
        <f t="shared" si="184"/>
        <v>2024</v>
      </c>
      <c r="Q58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21" s="49" t="str">
        <f>TEXT(Planning[[#This Row],[Mes]]*29,"mmmm")</f>
        <v>October</v>
      </c>
      <c r="S582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21" s="156"/>
      <c r="U5821" s="95"/>
      <c r="V5821" s="95"/>
      <c r="W5821" s="96"/>
    </row>
    <row r="5822" spans="1:23" ht="13.35" customHeight="1" x14ac:dyDescent="0.2">
      <c r="A5822" s="9" t="s">
        <v>626</v>
      </c>
      <c r="B5822" s="9" t="s">
        <v>685</v>
      </c>
      <c r="C5822" s="3">
        <v>116796</v>
      </c>
      <c r="D5822" s="3" t="s">
        <v>1012</v>
      </c>
      <c r="E5822" s="4" t="s">
        <v>31</v>
      </c>
      <c r="F5822" s="3" t="s">
        <v>31</v>
      </c>
      <c r="G5822" s="9"/>
      <c r="H5822" s="17">
        <v>0</v>
      </c>
      <c r="I5822" s="18"/>
      <c r="J5822" s="14" t="e">
        <f>+SUMIFS(#REF!,#REF!,Planning[[#This Row],[Tarifa]],#REF!,Planning[[#This Row],[Proyectos]])</f>
        <v>#REF!</v>
      </c>
      <c r="K5822" s="14" t="e">
        <f>+Planning[[#This Row],[Horas Planificadas]]+Planning[[#This Row],[Horas ajustadas adicionales]]-Planning[[#This Row],[Horas utilizadas]]</f>
        <v>#REF!</v>
      </c>
      <c r="L5822" s="15" t="e">
        <f>Planning[[#This Row],[Saldo]]</f>
        <v>#REF!</v>
      </c>
      <c r="M5822" s="16" t="e">
        <f>Planning[[#This Row],[Saldo]]-Planning[[#This Row],[Saldo estimado]]</f>
        <v>#REF!</v>
      </c>
      <c r="N5822" s="60" t="e">
        <f>+SUMIFS(#REF!,#REF!,Planning[[#This Row],[Proyectos]],#REF!,Planning[[#This Row],[Tipo de Tarea y especialidad]])+SUMIFS(#REF!,#REF!,Planning[[#This Row],[Proyectos Reiwa]],#REF!,Planning[[#This Row],[Tipo de Tarea y especialidad]])</f>
        <v>#REF!</v>
      </c>
      <c r="O5822" s="16">
        <f t="shared" si="183"/>
        <v>10</v>
      </c>
      <c r="P5822" s="16">
        <f t="shared" si="184"/>
        <v>2024</v>
      </c>
      <c r="Q5822" s="16" t="e">
        <f>+SUMIFS(#REF!,#REF!,Planning[[#This Row],[Tarifa]],#REF!,Planning[[#This Row],[Proyectos]],#REF!,Planning[[#This Row],[Mes]],#REF!,Planning[[#This Row],[Año]])</f>
        <v>#REF!</v>
      </c>
      <c r="R5822" s="50" t="str">
        <f>TEXT(Planning[[#This Row],[Mes]]*29,"mmmm")</f>
        <v>October</v>
      </c>
      <c r="S582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22" s="156"/>
      <c r="U5822" s="95"/>
      <c r="V5822" s="95"/>
      <c r="W5822" s="96"/>
    </row>
    <row r="5823" spans="1:23" ht="13.35" customHeight="1" x14ac:dyDescent="0.2">
      <c r="A5823" s="9" t="s">
        <v>626</v>
      </c>
      <c r="B5823" s="9" t="s">
        <v>685</v>
      </c>
      <c r="C5823" s="3">
        <v>116796</v>
      </c>
      <c r="D5823" s="3" t="s">
        <v>1012</v>
      </c>
      <c r="E5823" s="4" t="s">
        <v>32</v>
      </c>
      <c r="F5823" s="3"/>
      <c r="G5823" s="9">
        <f>G5824+G5825+G5826</f>
        <v>200</v>
      </c>
      <c r="H5823" s="14">
        <f>SUM(H5824:H5826)</f>
        <v>200</v>
      </c>
      <c r="I5823" s="14"/>
      <c r="J5823" s="14" t="e">
        <f>SUM(J5824:J5826)</f>
        <v>#REF!</v>
      </c>
      <c r="K5823" s="14" t="e">
        <f>+Planning[[#This Row],[Horas Planificadas]]+Planning[[#This Row],[Horas ajustadas adicionales]]-Planning[[#This Row],[Horas utilizadas]]</f>
        <v>#REF!</v>
      </c>
      <c r="L5823" s="15" t="e">
        <f>SUM(L5824:L5826)</f>
        <v>#REF!</v>
      </c>
      <c r="M5823" s="16" t="e">
        <f>SUM(M5824:M5826)</f>
        <v>#REF!</v>
      </c>
      <c r="N5823" s="60" t="e">
        <f>+SUMIFS(#REF!,#REF!,Planning[[#This Row],[Proyectos]],#REF!,Planning[[#This Row],[Tipo de Tarea y especialidad]])+SUMIFS(#REF!,#REF!,Planning[[#This Row],[Proyectos Reiwa]],#REF!,Planning[[#This Row],[Tipo de Tarea y especialidad]])</f>
        <v>#REF!</v>
      </c>
      <c r="O5823" s="16">
        <f t="shared" si="183"/>
        <v>10</v>
      </c>
      <c r="P5823" s="16">
        <f t="shared" si="184"/>
        <v>2024</v>
      </c>
      <c r="Q5823" s="16" t="e">
        <f>SUM(Q5824:Q5826)</f>
        <v>#REF!</v>
      </c>
      <c r="R5823" s="50" t="str">
        <f>TEXT(Planning[[#This Row],[Mes]]*29,"mmmm")</f>
        <v>October</v>
      </c>
      <c r="S582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23" s="156"/>
      <c r="U5823" s="93"/>
      <c r="V5823" s="93"/>
      <c r="W5823" s="94"/>
    </row>
    <row r="5824" spans="1:23" ht="13.35" customHeight="1" x14ac:dyDescent="0.2">
      <c r="A5824" s="9" t="s">
        <v>626</v>
      </c>
      <c r="B5824" s="9" t="s">
        <v>685</v>
      </c>
      <c r="C5824" s="3">
        <v>116796</v>
      </c>
      <c r="D5824" s="3" t="s">
        <v>1012</v>
      </c>
      <c r="E5824" s="4"/>
      <c r="F5824" s="3" t="s">
        <v>129</v>
      </c>
      <c r="G5824" s="9">
        <v>200</v>
      </c>
      <c r="H5824" s="9">
        <v>200</v>
      </c>
      <c r="I5824" s="12"/>
      <c r="J5824" s="5" t="e">
        <f>SUM(SUMIFS(#REF!,#REF!,Planning[[#This Row],[Tipo de Tarea y especialidad]],#REF!,Planning[[#This Row],[Proyectos Reiwa]]),SUMIFS(#REF!,#REF!,Planning[[#This Row],[Tipo de Tarea y especialidad]],#REF!,Planning[[#This Row],[Proyectos]]))</f>
        <v>#REF!</v>
      </c>
      <c r="K5824" s="5" t="e">
        <f>+Planning[[#This Row],[Horas Planificadas]]+Planning[[#This Row],[Horas ajustadas adicionales]]-Planning[[#This Row],[Horas utilizadas]]</f>
        <v>#REF!</v>
      </c>
      <c r="L5824" s="7" t="e">
        <f>Planning[[#This Row],[Saldo]]</f>
        <v>#REF!</v>
      </c>
      <c r="M5824" s="19" t="e">
        <f>Planning[[#This Row],[Saldo]]-Planning[[#This Row],[Saldo estimado]]</f>
        <v>#REF!</v>
      </c>
      <c r="N5824" s="60" t="e">
        <f>+SUMIFS(#REF!,#REF!,Planning[[#This Row],[Proyectos]],#REF!,Planning[[#This Row],[Tipo de Tarea y especialidad]])+SUMIFS(#REF!,#REF!,Planning[[#This Row],[Proyectos Reiwa]],#REF!,Planning[[#This Row],[Tipo de Tarea y especialidad]])</f>
        <v>#REF!</v>
      </c>
      <c r="O5824" s="19">
        <f t="shared" si="183"/>
        <v>10</v>
      </c>
      <c r="P5824" s="19">
        <f t="shared" si="184"/>
        <v>2024</v>
      </c>
      <c r="Q58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24" s="49" t="str">
        <f>TEXT(Planning[[#This Row],[Mes]]*29,"mmmm")</f>
        <v>October</v>
      </c>
      <c r="S582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24" s="156"/>
      <c r="U5824" s="93"/>
      <c r="V5824" s="93"/>
      <c r="W5824" s="94"/>
    </row>
    <row r="5825" spans="1:24" ht="13.35" customHeight="1" x14ac:dyDescent="0.2">
      <c r="A5825" s="9" t="s">
        <v>626</v>
      </c>
      <c r="B5825" s="9" t="s">
        <v>685</v>
      </c>
      <c r="C5825" s="3">
        <v>116796</v>
      </c>
      <c r="D5825" s="3" t="s">
        <v>1012</v>
      </c>
      <c r="E5825" s="4"/>
      <c r="F5825" s="3" t="s">
        <v>130</v>
      </c>
      <c r="G5825" s="9">
        <v>0</v>
      </c>
      <c r="H5825" s="9">
        <v>0</v>
      </c>
      <c r="I5825" s="12"/>
      <c r="J5825" s="5" t="e">
        <f>SUM(SUMIFS(#REF!,#REF!,Planning[[#This Row],[Tipo de Tarea y especialidad]],#REF!,Planning[[#This Row],[Proyectos Reiwa]]),SUMIFS(#REF!,#REF!,Planning[[#This Row],[Tipo de Tarea y especialidad]],#REF!,Planning[[#This Row],[Proyectos]]))</f>
        <v>#REF!</v>
      </c>
      <c r="K5825" s="5" t="e">
        <f>+Planning[[#This Row],[Horas Planificadas]]+Planning[[#This Row],[Horas ajustadas adicionales]]-Planning[[#This Row],[Horas utilizadas]]</f>
        <v>#REF!</v>
      </c>
      <c r="L5825" s="7" t="e">
        <f>Planning[[#This Row],[Saldo]]</f>
        <v>#REF!</v>
      </c>
      <c r="M5825" s="19" t="e">
        <f>Planning[[#This Row],[Saldo]]-Planning[[#This Row],[Saldo estimado]]</f>
        <v>#REF!</v>
      </c>
      <c r="N5825" s="60" t="e">
        <f>+SUMIFS(#REF!,#REF!,Planning[[#This Row],[Proyectos]],#REF!,Planning[[#This Row],[Tipo de Tarea y especialidad]])+SUMIFS(#REF!,#REF!,Planning[[#This Row],[Proyectos Reiwa]],#REF!,Planning[[#This Row],[Tipo de Tarea y especialidad]])</f>
        <v>#REF!</v>
      </c>
      <c r="O5825" s="19">
        <f t="shared" si="183"/>
        <v>10</v>
      </c>
      <c r="P5825" s="19">
        <f t="shared" si="184"/>
        <v>2024</v>
      </c>
      <c r="Q58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25" s="49" t="str">
        <f>TEXT(Planning[[#This Row],[Mes]]*29,"mmmm")</f>
        <v>October</v>
      </c>
      <c r="S582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25" s="156"/>
      <c r="U5825" s="93"/>
      <c r="V5825" s="93"/>
      <c r="W5825" s="94"/>
    </row>
    <row r="5826" spans="1:24" ht="13.35" customHeight="1" x14ac:dyDescent="0.2">
      <c r="A5826" s="9" t="s">
        <v>626</v>
      </c>
      <c r="B5826" s="9" t="s">
        <v>685</v>
      </c>
      <c r="C5826" s="3">
        <v>116796</v>
      </c>
      <c r="D5826" s="3" t="s">
        <v>1012</v>
      </c>
      <c r="E5826" s="4"/>
      <c r="F5826" s="3" t="s">
        <v>131</v>
      </c>
      <c r="G5826" s="9">
        <v>0</v>
      </c>
      <c r="H5826" s="9">
        <v>0</v>
      </c>
      <c r="I5826" s="12"/>
      <c r="J5826" s="5" t="e">
        <f>SUM(SUMIFS(#REF!,#REF!,Planning[[#This Row],[Tipo de Tarea y especialidad]],#REF!,Planning[[#This Row],[Proyectos Reiwa]]),SUMIFS(#REF!,#REF!,Planning[[#This Row],[Tipo de Tarea y especialidad]],#REF!,Planning[[#This Row],[Proyectos]]))</f>
        <v>#REF!</v>
      </c>
      <c r="K5826" s="5" t="e">
        <f>+Planning[[#This Row],[Horas Planificadas]]+Planning[[#This Row],[Horas ajustadas adicionales]]-Planning[[#This Row],[Horas utilizadas]]</f>
        <v>#REF!</v>
      </c>
      <c r="L5826" s="7" t="e">
        <f>Planning[[#This Row],[Saldo]]</f>
        <v>#REF!</v>
      </c>
      <c r="M5826" s="19" t="e">
        <f>Planning[[#This Row],[Saldo]]-Planning[[#This Row],[Saldo estimado]]</f>
        <v>#REF!</v>
      </c>
      <c r="N5826" s="60" t="e">
        <f>+SUMIFS(#REF!,#REF!,Planning[[#This Row],[Proyectos]],#REF!,Planning[[#This Row],[Tipo de Tarea y especialidad]])+SUMIFS(#REF!,#REF!,Planning[[#This Row],[Proyectos Reiwa]],#REF!,Planning[[#This Row],[Tipo de Tarea y especialidad]])</f>
        <v>#REF!</v>
      </c>
      <c r="O5826" s="19">
        <f t="shared" si="183"/>
        <v>10</v>
      </c>
      <c r="P5826" s="19">
        <f t="shared" si="184"/>
        <v>2024</v>
      </c>
      <c r="Q58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26" s="51" t="str">
        <f>TEXT(Planning[[#This Row],[Mes]]*29,"mmmm")</f>
        <v>October</v>
      </c>
      <c r="S5826"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26" s="157"/>
      <c r="U5826" s="93"/>
      <c r="V5826" s="93"/>
      <c r="W5826" s="94"/>
    </row>
    <row r="5827" spans="1:24" ht="13.35" customHeight="1" x14ac:dyDescent="0.2">
      <c r="A5827" s="81" t="s">
        <v>435</v>
      </c>
      <c r="B5827" s="81" t="s">
        <v>779</v>
      </c>
      <c r="C5827" s="3">
        <v>118415</v>
      </c>
      <c r="D5827" s="116" t="s">
        <v>940</v>
      </c>
      <c r="E5827" s="4" t="s">
        <v>28</v>
      </c>
      <c r="F5827" s="3"/>
      <c r="G5827" s="53">
        <f>+G5828+G5829</f>
        <v>0</v>
      </c>
      <c r="H5827" s="20">
        <f>SUM(H5828:H5829)</f>
        <v>0</v>
      </c>
      <c r="I5827" s="77"/>
      <c r="J5827" s="14" t="e">
        <f>SUM(J5828:J5829)</f>
        <v>#REF!</v>
      </c>
      <c r="K5827" s="76" t="e">
        <f>+Planning[[#This Row],[Horas Planificadas]]+Planning[[#This Row],[Horas ajustadas adicionales]]-Planning[[#This Row],[Horas utilizadas]]</f>
        <v>#REF!</v>
      </c>
      <c r="L5827" s="81" t="e">
        <f>SUM(L5828:L5829)</f>
        <v>#REF!</v>
      </c>
      <c r="M5827" s="19" t="e">
        <f>SUM(M5828:M5829)</f>
        <v>#REF!</v>
      </c>
      <c r="N5827" s="60" t="e">
        <f>+SUMIFS(#REF!,#REF!,Planning[[#This Row],[Proyectos]],#REF!,Planning[[#This Row],[Tipo de Tarea y especialidad]])+SUMIFS(#REF!,#REF!,Planning[[#This Row],[Proyectos Reiwa]],#REF!,Planning[[#This Row],[Tipo de Tarea y especialidad]])</f>
        <v>#REF!</v>
      </c>
      <c r="O5827" s="34">
        <f t="shared" si="183"/>
        <v>10</v>
      </c>
      <c r="P5827" s="34">
        <f t="shared" si="184"/>
        <v>2024</v>
      </c>
      <c r="Q5827" s="28" t="e">
        <f>SUM(Q5828:Q5829)</f>
        <v>#REF!</v>
      </c>
      <c r="R5827" s="24" t="str">
        <f>TEXT(Planning[[#This Row],[Mes]]*29,"mmmm")</f>
        <v>October</v>
      </c>
      <c r="S582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27" s="161" t="s">
        <v>1014</v>
      </c>
      <c r="U5827" s="43"/>
      <c r="V5827" s="43">
        <f>IF(Planning[[#This Row],[Horas Planificadas]]&lt;&gt;0,Planning[[#This Row],[Horas utilizadas]]/Planning[[#This Row],[Horas Planificadas]],0)</f>
        <v>0</v>
      </c>
      <c r="W5827" s="44">
        <f>Planning[[#This Row],[Horas Planificadas]]+Planning[[#This Row],[Horas ajustadas adicionales]]</f>
        <v>0</v>
      </c>
    </row>
    <row r="5828" spans="1:24" ht="13.35" customHeight="1" x14ac:dyDescent="0.2">
      <c r="A5828" s="81" t="s">
        <v>435</v>
      </c>
      <c r="B5828" s="81" t="s">
        <v>779</v>
      </c>
      <c r="C5828" s="3">
        <v>118415</v>
      </c>
      <c r="D5828" s="116" t="s">
        <v>1015</v>
      </c>
      <c r="E5828" s="4"/>
      <c r="F5828" s="3" t="s">
        <v>120</v>
      </c>
      <c r="G5828" s="53">
        <v>0</v>
      </c>
      <c r="H5828" s="20">
        <v>0</v>
      </c>
      <c r="I5828" s="77"/>
      <c r="J5828" s="5" t="e">
        <f>SUM(SUMIFS(#REF!,#REF!,Planning[[#This Row],[Tipo de Tarea y especialidad]],#REF!,Planning[[#This Row],[Proyectos Reiwa]]),SUMIFS(#REF!,#REF!,Planning[[#This Row],[Tipo de Tarea y especialidad]],#REF!,Planning[[#This Row],[Proyectos]]))</f>
        <v>#REF!</v>
      </c>
      <c r="K5828" s="78" t="e">
        <f>+Planning[[#This Row],[Horas Planificadas]]+Planning[[#This Row],[Horas ajustadas adicionales]]-Planning[[#This Row],[Horas utilizadas]]</f>
        <v>#REF!</v>
      </c>
      <c r="L5828" s="81" t="e">
        <f>Planning[[#This Row],[Saldo]]</f>
        <v>#REF!</v>
      </c>
      <c r="M5828" s="19" t="e">
        <f>Planning[[#This Row],[Saldo]]-Planning[[#This Row],[Saldo estimado]]</f>
        <v>#REF!</v>
      </c>
      <c r="N5828" s="60" t="e">
        <f>+SUMIFS(#REF!,#REF!,Planning[[#This Row],[Proyectos]],#REF!,Planning[[#This Row],[Tipo de Tarea y especialidad]])+SUMIFS(#REF!,#REF!,Planning[[#This Row],[Proyectos Reiwa]],#REF!,Planning[[#This Row],[Tipo de Tarea y especialidad]])</f>
        <v>#REF!</v>
      </c>
      <c r="O5828" s="19">
        <f t="shared" si="183"/>
        <v>10</v>
      </c>
      <c r="P5828" s="19">
        <f t="shared" si="184"/>
        <v>2024</v>
      </c>
      <c r="Q58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28" s="49" t="str">
        <f>TEXT(Planning[[#This Row],[Mes]]*29,"mmmm")</f>
        <v>October</v>
      </c>
      <c r="S582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28" s="164"/>
      <c r="U5828" s="43"/>
      <c r="V5828" s="43">
        <f>IF(Planning[[#This Row],[Horas Planificadas]]&lt;&gt;0,Planning[[#This Row],[Horas utilizadas]]/Planning[[#This Row],[Horas Planificadas]],0)</f>
        <v>0</v>
      </c>
      <c r="W5828" s="44">
        <f>Planning[[#This Row],[Horas Planificadas]]+Planning[[#This Row],[Horas ajustadas adicionales]]</f>
        <v>0</v>
      </c>
      <c r="X5828" s="89"/>
    </row>
    <row r="5829" spans="1:24" ht="13.35" customHeight="1" x14ac:dyDescent="0.2">
      <c r="A5829" s="81" t="s">
        <v>435</v>
      </c>
      <c r="B5829" s="81" t="s">
        <v>779</v>
      </c>
      <c r="C5829" s="3">
        <v>118415</v>
      </c>
      <c r="D5829" s="116" t="s">
        <v>940</v>
      </c>
      <c r="E5829" s="4"/>
      <c r="F5829" s="3" t="s">
        <v>121</v>
      </c>
      <c r="G5829" s="53">
        <v>0</v>
      </c>
      <c r="H5829" s="20">
        <v>0</v>
      </c>
      <c r="I5829" s="77"/>
      <c r="J5829" s="5" t="e">
        <f>SUM(SUMIFS(#REF!,#REF!,Planning[[#This Row],[Tipo de Tarea y especialidad]],#REF!,Planning[[#This Row],[Proyectos Reiwa]]),SUMIFS(#REF!,#REF!,Planning[[#This Row],[Tipo de Tarea y especialidad]],#REF!,Planning[[#This Row],[Proyectos]]))</f>
        <v>#REF!</v>
      </c>
      <c r="K5829" s="79" t="e">
        <f>+Planning[[#This Row],[Horas Planificadas]]+Planning[[#This Row],[Horas ajustadas adicionales]]-Planning[[#This Row],[Horas utilizadas]]</f>
        <v>#REF!</v>
      </c>
      <c r="L5829" s="81" t="e">
        <f>Planning[[#This Row],[Saldo]]</f>
        <v>#REF!</v>
      </c>
      <c r="M5829" s="19" t="e">
        <f>Planning[[#This Row],[Saldo]]-Planning[[#This Row],[Saldo estimado]]</f>
        <v>#REF!</v>
      </c>
      <c r="N5829" s="60" t="e">
        <f>+SUMIFS(#REF!,#REF!,Planning[[#This Row],[Proyectos]],#REF!,Planning[[#This Row],[Tipo de Tarea y especialidad]])+SUMIFS(#REF!,#REF!,Planning[[#This Row],[Proyectos Reiwa]],#REF!,Planning[[#This Row],[Tipo de Tarea y especialidad]])</f>
        <v>#REF!</v>
      </c>
      <c r="O5829" s="19">
        <f t="shared" si="183"/>
        <v>10</v>
      </c>
      <c r="P5829" s="19">
        <f t="shared" si="184"/>
        <v>2024</v>
      </c>
      <c r="Q58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29" s="49" t="str">
        <f>TEXT(Planning[[#This Row],[Mes]]*29,"mmmm")</f>
        <v>October</v>
      </c>
      <c r="S582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29" s="164"/>
      <c r="U5829" s="43"/>
      <c r="V5829" s="43">
        <f>IF(Planning[[#This Row],[Horas Planificadas]]&lt;&gt;0,Planning[[#This Row],[Horas utilizadas]]/Planning[[#This Row],[Horas Planificadas]],0)</f>
        <v>0</v>
      </c>
      <c r="W5829" s="44">
        <f>Planning[[#This Row],[Horas Planificadas]]+Planning[[#This Row],[Horas ajustadas adicionales]]</f>
        <v>0</v>
      </c>
      <c r="X5829" s="89"/>
    </row>
    <row r="5830" spans="1:24" ht="13.35" customHeight="1" x14ac:dyDescent="0.2">
      <c r="A5830" s="81" t="s">
        <v>435</v>
      </c>
      <c r="B5830" s="81" t="s">
        <v>779</v>
      </c>
      <c r="C5830" s="3">
        <v>118415</v>
      </c>
      <c r="D5830" s="116" t="s">
        <v>940</v>
      </c>
      <c r="E5830" s="4" t="s">
        <v>30</v>
      </c>
      <c r="F5830" s="3"/>
      <c r="G5830" s="53">
        <f>G5831+G5832+G5833+G5834+G5835+G5836+G5837</f>
        <v>85</v>
      </c>
      <c r="H5830" s="20">
        <f>SUM(H5831:H5837)</f>
        <v>85</v>
      </c>
      <c r="I5830" s="77"/>
      <c r="J5830" s="14" t="e">
        <f>SUM(J5831:J5837)</f>
        <v>#REF!</v>
      </c>
      <c r="K5830" s="76" t="e">
        <f>+Planning[[#This Row],[Horas Planificadas]]+Planning[[#This Row],[Horas ajustadas adicionales]]-Planning[[#This Row],[Horas utilizadas]]</f>
        <v>#REF!</v>
      </c>
      <c r="L5830" s="81" t="e">
        <f>SUM(L5831:L5837)</f>
        <v>#REF!</v>
      </c>
      <c r="M5830" s="19" t="e">
        <f>SUM(M5831:M5837)</f>
        <v>#REF!</v>
      </c>
      <c r="N5830" s="60" t="e">
        <f>+SUMIFS(#REF!,#REF!,Planning[[#This Row],[Proyectos]],#REF!,Planning[[#This Row],[Tipo de Tarea y especialidad]])+SUMIFS(#REF!,#REF!,Planning[[#This Row],[Proyectos Reiwa]],#REF!,Planning[[#This Row],[Tipo de Tarea y especialidad]])</f>
        <v>#REF!</v>
      </c>
      <c r="O5830" s="19">
        <f t="shared" si="183"/>
        <v>10</v>
      </c>
      <c r="P5830" s="19">
        <f t="shared" si="184"/>
        <v>2024</v>
      </c>
      <c r="Q5830" s="16" t="e">
        <f>SUM(Q5831:Q5837)</f>
        <v>#REF!</v>
      </c>
      <c r="R5830" s="50" t="str">
        <f>TEXT(Planning[[#This Row],[Mes]]*29,"mmmm")</f>
        <v>October</v>
      </c>
      <c r="S583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30" s="164"/>
      <c r="U5830" s="43"/>
      <c r="V5830" s="43" t="e">
        <f>IF(Planning[[#This Row],[Horas Planificadas]]&lt;&gt;0,Planning[[#This Row],[Horas utilizadas]]/Planning[[#This Row],[Horas Planificadas]],0)</f>
        <v>#REF!</v>
      </c>
      <c r="W5830" s="44">
        <f>Planning[[#This Row],[Horas Planificadas]]+Planning[[#This Row],[Horas ajustadas adicionales]]</f>
        <v>85</v>
      </c>
      <c r="X5830" s="89" t="s">
        <v>919</v>
      </c>
    </row>
    <row r="5831" spans="1:24" ht="13.35" customHeight="1" x14ac:dyDescent="0.2">
      <c r="A5831" s="81" t="s">
        <v>435</v>
      </c>
      <c r="B5831" s="81" t="s">
        <v>779</v>
      </c>
      <c r="C5831" s="3">
        <v>118415</v>
      </c>
      <c r="D5831" s="116" t="s">
        <v>940</v>
      </c>
      <c r="E5831" s="4"/>
      <c r="F5831" s="3" t="s">
        <v>122</v>
      </c>
      <c r="G5831" s="53">
        <v>27</v>
      </c>
      <c r="H5831" s="20">
        <v>27</v>
      </c>
      <c r="I5831" s="77"/>
      <c r="J5831" s="5" t="e">
        <f>SUM(SUMIFS(#REF!,#REF!,Planning[[#This Row],[Tipo de Tarea y especialidad]],#REF!,Planning[[#This Row],[Proyectos Reiwa]]),SUMIFS(#REF!,#REF!,Planning[[#This Row],[Tipo de Tarea y especialidad]],#REF!,Planning[[#This Row],[Proyectos]]))</f>
        <v>#REF!</v>
      </c>
      <c r="K5831" s="79" t="e">
        <f>+Planning[[#This Row],[Horas Planificadas]]+Planning[[#This Row],[Horas ajustadas adicionales]]-Planning[[#This Row],[Horas utilizadas]]</f>
        <v>#REF!</v>
      </c>
      <c r="L5831" s="81" t="e">
        <f>Planning[[#This Row],[Saldo]]</f>
        <v>#REF!</v>
      </c>
      <c r="M5831" s="19" t="e">
        <f>Planning[[#This Row],[Saldo]]-Planning[[#This Row],[Saldo estimado]]</f>
        <v>#REF!</v>
      </c>
      <c r="N5831" s="60" t="e">
        <f>+SUMIFS(#REF!,#REF!,Planning[[#This Row],[Proyectos]],#REF!,Planning[[#This Row],[Tipo de Tarea y especialidad]])+SUMIFS(#REF!,#REF!,Planning[[#This Row],[Proyectos Reiwa]],#REF!,Planning[[#This Row],[Tipo de Tarea y especialidad]])</f>
        <v>#REF!</v>
      </c>
      <c r="O5831" s="19">
        <f t="shared" si="183"/>
        <v>10</v>
      </c>
      <c r="P5831" s="19">
        <f t="shared" si="184"/>
        <v>2024</v>
      </c>
      <c r="Q58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31" s="49" t="str">
        <f>TEXT(Planning[[#This Row],[Mes]]*29,"mmmm")</f>
        <v>October</v>
      </c>
      <c r="S583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31" s="164"/>
      <c r="U5831" s="43"/>
      <c r="V5831" s="43" t="e">
        <f>IF(Planning[[#This Row],[Horas Planificadas]]&lt;&gt;0,Planning[[#This Row],[Horas utilizadas]]/Planning[[#This Row],[Horas Planificadas]],0)</f>
        <v>#REF!</v>
      </c>
      <c r="W5831" s="44">
        <f>Planning[[#This Row],[Horas Planificadas]]+Planning[[#This Row],[Horas ajustadas adicionales]]</f>
        <v>27</v>
      </c>
      <c r="X5831" s="89"/>
    </row>
    <row r="5832" spans="1:24" ht="13.35" customHeight="1" x14ac:dyDescent="0.2">
      <c r="A5832" s="81" t="s">
        <v>435</v>
      </c>
      <c r="B5832" s="81" t="s">
        <v>779</v>
      </c>
      <c r="C5832" s="3">
        <v>118415</v>
      </c>
      <c r="D5832" s="116" t="s">
        <v>940</v>
      </c>
      <c r="E5832" s="4"/>
      <c r="F5832" s="3" t="s">
        <v>123</v>
      </c>
      <c r="G5832" s="53">
        <v>0</v>
      </c>
      <c r="H5832" s="20">
        <v>0</v>
      </c>
      <c r="I5832" s="77"/>
      <c r="J5832" s="5" t="e">
        <f>SUM(SUMIFS(#REF!,#REF!,Planning[[#This Row],[Tipo de Tarea y especialidad]],#REF!,Planning[[#This Row],[Proyectos Reiwa]]),SUMIFS(#REF!,#REF!,Planning[[#This Row],[Tipo de Tarea y especialidad]],#REF!,Planning[[#This Row],[Proyectos]]))</f>
        <v>#REF!</v>
      </c>
      <c r="K5832" s="78" t="e">
        <f>+Planning[[#This Row],[Horas Planificadas]]+Planning[[#This Row],[Horas ajustadas adicionales]]-Planning[[#This Row],[Horas utilizadas]]</f>
        <v>#REF!</v>
      </c>
      <c r="L5832" s="81" t="e">
        <f>Planning[[#This Row],[Saldo]]</f>
        <v>#REF!</v>
      </c>
      <c r="M5832" s="19" t="e">
        <f>Planning[[#This Row],[Saldo]]-Planning[[#This Row],[Saldo estimado]]</f>
        <v>#REF!</v>
      </c>
      <c r="N5832" s="60" t="e">
        <f>+SUMIFS(#REF!,#REF!,Planning[[#This Row],[Proyectos]],#REF!,Planning[[#This Row],[Tipo de Tarea y especialidad]])+SUMIFS(#REF!,#REF!,Planning[[#This Row],[Proyectos Reiwa]],#REF!,Planning[[#This Row],[Tipo de Tarea y especialidad]])</f>
        <v>#REF!</v>
      </c>
      <c r="O5832" s="19">
        <f t="shared" si="183"/>
        <v>10</v>
      </c>
      <c r="P5832" s="19">
        <f t="shared" si="184"/>
        <v>2024</v>
      </c>
      <c r="Q58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32" s="49" t="str">
        <f>TEXT(Planning[[#This Row],[Mes]]*29,"mmmm")</f>
        <v>October</v>
      </c>
      <c r="S583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32" s="164"/>
      <c r="U5832" s="43"/>
      <c r="V5832" s="43">
        <f>IF(Planning[[#This Row],[Horas Planificadas]]&lt;&gt;0,Planning[[#This Row],[Horas utilizadas]]/Planning[[#This Row],[Horas Planificadas]],0)</f>
        <v>0</v>
      </c>
      <c r="W5832" s="44">
        <f>Planning[[#This Row],[Horas Planificadas]]+Planning[[#This Row],[Horas ajustadas adicionales]]</f>
        <v>0</v>
      </c>
      <c r="X5832" s="89"/>
    </row>
    <row r="5833" spans="1:24" ht="13.35" customHeight="1" x14ac:dyDescent="0.2">
      <c r="A5833" s="81" t="s">
        <v>435</v>
      </c>
      <c r="B5833" s="81" t="s">
        <v>779</v>
      </c>
      <c r="C5833" s="3">
        <v>118415</v>
      </c>
      <c r="D5833" s="116" t="s">
        <v>940</v>
      </c>
      <c r="E5833" s="4"/>
      <c r="F5833" s="3" t="s">
        <v>124</v>
      </c>
      <c r="G5833" s="53">
        <v>0</v>
      </c>
      <c r="H5833" s="20">
        <v>0</v>
      </c>
      <c r="I5833" s="77"/>
      <c r="J5833" s="5" t="e">
        <f>SUM(SUMIFS(#REF!,#REF!,Planning[[#This Row],[Tipo de Tarea y especialidad]],#REF!,Planning[[#This Row],[Proyectos Reiwa]]),SUMIFS(#REF!,#REF!,Planning[[#This Row],[Tipo de Tarea y especialidad]],#REF!,Planning[[#This Row],[Proyectos]]))</f>
        <v>#REF!</v>
      </c>
      <c r="K5833" s="79" t="e">
        <f>+Planning[[#This Row],[Horas Planificadas]]+Planning[[#This Row],[Horas ajustadas adicionales]]-Planning[[#This Row],[Horas utilizadas]]</f>
        <v>#REF!</v>
      </c>
      <c r="L5833" s="81" t="e">
        <f>Planning[[#This Row],[Saldo]]</f>
        <v>#REF!</v>
      </c>
      <c r="M5833" s="19" t="e">
        <f>Planning[[#This Row],[Saldo]]-Planning[[#This Row],[Saldo estimado]]</f>
        <v>#REF!</v>
      </c>
      <c r="N5833" s="60" t="e">
        <f>+SUMIFS(#REF!,#REF!,Planning[[#This Row],[Proyectos]],#REF!,Planning[[#This Row],[Tipo de Tarea y especialidad]])+SUMIFS(#REF!,#REF!,Planning[[#This Row],[Proyectos Reiwa]],#REF!,Planning[[#This Row],[Tipo de Tarea y especialidad]])</f>
        <v>#REF!</v>
      </c>
      <c r="O5833" s="19">
        <f t="shared" si="183"/>
        <v>10</v>
      </c>
      <c r="P5833" s="19">
        <f t="shared" si="184"/>
        <v>2024</v>
      </c>
      <c r="Q58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33" s="49" t="str">
        <f>TEXT(Planning[[#This Row],[Mes]]*29,"mmmm")</f>
        <v>October</v>
      </c>
      <c r="S583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33" s="164"/>
      <c r="U5833" s="43" t="s">
        <v>1016</v>
      </c>
      <c r="V5833" s="43">
        <f>IF(Planning[[#This Row],[Horas Planificadas]]&lt;&gt;0,Planning[[#This Row],[Horas utilizadas]]/Planning[[#This Row],[Horas Planificadas]],0)</f>
        <v>0</v>
      </c>
      <c r="W5833" s="44">
        <f>Planning[[#This Row],[Horas Planificadas]]+Planning[[#This Row],[Horas ajustadas adicionales]]</f>
        <v>0</v>
      </c>
      <c r="X5833" s="89"/>
    </row>
    <row r="5834" spans="1:24" ht="13.35" customHeight="1" x14ac:dyDescent="0.2">
      <c r="A5834" s="81" t="s">
        <v>435</v>
      </c>
      <c r="B5834" s="81" t="s">
        <v>779</v>
      </c>
      <c r="C5834" s="3">
        <v>118415</v>
      </c>
      <c r="D5834" s="116" t="s">
        <v>940</v>
      </c>
      <c r="E5834" s="4"/>
      <c r="F5834" s="3" t="s">
        <v>125</v>
      </c>
      <c r="G5834" s="53">
        <v>0</v>
      </c>
      <c r="H5834" s="20">
        <v>0</v>
      </c>
      <c r="I5834" s="77"/>
      <c r="J5834" s="5" t="e">
        <f>SUM(SUMIFS(#REF!,#REF!,Planning[[#This Row],[Tipo de Tarea y especialidad]],#REF!,Planning[[#This Row],[Proyectos Reiwa]]),SUMIFS(#REF!,#REF!,Planning[[#This Row],[Tipo de Tarea y especialidad]],#REF!,Planning[[#This Row],[Proyectos]]))</f>
        <v>#REF!</v>
      </c>
      <c r="K5834" s="78" t="e">
        <f>+Planning[[#This Row],[Horas Planificadas]]+Planning[[#This Row],[Horas ajustadas adicionales]]-Planning[[#This Row],[Horas utilizadas]]</f>
        <v>#REF!</v>
      </c>
      <c r="L5834" s="81" t="e">
        <f>Planning[[#This Row],[Saldo]]</f>
        <v>#REF!</v>
      </c>
      <c r="M5834" s="19" t="e">
        <f>Planning[[#This Row],[Saldo]]-Planning[[#This Row],[Saldo estimado]]</f>
        <v>#REF!</v>
      </c>
      <c r="N5834" s="60" t="e">
        <f>+SUMIFS(#REF!,#REF!,Planning[[#This Row],[Proyectos]],#REF!,Planning[[#This Row],[Tipo de Tarea y especialidad]])+SUMIFS(#REF!,#REF!,Planning[[#This Row],[Proyectos Reiwa]],#REF!,Planning[[#This Row],[Tipo de Tarea y especialidad]])</f>
        <v>#REF!</v>
      </c>
      <c r="O5834" s="19">
        <f t="shared" si="183"/>
        <v>10</v>
      </c>
      <c r="P5834" s="19">
        <f t="shared" si="184"/>
        <v>2024</v>
      </c>
      <c r="Q58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34" s="49" t="str">
        <f>TEXT(Planning[[#This Row],[Mes]]*29,"mmmm")</f>
        <v>October</v>
      </c>
      <c r="S583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34" s="164"/>
      <c r="U5834" s="43" t="s">
        <v>1017</v>
      </c>
      <c r="V5834" s="43">
        <f>IF(Planning[[#This Row],[Horas Planificadas]]&lt;&gt;0,Planning[[#This Row],[Horas utilizadas]]/Planning[[#This Row],[Horas Planificadas]],0)</f>
        <v>0</v>
      </c>
      <c r="W5834" s="44">
        <f>Planning[[#This Row],[Horas Planificadas]]+Planning[[#This Row],[Horas ajustadas adicionales]]</f>
        <v>0</v>
      </c>
      <c r="X5834" s="89"/>
    </row>
    <row r="5835" spans="1:24" ht="13.35" customHeight="1" x14ac:dyDescent="0.2">
      <c r="A5835" s="81" t="s">
        <v>435</v>
      </c>
      <c r="B5835" s="81" t="s">
        <v>779</v>
      </c>
      <c r="C5835" s="3">
        <v>118415</v>
      </c>
      <c r="D5835" s="116" t="s">
        <v>940</v>
      </c>
      <c r="E5835" s="4"/>
      <c r="F5835" s="3" t="s">
        <v>126</v>
      </c>
      <c r="G5835" s="53">
        <v>58</v>
      </c>
      <c r="H5835" s="20">
        <v>58</v>
      </c>
      <c r="I5835" s="77"/>
      <c r="J5835" s="5" t="e">
        <f>SUM(SUMIFS(#REF!,#REF!,Planning[[#This Row],[Tipo de Tarea y especialidad]],#REF!,Planning[[#This Row],[Proyectos Reiwa]]),SUMIFS(#REF!,#REF!,Planning[[#This Row],[Tipo de Tarea y especialidad]],#REF!,Planning[[#This Row],[Proyectos]]))</f>
        <v>#REF!</v>
      </c>
      <c r="K5835" s="79" t="e">
        <f>+Planning[[#This Row],[Horas Planificadas]]+Planning[[#This Row],[Horas ajustadas adicionales]]-Planning[[#This Row],[Horas utilizadas]]</f>
        <v>#REF!</v>
      </c>
      <c r="L5835" s="81" t="e">
        <f>Planning[[#This Row],[Saldo]]</f>
        <v>#REF!</v>
      </c>
      <c r="M5835" s="19" t="e">
        <f>Planning[[#This Row],[Saldo]]-Planning[[#This Row],[Saldo estimado]]</f>
        <v>#REF!</v>
      </c>
      <c r="N5835" s="60" t="e">
        <f>+SUMIFS(#REF!,#REF!,Planning[[#This Row],[Proyectos]],#REF!,Planning[[#This Row],[Tipo de Tarea y especialidad]])+SUMIFS(#REF!,#REF!,Planning[[#This Row],[Proyectos Reiwa]],#REF!,Planning[[#This Row],[Tipo de Tarea y especialidad]])</f>
        <v>#REF!</v>
      </c>
      <c r="O5835" s="19">
        <f t="shared" si="183"/>
        <v>10</v>
      </c>
      <c r="P5835" s="19">
        <f t="shared" si="184"/>
        <v>2024</v>
      </c>
      <c r="Q583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35" s="49" t="str">
        <f>TEXT(Planning[[#This Row],[Mes]]*29,"mmmm")</f>
        <v>October</v>
      </c>
      <c r="S583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35" s="164"/>
      <c r="U5835" s="43" t="s">
        <v>1018</v>
      </c>
      <c r="V5835" s="43" t="e">
        <f>IF(Planning[[#This Row],[Horas Planificadas]]&lt;&gt;0,Planning[[#This Row],[Horas utilizadas]]/Planning[[#This Row],[Horas Planificadas]],0)</f>
        <v>#REF!</v>
      </c>
      <c r="W5835" s="44">
        <f>Planning[[#This Row],[Horas Planificadas]]+Planning[[#This Row],[Horas ajustadas adicionales]]</f>
        <v>58</v>
      </c>
      <c r="X5835" s="90" t="s">
        <v>920</v>
      </c>
    </row>
    <row r="5836" spans="1:24" ht="13.35" customHeight="1" x14ac:dyDescent="0.2">
      <c r="A5836" s="81" t="s">
        <v>435</v>
      </c>
      <c r="B5836" s="81" t="s">
        <v>779</v>
      </c>
      <c r="C5836" s="3">
        <v>118415</v>
      </c>
      <c r="D5836" s="116" t="s">
        <v>940</v>
      </c>
      <c r="E5836" s="4"/>
      <c r="F5836" s="3" t="s">
        <v>127</v>
      </c>
      <c r="G5836" s="53">
        <v>0</v>
      </c>
      <c r="H5836" s="20">
        <v>0</v>
      </c>
      <c r="I5836" s="77"/>
      <c r="J5836" s="5" t="e">
        <f>SUM(SUMIFS(#REF!,#REF!,Planning[[#This Row],[Tipo de Tarea y especialidad]],#REF!,Planning[[#This Row],[Proyectos Reiwa]]),SUMIFS(#REF!,#REF!,Planning[[#This Row],[Tipo de Tarea y especialidad]],#REF!,Planning[[#This Row],[Proyectos]]))</f>
        <v>#REF!</v>
      </c>
      <c r="K5836" s="78" t="e">
        <f>+Planning[[#This Row],[Horas Planificadas]]+Planning[[#This Row],[Horas ajustadas adicionales]]-Planning[[#This Row],[Horas utilizadas]]</f>
        <v>#REF!</v>
      </c>
      <c r="L5836" s="81" t="e">
        <f>Planning[[#This Row],[Saldo]]</f>
        <v>#REF!</v>
      </c>
      <c r="M5836" s="19" t="e">
        <f>Planning[[#This Row],[Saldo]]-Planning[[#This Row],[Saldo estimado]]</f>
        <v>#REF!</v>
      </c>
      <c r="N5836" s="60" t="e">
        <f>+SUMIFS(#REF!,#REF!,Planning[[#This Row],[Proyectos]],#REF!,Planning[[#This Row],[Tipo de Tarea y especialidad]])+SUMIFS(#REF!,#REF!,Planning[[#This Row],[Proyectos Reiwa]],#REF!,Planning[[#This Row],[Tipo de Tarea y especialidad]])</f>
        <v>#REF!</v>
      </c>
      <c r="O5836" s="19">
        <f t="shared" si="183"/>
        <v>10</v>
      </c>
      <c r="P5836" s="19">
        <f t="shared" si="184"/>
        <v>2024</v>
      </c>
      <c r="Q58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36" s="49" t="str">
        <f>TEXT(Planning[[#This Row],[Mes]]*29,"mmmm")</f>
        <v>October</v>
      </c>
      <c r="S583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36" s="164"/>
      <c r="U5836" s="43"/>
      <c r="V5836" s="43">
        <f>IF(Planning[[#This Row],[Horas Planificadas]]&lt;&gt;0,Planning[[#This Row],[Horas utilizadas]]/Planning[[#This Row],[Horas Planificadas]],0)</f>
        <v>0</v>
      </c>
      <c r="W5836" s="44">
        <f>Planning[[#This Row],[Horas Planificadas]]+Planning[[#This Row],[Horas ajustadas adicionales]]</f>
        <v>0</v>
      </c>
      <c r="X5836" s="91"/>
    </row>
    <row r="5837" spans="1:24" ht="13.35" customHeight="1" x14ac:dyDescent="0.2">
      <c r="A5837" s="81" t="s">
        <v>435</v>
      </c>
      <c r="B5837" s="81" t="s">
        <v>779</v>
      </c>
      <c r="C5837" s="3">
        <v>118415</v>
      </c>
      <c r="D5837" s="116" t="s">
        <v>940</v>
      </c>
      <c r="E5837" s="4"/>
      <c r="F5837" s="3" t="s">
        <v>128</v>
      </c>
      <c r="G5837" s="53">
        <v>0</v>
      </c>
      <c r="H5837" s="20">
        <v>0</v>
      </c>
      <c r="I5837" s="77"/>
      <c r="J5837" s="5" t="e">
        <f>SUM(SUMIFS(#REF!,#REF!,Planning[[#This Row],[Tipo de Tarea y especialidad]],#REF!,Planning[[#This Row],[Proyectos Reiwa]]),SUMIFS(#REF!,#REF!,Planning[[#This Row],[Tipo de Tarea y especialidad]],#REF!,Planning[[#This Row],[Proyectos]]))</f>
        <v>#REF!</v>
      </c>
      <c r="K5837" s="79" t="e">
        <f>+Planning[[#This Row],[Horas Planificadas]]+Planning[[#This Row],[Horas ajustadas adicionales]]-Planning[[#This Row],[Horas utilizadas]]</f>
        <v>#REF!</v>
      </c>
      <c r="L5837" s="81" t="e">
        <f>Planning[[#This Row],[Saldo]]</f>
        <v>#REF!</v>
      </c>
      <c r="M5837" s="19" t="e">
        <f>Planning[[#This Row],[Saldo]]-Planning[[#This Row],[Saldo estimado]]</f>
        <v>#REF!</v>
      </c>
      <c r="N5837" s="60" t="e">
        <f>+SUMIFS(#REF!,#REF!,Planning[[#This Row],[Proyectos]],#REF!,Planning[[#This Row],[Tipo de Tarea y especialidad]])+SUMIFS(#REF!,#REF!,Planning[[#This Row],[Proyectos Reiwa]],#REF!,Planning[[#This Row],[Tipo de Tarea y especialidad]])</f>
        <v>#REF!</v>
      </c>
      <c r="O5837" s="19">
        <f t="shared" si="183"/>
        <v>10</v>
      </c>
      <c r="P5837" s="19">
        <f t="shared" si="184"/>
        <v>2024</v>
      </c>
      <c r="Q58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37" s="49" t="str">
        <f>TEXT(Planning[[#This Row],[Mes]]*29,"mmmm")</f>
        <v>October</v>
      </c>
      <c r="S583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37" s="164"/>
      <c r="U5837" s="43"/>
      <c r="V5837" s="43">
        <f>IF(Planning[[#This Row],[Horas Planificadas]]&lt;&gt;0,Planning[[#This Row],[Horas utilizadas]]/Planning[[#This Row],[Horas Planificadas]],0)</f>
        <v>0</v>
      </c>
      <c r="W5837" s="44">
        <f>Planning[[#This Row],[Horas Planificadas]]+Planning[[#This Row],[Horas ajustadas adicionales]]</f>
        <v>0</v>
      </c>
      <c r="X5837" s="89"/>
    </row>
    <row r="5838" spans="1:24" ht="13.35" customHeight="1" x14ac:dyDescent="0.2">
      <c r="A5838" s="81" t="s">
        <v>435</v>
      </c>
      <c r="B5838" s="81" t="s">
        <v>779</v>
      </c>
      <c r="C5838" s="3">
        <v>118415</v>
      </c>
      <c r="D5838" s="116" t="s">
        <v>940</v>
      </c>
      <c r="E5838" s="4" t="s">
        <v>31</v>
      </c>
      <c r="F5838" s="3" t="s">
        <v>31</v>
      </c>
      <c r="G5838" s="53">
        <v>18</v>
      </c>
      <c r="H5838" s="20">
        <v>18</v>
      </c>
      <c r="I5838" s="77"/>
      <c r="J5838" s="14" t="e">
        <f>+SUMIFS(#REF!,#REF!,Planning[[#This Row],[Tarifa]],#REF!,Planning[[#This Row],[Proyectos]])</f>
        <v>#REF!</v>
      </c>
      <c r="K5838" s="76" t="e">
        <f>+Planning[[#This Row],[Horas Planificadas]]+Planning[[#This Row],[Horas ajustadas adicionales]]-Planning[[#This Row],[Horas utilizadas]]</f>
        <v>#REF!</v>
      </c>
      <c r="L5838" s="81" t="e">
        <f>Planning[[#This Row],[Saldo]]</f>
        <v>#REF!</v>
      </c>
      <c r="M5838" s="19" t="e">
        <f>Planning[[#This Row],[Saldo]]-Planning[[#This Row],[Saldo estimado]]</f>
        <v>#REF!</v>
      </c>
      <c r="N5838" s="60" t="e">
        <f>+SUMIFS(#REF!,#REF!,Planning[[#This Row],[Proyectos]],#REF!,Planning[[#This Row],[Tipo de Tarea y especialidad]])+SUMIFS(#REF!,#REF!,Planning[[#This Row],[Proyectos Reiwa]],#REF!,Planning[[#This Row],[Tipo de Tarea y especialidad]])</f>
        <v>#REF!</v>
      </c>
      <c r="O5838" s="19">
        <f t="shared" si="183"/>
        <v>10</v>
      </c>
      <c r="P5838" s="19">
        <f t="shared" si="184"/>
        <v>2024</v>
      </c>
      <c r="Q5838" s="16" t="e">
        <f>+SUMIFS(#REF!,#REF!,Planning[[#This Row],[Tarifa]],#REF!,Planning[[#This Row],[Proyectos]],#REF!,Planning[[#This Row],[Mes]],#REF!,Planning[[#This Row],[Año]])</f>
        <v>#REF!</v>
      </c>
      <c r="R5838" s="50" t="str">
        <f>TEXT(Planning[[#This Row],[Mes]]*29,"mmmm")</f>
        <v>October</v>
      </c>
      <c r="S583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38" s="164"/>
      <c r="U5838" s="43"/>
      <c r="V5838" s="43" t="e">
        <f>IF(Planning[[#This Row],[Horas Planificadas]]&lt;&gt;0,Planning[[#This Row],[Horas utilizadas]]/Planning[[#This Row],[Horas Planificadas]],0)</f>
        <v>#REF!</v>
      </c>
      <c r="W5838" s="44">
        <f>Planning[[#This Row],[Horas Planificadas]]+Planning[[#This Row],[Horas ajustadas adicionales]]</f>
        <v>18</v>
      </c>
      <c r="X5838" s="89"/>
    </row>
    <row r="5839" spans="1:24" ht="13.35" customHeight="1" x14ac:dyDescent="0.2">
      <c r="A5839" s="81" t="s">
        <v>435</v>
      </c>
      <c r="B5839" s="81" t="s">
        <v>779</v>
      </c>
      <c r="C5839" s="3">
        <v>118415</v>
      </c>
      <c r="D5839" s="116" t="s">
        <v>940</v>
      </c>
      <c r="E5839" s="4" t="s">
        <v>32</v>
      </c>
      <c r="F5839" s="3"/>
      <c r="G5839" s="53">
        <f>G5840+G5841+G5842</f>
        <v>0</v>
      </c>
      <c r="H5839" s="20">
        <f>SUM(H5840:H5842)</f>
        <v>0</v>
      </c>
      <c r="I5839" s="77"/>
      <c r="J5839" s="14" t="e">
        <f>SUM(J5840:J5842)</f>
        <v>#REF!</v>
      </c>
      <c r="K5839" s="76" t="e">
        <f>+Planning[[#This Row],[Horas Planificadas]]+Planning[[#This Row],[Horas ajustadas adicionales]]-Planning[[#This Row],[Horas utilizadas]]</f>
        <v>#REF!</v>
      </c>
      <c r="L5839" s="81" t="e">
        <f>SUM(L5840:L5842)</f>
        <v>#REF!</v>
      </c>
      <c r="M5839" s="19" t="e">
        <f>SUM(M5840:M5842)</f>
        <v>#REF!</v>
      </c>
      <c r="N5839" s="60" t="e">
        <f>+SUMIFS(#REF!,#REF!,Planning[[#This Row],[Proyectos]],#REF!,Planning[[#This Row],[Tipo de Tarea y especialidad]])+SUMIFS(#REF!,#REF!,Planning[[#This Row],[Proyectos Reiwa]],#REF!,Planning[[#This Row],[Tipo de Tarea y especialidad]])</f>
        <v>#REF!</v>
      </c>
      <c r="O5839" s="19">
        <f t="shared" si="183"/>
        <v>10</v>
      </c>
      <c r="P5839" s="19">
        <f t="shared" si="184"/>
        <v>2024</v>
      </c>
      <c r="Q5839" s="16" t="e">
        <f>SUM(Q5840:Q5842)</f>
        <v>#REF!</v>
      </c>
      <c r="R5839" s="50" t="str">
        <f>TEXT(Planning[[#This Row],[Mes]]*29,"mmmm")</f>
        <v>October</v>
      </c>
      <c r="S583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39" s="164"/>
      <c r="U5839" s="43"/>
      <c r="V5839" s="43">
        <f>IF(Planning[[#This Row],[Horas Planificadas]]&lt;&gt;0,Planning[[#This Row],[Horas utilizadas]]/Planning[[#This Row],[Horas Planificadas]],0)</f>
        <v>0</v>
      </c>
      <c r="W5839" s="44">
        <f>Planning[[#This Row],[Horas Planificadas]]+Planning[[#This Row],[Horas ajustadas adicionales]]</f>
        <v>0</v>
      </c>
      <c r="X5839" s="89"/>
    </row>
    <row r="5840" spans="1:24" ht="13.35" customHeight="1" x14ac:dyDescent="0.2">
      <c r="A5840" s="81" t="s">
        <v>435</v>
      </c>
      <c r="B5840" s="81" t="s">
        <v>779</v>
      </c>
      <c r="C5840" s="3">
        <v>118415</v>
      </c>
      <c r="D5840" s="116" t="s">
        <v>940</v>
      </c>
      <c r="E5840" s="4"/>
      <c r="F5840" s="3" t="s">
        <v>129</v>
      </c>
      <c r="G5840" s="53">
        <v>0</v>
      </c>
      <c r="H5840" s="20">
        <v>0</v>
      </c>
      <c r="I5840" s="77"/>
      <c r="J5840" s="5" t="e">
        <f>SUM(SUMIFS(#REF!,#REF!,Planning[[#This Row],[Tipo de Tarea y especialidad]],#REF!,Planning[[#This Row],[Proyectos Reiwa]]),SUMIFS(#REF!,#REF!,Planning[[#This Row],[Tipo de Tarea y especialidad]],#REF!,Planning[[#This Row],[Proyectos]]))</f>
        <v>#REF!</v>
      </c>
      <c r="K5840" s="78" t="e">
        <f>+Planning[[#This Row],[Horas Planificadas]]+Planning[[#This Row],[Horas ajustadas adicionales]]-Planning[[#This Row],[Horas utilizadas]]</f>
        <v>#REF!</v>
      </c>
      <c r="L5840" s="81" t="e">
        <f>Planning[[#This Row],[Saldo]]</f>
        <v>#REF!</v>
      </c>
      <c r="M5840" s="19" t="e">
        <f>Planning[[#This Row],[Saldo]]-Planning[[#This Row],[Saldo estimado]]</f>
        <v>#REF!</v>
      </c>
      <c r="N5840" s="60" t="e">
        <f>+SUMIFS(#REF!,#REF!,Planning[[#This Row],[Proyectos]],#REF!,Planning[[#This Row],[Tipo de Tarea y especialidad]])+SUMIFS(#REF!,#REF!,Planning[[#This Row],[Proyectos Reiwa]],#REF!,Planning[[#This Row],[Tipo de Tarea y especialidad]])</f>
        <v>#REF!</v>
      </c>
      <c r="O5840" s="19">
        <f t="shared" si="183"/>
        <v>10</v>
      </c>
      <c r="P5840" s="19">
        <f t="shared" si="184"/>
        <v>2024</v>
      </c>
      <c r="Q58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40" s="49" t="str">
        <f>TEXT(Planning[[#This Row],[Mes]]*29,"mmmm")</f>
        <v>October</v>
      </c>
      <c r="S584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40" s="164"/>
      <c r="U5840" s="43"/>
      <c r="V5840" s="43">
        <f>IF(Planning[[#This Row],[Horas Planificadas]]&lt;&gt;0,Planning[[#This Row],[Horas utilizadas]]/Planning[[#This Row],[Horas Planificadas]],0)</f>
        <v>0</v>
      </c>
      <c r="W5840" s="44">
        <f>Planning[[#This Row],[Horas Planificadas]]+Planning[[#This Row],[Horas ajustadas adicionales]]</f>
        <v>0</v>
      </c>
      <c r="X5840" s="89"/>
    </row>
    <row r="5841" spans="1:24" ht="13.35" customHeight="1" x14ac:dyDescent="0.2">
      <c r="A5841" s="7" t="s">
        <v>435</v>
      </c>
      <c r="B5841" s="7" t="s">
        <v>779</v>
      </c>
      <c r="C5841" s="3">
        <v>118415</v>
      </c>
      <c r="D5841" s="116" t="s">
        <v>940</v>
      </c>
      <c r="E5841" s="4"/>
      <c r="F5841" s="3" t="s">
        <v>130</v>
      </c>
      <c r="G5841" s="53">
        <v>0</v>
      </c>
      <c r="H5841" s="20">
        <v>0</v>
      </c>
      <c r="I5841" s="77"/>
      <c r="J5841" s="5" t="e">
        <f>SUM(SUMIFS(#REF!,#REF!,Planning[[#This Row],[Tipo de Tarea y especialidad]],#REF!,Planning[[#This Row],[Proyectos Reiwa]]),SUMIFS(#REF!,#REF!,Planning[[#This Row],[Tipo de Tarea y especialidad]],#REF!,Planning[[#This Row],[Proyectos]]))</f>
        <v>#REF!</v>
      </c>
      <c r="K5841" s="79" t="e">
        <f>+Planning[[#This Row],[Horas Planificadas]]+Planning[[#This Row],[Horas ajustadas adicionales]]-Planning[[#This Row],[Horas utilizadas]]</f>
        <v>#REF!</v>
      </c>
      <c r="L5841" s="81" t="e">
        <f>Planning[[#This Row],[Saldo]]</f>
        <v>#REF!</v>
      </c>
      <c r="M5841" s="19" t="e">
        <f>Planning[[#This Row],[Saldo]]-Planning[[#This Row],[Saldo estimado]]</f>
        <v>#REF!</v>
      </c>
      <c r="N5841" s="60" t="e">
        <f>+SUMIFS(#REF!,#REF!,Planning[[#This Row],[Proyectos]],#REF!,Planning[[#This Row],[Tipo de Tarea y especialidad]])+SUMIFS(#REF!,#REF!,Planning[[#This Row],[Proyectos Reiwa]],#REF!,Planning[[#This Row],[Tipo de Tarea y especialidad]])</f>
        <v>#REF!</v>
      </c>
      <c r="O5841" s="83">
        <f t="shared" si="183"/>
        <v>10</v>
      </c>
      <c r="P5841" s="83">
        <f t="shared" si="184"/>
        <v>2024</v>
      </c>
      <c r="Q58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41" s="49" t="str">
        <f>TEXT(Planning[[#This Row],[Mes]]*29,"mmmm")</f>
        <v>October</v>
      </c>
      <c r="S584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41" s="164"/>
      <c r="U5841" s="43"/>
      <c r="V5841" s="43">
        <f>IF(Planning[[#This Row],[Horas Planificadas]]&lt;&gt;0,Planning[[#This Row],[Horas utilizadas]]/Planning[[#This Row],[Horas Planificadas]],0)</f>
        <v>0</v>
      </c>
      <c r="W5841" s="44">
        <f>Planning[[#This Row],[Horas Planificadas]]+Planning[[#This Row],[Horas ajustadas adicionales]]</f>
        <v>0</v>
      </c>
      <c r="X5841" s="89"/>
    </row>
    <row r="5842" spans="1:24" ht="13.35" customHeight="1" x14ac:dyDescent="0.2">
      <c r="A5842" s="7" t="s">
        <v>435</v>
      </c>
      <c r="B5842" s="7" t="s">
        <v>779</v>
      </c>
      <c r="C5842" s="3">
        <v>118415</v>
      </c>
      <c r="D5842" s="116" t="s">
        <v>940</v>
      </c>
      <c r="E5842" s="4"/>
      <c r="F5842" s="3" t="s">
        <v>131</v>
      </c>
      <c r="G5842" s="53">
        <v>0</v>
      </c>
      <c r="H5842" s="20">
        <v>0</v>
      </c>
      <c r="I5842" s="80"/>
      <c r="J5842" s="5" t="e">
        <f>SUM(SUMIFS(#REF!,#REF!,Planning[[#This Row],[Tipo de Tarea y especialidad]],#REF!,Planning[[#This Row],[Proyectos Reiwa]]),SUMIFS(#REF!,#REF!,Planning[[#This Row],[Tipo de Tarea y especialidad]],#REF!,Planning[[#This Row],[Proyectos]]))</f>
        <v>#REF!</v>
      </c>
      <c r="K5842" s="75" t="e">
        <f>+Planning[[#This Row],[Horas Planificadas]]+Planning[[#This Row],[Horas ajustadas adicionales]]-Planning[[#This Row],[Horas utilizadas]]</f>
        <v>#REF!</v>
      </c>
      <c r="L5842" s="7" t="e">
        <f>Planning[[#This Row],[Saldo]]</f>
        <v>#REF!</v>
      </c>
      <c r="M5842" s="19" t="e">
        <f>Planning[[#This Row],[Saldo]]-Planning[[#This Row],[Saldo estimado]]</f>
        <v>#REF!</v>
      </c>
      <c r="N5842" s="60" t="e">
        <f>+SUMIFS(#REF!,#REF!,Planning[[#This Row],[Proyectos]],#REF!,Planning[[#This Row],[Tipo de Tarea y especialidad]])+SUMIFS(#REF!,#REF!,Planning[[#This Row],[Proyectos Reiwa]],#REF!,Planning[[#This Row],[Tipo de Tarea y especialidad]])</f>
        <v>#REF!</v>
      </c>
      <c r="O5842" s="19">
        <f t="shared" si="183"/>
        <v>10</v>
      </c>
      <c r="P5842" s="19">
        <f t="shared" si="184"/>
        <v>2024</v>
      </c>
      <c r="Q58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42" s="51" t="str">
        <f>TEXT(Planning[[#This Row],[Mes]]*29,"mmmm")</f>
        <v>October</v>
      </c>
      <c r="S584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42" s="165"/>
      <c r="U5842" s="43"/>
      <c r="V5842" s="43">
        <f>IF(Planning[[#This Row],[Horas Planificadas]]&lt;&gt;0,Planning[[#This Row],[Horas utilizadas]]/Planning[[#This Row],[Horas Planificadas]],0)</f>
        <v>0</v>
      </c>
      <c r="W5842" s="44">
        <f>Planning[[#This Row],[Horas Planificadas]]+Planning[[#This Row],[Horas ajustadas adicionales]]</f>
        <v>0</v>
      </c>
      <c r="X5842" s="89"/>
    </row>
    <row r="5843" spans="1:24" ht="11.85" customHeight="1" x14ac:dyDescent="0.2">
      <c r="A5843" s="9" t="s">
        <v>626</v>
      </c>
      <c r="B5843" s="9" t="s">
        <v>808</v>
      </c>
      <c r="C5843" s="3">
        <v>119155</v>
      </c>
      <c r="D5843" s="116" t="s">
        <v>940</v>
      </c>
      <c r="E5843" s="4" t="s">
        <v>28</v>
      </c>
      <c r="F5843" s="3"/>
      <c r="G5843" s="53"/>
      <c r="H5843" s="14">
        <f>SUM(H5844:H5845)</f>
        <v>0</v>
      </c>
      <c r="I5843" s="18"/>
      <c r="J5843" s="14" t="e">
        <f>SUM(J5844:J5845)</f>
        <v>#REF!</v>
      </c>
      <c r="K5843" s="14" t="e">
        <f>+Planning[[#This Row],[Horas Planificadas]]+Planning[[#This Row],[Horas ajustadas adicionales]]-Planning[[#This Row],[Horas utilizadas]]</f>
        <v>#REF!</v>
      </c>
      <c r="L5843" s="15" t="e">
        <f>SUM(L5844:L5845)</f>
        <v>#REF!</v>
      </c>
      <c r="M5843" s="15" t="e">
        <f>Planning[[#This Row],[Saldo]]-Planning[[#This Row],[Saldo estimado]]</f>
        <v>#REF!</v>
      </c>
      <c r="N5843" s="60" t="e">
        <f>+SUMIFS(#REF!,#REF!,Planning[[#This Row],[Proyectos]],#REF!,Planning[[#This Row],[Tipo de Tarea y especialidad]])+SUMIFS(#REF!,#REF!,Planning[[#This Row],[Proyectos Reiwa]],#REF!,Planning[[#This Row],[Tipo de Tarea y especialidad]])</f>
        <v>#REF!</v>
      </c>
      <c r="O5843" s="83">
        <f t="shared" si="183"/>
        <v>10</v>
      </c>
      <c r="P5843" s="83">
        <f t="shared" si="184"/>
        <v>2024</v>
      </c>
      <c r="Q5843" s="28" t="e">
        <f>SUM(Q5844:Q5845)</f>
        <v>#REF!</v>
      </c>
      <c r="R5843" s="14" t="str">
        <f>TEXT(Planning[[#This Row],[Mes]]*29,"mmmm")</f>
        <v>October</v>
      </c>
      <c r="S584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43" s="114" t="s">
        <v>1019</v>
      </c>
      <c r="U5843" s="45">
        <v>27</v>
      </c>
    </row>
    <row r="5844" spans="1:24" x14ac:dyDescent="0.2">
      <c r="A5844" s="9" t="s">
        <v>626</v>
      </c>
      <c r="B5844" s="9" t="s">
        <v>808</v>
      </c>
      <c r="C5844" s="130" t="s">
        <v>1020</v>
      </c>
      <c r="D5844" s="116" t="s">
        <v>940</v>
      </c>
      <c r="E5844" s="4"/>
      <c r="F5844" s="3" t="s">
        <v>120</v>
      </c>
      <c r="G5844" s="53">
        <v>0</v>
      </c>
      <c r="H5844" s="20">
        <v>0</v>
      </c>
      <c r="I5844" s="12"/>
      <c r="J5844" s="5" t="e">
        <f>SUM(SUMIFS(#REF!,#REF!,Planning[[#This Row],[Tipo de Tarea y especialidad]],#REF!,Planning[[#This Row],[Proyectos Reiwa]]),SUMIFS(#REF!,#REF!,Planning[[#This Row],[Tipo de Tarea y especialidad]],#REF!,Planning[[#This Row],[Proyectos]]))</f>
        <v>#REF!</v>
      </c>
      <c r="K5844" s="5" t="e">
        <f>+Planning[[#This Row],[Horas Planificadas]]+Planning[[#This Row],[Horas ajustadas adicionales]]-Planning[[#This Row],[Horas utilizadas]]</f>
        <v>#REF!</v>
      </c>
      <c r="L5844" s="7" t="e">
        <f>Planning[[#This Row],[Saldo]]</f>
        <v>#REF!</v>
      </c>
      <c r="M5844" s="83" t="e">
        <f>Planning[[#This Row],[Saldo]]-Planning[[#This Row],[Saldo estimado]]</f>
        <v>#REF!</v>
      </c>
      <c r="N5844" s="60" t="e">
        <f>+SUMIFS(#REF!,#REF!,Planning[[#This Row],[Proyectos]],#REF!,Planning[[#This Row],[Tipo de Tarea y especialidad]])+SUMIFS(#REF!,#REF!,Planning[[#This Row],[Proyectos Reiwa]],#REF!,Planning[[#This Row],[Tipo de Tarea y especialidad]])</f>
        <v>#REF!</v>
      </c>
      <c r="O5844" s="83">
        <f t="shared" si="183"/>
        <v>10</v>
      </c>
      <c r="P5844" s="83">
        <f t="shared" si="184"/>
        <v>2024</v>
      </c>
      <c r="Q58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44" s="34" t="str">
        <f>TEXT(Planning[[#This Row],[Mes]]*29,"mmmm")</f>
        <v>October</v>
      </c>
      <c r="S584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44" s="102"/>
      <c r="U5844" s="45">
        <v>18</v>
      </c>
    </row>
    <row r="5845" spans="1:24" x14ac:dyDescent="0.2">
      <c r="A5845" s="9" t="s">
        <v>626</v>
      </c>
      <c r="B5845" s="9" t="s">
        <v>808</v>
      </c>
      <c r="C5845" s="130">
        <v>119155</v>
      </c>
      <c r="D5845" s="116" t="s">
        <v>1015</v>
      </c>
      <c r="E5845" s="4"/>
      <c r="F5845" s="3" t="s">
        <v>121</v>
      </c>
      <c r="G5845" s="53">
        <v>0</v>
      </c>
      <c r="H5845" s="20">
        <v>0</v>
      </c>
      <c r="I5845" s="12"/>
      <c r="J5845" s="5" t="e">
        <f>SUM(SUMIFS(#REF!,#REF!,Planning[[#This Row],[Tipo de Tarea y especialidad]],#REF!,Planning[[#This Row],[Proyectos Reiwa]]),SUMIFS(#REF!,#REF!,Planning[[#This Row],[Tipo de Tarea y especialidad]],#REF!,Planning[[#This Row],[Proyectos]]))</f>
        <v>#REF!</v>
      </c>
      <c r="K5845" s="5" t="e">
        <f>+Planning[[#This Row],[Horas Planificadas]]+Planning[[#This Row],[Horas ajustadas adicionales]]-Planning[[#This Row],[Horas utilizadas]]</f>
        <v>#REF!</v>
      </c>
      <c r="L5845" s="7" t="e">
        <f>Planning[[#This Row],[Saldo]]</f>
        <v>#REF!</v>
      </c>
      <c r="M5845" s="83" t="e">
        <f>Planning[[#This Row],[Saldo]]-Planning[[#This Row],[Saldo estimado]]</f>
        <v>#REF!</v>
      </c>
      <c r="N5845" s="60" t="e">
        <f>+SUMIFS(#REF!,#REF!,Planning[[#This Row],[Proyectos]],#REF!,Planning[[#This Row],[Tipo de Tarea y especialidad]])+SUMIFS(#REF!,#REF!,Planning[[#This Row],[Proyectos Reiwa]],#REF!,Planning[[#This Row],[Tipo de Tarea y especialidad]])</f>
        <v>#REF!</v>
      </c>
      <c r="O5845" s="83">
        <f t="shared" si="183"/>
        <v>10</v>
      </c>
      <c r="P5845" s="83">
        <f t="shared" si="184"/>
        <v>2024</v>
      </c>
      <c r="Q58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45" s="34" t="str">
        <f>TEXT(Planning[[#This Row],[Mes]]*29,"mmmm")</f>
        <v>October</v>
      </c>
      <c r="S584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45" s="102" t="s">
        <v>1021</v>
      </c>
    </row>
    <row r="5846" spans="1:24" x14ac:dyDescent="0.2">
      <c r="A5846" s="9" t="s">
        <v>626</v>
      </c>
      <c r="B5846" s="9" t="s">
        <v>808</v>
      </c>
      <c r="C5846" s="130" t="s">
        <v>1020</v>
      </c>
      <c r="D5846" s="116" t="s">
        <v>940</v>
      </c>
      <c r="E5846" s="4" t="s">
        <v>30</v>
      </c>
      <c r="F5846" s="3"/>
      <c r="G5846" s="53"/>
      <c r="H5846" s="14">
        <f>SUM(H5847:H5853)</f>
        <v>45</v>
      </c>
      <c r="I5846" s="18"/>
      <c r="J5846" s="14" t="e">
        <f>SUM(J5847:J5853)</f>
        <v>#REF!</v>
      </c>
      <c r="K5846" s="14" t="e">
        <f>+Planning[[#This Row],[Horas Planificadas]]+Planning[[#This Row],[Horas ajustadas adicionales]]-Planning[[#This Row],[Horas utilizadas]]</f>
        <v>#REF!</v>
      </c>
      <c r="L5846" s="15" t="e">
        <f>SUM(L5847:L5853)</f>
        <v>#REF!</v>
      </c>
      <c r="M5846" s="15" t="e">
        <f>Planning[[#This Row],[Saldo]]-Planning[[#This Row],[Saldo estimado]]</f>
        <v>#REF!</v>
      </c>
      <c r="N5846" s="60" t="e">
        <f>+SUMIFS(#REF!,#REF!,Planning[[#This Row],[Proyectos]],#REF!,Planning[[#This Row],[Tipo de Tarea y especialidad]])+SUMIFS(#REF!,#REF!,Planning[[#This Row],[Proyectos Reiwa]],#REF!,Planning[[#This Row],[Tipo de Tarea y especialidad]])</f>
        <v>#REF!</v>
      </c>
      <c r="O5846" s="83">
        <f t="shared" si="183"/>
        <v>10</v>
      </c>
      <c r="P5846" s="83">
        <f t="shared" si="184"/>
        <v>2024</v>
      </c>
      <c r="Q5846" s="16" t="e">
        <f>SUM(Q5847:Q5853)</f>
        <v>#REF!</v>
      </c>
      <c r="R5846" s="35" t="str">
        <f>TEXT(Planning[[#This Row],[Mes]]*29,"mmmm")</f>
        <v>October</v>
      </c>
      <c r="S584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46" s="102" t="s">
        <v>1022</v>
      </c>
      <c r="U5846" s="45">
        <v>20</v>
      </c>
    </row>
    <row r="5847" spans="1:24" x14ac:dyDescent="0.2">
      <c r="A5847" s="9" t="s">
        <v>626</v>
      </c>
      <c r="B5847" s="9" t="s">
        <v>808</v>
      </c>
      <c r="C5847" s="130">
        <v>119155</v>
      </c>
      <c r="D5847" s="116" t="s">
        <v>1015</v>
      </c>
      <c r="E5847" s="4"/>
      <c r="F5847" s="3" t="s">
        <v>122</v>
      </c>
      <c r="G5847" s="53"/>
      <c r="H5847" s="20">
        <v>0</v>
      </c>
      <c r="I5847" s="12"/>
      <c r="J5847" s="5" t="e">
        <f>SUM(SUMIFS(#REF!,#REF!,Planning[[#This Row],[Tipo de Tarea y especialidad]],#REF!,Planning[[#This Row],[Proyectos Reiwa]]),SUMIFS(#REF!,#REF!,Planning[[#This Row],[Tipo de Tarea y especialidad]],#REF!,Planning[[#This Row],[Proyectos]]))</f>
        <v>#REF!</v>
      </c>
      <c r="K5847" s="5" t="e">
        <f>+Planning[[#This Row],[Horas Planificadas]]+Planning[[#This Row],[Horas ajustadas adicionales]]-Planning[[#This Row],[Horas utilizadas]]</f>
        <v>#REF!</v>
      </c>
      <c r="L5847" s="7" t="e">
        <f>Planning[[#This Row],[Saldo]]</f>
        <v>#REF!</v>
      </c>
      <c r="M5847" s="83" t="e">
        <f>Planning[[#This Row],[Saldo]]-Planning[[#This Row],[Saldo estimado]]</f>
        <v>#REF!</v>
      </c>
      <c r="N5847" s="60" t="e">
        <f>+SUMIFS(#REF!,#REF!,Planning[[#This Row],[Proyectos]],#REF!,Planning[[#This Row],[Tipo de Tarea y especialidad]])+SUMIFS(#REF!,#REF!,Planning[[#This Row],[Proyectos Reiwa]],#REF!,Planning[[#This Row],[Tipo de Tarea y especialidad]])</f>
        <v>#REF!</v>
      </c>
      <c r="O5847" s="83">
        <f t="shared" si="183"/>
        <v>10</v>
      </c>
      <c r="P5847" s="83">
        <f t="shared" si="184"/>
        <v>2024</v>
      </c>
      <c r="Q58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47" s="34" t="str">
        <f>TEXT(Planning[[#This Row],[Mes]]*29,"mmmm")</f>
        <v>October</v>
      </c>
      <c r="S584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47" s="102" t="s">
        <v>1023</v>
      </c>
    </row>
    <row r="5848" spans="1:24" x14ac:dyDescent="0.2">
      <c r="A5848" s="9" t="s">
        <v>626</v>
      </c>
      <c r="B5848" s="9" t="s">
        <v>808</v>
      </c>
      <c r="C5848" s="130" t="s">
        <v>1020</v>
      </c>
      <c r="D5848" s="116" t="s">
        <v>940</v>
      </c>
      <c r="E5848" s="4"/>
      <c r="F5848" s="3" t="s">
        <v>123</v>
      </c>
      <c r="G5848" s="53"/>
      <c r="H5848" s="20">
        <v>0</v>
      </c>
      <c r="I5848" s="12"/>
      <c r="J5848" s="5" t="e">
        <f>SUM(SUMIFS(#REF!,#REF!,Planning[[#This Row],[Tipo de Tarea y especialidad]],#REF!,Planning[[#This Row],[Proyectos Reiwa]]),SUMIFS(#REF!,#REF!,Planning[[#This Row],[Tipo de Tarea y especialidad]],#REF!,Planning[[#This Row],[Proyectos]]))</f>
        <v>#REF!</v>
      </c>
      <c r="K5848" s="5" t="e">
        <f>+Planning[[#This Row],[Horas Planificadas]]+Planning[[#This Row],[Horas ajustadas adicionales]]-Planning[[#This Row],[Horas utilizadas]]</f>
        <v>#REF!</v>
      </c>
      <c r="L5848" s="7" t="e">
        <f>Planning[[#This Row],[Saldo]]</f>
        <v>#REF!</v>
      </c>
      <c r="M5848" s="83" t="e">
        <f>Planning[[#This Row],[Saldo]]-Planning[[#This Row],[Saldo estimado]]</f>
        <v>#REF!</v>
      </c>
      <c r="N5848" s="60" t="e">
        <f>+SUMIFS(#REF!,#REF!,Planning[[#This Row],[Proyectos]],#REF!,Planning[[#This Row],[Tipo de Tarea y especialidad]])+SUMIFS(#REF!,#REF!,Planning[[#This Row],[Proyectos Reiwa]],#REF!,Planning[[#This Row],[Tipo de Tarea y especialidad]])</f>
        <v>#REF!</v>
      </c>
      <c r="O5848" s="83">
        <f t="shared" si="183"/>
        <v>10</v>
      </c>
      <c r="P5848" s="83">
        <f t="shared" si="184"/>
        <v>2024</v>
      </c>
      <c r="Q58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48" s="34" t="str">
        <f>TEXT(Planning[[#This Row],[Mes]]*29,"mmmm")</f>
        <v>October</v>
      </c>
      <c r="S584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48" s="102"/>
    </row>
    <row r="5849" spans="1:24" x14ac:dyDescent="0.2">
      <c r="A5849" s="9" t="s">
        <v>626</v>
      </c>
      <c r="B5849" s="9" t="s">
        <v>808</v>
      </c>
      <c r="C5849" s="130">
        <v>119155</v>
      </c>
      <c r="D5849" s="116" t="s">
        <v>940</v>
      </c>
      <c r="E5849" s="4"/>
      <c r="F5849" s="3" t="s">
        <v>124</v>
      </c>
      <c r="G5849" s="53">
        <v>40</v>
      </c>
      <c r="H5849" s="20">
        <v>27</v>
      </c>
      <c r="I5849" s="12"/>
      <c r="J5849" s="5" t="e">
        <f>SUM(SUMIFS(#REF!,#REF!,Planning[[#This Row],[Tipo de Tarea y especialidad]],#REF!,Planning[[#This Row],[Proyectos Reiwa]]),SUMIFS(#REF!,#REF!,Planning[[#This Row],[Tipo de Tarea y especialidad]],#REF!,Planning[[#This Row],[Proyectos]]))</f>
        <v>#REF!</v>
      </c>
      <c r="K5849" s="5" t="e">
        <f>+Planning[[#This Row],[Horas Planificadas]]+Planning[[#This Row],[Horas ajustadas adicionales]]-Planning[[#This Row],[Horas utilizadas]]</f>
        <v>#REF!</v>
      </c>
      <c r="L5849" s="7" t="e">
        <f>Planning[[#This Row],[Saldo]]</f>
        <v>#REF!</v>
      </c>
      <c r="M5849" s="83" t="e">
        <f>Planning[[#This Row],[Saldo]]-Planning[[#This Row],[Saldo estimado]]</f>
        <v>#REF!</v>
      </c>
      <c r="N5849" s="60" t="e">
        <f>+SUMIFS(#REF!,#REF!,Planning[[#This Row],[Proyectos]],#REF!,Planning[[#This Row],[Tipo de Tarea y especialidad]])+SUMIFS(#REF!,#REF!,Planning[[#This Row],[Proyectos Reiwa]],#REF!,Planning[[#This Row],[Tipo de Tarea y especialidad]])</f>
        <v>#REF!</v>
      </c>
      <c r="O5849" s="83">
        <f t="shared" si="183"/>
        <v>10</v>
      </c>
      <c r="P5849" s="83">
        <f t="shared" si="184"/>
        <v>2024</v>
      </c>
      <c r="Q58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49" s="34" t="str">
        <f>TEXT(Planning[[#This Row],[Mes]]*29,"mmmm")</f>
        <v>October</v>
      </c>
      <c r="S584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49" s="102"/>
      <c r="U5849" s="45">
        <v>2</v>
      </c>
    </row>
    <row r="5850" spans="1:24" x14ac:dyDescent="0.2">
      <c r="A5850" s="9" t="s">
        <v>626</v>
      </c>
      <c r="B5850" s="9" t="s">
        <v>808</v>
      </c>
      <c r="C5850" s="130" t="s">
        <v>1020</v>
      </c>
      <c r="D5850" s="116" t="s">
        <v>940</v>
      </c>
      <c r="E5850" s="4"/>
      <c r="F5850" s="3" t="s">
        <v>125</v>
      </c>
      <c r="G5850" s="53">
        <v>0</v>
      </c>
      <c r="H5850" s="20">
        <v>18</v>
      </c>
      <c r="I5850" s="12"/>
      <c r="J5850" s="5" t="e">
        <f>SUM(SUMIFS(#REF!,#REF!,Planning[[#This Row],[Tipo de Tarea y especialidad]],#REF!,Planning[[#This Row],[Proyectos Reiwa]]),SUMIFS(#REF!,#REF!,Planning[[#This Row],[Tipo de Tarea y especialidad]],#REF!,Planning[[#This Row],[Proyectos]]))</f>
        <v>#REF!</v>
      </c>
      <c r="K5850" s="5" t="e">
        <f>+Planning[[#This Row],[Horas Planificadas]]+Planning[[#This Row],[Horas ajustadas adicionales]]-Planning[[#This Row],[Horas utilizadas]]</f>
        <v>#REF!</v>
      </c>
      <c r="L5850" s="7" t="e">
        <f>Planning[[#This Row],[Saldo]]</f>
        <v>#REF!</v>
      </c>
      <c r="M5850" s="83" t="e">
        <f>Planning[[#This Row],[Saldo]]-Planning[[#This Row],[Saldo estimado]]</f>
        <v>#REF!</v>
      </c>
      <c r="N5850" s="60" t="e">
        <f>+SUMIFS(#REF!,#REF!,Planning[[#This Row],[Proyectos]],#REF!,Planning[[#This Row],[Tipo de Tarea y especialidad]])+SUMIFS(#REF!,#REF!,Planning[[#This Row],[Proyectos Reiwa]],#REF!,Planning[[#This Row],[Tipo de Tarea y especialidad]])</f>
        <v>#REF!</v>
      </c>
      <c r="O5850" s="83">
        <f t="shared" si="183"/>
        <v>10</v>
      </c>
      <c r="P5850" s="83">
        <f t="shared" si="184"/>
        <v>2024</v>
      </c>
      <c r="Q58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50" s="34" t="str">
        <f>TEXT(Planning[[#This Row],[Mes]]*29,"mmmm")</f>
        <v>October</v>
      </c>
      <c r="S585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50" s="102"/>
    </row>
    <row r="5851" spans="1:24" x14ac:dyDescent="0.2">
      <c r="A5851" s="9" t="s">
        <v>626</v>
      </c>
      <c r="B5851" s="9" t="s">
        <v>808</v>
      </c>
      <c r="C5851" s="130">
        <v>119155</v>
      </c>
      <c r="D5851" s="116" t="s">
        <v>940</v>
      </c>
      <c r="E5851" s="4"/>
      <c r="F5851" s="3" t="s">
        <v>126</v>
      </c>
      <c r="G5851" s="53">
        <v>0</v>
      </c>
      <c r="H5851" s="20">
        <v>0</v>
      </c>
      <c r="I5851" s="12"/>
      <c r="J5851" s="5" t="e">
        <f>SUM(SUMIFS(#REF!,#REF!,Planning[[#This Row],[Tipo de Tarea y especialidad]],#REF!,Planning[[#This Row],[Proyectos Reiwa]]),SUMIFS(#REF!,#REF!,Planning[[#This Row],[Tipo de Tarea y especialidad]],#REF!,Planning[[#This Row],[Proyectos]]))</f>
        <v>#REF!</v>
      </c>
      <c r="K5851" s="5" t="e">
        <f>+Planning[[#This Row],[Horas Planificadas]]+Planning[[#This Row],[Horas ajustadas adicionales]]-Planning[[#This Row],[Horas utilizadas]]</f>
        <v>#REF!</v>
      </c>
      <c r="L5851" s="7" t="e">
        <f>Planning[[#This Row],[Saldo]]</f>
        <v>#REF!</v>
      </c>
      <c r="M5851" s="83" t="e">
        <f>Planning[[#This Row],[Saldo]]-Planning[[#This Row],[Saldo estimado]]</f>
        <v>#REF!</v>
      </c>
      <c r="N5851" s="60" t="e">
        <f>+SUMIFS(#REF!,#REF!,Planning[[#This Row],[Proyectos]],#REF!,Planning[[#This Row],[Tipo de Tarea y especialidad]])+SUMIFS(#REF!,#REF!,Planning[[#This Row],[Proyectos Reiwa]],#REF!,Planning[[#This Row],[Tipo de Tarea y especialidad]])</f>
        <v>#REF!</v>
      </c>
      <c r="O5851" s="83">
        <f t="shared" si="183"/>
        <v>10</v>
      </c>
      <c r="P5851" s="83">
        <f t="shared" si="184"/>
        <v>2024</v>
      </c>
      <c r="Q585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51" s="34" t="str">
        <f>TEXT(Planning[[#This Row],[Mes]]*29,"mmmm")</f>
        <v>October</v>
      </c>
      <c r="S585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51" s="102"/>
      <c r="U5851" s="45">
        <v>18</v>
      </c>
    </row>
    <row r="5852" spans="1:24" x14ac:dyDescent="0.2">
      <c r="A5852" s="9" t="s">
        <v>626</v>
      </c>
      <c r="B5852" s="9" t="s">
        <v>808</v>
      </c>
      <c r="C5852" s="130" t="s">
        <v>1020</v>
      </c>
      <c r="D5852" s="116" t="s">
        <v>940</v>
      </c>
      <c r="E5852" s="4"/>
      <c r="F5852" s="3" t="s">
        <v>127</v>
      </c>
      <c r="G5852" s="53"/>
      <c r="H5852" s="20">
        <v>0</v>
      </c>
      <c r="I5852" s="12"/>
      <c r="J5852" s="5" t="e">
        <f>SUM(SUMIFS(#REF!,#REF!,Planning[[#This Row],[Tipo de Tarea y especialidad]],#REF!,Planning[[#This Row],[Proyectos Reiwa]]),SUMIFS(#REF!,#REF!,Planning[[#This Row],[Tipo de Tarea y especialidad]],#REF!,Planning[[#This Row],[Proyectos]]))</f>
        <v>#REF!</v>
      </c>
      <c r="K5852" s="5" t="e">
        <f>+Planning[[#This Row],[Horas Planificadas]]+Planning[[#This Row],[Horas ajustadas adicionales]]-Planning[[#This Row],[Horas utilizadas]]</f>
        <v>#REF!</v>
      </c>
      <c r="L5852" s="7" t="e">
        <f>Planning[[#This Row],[Saldo]]</f>
        <v>#REF!</v>
      </c>
      <c r="M5852" s="83" t="e">
        <f>Planning[[#This Row],[Saldo]]-Planning[[#This Row],[Saldo estimado]]</f>
        <v>#REF!</v>
      </c>
      <c r="N5852" s="60" t="e">
        <f>+SUMIFS(#REF!,#REF!,Planning[[#This Row],[Proyectos]],#REF!,Planning[[#This Row],[Tipo de Tarea y especialidad]])+SUMIFS(#REF!,#REF!,Planning[[#This Row],[Proyectos Reiwa]],#REF!,Planning[[#This Row],[Tipo de Tarea y especialidad]])</f>
        <v>#REF!</v>
      </c>
      <c r="O5852" s="83">
        <f t="shared" si="183"/>
        <v>10</v>
      </c>
      <c r="P5852" s="83">
        <f t="shared" si="184"/>
        <v>2024</v>
      </c>
      <c r="Q58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52" s="34" t="str">
        <f>TEXT(Planning[[#This Row],[Mes]]*29,"mmmm")</f>
        <v>October</v>
      </c>
      <c r="S585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52" s="102"/>
    </row>
    <row r="5853" spans="1:24" x14ac:dyDescent="0.2">
      <c r="A5853" s="9" t="s">
        <v>626</v>
      </c>
      <c r="B5853" s="9" t="s">
        <v>808</v>
      </c>
      <c r="C5853" s="130">
        <v>119155</v>
      </c>
      <c r="D5853" s="116" t="s">
        <v>940</v>
      </c>
      <c r="E5853" s="4"/>
      <c r="F5853" s="3" t="s">
        <v>128</v>
      </c>
      <c r="G5853" s="53">
        <v>0</v>
      </c>
      <c r="H5853" s="20">
        <v>0</v>
      </c>
      <c r="I5853" s="12"/>
      <c r="J5853" s="5" t="e">
        <f>SUM(SUMIFS(#REF!,#REF!,Planning[[#This Row],[Tipo de Tarea y especialidad]],#REF!,Planning[[#This Row],[Proyectos Reiwa]]),SUMIFS(#REF!,#REF!,Planning[[#This Row],[Tipo de Tarea y especialidad]],#REF!,Planning[[#This Row],[Proyectos]]))</f>
        <v>#REF!</v>
      </c>
      <c r="K5853" s="5" t="e">
        <f>+Planning[[#This Row],[Horas Planificadas]]+Planning[[#This Row],[Horas ajustadas adicionales]]-Planning[[#This Row],[Horas utilizadas]]</f>
        <v>#REF!</v>
      </c>
      <c r="L5853" s="7" t="e">
        <f>Planning[[#This Row],[Saldo]]</f>
        <v>#REF!</v>
      </c>
      <c r="M5853" s="83" t="e">
        <f>Planning[[#This Row],[Saldo]]-Planning[[#This Row],[Saldo estimado]]</f>
        <v>#REF!</v>
      </c>
      <c r="N5853" s="60" t="e">
        <f>+SUMIFS(#REF!,#REF!,Planning[[#This Row],[Proyectos]],#REF!,Planning[[#This Row],[Tipo de Tarea y especialidad]])+SUMIFS(#REF!,#REF!,Planning[[#This Row],[Proyectos Reiwa]],#REF!,Planning[[#This Row],[Tipo de Tarea y especialidad]])</f>
        <v>#REF!</v>
      </c>
      <c r="O5853" s="83">
        <f t="shared" si="183"/>
        <v>10</v>
      </c>
      <c r="P5853" s="83">
        <f t="shared" si="184"/>
        <v>2024</v>
      </c>
      <c r="Q58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53" s="34" t="str">
        <f>TEXT(Planning[[#This Row],[Mes]]*29,"mmmm")</f>
        <v>October</v>
      </c>
      <c r="S585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53" s="102"/>
    </row>
    <row r="5854" spans="1:24" x14ac:dyDescent="0.2">
      <c r="A5854" s="9" t="s">
        <v>626</v>
      </c>
      <c r="B5854" s="9" t="s">
        <v>808</v>
      </c>
      <c r="C5854" s="130" t="s">
        <v>1020</v>
      </c>
      <c r="D5854" s="116" t="s">
        <v>940</v>
      </c>
      <c r="E5854" s="4" t="s">
        <v>31</v>
      </c>
      <c r="F5854" s="3" t="s">
        <v>31</v>
      </c>
      <c r="G5854" s="53">
        <v>27</v>
      </c>
      <c r="H5854" s="92">
        <v>27</v>
      </c>
      <c r="I5854" s="18"/>
      <c r="J5854" s="14" t="e">
        <f>+SUMIFS(#REF!,#REF!,Planning[[#This Row],[Tarifa]],#REF!,Planning[[#This Row],[Proyectos]])</f>
        <v>#REF!</v>
      </c>
      <c r="K5854" s="14" t="e">
        <f>+Planning[[#This Row],[Horas Planificadas]]+Planning[[#This Row],[Horas ajustadas adicionales]]-Planning[[#This Row],[Horas utilizadas]]</f>
        <v>#REF!</v>
      </c>
      <c r="L5854" s="15" t="e">
        <f>Planning[[#This Row],[Saldo]]</f>
        <v>#REF!</v>
      </c>
      <c r="M5854" s="15" t="e">
        <f>Planning[[#This Row],[Saldo]]-Planning[[#This Row],[Saldo estimado]]</f>
        <v>#REF!</v>
      </c>
      <c r="N5854" s="60" t="e">
        <f>+SUMIFS(#REF!,#REF!,Planning[[#This Row],[Proyectos]],#REF!,Planning[[#This Row],[Tipo de Tarea y especialidad]])+SUMIFS(#REF!,#REF!,Planning[[#This Row],[Proyectos Reiwa]],#REF!,Planning[[#This Row],[Tipo de Tarea y especialidad]])</f>
        <v>#REF!</v>
      </c>
      <c r="O5854" s="83">
        <f t="shared" si="183"/>
        <v>10</v>
      </c>
      <c r="P5854" s="83">
        <f t="shared" si="184"/>
        <v>2024</v>
      </c>
      <c r="Q5854" s="16" t="e">
        <f>+SUMIFS(#REF!,#REF!,Planning[[#This Row],[Tarifa]],#REF!,Planning[[#This Row],[Proyectos]],#REF!,Planning[[#This Row],[Mes]],#REF!,Planning[[#This Row],[Año]])</f>
        <v>#REF!</v>
      </c>
      <c r="R5854" s="35" t="str">
        <f>TEXT(Planning[[#This Row],[Mes]]*29,"mmmm")</f>
        <v>October</v>
      </c>
      <c r="S585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54" s="102"/>
    </row>
    <row r="5855" spans="1:24" ht="22.5" x14ac:dyDescent="0.2">
      <c r="A5855" s="9" t="s">
        <v>626</v>
      </c>
      <c r="B5855" s="9" t="s">
        <v>808</v>
      </c>
      <c r="C5855" s="130">
        <v>119155</v>
      </c>
      <c r="D5855" s="116" t="s">
        <v>940</v>
      </c>
      <c r="E5855" s="4" t="s">
        <v>32</v>
      </c>
      <c r="F5855" s="3"/>
      <c r="G5855" s="53"/>
      <c r="H5855" s="14">
        <f>SUM(H5856:H5858)</f>
        <v>160</v>
      </c>
      <c r="I5855" s="18"/>
      <c r="J5855" s="14" t="e">
        <f>SUM(J5856:J5858)</f>
        <v>#REF!</v>
      </c>
      <c r="K5855" s="14" t="e">
        <f>+Planning[[#This Row],[Horas Planificadas]]+Planning[[#This Row],[Horas ajustadas adicionales]]-Planning[[#This Row],[Horas utilizadas]]</f>
        <v>#REF!</v>
      </c>
      <c r="L5855" s="15" t="e">
        <f>SUM(L5856:L5858)</f>
        <v>#REF!</v>
      </c>
      <c r="M5855" s="15" t="e">
        <f>Planning[[#This Row],[Saldo]]-Planning[[#This Row],[Saldo estimado]]</f>
        <v>#REF!</v>
      </c>
      <c r="N5855" s="60" t="e">
        <f>+SUMIFS(#REF!,#REF!,Planning[[#This Row],[Proyectos]],#REF!,Planning[[#This Row],[Tipo de Tarea y especialidad]])+SUMIFS(#REF!,#REF!,Planning[[#This Row],[Proyectos Reiwa]],#REF!,Planning[[#This Row],[Tipo de Tarea y especialidad]])</f>
        <v>#REF!</v>
      </c>
      <c r="O5855" s="83">
        <f t="shared" si="183"/>
        <v>10</v>
      </c>
      <c r="P5855" s="83">
        <f t="shared" si="184"/>
        <v>2024</v>
      </c>
      <c r="Q5855" s="16" t="e">
        <f>SUM(Q5856:Q5858)</f>
        <v>#REF!</v>
      </c>
      <c r="R5855" s="35" t="str">
        <f>TEXT(Planning[[#This Row],[Mes]]*29,"mmmm")</f>
        <v>October</v>
      </c>
      <c r="S585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55" s="102"/>
    </row>
    <row r="5856" spans="1:24" x14ac:dyDescent="0.2">
      <c r="A5856" s="9" t="s">
        <v>626</v>
      </c>
      <c r="B5856" s="9" t="s">
        <v>808</v>
      </c>
      <c r="C5856" s="130" t="s">
        <v>1020</v>
      </c>
      <c r="D5856" s="116" t="s">
        <v>940</v>
      </c>
      <c r="E5856" s="4"/>
      <c r="F5856" s="3" t="s">
        <v>129</v>
      </c>
      <c r="G5856" s="53"/>
      <c r="H5856" s="20">
        <v>0</v>
      </c>
      <c r="I5856" s="12"/>
      <c r="J5856" s="5" t="e">
        <f>SUM(SUMIFS(#REF!,#REF!,Planning[[#This Row],[Tipo de Tarea y especialidad]],#REF!,Planning[[#This Row],[Proyectos Reiwa]]),SUMIFS(#REF!,#REF!,Planning[[#This Row],[Tipo de Tarea y especialidad]],#REF!,Planning[[#This Row],[Proyectos]]))</f>
        <v>#REF!</v>
      </c>
      <c r="K5856" s="5" t="e">
        <f>+Planning[[#This Row],[Horas Planificadas]]+Planning[[#This Row],[Horas ajustadas adicionales]]-Planning[[#This Row],[Horas utilizadas]]</f>
        <v>#REF!</v>
      </c>
      <c r="L5856" s="7" t="e">
        <f>Planning[[#This Row],[Saldo]]</f>
        <v>#REF!</v>
      </c>
      <c r="M5856" s="83" t="e">
        <f>Planning[[#This Row],[Saldo]]-Planning[[#This Row],[Saldo estimado]]</f>
        <v>#REF!</v>
      </c>
      <c r="N5856" s="60" t="e">
        <f>+SUMIFS(#REF!,#REF!,Planning[[#This Row],[Proyectos]],#REF!,Planning[[#This Row],[Tipo de Tarea y especialidad]])+SUMIFS(#REF!,#REF!,Planning[[#This Row],[Proyectos Reiwa]],#REF!,Planning[[#This Row],[Tipo de Tarea y especialidad]])</f>
        <v>#REF!</v>
      </c>
      <c r="O5856" s="83">
        <f t="shared" si="183"/>
        <v>10</v>
      </c>
      <c r="P5856" s="83">
        <f t="shared" si="184"/>
        <v>2024</v>
      </c>
      <c r="Q58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56" s="34" t="str">
        <f>TEXT(Planning[[#This Row],[Mes]]*29,"mmmm")</f>
        <v>October</v>
      </c>
      <c r="S585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56" s="102"/>
    </row>
    <row r="5857" spans="1:23" x14ac:dyDescent="0.2">
      <c r="A5857" s="9" t="s">
        <v>626</v>
      </c>
      <c r="B5857" s="9" t="s">
        <v>808</v>
      </c>
      <c r="C5857" s="130">
        <v>119155</v>
      </c>
      <c r="D5857" s="116" t="s">
        <v>940</v>
      </c>
      <c r="E5857" s="4"/>
      <c r="F5857" s="3" t="s">
        <v>130</v>
      </c>
      <c r="G5857" s="53"/>
      <c r="H5857" s="20">
        <v>0</v>
      </c>
      <c r="I5857" s="12"/>
      <c r="J5857" s="5" t="e">
        <f>SUM(SUMIFS(#REF!,#REF!,Planning[[#This Row],[Tipo de Tarea y especialidad]],#REF!,Planning[[#This Row],[Proyectos Reiwa]]),SUMIFS(#REF!,#REF!,Planning[[#This Row],[Tipo de Tarea y especialidad]],#REF!,Planning[[#This Row],[Proyectos]]))</f>
        <v>#REF!</v>
      </c>
      <c r="K5857" s="5" t="e">
        <f>+Planning[[#This Row],[Horas Planificadas]]+Planning[[#This Row],[Horas ajustadas adicionales]]-Planning[[#This Row],[Horas utilizadas]]</f>
        <v>#REF!</v>
      </c>
      <c r="L5857" s="7" t="e">
        <f>Planning[[#This Row],[Saldo]]</f>
        <v>#REF!</v>
      </c>
      <c r="M5857" s="83" t="e">
        <f>Planning[[#This Row],[Saldo]]-Planning[[#This Row],[Saldo estimado]]</f>
        <v>#REF!</v>
      </c>
      <c r="N5857" s="60" t="e">
        <f>+SUMIFS(#REF!,#REF!,Planning[[#This Row],[Proyectos]],#REF!,Planning[[#This Row],[Tipo de Tarea y especialidad]])+SUMIFS(#REF!,#REF!,Planning[[#This Row],[Proyectos Reiwa]],#REF!,Planning[[#This Row],[Tipo de Tarea y especialidad]])</f>
        <v>#REF!</v>
      </c>
      <c r="O5857" s="83">
        <f t="shared" si="183"/>
        <v>10</v>
      </c>
      <c r="P5857" s="83">
        <f t="shared" si="184"/>
        <v>2024</v>
      </c>
      <c r="Q58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57" s="34" t="str">
        <f>TEXT(Planning[[#This Row],[Mes]]*29,"mmmm")</f>
        <v>October</v>
      </c>
      <c r="S585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57" s="102"/>
    </row>
    <row r="5858" spans="1:23" x14ac:dyDescent="0.2">
      <c r="A5858" s="9" t="s">
        <v>626</v>
      </c>
      <c r="B5858" s="9" t="s">
        <v>808</v>
      </c>
      <c r="C5858" s="130" t="s">
        <v>1020</v>
      </c>
      <c r="D5858" s="116" t="s">
        <v>940</v>
      </c>
      <c r="E5858" s="4"/>
      <c r="F5858" s="3" t="s">
        <v>131</v>
      </c>
      <c r="G5858" s="53">
        <v>160</v>
      </c>
      <c r="H5858" s="20">
        <v>160</v>
      </c>
      <c r="I5858" s="12"/>
      <c r="J5858" s="5" t="e">
        <f>SUM(SUMIFS(#REF!,#REF!,Planning[[#This Row],[Tipo de Tarea y especialidad]],#REF!,Planning[[#This Row],[Proyectos Reiwa]]),SUMIFS(#REF!,#REF!,Planning[[#This Row],[Tipo de Tarea y especialidad]],#REF!,Planning[[#This Row],[Proyectos]]))</f>
        <v>#REF!</v>
      </c>
      <c r="K5858" s="5" t="e">
        <f>+Planning[[#This Row],[Horas Planificadas]]+Planning[[#This Row],[Horas ajustadas adicionales]]-Planning[[#This Row],[Horas utilizadas]]</f>
        <v>#REF!</v>
      </c>
      <c r="L5858" s="7" t="e">
        <f>Planning[[#This Row],[Saldo]]</f>
        <v>#REF!</v>
      </c>
      <c r="M5858" s="19" t="e">
        <f>Planning[[#This Row],[Saldo]]-Planning[[#This Row],[Saldo estimado]]</f>
        <v>#REF!</v>
      </c>
      <c r="N5858" s="60" t="e">
        <f>+SUMIFS(#REF!,#REF!,Planning[[#This Row],[Proyectos]],#REF!,Planning[[#This Row],[Tipo de Tarea y especialidad]])+SUMIFS(#REF!,#REF!,Planning[[#This Row],[Proyectos Reiwa]],#REF!,Planning[[#This Row],[Tipo de Tarea y especialidad]])</f>
        <v>#REF!</v>
      </c>
      <c r="O5858" s="34">
        <f t="shared" si="183"/>
        <v>10</v>
      </c>
      <c r="P5858" s="34">
        <f t="shared" si="184"/>
        <v>2024</v>
      </c>
      <c r="Q58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58" s="34" t="str">
        <f>TEXT(Planning[[#This Row],[Mes]]*29,"mmmm")</f>
        <v>October</v>
      </c>
      <c r="S585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58" s="103"/>
    </row>
    <row r="5859" spans="1:23" ht="13.35" customHeight="1" x14ac:dyDescent="0.2">
      <c r="A5859" s="9" t="s">
        <v>626</v>
      </c>
      <c r="B5859" s="9" t="s">
        <v>685</v>
      </c>
      <c r="C5859" s="3">
        <v>119103</v>
      </c>
      <c r="D5859" s="3"/>
      <c r="E5859" s="4" t="s">
        <v>28</v>
      </c>
      <c r="F5859" s="3"/>
      <c r="G5859" s="9">
        <f>+G5860+G5861</f>
        <v>0</v>
      </c>
      <c r="H5859" s="14">
        <f>SUM(H5860:H5861)</f>
        <v>0</v>
      </c>
      <c r="I5859" s="14"/>
      <c r="J5859" s="14" t="e">
        <f>SUM(J5860:J5861)</f>
        <v>#REF!</v>
      </c>
      <c r="K5859" s="14" t="e">
        <f>+Planning[[#This Row],[Horas Planificadas]]+Planning[[#This Row],[Horas ajustadas adicionales]]-Planning[[#This Row],[Horas utilizadas]]</f>
        <v>#REF!</v>
      </c>
      <c r="L5859" s="15" t="e">
        <f>SUM(L5860:L5861)</f>
        <v>#REF!</v>
      </c>
      <c r="M5859" s="14" t="e">
        <f>SUM(M5860:M5861)</f>
        <v>#REF!</v>
      </c>
      <c r="N5859" s="60" t="e">
        <f>+SUMIFS(#REF!,#REF!,Planning[[#This Row],[Proyectos]],#REF!,Planning[[#This Row],[Tipo de Tarea y especialidad]])+SUMIFS(#REF!,#REF!,Planning[[#This Row],[Proyectos Reiwa]],#REF!,Planning[[#This Row],[Tipo de Tarea y especialidad]])</f>
        <v>#REF!</v>
      </c>
      <c r="O5859" s="14">
        <f t="shared" si="183"/>
        <v>10</v>
      </c>
      <c r="P5859" s="14">
        <f t="shared" si="184"/>
        <v>2024</v>
      </c>
      <c r="Q5859" s="28" t="e">
        <f>SUM(Q5860:Q5861)</f>
        <v>#REF!</v>
      </c>
      <c r="R5859" s="24" t="str">
        <f>TEXT(Planning[[#This Row],[Mes]]*29,"mmmm")</f>
        <v>October</v>
      </c>
      <c r="S5859"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59" s="161" t="s">
        <v>1024</v>
      </c>
      <c r="U5859" s="93"/>
      <c r="V5859" s="93"/>
      <c r="W5859" s="94"/>
    </row>
    <row r="5860" spans="1:23" ht="13.35" customHeight="1" x14ac:dyDescent="0.2">
      <c r="A5860" s="9" t="s">
        <v>626</v>
      </c>
      <c r="B5860" s="9" t="s">
        <v>685</v>
      </c>
      <c r="C5860" s="3">
        <v>119103</v>
      </c>
      <c r="D5860" s="3"/>
      <c r="E5860" s="4"/>
      <c r="F5860" s="3" t="s">
        <v>120</v>
      </c>
      <c r="G5860" s="9"/>
      <c r="H5860" s="9"/>
      <c r="I5860" s="12"/>
      <c r="J5860" s="5" t="e">
        <f>SUM(SUMIFS(#REF!,#REF!,Planning[[#This Row],[Tipo de Tarea y especialidad]],#REF!,Planning[[#This Row],[Proyectos Reiwa]]),SUMIFS(#REF!,#REF!,Planning[[#This Row],[Tipo de Tarea y especialidad]],#REF!,Planning[[#This Row],[Proyectos]]))</f>
        <v>#REF!</v>
      </c>
      <c r="K5860" s="5" t="e">
        <f>+Planning[[#This Row],[Horas Planificadas]]+Planning[[#This Row],[Horas ajustadas adicionales]]-Planning[[#This Row],[Horas utilizadas]]</f>
        <v>#REF!</v>
      </c>
      <c r="L5860" s="7" t="e">
        <f>Planning[[#This Row],[Saldo]]</f>
        <v>#REF!</v>
      </c>
      <c r="M5860" s="19" t="e">
        <f>Planning[[#This Row],[Saldo]]-Planning[[#This Row],[Saldo estimado]]</f>
        <v>#REF!</v>
      </c>
      <c r="N5860" s="60" t="e">
        <f>+SUMIFS(#REF!,#REF!,Planning[[#This Row],[Proyectos]],#REF!,Planning[[#This Row],[Tipo de Tarea y especialidad]])+SUMIFS(#REF!,#REF!,Planning[[#This Row],[Proyectos Reiwa]],#REF!,Planning[[#This Row],[Tipo de Tarea y especialidad]])</f>
        <v>#REF!</v>
      </c>
      <c r="O5860" s="19">
        <f t="shared" si="183"/>
        <v>10</v>
      </c>
      <c r="P5860" s="19">
        <f t="shared" si="184"/>
        <v>2024</v>
      </c>
      <c r="Q58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60" s="49" t="str">
        <f>TEXT(Planning[[#This Row],[Mes]]*29,"mmmm")</f>
        <v>October</v>
      </c>
      <c r="S586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60" s="156"/>
      <c r="U5860" s="93"/>
      <c r="V5860" s="93"/>
      <c r="W5860" s="94"/>
    </row>
    <row r="5861" spans="1:23" ht="13.35" customHeight="1" x14ac:dyDescent="0.2">
      <c r="A5861" s="9" t="s">
        <v>626</v>
      </c>
      <c r="B5861" s="9" t="s">
        <v>685</v>
      </c>
      <c r="C5861" s="3">
        <v>119103</v>
      </c>
      <c r="D5861" s="3"/>
      <c r="E5861" s="4"/>
      <c r="F5861" s="3" t="s">
        <v>121</v>
      </c>
      <c r="G5861" s="9"/>
      <c r="H5861" s="9"/>
      <c r="I5861" s="12"/>
      <c r="J5861" s="5" t="e">
        <f>SUM(SUMIFS(#REF!,#REF!,Planning[[#This Row],[Tipo de Tarea y especialidad]],#REF!,Planning[[#This Row],[Proyectos Reiwa]]),SUMIFS(#REF!,#REF!,Planning[[#This Row],[Tipo de Tarea y especialidad]],#REF!,Planning[[#This Row],[Proyectos]]))</f>
        <v>#REF!</v>
      </c>
      <c r="K5861" s="5" t="e">
        <f>+Planning[[#This Row],[Horas Planificadas]]+Planning[[#This Row],[Horas ajustadas adicionales]]-Planning[[#This Row],[Horas utilizadas]]</f>
        <v>#REF!</v>
      </c>
      <c r="L5861" s="7" t="e">
        <f>Planning[[#This Row],[Saldo]]</f>
        <v>#REF!</v>
      </c>
      <c r="M5861" s="19" t="e">
        <f>Planning[[#This Row],[Saldo]]-Planning[[#This Row],[Saldo estimado]]</f>
        <v>#REF!</v>
      </c>
      <c r="N5861" s="60" t="e">
        <f>+SUMIFS(#REF!,#REF!,Planning[[#This Row],[Proyectos]],#REF!,Planning[[#This Row],[Tipo de Tarea y especialidad]])+SUMIFS(#REF!,#REF!,Planning[[#This Row],[Proyectos Reiwa]],#REF!,Planning[[#This Row],[Tipo de Tarea y especialidad]])</f>
        <v>#REF!</v>
      </c>
      <c r="O5861" s="19">
        <f t="shared" si="183"/>
        <v>10</v>
      </c>
      <c r="P5861" s="19">
        <f t="shared" si="184"/>
        <v>2024</v>
      </c>
      <c r="Q58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61" s="49" t="str">
        <f>TEXT(Planning[[#This Row],[Mes]]*29,"mmmm")</f>
        <v>October</v>
      </c>
      <c r="S586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61" s="156"/>
      <c r="U5861" s="93"/>
      <c r="V5861" s="93"/>
      <c r="W5861" s="94"/>
    </row>
    <row r="5862" spans="1:23" ht="13.35" customHeight="1" x14ac:dyDescent="0.2">
      <c r="A5862" s="9" t="s">
        <v>626</v>
      </c>
      <c r="B5862" s="9" t="s">
        <v>685</v>
      </c>
      <c r="C5862" s="3">
        <v>119103</v>
      </c>
      <c r="D5862" s="3"/>
      <c r="E5862" s="4" t="s">
        <v>30</v>
      </c>
      <c r="F5862" s="3"/>
      <c r="G5862" s="9">
        <f>G5863+G5864+G5865+G5866+G5867+G5868+G5869</f>
        <v>27</v>
      </c>
      <c r="H5862" s="14">
        <f>SUM(H5863:H5869)</f>
        <v>27</v>
      </c>
      <c r="I5862" s="14"/>
      <c r="J5862" s="14" t="e">
        <f>SUM(J5863:J5869)</f>
        <v>#REF!</v>
      </c>
      <c r="K5862" s="14" t="e">
        <f>+Planning[[#This Row],[Horas Planificadas]]+Planning[[#This Row],[Horas ajustadas adicionales]]-Planning[[#This Row],[Horas utilizadas]]</f>
        <v>#REF!</v>
      </c>
      <c r="L5862" s="15" t="e">
        <f>SUM(L5863:L5869)</f>
        <v>#REF!</v>
      </c>
      <c r="M5862" s="16" t="e">
        <f>SUM(M5863:M5869)</f>
        <v>#REF!</v>
      </c>
      <c r="N5862" s="60" t="e">
        <f>+SUMIFS(#REF!,#REF!,Planning[[#This Row],[Proyectos]],#REF!,Planning[[#This Row],[Tipo de Tarea y especialidad]])+SUMIFS(#REF!,#REF!,Planning[[#This Row],[Proyectos Reiwa]],#REF!,Planning[[#This Row],[Tipo de Tarea y especialidad]])</f>
        <v>#REF!</v>
      </c>
      <c r="O5862" s="16">
        <f t="shared" si="183"/>
        <v>10</v>
      </c>
      <c r="P5862" s="16">
        <f t="shared" si="184"/>
        <v>2024</v>
      </c>
      <c r="Q5862" s="16" t="e">
        <f>SUM(Q5863:Q5869)</f>
        <v>#REF!</v>
      </c>
      <c r="R5862" s="50" t="str">
        <f>TEXT(Planning[[#This Row],[Mes]]*29,"mmmm")</f>
        <v>October</v>
      </c>
      <c r="S586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62" s="156"/>
      <c r="U5862" s="93"/>
      <c r="V5862" s="93"/>
      <c r="W5862" s="94"/>
    </row>
    <row r="5863" spans="1:23" ht="13.35" customHeight="1" x14ac:dyDescent="0.2">
      <c r="A5863" s="9" t="s">
        <v>626</v>
      </c>
      <c r="B5863" s="9" t="s">
        <v>685</v>
      </c>
      <c r="C5863" s="3">
        <v>119103</v>
      </c>
      <c r="D5863" s="3"/>
      <c r="E5863" s="4"/>
      <c r="F5863" s="3" t="s">
        <v>122</v>
      </c>
      <c r="G5863" s="9"/>
      <c r="H5863" s="9"/>
      <c r="I5863" s="12"/>
      <c r="J5863" s="5" t="e">
        <f>SUM(SUMIFS(#REF!,#REF!,Planning[[#This Row],[Tipo de Tarea y especialidad]],#REF!,Planning[[#This Row],[Proyectos Reiwa]]),SUMIFS(#REF!,#REF!,Planning[[#This Row],[Tipo de Tarea y especialidad]],#REF!,Planning[[#This Row],[Proyectos]]))</f>
        <v>#REF!</v>
      </c>
      <c r="K5863" s="5" t="e">
        <f>+Planning[[#This Row],[Horas Planificadas]]+Planning[[#This Row],[Horas ajustadas adicionales]]-Planning[[#This Row],[Horas utilizadas]]</f>
        <v>#REF!</v>
      </c>
      <c r="L5863" s="7" t="e">
        <f>Planning[[#This Row],[Saldo]]</f>
        <v>#REF!</v>
      </c>
      <c r="M5863" s="19" t="e">
        <f>Planning[[#This Row],[Saldo]]-Planning[[#This Row],[Saldo estimado]]</f>
        <v>#REF!</v>
      </c>
      <c r="N5863" s="60" t="e">
        <f>+SUMIFS(#REF!,#REF!,Planning[[#This Row],[Proyectos]],#REF!,Planning[[#This Row],[Tipo de Tarea y especialidad]])+SUMIFS(#REF!,#REF!,Planning[[#This Row],[Proyectos Reiwa]],#REF!,Planning[[#This Row],[Tipo de Tarea y especialidad]])</f>
        <v>#REF!</v>
      </c>
      <c r="O5863" s="19">
        <f t="shared" si="183"/>
        <v>10</v>
      </c>
      <c r="P5863" s="19">
        <f t="shared" si="184"/>
        <v>2024</v>
      </c>
      <c r="Q58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63" s="49" t="str">
        <f>TEXT(Planning[[#This Row],[Mes]]*29,"mmmm")</f>
        <v>October</v>
      </c>
      <c r="S586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63" s="156"/>
      <c r="U5863" s="93"/>
      <c r="V5863" s="93"/>
      <c r="W5863" s="94"/>
    </row>
    <row r="5864" spans="1:23" ht="13.35" customHeight="1" x14ac:dyDescent="0.2">
      <c r="A5864" s="9" t="s">
        <v>626</v>
      </c>
      <c r="B5864" s="9" t="s">
        <v>685</v>
      </c>
      <c r="C5864" s="3">
        <v>119103</v>
      </c>
      <c r="D5864" s="3"/>
      <c r="E5864" s="4"/>
      <c r="F5864" s="3" t="s">
        <v>123</v>
      </c>
      <c r="G5864" s="9"/>
      <c r="H5864" s="9"/>
      <c r="I5864" s="12"/>
      <c r="J5864" s="5" t="e">
        <f>SUM(SUMIFS(#REF!,#REF!,Planning[[#This Row],[Tipo de Tarea y especialidad]],#REF!,Planning[[#This Row],[Proyectos Reiwa]]),SUMIFS(#REF!,#REF!,Planning[[#This Row],[Tipo de Tarea y especialidad]],#REF!,Planning[[#This Row],[Proyectos]]))</f>
        <v>#REF!</v>
      </c>
      <c r="K5864" s="5" t="e">
        <f>+Planning[[#This Row],[Horas Planificadas]]+Planning[[#This Row],[Horas ajustadas adicionales]]-Planning[[#This Row],[Horas utilizadas]]</f>
        <v>#REF!</v>
      </c>
      <c r="L5864" s="7" t="e">
        <f>Planning[[#This Row],[Saldo]]</f>
        <v>#REF!</v>
      </c>
      <c r="M5864" s="19" t="e">
        <f>Planning[[#This Row],[Saldo]]-Planning[[#This Row],[Saldo estimado]]</f>
        <v>#REF!</v>
      </c>
      <c r="N5864" s="60" t="e">
        <f>+SUMIFS(#REF!,#REF!,Planning[[#This Row],[Proyectos]],#REF!,Planning[[#This Row],[Tipo de Tarea y especialidad]])+SUMIFS(#REF!,#REF!,Planning[[#This Row],[Proyectos Reiwa]],#REF!,Planning[[#This Row],[Tipo de Tarea y especialidad]])</f>
        <v>#REF!</v>
      </c>
      <c r="O5864" s="19">
        <f t="shared" si="183"/>
        <v>10</v>
      </c>
      <c r="P5864" s="19">
        <f t="shared" si="184"/>
        <v>2024</v>
      </c>
      <c r="Q58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64" s="49" t="str">
        <f>TEXT(Planning[[#This Row],[Mes]]*29,"mmmm")</f>
        <v>October</v>
      </c>
      <c r="S586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64" s="156"/>
      <c r="U5864" s="93"/>
      <c r="V5864" s="93"/>
      <c r="W5864" s="94"/>
    </row>
    <row r="5865" spans="1:23" ht="13.35" customHeight="1" x14ac:dyDescent="0.2">
      <c r="A5865" s="9" t="s">
        <v>626</v>
      </c>
      <c r="B5865" s="9" t="s">
        <v>685</v>
      </c>
      <c r="C5865" s="3">
        <v>119103</v>
      </c>
      <c r="D5865" s="3"/>
      <c r="E5865" s="4"/>
      <c r="F5865" s="3" t="s">
        <v>124</v>
      </c>
      <c r="G5865" s="9"/>
      <c r="H5865" s="9"/>
      <c r="I5865" s="12"/>
      <c r="J5865" s="5" t="e">
        <f>SUM(SUMIFS(#REF!,#REF!,Planning[[#This Row],[Tipo de Tarea y especialidad]],#REF!,Planning[[#This Row],[Proyectos Reiwa]]),SUMIFS(#REF!,#REF!,Planning[[#This Row],[Tipo de Tarea y especialidad]],#REF!,Planning[[#This Row],[Proyectos]]))</f>
        <v>#REF!</v>
      </c>
      <c r="K5865" s="5" t="e">
        <f>+Planning[[#This Row],[Horas Planificadas]]+Planning[[#This Row],[Horas ajustadas adicionales]]-Planning[[#This Row],[Horas utilizadas]]</f>
        <v>#REF!</v>
      </c>
      <c r="L5865" s="7" t="e">
        <f>Planning[[#This Row],[Saldo]]</f>
        <v>#REF!</v>
      </c>
      <c r="M5865" s="19" t="e">
        <f>Planning[[#This Row],[Saldo]]-Planning[[#This Row],[Saldo estimado]]</f>
        <v>#REF!</v>
      </c>
      <c r="N5865" s="60" t="e">
        <f>+SUMIFS(#REF!,#REF!,Planning[[#This Row],[Proyectos]],#REF!,Planning[[#This Row],[Tipo de Tarea y especialidad]])+SUMIFS(#REF!,#REF!,Planning[[#This Row],[Proyectos Reiwa]],#REF!,Planning[[#This Row],[Tipo de Tarea y especialidad]])</f>
        <v>#REF!</v>
      </c>
      <c r="O5865" s="19">
        <f t="shared" si="183"/>
        <v>10</v>
      </c>
      <c r="P5865" s="19">
        <f t="shared" si="184"/>
        <v>2024</v>
      </c>
      <c r="Q58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65" s="49" t="str">
        <f>TEXT(Planning[[#This Row],[Mes]]*29,"mmmm")</f>
        <v>October</v>
      </c>
      <c r="S586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65" s="156"/>
      <c r="U5865" s="93"/>
      <c r="V5865" s="93"/>
      <c r="W5865" s="94"/>
    </row>
    <row r="5866" spans="1:23" ht="13.35" customHeight="1" x14ac:dyDescent="0.2">
      <c r="A5866" s="9" t="s">
        <v>626</v>
      </c>
      <c r="B5866" s="9" t="s">
        <v>685</v>
      </c>
      <c r="C5866" s="3">
        <v>119103</v>
      </c>
      <c r="D5866" s="3"/>
      <c r="E5866" s="4"/>
      <c r="F5866" s="3" t="s">
        <v>125</v>
      </c>
      <c r="G5866" s="9"/>
      <c r="H5866" s="9"/>
      <c r="I5866" s="12"/>
      <c r="J5866" s="5" t="e">
        <f>SUM(SUMIFS(#REF!,#REF!,Planning[[#This Row],[Tipo de Tarea y especialidad]],#REF!,Planning[[#This Row],[Proyectos Reiwa]]),SUMIFS(#REF!,#REF!,Planning[[#This Row],[Tipo de Tarea y especialidad]],#REF!,Planning[[#This Row],[Proyectos]]))</f>
        <v>#REF!</v>
      </c>
      <c r="K5866" s="5" t="e">
        <f>+Planning[[#This Row],[Horas Planificadas]]+Planning[[#This Row],[Horas ajustadas adicionales]]-Planning[[#This Row],[Horas utilizadas]]</f>
        <v>#REF!</v>
      </c>
      <c r="L5866" s="7">
        <v>0</v>
      </c>
      <c r="M5866" s="19" t="e">
        <f>Planning[[#This Row],[Saldo]]-Planning[[#This Row],[Saldo estimado]]</f>
        <v>#REF!</v>
      </c>
      <c r="N5866" s="60" t="e">
        <f>+SUMIFS(#REF!,#REF!,Planning[[#This Row],[Proyectos]],#REF!,Planning[[#This Row],[Tipo de Tarea y especialidad]])+SUMIFS(#REF!,#REF!,Planning[[#This Row],[Proyectos Reiwa]],#REF!,Planning[[#This Row],[Tipo de Tarea y especialidad]])</f>
        <v>#REF!</v>
      </c>
      <c r="O5866" s="19">
        <f t="shared" si="183"/>
        <v>10</v>
      </c>
      <c r="P5866" s="19">
        <f t="shared" si="184"/>
        <v>2024</v>
      </c>
      <c r="Q58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66" s="49" t="str">
        <f>TEXT(Planning[[#This Row],[Mes]]*29,"mmmm")</f>
        <v>October</v>
      </c>
      <c r="S586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66" s="156"/>
      <c r="U5866" s="93"/>
      <c r="V5866" s="93"/>
      <c r="W5866" s="94"/>
    </row>
    <row r="5867" spans="1:23" ht="13.35" customHeight="1" x14ac:dyDescent="0.2">
      <c r="A5867" s="9" t="s">
        <v>626</v>
      </c>
      <c r="B5867" s="9" t="s">
        <v>685</v>
      </c>
      <c r="C5867" s="3">
        <v>119103</v>
      </c>
      <c r="D5867" s="3"/>
      <c r="E5867" s="4"/>
      <c r="F5867" s="3" t="s">
        <v>126</v>
      </c>
      <c r="G5867" s="9">
        <v>27</v>
      </c>
      <c r="H5867" s="9">
        <v>27</v>
      </c>
      <c r="I5867" s="12"/>
      <c r="J5867" s="5" t="e">
        <f>SUM(SUMIFS(#REF!,#REF!,Planning[[#This Row],[Tipo de Tarea y especialidad]],#REF!,Planning[[#This Row],[Proyectos Reiwa]]),SUMIFS(#REF!,#REF!,Planning[[#This Row],[Tipo de Tarea y especialidad]],#REF!,Planning[[#This Row],[Proyectos]]))</f>
        <v>#REF!</v>
      </c>
      <c r="K5867" s="5" t="e">
        <f>+Planning[[#This Row],[Horas Planificadas]]+Planning[[#This Row],[Horas ajustadas adicionales]]-Planning[[#This Row],[Horas utilizadas]]</f>
        <v>#REF!</v>
      </c>
      <c r="L5867" s="7">
        <v>9</v>
      </c>
      <c r="M5867" s="19" t="e">
        <f>Planning[[#This Row],[Saldo]]-Planning[[#This Row],[Saldo estimado]]</f>
        <v>#REF!</v>
      </c>
      <c r="N5867" s="60" t="e">
        <f>+SUMIFS(#REF!,#REF!,Planning[[#This Row],[Proyectos]],#REF!,Planning[[#This Row],[Tipo de Tarea y especialidad]])+SUMIFS(#REF!,#REF!,Planning[[#This Row],[Proyectos Reiwa]],#REF!,Planning[[#This Row],[Tipo de Tarea y especialidad]])</f>
        <v>#REF!</v>
      </c>
      <c r="O5867" s="19">
        <f t="shared" si="183"/>
        <v>10</v>
      </c>
      <c r="P5867" s="19">
        <f t="shared" si="184"/>
        <v>2024</v>
      </c>
      <c r="Q586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67" s="49" t="str">
        <f>TEXT(Planning[[#This Row],[Mes]]*29,"mmmm")</f>
        <v>October</v>
      </c>
      <c r="S586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67" s="156"/>
      <c r="U5867" s="93"/>
      <c r="V5867" s="93"/>
      <c r="W5867" s="94"/>
    </row>
    <row r="5868" spans="1:23" ht="13.35" customHeight="1" x14ac:dyDescent="0.2">
      <c r="A5868" s="9" t="s">
        <v>626</v>
      </c>
      <c r="B5868" s="9" t="s">
        <v>685</v>
      </c>
      <c r="C5868" s="3">
        <v>119103</v>
      </c>
      <c r="D5868" s="3"/>
      <c r="E5868" s="4"/>
      <c r="F5868" s="3" t="s">
        <v>127</v>
      </c>
      <c r="G5868" s="9"/>
      <c r="H5868" s="9"/>
      <c r="I5868" s="12"/>
      <c r="J5868" s="5" t="e">
        <f>SUM(SUMIFS(#REF!,#REF!,Planning[[#This Row],[Tipo de Tarea y especialidad]],#REF!,Planning[[#This Row],[Proyectos Reiwa]]),SUMIFS(#REF!,#REF!,Planning[[#This Row],[Tipo de Tarea y especialidad]],#REF!,Planning[[#This Row],[Proyectos]]))</f>
        <v>#REF!</v>
      </c>
      <c r="K5868" s="5" t="e">
        <f>+Planning[[#This Row],[Horas Planificadas]]+Planning[[#This Row],[Horas ajustadas adicionales]]-Planning[[#This Row],[Horas utilizadas]]</f>
        <v>#REF!</v>
      </c>
      <c r="L5868" s="7" t="e">
        <f>Planning[[#This Row],[Saldo]]</f>
        <v>#REF!</v>
      </c>
      <c r="M5868" s="19" t="e">
        <f>Planning[[#This Row],[Saldo]]-Planning[[#This Row],[Saldo estimado]]</f>
        <v>#REF!</v>
      </c>
      <c r="N5868" s="60" t="e">
        <f>+SUMIFS(#REF!,#REF!,Planning[[#This Row],[Proyectos]],#REF!,Planning[[#This Row],[Tipo de Tarea y especialidad]])+SUMIFS(#REF!,#REF!,Planning[[#This Row],[Proyectos Reiwa]],#REF!,Planning[[#This Row],[Tipo de Tarea y especialidad]])</f>
        <v>#REF!</v>
      </c>
      <c r="O5868" s="19">
        <f t="shared" si="183"/>
        <v>10</v>
      </c>
      <c r="P5868" s="19">
        <f t="shared" si="184"/>
        <v>2024</v>
      </c>
      <c r="Q58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68" s="49" t="str">
        <f>TEXT(Planning[[#This Row],[Mes]]*29,"mmmm")</f>
        <v>October</v>
      </c>
      <c r="S586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68" s="156"/>
      <c r="U5868" s="93"/>
      <c r="V5868" s="93"/>
      <c r="W5868" s="94"/>
    </row>
    <row r="5869" spans="1:23" ht="13.35" customHeight="1" x14ac:dyDescent="0.2">
      <c r="A5869" s="9" t="s">
        <v>626</v>
      </c>
      <c r="B5869" s="9" t="s">
        <v>685</v>
      </c>
      <c r="C5869" s="3">
        <v>119103</v>
      </c>
      <c r="D5869" s="3"/>
      <c r="E5869" s="4"/>
      <c r="F5869" s="3" t="s">
        <v>128</v>
      </c>
      <c r="G5869" s="9"/>
      <c r="H5869" s="9"/>
      <c r="I5869" s="12"/>
      <c r="J5869" s="5" t="e">
        <f>SUM(SUMIFS(#REF!,#REF!,Planning[[#This Row],[Tipo de Tarea y especialidad]],#REF!,Planning[[#This Row],[Proyectos Reiwa]]),SUMIFS(#REF!,#REF!,Planning[[#This Row],[Tipo de Tarea y especialidad]],#REF!,Planning[[#This Row],[Proyectos]]))</f>
        <v>#REF!</v>
      </c>
      <c r="K5869" s="5" t="e">
        <f>+Planning[[#This Row],[Horas Planificadas]]+Planning[[#This Row],[Horas ajustadas adicionales]]-Planning[[#This Row],[Horas utilizadas]]</f>
        <v>#REF!</v>
      </c>
      <c r="L5869" s="7" t="e">
        <f>Planning[[#This Row],[Saldo]]</f>
        <v>#REF!</v>
      </c>
      <c r="M5869" s="19" t="e">
        <f>Planning[[#This Row],[Saldo]]-Planning[[#This Row],[Saldo estimado]]</f>
        <v>#REF!</v>
      </c>
      <c r="N5869" s="60" t="e">
        <f>+SUMIFS(#REF!,#REF!,Planning[[#This Row],[Proyectos]],#REF!,Planning[[#This Row],[Tipo de Tarea y especialidad]])+SUMIFS(#REF!,#REF!,Planning[[#This Row],[Proyectos Reiwa]],#REF!,Planning[[#This Row],[Tipo de Tarea y especialidad]])</f>
        <v>#REF!</v>
      </c>
      <c r="O5869" s="19">
        <f t="shared" si="183"/>
        <v>10</v>
      </c>
      <c r="P5869" s="19">
        <f t="shared" si="184"/>
        <v>2024</v>
      </c>
      <c r="Q58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69" s="49" t="str">
        <f>TEXT(Planning[[#This Row],[Mes]]*29,"mmmm")</f>
        <v>October</v>
      </c>
      <c r="S586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69" s="156"/>
      <c r="U5869" s="93"/>
      <c r="V5869" s="93"/>
      <c r="W5869" s="94"/>
    </row>
    <row r="5870" spans="1:23" ht="13.35" customHeight="1" x14ac:dyDescent="0.2">
      <c r="A5870" s="9" t="s">
        <v>626</v>
      </c>
      <c r="B5870" s="9" t="s">
        <v>685</v>
      </c>
      <c r="C5870" s="3">
        <v>119103</v>
      </c>
      <c r="D5870" s="3"/>
      <c r="E5870" s="4" t="s">
        <v>31</v>
      </c>
      <c r="F5870" s="3" t="s">
        <v>31</v>
      </c>
      <c r="G5870" s="9">
        <v>36</v>
      </c>
      <c r="H5870" s="17">
        <v>36</v>
      </c>
      <c r="I5870" s="18"/>
      <c r="J5870" s="14" t="e">
        <f>+SUMIFS(#REF!,#REF!,Planning[[#This Row],[Tarifa]],#REF!,Planning[[#This Row],[Proyectos]])</f>
        <v>#REF!</v>
      </c>
      <c r="K5870" s="14" t="e">
        <f>+Planning[[#This Row],[Horas Planificadas]]+Planning[[#This Row],[Horas ajustadas adicionales]]-Planning[[#This Row],[Horas utilizadas]]</f>
        <v>#REF!</v>
      </c>
      <c r="L5870" s="15" t="e">
        <f>Planning[[#This Row],[Saldo]]</f>
        <v>#REF!</v>
      </c>
      <c r="M5870" s="16" t="e">
        <f>Planning[[#This Row],[Saldo]]-Planning[[#This Row],[Saldo estimado]]</f>
        <v>#REF!</v>
      </c>
      <c r="N5870" s="60" t="e">
        <f>+SUMIFS(#REF!,#REF!,Planning[[#This Row],[Proyectos]],#REF!,Planning[[#This Row],[Tipo de Tarea y especialidad]])+SUMIFS(#REF!,#REF!,Planning[[#This Row],[Proyectos Reiwa]],#REF!,Planning[[#This Row],[Tipo de Tarea y especialidad]])</f>
        <v>#REF!</v>
      </c>
      <c r="O5870" s="16">
        <f t="shared" si="183"/>
        <v>10</v>
      </c>
      <c r="P5870" s="16">
        <f t="shared" si="184"/>
        <v>2024</v>
      </c>
      <c r="Q5870" s="16" t="e">
        <f>+SUMIFS(#REF!,#REF!,Planning[[#This Row],[Tarifa]],#REF!,Planning[[#This Row],[Proyectos]],#REF!,Planning[[#This Row],[Mes]],#REF!,Planning[[#This Row],[Año]])</f>
        <v>#REF!</v>
      </c>
      <c r="R5870" s="50" t="str">
        <f>TEXT(Planning[[#This Row],[Mes]]*29,"mmmm")</f>
        <v>October</v>
      </c>
      <c r="S587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70" s="156"/>
      <c r="U5870" s="93"/>
      <c r="V5870" s="93"/>
      <c r="W5870" s="94"/>
    </row>
    <row r="5871" spans="1:23" ht="13.35" customHeight="1" x14ac:dyDescent="0.2">
      <c r="A5871" s="9" t="s">
        <v>626</v>
      </c>
      <c r="B5871" s="9" t="s">
        <v>685</v>
      </c>
      <c r="C5871" s="3">
        <v>119103</v>
      </c>
      <c r="D5871" s="3"/>
      <c r="E5871" s="4" t="s">
        <v>32</v>
      </c>
      <c r="F5871" s="3"/>
      <c r="G5871" s="9">
        <f>G5872+G5873+G5874</f>
        <v>90</v>
      </c>
      <c r="H5871" s="14">
        <f>SUM(H5872:H5874)</f>
        <v>90</v>
      </c>
      <c r="I5871" s="14"/>
      <c r="J5871" s="14" t="e">
        <f>SUM(J5872:J5874)</f>
        <v>#REF!</v>
      </c>
      <c r="K5871" s="14" t="e">
        <f>+Planning[[#This Row],[Horas Planificadas]]+Planning[[#This Row],[Horas ajustadas adicionales]]-Planning[[#This Row],[Horas utilizadas]]</f>
        <v>#REF!</v>
      </c>
      <c r="L5871" s="15" t="e">
        <f>SUM(L5872:L5874)</f>
        <v>#REF!</v>
      </c>
      <c r="M5871" s="16" t="e">
        <f>SUM(M5872:M5874)</f>
        <v>#REF!</v>
      </c>
      <c r="N5871" s="60" t="e">
        <f>+SUMIFS(#REF!,#REF!,Planning[[#This Row],[Proyectos]],#REF!,Planning[[#This Row],[Tipo de Tarea y especialidad]])+SUMIFS(#REF!,#REF!,Planning[[#This Row],[Proyectos Reiwa]],#REF!,Planning[[#This Row],[Tipo de Tarea y especialidad]])</f>
        <v>#REF!</v>
      </c>
      <c r="O5871" s="16">
        <f t="shared" si="183"/>
        <v>10</v>
      </c>
      <c r="P5871" s="16">
        <f t="shared" si="184"/>
        <v>2024</v>
      </c>
      <c r="Q5871" s="16" t="e">
        <f>SUM(Q5872:Q5874)</f>
        <v>#REF!</v>
      </c>
      <c r="R5871" s="50" t="str">
        <f>TEXT(Planning[[#This Row],[Mes]]*29,"mmmm")</f>
        <v>October</v>
      </c>
      <c r="S587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71" s="156"/>
      <c r="U5871" s="93"/>
      <c r="V5871" s="93"/>
      <c r="W5871" s="94"/>
    </row>
    <row r="5872" spans="1:23" ht="13.35" customHeight="1" x14ac:dyDescent="0.2">
      <c r="A5872" s="9" t="s">
        <v>626</v>
      </c>
      <c r="B5872" s="9" t="s">
        <v>685</v>
      </c>
      <c r="C5872" s="3">
        <v>119103</v>
      </c>
      <c r="D5872" s="3"/>
      <c r="E5872" s="4"/>
      <c r="F5872" s="3" t="s">
        <v>129</v>
      </c>
      <c r="G5872" s="9">
        <v>90</v>
      </c>
      <c r="H5872" s="9">
        <v>90</v>
      </c>
      <c r="I5872" s="12"/>
      <c r="J5872" s="5" t="e">
        <f>SUM(SUMIFS(#REF!,#REF!,Planning[[#This Row],[Tipo de Tarea y especialidad]],#REF!,Planning[[#This Row],[Proyectos Reiwa]]),SUMIFS(#REF!,#REF!,Planning[[#This Row],[Tipo de Tarea y especialidad]],#REF!,Planning[[#This Row],[Proyectos]]))</f>
        <v>#REF!</v>
      </c>
      <c r="K5872" s="5" t="e">
        <f>+Planning[[#This Row],[Horas Planificadas]]+Planning[[#This Row],[Horas ajustadas adicionales]]-Planning[[#This Row],[Horas utilizadas]]</f>
        <v>#REF!</v>
      </c>
      <c r="L5872" s="7" t="e">
        <f>Planning[[#This Row],[Saldo]]</f>
        <v>#REF!</v>
      </c>
      <c r="M5872" s="19" t="e">
        <f>Planning[[#This Row],[Saldo]]-Planning[[#This Row],[Saldo estimado]]</f>
        <v>#REF!</v>
      </c>
      <c r="N5872" s="60" t="e">
        <f>+SUMIFS(#REF!,#REF!,Planning[[#This Row],[Proyectos]],#REF!,Planning[[#This Row],[Tipo de Tarea y especialidad]])+SUMIFS(#REF!,#REF!,Planning[[#This Row],[Proyectos Reiwa]],#REF!,Planning[[#This Row],[Tipo de Tarea y especialidad]])</f>
        <v>#REF!</v>
      </c>
      <c r="O5872" s="19">
        <f t="shared" si="183"/>
        <v>10</v>
      </c>
      <c r="P5872" s="19">
        <f t="shared" si="184"/>
        <v>2024</v>
      </c>
      <c r="Q58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72" s="49" t="str">
        <f>TEXT(Planning[[#This Row],[Mes]]*29,"mmmm")</f>
        <v>October</v>
      </c>
      <c r="S587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72" s="156"/>
      <c r="U5872" s="93"/>
      <c r="V5872" s="93"/>
      <c r="W5872" s="94"/>
    </row>
    <row r="5873" spans="1:23" ht="13.35" customHeight="1" x14ac:dyDescent="0.2">
      <c r="A5873" s="9" t="s">
        <v>626</v>
      </c>
      <c r="B5873" s="9" t="s">
        <v>685</v>
      </c>
      <c r="C5873" s="3">
        <v>119103</v>
      </c>
      <c r="D5873" s="3"/>
      <c r="E5873" s="4"/>
      <c r="F5873" s="3" t="s">
        <v>130</v>
      </c>
      <c r="G5873" s="9"/>
      <c r="H5873" s="9"/>
      <c r="I5873" s="12"/>
      <c r="J5873" s="5" t="e">
        <f>SUM(SUMIFS(#REF!,#REF!,Planning[[#This Row],[Tipo de Tarea y especialidad]],#REF!,Planning[[#This Row],[Proyectos Reiwa]]),SUMIFS(#REF!,#REF!,Planning[[#This Row],[Tipo de Tarea y especialidad]],#REF!,Planning[[#This Row],[Proyectos]]))</f>
        <v>#REF!</v>
      </c>
      <c r="K5873" s="5" t="e">
        <f>+Planning[[#This Row],[Horas Planificadas]]+Planning[[#This Row],[Horas ajustadas adicionales]]-Planning[[#This Row],[Horas utilizadas]]</f>
        <v>#REF!</v>
      </c>
      <c r="L5873" s="7" t="e">
        <f>Planning[[#This Row],[Saldo]]</f>
        <v>#REF!</v>
      </c>
      <c r="M5873" s="19" t="e">
        <f>Planning[[#This Row],[Saldo]]-Planning[[#This Row],[Saldo estimado]]</f>
        <v>#REF!</v>
      </c>
      <c r="N5873" s="60" t="e">
        <f>+SUMIFS(#REF!,#REF!,Planning[[#This Row],[Proyectos]],#REF!,Planning[[#This Row],[Tipo de Tarea y especialidad]])+SUMIFS(#REF!,#REF!,Planning[[#This Row],[Proyectos Reiwa]],#REF!,Planning[[#This Row],[Tipo de Tarea y especialidad]])</f>
        <v>#REF!</v>
      </c>
      <c r="O5873" s="19">
        <f t="shared" si="183"/>
        <v>10</v>
      </c>
      <c r="P5873" s="19">
        <f t="shared" si="184"/>
        <v>2024</v>
      </c>
      <c r="Q58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73" s="49" t="str">
        <f>TEXT(Planning[[#This Row],[Mes]]*29,"mmmm")</f>
        <v>October</v>
      </c>
      <c r="S587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73" s="156"/>
      <c r="U5873" s="93"/>
      <c r="V5873" s="93"/>
      <c r="W5873" s="94"/>
    </row>
    <row r="5874" spans="1:23" ht="13.35" customHeight="1" x14ac:dyDescent="0.2">
      <c r="A5874" s="9" t="s">
        <v>626</v>
      </c>
      <c r="B5874" s="9" t="s">
        <v>685</v>
      </c>
      <c r="C5874" s="3">
        <v>119103</v>
      </c>
      <c r="D5874" s="3"/>
      <c r="E5874" s="4"/>
      <c r="F5874" s="3" t="s">
        <v>131</v>
      </c>
      <c r="G5874" s="9"/>
      <c r="H5874" s="9"/>
      <c r="I5874" s="12"/>
      <c r="J5874" s="5" t="e">
        <f>SUM(SUMIFS(#REF!,#REF!,Planning[[#This Row],[Tipo de Tarea y especialidad]],#REF!,Planning[[#This Row],[Proyectos Reiwa]]),SUMIFS(#REF!,#REF!,Planning[[#This Row],[Tipo de Tarea y especialidad]],#REF!,Planning[[#This Row],[Proyectos]]))</f>
        <v>#REF!</v>
      </c>
      <c r="K5874" s="5" t="e">
        <f>+Planning[[#This Row],[Horas Planificadas]]+Planning[[#This Row],[Horas ajustadas adicionales]]-Planning[[#This Row],[Horas utilizadas]]</f>
        <v>#REF!</v>
      </c>
      <c r="L5874" s="7" t="e">
        <f>Planning[[#This Row],[Saldo]]</f>
        <v>#REF!</v>
      </c>
      <c r="M5874" s="19" t="e">
        <f>Planning[[#This Row],[Saldo]]-Planning[[#This Row],[Saldo estimado]]</f>
        <v>#REF!</v>
      </c>
      <c r="N5874" s="60" t="e">
        <f>+SUMIFS(#REF!,#REF!,Planning[[#This Row],[Proyectos]],#REF!,Planning[[#This Row],[Tipo de Tarea y especialidad]])+SUMIFS(#REF!,#REF!,Planning[[#This Row],[Proyectos Reiwa]],#REF!,Planning[[#This Row],[Tipo de Tarea y especialidad]])</f>
        <v>#REF!</v>
      </c>
      <c r="O5874" s="19">
        <f t="shared" si="183"/>
        <v>10</v>
      </c>
      <c r="P5874" s="19">
        <f t="shared" si="184"/>
        <v>2024</v>
      </c>
      <c r="Q58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74" s="51" t="str">
        <f>TEXT(Planning[[#This Row],[Mes]]*29,"mmmm")</f>
        <v>October</v>
      </c>
      <c r="S5874"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74" s="157"/>
      <c r="U5874" s="93"/>
      <c r="V5874" s="93"/>
      <c r="W5874" s="94"/>
    </row>
    <row r="5875" spans="1:23" ht="13.35" customHeight="1" x14ac:dyDescent="0.2">
      <c r="A5875" s="9" t="s">
        <v>684</v>
      </c>
      <c r="B5875" s="9" t="s">
        <v>220</v>
      </c>
      <c r="C5875" s="3">
        <v>119498</v>
      </c>
      <c r="D5875" s="3"/>
      <c r="E5875" s="4" t="s">
        <v>28</v>
      </c>
      <c r="F5875" s="3"/>
      <c r="G5875" s="9">
        <f>+G5876+G5877</f>
        <v>3215</v>
      </c>
      <c r="H5875" s="14">
        <f>SUM(H5876:H5877)</f>
        <v>3215</v>
      </c>
      <c r="I5875" s="14"/>
      <c r="J5875" s="14" t="e">
        <f>SUM(J5876:J5877)</f>
        <v>#REF!</v>
      </c>
      <c r="K5875" s="14" t="e">
        <f>+Planning[[#This Row],[Horas Planificadas]]+Planning[[#This Row],[Horas ajustadas adicionales]]-Planning[[#This Row],[Horas utilizadas]]</f>
        <v>#REF!</v>
      </c>
      <c r="L5875" s="15" t="e">
        <f>SUM(L5876:L5877)</f>
        <v>#REF!</v>
      </c>
      <c r="M5875" s="14" t="e">
        <f>SUM(M5876:M5877)</f>
        <v>#REF!</v>
      </c>
      <c r="N5875" s="60" t="e">
        <f>+SUMIFS(#REF!,#REF!,Planning[[#This Row],[Proyectos]],#REF!,Planning[[#This Row],[Tipo de Tarea y especialidad]])+SUMIFS(#REF!,#REF!,Planning[[#This Row],[Proyectos Reiwa]],#REF!,Planning[[#This Row],[Tipo de Tarea y especialidad]])</f>
        <v>#REF!</v>
      </c>
      <c r="O5875" s="14">
        <f t="shared" ref="O5875:O5938" si="185">$L$4</f>
        <v>10</v>
      </c>
      <c r="P5875" s="14">
        <f t="shared" ref="P5875:P5938" si="186">$M$4</f>
        <v>2024</v>
      </c>
      <c r="Q5875" s="28" t="e">
        <f>SUM(Q5876:Q5877)</f>
        <v>#REF!</v>
      </c>
      <c r="R5875" s="24" t="str">
        <f>TEXT(Planning[[#This Row],[Mes]]*29,"mmmm")</f>
        <v>October</v>
      </c>
      <c r="S5875"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75" s="163" t="s">
        <v>1025</v>
      </c>
      <c r="U5875" s="93"/>
      <c r="V5875" s="93"/>
      <c r="W5875" s="94"/>
    </row>
    <row r="5876" spans="1:23" ht="13.35" customHeight="1" x14ac:dyDescent="0.2">
      <c r="A5876" s="9" t="s">
        <v>684</v>
      </c>
      <c r="B5876" s="9" t="s">
        <v>220</v>
      </c>
      <c r="C5876" s="3">
        <v>119498</v>
      </c>
      <c r="D5876" s="3"/>
      <c r="E5876" s="4"/>
      <c r="F5876" s="3" t="s">
        <v>120</v>
      </c>
      <c r="G5876" s="9">
        <v>2035</v>
      </c>
      <c r="H5876" s="9">
        <v>2035</v>
      </c>
      <c r="I5876" s="12"/>
      <c r="J5876" s="5" t="e">
        <f>SUM(SUMIFS(#REF!,#REF!,Planning[[#This Row],[Tipo de Tarea y especialidad]],#REF!,Planning[[#This Row],[Proyectos Reiwa]]),SUMIFS(#REF!,#REF!,Planning[[#This Row],[Tipo de Tarea y especialidad]],#REF!,Planning[[#This Row],[Proyectos]]))</f>
        <v>#REF!</v>
      </c>
      <c r="K5876" s="5" t="e">
        <f>+Planning[[#This Row],[Horas Planificadas]]+Planning[[#This Row],[Horas ajustadas adicionales]]-Planning[[#This Row],[Horas utilizadas]]</f>
        <v>#REF!</v>
      </c>
      <c r="L5876" s="7" t="e">
        <f>Planning[[#This Row],[Saldo]]</f>
        <v>#REF!</v>
      </c>
      <c r="M5876" s="19" t="e">
        <f>Planning[[#This Row],[Saldo]]-Planning[[#This Row],[Saldo estimado]]</f>
        <v>#REF!</v>
      </c>
      <c r="N5876" s="60" t="e">
        <f>+SUMIFS(#REF!,#REF!,Planning[[#This Row],[Proyectos]],#REF!,Planning[[#This Row],[Tipo de Tarea y especialidad]])+SUMIFS(#REF!,#REF!,Planning[[#This Row],[Proyectos Reiwa]],#REF!,Planning[[#This Row],[Tipo de Tarea y especialidad]])</f>
        <v>#REF!</v>
      </c>
      <c r="O5876" s="19">
        <f t="shared" si="185"/>
        <v>10</v>
      </c>
      <c r="P5876" s="19">
        <f t="shared" si="186"/>
        <v>2024</v>
      </c>
      <c r="Q58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76" s="49" t="str">
        <f>TEXT(Planning[[#This Row],[Mes]]*29,"mmmm")</f>
        <v>October</v>
      </c>
      <c r="S587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76" s="156"/>
      <c r="U5876" s="93"/>
      <c r="V5876" s="93"/>
      <c r="W5876" s="94"/>
    </row>
    <row r="5877" spans="1:23" ht="13.35" customHeight="1" x14ac:dyDescent="0.2">
      <c r="A5877" s="9" t="s">
        <v>684</v>
      </c>
      <c r="B5877" s="9" t="s">
        <v>220</v>
      </c>
      <c r="C5877" s="3">
        <v>119498</v>
      </c>
      <c r="D5877" s="3"/>
      <c r="E5877" s="4"/>
      <c r="F5877" s="3" t="s">
        <v>121</v>
      </c>
      <c r="G5877" s="9">
        <v>1180</v>
      </c>
      <c r="H5877" s="9">
        <v>1180</v>
      </c>
      <c r="I5877" s="12"/>
      <c r="J5877" s="5" t="e">
        <f>SUM(SUMIFS(#REF!,#REF!,Planning[[#This Row],[Tipo de Tarea y especialidad]],#REF!,Planning[[#This Row],[Proyectos Reiwa]]),SUMIFS(#REF!,#REF!,Planning[[#This Row],[Tipo de Tarea y especialidad]],#REF!,Planning[[#This Row],[Proyectos]]))</f>
        <v>#REF!</v>
      </c>
      <c r="K5877" s="5" t="e">
        <f>+Planning[[#This Row],[Horas Planificadas]]+Planning[[#This Row],[Horas ajustadas adicionales]]-Planning[[#This Row],[Horas utilizadas]]</f>
        <v>#REF!</v>
      </c>
      <c r="L5877" s="7" t="e">
        <f>Planning[[#This Row],[Saldo]]</f>
        <v>#REF!</v>
      </c>
      <c r="M5877" s="19" t="e">
        <f>Planning[[#This Row],[Saldo]]-Planning[[#This Row],[Saldo estimado]]</f>
        <v>#REF!</v>
      </c>
      <c r="N5877" s="60" t="e">
        <f>+SUMIFS(#REF!,#REF!,Planning[[#This Row],[Proyectos]],#REF!,Planning[[#This Row],[Tipo de Tarea y especialidad]])+SUMIFS(#REF!,#REF!,Planning[[#This Row],[Proyectos Reiwa]],#REF!,Planning[[#This Row],[Tipo de Tarea y especialidad]])</f>
        <v>#REF!</v>
      </c>
      <c r="O5877" s="19">
        <f t="shared" si="185"/>
        <v>10</v>
      </c>
      <c r="P5877" s="19">
        <f t="shared" si="186"/>
        <v>2024</v>
      </c>
      <c r="Q58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77" s="49" t="str">
        <f>TEXT(Planning[[#This Row],[Mes]]*29,"mmmm")</f>
        <v>October</v>
      </c>
      <c r="S587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77" s="156"/>
      <c r="U5877" s="93"/>
      <c r="V5877" s="93"/>
      <c r="W5877" s="94"/>
    </row>
    <row r="5878" spans="1:23" ht="13.35" customHeight="1" x14ac:dyDescent="0.2">
      <c r="A5878" s="9" t="s">
        <v>684</v>
      </c>
      <c r="B5878" s="9" t="s">
        <v>220</v>
      </c>
      <c r="C5878" s="3">
        <v>119498</v>
      </c>
      <c r="D5878" s="3"/>
      <c r="E5878" s="4" t="s">
        <v>30</v>
      </c>
      <c r="F5878" s="3"/>
      <c r="G5878" s="9">
        <f>G5879+G5880+G5881+G5882+G5883+G5884+G5885</f>
        <v>2787</v>
      </c>
      <c r="H5878" s="14">
        <f>SUM(H5879:H5885)</f>
        <v>2787</v>
      </c>
      <c r="I5878" s="14"/>
      <c r="J5878" s="14" t="e">
        <f>SUM(J5879:J5885)</f>
        <v>#REF!</v>
      </c>
      <c r="K5878" s="14" t="e">
        <f>+Planning[[#This Row],[Horas Planificadas]]+Planning[[#This Row],[Horas ajustadas adicionales]]-Planning[[#This Row],[Horas utilizadas]]</f>
        <v>#REF!</v>
      </c>
      <c r="L5878" s="15" t="e">
        <f>SUM(L5879:L5885)</f>
        <v>#REF!</v>
      </c>
      <c r="M5878" s="16" t="e">
        <f>SUM(M5879:M5885)</f>
        <v>#REF!</v>
      </c>
      <c r="N5878" s="60" t="e">
        <f>+SUMIFS(#REF!,#REF!,Planning[[#This Row],[Proyectos]],#REF!,Planning[[#This Row],[Tipo de Tarea y especialidad]])+SUMIFS(#REF!,#REF!,Planning[[#This Row],[Proyectos Reiwa]],#REF!,Planning[[#This Row],[Tipo de Tarea y especialidad]])</f>
        <v>#REF!</v>
      </c>
      <c r="O5878" s="16">
        <f t="shared" si="185"/>
        <v>10</v>
      </c>
      <c r="P5878" s="16">
        <f t="shared" si="186"/>
        <v>2024</v>
      </c>
      <c r="Q5878" s="16" t="e">
        <f>SUM(Q5879:Q5885)</f>
        <v>#REF!</v>
      </c>
      <c r="R5878" s="50" t="str">
        <f>TEXT(Planning[[#This Row],[Mes]]*29,"mmmm")</f>
        <v>October</v>
      </c>
      <c r="S587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78" s="156"/>
      <c r="U5878" s="93"/>
      <c r="V5878" s="93"/>
      <c r="W5878" s="94"/>
    </row>
    <row r="5879" spans="1:23" ht="13.35" customHeight="1" x14ac:dyDescent="0.2">
      <c r="A5879" s="9" t="s">
        <v>684</v>
      </c>
      <c r="B5879" s="9" t="s">
        <v>220</v>
      </c>
      <c r="C5879" s="3">
        <v>119498</v>
      </c>
      <c r="D5879" s="3"/>
      <c r="E5879" s="4"/>
      <c r="F5879" s="3" t="s">
        <v>122</v>
      </c>
      <c r="G5879" s="9">
        <v>549</v>
      </c>
      <c r="H5879" s="9">
        <v>549</v>
      </c>
      <c r="I5879" s="12"/>
      <c r="J5879" s="5" t="e">
        <f>SUM(SUMIFS(#REF!,#REF!,Planning[[#This Row],[Tipo de Tarea y especialidad]],#REF!,Planning[[#This Row],[Proyectos Reiwa]]),SUMIFS(#REF!,#REF!,Planning[[#This Row],[Tipo de Tarea y especialidad]],#REF!,Planning[[#This Row],[Proyectos]]))</f>
        <v>#REF!</v>
      </c>
      <c r="K5879" s="5" t="e">
        <f>+Planning[[#This Row],[Horas Planificadas]]+Planning[[#This Row],[Horas ajustadas adicionales]]-Planning[[#This Row],[Horas utilizadas]]</f>
        <v>#REF!</v>
      </c>
      <c r="L5879" s="7" t="e">
        <f>Planning[[#This Row],[Saldo]]</f>
        <v>#REF!</v>
      </c>
      <c r="M5879" s="19" t="e">
        <f>Planning[[#This Row],[Saldo]]-Planning[[#This Row],[Saldo estimado]]</f>
        <v>#REF!</v>
      </c>
      <c r="N5879" s="60" t="e">
        <f>+SUMIFS(#REF!,#REF!,Planning[[#This Row],[Proyectos]],#REF!,Planning[[#This Row],[Tipo de Tarea y especialidad]])+SUMIFS(#REF!,#REF!,Planning[[#This Row],[Proyectos Reiwa]],#REF!,Planning[[#This Row],[Tipo de Tarea y especialidad]])</f>
        <v>#REF!</v>
      </c>
      <c r="O5879" s="19">
        <f t="shared" si="185"/>
        <v>10</v>
      </c>
      <c r="P5879" s="19">
        <f t="shared" si="186"/>
        <v>2024</v>
      </c>
      <c r="Q58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79" s="49" t="str">
        <f>TEXT(Planning[[#This Row],[Mes]]*29,"mmmm")</f>
        <v>October</v>
      </c>
      <c r="S587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79" s="156"/>
      <c r="U5879" s="93"/>
      <c r="V5879" s="93"/>
      <c r="W5879" s="94"/>
    </row>
    <row r="5880" spans="1:23" ht="13.35" customHeight="1" x14ac:dyDescent="0.2">
      <c r="A5880" s="9" t="s">
        <v>684</v>
      </c>
      <c r="B5880" s="9" t="s">
        <v>220</v>
      </c>
      <c r="C5880" s="3">
        <v>119498</v>
      </c>
      <c r="D5880" s="3"/>
      <c r="E5880" s="4"/>
      <c r="F5880" s="3" t="s">
        <v>123</v>
      </c>
      <c r="G5880" s="9">
        <v>462</v>
      </c>
      <c r="H5880" s="9">
        <v>462</v>
      </c>
      <c r="I5880" s="12"/>
      <c r="J5880" s="5" t="e">
        <f>SUM(SUMIFS(#REF!,#REF!,Planning[[#This Row],[Tipo de Tarea y especialidad]],#REF!,Planning[[#This Row],[Proyectos Reiwa]]),SUMIFS(#REF!,#REF!,Planning[[#This Row],[Tipo de Tarea y especialidad]],#REF!,Planning[[#This Row],[Proyectos]]))</f>
        <v>#REF!</v>
      </c>
      <c r="K5880" s="5" t="e">
        <f>+Planning[[#This Row],[Horas Planificadas]]+Planning[[#This Row],[Horas ajustadas adicionales]]-Planning[[#This Row],[Horas utilizadas]]</f>
        <v>#REF!</v>
      </c>
      <c r="L5880" s="7" t="e">
        <f>Planning[[#This Row],[Saldo]]</f>
        <v>#REF!</v>
      </c>
      <c r="M5880" s="19" t="e">
        <f>Planning[[#This Row],[Saldo]]-Planning[[#This Row],[Saldo estimado]]</f>
        <v>#REF!</v>
      </c>
      <c r="N5880" s="60" t="e">
        <f>+SUMIFS(#REF!,#REF!,Planning[[#This Row],[Proyectos]],#REF!,Planning[[#This Row],[Tipo de Tarea y especialidad]])+SUMIFS(#REF!,#REF!,Planning[[#This Row],[Proyectos Reiwa]],#REF!,Planning[[#This Row],[Tipo de Tarea y especialidad]])</f>
        <v>#REF!</v>
      </c>
      <c r="O5880" s="19">
        <f t="shared" si="185"/>
        <v>10</v>
      </c>
      <c r="P5880" s="19">
        <f t="shared" si="186"/>
        <v>2024</v>
      </c>
      <c r="Q58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80" s="49" t="str">
        <f>TEXT(Planning[[#This Row],[Mes]]*29,"mmmm")</f>
        <v>October</v>
      </c>
      <c r="S588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80" s="156"/>
      <c r="U5880" s="93"/>
      <c r="V5880" s="93"/>
      <c r="W5880" s="94"/>
    </row>
    <row r="5881" spans="1:23" ht="13.35" customHeight="1" x14ac:dyDescent="0.2">
      <c r="A5881" s="9" t="s">
        <v>684</v>
      </c>
      <c r="B5881" s="9" t="s">
        <v>220</v>
      </c>
      <c r="C5881" s="3">
        <v>119498</v>
      </c>
      <c r="D5881" s="3"/>
      <c r="E5881" s="4"/>
      <c r="F5881" s="3" t="s">
        <v>124</v>
      </c>
      <c r="G5881" s="117">
        <v>474</v>
      </c>
      <c r="H5881" s="117">
        <v>474</v>
      </c>
      <c r="I5881" s="12"/>
      <c r="J5881" s="5" t="e">
        <f>SUM(SUMIFS(#REF!,#REF!,Planning[[#This Row],[Tipo de Tarea y especialidad]],#REF!,Planning[[#This Row],[Proyectos Reiwa]]),SUMIFS(#REF!,#REF!,Planning[[#This Row],[Tipo de Tarea y especialidad]],#REF!,Planning[[#This Row],[Proyectos]]))</f>
        <v>#REF!</v>
      </c>
      <c r="K5881" s="5" t="e">
        <f>+Planning[[#This Row],[Horas Planificadas]]+Planning[[#This Row],[Horas ajustadas adicionales]]-Planning[[#This Row],[Horas utilizadas]]</f>
        <v>#REF!</v>
      </c>
      <c r="L5881" s="7" t="e">
        <f>Planning[[#This Row],[Saldo]]</f>
        <v>#REF!</v>
      </c>
      <c r="M5881" s="19" t="e">
        <f>Planning[[#This Row],[Saldo]]-Planning[[#This Row],[Saldo estimado]]</f>
        <v>#REF!</v>
      </c>
      <c r="N5881" s="60" t="e">
        <f>+SUMIFS(#REF!,#REF!,Planning[[#This Row],[Proyectos]],#REF!,Planning[[#This Row],[Tipo de Tarea y especialidad]])+SUMIFS(#REF!,#REF!,Planning[[#This Row],[Proyectos Reiwa]],#REF!,Planning[[#This Row],[Tipo de Tarea y especialidad]])</f>
        <v>#REF!</v>
      </c>
      <c r="O5881" s="19">
        <f t="shared" si="185"/>
        <v>10</v>
      </c>
      <c r="P5881" s="19">
        <f t="shared" si="186"/>
        <v>2024</v>
      </c>
      <c r="Q58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81" s="49" t="str">
        <f>TEXT(Planning[[#This Row],[Mes]]*29,"mmmm")</f>
        <v>October</v>
      </c>
      <c r="S588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81" s="156"/>
      <c r="U5881" s="93"/>
      <c r="V5881" s="93"/>
      <c r="W5881" s="94"/>
    </row>
    <row r="5882" spans="1:23" ht="13.35" customHeight="1" x14ac:dyDescent="0.2">
      <c r="A5882" s="9" t="s">
        <v>684</v>
      </c>
      <c r="B5882" s="9" t="s">
        <v>220</v>
      </c>
      <c r="C5882" s="3">
        <v>119498</v>
      </c>
      <c r="D5882" s="3"/>
      <c r="E5882" s="4"/>
      <c r="F5882" s="3" t="s">
        <v>125</v>
      </c>
      <c r="G5882" s="9">
        <f>282</f>
        <v>282</v>
      </c>
      <c r="H5882" s="9">
        <f>282</f>
        <v>282</v>
      </c>
      <c r="I5882" s="12"/>
      <c r="J5882" s="5" t="e">
        <f>SUM(SUMIFS(#REF!,#REF!,Planning[[#This Row],[Tipo de Tarea y especialidad]],#REF!,Planning[[#This Row],[Proyectos Reiwa]]),SUMIFS(#REF!,#REF!,Planning[[#This Row],[Tipo de Tarea y especialidad]],#REF!,Planning[[#This Row],[Proyectos]]))</f>
        <v>#REF!</v>
      </c>
      <c r="K5882" s="5" t="e">
        <f>+Planning[[#This Row],[Horas Planificadas]]+Planning[[#This Row],[Horas ajustadas adicionales]]-Planning[[#This Row],[Horas utilizadas]]</f>
        <v>#REF!</v>
      </c>
      <c r="L5882" s="7" t="e">
        <f>Planning[[#This Row],[Saldo]]</f>
        <v>#REF!</v>
      </c>
      <c r="M5882" s="19" t="e">
        <f>Planning[[#This Row],[Saldo]]-Planning[[#This Row],[Saldo estimado]]</f>
        <v>#REF!</v>
      </c>
      <c r="N5882" s="60" t="e">
        <f>+SUMIFS(#REF!,#REF!,Planning[[#This Row],[Proyectos]],#REF!,Planning[[#This Row],[Tipo de Tarea y especialidad]])+SUMIFS(#REF!,#REF!,Planning[[#This Row],[Proyectos Reiwa]],#REF!,Planning[[#This Row],[Tipo de Tarea y especialidad]])</f>
        <v>#REF!</v>
      </c>
      <c r="O5882" s="19">
        <f t="shared" si="185"/>
        <v>10</v>
      </c>
      <c r="P5882" s="19">
        <f t="shared" si="186"/>
        <v>2024</v>
      </c>
      <c r="Q58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82" s="49" t="str">
        <f>TEXT(Planning[[#This Row],[Mes]]*29,"mmmm")</f>
        <v>October</v>
      </c>
      <c r="S588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82" s="156"/>
      <c r="U5882" s="93"/>
      <c r="V5882" s="93"/>
      <c r="W5882" s="94"/>
    </row>
    <row r="5883" spans="1:23" ht="13.35" customHeight="1" x14ac:dyDescent="0.2">
      <c r="A5883" s="9" t="s">
        <v>684</v>
      </c>
      <c r="B5883" s="9" t="s">
        <v>220</v>
      </c>
      <c r="C5883" s="3">
        <v>119498</v>
      </c>
      <c r="D5883" s="3"/>
      <c r="E5883" s="4"/>
      <c r="F5883" s="3" t="s">
        <v>126</v>
      </c>
      <c r="G5883" s="9">
        <v>470</v>
      </c>
      <c r="H5883" s="73">
        <v>470</v>
      </c>
      <c r="I5883" s="12"/>
      <c r="J5883" s="5" t="e">
        <f>SUM(SUMIFS(#REF!,#REF!,Planning[[#This Row],[Tipo de Tarea y especialidad]],#REF!,Planning[[#This Row],[Proyectos Reiwa]]),SUMIFS(#REF!,#REF!,Planning[[#This Row],[Tipo de Tarea y especialidad]],#REF!,Planning[[#This Row],[Proyectos]]))</f>
        <v>#REF!</v>
      </c>
      <c r="K5883" s="5" t="e">
        <f>+Planning[[#This Row],[Horas Planificadas]]+Planning[[#This Row],[Horas ajustadas adicionales]]-Planning[[#This Row],[Horas utilizadas]]</f>
        <v>#REF!</v>
      </c>
      <c r="L5883" s="7" t="e">
        <f>Planning[[#This Row],[Saldo]]</f>
        <v>#REF!</v>
      </c>
      <c r="M5883" s="19" t="e">
        <f>Planning[[#This Row],[Saldo]]-Planning[[#This Row],[Saldo estimado]]</f>
        <v>#REF!</v>
      </c>
      <c r="N5883" s="60" t="e">
        <f>+SUMIFS(#REF!,#REF!,Planning[[#This Row],[Proyectos]],#REF!,Planning[[#This Row],[Tipo de Tarea y especialidad]])+SUMIFS(#REF!,#REF!,Planning[[#This Row],[Proyectos Reiwa]],#REF!,Planning[[#This Row],[Tipo de Tarea y especialidad]])</f>
        <v>#REF!</v>
      </c>
      <c r="O5883" s="19">
        <f t="shared" si="185"/>
        <v>10</v>
      </c>
      <c r="P5883" s="19">
        <f t="shared" si="186"/>
        <v>2024</v>
      </c>
      <c r="Q588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83" s="49" t="str">
        <f>TEXT(Planning[[#This Row],[Mes]]*29,"mmmm")</f>
        <v>October</v>
      </c>
      <c r="S588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83" s="156"/>
      <c r="U5883" s="93"/>
      <c r="V5883" s="93"/>
      <c r="W5883" s="94"/>
    </row>
    <row r="5884" spans="1:23" ht="13.35" customHeight="1" x14ac:dyDescent="0.2">
      <c r="A5884" s="9" t="s">
        <v>684</v>
      </c>
      <c r="B5884" s="9" t="s">
        <v>220</v>
      </c>
      <c r="C5884" s="3">
        <v>119498</v>
      </c>
      <c r="D5884" s="3"/>
      <c r="E5884" s="4"/>
      <c r="F5884" s="3" t="s">
        <v>127</v>
      </c>
      <c r="G5884" s="9">
        <v>200</v>
      </c>
      <c r="H5884" s="73">
        <v>200</v>
      </c>
      <c r="I5884" s="12"/>
      <c r="J5884" s="5" t="e">
        <f>SUM(SUMIFS(#REF!,#REF!,Planning[[#This Row],[Tipo de Tarea y especialidad]],#REF!,Planning[[#This Row],[Proyectos Reiwa]]),SUMIFS(#REF!,#REF!,Planning[[#This Row],[Tipo de Tarea y especialidad]],#REF!,Planning[[#This Row],[Proyectos]]))</f>
        <v>#REF!</v>
      </c>
      <c r="K5884" s="5" t="e">
        <f>+Planning[[#This Row],[Horas Planificadas]]+Planning[[#This Row],[Horas ajustadas adicionales]]-Planning[[#This Row],[Horas utilizadas]]</f>
        <v>#REF!</v>
      </c>
      <c r="L5884" s="7" t="e">
        <f>Planning[[#This Row],[Saldo]]</f>
        <v>#REF!</v>
      </c>
      <c r="M5884" s="19" t="e">
        <f>Planning[[#This Row],[Saldo]]-Planning[[#This Row],[Saldo estimado]]</f>
        <v>#REF!</v>
      </c>
      <c r="N5884" s="60" t="e">
        <f>+SUMIFS(#REF!,#REF!,Planning[[#This Row],[Proyectos]],#REF!,Planning[[#This Row],[Tipo de Tarea y especialidad]])+SUMIFS(#REF!,#REF!,Planning[[#This Row],[Proyectos Reiwa]],#REF!,Planning[[#This Row],[Tipo de Tarea y especialidad]])</f>
        <v>#REF!</v>
      </c>
      <c r="O5884" s="19">
        <f t="shared" si="185"/>
        <v>10</v>
      </c>
      <c r="P5884" s="19">
        <f t="shared" si="186"/>
        <v>2024</v>
      </c>
      <c r="Q58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84" s="49" t="str">
        <f>TEXT(Planning[[#This Row],[Mes]]*29,"mmmm")</f>
        <v>October</v>
      </c>
      <c r="S588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84" s="156"/>
      <c r="U5884" s="93"/>
      <c r="V5884" s="93"/>
      <c r="W5884" s="94"/>
    </row>
    <row r="5885" spans="1:23" ht="13.35" customHeight="1" x14ac:dyDescent="0.2">
      <c r="A5885" s="9" t="s">
        <v>684</v>
      </c>
      <c r="B5885" s="9" t="s">
        <v>220</v>
      </c>
      <c r="C5885" s="3">
        <v>119498</v>
      </c>
      <c r="D5885" s="3"/>
      <c r="E5885" s="4"/>
      <c r="F5885" s="3" t="s">
        <v>128</v>
      </c>
      <c r="G5885" s="9">
        <v>350</v>
      </c>
      <c r="H5885" s="9">
        <v>350</v>
      </c>
      <c r="I5885" s="12"/>
      <c r="J5885" s="5" t="e">
        <f>SUM(SUMIFS(#REF!,#REF!,Planning[[#This Row],[Tipo de Tarea y especialidad]],#REF!,Planning[[#This Row],[Proyectos Reiwa]]),SUMIFS(#REF!,#REF!,Planning[[#This Row],[Tipo de Tarea y especialidad]],#REF!,Planning[[#This Row],[Proyectos]]))</f>
        <v>#REF!</v>
      </c>
      <c r="K5885" s="5" t="e">
        <f>+Planning[[#This Row],[Horas Planificadas]]+Planning[[#This Row],[Horas ajustadas adicionales]]-Planning[[#This Row],[Horas utilizadas]]</f>
        <v>#REF!</v>
      </c>
      <c r="L5885" s="7" t="e">
        <f>Planning[[#This Row],[Saldo]]</f>
        <v>#REF!</v>
      </c>
      <c r="M5885" s="19" t="e">
        <f>Planning[[#This Row],[Saldo]]-Planning[[#This Row],[Saldo estimado]]</f>
        <v>#REF!</v>
      </c>
      <c r="N5885" s="60" t="e">
        <f>+SUMIFS(#REF!,#REF!,Planning[[#This Row],[Proyectos]],#REF!,Planning[[#This Row],[Tipo de Tarea y especialidad]])+SUMIFS(#REF!,#REF!,Planning[[#This Row],[Proyectos Reiwa]],#REF!,Planning[[#This Row],[Tipo de Tarea y especialidad]])</f>
        <v>#REF!</v>
      </c>
      <c r="O5885" s="19">
        <f t="shared" si="185"/>
        <v>10</v>
      </c>
      <c r="P5885" s="19">
        <f t="shared" si="186"/>
        <v>2024</v>
      </c>
      <c r="Q58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85" s="49" t="str">
        <f>TEXT(Planning[[#This Row],[Mes]]*29,"mmmm")</f>
        <v>October</v>
      </c>
      <c r="S588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85" s="156"/>
      <c r="U5885" s="93"/>
      <c r="V5885" s="93"/>
      <c r="W5885" s="94"/>
    </row>
    <row r="5886" spans="1:23" ht="13.35" customHeight="1" x14ac:dyDescent="0.2">
      <c r="A5886" s="9" t="s">
        <v>684</v>
      </c>
      <c r="B5886" s="9" t="s">
        <v>220</v>
      </c>
      <c r="C5886" s="3">
        <v>119498</v>
      </c>
      <c r="D5886" s="3"/>
      <c r="E5886" s="4" t="s">
        <v>31</v>
      </c>
      <c r="F5886" s="3" t="s">
        <v>31</v>
      </c>
      <c r="G5886" s="9">
        <v>280</v>
      </c>
      <c r="H5886" s="17">
        <v>280</v>
      </c>
      <c r="I5886" s="18"/>
      <c r="J5886" s="14" t="e">
        <f>+SUMIFS(#REF!,#REF!,Planning[[#This Row],[Tarifa]],#REF!,Planning[[#This Row],[Proyectos]])</f>
        <v>#REF!</v>
      </c>
      <c r="K5886" s="14" t="e">
        <f>+Planning[[#This Row],[Horas Planificadas]]+Planning[[#This Row],[Horas ajustadas adicionales]]-Planning[[#This Row],[Horas utilizadas]]</f>
        <v>#REF!</v>
      </c>
      <c r="L5886" s="15" t="e">
        <f>Planning[[#This Row],[Saldo]]</f>
        <v>#REF!</v>
      </c>
      <c r="M5886" s="16" t="e">
        <f>Planning[[#This Row],[Saldo]]-Planning[[#This Row],[Saldo estimado]]</f>
        <v>#REF!</v>
      </c>
      <c r="N5886" s="60" t="e">
        <f>+SUMIFS(#REF!,#REF!,Planning[[#This Row],[Proyectos]],#REF!,Planning[[#This Row],[Tipo de Tarea y especialidad]])+SUMIFS(#REF!,#REF!,Planning[[#This Row],[Proyectos Reiwa]],#REF!,Planning[[#This Row],[Tipo de Tarea y especialidad]])</f>
        <v>#REF!</v>
      </c>
      <c r="O5886" s="16">
        <f t="shared" si="185"/>
        <v>10</v>
      </c>
      <c r="P5886" s="16">
        <f t="shared" si="186"/>
        <v>2024</v>
      </c>
      <c r="Q5886" s="16" t="e">
        <f>+SUMIFS(#REF!,#REF!,Planning[[#This Row],[Tarifa]],#REF!,Planning[[#This Row],[Proyectos]],#REF!,Planning[[#This Row],[Mes]],#REF!,Planning[[#This Row],[Año]])</f>
        <v>#REF!</v>
      </c>
      <c r="R5886" s="50" t="str">
        <f>TEXT(Planning[[#This Row],[Mes]]*29,"mmmm")</f>
        <v>October</v>
      </c>
      <c r="S588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86" s="156"/>
      <c r="U5886" s="93"/>
      <c r="V5886" s="93"/>
      <c r="W5886" s="94"/>
    </row>
    <row r="5887" spans="1:23" ht="13.35" customHeight="1" x14ac:dyDescent="0.2">
      <c r="A5887" s="9" t="s">
        <v>684</v>
      </c>
      <c r="B5887" s="9" t="s">
        <v>220</v>
      </c>
      <c r="C5887" s="3">
        <v>119498</v>
      </c>
      <c r="D5887" s="3"/>
      <c r="E5887" s="4" t="s">
        <v>32</v>
      </c>
      <c r="F5887" s="3"/>
      <c r="G5887" s="9">
        <f>G5888+G5889+G5890</f>
        <v>1440</v>
      </c>
      <c r="H5887" s="14">
        <f>SUM(H5888:H5890)</f>
        <v>1440</v>
      </c>
      <c r="I5887" s="14"/>
      <c r="J5887" s="14" t="e">
        <f>SUM(J5888:J5890)</f>
        <v>#REF!</v>
      </c>
      <c r="K5887" s="14" t="e">
        <f>+Planning[[#This Row],[Horas Planificadas]]+Planning[[#This Row],[Horas ajustadas adicionales]]-Planning[[#This Row],[Horas utilizadas]]</f>
        <v>#REF!</v>
      </c>
      <c r="L5887" s="15" t="e">
        <f>SUM(L5888:L5890)</f>
        <v>#REF!</v>
      </c>
      <c r="M5887" s="16" t="e">
        <f>SUM(M5888:M5890)</f>
        <v>#REF!</v>
      </c>
      <c r="N5887" s="60" t="e">
        <f>+SUMIFS(#REF!,#REF!,Planning[[#This Row],[Proyectos]],#REF!,Planning[[#This Row],[Tipo de Tarea y especialidad]])+SUMIFS(#REF!,#REF!,Planning[[#This Row],[Proyectos Reiwa]],#REF!,Planning[[#This Row],[Tipo de Tarea y especialidad]])</f>
        <v>#REF!</v>
      </c>
      <c r="O5887" s="16">
        <f t="shared" si="185"/>
        <v>10</v>
      </c>
      <c r="P5887" s="16">
        <f t="shared" si="186"/>
        <v>2024</v>
      </c>
      <c r="Q5887" s="16" t="e">
        <f>SUM(Q5888:Q5890)</f>
        <v>#REF!</v>
      </c>
      <c r="R5887" s="50" t="str">
        <f>TEXT(Planning[[#This Row],[Mes]]*29,"mmmm")</f>
        <v>October</v>
      </c>
      <c r="S588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87" s="156"/>
      <c r="U5887" s="93"/>
      <c r="V5887" s="93"/>
      <c r="W5887" s="94"/>
    </row>
    <row r="5888" spans="1:23" ht="13.35" customHeight="1" x14ac:dyDescent="0.2">
      <c r="A5888" s="9" t="s">
        <v>684</v>
      </c>
      <c r="B5888" s="9" t="s">
        <v>220</v>
      </c>
      <c r="C5888" s="3">
        <v>119498</v>
      </c>
      <c r="D5888" s="3"/>
      <c r="E5888" s="4"/>
      <c r="F5888" s="3" t="s">
        <v>129</v>
      </c>
      <c r="G5888" s="9">
        <v>660</v>
      </c>
      <c r="H5888" s="73">
        <v>660</v>
      </c>
      <c r="I5888" s="12"/>
      <c r="J5888" s="5" t="e">
        <f>SUM(SUMIFS(#REF!,#REF!,Planning[[#This Row],[Tipo de Tarea y especialidad]],#REF!,Planning[[#This Row],[Proyectos Reiwa]]),SUMIFS(#REF!,#REF!,Planning[[#This Row],[Tipo de Tarea y especialidad]],#REF!,Planning[[#This Row],[Proyectos]]))</f>
        <v>#REF!</v>
      </c>
      <c r="K5888" s="5" t="e">
        <f>+Planning[[#This Row],[Horas Planificadas]]+Planning[[#This Row],[Horas ajustadas adicionales]]-Planning[[#This Row],[Horas utilizadas]]</f>
        <v>#REF!</v>
      </c>
      <c r="L5888" s="7" t="e">
        <f>Planning[[#This Row],[Saldo]]</f>
        <v>#REF!</v>
      </c>
      <c r="M5888" s="19" t="e">
        <f>Planning[[#This Row],[Saldo]]-Planning[[#This Row],[Saldo estimado]]</f>
        <v>#REF!</v>
      </c>
      <c r="N5888" s="60" t="e">
        <f>+SUMIFS(#REF!,#REF!,Planning[[#This Row],[Proyectos]],#REF!,Planning[[#This Row],[Tipo de Tarea y especialidad]])+SUMIFS(#REF!,#REF!,Planning[[#This Row],[Proyectos Reiwa]],#REF!,Planning[[#This Row],[Tipo de Tarea y especialidad]])</f>
        <v>#REF!</v>
      </c>
      <c r="O5888" s="19">
        <f t="shared" si="185"/>
        <v>10</v>
      </c>
      <c r="P5888" s="19">
        <f t="shared" si="186"/>
        <v>2024</v>
      </c>
      <c r="Q58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88" s="49" t="str">
        <f>TEXT(Planning[[#This Row],[Mes]]*29,"mmmm")</f>
        <v>October</v>
      </c>
      <c r="S588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88" s="156"/>
      <c r="U5888" s="93"/>
      <c r="V5888" s="93"/>
      <c r="W5888" s="94"/>
    </row>
    <row r="5889" spans="1:23" ht="13.35" customHeight="1" x14ac:dyDescent="0.2">
      <c r="A5889" s="9" t="s">
        <v>684</v>
      </c>
      <c r="B5889" s="9" t="s">
        <v>220</v>
      </c>
      <c r="C5889" s="3">
        <v>119498</v>
      </c>
      <c r="D5889" s="3"/>
      <c r="E5889" s="4"/>
      <c r="F5889" s="3" t="s">
        <v>130</v>
      </c>
      <c r="G5889" s="9">
        <f>340+60</f>
        <v>400</v>
      </c>
      <c r="H5889" s="73">
        <f>340+60</f>
        <v>400</v>
      </c>
      <c r="I5889" s="12"/>
      <c r="J5889" s="5" t="e">
        <f>SUM(SUMIFS(#REF!,#REF!,Planning[[#This Row],[Tipo de Tarea y especialidad]],#REF!,Planning[[#This Row],[Proyectos Reiwa]]),SUMIFS(#REF!,#REF!,Planning[[#This Row],[Tipo de Tarea y especialidad]],#REF!,Planning[[#This Row],[Proyectos]]))</f>
        <v>#REF!</v>
      </c>
      <c r="K5889" s="5" t="e">
        <f>+Planning[[#This Row],[Horas Planificadas]]+Planning[[#This Row],[Horas ajustadas adicionales]]-Planning[[#This Row],[Horas utilizadas]]</f>
        <v>#REF!</v>
      </c>
      <c r="L5889" s="7" t="e">
        <f>Planning[[#This Row],[Saldo]]</f>
        <v>#REF!</v>
      </c>
      <c r="M5889" s="19" t="e">
        <f>Planning[[#This Row],[Saldo]]-Planning[[#This Row],[Saldo estimado]]</f>
        <v>#REF!</v>
      </c>
      <c r="N5889" s="60" t="e">
        <f>+SUMIFS(#REF!,#REF!,Planning[[#This Row],[Proyectos]],#REF!,Planning[[#This Row],[Tipo de Tarea y especialidad]])+SUMIFS(#REF!,#REF!,Planning[[#This Row],[Proyectos Reiwa]],#REF!,Planning[[#This Row],[Tipo de Tarea y especialidad]])</f>
        <v>#REF!</v>
      </c>
      <c r="O5889" s="19">
        <f t="shared" si="185"/>
        <v>10</v>
      </c>
      <c r="P5889" s="19">
        <f t="shared" si="186"/>
        <v>2024</v>
      </c>
      <c r="Q58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89" s="49" t="str">
        <f>TEXT(Planning[[#This Row],[Mes]]*29,"mmmm")</f>
        <v>October</v>
      </c>
      <c r="S588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89" s="156"/>
      <c r="U5889" s="93"/>
      <c r="V5889" s="93"/>
      <c r="W5889" s="94"/>
    </row>
    <row r="5890" spans="1:23" ht="13.35" customHeight="1" x14ac:dyDescent="0.2">
      <c r="A5890" s="9" t="s">
        <v>684</v>
      </c>
      <c r="B5890" s="9" t="s">
        <v>220</v>
      </c>
      <c r="C5890" s="3">
        <v>119498</v>
      </c>
      <c r="D5890" s="3"/>
      <c r="E5890" s="4"/>
      <c r="F5890" s="3" t="s">
        <v>131</v>
      </c>
      <c r="G5890" s="9">
        <v>380</v>
      </c>
      <c r="H5890" s="9">
        <v>380</v>
      </c>
      <c r="I5890" s="12"/>
      <c r="J5890" s="5" t="e">
        <f>SUM(SUMIFS(#REF!,#REF!,Planning[[#This Row],[Tipo de Tarea y especialidad]],#REF!,Planning[[#This Row],[Proyectos Reiwa]]),SUMIFS(#REF!,#REF!,Planning[[#This Row],[Tipo de Tarea y especialidad]],#REF!,Planning[[#This Row],[Proyectos]]))</f>
        <v>#REF!</v>
      </c>
      <c r="K5890" s="5" t="e">
        <f>+Planning[[#This Row],[Horas Planificadas]]+Planning[[#This Row],[Horas ajustadas adicionales]]-Planning[[#This Row],[Horas utilizadas]]</f>
        <v>#REF!</v>
      </c>
      <c r="L5890" s="7" t="e">
        <f>Planning[[#This Row],[Saldo]]</f>
        <v>#REF!</v>
      </c>
      <c r="M5890" s="19" t="e">
        <f>Planning[[#This Row],[Saldo]]-Planning[[#This Row],[Saldo estimado]]</f>
        <v>#REF!</v>
      </c>
      <c r="N5890" s="60" t="e">
        <f>+SUMIFS(#REF!,#REF!,Planning[[#This Row],[Proyectos]],#REF!,Planning[[#This Row],[Tipo de Tarea y especialidad]])+SUMIFS(#REF!,#REF!,Planning[[#This Row],[Proyectos Reiwa]],#REF!,Planning[[#This Row],[Tipo de Tarea y especialidad]])</f>
        <v>#REF!</v>
      </c>
      <c r="O5890" s="19">
        <f t="shared" si="185"/>
        <v>10</v>
      </c>
      <c r="P5890" s="19">
        <f t="shared" si="186"/>
        <v>2024</v>
      </c>
      <c r="Q589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90" s="51" t="str">
        <f>TEXT(Planning[[#This Row],[Mes]]*29,"mmmm")</f>
        <v>October</v>
      </c>
      <c r="S5890"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90" s="157"/>
      <c r="U5890" s="93"/>
      <c r="V5890" s="93"/>
      <c r="W5890" s="94"/>
    </row>
    <row r="5891" spans="1:23" ht="13.35" customHeight="1" x14ac:dyDescent="0.2">
      <c r="A5891" s="9" t="s">
        <v>626</v>
      </c>
      <c r="B5891" s="9" t="s">
        <v>779</v>
      </c>
      <c r="C5891" s="3">
        <v>119835</v>
      </c>
      <c r="D5891" s="3"/>
      <c r="E5891" s="4" t="s">
        <v>28</v>
      </c>
      <c r="F5891" s="3"/>
      <c r="G5891" s="9">
        <v>0</v>
      </c>
      <c r="H5891" s="14">
        <f>SUM(H5892:H5893)</f>
        <v>0</v>
      </c>
      <c r="I5891" s="14"/>
      <c r="J5891" s="14" t="e">
        <f>SUM(J5892:J5893)</f>
        <v>#REF!</v>
      </c>
      <c r="K5891" s="14" t="e">
        <f>+Planning[[#This Row],[Horas Planificadas]]+Planning[[#This Row],[Horas ajustadas adicionales]]-Planning[[#This Row],[Horas utilizadas]]</f>
        <v>#REF!</v>
      </c>
      <c r="L5891" s="15" t="e">
        <f>SUM(L5892:L5893)</f>
        <v>#REF!</v>
      </c>
      <c r="M5891" s="14" t="e">
        <f>SUM(M5892:M5893)</f>
        <v>#REF!</v>
      </c>
      <c r="N5891" s="60" t="e">
        <f>+SUMIFS(#REF!,#REF!,Planning[[#This Row],[Proyectos]],#REF!,Planning[[#This Row],[Tipo de Tarea y especialidad]])+SUMIFS(#REF!,#REF!,Planning[[#This Row],[Proyectos Reiwa]],#REF!,Planning[[#This Row],[Tipo de Tarea y especialidad]])</f>
        <v>#REF!</v>
      </c>
      <c r="O5891" s="14">
        <f t="shared" si="185"/>
        <v>10</v>
      </c>
      <c r="P5891" s="14">
        <f t="shared" si="186"/>
        <v>2024</v>
      </c>
      <c r="Q5891" s="28" t="e">
        <f>SUM(Q5892:Q5893)</f>
        <v>#REF!</v>
      </c>
      <c r="R5891" s="24" t="str">
        <f>TEXT(Planning[[#This Row],[Mes]]*29,"mmmm")</f>
        <v>October</v>
      </c>
      <c r="S5891"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91" s="161" t="s">
        <v>1026</v>
      </c>
      <c r="U5891" s="93"/>
      <c r="V5891" s="93"/>
      <c r="W5891" s="94"/>
    </row>
    <row r="5892" spans="1:23" ht="13.35" customHeight="1" x14ac:dyDescent="0.2">
      <c r="A5892" s="9" t="s">
        <v>626</v>
      </c>
      <c r="B5892" s="9" t="s">
        <v>779</v>
      </c>
      <c r="C5892" s="3">
        <v>119835</v>
      </c>
      <c r="D5892" s="3"/>
      <c r="E5892" s="4"/>
      <c r="F5892" s="3" t="s">
        <v>120</v>
      </c>
      <c r="G5892" s="9">
        <v>0</v>
      </c>
      <c r="H5892" s="9">
        <v>0</v>
      </c>
      <c r="I5892" s="12"/>
      <c r="J5892" s="5" t="e">
        <f>SUM(SUMIFS(#REF!,#REF!,Planning[[#This Row],[Tipo de Tarea y especialidad]],#REF!,Planning[[#This Row],[Proyectos Reiwa]]),SUMIFS(#REF!,#REF!,Planning[[#This Row],[Tipo de Tarea y especialidad]],#REF!,Planning[[#This Row],[Proyectos]]))</f>
        <v>#REF!</v>
      </c>
      <c r="K5892" s="5" t="e">
        <f>+Planning[[#This Row],[Horas Planificadas]]+Planning[[#This Row],[Horas ajustadas adicionales]]-Planning[[#This Row],[Horas utilizadas]]</f>
        <v>#REF!</v>
      </c>
      <c r="L5892" s="7" t="e">
        <f>Planning[[#This Row],[Saldo]]</f>
        <v>#REF!</v>
      </c>
      <c r="M5892" s="19" t="e">
        <f>Planning[[#This Row],[Saldo]]-Planning[[#This Row],[Saldo estimado]]</f>
        <v>#REF!</v>
      </c>
      <c r="N5892" s="60" t="e">
        <f>+SUMIFS(#REF!,#REF!,Planning[[#This Row],[Proyectos]],#REF!,Planning[[#This Row],[Tipo de Tarea y especialidad]])+SUMIFS(#REF!,#REF!,Planning[[#This Row],[Proyectos Reiwa]],#REF!,Planning[[#This Row],[Tipo de Tarea y especialidad]])</f>
        <v>#REF!</v>
      </c>
      <c r="O5892" s="19">
        <f t="shared" si="185"/>
        <v>10</v>
      </c>
      <c r="P5892" s="19">
        <f t="shared" si="186"/>
        <v>2024</v>
      </c>
      <c r="Q58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92" s="49" t="str">
        <f>TEXT(Planning[[#This Row],[Mes]]*29,"mmmm")</f>
        <v>October</v>
      </c>
      <c r="S589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92" s="156"/>
      <c r="U5892" s="93"/>
      <c r="V5892" s="93"/>
      <c r="W5892" s="94"/>
    </row>
    <row r="5893" spans="1:23" ht="13.35" customHeight="1" x14ac:dyDescent="0.2">
      <c r="A5893" s="9" t="s">
        <v>626</v>
      </c>
      <c r="B5893" s="9" t="s">
        <v>779</v>
      </c>
      <c r="C5893" s="3">
        <v>119835</v>
      </c>
      <c r="D5893" s="3"/>
      <c r="E5893" s="4"/>
      <c r="F5893" s="3" t="s">
        <v>121</v>
      </c>
      <c r="G5893" s="9">
        <v>0</v>
      </c>
      <c r="H5893" s="9">
        <v>0</v>
      </c>
      <c r="I5893" s="12"/>
      <c r="J5893" s="5" t="e">
        <f>SUM(SUMIFS(#REF!,#REF!,Planning[[#This Row],[Tipo de Tarea y especialidad]],#REF!,Planning[[#This Row],[Proyectos Reiwa]]),SUMIFS(#REF!,#REF!,Planning[[#This Row],[Tipo de Tarea y especialidad]],#REF!,Planning[[#This Row],[Proyectos]]))</f>
        <v>#REF!</v>
      </c>
      <c r="K5893" s="5" t="e">
        <f>+Planning[[#This Row],[Horas Planificadas]]+Planning[[#This Row],[Horas ajustadas adicionales]]-Planning[[#This Row],[Horas utilizadas]]</f>
        <v>#REF!</v>
      </c>
      <c r="L5893" s="7" t="e">
        <f>Planning[[#This Row],[Saldo]]</f>
        <v>#REF!</v>
      </c>
      <c r="M5893" s="19" t="e">
        <f>Planning[[#This Row],[Saldo]]-Planning[[#This Row],[Saldo estimado]]</f>
        <v>#REF!</v>
      </c>
      <c r="N5893" s="60" t="e">
        <f>+SUMIFS(#REF!,#REF!,Planning[[#This Row],[Proyectos]],#REF!,Planning[[#This Row],[Tipo de Tarea y especialidad]])+SUMIFS(#REF!,#REF!,Planning[[#This Row],[Proyectos Reiwa]],#REF!,Planning[[#This Row],[Tipo de Tarea y especialidad]])</f>
        <v>#REF!</v>
      </c>
      <c r="O5893" s="19">
        <f t="shared" si="185"/>
        <v>10</v>
      </c>
      <c r="P5893" s="19">
        <f t="shared" si="186"/>
        <v>2024</v>
      </c>
      <c r="Q58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93" s="49" t="str">
        <f>TEXT(Planning[[#This Row],[Mes]]*29,"mmmm")</f>
        <v>October</v>
      </c>
      <c r="S589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93" s="156"/>
      <c r="U5893" s="93"/>
      <c r="V5893" s="93"/>
      <c r="W5893" s="94"/>
    </row>
    <row r="5894" spans="1:23" ht="13.35" customHeight="1" x14ac:dyDescent="0.2">
      <c r="A5894" s="9" t="s">
        <v>626</v>
      </c>
      <c r="B5894" s="9" t="s">
        <v>779</v>
      </c>
      <c r="C5894" s="3">
        <v>119835</v>
      </c>
      <c r="D5894" s="3"/>
      <c r="E5894" s="4" t="s">
        <v>30</v>
      </c>
      <c r="F5894" s="3"/>
      <c r="G5894" s="53">
        <v>245</v>
      </c>
      <c r="H5894" s="14">
        <v>245</v>
      </c>
      <c r="I5894" s="14"/>
      <c r="J5894" s="14" t="e">
        <f>SUM(J5895:J5901)</f>
        <v>#REF!</v>
      </c>
      <c r="K5894" s="14" t="e">
        <f>+Planning[[#This Row],[Horas Planificadas]]+Planning[[#This Row],[Horas ajustadas adicionales]]-Planning[[#This Row],[Horas utilizadas]]</f>
        <v>#REF!</v>
      </c>
      <c r="L5894" s="15" t="e">
        <f>SUM(L5895:L5901)</f>
        <v>#REF!</v>
      </c>
      <c r="M5894" s="16" t="e">
        <f>SUM(M5895:M5901)</f>
        <v>#REF!</v>
      </c>
      <c r="N5894" s="60" t="e">
        <f>+SUMIFS(#REF!,#REF!,Planning[[#This Row],[Proyectos]],#REF!,Planning[[#This Row],[Tipo de Tarea y especialidad]])+SUMIFS(#REF!,#REF!,Planning[[#This Row],[Proyectos Reiwa]],#REF!,Planning[[#This Row],[Tipo de Tarea y especialidad]])</f>
        <v>#REF!</v>
      </c>
      <c r="O5894" s="16">
        <f t="shared" si="185"/>
        <v>10</v>
      </c>
      <c r="P5894" s="16">
        <f t="shared" si="186"/>
        <v>2024</v>
      </c>
      <c r="Q5894" s="16" t="e">
        <f>SUM(Q5895:Q5901)</f>
        <v>#REF!</v>
      </c>
      <c r="R5894" s="50" t="str">
        <f>TEXT(Planning[[#This Row],[Mes]]*29,"mmmm")</f>
        <v>October</v>
      </c>
      <c r="S589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94" s="156"/>
      <c r="U5894" s="93"/>
      <c r="V5894" s="93"/>
      <c r="W5894" s="94"/>
    </row>
    <row r="5895" spans="1:23" ht="13.35" customHeight="1" x14ac:dyDescent="0.2">
      <c r="A5895" s="9" t="s">
        <v>626</v>
      </c>
      <c r="B5895" s="9" t="s">
        <v>779</v>
      </c>
      <c r="C5895" s="3">
        <v>119835</v>
      </c>
      <c r="D5895" s="3"/>
      <c r="E5895" s="4"/>
      <c r="F5895" s="3" t="s">
        <v>122</v>
      </c>
      <c r="G5895" s="9">
        <v>0</v>
      </c>
      <c r="H5895" s="9">
        <v>0</v>
      </c>
      <c r="I5895" s="12"/>
      <c r="J5895" s="5" t="e">
        <f>SUM(SUMIFS(#REF!,#REF!,Planning[[#This Row],[Tipo de Tarea y especialidad]],#REF!,Planning[[#This Row],[Proyectos Reiwa]]),SUMIFS(#REF!,#REF!,Planning[[#This Row],[Tipo de Tarea y especialidad]],#REF!,Planning[[#This Row],[Proyectos]]))</f>
        <v>#REF!</v>
      </c>
      <c r="K5895" s="5" t="e">
        <f>+Planning[[#This Row],[Horas Planificadas]]+Planning[[#This Row],[Horas ajustadas adicionales]]-Planning[[#This Row],[Horas utilizadas]]</f>
        <v>#REF!</v>
      </c>
      <c r="L5895" s="7" t="e">
        <f>Planning[[#This Row],[Saldo]]</f>
        <v>#REF!</v>
      </c>
      <c r="M5895" s="19" t="e">
        <f>Planning[[#This Row],[Saldo]]-Planning[[#This Row],[Saldo estimado]]</f>
        <v>#REF!</v>
      </c>
      <c r="N5895" s="60" t="e">
        <f>+SUMIFS(#REF!,#REF!,Planning[[#This Row],[Proyectos]],#REF!,Planning[[#This Row],[Tipo de Tarea y especialidad]])+SUMIFS(#REF!,#REF!,Planning[[#This Row],[Proyectos Reiwa]],#REF!,Planning[[#This Row],[Tipo de Tarea y especialidad]])</f>
        <v>#REF!</v>
      </c>
      <c r="O5895" s="19">
        <f t="shared" si="185"/>
        <v>10</v>
      </c>
      <c r="P5895" s="19">
        <f t="shared" si="186"/>
        <v>2024</v>
      </c>
      <c r="Q58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95" s="49" t="str">
        <f>TEXT(Planning[[#This Row],[Mes]]*29,"mmmm")</f>
        <v>October</v>
      </c>
      <c r="S589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95" s="156"/>
      <c r="U5895" s="93"/>
      <c r="V5895" s="93"/>
      <c r="W5895" s="94"/>
    </row>
    <row r="5896" spans="1:23" ht="13.35" customHeight="1" x14ac:dyDescent="0.2">
      <c r="A5896" s="9" t="s">
        <v>626</v>
      </c>
      <c r="B5896" s="9" t="s">
        <v>779</v>
      </c>
      <c r="C5896" s="3">
        <v>119835</v>
      </c>
      <c r="D5896" s="3"/>
      <c r="E5896" s="4"/>
      <c r="F5896" s="3" t="s">
        <v>123</v>
      </c>
      <c r="G5896" s="9">
        <v>0</v>
      </c>
      <c r="H5896" s="9">
        <v>0</v>
      </c>
      <c r="I5896" s="12"/>
      <c r="J5896" s="5" t="e">
        <f>SUM(SUMIFS(#REF!,#REF!,Planning[[#This Row],[Tipo de Tarea y especialidad]],#REF!,Planning[[#This Row],[Proyectos Reiwa]]),SUMIFS(#REF!,#REF!,Planning[[#This Row],[Tipo de Tarea y especialidad]],#REF!,Planning[[#This Row],[Proyectos]]))</f>
        <v>#REF!</v>
      </c>
      <c r="K5896" s="5" t="e">
        <f>+Planning[[#This Row],[Horas Planificadas]]+Planning[[#This Row],[Horas ajustadas adicionales]]-Planning[[#This Row],[Horas utilizadas]]</f>
        <v>#REF!</v>
      </c>
      <c r="L5896" s="7" t="e">
        <f>Planning[[#This Row],[Saldo]]</f>
        <v>#REF!</v>
      </c>
      <c r="M5896" s="19" t="e">
        <f>Planning[[#This Row],[Saldo]]-Planning[[#This Row],[Saldo estimado]]</f>
        <v>#REF!</v>
      </c>
      <c r="N5896" s="60" t="e">
        <f>+SUMIFS(#REF!,#REF!,Planning[[#This Row],[Proyectos]],#REF!,Planning[[#This Row],[Tipo de Tarea y especialidad]])+SUMIFS(#REF!,#REF!,Planning[[#This Row],[Proyectos Reiwa]],#REF!,Planning[[#This Row],[Tipo de Tarea y especialidad]])</f>
        <v>#REF!</v>
      </c>
      <c r="O5896" s="19">
        <f t="shared" si="185"/>
        <v>10</v>
      </c>
      <c r="P5896" s="19">
        <f t="shared" si="186"/>
        <v>2024</v>
      </c>
      <c r="Q58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96" s="49" t="str">
        <f>TEXT(Planning[[#This Row],[Mes]]*29,"mmmm")</f>
        <v>October</v>
      </c>
      <c r="S589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96" s="156"/>
      <c r="U5896" s="93"/>
      <c r="V5896" s="93"/>
      <c r="W5896" s="94"/>
    </row>
    <row r="5897" spans="1:23" ht="13.35" customHeight="1" x14ac:dyDescent="0.2">
      <c r="A5897" s="9" t="s">
        <v>626</v>
      </c>
      <c r="B5897" s="9" t="s">
        <v>779</v>
      </c>
      <c r="C5897" s="3">
        <v>119835</v>
      </c>
      <c r="D5897" s="3"/>
      <c r="E5897" s="4"/>
      <c r="F5897" s="3" t="s">
        <v>124</v>
      </c>
      <c r="G5897" s="117">
        <v>0</v>
      </c>
      <c r="H5897" s="117">
        <v>0</v>
      </c>
      <c r="I5897" s="12"/>
      <c r="J5897" s="5" t="e">
        <f>SUM(SUMIFS(#REF!,#REF!,Planning[[#This Row],[Tipo de Tarea y especialidad]],#REF!,Planning[[#This Row],[Proyectos Reiwa]]),SUMIFS(#REF!,#REF!,Planning[[#This Row],[Tipo de Tarea y especialidad]],#REF!,Planning[[#This Row],[Proyectos]]))</f>
        <v>#REF!</v>
      </c>
      <c r="K5897" s="5" t="e">
        <f>+Planning[[#This Row],[Horas Planificadas]]+Planning[[#This Row],[Horas ajustadas adicionales]]-Planning[[#This Row],[Horas utilizadas]]</f>
        <v>#REF!</v>
      </c>
      <c r="L5897" s="7" t="e">
        <f>Planning[[#This Row],[Saldo]]</f>
        <v>#REF!</v>
      </c>
      <c r="M5897" s="19" t="e">
        <f>Planning[[#This Row],[Saldo]]-Planning[[#This Row],[Saldo estimado]]</f>
        <v>#REF!</v>
      </c>
      <c r="N5897" s="60" t="e">
        <f>+SUMIFS(#REF!,#REF!,Planning[[#This Row],[Proyectos]],#REF!,Planning[[#This Row],[Tipo de Tarea y especialidad]])+SUMIFS(#REF!,#REF!,Planning[[#This Row],[Proyectos Reiwa]],#REF!,Planning[[#This Row],[Tipo de Tarea y especialidad]])</f>
        <v>#REF!</v>
      </c>
      <c r="O5897" s="19">
        <f t="shared" si="185"/>
        <v>10</v>
      </c>
      <c r="P5897" s="19">
        <f t="shared" si="186"/>
        <v>2024</v>
      </c>
      <c r="Q58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97" s="49" t="str">
        <f>TEXT(Planning[[#This Row],[Mes]]*29,"mmmm")</f>
        <v>October</v>
      </c>
      <c r="S589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97" s="156"/>
      <c r="U5897" s="93"/>
      <c r="V5897" s="93"/>
      <c r="W5897" s="94"/>
    </row>
    <row r="5898" spans="1:23" ht="13.35" customHeight="1" x14ac:dyDescent="0.2">
      <c r="A5898" s="9" t="s">
        <v>626</v>
      </c>
      <c r="B5898" s="9" t="s">
        <v>779</v>
      </c>
      <c r="C5898" s="3">
        <v>119835</v>
      </c>
      <c r="D5898" s="3"/>
      <c r="E5898" s="4"/>
      <c r="F5898" s="3" t="s">
        <v>125</v>
      </c>
      <c r="G5898" s="9">
        <v>0</v>
      </c>
      <c r="H5898" s="9">
        <v>0</v>
      </c>
      <c r="I5898" s="12"/>
      <c r="J5898" s="5" t="e">
        <f>SUM(SUMIFS(#REF!,#REF!,Planning[[#This Row],[Tipo de Tarea y especialidad]],#REF!,Planning[[#This Row],[Proyectos Reiwa]]),SUMIFS(#REF!,#REF!,Planning[[#This Row],[Tipo de Tarea y especialidad]],#REF!,Planning[[#This Row],[Proyectos]]))</f>
        <v>#REF!</v>
      </c>
      <c r="K5898" s="5" t="e">
        <f>+Planning[[#This Row],[Horas Planificadas]]+Planning[[#This Row],[Horas ajustadas adicionales]]-Planning[[#This Row],[Horas utilizadas]]</f>
        <v>#REF!</v>
      </c>
      <c r="L5898" s="7" t="e">
        <f>Planning[[#This Row],[Saldo]]</f>
        <v>#REF!</v>
      </c>
      <c r="M5898" s="19" t="e">
        <f>Planning[[#This Row],[Saldo]]-Planning[[#This Row],[Saldo estimado]]</f>
        <v>#REF!</v>
      </c>
      <c r="N5898" s="60" t="e">
        <f>+SUMIFS(#REF!,#REF!,Planning[[#This Row],[Proyectos]],#REF!,Planning[[#This Row],[Tipo de Tarea y especialidad]])+SUMIFS(#REF!,#REF!,Planning[[#This Row],[Proyectos Reiwa]],#REF!,Planning[[#This Row],[Tipo de Tarea y especialidad]])</f>
        <v>#REF!</v>
      </c>
      <c r="O5898" s="19">
        <f t="shared" si="185"/>
        <v>10</v>
      </c>
      <c r="P5898" s="19">
        <f t="shared" si="186"/>
        <v>2024</v>
      </c>
      <c r="Q589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98" s="49" t="str">
        <f>TEXT(Planning[[#This Row],[Mes]]*29,"mmmm")</f>
        <v>October</v>
      </c>
      <c r="S589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98" s="156"/>
      <c r="U5898" s="93"/>
      <c r="V5898" s="93"/>
      <c r="W5898" s="94"/>
    </row>
    <row r="5899" spans="1:23" ht="13.35" customHeight="1" x14ac:dyDescent="0.2">
      <c r="A5899" s="9" t="s">
        <v>626</v>
      </c>
      <c r="B5899" s="9" t="s">
        <v>779</v>
      </c>
      <c r="C5899" s="3">
        <v>119835</v>
      </c>
      <c r="D5899" s="3"/>
      <c r="E5899" s="4"/>
      <c r="F5899" s="3" t="s">
        <v>126</v>
      </c>
      <c r="G5899" s="9">
        <v>0</v>
      </c>
      <c r="H5899" s="9">
        <v>0</v>
      </c>
      <c r="I5899" s="12"/>
      <c r="J5899" s="5" t="e">
        <f>SUM(SUMIFS(#REF!,#REF!,Planning[[#This Row],[Tipo de Tarea y especialidad]],#REF!,Planning[[#This Row],[Proyectos Reiwa]]),SUMIFS(#REF!,#REF!,Planning[[#This Row],[Tipo de Tarea y especialidad]],#REF!,Planning[[#This Row],[Proyectos]]))</f>
        <v>#REF!</v>
      </c>
      <c r="K5899" s="5" t="e">
        <f>+Planning[[#This Row],[Horas Planificadas]]+Planning[[#This Row],[Horas ajustadas adicionales]]-Planning[[#This Row],[Horas utilizadas]]</f>
        <v>#REF!</v>
      </c>
      <c r="L5899" s="7" t="e">
        <f>Planning[[#This Row],[Saldo]]</f>
        <v>#REF!</v>
      </c>
      <c r="M5899" s="19" t="e">
        <f>Planning[[#This Row],[Saldo]]-Planning[[#This Row],[Saldo estimado]]</f>
        <v>#REF!</v>
      </c>
      <c r="N5899" s="60" t="e">
        <f>+SUMIFS(#REF!,#REF!,Planning[[#This Row],[Proyectos]],#REF!,Planning[[#This Row],[Tipo de Tarea y especialidad]])+SUMIFS(#REF!,#REF!,Planning[[#This Row],[Proyectos Reiwa]],#REF!,Planning[[#This Row],[Tipo de Tarea y especialidad]])</f>
        <v>#REF!</v>
      </c>
      <c r="O5899" s="19">
        <f t="shared" si="185"/>
        <v>10</v>
      </c>
      <c r="P5899" s="19">
        <f t="shared" si="186"/>
        <v>2024</v>
      </c>
      <c r="Q589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899" s="49" t="str">
        <f>TEXT(Planning[[#This Row],[Mes]]*29,"mmmm")</f>
        <v>October</v>
      </c>
      <c r="S589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899" s="156"/>
      <c r="U5899" s="93"/>
      <c r="V5899" s="93"/>
      <c r="W5899" s="94"/>
    </row>
    <row r="5900" spans="1:23" ht="13.35" customHeight="1" x14ac:dyDescent="0.2">
      <c r="A5900" s="9" t="s">
        <v>626</v>
      </c>
      <c r="B5900" s="9" t="s">
        <v>779</v>
      </c>
      <c r="C5900" s="3">
        <v>119835</v>
      </c>
      <c r="D5900" s="3"/>
      <c r="E5900" s="4"/>
      <c r="F5900" s="3" t="s">
        <v>127</v>
      </c>
      <c r="G5900" s="9">
        <v>0</v>
      </c>
      <c r="H5900" s="9">
        <v>0</v>
      </c>
      <c r="I5900" s="12"/>
      <c r="J5900" s="5" t="e">
        <f>SUM(SUMIFS(#REF!,#REF!,Planning[[#This Row],[Tipo de Tarea y especialidad]],#REF!,Planning[[#This Row],[Proyectos Reiwa]]),SUMIFS(#REF!,#REF!,Planning[[#This Row],[Tipo de Tarea y especialidad]],#REF!,Planning[[#This Row],[Proyectos]]))</f>
        <v>#REF!</v>
      </c>
      <c r="K5900" s="5" t="e">
        <f>+Planning[[#This Row],[Horas Planificadas]]+Planning[[#This Row],[Horas ajustadas adicionales]]-Planning[[#This Row],[Horas utilizadas]]</f>
        <v>#REF!</v>
      </c>
      <c r="L5900" s="7" t="e">
        <f>Planning[[#This Row],[Saldo]]</f>
        <v>#REF!</v>
      </c>
      <c r="M5900" s="19" t="e">
        <f>Planning[[#This Row],[Saldo]]-Planning[[#This Row],[Saldo estimado]]</f>
        <v>#REF!</v>
      </c>
      <c r="N5900" s="60" t="e">
        <f>+SUMIFS(#REF!,#REF!,Planning[[#This Row],[Proyectos]],#REF!,Planning[[#This Row],[Tipo de Tarea y especialidad]])+SUMIFS(#REF!,#REF!,Planning[[#This Row],[Proyectos Reiwa]],#REF!,Planning[[#This Row],[Tipo de Tarea y especialidad]])</f>
        <v>#REF!</v>
      </c>
      <c r="O5900" s="19">
        <f t="shared" si="185"/>
        <v>10</v>
      </c>
      <c r="P5900" s="19">
        <f t="shared" si="186"/>
        <v>2024</v>
      </c>
      <c r="Q59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00" s="49" t="str">
        <f>TEXT(Planning[[#This Row],[Mes]]*29,"mmmm")</f>
        <v>October</v>
      </c>
      <c r="S590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00" s="156"/>
      <c r="U5900" s="93"/>
      <c r="V5900" s="93"/>
      <c r="W5900" s="94"/>
    </row>
    <row r="5901" spans="1:23" ht="13.35" customHeight="1" x14ac:dyDescent="0.2">
      <c r="A5901" s="9" t="s">
        <v>626</v>
      </c>
      <c r="B5901" s="9" t="s">
        <v>779</v>
      </c>
      <c r="C5901" s="3">
        <v>119835</v>
      </c>
      <c r="D5901" s="3"/>
      <c r="E5901" s="4"/>
      <c r="F5901" s="3" t="s">
        <v>128</v>
      </c>
      <c r="G5901" s="9">
        <v>0</v>
      </c>
      <c r="H5901" s="9">
        <v>0</v>
      </c>
      <c r="I5901" s="12"/>
      <c r="J5901" s="5" t="e">
        <f>SUM(SUMIFS(#REF!,#REF!,Planning[[#This Row],[Tipo de Tarea y especialidad]],#REF!,Planning[[#This Row],[Proyectos Reiwa]]),SUMIFS(#REF!,#REF!,Planning[[#This Row],[Tipo de Tarea y especialidad]],#REF!,Planning[[#This Row],[Proyectos]]))</f>
        <v>#REF!</v>
      </c>
      <c r="K5901" s="5" t="e">
        <f>+Planning[[#This Row],[Horas Planificadas]]+Planning[[#This Row],[Horas ajustadas adicionales]]-Planning[[#This Row],[Horas utilizadas]]</f>
        <v>#REF!</v>
      </c>
      <c r="L5901" s="7" t="e">
        <f>Planning[[#This Row],[Saldo]]</f>
        <v>#REF!</v>
      </c>
      <c r="M5901" s="19" t="e">
        <f>Planning[[#This Row],[Saldo]]-Planning[[#This Row],[Saldo estimado]]</f>
        <v>#REF!</v>
      </c>
      <c r="N5901" s="60" t="e">
        <f>+SUMIFS(#REF!,#REF!,Planning[[#This Row],[Proyectos]],#REF!,Planning[[#This Row],[Tipo de Tarea y especialidad]])+SUMIFS(#REF!,#REF!,Planning[[#This Row],[Proyectos Reiwa]],#REF!,Planning[[#This Row],[Tipo de Tarea y especialidad]])</f>
        <v>#REF!</v>
      </c>
      <c r="O5901" s="19">
        <f t="shared" si="185"/>
        <v>10</v>
      </c>
      <c r="P5901" s="19">
        <f t="shared" si="186"/>
        <v>2024</v>
      </c>
      <c r="Q59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01" s="49" t="str">
        <f>TEXT(Planning[[#This Row],[Mes]]*29,"mmmm")</f>
        <v>October</v>
      </c>
      <c r="S590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01" s="156"/>
      <c r="U5901" s="93"/>
      <c r="V5901" s="93"/>
      <c r="W5901" s="94"/>
    </row>
    <row r="5902" spans="1:23" ht="13.35" customHeight="1" x14ac:dyDescent="0.2">
      <c r="A5902" s="9" t="s">
        <v>626</v>
      </c>
      <c r="B5902" s="9" t="s">
        <v>779</v>
      </c>
      <c r="C5902" s="3">
        <v>119835</v>
      </c>
      <c r="D5902" s="3"/>
      <c r="E5902" s="4" t="s">
        <v>31</v>
      </c>
      <c r="F5902" s="3" t="s">
        <v>31</v>
      </c>
      <c r="G5902" s="9">
        <v>30</v>
      </c>
      <c r="H5902" s="17">
        <v>30</v>
      </c>
      <c r="I5902" s="18"/>
      <c r="J5902" s="14" t="e">
        <f>+SUMIFS(#REF!,#REF!,Planning[[#This Row],[Tarifa]],#REF!,Planning[[#This Row],[Proyectos]])</f>
        <v>#REF!</v>
      </c>
      <c r="K5902" s="14" t="e">
        <f>+Planning[[#This Row],[Horas Planificadas]]+Planning[[#This Row],[Horas ajustadas adicionales]]-Planning[[#This Row],[Horas utilizadas]]</f>
        <v>#REF!</v>
      </c>
      <c r="L5902" s="15" t="e">
        <f>Planning[[#This Row],[Saldo]]</f>
        <v>#REF!</v>
      </c>
      <c r="M5902" s="16" t="e">
        <f>Planning[[#This Row],[Saldo]]-Planning[[#This Row],[Saldo estimado]]</f>
        <v>#REF!</v>
      </c>
      <c r="N5902" s="60" t="e">
        <f>+SUMIFS(#REF!,#REF!,Planning[[#This Row],[Proyectos]],#REF!,Planning[[#This Row],[Tipo de Tarea y especialidad]])+SUMIFS(#REF!,#REF!,Planning[[#This Row],[Proyectos Reiwa]],#REF!,Planning[[#This Row],[Tipo de Tarea y especialidad]])</f>
        <v>#REF!</v>
      </c>
      <c r="O5902" s="16">
        <f t="shared" si="185"/>
        <v>10</v>
      </c>
      <c r="P5902" s="16">
        <f t="shared" si="186"/>
        <v>2024</v>
      </c>
      <c r="Q5902" s="16" t="e">
        <f>+SUMIFS(#REF!,#REF!,Planning[[#This Row],[Tarifa]],#REF!,Planning[[#This Row],[Proyectos]],#REF!,Planning[[#This Row],[Mes]],#REF!,Planning[[#This Row],[Año]])</f>
        <v>#REF!</v>
      </c>
      <c r="R5902" s="50" t="str">
        <f>TEXT(Planning[[#This Row],[Mes]]*29,"mmmm")</f>
        <v>October</v>
      </c>
      <c r="S590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02" s="156"/>
      <c r="U5902" s="93"/>
      <c r="V5902" s="93"/>
      <c r="W5902" s="94"/>
    </row>
    <row r="5903" spans="1:23" ht="13.35" customHeight="1" x14ac:dyDescent="0.2">
      <c r="A5903" s="9" t="s">
        <v>626</v>
      </c>
      <c r="B5903" s="9" t="s">
        <v>779</v>
      </c>
      <c r="C5903" s="3">
        <v>119835</v>
      </c>
      <c r="D5903" s="3"/>
      <c r="E5903" s="4" t="s">
        <v>32</v>
      </c>
      <c r="F5903" s="3"/>
      <c r="G5903" s="9">
        <v>178</v>
      </c>
      <c r="H5903" s="14">
        <v>178</v>
      </c>
      <c r="I5903" s="14"/>
      <c r="J5903" s="14" t="e">
        <f>SUM(J5904:J5906)</f>
        <v>#REF!</v>
      </c>
      <c r="K5903" s="14" t="e">
        <f>+Planning[[#This Row],[Horas Planificadas]]+Planning[[#This Row],[Horas ajustadas adicionales]]-Planning[[#This Row],[Horas utilizadas]]</f>
        <v>#REF!</v>
      </c>
      <c r="L5903" s="15" t="e">
        <f>SUM(L5904:L5906)</f>
        <v>#REF!</v>
      </c>
      <c r="M5903" s="16" t="e">
        <f>SUM(M5904:M5906)</f>
        <v>#REF!</v>
      </c>
      <c r="N5903" s="60" t="e">
        <f>+SUMIFS(#REF!,#REF!,Planning[[#This Row],[Proyectos]],#REF!,Planning[[#This Row],[Tipo de Tarea y especialidad]])+SUMIFS(#REF!,#REF!,Planning[[#This Row],[Proyectos Reiwa]],#REF!,Planning[[#This Row],[Tipo de Tarea y especialidad]])</f>
        <v>#REF!</v>
      </c>
      <c r="O5903" s="16">
        <f t="shared" si="185"/>
        <v>10</v>
      </c>
      <c r="P5903" s="16">
        <f t="shared" si="186"/>
        <v>2024</v>
      </c>
      <c r="Q5903" s="16" t="e">
        <f>SUM(Q5904:Q5906)</f>
        <v>#REF!</v>
      </c>
      <c r="R5903" s="50" t="str">
        <f>TEXT(Planning[[#This Row],[Mes]]*29,"mmmm")</f>
        <v>October</v>
      </c>
      <c r="S590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03" s="156"/>
      <c r="U5903" s="93"/>
      <c r="V5903" s="93"/>
      <c r="W5903" s="94"/>
    </row>
    <row r="5904" spans="1:23" ht="13.35" customHeight="1" x14ac:dyDescent="0.2">
      <c r="A5904" s="9" t="s">
        <v>626</v>
      </c>
      <c r="B5904" s="9" t="s">
        <v>779</v>
      </c>
      <c r="C5904" s="3">
        <v>119835</v>
      </c>
      <c r="D5904" s="3"/>
      <c r="E5904" s="4"/>
      <c r="F5904" s="3" t="s">
        <v>129</v>
      </c>
      <c r="G5904" s="9">
        <v>10</v>
      </c>
      <c r="H5904" s="9">
        <v>10</v>
      </c>
      <c r="I5904" s="12"/>
      <c r="J5904" s="5" t="e">
        <f>SUM(SUMIFS(#REF!,#REF!,Planning[[#This Row],[Tipo de Tarea y especialidad]],#REF!,Planning[[#This Row],[Proyectos Reiwa]]),SUMIFS(#REF!,#REF!,Planning[[#This Row],[Tipo de Tarea y especialidad]],#REF!,Planning[[#This Row],[Proyectos]]))</f>
        <v>#REF!</v>
      </c>
      <c r="K5904" s="5" t="e">
        <f>+Planning[[#This Row],[Horas Planificadas]]+Planning[[#This Row],[Horas ajustadas adicionales]]-Planning[[#This Row],[Horas utilizadas]]</f>
        <v>#REF!</v>
      </c>
      <c r="L5904" s="7" t="e">
        <f>Planning[[#This Row],[Saldo]]</f>
        <v>#REF!</v>
      </c>
      <c r="M5904" s="19" t="e">
        <f>Planning[[#This Row],[Saldo]]-Planning[[#This Row],[Saldo estimado]]</f>
        <v>#REF!</v>
      </c>
      <c r="N5904" s="60" t="e">
        <f>+SUMIFS(#REF!,#REF!,Planning[[#This Row],[Proyectos]],#REF!,Planning[[#This Row],[Tipo de Tarea y especialidad]])+SUMIFS(#REF!,#REF!,Planning[[#This Row],[Proyectos Reiwa]],#REF!,Planning[[#This Row],[Tipo de Tarea y especialidad]])</f>
        <v>#REF!</v>
      </c>
      <c r="O5904" s="19">
        <f t="shared" si="185"/>
        <v>10</v>
      </c>
      <c r="P5904" s="19">
        <f t="shared" si="186"/>
        <v>2024</v>
      </c>
      <c r="Q59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04" s="49" t="str">
        <f>TEXT(Planning[[#This Row],[Mes]]*29,"mmmm")</f>
        <v>October</v>
      </c>
      <c r="S590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04" s="156"/>
      <c r="U5904" s="93"/>
      <c r="V5904" s="93"/>
      <c r="W5904" s="94"/>
    </row>
    <row r="5905" spans="1:23" ht="13.35" customHeight="1" x14ac:dyDescent="0.2">
      <c r="A5905" s="9" t="s">
        <v>626</v>
      </c>
      <c r="B5905" s="9" t="s">
        <v>779</v>
      </c>
      <c r="C5905" s="3">
        <v>119835</v>
      </c>
      <c r="D5905" s="3"/>
      <c r="E5905" s="4"/>
      <c r="F5905" s="3" t="s">
        <v>130</v>
      </c>
      <c r="G5905" s="9">
        <v>0</v>
      </c>
      <c r="H5905" s="9">
        <v>0</v>
      </c>
      <c r="I5905" s="12"/>
      <c r="J5905" s="5" t="e">
        <f>SUM(SUMIFS(#REF!,#REF!,Planning[[#This Row],[Tipo de Tarea y especialidad]],#REF!,Planning[[#This Row],[Proyectos Reiwa]]),SUMIFS(#REF!,#REF!,Planning[[#This Row],[Tipo de Tarea y especialidad]],#REF!,Planning[[#This Row],[Proyectos]]))</f>
        <v>#REF!</v>
      </c>
      <c r="K5905" s="5" t="e">
        <f>+Planning[[#This Row],[Horas Planificadas]]+Planning[[#This Row],[Horas ajustadas adicionales]]-Planning[[#This Row],[Horas utilizadas]]</f>
        <v>#REF!</v>
      </c>
      <c r="L5905" s="7" t="e">
        <f>Planning[[#This Row],[Saldo]]</f>
        <v>#REF!</v>
      </c>
      <c r="M5905" s="19" t="e">
        <f>Planning[[#This Row],[Saldo]]-Planning[[#This Row],[Saldo estimado]]</f>
        <v>#REF!</v>
      </c>
      <c r="N5905" s="60" t="e">
        <f>+SUMIFS(#REF!,#REF!,Planning[[#This Row],[Proyectos]],#REF!,Planning[[#This Row],[Tipo de Tarea y especialidad]])+SUMIFS(#REF!,#REF!,Planning[[#This Row],[Proyectos Reiwa]],#REF!,Planning[[#This Row],[Tipo de Tarea y especialidad]])</f>
        <v>#REF!</v>
      </c>
      <c r="O5905" s="19">
        <f t="shared" si="185"/>
        <v>10</v>
      </c>
      <c r="P5905" s="19">
        <f t="shared" si="186"/>
        <v>2024</v>
      </c>
      <c r="Q59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05" s="49" t="str">
        <f>TEXT(Planning[[#This Row],[Mes]]*29,"mmmm")</f>
        <v>October</v>
      </c>
      <c r="S590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05" s="156"/>
      <c r="U5905" s="93"/>
      <c r="V5905" s="93"/>
      <c r="W5905" s="94"/>
    </row>
    <row r="5906" spans="1:23" ht="13.35" customHeight="1" x14ac:dyDescent="0.2">
      <c r="A5906" s="9" t="s">
        <v>626</v>
      </c>
      <c r="B5906" s="9" t="s">
        <v>779</v>
      </c>
      <c r="C5906" s="3">
        <v>119835</v>
      </c>
      <c r="D5906" s="3"/>
      <c r="E5906" s="4"/>
      <c r="F5906" s="3" t="s">
        <v>131</v>
      </c>
      <c r="G5906" s="9">
        <v>0</v>
      </c>
      <c r="H5906" s="9">
        <v>0</v>
      </c>
      <c r="I5906" s="12"/>
      <c r="J5906" s="5" t="e">
        <f>SUM(SUMIFS(#REF!,#REF!,Planning[[#This Row],[Tipo de Tarea y especialidad]],#REF!,Planning[[#This Row],[Proyectos Reiwa]]),SUMIFS(#REF!,#REF!,Planning[[#This Row],[Tipo de Tarea y especialidad]],#REF!,Planning[[#This Row],[Proyectos]]))</f>
        <v>#REF!</v>
      </c>
      <c r="K5906" s="5" t="e">
        <f>+Planning[[#This Row],[Horas Planificadas]]+Planning[[#This Row],[Horas ajustadas adicionales]]-Planning[[#This Row],[Horas utilizadas]]</f>
        <v>#REF!</v>
      </c>
      <c r="L5906" s="7" t="e">
        <f>Planning[[#This Row],[Saldo]]</f>
        <v>#REF!</v>
      </c>
      <c r="M5906" s="19" t="e">
        <f>Planning[[#This Row],[Saldo]]-Planning[[#This Row],[Saldo estimado]]</f>
        <v>#REF!</v>
      </c>
      <c r="N5906" s="60" t="e">
        <f>+SUMIFS(#REF!,#REF!,Planning[[#This Row],[Proyectos]],#REF!,Planning[[#This Row],[Tipo de Tarea y especialidad]])+SUMIFS(#REF!,#REF!,Planning[[#This Row],[Proyectos Reiwa]],#REF!,Planning[[#This Row],[Tipo de Tarea y especialidad]])</f>
        <v>#REF!</v>
      </c>
      <c r="O5906" s="19">
        <f t="shared" si="185"/>
        <v>10</v>
      </c>
      <c r="P5906" s="19">
        <f t="shared" si="186"/>
        <v>2024</v>
      </c>
      <c r="Q590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06" s="51" t="str">
        <f>TEXT(Planning[[#This Row],[Mes]]*29,"mmmm")</f>
        <v>October</v>
      </c>
      <c r="S5906"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06" s="157"/>
      <c r="U5906" s="93"/>
      <c r="V5906" s="93"/>
      <c r="W5906" s="94"/>
    </row>
    <row r="5907" spans="1:23" ht="22.5" x14ac:dyDescent="0.2">
      <c r="A5907" s="9" t="s">
        <v>483</v>
      </c>
      <c r="B5907" s="9" t="s">
        <v>288</v>
      </c>
      <c r="C5907" s="3">
        <v>122754</v>
      </c>
      <c r="D5907" s="3"/>
      <c r="E5907" s="4" t="s">
        <v>28</v>
      </c>
      <c r="F5907" s="3"/>
      <c r="G5907" s="9"/>
      <c r="H5907" s="14">
        <f>SUM(H5908:H5909)</f>
        <v>315</v>
      </c>
      <c r="I5907" s="14"/>
      <c r="J5907" s="14" t="e">
        <f>SUM(J5908:J5909)</f>
        <v>#REF!</v>
      </c>
      <c r="K5907" s="14" t="e">
        <f>+Planning[[#This Row],[Horas Planificadas]]+Planning[[#This Row],[Horas ajustadas adicionales]]-Planning[[#This Row],[Horas utilizadas]]</f>
        <v>#REF!</v>
      </c>
      <c r="L5907" s="15">
        <f>SUM(L5908:L5909)</f>
        <v>315</v>
      </c>
      <c r="M5907" s="14" t="e">
        <f>SUM(M5908:M5909)</f>
        <v>#REF!</v>
      </c>
      <c r="N5907" s="60" t="e">
        <f>+SUMIFS(#REF!,#REF!,Planning[[#This Row],[Proyectos]],#REF!,Planning[[#This Row],[Tipo de Tarea y especialidad]])+SUMIFS(#REF!,#REF!,Planning[[#This Row],[Proyectos Reiwa]],#REF!,Planning[[#This Row],[Tipo de Tarea y especialidad]])</f>
        <v>#REF!</v>
      </c>
      <c r="O5907" s="14">
        <f t="shared" si="185"/>
        <v>10</v>
      </c>
      <c r="P5907" s="14">
        <f t="shared" si="186"/>
        <v>2024</v>
      </c>
      <c r="Q5907" s="28" t="e">
        <f>SUM(Q5908:Q5909)</f>
        <v>#REF!</v>
      </c>
      <c r="R5907" s="24" t="str">
        <f>TEXT(Planning[[#This Row],[Mes]]*29,"mmmm")</f>
        <v>October</v>
      </c>
      <c r="S590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07" s="151" t="s">
        <v>1027</v>
      </c>
    </row>
    <row r="5908" spans="1:23" x14ac:dyDescent="0.2">
      <c r="A5908" s="9" t="s">
        <v>483</v>
      </c>
      <c r="B5908" s="9" t="s">
        <v>288</v>
      </c>
      <c r="C5908" s="3">
        <v>122754</v>
      </c>
      <c r="D5908" s="3"/>
      <c r="E5908" s="4"/>
      <c r="F5908" s="3" t="s">
        <v>120</v>
      </c>
      <c r="G5908" s="9">
        <v>225</v>
      </c>
      <c r="H5908" s="9">
        <v>225</v>
      </c>
      <c r="I5908" s="12"/>
      <c r="J5908" s="5" t="e">
        <f>SUM(SUMIFS(#REF!,#REF!,Planning[[#This Row],[Tipo de Tarea y especialidad]],#REF!,Planning[[#This Row],[Proyectos Reiwa]]),SUMIFS(#REF!,#REF!,Planning[[#This Row],[Tipo de Tarea y especialidad]],#REF!,Planning[[#This Row],[Proyectos]]))</f>
        <v>#REF!</v>
      </c>
      <c r="K5908" s="5" t="e">
        <f>+Planning[[#This Row],[Horas Planificadas]]+Planning[[#This Row],[Horas ajustadas adicionales]]-Planning[[#This Row],[Horas utilizadas]]</f>
        <v>#REF!</v>
      </c>
      <c r="L5908" s="7">
        <v>225</v>
      </c>
      <c r="M5908" s="19" t="e">
        <f>Planning[[#This Row],[Saldo]]-Planning[[#This Row],[Saldo estimado]]</f>
        <v>#REF!</v>
      </c>
      <c r="N5908" s="60" t="e">
        <f>+SUMIFS(#REF!,#REF!,Planning[[#This Row],[Proyectos]],#REF!,Planning[[#This Row],[Tipo de Tarea y especialidad]])+SUMIFS(#REF!,#REF!,Planning[[#This Row],[Proyectos Reiwa]],#REF!,Planning[[#This Row],[Tipo de Tarea y especialidad]])</f>
        <v>#REF!</v>
      </c>
      <c r="O5908" s="19">
        <f t="shared" si="185"/>
        <v>10</v>
      </c>
      <c r="P5908" s="19">
        <f t="shared" si="186"/>
        <v>2024</v>
      </c>
      <c r="Q59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08" s="49" t="str">
        <f>TEXT(Planning[[#This Row],[Mes]]*29,"mmmm")</f>
        <v>October</v>
      </c>
      <c r="S590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08" s="152"/>
    </row>
    <row r="5909" spans="1:23" x14ac:dyDescent="0.2">
      <c r="A5909" s="9" t="s">
        <v>483</v>
      </c>
      <c r="B5909" s="9" t="s">
        <v>288</v>
      </c>
      <c r="C5909" s="3">
        <v>122754</v>
      </c>
      <c r="D5909" s="3"/>
      <c r="E5909" s="4"/>
      <c r="F5909" s="3" t="s">
        <v>121</v>
      </c>
      <c r="G5909" s="9">
        <v>90</v>
      </c>
      <c r="H5909" s="9">
        <v>90</v>
      </c>
      <c r="I5909" s="12"/>
      <c r="J5909" s="5" t="e">
        <f>SUM(SUMIFS(#REF!,#REF!,Planning[[#This Row],[Tipo de Tarea y especialidad]],#REF!,Planning[[#This Row],[Proyectos Reiwa]]),SUMIFS(#REF!,#REF!,Planning[[#This Row],[Tipo de Tarea y especialidad]],#REF!,Planning[[#This Row],[Proyectos]]))</f>
        <v>#REF!</v>
      </c>
      <c r="K5909" s="5" t="e">
        <f>+Planning[[#This Row],[Horas Planificadas]]+Planning[[#This Row],[Horas ajustadas adicionales]]-Planning[[#This Row],[Horas utilizadas]]</f>
        <v>#REF!</v>
      </c>
      <c r="L5909" s="7">
        <v>90</v>
      </c>
      <c r="M5909" s="19" t="e">
        <f>Planning[[#This Row],[Saldo]]-Planning[[#This Row],[Saldo estimado]]</f>
        <v>#REF!</v>
      </c>
      <c r="N5909" s="60" t="e">
        <f>+SUMIFS(#REF!,#REF!,Planning[[#This Row],[Proyectos]],#REF!,Planning[[#This Row],[Tipo de Tarea y especialidad]])+SUMIFS(#REF!,#REF!,Planning[[#This Row],[Proyectos Reiwa]],#REF!,Planning[[#This Row],[Tipo de Tarea y especialidad]])</f>
        <v>#REF!</v>
      </c>
      <c r="O5909" s="19">
        <f t="shared" si="185"/>
        <v>10</v>
      </c>
      <c r="P5909" s="19">
        <f t="shared" si="186"/>
        <v>2024</v>
      </c>
      <c r="Q59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09" s="49" t="str">
        <f>TEXT(Planning[[#This Row],[Mes]]*29,"mmmm")</f>
        <v>October</v>
      </c>
      <c r="S590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09" s="152"/>
    </row>
    <row r="5910" spans="1:23" x14ac:dyDescent="0.2">
      <c r="A5910" s="9" t="s">
        <v>483</v>
      </c>
      <c r="B5910" s="9" t="s">
        <v>288</v>
      </c>
      <c r="C5910" s="3">
        <v>122754</v>
      </c>
      <c r="D5910" s="3"/>
      <c r="E5910" s="4" t="s">
        <v>30</v>
      </c>
      <c r="F5910" s="3"/>
      <c r="G5910" s="9"/>
      <c r="H5910" s="14">
        <f>SUM(H5911:H5917)</f>
        <v>576</v>
      </c>
      <c r="I5910" s="14"/>
      <c r="J5910" s="14" t="e">
        <f>SUM(J5911:J5917)</f>
        <v>#REF!</v>
      </c>
      <c r="K5910" s="14" t="e">
        <f>+Planning[[#This Row],[Horas Planificadas]]+Planning[[#This Row],[Horas ajustadas adicionales]]-Planning[[#This Row],[Horas utilizadas]]</f>
        <v>#REF!</v>
      </c>
      <c r="L5910" s="15">
        <f>SUM(L5911:L5917)</f>
        <v>558</v>
      </c>
      <c r="M5910" s="16" t="e">
        <f>SUM(M5911:M5917)</f>
        <v>#REF!</v>
      </c>
      <c r="N5910" s="60" t="e">
        <f>+SUMIFS(#REF!,#REF!,Planning[[#This Row],[Proyectos]],#REF!,Planning[[#This Row],[Tipo de Tarea y especialidad]])+SUMIFS(#REF!,#REF!,Planning[[#This Row],[Proyectos Reiwa]],#REF!,Planning[[#This Row],[Tipo de Tarea y especialidad]])</f>
        <v>#REF!</v>
      </c>
      <c r="O5910" s="16">
        <f t="shared" si="185"/>
        <v>10</v>
      </c>
      <c r="P5910" s="16">
        <f t="shared" si="186"/>
        <v>2024</v>
      </c>
      <c r="Q5910" s="16" t="e">
        <f>SUM(Q5911:Q5917)</f>
        <v>#REF!</v>
      </c>
      <c r="R5910" s="50" t="str">
        <f>TEXT(Planning[[#This Row],[Mes]]*29,"mmmm")</f>
        <v>October</v>
      </c>
      <c r="S591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10" s="152"/>
    </row>
    <row r="5911" spans="1:23" x14ac:dyDescent="0.2">
      <c r="A5911" s="9" t="s">
        <v>483</v>
      </c>
      <c r="B5911" s="9" t="s">
        <v>288</v>
      </c>
      <c r="C5911" s="3">
        <v>122754</v>
      </c>
      <c r="D5911" s="3"/>
      <c r="E5911" s="4"/>
      <c r="F5911" s="3" t="s">
        <v>122</v>
      </c>
      <c r="G5911" s="9"/>
      <c r="H5911" s="9"/>
      <c r="I5911" s="12"/>
      <c r="J5911" s="5" t="e">
        <f>SUM(SUMIFS(#REF!,#REF!,Planning[[#This Row],[Tipo de Tarea y especialidad]],#REF!,Planning[[#This Row],[Proyectos Reiwa]]),SUMIFS(#REF!,#REF!,Planning[[#This Row],[Tipo de Tarea y especialidad]],#REF!,Planning[[#This Row],[Proyectos]]))</f>
        <v>#REF!</v>
      </c>
      <c r="K5911" s="5" t="e">
        <f>+Planning[[#This Row],[Horas Planificadas]]+Planning[[#This Row],[Horas ajustadas adicionales]]-Planning[[#This Row],[Horas utilizadas]]</f>
        <v>#REF!</v>
      </c>
      <c r="L5911" s="7">
        <v>0</v>
      </c>
      <c r="M5911" s="19" t="e">
        <f>Planning[[#This Row],[Saldo]]-Planning[[#This Row],[Saldo estimado]]</f>
        <v>#REF!</v>
      </c>
      <c r="N5911" s="60" t="e">
        <f>+SUMIFS(#REF!,#REF!,Planning[[#This Row],[Proyectos]],#REF!,Planning[[#This Row],[Tipo de Tarea y especialidad]])+SUMIFS(#REF!,#REF!,Planning[[#This Row],[Proyectos Reiwa]],#REF!,Planning[[#This Row],[Tipo de Tarea y especialidad]])</f>
        <v>#REF!</v>
      </c>
      <c r="O5911" s="19">
        <f t="shared" si="185"/>
        <v>10</v>
      </c>
      <c r="P5911" s="19">
        <f t="shared" si="186"/>
        <v>2024</v>
      </c>
      <c r="Q59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11" s="49" t="str">
        <f>TEXT(Planning[[#This Row],[Mes]]*29,"mmmm")</f>
        <v>October</v>
      </c>
      <c r="S591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11" s="152"/>
    </row>
    <row r="5912" spans="1:23" x14ac:dyDescent="0.2">
      <c r="A5912" s="9" t="s">
        <v>483</v>
      </c>
      <c r="B5912" s="9" t="s">
        <v>288</v>
      </c>
      <c r="C5912" s="3">
        <v>122754</v>
      </c>
      <c r="D5912" s="3"/>
      <c r="E5912" s="4"/>
      <c r="F5912" s="3" t="s">
        <v>123</v>
      </c>
      <c r="G5912" s="9"/>
      <c r="H5912" s="9"/>
      <c r="I5912" s="12"/>
      <c r="J5912" s="5" t="e">
        <f>SUM(SUMIFS(#REF!,#REF!,Planning[[#This Row],[Tipo de Tarea y especialidad]],#REF!,Planning[[#This Row],[Proyectos Reiwa]]),SUMIFS(#REF!,#REF!,Planning[[#This Row],[Tipo de Tarea y especialidad]],#REF!,Planning[[#This Row],[Proyectos]]))</f>
        <v>#REF!</v>
      </c>
      <c r="K5912" s="5" t="e">
        <f>+Planning[[#This Row],[Horas Planificadas]]+Planning[[#This Row],[Horas ajustadas adicionales]]-Planning[[#This Row],[Horas utilizadas]]</f>
        <v>#REF!</v>
      </c>
      <c r="L5912" s="7">
        <v>0</v>
      </c>
      <c r="M5912" s="19" t="e">
        <f>Planning[[#This Row],[Saldo]]-Planning[[#This Row],[Saldo estimado]]</f>
        <v>#REF!</v>
      </c>
      <c r="N5912" s="60" t="e">
        <f>+SUMIFS(#REF!,#REF!,Planning[[#This Row],[Proyectos]],#REF!,Planning[[#This Row],[Tipo de Tarea y especialidad]])+SUMIFS(#REF!,#REF!,Planning[[#This Row],[Proyectos Reiwa]],#REF!,Planning[[#This Row],[Tipo de Tarea y especialidad]])</f>
        <v>#REF!</v>
      </c>
      <c r="O5912" s="19">
        <f t="shared" si="185"/>
        <v>10</v>
      </c>
      <c r="P5912" s="19">
        <f t="shared" si="186"/>
        <v>2024</v>
      </c>
      <c r="Q59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12" s="49" t="str">
        <f>TEXT(Planning[[#This Row],[Mes]]*29,"mmmm")</f>
        <v>October</v>
      </c>
      <c r="S591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12" s="152"/>
    </row>
    <row r="5913" spans="1:23" x14ac:dyDescent="0.2">
      <c r="A5913" s="9" t="s">
        <v>483</v>
      </c>
      <c r="B5913" s="9" t="s">
        <v>288</v>
      </c>
      <c r="C5913" s="3">
        <v>122754</v>
      </c>
      <c r="D5913" s="3"/>
      <c r="E5913" s="4"/>
      <c r="F5913" s="3" t="s">
        <v>124</v>
      </c>
      <c r="G5913" s="9">
        <v>288</v>
      </c>
      <c r="H5913" s="9">
        <v>288</v>
      </c>
      <c r="I5913" s="12"/>
      <c r="J5913" s="5" t="e">
        <f>SUM(SUMIFS(#REF!,#REF!,Planning[[#This Row],[Tipo de Tarea y especialidad]],#REF!,Planning[[#This Row],[Proyectos Reiwa]]),SUMIFS(#REF!,#REF!,Planning[[#This Row],[Tipo de Tarea y especialidad]],#REF!,Planning[[#This Row],[Proyectos]]))</f>
        <v>#REF!</v>
      </c>
      <c r="K5913" s="5" t="e">
        <f>+Planning[[#This Row],[Horas Planificadas]]+Planning[[#This Row],[Horas ajustadas adicionales]]-Planning[[#This Row],[Horas utilizadas]]</f>
        <v>#REF!</v>
      </c>
      <c r="L5913" s="7">
        <v>288</v>
      </c>
      <c r="M5913" s="19" t="e">
        <f>Planning[[#This Row],[Saldo]]-Planning[[#This Row],[Saldo estimado]]</f>
        <v>#REF!</v>
      </c>
      <c r="N5913" s="60" t="e">
        <f>+SUMIFS(#REF!,#REF!,Planning[[#This Row],[Proyectos]],#REF!,Planning[[#This Row],[Tipo de Tarea y especialidad]])+SUMIFS(#REF!,#REF!,Planning[[#This Row],[Proyectos Reiwa]],#REF!,Planning[[#This Row],[Tipo de Tarea y especialidad]])</f>
        <v>#REF!</v>
      </c>
      <c r="O5913" s="19">
        <f t="shared" si="185"/>
        <v>10</v>
      </c>
      <c r="P5913" s="19">
        <f t="shared" si="186"/>
        <v>2024</v>
      </c>
      <c r="Q59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13" s="49" t="str">
        <f>TEXT(Planning[[#This Row],[Mes]]*29,"mmmm")</f>
        <v>October</v>
      </c>
      <c r="S591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13" s="152"/>
    </row>
    <row r="5914" spans="1:23" x14ac:dyDescent="0.2">
      <c r="A5914" s="9" t="s">
        <v>483</v>
      </c>
      <c r="B5914" s="9" t="s">
        <v>288</v>
      </c>
      <c r="C5914" s="3">
        <v>122754</v>
      </c>
      <c r="D5914" s="3"/>
      <c r="E5914" s="4"/>
      <c r="F5914" s="3" t="s">
        <v>125</v>
      </c>
      <c r="G5914" s="9">
        <v>90</v>
      </c>
      <c r="H5914" s="9">
        <v>90</v>
      </c>
      <c r="I5914" s="12"/>
      <c r="J5914" s="5" t="e">
        <f>SUM(SUMIFS(#REF!,#REF!,Planning[[#This Row],[Tipo de Tarea y especialidad]],#REF!,Planning[[#This Row],[Proyectos Reiwa]]),SUMIFS(#REF!,#REF!,Planning[[#This Row],[Tipo de Tarea y especialidad]],#REF!,Planning[[#This Row],[Proyectos]]))</f>
        <v>#REF!</v>
      </c>
      <c r="K5914" s="5" t="e">
        <f>+Planning[[#This Row],[Horas Planificadas]]+Planning[[#This Row],[Horas ajustadas adicionales]]-Planning[[#This Row],[Horas utilizadas]]</f>
        <v>#REF!</v>
      </c>
      <c r="L5914" s="7">
        <v>72</v>
      </c>
      <c r="M5914" s="19" t="e">
        <f>Planning[[#This Row],[Saldo]]-Planning[[#This Row],[Saldo estimado]]</f>
        <v>#REF!</v>
      </c>
      <c r="N5914" s="60" t="e">
        <f>+SUMIFS(#REF!,#REF!,Planning[[#This Row],[Proyectos]],#REF!,Planning[[#This Row],[Tipo de Tarea y especialidad]])+SUMIFS(#REF!,#REF!,Planning[[#This Row],[Proyectos Reiwa]],#REF!,Planning[[#This Row],[Tipo de Tarea y especialidad]])</f>
        <v>#REF!</v>
      </c>
      <c r="O5914" s="19">
        <f t="shared" si="185"/>
        <v>10</v>
      </c>
      <c r="P5914" s="19">
        <f t="shared" si="186"/>
        <v>2024</v>
      </c>
      <c r="Q591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14" s="49" t="str">
        <f>TEXT(Planning[[#This Row],[Mes]]*29,"mmmm")</f>
        <v>October</v>
      </c>
      <c r="S591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14" s="152"/>
    </row>
    <row r="5915" spans="1:23" x14ac:dyDescent="0.2">
      <c r="A5915" s="9" t="s">
        <v>483</v>
      </c>
      <c r="B5915" s="9" t="s">
        <v>288</v>
      </c>
      <c r="C5915" s="3">
        <v>122754</v>
      </c>
      <c r="D5915" s="3"/>
      <c r="E5915" s="4"/>
      <c r="F5915" s="3" t="s">
        <v>126</v>
      </c>
      <c r="G5915" s="9"/>
      <c r="H5915" s="9"/>
      <c r="I5915" s="12"/>
      <c r="J5915" s="5" t="e">
        <f>SUM(SUMIFS(#REF!,#REF!,Planning[[#This Row],[Tipo de Tarea y especialidad]],#REF!,Planning[[#This Row],[Proyectos Reiwa]]),SUMIFS(#REF!,#REF!,Planning[[#This Row],[Tipo de Tarea y especialidad]],#REF!,Planning[[#This Row],[Proyectos]]))</f>
        <v>#REF!</v>
      </c>
      <c r="K5915" s="5" t="e">
        <f>+Planning[[#This Row],[Horas Planificadas]]+Planning[[#This Row],[Horas ajustadas adicionales]]-Planning[[#This Row],[Horas utilizadas]]</f>
        <v>#REF!</v>
      </c>
      <c r="L5915" s="7">
        <v>0</v>
      </c>
      <c r="M5915" s="19" t="e">
        <f>Planning[[#This Row],[Saldo]]-Planning[[#This Row],[Saldo estimado]]</f>
        <v>#REF!</v>
      </c>
      <c r="N5915" s="60" t="e">
        <f>+SUMIFS(#REF!,#REF!,Planning[[#This Row],[Proyectos]],#REF!,Planning[[#This Row],[Tipo de Tarea y especialidad]])+SUMIFS(#REF!,#REF!,Planning[[#This Row],[Proyectos Reiwa]],#REF!,Planning[[#This Row],[Tipo de Tarea y especialidad]])</f>
        <v>#REF!</v>
      </c>
      <c r="O5915" s="19">
        <f t="shared" si="185"/>
        <v>10</v>
      </c>
      <c r="P5915" s="19">
        <f t="shared" si="186"/>
        <v>2024</v>
      </c>
      <c r="Q591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15" s="49" t="str">
        <f>TEXT(Planning[[#This Row],[Mes]]*29,"mmmm")</f>
        <v>October</v>
      </c>
      <c r="S591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15" s="152"/>
    </row>
    <row r="5916" spans="1:23" x14ac:dyDescent="0.2">
      <c r="A5916" s="9" t="s">
        <v>483</v>
      </c>
      <c r="B5916" s="9" t="s">
        <v>288</v>
      </c>
      <c r="C5916" s="3">
        <v>122754</v>
      </c>
      <c r="D5916" s="3"/>
      <c r="E5916" s="4"/>
      <c r="F5916" s="3" t="s">
        <v>127</v>
      </c>
      <c r="G5916" s="9"/>
      <c r="H5916" s="9"/>
      <c r="I5916" s="12"/>
      <c r="J5916" s="5" t="e">
        <f>SUM(SUMIFS(#REF!,#REF!,Planning[[#This Row],[Tipo de Tarea y especialidad]],#REF!,Planning[[#This Row],[Proyectos Reiwa]]),SUMIFS(#REF!,#REF!,Planning[[#This Row],[Tipo de Tarea y especialidad]],#REF!,Planning[[#This Row],[Proyectos]]))</f>
        <v>#REF!</v>
      </c>
      <c r="K5916" s="5" t="e">
        <f>+Planning[[#This Row],[Horas Planificadas]]+Planning[[#This Row],[Horas ajustadas adicionales]]-Planning[[#This Row],[Horas utilizadas]]</f>
        <v>#REF!</v>
      </c>
      <c r="L5916" s="7">
        <v>0</v>
      </c>
      <c r="M5916" s="19" t="e">
        <f>Planning[[#This Row],[Saldo]]-Planning[[#This Row],[Saldo estimado]]</f>
        <v>#REF!</v>
      </c>
      <c r="N5916" s="60" t="e">
        <f>+SUMIFS(#REF!,#REF!,Planning[[#This Row],[Proyectos]],#REF!,Planning[[#This Row],[Tipo de Tarea y especialidad]])+SUMIFS(#REF!,#REF!,Planning[[#This Row],[Proyectos Reiwa]],#REF!,Planning[[#This Row],[Tipo de Tarea y especialidad]])</f>
        <v>#REF!</v>
      </c>
      <c r="O5916" s="19">
        <f t="shared" si="185"/>
        <v>10</v>
      </c>
      <c r="P5916" s="19">
        <f t="shared" si="186"/>
        <v>2024</v>
      </c>
      <c r="Q59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16" s="49" t="str">
        <f>TEXT(Planning[[#This Row],[Mes]]*29,"mmmm")</f>
        <v>October</v>
      </c>
      <c r="S591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16" s="152"/>
    </row>
    <row r="5917" spans="1:23" x14ac:dyDescent="0.2">
      <c r="A5917" s="9" t="s">
        <v>483</v>
      </c>
      <c r="B5917" s="9" t="s">
        <v>288</v>
      </c>
      <c r="C5917" s="3">
        <v>122754</v>
      </c>
      <c r="D5917" s="3"/>
      <c r="E5917" s="4"/>
      <c r="F5917" s="3" t="s">
        <v>128</v>
      </c>
      <c r="G5917" s="9">
        <v>198</v>
      </c>
      <c r="H5917" s="9">
        <v>198</v>
      </c>
      <c r="I5917" s="12"/>
      <c r="J5917" s="5" t="e">
        <f>SUM(SUMIFS(#REF!,#REF!,Planning[[#This Row],[Tipo de Tarea y especialidad]],#REF!,Planning[[#This Row],[Proyectos Reiwa]]),SUMIFS(#REF!,#REF!,Planning[[#This Row],[Tipo de Tarea y especialidad]],#REF!,Planning[[#This Row],[Proyectos]]))</f>
        <v>#REF!</v>
      </c>
      <c r="K5917" s="5" t="e">
        <f>+Planning[[#This Row],[Horas Planificadas]]+Planning[[#This Row],[Horas ajustadas adicionales]]-Planning[[#This Row],[Horas utilizadas]]</f>
        <v>#REF!</v>
      </c>
      <c r="L5917" s="7">
        <v>198</v>
      </c>
      <c r="M5917" s="19" t="e">
        <f>Planning[[#This Row],[Saldo]]-Planning[[#This Row],[Saldo estimado]]</f>
        <v>#REF!</v>
      </c>
      <c r="N5917" s="60" t="e">
        <f>+SUMIFS(#REF!,#REF!,Planning[[#This Row],[Proyectos]],#REF!,Planning[[#This Row],[Tipo de Tarea y especialidad]])+SUMIFS(#REF!,#REF!,Planning[[#This Row],[Proyectos Reiwa]],#REF!,Planning[[#This Row],[Tipo de Tarea y especialidad]])</f>
        <v>#REF!</v>
      </c>
      <c r="O5917" s="19">
        <f t="shared" si="185"/>
        <v>10</v>
      </c>
      <c r="P5917" s="19">
        <f t="shared" si="186"/>
        <v>2024</v>
      </c>
      <c r="Q59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17" s="49" t="str">
        <f>TEXT(Planning[[#This Row],[Mes]]*29,"mmmm")</f>
        <v>October</v>
      </c>
      <c r="S591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17" s="152"/>
    </row>
    <row r="5918" spans="1:23" x14ac:dyDescent="0.2">
      <c r="A5918" s="9" t="s">
        <v>483</v>
      </c>
      <c r="B5918" s="9" t="s">
        <v>288</v>
      </c>
      <c r="C5918" s="3">
        <v>122754</v>
      </c>
      <c r="D5918" s="3"/>
      <c r="E5918" s="4" t="s">
        <v>31</v>
      </c>
      <c r="F5918" s="3" t="s">
        <v>31</v>
      </c>
      <c r="G5918" s="9"/>
      <c r="H5918" s="17"/>
      <c r="I5918" s="18"/>
      <c r="J5918" s="14" t="e">
        <f>+SUMIFS(#REF!,#REF!,Planning[[#This Row],[Tarifa]],#REF!,Planning[[#This Row],[Proyectos]])</f>
        <v>#REF!</v>
      </c>
      <c r="K5918" s="14" t="e">
        <f>+Planning[[#This Row],[Horas Planificadas]]+Planning[[#This Row],[Horas ajustadas adicionales]]-Planning[[#This Row],[Horas utilizadas]]</f>
        <v>#REF!</v>
      </c>
      <c r="L5918" s="15" t="e">
        <f>Planning[[#This Row],[Saldo]]</f>
        <v>#REF!</v>
      </c>
      <c r="M5918" s="16" t="e">
        <f>Planning[[#This Row],[Saldo]]-Planning[[#This Row],[Saldo estimado]]</f>
        <v>#REF!</v>
      </c>
      <c r="N5918" s="60" t="e">
        <f>+SUMIFS(#REF!,#REF!,Planning[[#This Row],[Proyectos]],#REF!,Planning[[#This Row],[Tipo de Tarea y especialidad]])+SUMIFS(#REF!,#REF!,Planning[[#This Row],[Proyectos Reiwa]],#REF!,Planning[[#This Row],[Tipo de Tarea y especialidad]])</f>
        <v>#REF!</v>
      </c>
      <c r="O5918" s="16">
        <f t="shared" si="185"/>
        <v>10</v>
      </c>
      <c r="P5918" s="16">
        <f t="shared" si="186"/>
        <v>2024</v>
      </c>
      <c r="Q5918" s="16" t="e">
        <f>+SUMIFS(#REF!,#REF!,Planning[[#This Row],[Tarifa]],#REF!,Planning[[#This Row],[Proyectos]],#REF!,Planning[[#This Row],[Mes]],#REF!,Planning[[#This Row],[Año]])</f>
        <v>#REF!</v>
      </c>
      <c r="R5918" s="50" t="str">
        <f>TEXT(Planning[[#This Row],[Mes]]*29,"mmmm")</f>
        <v>October</v>
      </c>
      <c r="S591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18" s="152"/>
    </row>
    <row r="5919" spans="1:23" ht="22.5" x14ac:dyDescent="0.2">
      <c r="A5919" s="9" t="s">
        <v>483</v>
      </c>
      <c r="B5919" s="9" t="s">
        <v>288</v>
      </c>
      <c r="C5919" s="3">
        <v>122754</v>
      </c>
      <c r="D5919" s="3"/>
      <c r="E5919" s="4" t="s">
        <v>32</v>
      </c>
      <c r="F5919" s="3"/>
      <c r="G5919" s="9"/>
      <c r="H5919" s="14">
        <f>SUM(H5920:H5922)</f>
        <v>310</v>
      </c>
      <c r="I5919" s="14"/>
      <c r="J5919" s="14" t="e">
        <f>SUM(J5920:J5922)</f>
        <v>#REF!</v>
      </c>
      <c r="K5919" s="14" t="e">
        <f>+Planning[[#This Row],[Horas Planificadas]]+Planning[[#This Row],[Horas ajustadas adicionales]]-Planning[[#This Row],[Horas utilizadas]]</f>
        <v>#REF!</v>
      </c>
      <c r="L5919" s="15">
        <f>SUM(L5920:L5922)</f>
        <v>310</v>
      </c>
      <c r="M5919" s="16" t="e">
        <f>SUM(M5920:M5922)</f>
        <v>#REF!</v>
      </c>
      <c r="N5919" s="60" t="e">
        <f>+SUMIFS(#REF!,#REF!,Planning[[#This Row],[Proyectos]],#REF!,Planning[[#This Row],[Tipo de Tarea y especialidad]])+SUMIFS(#REF!,#REF!,Planning[[#This Row],[Proyectos Reiwa]],#REF!,Planning[[#This Row],[Tipo de Tarea y especialidad]])</f>
        <v>#REF!</v>
      </c>
      <c r="O5919" s="16">
        <f t="shared" si="185"/>
        <v>10</v>
      </c>
      <c r="P5919" s="16">
        <f t="shared" si="186"/>
        <v>2024</v>
      </c>
      <c r="Q5919" s="16" t="e">
        <f>SUM(Q5920:Q5922)</f>
        <v>#REF!</v>
      </c>
      <c r="R5919" s="50" t="str">
        <f>TEXT(Planning[[#This Row],[Mes]]*29,"mmmm")</f>
        <v>October</v>
      </c>
      <c r="S591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19" s="152"/>
    </row>
    <row r="5920" spans="1:23" x14ac:dyDescent="0.2">
      <c r="A5920" s="9" t="s">
        <v>483</v>
      </c>
      <c r="B5920" s="9" t="s">
        <v>288</v>
      </c>
      <c r="C5920" s="3">
        <v>122754</v>
      </c>
      <c r="D5920" s="3"/>
      <c r="E5920" s="4"/>
      <c r="F5920" s="3" t="s">
        <v>129</v>
      </c>
      <c r="G5920" s="9"/>
      <c r="H5920" s="9"/>
      <c r="I5920" s="12"/>
      <c r="J5920" s="5" t="e">
        <f>SUM(SUMIFS(#REF!,#REF!,Planning[[#This Row],[Tipo de Tarea y especialidad]],#REF!,Planning[[#This Row],[Proyectos Reiwa]]),SUMIFS(#REF!,#REF!,Planning[[#This Row],[Tipo de Tarea y especialidad]],#REF!,Planning[[#This Row],[Proyectos]]))</f>
        <v>#REF!</v>
      </c>
      <c r="K5920" s="5" t="e">
        <f>+Planning[[#This Row],[Horas Planificadas]]+Planning[[#This Row],[Horas ajustadas adicionales]]-Planning[[#This Row],[Horas utilizadas]]</f>
        <v>#REF!</v>
      </c>
      <c r="L5920" s="7">
        <v>0</v>
      </c>
      <c r="M5920" s="19" t="e">
        <f>Planning[[#This Row],[Saldo]]-Planning[[#This Row],[Saldo estimado]]</f>
        <v>#REF!</v>
      </c>
      <c r="N5920" s="60" t="e">
        <f>+SUMIFS(#REF!,#REF!,Planning[[#This Row],[Proyectos]],#REF!,Planning[[#This Row],[Tipo de Tarea y especialidad]])+SUMIFS(#REF!,#REF!,Planning[[#This Row],[Proyectos Reiwa]],#REF!,Planning[[#This Row],[Tipo de Tarea y especialidad]])</f>
        <v>#REF!</v>
      </c>
      <c r="O5920" s="19">
        <f t="shared" si="185"/>
        <v>10</v>
      </c>
      <c r="P5920" s="19">
        <f t="shared" si="186"/>
        <v>2024</v>
      </c>
      <c r="Q59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20" s="49" t="str">
        <f>TEXT(Planning[[#This Row],[Mes]]*29,"mmmm")</f>
        <v>October</v>
      </c>
      <c r="S592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20" s="152"/>
    </row>
    <row r="5921" spans="1:21" x14ac:dyDescent="0.2">
      <c r="A5921" s="9" t="s">
        <v>483</v>
      </c>
      <c r="B5921" s="9" t="s">
        <v>288</v>
      </c>
      <c r="C5921" s="3">
        <v>122754</v>
      </c>
      <c r="D5921" s="3"/>
      <c r="E5921" s="4"/>
      <c r="F5921" s="3" t="s">
        <v>130</v>
      </c>
      <c r="G5921" s="9"/>
      <c r="H5921" s="9"/>
      <c r="I5921" s="12"/>
      <c r="J5921" s="5" t="e">
        <f>SUM(SUMIFS(#REF!,#REF!,Planning[[#This Row],[Tipo de Tarea y especialidad]],#REF!,Planning[[#This Row],[Proyectos Reiwa]]),SUMIFS(#REF!,#REF!,Planning[[#This Row],[Tipo de Tarea y especialidad]],#REF!,Planning[[#This Row],[Proyectos]]))</f>
        <v>#REF!</v>
      </c>
      <c r="K5921" s="5" t="e">
        <f>+Planning[[#This Row],[Horas Planificadas]]+Planning[[#This Row],[Horas ajustadas adicionales]]-Planning[[#This Row],[Horas utilizadas]]</f>
        <v>#REF!</v>
      </c>
      <c r="L5921" s="7">
        <v>0</v>
      </c>
      <c r="M5921" s="19" t="e">
        <f>Planning[[#This Row],[Saldo]]-Planning[[#This Row],[Saldo estimado]]</f>
        <v>#REF!</v>
      </c>
      <c r="N5921" s="60" t="e">
        <f>+SUMIFS(#REF!,#REF!,Planning[[#This Row],[Proyectos]],#REF!,Planning[[#This Row],[Tipo de Tarea y especialidad]])+SUMIFS(#REF!,#REF!,Planning[[#This Row],[Proyectos Reiwa]],#REF!,Planning[[#This Row],[Tipo de Tarea y especialidad]])</f>
        <v>#REF!</v>
      </c>
      <c r="O5921" s="19">
        <f t="shared" si="185"/>
        <v>10</v>
      </c>
      <c r="P5921" s="19">
        <f t="shared" si="186"/>
        <v>2024</v>
      </c>
      <c r="Q59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21" s="49" t="str">
        <f>TEXT(Planning[[#This Row],[Mes]]*29,"mmmm")</f>
        <v>October</v>
      </c>
      <c r="S592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21" s="152"/>
    </row>
    <row r="5922" spans="1:21" ht="14.1" customHeight="1" x14ac:dyDescent="0.2">
      <c r="A5922" s="9" t="s">
        <v>483</v>
      </c>
      <c r="B5922" s="9" t="s">
        <v>288</v>
      </c>
      <c r="C5922" s="3">
        <v>122754</v>
      </c>
      <c r="D5922" s="3"/>
      <c r="E5922" s="4"/>
      <c r="F5922" s="3" t="s">
        <v>131</v>
      </c>
      <c r="G5922" s="9">
        <v>310</v>
      </c>
      <c r="H5922" s="9">
        <v>310</v>
      </c>
      <c r="I5922" s="12"/>
      <c r="J5922" s="5" t="e">
        <f>SUM(SUMIFS(#REF!,#REF!,Planning[[#This Row],[Tipo de Tarea y especialidad]],#REF!,Planning[[#This Row],[Proyectos Reiwa]]),SUMIFS(#REF!,#REF!,Planning[[#This Row],[Tipo de Tarea y especialidad]],#REF!,Planning[[#This Row],[Proyectos]]))</f>
        <v>#REF!</v>
      </c>
      <c r="K5922" s="5" t="e">
        <f>+Planning[[#This Row],[Horas Planificadas]]+Planning[[#This Row],[Horas ajustadas adicionales]]-Planning[[#This Row],[Horas utilizadas]]</f>
        <v>#REF!</v>
      </c>
      <c r="L5922" s="7">
        <v>310</v>
      </c>
      <c r="M5922" s="19" t="e">
        <f>Planning[[#This Row],[Saldo]]-Planning[[#This Row],[Saldo estimado]]</f>
        <v>#REF!</v>
      </c>
      <c r="N5922" s="60" t="e">
        <f>+SUMIFS(#REF!,#REF!,Planning[[#This Row],[Proyectos]],#REF!,Planning[[#This Row],[Tipo de Tarea y especialidad]])+SUMIFS(#REF!,#REF!,Planning[[#This Row],[Proyectos Reiwa]],#REF!,Planning[[#This Row],[Tipo de Tarea y especialidad]])</f>
        <v>#REF!</v>
      </c>
      <c r="O5922" s="19">
        <f t="shared" si="185"/>
        <v>10</v>
      </c>
      <c r="P5922" s="19">
        <f t="shared" si="186"/>
        <v>2024</v>
      </c>
      <c r="Q592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22" s="51" t="str">
        <f>TEXT(Planning[[#This Row],[Mes]]*29,"mmmm")</f>
        <v>October</v>
      </c>
      <c r="S592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22" s="153"/>
    </row>
    <row r="5923" spans="1:21" ht="11.85" customHeight="1" x14ac:dyDescent="0.2">
      <c r="A5923" s="9" t="s">
        <v>435</v>
      </c>
      <c r="B5923" s="9" t="s">
        <v>808</v>
      </c>
      <c r="C5923" s="3">
        <v>122755</v>
      </c>
      <c r="D5923" s="116" t="s">
        <v>940</v>
      </c>
      <c r="E5923" s="4" t="s">
        <v>28</v>
      </c>
      <c r="F5923" s="3"/>
      <c r="G5923" s="53"/>
      <c r="H5923" s="14">
        <f>SUM(H5924:H5925)</f>
        <v>154</v>
      </c>
      <c r="I5923" s="18"/>
      <c r="J5923" s="14" t="e">
        <f>SUM(J5924:J5925)</f>
        <v>#REF!</v>
      </c>
      <c r="K5923" s="14" t="e">
        <f>+Planning[[#This Row],[Horas Planificadas]]+Planning[[#This Row],[Horas ajustadas adicionales]]-Planning[[#This Row],[Horas utilizadas]]</f>
        <v>#REF!</v>
      </c>
      <c r="L5923" s="15" t="e">
        <f>SUM(L5924:L5925)</f>
        <v>#REF!</v>
      </c>
      <c r="M5923" s="15" t="e">
        <f>Planning[[#This Row],[Saldo]]-Planning[[#This Row],[Saldo estimado]]</f>
        <v>#REF!</v>
      </c>
      <c r="N5923" s="60" t="e">
        <f>+SUMIFS(#REF!,#REF!,Planning[[#This Row],[Proyectos]],#REF!,Planning[[#This Row],[Tipo de Tarea y especialidad]])+SUMIFS(#REF!,#REF!,Planning[[#This Row],[Proyectos Reiwa]],#REF!,Planning[[#This Row],[Tipo de Tarea y especialidad]])</f>
        <v>#REF!</v>
      </c>
      <c r="O5923" s="83">
        <f t="shared" si="185"/>
        <v>10</v>
      </c>
      <c r="P5923" s="83">
        <f t="shared" si="186"/>
        <v>2024</v>
      </c>
      <c r="Q5923" s="28" t="e">
        <f>SUM(Q5924:Q5925)</f>
        <v>#REF!</v>
      </c>
      <c r="R5923" s="14" t="str">
        <f>TEXT(Planning[[#This Row],[Mes]]*29,"mmmm")</f>
        <v>October</v>
      </c>
      <c r="S592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23" s="114" t="s">
        <v>1028</v>
      </c>
      <c r="U5923" s="45">
        <v>27</v>
      </c>
    </row>
    <row r="5924" spans="1:21" x14ac:dyDescent="0.2">
      <c r="A5924" s="9" t="s">
        <v>435</v>
      </c>
      <c r="B5924" s="9" t="s">
        <v>808</v>
      </c>
      <c r="C5924" s="130">
        <v>122755</v>
      </c>
      <c r="D5924" s="116" t="s">
        <v>940</v>
      </c>
      <c r="E5924" s="4"/>
      <c r="F5924" s="3" t="s">
        <v>120</v>
      </c>
      <c r="G5924" s="53">
        <v>100</v>
      </c>
      <c r="H5924" s="20">
        <v>100</v>
      </c>
      <c r="I5924" s="12"/>
      <c r="J5924" s="5" t="e">
        <f>SUM(SUMIFS(#REF!,#REF!,Planning[[#This Row],[Tipo de Tarea y especialidad]],#REF!,Planning[[#This Row],[Proyectos Reiwa]]),SUMIFS(#REF!,#REF!,Planning[[#This Row],[Tipo de Tarea y especialidad]],#REF!,Planning[[#This Row],[Proyectos]]))</f>
        <v>#REF!</v>
      </c>
      <c r="K5924" s="5" t="e">
        <f>+Planning[[#This Row],[Horas Planificadas]]+Planning[[#This Row],[Horas ajustadas adicionales]]-Planning[[#This Row],[Horas utilizadas]]</f>
        <v>#REF!</v>
      </c>
      <c r="L5924" s="7" t="e">
        <f>Planning[[#This Row],[Saldo]]</f>
        <v>#REF!</v>
      </c>
      <c r="M5924" s="83" t="e">
        <f>Planning[[#This Row],[Saldo]]-Planning[[#This Row],[Saldo estimado]]</f>
        <v>#REF!</v>
      </c>
      <c r="N5924" s="60" t="e">
        <f>+SUMIFS(#REF!,#REF!,Planning[[#This Row],[Proyectos]],#REF!,Planning[[#This Row],[Tipo de Tarea y especialidad]])+SUMIFS(#REF!,#REF!,Planning[[#This Row],[Proyectos Reiwa]],#REF!,Planning[[#This Row],[Tipo de Tarea y especialidad]])</f>
        <v>#REF!</v>
      </c>
      <c r="O5924" s="83">
        <f t="shared" si="185"/>
        <v>10</v>
      </c>
      <c r="P5924" s="83">
        <f t="shared" si="186"/>
        <v>2024</v>
      </c>
      <c r="Q59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24" s="34" t="str">
        <f>TEXT(Planning[[#This Row],[Mes]]*29,"mmmm")</f>
        <v>October</v>
      </c>
      <c r="S592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24" s="102"/>
      <c r="U5924" s="45">
        <v>18</v>
      </c>
    </row>
    <row r="5925" spans="1:21" x14ac:dyDescent="0.2">
      <c r="A5925" s="9" t="s">
        <v>435</v>
      </c>
      <c r="B5925" s="9" t="s">
        <v>808</v>
      </c>
      <c r="C5925" s="3">
        <v>122755</v>
      </c>
      <c r="D5925" s="116" t="s">
        <v>1015</v>
      </c>
      <c r="E5925" s="4"/>
      <c r="F5925" s="3" t="s">
        <v>121</v>
      </c>
      <c r="G5925" s="53">
        <v>54</v>
      </c>
      <c r="H5925" s="20">
        <v>54</v>
      </c>
      <c r="I5925" s="12"/>
      <c r="J5925" s="5" t="e">
        <f>SUM(SUMIFS(#REF!,#REF!,Planning[[#This Row],[Tipo de Tarea y especialidad]],#REF!,Planning[[#This Row],[Proyectos Reiwa]]),SUMIFS(#REF!,#REF!,Planning[[#This Row],[Tipo de Tarea y especialidad]],#REF!,Planning[[#This Row],[Proyectos]]))</f>
        <v>#REF!</v>
      </c>
      <c r="K5925" s="5" t="e">
        <f>+Planning[[#This Row],[Horas Planificadas]]+Planning[[#This Row],[Horas ajustadas adicionales]]-Planning[[#This Row],[Horas utilizadas]]</f>
        <v>#REF!</v>
      </c>
      <c r="L5925" s="7" t="e">
        <f>Planning[[#This Row],[Saldo]]</f>
        <v>#REF!</v>
      </c>
      <c r="M5925" s="83" t="e">
        <f>Planning[[#This Row],[Saldo]]-Planning[[#This Row],[Saldo estimado]]</f>
        <v>#REF!</v>
      </c>
      <c r="N5925" s="60" t="e">
        <f>+SUMIFS(#REF!,#REF!,Planning[[#This Row],[Proyectos]],#REF!,Planning[[#This Row],[Tipo de Tarea y especialidad]])+SUMIFS(#REF!,#REF!,Planning[[#This Row],[Proyectos Reiwa]],#REF!,Planning[[#This Row],[Tipo de Tarea y especialidad]])</f>
        <v>#REF!</v>
      </c>
      <c r="O5925" s="83">
        <f t="shared" si="185"/>
        <v>10</v>
      </c>
      <c r="P5925" s="83">
        <f t="shared" si="186"/>
        <v>2024</v>
      </c>
      <c r="Q59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25" s="34" t="str">
        <f>TEXT(Planning[[#This Row],[Mes]]*29,"mmmm")</f>
        <v>October</v>
      </c>
      <c r="S592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25" s="102" t="s">
        <v>1029</v>
      </c>
    </row>
    <row r="5926" spans="1:21" x14ac:dyDescent="0.2">
      <c r="A5926" s="9" t="s">
        <v>435</v>
      </c>
      <c r="B5926" s="9" t="s">
        <v>808</v>
      </c>
      <c r="C5926" s="130">
        <v>122755</v>
      </c>
      <c r="D5926" s="116" t="s">
        <v>940</v>
      </c>
      <c r="E5926" s="4" t="s">
        <v>30</v>
      </c>
      <c r="F5926" s="3"/>
      <c r="G5926" s="53">
        <v>428</v>
      </c>
      <c r="H5926" s="14">
        <f>SUM(H5927:H5933)</f>
        <v>478</v>
      </c>
      <c r="I5926" s="18"/>
      <c r="J5926" s="14" t="e">
        <f>SUM(J5927:J5933)</f>
        <v>#REF!</v>
      </c>
      <c r="K5926" s="14" t="e">
        <f>+Planning[[#This Row],[Horas Planificadas]]+Planning[[#This Row],[Horas ajustadas adicionales]]-Planning[[#This Row],[Horas utilizadas]]</f>
        <v>#REF!</v>
      </c>
      <c r="L5926" s="15" t="e">
        <f>SUM(L5927:L5933)</f>
        <v>#REF!</v>
      </c>
      <c r="M5926" s="15" t="e">
        <f>Planning[[#This Row],[Saldo]]-Planning[[#This Row],[Saldo estimado]]</f>
        <v>#REF!</v>
      </c>
      <c r="N5926" s="60" t="e">
        <f>+SUMIFS(#REF!,#REF!,Planning[[#This Row],[Proyectos]],#REF!,Planning[[#This Row],[Tipo de Tarea y especialidad]])+SUMIFS(#REF!,#REF!,Planning[[#This Row],[Proyectos Reiwa]],#REF!,Planning[[#This Row],[Tipo de Tarea y especialidad]])</f>
        <v>#REF!</v>
      </c>
      <c r="O5926" s="83">
        <f t="shared" si="185"/>
        <v>10</v>
      </c>
      <c r="P5926" s="83">
        <f t="shared" si="186"/>
        <v>2024</v>
      </c>
      <c r="Q5926" s="16" t="e">
        <f>SUM(Q5927:Q5933)</f>
        <v>#REF!</v>
      </c>
      <c r="R5926" s="35" t="str">
        <f>TEXT(Planning[[#This Row],[Mes]]*29,"mmmm")</f>
        <v>October</v>
      </c>
      <c r="S592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26" s="102" t="s">
        <v>1030</v>
      </c>
      <c r="U5926" s="45">
        <v>20</v>
      </c>
    </row>
    <row r="5927" spans="1:21" x14ac:dyDescent="0.2">
      <c r="A5927" s="9" t="s">
        <v>435</v>
      </c>
      <c r="B5927" s="9" t="s">
        <v>808</v>
      </c>
      <c r="C5927" s="3">
        <v>122755</v>
      </c>
      <c r="D5927" s="116" t="s">
        <v>1015</v>
      </c>
      <c r="E5927" s="4"/>
      <c r="F5927" s="3" t="s">
        <v>122</v>
      </c>
      <c r="G5927" s="53"/>
      <c r="H5927" s="20">
        <v>0</v>
      </c>
      <c r="I5927" s="12"/>
      <c r="J5927" s="5" t="e">
        <f>SUM(SUMIFS(#REF!,#REF!,Planning[[#This Row],[Tipo de Tarea y especialidad]],#REF!,Planning[[#This Row],[Proyectos Reiwa]]),SUMIFS(#REF!,#REF!,Planning[[#This Row],[Tipo de Tarea y especialidad]],#REF!,Planning[[#This Row],[Proyectos]]))</f>
        <v>#REF!</v>
      </c>
      <c r="K5927" s="5" t="e">
        <f>+Planning[[#This Row],[Horas Planificadas]]+Planning[[#This Row],[Horas ajustadas adicionales]]-Planning[[#This Row],[Horas utilizadas]]</f>
        <v>#REF!</v>
      </c>
      <c r="L5927" s="7" t="e">
        <f>Planning[[#This Row],[Saldo]]</f>
        <v>#REF!</v>
      </c>
      <c r="M5927" s="83" t="e">
        <f>Planning[[#This Row],[Saldo]]-Planning[[#This Row],[Saldo estimado]]</f>
        <v>#REF!</v>
      </c>
      <c r="N5927" s="60" t="e">
        <f>+SUMIFS(#REF!,#REF!,Planning[[#This Row],[Proyectos]],#REF!,Planning[[#This Row],[Tipo de Tarea y especialidad]])+SUMIFS(#REF!,#REF!,Planning[[#This Row],[Proyectos Reiwa]],#REF!,Planning[[#This Row],[Tipo de Tarea y especialidad]])</f>
        <v>#REF!</v>
      </c>
      <c r="O5927" s="83">
        <f t="shared" si="185"/>
        <v>10</v>
      </c>
      <c r="P5927" s="83">
        <f t="shared" si="186"/>
        <v>2024</v>
      </c>
      <c r="Q59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27" s="34" t="str">
        <f>TEXT(Planning[[#This Row],[Mes]]*29,"mmmm")</f>
        <v>October</v>
      </c>
      <c r="S592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27" s="102"/>
    </row>
    <row r="5928" spans="1:21" x14ac:dyDescent="0.2">
      <c r="A5928" s="9" t="s">
        <v>435</v>
      </c>
      <c r="B5928" s="9" t="s">
        <v>808</v>
      </c>
      <c r="C5928" s="130">
        <v>122755</v>
      </c>
      <c r="D5928" s="116" t="s">
        <v>940</v>
      </c>
      <c r="E5928" s="4"/>
      <c r="F5928" s="3" t="s">
        <v>123</v>
      </c>
      <c r="G5928" s="53"/>
      <c r="H5928" s="20">
        <v>0</v>
      </c>
      <c r="I5928" s="12"/>
      <c r="J5928" s="5" t="e">
        <f>SUM(SUMIFS(#REF!,#REF!,Planning[[#This Row],[Tipo de Tarea y especialidad]],#REF!,Planning[[#This Row],[Proyectos Reiwa]]),SUMIFS(#REF!,#REF!,Planning[[#This Row],[Tipo de Tarea y especialidad]],#REF!,Planning[[#This Row],[Proyectos]]))</f>
        <v>#REF!</v>
      </c>
      <c r="K5928" s="5" t="e">
        <f>+Planning[[#This Row],[Horas Planificadas]]+Planning[[#This Row],[Horas ajustadas adicionales]]-Planning[[#This Row],[Horas utilizadas]]</f>
        <v>#REF!</v>
      </c>
      <c r="L5928" s="7" t="e">
        <f>Planning[[#This Row],[Saldo]]</f>
        <v>#REF!</v>
      </c>
      <c r="M5928" s="83" t="e">
        <f>Planning[[#This Row],[Saldo]]-Planning[[#This Row],[Saldo estimado]]</f>
        <v>#REF!</v>
      </c>
      <c r="N5928" s="60" t="e">
        <f>+SUMIFS(#REF!,#REF!,Planning[[#This Row],[Proyectos]],#REF!,Planning[[#This Row],[Tipo de Tarea y especialidad]])+SUMIFS(#REF!,#REF!,Planning[[#This Row],[Proyectos Reiwa]],#REF!,Planning[[#This Row],[Tipo de Tarea y especialidad]])</f>
        <v>#REF!</v>
      </c>
      <c r="O5928" s="83">
        <f t="shared" si="185"/>
        <v>10</v>
      </c>
      <c r="P5928" s="83">
        <f t="shared" si="186"/>
        <v>2024</v>
      </c>
      <c r="Q59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28" s="34" t="str">
        <f>TEXT(Planning[[#This Row],[Mes]]*29,"mmmm")</f>
        <v>October</v>
      </c>
      <c r="S592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28" s="102"/>
    </row>
    <row r="5929" spans="1:21" x14ac:dyDescent="0.2">
      <c r="A5929" s="9" t="s">
        <v>435</v>
      </c>
      <c r="B5929" s="9" t="s">
        <v>808</v>
      </c>
      <c r="C5929" s="3">
        <v>122755</v>
      </c>
      <c r="D5929" s="116" t="s">
        <v>940</v>
      </c>
      <c r="E5929" s="4"/>
      <c r="F5929" s="3" t="s">
        <v>124</v>
      </c>
      <c r="G5929" s="53">
        <v>320</v>
      </c>
      <c r="H5929" s="20">
        <v>320</v>
      </c>
      <c r="I5929" s="12"/>
      <c r="J5929" s="5" t="e">
        <f>SUM(SUMIFS(#REF!,#REF!,Planning[[#This Row],[Tipo de Tarea y especialidad]],#REF!,Planning[[#This Row],[Proyectos Reiwa]]),SUMIFS(#REF!,#REF!,Planning[[#This Row],[Tipo de Tarea y especialidad]],#REF!,Planning[[#This Row],[Proyectos]]))</f>
        <v>#REF!</v>
      </c>
      <c r="K5929" s="5" t="e">
        <f>+Planning[[#This Row],[Horas Planificadas]]+Planning[[#This Row],[Horas ajustadas adicionales]]-Planning[[#This Row],[Horas utilizadas]]</f>
        <v>#REF!</v>
      </c>
      <c r="L5929" s="7" t="e">
        <f>Planning[[#This Row],[Saldo]]</f>
        <v>#REF!</v>
      </c>
      <c r="M5929" s="83" t="e">
        <f>Planning[[#This Row],[Saldo]]-Planning[[#This Row],[Saldo estimado]]</f>
        <v>#REF!</v>
      </c>
      <c r="N5929" s="60" t="e">
        <f>+SUMIFS(#REF!,#REF!,Planning[[#This Row],[Proyectos]],#REF!,Planning[[#This Row],[Tipo de Tarea y especialidad]])+SUMIFS(#REF!,#REF!,Planning[[#This Row],[Proyectos Reiwa]],#REF!,Planning[[#This Row],[Tipo de Tarea y especialidad]])</f>
        <v>#REF!</v>
      </c>
      <c r="O5929" s="83">
        <f t="shared" si="185"/>
        <v>10</v>
      </c>
      <c r="P5929" s="83">
        <f t="shared" si="186"/>
        <v>2024</v>
      </c>
      <c r="Q59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29" s="34" t="str">
        <f>TEXT(Planning[[#This Row],[Mes]]*29,"mmmm")</f>
        <v>October</v>
      </c>
      <c r="S592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29" s="102"/>
      <c r="U5929" s="45">
        <v>2</v>
      </c>
    </row>
    <row r="5930" spans="1:21" x14ac:dyDescent="0.2">
      <c r="A5930" s="9" t="s">
        <v>435</v>
      </c>
      <c r="B5930" s="9" t="s">
        <v>808</v>
      </c>
      <c r="C5930" s="130">
        <v>122755</v>
      </c>
      <c r="D5930" s="116" t="s">
        <v>940</v>
      </c>
      <c r="E5930" s="4"/>
      <c r="F5930" s="3" t="s">
        <v>125</v>
      </c>
      <c r="G5930" s="53">
        <v>0</v>
      </c>
      <c r="H5930" s="20">
        <v>50</v>
      </c>
      <c r="I5930" s="12"/>
      <c r="J5930" s="5" t="e">
        <f>SUM(SUMIFS(#REF!,#REF!,Planning[[#This Row],[Tipo de Tarea y especialidad]],#REF!,Planning[[#This Row],[Proyectos Reiwa]]),SUMIFS(#REF!,#REF!,Planning[[#This Row],[Tipo de Tarea y especialidad]],#REF!,Planning[[#This Row],[Proyectos]]))</f>
        <v>#REF!</v>
      </c>
      <c r="K5930" s="5" t="e">
        <f>+Planning[[#This Row],[Horas Planificadas]]+Planning[[#This Row],[Horas ajustadas adicionales]]-Planning[[#This Row],[Horas utilizadas]]</f>
        <v>#REF!</v>
      </c>
      <c r="L5930" s="7" t="e">
        <f>Planning[[#This Row],[Saldo]]</f>
        <v>#REF!</v>
      </c>
      <c r="M5930" s="83" t="e">
        <f>Planning[[#This Row],[Saldo]]-Planning[[#This Row],[Saldo estimado]]</f>
        <v>#REF!</v>
      </c>
      <c r="N5930" s="60" t="e">
        <f>+SUMIFS(#REF!,#REF!,Planning[[#This Row],[Proyectos]],#REF!,Planning[[#This Row],[Tipo de Tarea y especialidad]])+SUMIFS(#REF!,#REF!,Planning[[#This Row],[Proyectos Reiwa]],#REF!,Planning[[#This Row],[Tipo de Tarea y especialidad]])</f>
        <v>#REF!</v>
      </c>
      <c r="O5930" s="83">
        <f t="shared" si="185"/>
        <v>10</v>
      </c>
      <c r="P5930" s="83">
        <f t="shared" si="186"/>
        <v>2024</v>
      </c>
      <c r="Q593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30" s="34" t="str">
        <f>TEXT(Planning[[#This Row],[Mes]]*29,"mmmm")</f>
        <v>October</v>
      </c>
      <c r="S593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30" s="102"/>
    </row>
    <row r="5931" spans="1:21" x14ac:dyDescent="0.2">
      <c r="A5931" s="9" t="s">
        <v>435</v>
      </c>
      <c r="B5931" s="9" t="s">
        <v>808</v>
      </c>
      <c r="C5931" s="3">
        <v>122755</v>
      </c>
      <c r="D5931" s="116" t="s">
        <v>940</v>
      </c>
      <c r="E5931" s="4"/>
      <c r="F5931" s="3" t="s">
        <v>126</v>
      </c>
      <c r="G5931" s="53">
        <v>0</v>
      </c>
      <c r="H5931" s="20">
        <v>0</v>
      </c>
      <c r="I5931" s="12"/>
      <c r="J5931" s="5" t="e">
        <f>SUM(SUMIFS(#REF!,#REF!,Planning[[#This Row],[Tipo de Tarea y especialidad]],#REF!,Planning[[#This Row],[Proyectos Reiwa]]),SUMIFS(#REF!,#REF!,Planning[[#This Row],[Tipo de Tarea y especialidad]],#REF!,Planning[[#This Row],[Proyectos]]))</f>
        <v>#REF!</v>
      </c>
      <c r="K5931" s="5" t="e">
        <f>+Planning[[#This Row],[Horas Planificadas]]+Planning[[#This Row],[Horas ajustadas adicionales]]-Planning[[#This Row],[Horas utilizadas]]</f>
        <v>#REF!</v>
      </c>
      <c r="L5931" s="7" t="e">
        <f>Planning[[#This Row],[Saldo]]</f>
        <v>#REF!</v>
      </c>
      <c r="M5931" s="83" t="e">
        <f>Planning[[#This Row],[Saldo]]-Planning[[#This Row],[Saldo estimado]]</f>
        <v>#REF!</v>
      </c>
      <c r="N5931" s="60" t="e">
        <f>+SUMIFS(#REF!,#REF!,Planning[[#This Row],[Proyectos]],#REF!,Planning[[#This Row],[Tipo de Tarea y especialidad]])+SUMIFS(#REF!,#REF!,Planning[[#This Row],[Proyectos Reiwa]],#REF!,Planning[[#This Row],[Tipo de Tarea y especialidad]])</f>
        <v>#REF!</v>
      </c>
      <c r="O5931" s="83">
        <f t="shared" si="185"/>
        <v>10</v>
      </c>
      <c r="P5931" s="83">
        <f t="shared" si="186"/>
        <v>2024</v>
      </c>
      <c r="Q593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31" s="34" t="str">
        <f>TEXT(Planning[[#This Row],[Mes]]*29,"mmmm")</f>
        <v>October</v>
      </c>
      <c r="S593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31" s="102"/>
      <c r="U5931" s="45">
        <v>18</v>
      </c>
    </row>
    <row r="5932" spans="1:21" x14ac:dyDescent="0.2">
      <c r="A5932" s="9" t="s">
        <v>435</v>
      </c>
      <c r="B5932" s="9" t="s">
        <v>808</v>
      </c>
      <c r="C5932" s="130">
        <v>122755</v>
      </c>
      <c r="D5932" s="116" t="s">
        <v>940</v>
      </c>
      <c r="E5932" s="4"/>
      <c r="F5932" s="3" t="s">
        <v>127</v>
      </c>
      <c r="G5932" s="53"/>
      <c r="H5932" s="20">
        <v>0</v>
      </c>
      <c r="I5932" s="12"/>
      <c r="J5932" s="5" t="e">
        <f>SUM(SUMIFS(#REF!,#REF!,Planning[[#This Row],[Tipo de Tarea y especialidad]],#REF!,Planning[[#This Row],[Proyectos Reiwa]]),SUMIFS(#REF!,#REF!,Planning[[#This Row],[Tipo de Tarea y especialidad]],#REF!,Planning[[#This Row],[Proyectos]]))</f>
        <v>#REF!</v>
      </c>
      <c r="K5932" s="5" t="e">
        <f>+Planning[[#This Row],[Horas Planificadas]]+Planning[[#This Row],[Horas ajustadas adicionales]]-Planning[[#This Row],[Horas utilizadas]]</f>
        <v>#REF!</v>
      </c>
      <c r="L5932" s="7" t="e">
        <f>Planning[[#This Row],[Saldo]]</f>
        <v>#REF!</v>
      </c>
      <c r="M5932" s="83" t="e">
        <f>Planning[[#This Row],[Saldo]]-Planning[[#This Row],[Saldo estimado]]</f>
        <v>#REF!</v>
      </c>
      <c r="N5932" s="60" t="e">
        <f>+SUMIFS(#REF!,#REF!,Planning[[#This Row],[Proyectos]],#REF!,Planning[[#This Row],[Tipo de Tarea y especialidad]])+SUMIFS(#REF!,#REF!,Planning[[#This Row],[Proyectos Reiwa]],#REF!,Planning[[#This Row],[Tipo de Tarea y especialidad]])</f>
        <v>#REF!</v>
      </c>
      <c r="O5932" s="83">
        <f t="shared" si="185"/>
        <v>10</v>
      </c>
      <c r="P5932" s="83">
        <f t="shared" si="186"/>
        <v>2024</v>
      </c>
      <c r="Q59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32" s="34" t="str">
        <f>TEXT(Planning[[#This Row],[Mes]]*29,"mmmm")</f>
        <v>October</v>
      </c>
      <c r="S593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32" s="102"/>
    </row>
    <row r="5933" spans="1:21" x14ac:dyDescent="0.2">
      <c r="A5933" s="9" t="s">
        <v>435</v>
      </c>
      <c r="B5933" s="9" t="s">
        <v>808</v>
      </c>
      <c r="C5933" s="3">
        <v>122755</v>
      </c>
      <c r="D5933" s="116" t="s">
        <v>940</v>
      </c>
      <c r="E5933" s="4"/>
      <c r="F5933" s="3" t="s">
        <v>128</v>
      </c>
      <c r="G5933" s="53">
        <v>108</v>
      </c>
      <c r="H5933" s="20">
        <v>108</v>
      </c>
      <c r="I5933" s="12"/>
      <c r="J5933" s="5" t="e">
        <f>SUM(SUMIFS(#REF!,#REF!,Planning[[#This Row],[Tipo de Tarea y especialidad]],#REF!,Planning[[#This Row],[Proyectos Reiwa]]),SUMIFS(#REF!,#REF!,Planning[[#This Row],[Tipo de Tarea y especialidad]],#REF!,Planning[[#This Row],[Proyectos]]))</f>
        <v>#REF!</v>
      </c>
      <c r="K5933" s="5" t="e">
        <f>+Planning[[#This Row],[Horas Planificadas]]+Planning[[#This Row],[Horas ajustadas adicionales]]-Planning[[#This Row],[Horas utilizadas]]</f>
        <v>#REF!</v>
      </c>
      <c r="L5933" s="7" t="e">
        <f>Planning[[#This Row],[Saldo]]</f>
        <v>#REF!</v>
      </c>
      <c r="M5933" s="83" t="e">
        <f>Planning[[#This Row],[Saldo]]-Planning[[#This Row],[Saldo estimado]]</f>
        <v>#REF!</v>
      </c>
      <c r="N5933" s="60" t="e">
        <f>+SUMIFS(#REF!,#REF!,Planning[[#This Row],[Proyectos]],#REF!,Planning[[#This Row],[Tipo de Tarea y especialidad]])+SUMIFS(#REF!,#REF!,Planning[[#This Row],[Proyectos Reiwa]],#REF!,Planning[[#This Row],[Tipo de Tarea y especialidad]])</f>
        <v>#REF!</v>
      </c>
      <c r="O5933" s="83">
        <f t="shared" si="185"/>
        <v>10</v>
      </c>
      <c r="P5933" s="83">
        <f t="shared" si="186"/>
        <v>2024</v>
      </c>
      <c r="Q59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33" s="34" t="str">
        <f>TEXT(Planning[[#This Row],[Mes]]*29,"mmmm")</f>
        <v>October</v>
      </c>
      <c r="S593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33" s="102"/>
    </row>
    <row r="5934" spans="1:21" x14ac:dyDescent="0.2">
      <c r="A5934" s="9" t="s">
        <v>435</v>
      </c>
      <c r="B5934" s="9" t="s">
        <v>808</v>
      </c>
      <c r="C5934" s="130">
        <v>122755</v>
      </c>
      <c r="D5934" s="116" t="s">
        <v>940</v>
      </c>
      <c r="E5934" s="4" t="s">
        <v>31</v>
      </c>
      <c r="F5934" s="3" t="s">
        <v>31</v>
      </c>
      <c r="G5934" s="53">
        <v>100</v>
      </c>
      <c r="H5934" s="92">
        <v>100</v>
      </c>
      <c r="I5934" s="18"/>
      <c r="J5934" s="14" t="e">
        <f>+SUMIFS(#REF!,#REF!,Planning[[#This Row],[Tarifa]],#REF!,Planning[[#This Row],[Proyectos]])</f>
        <v>#REF!</v>
      </c>
      <c r="K5934" s="14" t="e">
        <f>+Planning[[#This Row],[Horas Planificadas]]+Planning[[#This Row],[Horas ajustadas adicionales]]-Planning[[#This Row],[Horas utilizadas]]</f>
        <v>#REF!</v>
      </c>
      <c r="L5934" s="15" t="e">
        <f>Planning[[#This Row],[Saldo]]</f>
        <v>#REF!</v>
      </c>
      <c r="M5934" s="15" t="e">
        <f>Planning[[#This Row],[Saldo]]-Planning[[#This Row],[Saldo estimado]]</f>
        <v>#REF!</v>
      </c>
      <c r="N5934" s="60" t="e">
        <f>+SUMIFS(#REF!,#REF!,Planning[[#This Row],[Proyectos]],#REF!,Planning[[#This Row],[Tipo de Tarea y especialidad]])+SUMIFS(#REF!,#REF!,Planning[[#This Row],[Proyectos Reiwa]],#REF!,Planning[[#This Row],[Tipo de Tarea y especialidad]])</f>
        <v>#REF!</v>
      </c>
      <c r="O5934" s="83">
        <f t="shared" si="185"/>
        <v>10</v>
      </c>
      <c r="P5934" s="83">
        <f t="shared" si="186"/>
        <v>2024</v>
      </c>
      <c r="Q5934" s="16" t="e">
        <f>+SUMIFS(#REF!,#REF!,Planning[[#This Row],[Tarifa]],#REF!,Planning[[#This Row],[Proyectos]],#REF!,Planning[[#This Row],[Mes]],#REF!,Planning[[#This Row],[Año]])</f>
        <v>#REF!</v>
      </c>
      <c r="R5934" s="35" t="str">
        <f>TEXT(Planning[[#This Row],[Mes]]*29,"mmmm")</f>
        <v>October</v>
      </c>
      <c r="S593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34" s="102"/>
    </row>
    <row r="5935" spans="1:21" ht="22.5" x14ac:dyDescent="0.2">
      <c r="A5935" s="9" t="s">
        <v>435</v>
      </c>
      <c r="B5935" s="9" t="s">
        <v>808</v>
      </c>
      <c r="C5935" s="3">
        <v>122755</v>
      </c>
      <c r="D5935" s="116" t="s">
        <v>940</v>
      </c>
      <c r="E5935" s="4" t="s">
        <v>32</v>
      </c>
      <c r="F5935" s="3"/>
      <c r="G5935" s="53"/>
      <c r="H5935" s="14">
        <f>SUM(H5936:H5938)</f>
        <v>290</v>
      </c>
      <c r="I5935" s="18"/>
      <c r="J5935" s="14" t="e">
        <f>SUM(J5936:J5938)</f>
        <v>#REF!</v>
      </c>
      <c r="K5935" s="14" t="e">
        <f>+Planning[[#This Row],[Horas Planificadas]]+Planning[[#This Row],[Horas ajustadas adicionales]]-Planning[[#This Row],[Horas utilizadas]]</f>
        <v>#REF!</v>
      </c>
      <c r="L5935" s="15" t="e">
        <f>SUM(L5936:L5938)</f>
        <v>#REF!</v>
      </c>
      <c r="M5935" s="15" t="e">
        <f>Planning[[#This Row],[Saldo]]-Planning[[#This Row],[Saldo estimado]]</f>
        <v>#REF!</v>
      </c>
      <c r="N5935" s="60" t="e">
        <f>+SUMIFS(#REF!,#REF!,Planning[[#This Row],[Proyectos]],#REF!,Planning[[#This Row],[Tipo de Tarea y especialidad]])+SUMIFS(#REF!,#REF!,Planning[[#This Row],[Proyectos Reiwa]],#REF!,Planning[[#This Row],[Tipo de Tarea y especialidad]])</f>
        <v>#REF!</v>
      </c>
      <c r="O5935" s="83">
        <f t="shared" si="185"/>
        <v>10</v>
      </c>
      <c r="P5935" s="83">
        <f t="shared" si="186"/>
        <v>2024</v>
      </c>
      <c r="Q5935" s="16" t="e">
        <f>SUM(Q5936:Q5938)</f>
        <v>#REF!</v>
      </c>
      <c r="R5935" s="35" t="str">
        <f>TEXT(Planning[[#This Row],[Mes]]*29,"mmmm")</f>
        <v>October</v>
      </c>
      <c r="S593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35" s="102"/>
    </row>
    <row r="5936" spans="1:21" x14ac:dyDescent="0.2">
      <c r="A5936" s="9" t="s">
        <v>435</v>
      </c>
      <c r="B5936" s="9" t="s">
        <v>808</v>
      </c>
      <c r="C5936" s="130">
        <v>122755</v>
      </c>
      <c r="D5936" s="116" t="s">
        <v>940</v>
      </c>
      <c r="E5936" s="4"/>
      <c r="F5936" s="3" t="s">
        <v>129</v>
      </c>
      <c r="G5936" s="53"/>
      <c r="H5936" s="20">
        <v>0</v>
      </c>
      <c r="I5936" s="12"/>
      <c r="J5936" s="5" t="e">
        <f>SUM(SUMIFS(#REF!,#REF!,Planning[[#This Row],[Tipo de Tarea y especialidad]],#REF!,Planning[[#This Row],[Proyectos Reiwa]]),SUMIFS(#REF!,#REF!,Planning[[#This Row],[Tipo de Tarea y especialidad]],#REF!,Planning[[#This Row],[Proyectos]]))</f>
        <v>#REF!</v>
      </c>
      <c r="K5936" s="5" t="e">
        <f>+Planning[[#This Row],[Horas Planificadas]]+Planning[[#This Row],[Horas ajustadas adicionales]]-Planning[[#This Row],[Horas utilizadas]]</f>
        <v>#REF!</v>
      </c>
      <c r="L5936" s="7" t="e">
        <f>Planning[[#This Row],[Saldo]]</f>
        <v>#REF!</v>
      </c>
      <c r="M5936" s="83" t="e">
        <f>Planning[[#This Row],[Saldo]]-Planning[[#This Row],[Saldo estimado]]</f>
        <v>#REF!</v>
      </c>
      <c r="N5936" s="60" t="e">
        <f>+SUMIFS(#REF!,#REF!,Planning[[#This Row],[Proyectos]],#REF!,Planning[[#This Row],[Tipo de Tarea y especialidad]])+SUMIFS(#REF!,#REF!,Planning[[#This Row],[Proyectos Reiwa]],#REF!,Planning[[#This Row],[Tipo de Tarea y especialidad]])</f>
        <v>#REF!</v>
      </c>
      <c r="O5936" s="83">
        <f t="shared" si="185"/>
        <v>10</v>
      </c>
      <c r="P5936" s="83">
        <f t="shared" si="186"/>
        <v>2024</v>
      </c>
      <c r="Q59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36" s="34" t="str">
        <f>TEXT(Planning[[#This Row],[Mes]]*29,"mmmm")</f>
        <v>October</v>
      </c>
      <c r="S593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36" s="102"/>
    </row>
    <row r="5937" spans="1:23" x14ac:dyDescent="0.2">
      <c r="A5937" s="9" t="s">
        <v>435</v>
      </c>
      <c r="B5937" s="9" t="s">
        <v>808</v>
      </c>
      <c r="C5937" s="3">
        <v>122755</v>
      </c>
      <c r="D5937" s="116" t="s">
        <v>940</v>
      </c>
      <c r="E5937" s="4"/>
      <c r="F5937" s="3" t="s">
        <v>130</v>
      </c>
      <c r="G5937" s="53"/>
      <c r="H5937" s="20">
        <v>0</v>
      </c>
      <c r="I5937" s="12"/>
      <c r="J5937" s="5" t="e">
        <f>SUM(SUMIFS(#REF!,#REF!,Planning[[#This Row],[Tipo de Tarea y especialidad]],#REF!,Planning[[#This Row],[Proyectos Reiwa]]),SUMIFS(#REF!,#REF!,Planning[[#This Row],[Tipo de Tarea y especialidad]],#REF!,Planning[[#This Row],[Proyectos]]))</f>
        <v>#REF!</v>
      </c>
      <c r="K5937" s="5" t="e">
        <f>+Planning[[#This Row],[Horas Planificadas]]+Planning[[#This Row],[Horas ajustadas adicionales]]-Planning[[#This Row],[Horas utilizadas]]</f>
        <v>#REF!</v>
      </c>
      <c r="L5937" s="7" t="e">
        <f>Planning[[#This Row],[Saldo]]</f>
        <v>#REF!</v>
      </c>
      <c r="M5937" s="83" t="e">
        <f>Planning[[#This Row],[Saldo]]-Planning[[#This Row],[Saldo estimado]]</f>
        <v>#REF!</v>
      </c>
      <c r="N5937" s="60" t="e">
        <f>+SUMIFS(#REF!,#REF!,Planning[[#This Row],[Proyectos]],#REF!,Planning[[#This Row],[Tipo de Tarea y especialidad]])+SUMIFS(#REF!,#REF!,Planning[[#This Row],[Proyectos Reiwa]],#REF!,Planning[[#This Row],[Tipo de Tarea y especialidad]])</f>
        <v>#REF!</v>
      </c>
      <c r="O5937" s="83">
        <f t="shared" si="185"/>
        <v>10</v>
      </c>
      <c r="P5937" s="83">
        <f t="shared" si="186"/>
        <v>2024</v>
      </c>
      <c r="Q59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37" s="34" t="str">
        <f>TEXT(Planning[[#This Row],[Mes]]*29,"mmmm")</f>
        <v>October</v>
      </c>
      <c r="S593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37" s="102"/>
    </row>
    <row r="5938" spans="1:23" x14ac:dyDescent="0.2">
      <c r="A5938" s="9" t="s">
        <v>435</v>
      </c>
      <c r="B5938" s="9" t="s">
        <v>808</v>
      </c>
      <c r="C5938" s="130">
        <v>122755</v>
      </c>
      <c r="D5938" s="116" t="s">
        <v>940</v>
      </c>
      <c r="E5938" s="4"/>
      <c r="F5938" s="3" t="s">
        <v>131</v>
      </c>
      <c r="G5938" s="53" t="s">
        <v>1031</v>
      </c>
      <c r="H5938" s="20">
        <f>230+60</f>
        <v>290</v>
      </c>
      <c r="I5938" s="12"/>
      <c r="J5938" s="5" t="e">
        <f>SUM(SUMIFS(#REF!,#REF!,Planning[[#This Row],[Tipo de Tarea y especialidad]],#REF!,Planning[[#This Row],[Proyectos Reiwa]]),SUMIFS(#REF!,#REF!,Planning[[#This Row],[Tipo de Tarea y especialidad]],#REF!,Planning[[#This Row],[Proyectos]]))</f>
        <v>#REF!</v>
      </c>
      <c r="K5938" s="5" t="e">
        <f>+Planning[[#This Row],[Horas Planificadas]]+Planning[[#This Row],[Horas ajustadas adicionales]]-Planning[[#This Row],[Horas utilizadas]]</f>
        <v>#REF!</v>
      </c>
      <c r="L5938" s="7" t="e">
        <f>Planning[[#This Row],[Saldo]]</f>
        <v>#REF!</v>
      </c>
      <c r="M5938" s="19" t="e">
        <f>Planning[[#This Row],[Saldo]]-Planning[[#This Row],[Saldo estimado]]</f>
        <v>#REF!</v>
      </c>
      <c r="N5938" s="60" t="e">
        <f>+SUMIFS(#REF!,#REF!,Planning[[#This Row],[Proyectos]],#REF!,Planning[[#This Row],[Tipo de Tarea y especialidad]])+SUMIFS(#REF!,#REF!,Planning[[#This Row],[Proyectos Reiwa]],#REF!,Planning[[#This Row],[Tipo de Tarea y especialidad]])</f>
        <v>#REF!</v>
      </c>
      <c r="O5938" s="34">
        <f t="shared" si="185"/>
        <v>10</v>
      </c>
      <c r="P5938" s="34">
        <f t="shared" si="186"/>
        <v>2024</v>
      </c>
      <c r="Q593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38" s="34" t="str">
        <f>TEXT(Planning[[#This Row],[Mes]]*29,"mmmm")</f>
        <v>October</v>
      </c>
      <c r="S593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38" s="103"/>
    </row>
    <row r="5939" spans="1:23" ht="13.35" customHeight="1" x14ac:dyDescent="0.2">
      <c r="A5939" s="7" t="s">
        <v>626</v>
      </c>
      <c r="B5939" s="7" t="s">
        <v>779</v>
      </c>
      <c r="C5939" s="3">
        <v>122825</v>
      </c>
      <c r="D5939" s="3"/>
      <c r="E5939" s="4" t="s">
        <v>28</v>
      </c>
      <c r="F5939" s="3"/>
      <c r="G5939" s="53">
        <v>0</v>
      </c>
      <c r="H5939" s="85">
        <v>0</v>
      </c>
      <c r="I5939" s="86"/>
      <c r="J5939" s="14" t="e">
        <f>SUM(J5940:J5941)</f>
        <v>#REF!</v>
      </c>
      <c r="K5939" s="14" t="e">
        <f>+Planning[[#This Row],[Horas Planificadas]]+Planning[[#This Row],[Horas ajustadas adicionales]]-Planning[[#This Row],[Horas utilizadas]]</f>
        <v>#REF!</v>
      </c>
      <c r="L5939" s="15" t="e">
        <f>SUM(L5940:L5941)</f>
        <v>#REF!</v>
      </c>
      <c r="M5939" s="88" t="e">
        <f>Planning[[#This Row],[Saldo]]-Planning[[#This Row],[Saldo estimado]]</f>
        <v>#REF!</v>
      </c>
      <c r="N5939" s="60" t="e">
        <f>+SUMIFS(#REF!,#REF!,Planning[[#This Row],[Proyectos]],#REF!,Planning[[#This Row],[Tipo de Tarea y especialidad]])+SUMIFS(#REF!,#REF!,Planning[[#This Row],[Proyectos Reiwa]],#REF!,Planning[[#This Row],[Tipo de Tarea y especialidad]])</f>
        <v>#REF!</v>
      </c>
      <c r="O5939" s="86">
        <f t="shared" ref="O5939:O5970" si="187">$L$4</f>
        <v>10</v>
      </c>
      <c r="P5939" s="86">
        <f t="shared" ref="P5939:P5970" si="188">$M$4</f>
        <v>2024</v>
      </c>
      <c r="Q5939" s="28" t="e">
        <f>SUM(Q5940:Q5941)</f>
        <v>#REF!</v>
      </c>
      <c r="R5939" s="26" t="str">
        <f>TEXT(Planning[[#This Row],[Mes]]*29,"mmmm")</f>
        <v>October</v>
      </c>
      <c r="S5939" s="147"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39" s="162" t="s">
        <v>1032</v>
      </c>
      <c r="U5939"/>
      <c r="V5939" s="115"/>
      <c r="W5939" s="115"/>
    </row>
    <row r="5940" spans="1:23" ht="13.35" customHeight="1" x14ac:dyDescent="0.2">
      <c r="A5940" s="9" t="s">
        <v>626</v>
      </c>
      <c r="B5940" s="9" t="s">
        <v>779</v>
      </c>
      <c r="C5940" s="120">
        <v>122825</v>
      </c>
      <c r="D5940" s="3"/>
      <c r="E5940" s="4"/>
      <c r="F5940" s="3" t="s">
        <v>120</v>
      </c>
      <c r="G5940" s="53">
        <v>0</v>
      </c>
      <c r="H5940" s="20">
        <v>0</v>
      </c>
      <c r="I5940" s="12"/>
      <c r="J5940" s="5" t="e">
        <f>SUM(SUMIFS(#REF!,#REF!,Planning[[#This Row],[Tipo de Tarea y especialidad]],#REF!,Planning[[#This Row],[Proyectos Reiwa]]),SUMIFS(#REF!,#REF!,Planning[[#This Row],[Tipo de Tarea y especialidad]],#REF!,Planning[[#This Row],[Proyectos]]))</f>
        <v>#REF!</v>
      </c>
      <c r="K5940" s="5" t="e">
        <f>+Planning[[#This Row],[Horas Planificadas]]+Planning[[#This Row],[Horas ajustadas adicionales]]-Planning[[#This Row],[Horas utilizadas]]</f>
        <v>#REF!</v>
      </c>
      <c r="L5940" s="7" t="e">
        <f>Planning[[#This Row],[Saldo]]</f>
        <v>#REF!</v>
      </c>
      <c r="M5940" s="19" t="e">
        <f>Planning[[#This Row],[Saldo]]-Planning[[#This Row],[Saldo estimado]]</f>
        <v>#REF!</v>
      </c>
      <c r="N5940" s="60" t="e">
        <f>+SUMIFS(#REF!,#REF!,Planning[[#This Row],[Proyectos]],#REF!,Planning[[#This Row],[Tipo de Tarea y especialidad]])+SUMIFS(#REF!,#REF!,Planning[[#This Row],[Proyectos Reiwa]],#REF!,Planning[[#This Row],[Tipo de Tarea y especialidad]])</f>
        <v>#REF!</v>
      </c>
      <c r="O5940" s="34">
        <f t="shared" si="187"/>
        <v>10</v>
      </c>
      <c r="P5940" s="34">
        <f t="shared" si="188"/>
        <v>2024</v>
      </c>
      <c r="Q59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40" s="34" t="str">
        <f>TEXT(Planning[[#This Row],[Mes]]*29,"mmmm")</f>
        <v>October</v>
      </c>
      <c r="S594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40" s="154"/>
      <c r="U5940" s="1" t="s">
        <v>1033</v>
      </c>
      <c r="V5940" s="115"/>
      <c r="W5940" s="115"/>
    </row>
    <row r="5941" spans="1:23" ht="13.35" customHeight="1" x14ac:dyDescent="0.2">
      <c r="A5941" s="9" t="s">
        <v>626</v>
      </c>
      <c r="B5941" s="9" t="s">
        <v>779</v>
      </c>
      <c r="C5941" s="120">
        <v>122825</v>
      </c>
      <c r="D5941" s="3"/>
      <c r="E5941" s="4"/>
      <c r="F5941" s="3" t="s">
        <v>121</v>
      </c>
      <c r="G5941" s="53">
        <v>0</v>
      </c>
      <c r="H5941" s="20">
        <v>0</v>
      </c>
      <c r="I5941" s="12"/>
      <c r="J5941" s="5" t="e">
        <f>SUM(SUMIFS(#REF!,#REF!,Planning[[#This Row],[Tipo de Tarea y especialidad]],#REF!,Planning[[#This Row],[Proyectos Reiwa]]),SUMIFS(#REF!,#REF!,Planning[[#This Row],[Tipo de Tarea y especialidad]],#REF!,Planning[[#This Row],[Proyectos]]))</f>
        <v>#REF!</v>
      </c>
      <c r="K5941" s="5" t="e">
        <f>+Planning[[#This Row],[Horas Planificadas]]+Planning[[#This Row],[Horas ajustadas adicionales]]-Planning[[#This Row],[Horas utilizadas]]</f>
        <v>#REF!</v>
      </c>
      <c r="L5941" s="7" t="e">
        <f>Planning[[#This Row],[Saldo]]</f>
        <v>#REF!</v>
      </c>
      <c r="M5941" s="19" t="e">
        <f>Planning[[#This Row],[Saldo]]-Planning[[#This Row],[Saldo estimado]]</f>
        <v>#REF!</v>
      </c>
      <c r="N5941" s="60" t="e">
        <f>+SUMIFS(#REF!,#REF!,Planning[[#This Row],[Proyectos]],#REF!,Planning[[#This Row],[Tipo de Tarea y especialidad]])+SUMIFS(#REF!,#REF!,Planning[[#This Row],[Proyectos Reiwa]],#REF!,Planning[[#This Row],[Tipo de Tarea y especialidad]])</f>
        <v>#REF!</v>
      </c>
      <c r="O5941" s="34">
        <f t="shared" si="187"/>
        <v>10</v>
      </c>
      <c r="P5941" s="34">
        <f t="shared" si="188"/>
        <v>2024</v>
      </c>
      <c r="Q59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41" s="34" t="str">
        <f>TEXT(Planning[[#This Row],[Mes]]*29,"mmmm")</f>
        <v>October</v>
      </c>
      <c r="S594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41" s="154"/>
      <c r="U5941" s="1" t="s">
        <v>1034</v>
      </c>
      <c r="V5941" s="115"/>
      <c r="W5941" s="115"/>
    </row>
    <row r="5942" spans="1:23" ht="13.35" customHeight="1" x14ac:dyDescent="0.2">
      <c r="A5942" s="9" t="s">
        <v>626</v>
      </c>
      <c r="B5942" s="9" t="s">
        <v>779</v>
      </c>
      <c r="C5942" s="120">
        <v>122825</v>
      </c>
      <c r="D5942" s="3"/>
      <c r="E5942" s="4" t="s">
        <v>30</v>
      </c>
      <c r="F5942" s="3"/>
      <c r="G5942" s="53">
        <f>G5943+G5944+G5945+G5946+G5947+G5948+G5949</f>
        <v>676</v>
      </c>
      <c r="H5942" s="85">
        <v>0</v>
      </c>
      <c r="I5942" s="86"/>
      <c r="J5942" s="14" t="e">
        <f>SUM(J5943:J5949)</f>
        <v>#REF!</v>
      </c>
      <c r="K5942" s="14" t="e">
        <f>+Planning[[#This Row],[Horas Planificadas]]+Planning[[#This Row],[Horas ajustadas adicionales]]-Planning[[#This Row],[Horas utilizadas]]</f>
        <v>#REF!</v>
      </c>
      <c r="L5942" s="15" t="e">
        <f>SUM(L5943:L5949)</f>
        <v>#REF!</v>
      </c>
      <c r="M5942" s="88" t="e">
        <f>Planning[[#This Row],[Saldo]]-Planning[[#This Row],[Saldo estimado]]</f>
        <v>#REF!</v>
      </c>
      <c r="N5942" s="60" t="e">
        <f>+SUMIFS(#REF!,#REF!,Planning[[#This Row],[Proyectos]],#REF!,Planning[[#This Row],[Tipo de Tarea y especialidad]])+SUMIFS(#REF!,#REF!,Planning[[#This Row],[Proyectos Reiwa]],#REF!,Planning[[#This Row],[Tipo de Tarea y especialidad]])</f>
        <v>#REF!</v>
      </c>
      <c r="O5942" s="86">
        <f t="shared" si="187"/>
        <v>10</v>
      </c>
      <c r="P5942" s="86">
        <f t="shared" si="188"/>
        <v>2024</v>
      </c>
      <c r="Q5942" s="16" t="e">
        <f>SUM(Q5943:Q5949)</f>
        <v>#REF!</v>
      </c>
      <c r="R5942" s="35" t="str">
        <f>TEXT(Planning[[#This Row],[Mes]]*29,"mmmm")</f>
        <v>October</v>
      </c>
      <c r="S594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42" s="154"/>
      <c r="U5942" s="1" t="s">
        <v>1035</v>
      </c>
      <c r="V5942" s="115"/>
      <c r="W5942" s="115"/>
    </row>
    <row r="5943" spans="1:23" ht="13.35" customHeight="1" x14ac:dyDescent="0.2">
      <c r="A5943" s="9" t="s">
        <v>626</v>
      </c>
      <c r="B5943" s="9" t="s">
        <v>779</v>
      </c>
      <c r="C5943" s="120">
        <v>122825</v>
      </c>
      <c r="D5943" s="3"/>
      <c r="E5943" s="4"/>
      <c r="F5943" s="3" t="s">
        <v>122</v>
      </c>
      <c r="G5943" s="53">
        <v>0</v>
      </c>
      <c r="H5943" s="20">
        <v>0</v>
      </c>
      <c r="I5943" s="12"/>
      <c r="J5943" s="5" t="e">
        <f>SUM(SUMIFS(#REF!,#REF!,Planning[[#This Row],[Tipo de Tarea y especialidad]],#REF!,Planning[[#This Row],[Proyectos Reiwa]]),SUMIFS(#REF!,#REF!,Planning[[#This Row],[Tipo de Tarea y especialidad]],#REF!,Planning[[#This Row],[Proyectos]]))</f>
        <v>#REF!</v>
      </c>
      <c r="K5943" s="5" t="e">
        <f>+Planning[[#This Row],[Horas Planificadas]]+Planning[[#This Row],[Horas ajustadas adicionales]]-Planning[[#This Row],[Horas utilizadas]]</f>
        <v>#REF!</v>
      </c>
      <c r="L5943" s="7" t="e">
        <f>Planning[[#This Row],[Saldo]]</f>
        <v>#REF!</v>
      </c>
      <c r="M5943" s="19" t="e">
        <f>Planning[[#This Row],[Saldo]]-Planning[[#This Row],[Saldo estimado]]</f>
        <v>#REF!</v>
      </c>
      <c r="N5943" s="60" t="e">
        <f>+SUMIFS(#REF!,#REF!,Planning[[#This Row],[Proyectos]],#REF!,Planning[[#This Row],[Tipo de Tarea y especialidad]])+SUMIFS(#REF!,#REF!,Planning[[#This Row],[Proyectos Reiwa]],#REF!,Planning[[#This Row],[Tipo de Tarea y especialidad]])</f>
        <v>#REF!</v>
      </c>
      <c r="O5943" s="34">
        <f t="shared" si="187"/>
        <v>10</v>
      </c>
      <c r="P5943" s="34">
        <f t="shared" si="188"/>
        <v>2024</v>
      </c>
      <c r="Q59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43" s="34" t="str">
        <f>TEXT(Planning[[#This Row],[Mes]]*29,"mmmm")</f>
        <v>October</v>
      </c>
      <c r="S594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43" s="154"/>
      <c r="U5943" s="1" t="s">
        <v>1036</v>
      </c>
      <c r="V5943" s="115"/>
      <c r="W5943" s="115"/>
    </row>
    <row r="5944" spans="1:23" ht="13.35" customHeight="1" x14ac:dyDescent="0.2">
      <c r="A5944" s="9" t="s">
        <v>626</v>
      </c>
      <c r="B5944" s="9" t="s">
        <v>779</v>
      </c>
      <c r="C5944" s="120">
        <v>122825</v>
      </c>
      <c r="D5944" s="3"/>
      <c r="E5944" s="4"/>
      <c r="F5944" s="3" t="s">
        <v>123</v>
      </c>
      <c r="G5944" s="53">
        <v>340</v>
      </c>
      <c r="H5944" s="20">
        <v>0</v>
      </c>
      <c r="I5944" s="12"/>
      <c r="J5944" s="5" t="e">
        <f>SUM(SUMIFS(#REF!,#REF!,Planning[[#This Row],[Tipo de Tarea y especialidad]],#REF!,Planning[[#This Row],[Proyectos Reiwa]]),SUMIFS(#REF!,#REF!,Planning[[#This Row],[Tipo de Tarea y especialidad]],#REF!,Planning[[#This Row],[Proyectos]]))</f>
        <v>#REF!</v>
      </c>
      <c r="K5944" s="5" t="e">
        <f>+Planning[[#This Row],[Horas Planificadas]]+Planning[[#This Row],[Horas ajustadas adicionales]]-Planning[[#This Row],[Horas utilizadas]]</f>
        <v>#REF!</v>
      </c>
      <c r="L5944" s="7" t="e">
        <f>Planning[[#This Row],[Saldo]]</f>
        <v>#REF!</v>
      </c>
      <c r="M5944" s="19" t="e">
        <f>Planning[[#This Row],[Saldo]]-Planning[[#This Row],[Saldo estimado]]</f>
        <v>#REF!</v>
      </c>
      <c r="N5944" s="60" t="e">
        <f>+SUMIFS(#REF!,#REF!,Planning[[#This Row],[Proyectos]],#REF!,Planning[[#This Row],[Tipo de Tarea y especialidad]])+SUMIFS(#REF!,#REF!,Planning[[#This Row],[Proyectos Reiwa]],#REF!,Planning[[#This Row],[Tipo de Tarea y especialidad]])</f>
        <v>#REF!</v>
      </c>
      <c r="O5944" s="34">
        <f t="shared" si="187"/>
        <v>10</v>
      </c>
      <c r="P5944" s="34">
        <f t="shared" si="188"/>
        <v>2024</v>
      </c>
      <c r="Q59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44" s="34" t="str">
        <f>TEXT(Planning[[#This Row],[Mes]]*29,"mmmm")</f>
        <v>October</v>
      </c>
      <c r="S594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44" s="154"/>
      <c r="U5944"/>
      <c r="V5944" s="115"/>
      <c r="W5944" s="115"/>
    </row>
    <row r="5945" spans="1:23" ht="13.35" customHeight="1" x14ac:dyDescent="0.2">
      <c r="A5945" s="9" t="s">
        <v>626</v>
      </c>
      <c r="B5945" s="9" t="s">
        <v>779</v>
      </c>
      <c r="C5945" s="120">
        <v>122825</v>
      </c>
      <c r="D5945" s="3"/>
      <c r="E5945" s="4"/>
      <c r="F5945" s="3" t="s">
        <v>124</v>
      </c>
      <c r="G5945" s="53">
        <v>0</v>
      </c>
      <c r="H5945" s="20">
        <v>0</v>
      </c>
      <c r="I5945" s="12"/>
      <c r="J5945" s="5" t="e">
        <f>SUM(SUMIFS(#REF!,#REF!,Planning[[#This Row],[Tipo de Tarea y especialidad]],#REF!,Planning[[#This Row],[Proyectos Reiwa]]),SUMIFS(#REF!,#REF!,Planning[[#This Row],[Tipo de Tarea y especialidad]],#REF!,Planning[[#This Row],[Proyectos]]))</f>
        <v>#REF!</v>
      </c>
      <c r="K5945" s="5" t="e">
        <f>+Planning[[#This Row],[Horas Planificadas]]+Planning[[#This Row],[Horas ajustadas adicionales]]-Planning[[#This Row],[Horas utilizadas]]</f>
        <v>#REF!</v>
      </c>
      <c r="L5945" s="7" t="e">
        <f>Planning[[#This Row],[Saldo]]</f>
        <v>#REF!</v>
      </c>
      <c r="M5945" s="19" t="e">
        <f>Planning[[#This Row],[Saldo]]-Planning[[#This Row],[Saldo estimado]]</f>
        <v>#REF!</v>
      </c>
      <c r="N5945" s="60" t="e">
        <f>+SUMIFS(#REF!,#REF!,Planning[[#This Row],[Proyectos]],#REF!,Planning[[#This Row],[Tipo de Tarea y especialidad]])+SUMIFS(#REF!,#REF!,Planning[[#This Row],[Proyectos Reiwa]],#REF!,Planning[[#This Row],[Tipo de Tarea y especialidad]])</f>
        <v>#REF!</v>
      </c>
      <c r="O5945" s="34">
        <f t="shared" si="187"/>
        <v>10</v>
      </c>
      <c r="P5945" s="34">
        <f t="shared" si="188"/>
        <v>2024</v>
      </c>
      <c r="Q59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45" s="34" t="str">
        <f>TEXT(Planning[[#This Row],[Mes]]*29,"mmmm")</f>
        <v>October</v>
      </c>
      <c r="S594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45" s="154"/>
      <c r="U5945" s="1" t="s">
        <v>1037</v>
      </c>
      <c r="V5945" s="115"/>
      <c r="W5945" s="115"/>
    </row>
    <row r="5946" spans="1:23" ht="13.35" customHeight="1" x14ac:dyDescent="0.2">
      <c r="A5946" s="9" t="s">
        <v>626</v>
      </c>
      <c r="B5946" s="9" t="s">
        <v>779</v>
      </c>
      <c r="C5946" s="120">
        <v>122825</v>
      </c>
      <c r="D5946" s="3"/>
      <c r="E5946" s="4"/>
      <c r="F5946" s="3" t="s">
        <v>125</v>
      </c>
      <c r="G5946" s="53">
        <v>150</v>
      </c>
      <c r="H5946" s="20">
        <v>0</v>
      </c>
      <c r="I5946" s="12"/>
      <c r="J5946" s="5" t="e">
        <f>SUM(SUMIFS(#REF!,#REF!,Planning[[#This Row],[Tipo de Tarea y especialidad]],#REF!,Planning[[#This Row],[Proyectos Reiwa]]),SUMIFS(#REF!,#REF!,Planning[[#This Row],[Tipo de Tarea y especialidad]],#REF!,Planning[[#This Row],[Proyectos]]))</f>
        <v>#REF!</v>
      </c>
      <c r="K5946" s="5" t="e">
        <f>+Planning[[#This Row],[Horas Planificadas]]+Planning[[#This Row],[Horas ajustadas adicionales]]-Planning[[#This Row],[Horas utilizadas]]</f>
        <v>#REF!</v>
      </c>
      <c r="L5946" s="7" t="e">
        <f>Planning[[#This Row],[Saldo]]</f>
        <v>#REF!</v>
      </c>
      <c r="M5946" s="19" t="e">
        <f>Planning[[#This Row],[Saldo]]-Planning[[#This Row],[Saldo estimado]]</f>
        <v>#REF!</v>
      </c>
      <c r="N5946" s="60" t="e">
        <f>+SUMIFS(#REF!,#REF!,Planning[[#This Row],[Proyectos]],#REF!,Planning[[#This Row],[Tipo de Tarea y especialidad]])+SUMIFS(#REF!,#REF!,Planning[[#This Row],[Proyectos Reiwa]],#REF!,Planning[[#This Row],[Tipo de Tarea y especialidad]])</f>
        <v>#REF!</v>
      </c>
      <c r="O5946" s="34">
        <f t="shared" si="187"/>
        <v>10</v>
      </c>
      <c r="P5946" s="34">
        <f t="shared" si="188"/>
        <v>2024</v>
      </c>
      <c r="Q594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46" s="34" t="str">
        <f>TEXT(Planning[[#This Row],[Mes]]*29,"mmmm")</f>
        <v>October</v>
      </c>
      <c r="S594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46" s="154"/>
      <c r="U5946" s="1" t="s">
        <v>1038</v>
      </c>
      <c r="V5946" s="115"/>
      <c r="W5946" s="115"/>
    </row>
    <row r="5947" spans="1:23" ht="13.35" customHeight="1" x14ac:dyDescent="0.2">
      <c r="A5947" s="9" t="s">
        <v>626</v>
      </c>
      <c r="B5947" s="9" t="s">
        <v>779</v>
      </c>
      <c r="C5947" s="120">
        <v>122825</v>
      </c>
      <c r="D5947" s="3"/>
      <c r="E5947" s="4"/>
      <c r="F5947" s="3" t="s">
        <v>126</v>
      </c>
      <c r="G5947" s="53">
        <v>78</v>
      </c>
      <c r="H5947" s="20">
        <v>0</v>
      </c>
      <c r="I5947" s="12"/>
      <c r="J5947" s="5" t="e">
        <f>SUM(SUMIFS(#REF!,#REF!,Planning[[#This Row],[Tipo de Tarea y especialidad]],#REF!,Planning[[#This Row],[Proyectos Reiwa]]),SUMIFS(#REF!,#REF!,Planning[[#This Row],[Tipo de Tarea y especialidad]],#REF!,Planning[[#This Row],[Proyectos]]))</f>
        <v>#REF!</v>
      </c>
      <c r="K5947" s="5" t="e">
        <f>+Planning[[#This Row],[Horas Planificadas]]+Planning[[#This Row],[Horas ajustadas adicionales]]-Planning[[#This Row],[Horas utilizadas]]</f>
        <v>#REF!</v>
      </c>
      <c r="L5947" s="7" t="e">
        <f>Planning[[#This Row],[Saldo]]</f>
        <v>#REF!</v>
      </c>
      <c r="M5947" s="19" t="e">
        <f>Planning[[#This Row],[Saldo]]-Planning[[#This Row],[Saldo estimado]]</f>
        <v>#REF!</v>
      </c>
      <c r="N5947" s="60" t="e">
        <f>+SUMIFS(#REF!,#REF!,Planning[[#This Row],[Proyectos]],#REF!,Planning[[#This Row],[Tipo de Tarea y especialidad]])+SUMIFS(#REF!,#REF!,Planning[[#This Row],[Proyectos Reiwa]],#REF!,Planning[[#This Row],[Tipo de Tarea y especialidad]])</f>
        <v>#REF!</v>
      </c>
      <c r="O5947" s="34">
        <f t="shared" si="187"/>
        <v>10</v>
      </c>
      <c r="P5947" s="34">
        <f t="shared" si="188"/>
        <v>2024</v>
      </c>
      <c r="Q594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47" s="34" t="str">
        <f>TEXT(Planning[[#This Row],[Mes]]*29,"mmmm")</f>
        <v>October</v>
      </c>
      <c r="S594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47" s="154"/>
      <c r="U5947" s="1" t="s">
        <v>1039</v>
      </c>
      <c r="V5947" s="115"/>
      <c r="W5947" s="115"/>
    </row>
    <row r="5948" spans="1:23" ht="13.35" customHeight="1" x14ac:dyDescent="0.2">
      <c r="A5948" s="9" t="s">
        <v>626</v>
      </c>
      <c r="B5948" s="9" t="s">
        <v>779</v>
      </c>
      <c r="C5948" s="120">
        <v>122825</v>
      </c>
      <c r="D5948" s="3"/>
      <c r="E5948" s="4"/>
      <c r="F5948" s="3" t="s">
        <v>127</v>
      </c>
      <c r="G5948" s="53">
        <v>108</v>
      </c>
      <c r="H5948" s="20">
        <v>0</v>
      </c>
      <c r="I5948" s="12"/>
      <c r="J5948" s="5" t="e">
        <f>SUM(SUMIFS(#REF!,#REF!,Planning[[#This Row],[Tipo de Tarea y especialidad]],#REF!,Planning[[#This Row],[Proyectos Reiwa]]),SUMIFS(#REF!,#REF!,Planning[[#This Row],[Tipo de Tarea y especialidad]],#REF!,Planning[[#This Row],[Proyectos]]))</f>
        <v>#REF!</v>
      </c>
      <c r="K5948" s="5" t="e">
        <f>+Planning[[#This Row],[Horas Planificadas]]+Planning[[#This Row],[Horas ajustadas adicionales]]-Planning[[#This Row],[Horas utilizadas]]</f>
        <v>#REF!</v>
      </c>
      <c r="L5948" s="7" t="e">
        <f>Planning[[#This Row],[Saldo]]</f>
        <v>#REF!</v>
      </c>
      <c r="M5948" s="19" t="e">
        <f>Planning[[#This Row],[Saldo]]-Planning[[#This Row],[Saldo estimado]]</f>
        <v>#REF!</v>
      </c>
      <c r="N5948" s="60" t="e">
        <f>+SUMIFS(#REF!,#REF!,Planning[[#This Row],[Proyectos]],#REF!,Planning[[#This Row],[Tipo de Tarea y especialidad]])+SUMIFS(#REF!,#REF!,Planning[[#This Row],[Proyectos Reiwa]],#REF!,Planning[[#This Row],[Tipo de Tarea y especialidad]])</f>
        <v>#REF!</v>
      </c>
      <c r="O5948" s="34">
        <f t="shared" si="187"/>
        <v>10</v>
      </c>
      <c r="P5948" s="34">
        <f t="shared" si="188"/>
        <v>2024</v>
      </c>
      <c r="Q59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48" s="34" t="str">
        <f>TEXT(Planning[[#This Row],[Mes]]*29,"mmmm")</f>
        <v>October</v>
      </c>
      <c r="S594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48" s="154"/>
      <c r="U5948" s="115"/>
      <c r="V5948" s="115"/>
      <c r="W5948" s="115"/>
    </row>
    <row r="5949" spans="1:23" ht="13.35" customHeight="1" x14ac:dyDescent="0.2">
      <c r="A5949" s="9" t="s">
        <v>626</v>
      </c>
      <c r="B5949" s="9" t="s">
        <v>779</v>
      </c>
      <c r="C5949" s="120">
        <v>122825</v>
      </c>
      <c r="D5949" s="3"/>
      <c r="E5949" s="4"/>
      <c r="F5949" s="3" t="s">
        <v>128</v>
      </c>
      <c r="G5949" s="53">
        <v>0</v>
      </c>
      <c r="H5949" s="20">
        <v>0</v>
      </c>
      <c r="I5949" s="12"/>
      <c r="J5949" s="5" t="e">
        <f>SUM(SUMIFS(#REF!,#REF!,Planning[[#This Row],[Tipo de Tarea y especialidad]],#REF!,Planning[[#This Row],[Proyectos Reiwa]]),SUMIFS(#REF!,#REF!,Planning[[#This Row],[Tipo de Tarea y especialidad]],#REF!,Planning[[#This Row],[Proyectos]]))</f>
        <v>#REF!</v>
      </c>
      <c r="K5949" s="5" t="e">
        <f>+Planning[[#This Row],[Horas Planificadas]]+Planning[[#This Row],[Horas ajustadas adicionales]]-Planning[[#This Row],[Horas utilizadas]]</f>
        <v>#REF!</v>
      </c>
      <c r="L5949" s="7" t="e">
        <f>Planning[[#This Row],[Saldo]]</f>
        <v>#REF!</v>
      </c>
      <c r="M5949" s="19" t="e">
        <f>Planning[[#This Row],[Saldo]]-Planning[[#This Row],[Saldo estimado]]</f>
        <v>#REF!</v>
      </c>
      <c r="N5949" s="60" t="e">
        <f>+SUMIFS(#REF!,#REF!,Planning[[#This Row],[Proyectos]],#REF!,Planning[[#This Row],[Tipo de Tarea y especialidad]])+SUMIFS(#REF!,#REF!,Planning[[#This Row],[Proyectos Reiwa]],#REF!,Planning[[#This Row],[Tipo de Tarea y especialidad]])</f>
        <v>#REF!</v>
      </c>
      <c r="O5949" s="34">
        <f t="shared" si="187"/>
        <v>10</v>
      </c>
      <c r="P5949" s="34">
        <f t="shared" si="188"/>
        <v>2024</v>
      </c>
      <c r="Q59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49" s="34" t="str">
        <f>TEXT(Planning[[#This Row],[Mes]]*29,"mmmm")</f>
        <v>October</v>
      </c>
      <c r="S594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49" s="154"/>
      <c r="U5949" s="115"/>
      <c r="V5949" s="115"/>
      <c r="W5949" s="115"/>
    </row>
    <row r="5950" spans="1:23" ht="13.35" customHeight="1" x14ac:dyDescent="0.2">
      <c r="A5950" s="9" t="s">
        <v>626</v>
      </c>
      <c r="B5950" s="9" t="s">
        <v>779</v>
      </c>
      <c r="C5950" s="120">
        <v>122825</v>
      </c>
      <c r="D5950" s="3"/>
      <c r="E5950" s="4" t="s">
        <v>31</v>
      </c>
      <c r="F5950" s="3" t="s">
        <v>31</v>
      </c>
      <c r="G5950" s="53">
        <v>150</v>
      </c>
      <c r="H5950" s="85">
        <v>0</v>
      </c>
      <c r="I5950" s="86"/>
      <c r="J5950" s="14" t="e">
        <f>+SUMIFS(#REF!,#REF!,Planning[[#This Row],[Tarifa]],#REF!,Planning[[#This Row],[Proyectos]])</f>
        <v>#REF!</v>
      </c>
      <c r="K5950" s="14" t="e">
        <f>+Planning[[#This Row],[Horas Planificadas]]+Planning[[#This Row],[Horas ajustadas adicionales]]-Planning[[#This Row],[Horas utilizadas]]</f>
        <v>#REF!</v>
      </c>
      <c r="L5950" s="15" t="e">
        <f>Planning[[#This Row],[Saldo]]</f>
        <v>#REF!</v>
      </c>
      <c r="M5950" s="88" t="e">
        <f>Planning[[#This Row],[Saldo]]-Planning[[#This Row],[Saldo estimado]]</f>
        <v>#REF!</v>
      </c>
      <c r="N5950" s="60" t="e">
        <f>+SUMIFS(#REF!,#REF!,Planning[[#This Row],[Proyectos]],#REF!,Planning[[#This Row],[Tipo de Tarea y especialidad]])+SUMIFS(#REF!,#REF!,Planning[[#This Row],[Proyectos Reiwa]],#REF!,Planning[[#This Row],[Tipo de Tarea y especialidad]])</f>
        <v>#REF!</v>
      </c>
      <c r="O5950" s="86">
        <f t="shared" si="187"/>
        <v>10</v>
      </c>
      <c r="P5950" s="86">
        <f t="shared" si="188"/>
        <v>2024</v>
      </c>
      <c r="Q5950" s="16" t="e">
        <f>+SUMIFS(#REF!,#REF!,Planning[[#This Row],[Tarifa]],#REF!,Planning[[#This Row],[Proyectos]],#REF!,Planning[[#This Row],[Mes]],#REF!,Planning[[#This Row],[Año]])</f>
        <v>#REF!</v>
      </c>
      <c r="R5950" s="35" t="str">
        <f>TEXT(Planning[[#This Row],[Mes]]*29,"mmmm")</f>
        <v>October</v>
      </c>
      <c r="S595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50" s="154"/>
      <c r="U5950" s="115"/>
      <c r="V5950" s="115"/>
      <c r="W5950" s="115"/>
    </row>
    <row r="5951" spans="1:23" ht="13.35" customHeight="1" x14ac:dyDescent="0.2">
      <c r="A5951" s="9" t="s">
        <v>626</v>
      </c>
      <c r="B5951" s="9" t="s">
        <v>779</v>
      </c>
      <c r="C5951" s="120">
        <v>122825</v>
      </c>
      <c r="D5951" s="3"/>
      <c r="E5951" s="4" t="s">
        <v>32</v>
      </c>
      <c r="F5951" s="3"/>
      <c r="G5951" s="9">
        <f>G5952+G5953+G5954</f>
        <v>560</v>
      </c>
      <c r="H5951" s="85">
        <v>0</v>
      </c>
      <c r="I5951" s="86"/>
      <c r="J5951" s="14" t="e">
        <f>SUM(J5952:J5954)</f>
        <v>#REF!</v>
      </c>
      <c r="K5951" s="14" t="e">
        <f>+Planning[[#This Row],[Horas Planificadas]]+Planning[[#This Row],[Horas ajustadas adicionales]]-Planning[[#This Row],[Horas utilizadas]]</f>
        <v>#REF!</v>
      </c>
      <c r="L5951" s="15" t="e">
        <f>SUM(L5952:L5954)</f>
        <v>#REF!</v>
      </c>
      <c r="M5951" s="88" t="e">
        <f>Planning[[#This Row],[Saldo]]-Planning[[#This Row],[Saldo estimado]]</f>
        <v>#REF!</v>
      </c>
      <c r="N5951" s="60" t="e">
        <f>+SUMIFS(#REF!,#REF!,Planning[[#This Row],[Proyectos]],#REF!,Planning[[#This Row],[Tipo de Tarea y especialidad]])+SUMIFS(#REF!,#REF!,Planning[[#This Row],[Proyectos Reiwa]],#REF!,Planning[[#This Row],[Tipo de Tarea y especialidad]])</f>
        <v>#REF!</v>
      </c>
      <c r="O5951" s="86">
        <f t="shared" si="187"/>
        <v>10</v>
      </c>
      <c r="P5951" s="86">
        <f t="shared" si="188"/>
        <v>2024</v>
      </c>
      <c r="Q5951" s="16" t="e">
        <f>SUM(Q5952:Q5954)</f>
        <v>#REF!</v>
      </c>
      <c r="R5951" s="35" t="str">
        <f>TEXT(Planning[[#This Row],[Mes]]*29,"mmmm")</f>
        <v>October</v>
      </c>
      <c r="S595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51" s="154"/>
      <c r="U5951" s="115"/>
      <c r="V5951" s="115"/>
      <c r="W5951" s="115"/>
    </row>
    <row r="5952" spans="1:23" ht="13.35" customHeight="1" x14ac:dyDescent="0.2">
      <c r="A5952" s="9" t="s">
        <v>626</v>
      </c>
      <c r="B5952" s="9" t="s">
        <v>779</v>
      </c>
      <c r="C5952" s="120">
        <v>122825</v>
      </c>
      <c r="D5952" s="3"/>
      <c r="E5952" s="4"/>
      <c r="F5952" s="3" t="s">
        <v>129</v>
      </c>
      <c r="G5952" s="53">
        <v>340</v>
      </c>
      <c r="H5952" s="20">
        <v>0</v>
      </c>
      <c r="I5952" s="12"/>
      <c r="J5952" s="5" t="e">
        <f>SUM(SUMIFS(#REF!,#REF!,Planning[[#This Row],[Tipo de Tarea y especialidad]],#REF!,Planning[[#This Row],[Proyectos Reiwa]]),SUMIFS(#REF!,#REF!,Planning[[#This Row],[Tipo de Tarea y especialidad]],#REF!,Planning[[#This Row],[Proyectos]]))</f>
        <v>#REF!</v>
      </c>
      <c r="K5952" s="5" t="e">
        <f>+Planning[[#This Row],[Horas Planificadas]]+Planning[[#This Row],[Horas ajustadas adicionales]]-Planning[[#This Row],[Horas utilizadas]]</f>
        <v>#REF!</v>
      </c>
      <c r="L5952" s="7" t="e">
        <f>Planning[[#This Row],[Saldo]]</f>
        <v>#REF!</v>
      </c>
      <c r="M5952" s="19" t="e">
        <f>Planning[[#This Row],[Saldo]]-Planning[[#This Row],[Saldo estimado]]</f>
        <v>#REF!</v>
      </c>
      <c r="N5952" s="60" t="e">
        <f>+SUMIFS(#REF!,#REF!,Planning[[#This Row],[Proyectos]],#REF!,Planning[[#This Row],[Tipo de Tarea y especialidad]])+SUMIFS(#REF!,#REF!,Planning[[#This Row],[Proyectos Reiwa]],#REF!,Planning[[#This Row],[Tipo de Tarea y especialidad]])</f>
        <v>#REF!</v>
      </c>
      <c r="O5952" s="34">
        <f t="shared" si="187"/>
        <v>10</v>
      </c>
      <c r="P5952" s="34">
        <f t="shared" si="188"/>
        <v>2024</v>
      </c>
      <c r="Q59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52" s="34" t="str">
        <f>TEXT(Planning[[#This Row],[Mes]]*29,"mmmm")</f>
        <v>October</v>
      </c>
      <c r="S595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52" s="154"/>
      <c r="U5952" s="115"/>
      <c r="V5952" s="115"/>
      <c r="W5952" s="115"/>
    </row>
    <row r="5953" spans="1:23" ht="13.35" customHeight="1" x14ac:dyDescent="0.2">
      <c r="A5953" s="9" t="s">
        <v>626</v>
      </c>
      <c r="B5953" s="9" t="s">
        <v>779</v>
      </c>
      <c r="C5953" s="120">
        <v>122825</v>
      </c>
      <c r="D5953" s="3"/>
      <c r="E5953" s="4"/>
      <c r="F5953" s="3" t="s">
        <v>130</v>
      </c>
      <c r="G5953" s="53">
        <v>220</v>
      </c>
      <c r="H5953" s="20">
        <v>0</v>
      </c>
      <c r="I5953" s="12"/>
      <c r="J5953" s="5" t="e">
        <f>SUM(SUMIFS(#REF!,#REF!,Planning[[#This Row],[Tipo de Tarea y especialidad]],#REF!,Planning[[#This Row],[Proyectos Reiwa]]),SUMIFS(#REF!,#REF!,Planning[[#This Row],[Tipo de Tarea y especialidad]],#REF!,Planning[[#This Row],[Proyectos]]))</f>
        <v>#REF!</v>
      </c>
      <c r="K5953" s="5" t="e">
        <f>+Planning[[#This Row],[Horas Planificadas]]+Planning[[#This Row],[Horas ajustadas adicionales]]-Planning[[#This Row],[Horas utilizadas]]</f>
        <v>#REF!</v>
      </c>
      <c r="L5953" s="7" t="e">
        <f>Planning[[#This Row],[Saldo]]</f>
        <v>#REF!</v>
      </c>
      <c r="M5953" s="19" t="e">
        <f>Planning[[#This Row],[Saldo]]-Planning[[#This Row],[Saldo estimado]]</f>
        <v>#REF!</v>
      </c>
      <c r="N5953" s="60" t="e">
        <f>+SUMIFS(#REF!,#REF!,Planning[[#This Row],[Proyectos]],#REF!,Planning[[#This Row],[Tipo de Tarea y especialidad]])+SUMIFS(#REF!,#REF!,Planning[[#This Row],[Proyectos Reiwa]],#REF!,Planning[[#This Row],[Tipo de Tarea y especialidad]])</f>
        <v>#REF!</v>
      </c>
      <c r="O5953" s="34">
        <f t="shared" si="187"/>
        <v>10</v>
      </c>
      <c r="P5953" s="34">
        <f t="shared" si="188"/>
        <v>2024</v>
      </c>
      <c r="Q59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53" s="34" t="str">
        <f>TEXT(Planning[[#This Row],[Mes]]*29,"mmmm")</f>
        <v>October</v>
      </c>
      <c r="S595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53" s="154"/>
      <c r="U5953" s="115"/>
      <c r="V5953" s="115"/>
      <c r="W5953" s="115"/>
    </row>
    <row r="5954" spans="1:23" ht="13.35" customHeight="1" x14ac:dyDescent="0.2">
      <c r="A5954" s="9" t="s">
        <v>626</v>
      </c>
      <c r="B5954" s="9" t="s">
        <v>779</v>
      </c>
      <c r="C5954" s="120">
        <v>122825</v>
      </c>
      <c r="D5954" s="3"/>
      <c r="E5954" s="4"/>
      <c r="F5954" s="3" t="s">
        <v>131</v>
      </c>
      <c r="G5954" s="53">
        <v>0</v>
      </c>
      <c r="H5954" s="20">
        <v>0</v>
      </c>
      <c r="I5954" s="12"/>
      <c r="J5954" s="5" t="e">
        <f>SUM(SUMIFS(#REF!,#REF!,Planning[[#This Row],[Tipo de Tarea y especialidad]],#REF!,Planning[[#This Row],[Proyectos Reiwa]]),SUMIFS(#REF!,#REF!,Planning[[#This Row],[Tipo de Tarea y especialidad]],#REF!,Planning[[#This Row],[Proyectos]]))</f>
        <v>#REF!</v>
      </c>
      <c r="K5954" s="5" t="e">
        <f>+Planning[[#This Row],[Horas Planificadas]]+Planning[[#This Row],[Horas ajustadas adicionales]]-Planning[[#This Row],[Horas utilizadas]]</f>
        <v>#REF!</v>
      </c>
      <c r="L5954" s="7" t="e">
        <f>Planning[[#This Row],[Saldo]]</f>
        <v>#REF!</v>
      </c>
      <c r="M5954" s="83" t="e">
        <f>Planning[[#This Row],[Saldo]]-Planning[[#This Row],[Saldo estimado]]</f>
        <v>#REF!</v>
      </c>
      <c r="N5954" s="60" t="e">
        <f>+SUMIFS(#REF!,#REF!,Planning[[#This Row],[Proyectos]],#REF!,Planning[[#This Row],[Tipo de Tarea y especialidad]])+SUMIFS(#REF!,#REF!,Planning[[#This Row],[Proyectos Reiwa]],#REF!,Planning[[#This Row],[Tipo de Tarea y especialidad]])</f>
        <v>#REF!</v>
      </c>
      <c r="O5954" s="34">
        <f t="shared" si="187"/>
        <v>10</v>
      </c>
      <c r="P5954" s="34">
        <f t="shared" si="188"/>
        <v>2024</v>
      </c>
      <c r="Q595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54" s="34" t="str">
        <f>TEXT(Planning[[#This Row],[Mes]]*29,"mmmm")</f>
        <v>October</v>
      </c>
      <c r="S595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54" s="154"/>
      <c r="U5954" s="115"/>
      <c r="V5954" s="115"/>
      <c r="W5954" s="115"/>
    </row>
    <row r="5955" spans="1:23" ht="13.35" customHeight="1" x14ac:dyDescent="0.2">
      <c r="A5955" s="77" t="s">
        <v>626</v>
      </c>
      <c r="B5955" s="77" t="s">
        <v>779</v>
      </c>
      <c r="C5955" s="121">
        <v>123692</v>
      </c>
      <c r="D5955" s="123"/>
      <c r="E5955" s="123" t="s">
        <v>28</v>
      </c>
      <c r="F5955" s="123"/>
      <c r="G5955" s="124">
        <v>0</v>
      </c>
      <c r="H5955" s="122">
        <v>0</v>
      </c>
      <c r="I5955" s="122"/>
      <c r="J5955" s="14" t="e">
        <f>SUM(J5956:J5957)</f>
        <v>#REF!</v>
      </c>
      <c r="K5955" s="14" t="e">
        <f>+Planning[[#This Row],[Horas Planificadas]]+Planning[[#This Row],[Horas ajustadas adicionales]]-Planning[[#This Row],[Horas utilizadas]]</f>
        <v>#REF!</v>
      </c>
      <c r="L5955" s="15" t="e">
        <f>SUM(L5956:L5957)</f>
        <v>#REF!</v>
      </c>
      <c r="M5955" s="19" t="e">
        <f>Planning[[#This Row],[Saldo]]-Planning[[#This Row],[Saldo estimado]]</f>
        <v>#REF!</v>
      </c>
      <c r="N5955" s="60" t="e">
        <f>+SUMIFS(#REF!,#REF!,Planning[[#This Row],[Proyectos]],#REF!,Planning[[#This Row],[Tipo de Tarea y especialidad]])+SUMIFS(#REF!,#REF!,Planning[[#This Row],[Proyectos Reiwa]],#REF!,Planning[[#This Row],[Tipo de Tarea y especialidad]])</f>
        <v>#REF!</v>
      </c>
      <c r="O5955" s="34">
        <f t="shared" si="187"/>
        <v>10</v>
      </c>
      <c r="P5955" s="34">
        <f t="shared" si="188"/>
        <v>2024</v>
      </c>
      <c r="Q5955" s="28" t="e">
        <f>SUM(Q5956:Q5957)</f>
        <v>#REF!</v>
      </c>
      <c r="R5955" s="14" t="str">
        <f>TEXT(Planning[[#This Row],[Mes]]*29,"mmmm")</f>
        <v>October</v>
      </c>
      <c r="S595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55" s="154" t="s">
        <v>1040</v>
      </c>
      <c r="U5955"/>
      <c r="V5955" s="115"/>
      <c r="W5955" s="115"/>
    </row>
    <row r="5956" spans="1:23" ht="13.35" customHeight="1" x14ac:dyDescent="0.2">
      <c r="A5956" s="77" t="s">
        <v>626</v>
      </c>
      <c r="B5956" s="77" t="s">
        <v>779</v>
      </c>
      <c r="C5956" s="125">
        <v>123692</v>
      </c>
      <c r="D5956" s="125"/>
      <c r="E5956" s="125"/>
      <c r="F5956" s="125" t="s">
        <v>120</v>
      </c>
      <c r="G5956" s="124">
        <v>0</v>
      </c>
      <c r="H5956" s="77">
        <v>0</v>
      </c>
      <c r="I5956" s="77"/>
      <c r="J5956" s="5" t="e">
        <f>SUM(SUMIFS(#REF!,#REF!,Planning[[#This Row],[Tipo de Tarea y especialidad]],#REF!,Planning[[#This Row],[Proyectos Reiwa]]),SUMIFS(#REF!,#REF!,Planning[[#This Row],[Tipo de Tarea y especialidad]],#REF!,Planning[[#This Row],[Proyectos]]))</f>
        <v>#REF!</v>
      </c>
      <c r="K5956" s="5" t="e">
        <f>+Planning[[#This Row],[Horas Planificadas]]+Planning[[#This Row],[Horas ajustadas adicionales]]-Planning[[#This Row],[Horas utilizadas]]</f>
        <v>#REF!</v>
      </c>
      <c r="L5956" s="7" t="e">
        <f>Planning[[#This Row],[Saldo]]</f>
        <v>#REF!</v>
      </c>
      <c r="M5956" s="19" t="e">
        <f>Planning[[#This Row],[Saldo]]-Planning[[#This Row],[Saldo estimado]]</f>
        <v>#REF!</v>
      </c>
      <c r="N5956" s="60" t="e">
        <f>+SUMIFS(#REF!,#REF!,Planning[[#This Row],[Proyectos]],#REF!,Planning[[#This Row],[Tipo de Tarea y especialidad]])+SUMIFS(#REF!,#REF!,Planning[[#This Row],[Proyectos Reiwa]],#REF!,Planning[[#This Row],[Tipo de Tarea y especialidad]])</f>
        <v>#REF!</v>
      </c>
      <c r="O5956" s="34">
        <f t="shared" si="187"/>
        <v>10</v>
      </c>
      <c r="P5956" s="34">
        <f t="shared" si="188"/>
        <v>2024</v>
      </c>
      <c r="Q59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56" s="34" t="str">
        <f>TEXT(Planning[[#This Row],[Mes]]*29,"mmmm")</f>
        <v>October</v>
      </c>
      <c r="S595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56" s="154"/>
      <c r="U5956" s="1" t="s">
        <v>1033</v>
      </c>
      <c r="V5956" s="115"/>
      <c r="W5956" s="115"/>
    </row>
    <row r="5957" spans="1:23" ht="13.35" customHeight="1" x14ac:dyDescent="0.2">
      <c r="A5957" s="77" t="s">
        <v>626</v>
      </c>
      <c r="B5957" s="77" t="s">
        <v>779</v>
      </c>
      <c r="C5957" s="123">
        <v>123692</v>
      </c>
      <c r="D5957" s="123"/>
      <c r="E5957" s="123"/>
      <c r="F5957" s="123" t="s">
        <v>121</v>
      </c>
      <c r="G5957" s="124">
        <v>0</v>
      </c>
      <c r="H5957" s="77">
        <v>0</v>
      </c>
      <c r="I5957" s="77"/>
      <c r="J5957" s="5" t="e">
        <f>SUM(SUMIFS(#REF!,#REF!,Planning[[#This Row],[Tipo de Tarea y especialidad]],#REF!,Planning[[#This Row],[Proyectos Reiwa]]),SUMIFS(#REF!,#REF!,Planning[[#This Row],[Tipo de Tarea y especialidad]],#REF!,Planning[[#This Row],[Proyectos]]))</f>
        <v>#REF!</v>
      </c>
      <c r="K5957" s="5" t="e">
        <f>+Planning[[#This Row],[Horas Planificadas]]+Planning[[#This Row],[Horas ajustadas adicionales]]-Planning[[#This Row],[Horas utilizadas]]</f>
        <v>#REF!</v>
      </c>
      <c r="L5957" s="7" t="e">
        <f>Planning[[#This Row],[Saldo]]</f>
        <v>#REF!</v>
      </c>
      <c r="M5957" s="19" t="e">
        <f>Planning[[#This Row],[Saldo]]-Planning[[#This Row],[Saldo estimado]]</f>
        <v>#REF!</v>
      </c>
      <c r="N5957" s="60" t="e">
        <f>+SUMIFS(#REF!,#REF!,Planning[[#This Row],[Proyectos]],#REF!,Planning[[#This Row],[Tipo de Tarea y especialidad]])+SUMIFS(#REF!,#REF!,Planning[[#This Row],[Proyectos Reiwa]],#REF!,Planning[[#This Row],[Tipo de Tarea y especialidad]])</f>
        <v>#REF!</v>
      </c>
      <c r="O5957" s="34">
        <f t="shared" si="187"/>
        <v>10</v>
      </c>
      <c r="P5957" s="34">
        <f t="shared" si="188"/>
        <v>2024</v>
      </c>
      <c r="Q59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57" s="34" t="str">
        <f>TEXT(Planning[[#This Row],[Mes]]*29,"mmmm")</f>
        <v>October</v>
      </c>
      <c r="S595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57" s="154"/>
      <c r="U5957" s="1" t="s">
        <v>1034</v>
      </c>
      <c r="V5957" s="115"/>
      <c r="W5957" s="115"/>
    </row>
    <row r="5958" spans="1:23" ht="13.35" customHeight="1" x14ac:dyDescent="0.2">
      <c r="A5958" s="77" t="s">
        <v>626</v>
      </c>
      <c r="B5958" s="77" t="s">
        <v>779</v>
      </c>
      <c r="C5958" s="125">
        <v>123692</v>
      </c>
      <c r="D5958" s="125"/>
      <c r="E5958" s="125" t="s">
        <v>30</v>
      </c>
      <c r="F5958" s="125"/>
      <c r="G5958" s="124">
        <f>G5959+G5960+G5961+G5962+G5963+G5964+G5965</f>
        <v>73</v>
      </c>
      <c r="H5958" s="122">
        <f>H5959+H5960+H5961+H5962+H5963+H5964+H5965</f>
        <v>73</v>
      </c>
      <c r="I5958" s="122"/>
      <c r="J5958" s="14" t="e">
        <f>SUM(J5959:J5965)</f>
        <v>#REF!</v>
      </c>
      <c r="K5958" s="14" t="e">
        <f>+Planning[[#This Row],[Horas Planificadas]]+Planning[[#This Row],[Horas ajustadas adicionales]]-Planning[[#This Row],[Horas utilizadas]]</f>
        <v>#REF!</v>
      </c>
      <c r="L5958" s="15" t="e">
        <f>SUM(L5959:L5965)</f>
        <v>#REF!</v>
      </c>
      <c r="M5958" s="19" t="e">
        <f>Planning[[#This Row],[Saldo]]-Planning[[#This Row],[Saldo estimado]]</f>
        <v>#REF!</v>
      </c>
      <c r="N5958" s="60" t="e">
        <f>+SUMIFS(#REF!,#REF!,Planning[[#This Row],[Proyectos]],#REF!,Planning[[#This Row],[Tipo de Tarea y especialidad]])+SUMIFS(#REF!,#REF!,Planning[[#This Row],[Proyectos Reiwa]],#REF!,Planning[[#This Row],[Tipo de Tarea y especialidad]])</f>
        <v>#REF!</v>
      </c>
      <c r="O5958" s="34">
        <f t="shared" si="187"/>
        <v>10</v>
      </c>
      <c r="P5958" s="34">
        <f t="shared" si="188"/>
        <v>2024</v>
      </c>
      <c r="Q5958" s="16" t="e">
        <f>SUM(Q5959:Q5965)</f>
        <v>#REF!</v>
      </c>
      <c r="R5958" s="35" t="str">
        <f>TEXT(Planning[[#This Row],[Mes]]*29,"mmmm")</f>
        <v>October</v>
      </c>
      <c r="S595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58" s="154"/>
      <c r="U5958" s="1" t="s">
        <v>1035</v>
      </c>
      <c r="V5958" s="115"/>
      <c r="W5958" s="115"/>
    </row>
    <row r="5959" spans="1:23" ht="13.35" customHeight="1" x14ac:dyDescent="0.2">
      <c r="A5959" s="77" t="s">
        <v>626</v>
      </c>
      <c r="B5959" s="77" t="s">
        <v>779</v>
      </c>
      <c r="C5959" s="123">
        <v>123692</v>
      </c>
      <c r="D5959" s="123"/>
      <c r="E5959" s="123"/>
      <c r="F5959" s="123" t="s">
        <v>122</v>
      </c>
      <c r="G5959" s="124">
        <v>0</v>
      </c>
      <c r="H5959" s="77">
        <v>0</v>
      </c>
      <c r="I5959" s="77"/>
      <c r="J5959" s="5" t="e">
        <f>SUM(SUMIFS(#REF!,#REF!,Planning[[#This Row],[Tipo de Tarea y especialidad]],#REF!,Planning[[#This Row],[Proyectos Reiwa]]),SUMIFS(#REF!,#REF!,Planning[[#This Row],[Tipo de Tarea y especialidad]],#REF!,Planning[[#This Row],[Proyectos]]))</f>
        <v>#REF!</v>
      </c>
      <c r="K5959" s="5" t="e">
        <f>+Planning[[#This Row],[Horas Planificadas]]+Planning[[#This Row],[Horas ajustadas adicionales]]-Planning[[#This Row],[Horas utilizadas]]</f>
        <v>#REF!</v>
      </c>
      <c r="L5959" s="7" t="e">
        <f>Planning[[#This Row],[Saldo]]</f>
        <v>#REF!</v>
      </c>
      <c r="M5959" s="19" t="e">
        <f>Planning[[#This Row],[Saldo]]-Planning[[#This Row],[Saldo estimado]]</f>
        <v>#REF!</v>
      </c>
      <c r="N5959" s="60" t="e">
        <f>+SUMIFS(#REF!,#REF!,Planning[[#This Row],[Proyectos]],#REF!,Planning[[#This Row],[Tipo de Tarea y especialidad]])+SUMIFS(#REF!,#REF!,Planning[[#This Row],[Proyectos Reiwa]],#REF!,Planning[[#This Row],[Tipo de Tarea y especialidad]])</f>
        <v>#REF!</v>
      </c>
      <c r="O5959" s="34">
        <f t="shared" si="187"/>
        <v>10</v>
      </c>
      <c r="P5959" s="34">
        <f t="shared" si="188"/>
        <v>2024</v>
      </c>
      <c r="Q59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59" s="34" t="str">
        <f>TEXT(Planning[[#This Row],[Mes]]*29,"mmmm")</f>
        <v>October</v>
      </c>
      <c r="S595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59" s="154"/>
      <c r="U5959" s="1" t="s">
        <v>1036</v>
      </c>
      <c r="V5959" s="115"/>
      <c r="W5959" s="115"/>
    </row>
    <row r="5960" spans="1:23" ht="13.35" customHeight="1" x14ac:dyDescent="0.2">
      <c r="A5960" s="77" t="s">
        <v>626</v>
      </c>
      <c r="B5960" s="77" t="s">
        <v>779</v>
      </c>
      <c r="C5960" s="125">
        <v>123692</v>
      </c>
      <c r="D5960" s="125"/>
      <c r="E5960" s="125"/>
      <c r="F5960" s="125" t="s">
        <v>123</v>
      </c>
      <c r="G5960" s="124">
        <v>63</v>
      </c>
      <c r="H5960" s="77">
        <v>63</v>
      </c>
      <c r="I5960" s="77"/>
      <c r="J5960" s="5" t="e">
        <f>SUM(SUMIFS(#REF!,#REF!,Planning[[#This Row],[Tipo de Tarea y especialidad]],#REF!,Planning[[#This Row],[Proyectos Reiwa]]),SUMIFS(#REF!,#REF!,Planning[[#This Row],[Tipo de Tarea y especialidad]],#REF!,Planning[[#This Row],[Proyectos]]))</f>
        <v>#REF!</v>
      </c>
      <c r="K5960" s="5" t="e">
        <f>+Planning[[#This Row],[Horas Planificadas]]+Planning[[#This Row],[Horas ajustadas adicionales]]-Planning[[#This Row],[Horas utilizadas]]</f>
        <v>#REF!</v>
      </c>
      <c r="L5960" s="7" t="e">
        <f>Planning[[#This Row],[Saldo]]</f>
        <v>#REF!</v>
      </c>
      <c r="M5960" s="19" t="e">
        <f>Planning[[#This Row],[Saldo]]-Planning[[#This Row],[Saldo estimado]]</f>
        <v>#REF!</v>
      </c>
      <c r="N5960" s="60" t="e">
        <f>+SUMIFS(#REF!,#REF!,Planning[[#This Row],[Proyectos]],#REF!,Planning[[#This Row],[Tipo de Tarea y especialidad]])+SUMIFS(#REF!,#REF!,Planning[[#This Row],[Proyectos Reiwa]],#REF!,Planning[[#This Row],[Tipo de Tarea y especialidad]])</f>
        <v>#REF!</v>
      </c>
      <c r="O5960" s="34">
        <f t="shared" si="187"/>
        <v>10</v>
      </c>
      <c r="P5960" s="34">
        <f t="shared" si="188"/>
        <v>2024</v>
      </c>
      <c r="Q59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60" s="34" t="str">
        <f>TEXT(Planning[[#This Row],[Mes]]*29,"mmmm")</f>
        <v>October</v>
      </c>
      <c r="S596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60" s="154"/>
      <c r="U5960"/>
      <c r="V5960" s="115"/>
      <c r="W5960" s="115"/>
    </row>
    <row r="5961" spans="1:23" ht="13.35" customHeight="1" x14ac:dyDescent="0.2">
      <c r="A5961" s="77" t="s">
        <v>626</v>
      </c>
      <c r="B5961" s="77" t="s">
        <v>779</v>
      </c>
      <c r="C5961" s="123">
        <v>123692</v>
      </c>
      <c r="D5961" s="123"/>
      <c r="E5961" s="123"/>
      <c r="F5961" s="123" t="s">
        <v>124</v>
      </c>
      <c r="G5961" s="124">
        <v>0</v>
      </c>
      <c r="H5961" s="77">
        <v>0</v>
      </c>
      <c r="I5961" s="77"/>
      <c r="J5961" s="5" t="e">
        <f>SUM(SUMIFS(#REF!,#REF!,Planning[[#This Row],[Tipo de Tarea y especialidad]],#REF!,Planning[[#This Row],[Proyectos Reiwa]]),SUMIFS(#REF!,#REF!,Planning[[#This Row],[Tipo de Tarea y especialidad]],#REF!,Planning[[#This Row],[Proyectos]]))</f>
        <v>#REF!</v>
      </c>
      <c r="K5961" s="5" t="e">
        <f>+Planning[[#This Row],[Horas Planificadas]]+Planning[[#This Row],[Horas ajustadas adicionales]]-Planning[[#This Row],[Horas utilizadas]]</f>
        <v>#REF!</v>
      </c>
      <c r="L5961" s="7" t="e">
        <f>Planning[[#This Row],[Saldo]]</f>
        <v>#REF!</v>
      </c>
      <c r="M5961" s="19" t="e">
        <f>Planning[[#This Row],[Saldo]]-Planning[[#This Row],[Saldo estimado]]</f>
        <v>#REF!</v>
      </c>
      <c r="N5961" s="60" t="e">
        <f>+SUMIFS(#REF!,#REF!,Planning[[#This Row],[Proyectos]],#REF!,Planning[[#This Row],[Tipo de Tarea y especialidad]])+SUMIFS(#REF!,#REF!,Planning[[#This Row],[Proyectos Reiwa]],#REF!,Planning[[#This Row],[Tipo de Tarea y especialidad]])</f>
        <v>#REF!</v>
      </c>
      <c r="O5961" s="34">
        <f t="shared" si="187"/>
        <v>10</v>
      </c>
      <c r="P5961" s="34">
        <f t="shared" si="188"/>
        <v>2024</v>
      </c>
      <c r="Q59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61" s="34" t="str">
        <f>TEXT(Planning[[#This Row],[Mes]]*29,"mmmm")</f>
        <v>October</v>
      </c>
      <c r="S596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61" s="154"/>
      <c r="U5961" s="1" t="s">
        <v>1037</v>
      </c>
      <c r="V5961" s="115"/>
      <c r="W5961" s="115"/>
    </row>
    <row r="5962" spans="1:23" ht="13.35" customHeight="1" x14ac:dyDescent="0.2">
      <c r="A5962" s="77" t="s">
        <v>626</v>
      </c>
      <c r="B5962" s="77" t="s">
        <v>779</v>
      </c>
      <c r="C5962" s="125">
        <v>123692</v>
      </c>
      <c r="D5962" s="125"/>
      <c r="E5962" s="125"/>
      <c r="F5962" s="125" t="s">
        <v>125</v>
      </c>
      <c r="G5962" s="124">
        <v>0</v>
      </c>
      <c r="H5962" s="77">
        <v>0</v>
      </c>
      <c r="I5962" s="77"/>
      <c r="J5962" s="5" t="e">
        <f>SUM(SUMIFS(#REF!,#REF!,Planning[[#This Row],[Tipo de Tarea y especialidad]],#REF!,Planning[[#This Row],[Proyectos Reiwa]]),SUMIFS(#REF!,#REF!,Planning[[#This Row],[Tipo de Tarea y especialidad]],#REF!,Planning[[#This Row],[Proyectos]]))</f>
        <v>#REF!</v>
      </c>
      <c r="K5962" s="5" t="e">
        <f>+Planning[[#This Row],[Horas Planificadas]]+Planning[[#This Row],[Horas ajustadas adicionales]]-Planning[[#This Row],[Horas utilizadas]]</f>
        <v>#REF!</v>
      </c>
      <c r="L5962" s="7" t="e">
        <f>Planning[[#This Row],[Saldo]]</f>
        <v>#REF!</v>
      </c>
      <c r="M5962" s="19" t="e">
        <f>Planning[[#This Row],[Saldo]]-Planning[[#This Row],[Saldo estimado]]</f>
        <v>#REF!</v>
      </c>
      <c r="N5962" s="60" t="e">
        <f>+SUMIFS(#REF!,#REF!,Planning[[#This Row],[Proyectos]],#REF!,Planning[[#This Row],[Tipo de Tarea y especialidad]])+SUMIFS(#REF!,#REF!,Planning[[#This Row],[Proyectos Reiwa]],#REF!,Planning[[#This Row],[Tipo de Tarea y especialidad]])</f>
        <v>#REF!</v>
      </c>
      <c r="O5962" s="34">
        <f t="shared" si="187"/>
        <v>10</v>
      </c>
      <c r="P5962" s="34">
        <f t="shared" si="188"/>
        <v>2024</v>
      </c>
      <c r="Q596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62" s="34" t="str">
        <f>TEXT(Planning[[#This Row],[Mes]]*29,"mmmm")</f>
        <v>October</v>
      </c>
      <c r="S596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62" s="154"/>
      <c r="U5962" s="1" t="s">
        <v>1038</v>
      </c>
      <c r="V5962" s="115"/>
      <c r="W5962" s="115"/>
    </row>
    <row r="5963" spans="1:23" ht="13.35" customHeight="1" x14ac:dyDescent="0.2">
      <c r="A5963" s="77" t="s">
        <v>626</v>
      </c>
      <c r="B5963" s="77" t="s">
        <v>779</v>
      </c>
      <c r="C5963" s="123">
        <v>123692</v>
      </c>
      <c r="D5963" s="123"/>
      <c r="E5963" s="123"/>
      <c r="F5963" s="123" t="s">
        <v>126</v>
      </c>
      <c r="G5963" s="124">
        <v>0</v>
      </c>
      <c r="H5963" s="77">
        <v>0</v>
      </c>
      <c r="I5963" s="77"/>
      <c r="J5963" s="5" t="e">
        <f>SUM(SUMIFS(#REF!,#REF!,Planning[[#This Row],[Tipo de Tarea y especialidad]],#REF!,Planning[[#This Row],[Proyectos Reiwa]]),SUMIFS(#REF!,#REF!,Planning[[#This Row],[Tipo de Tarea y especialidad]],#REF!,Planning[[#This Row],[Proyectos]]))</f>
        <v>#REF!</v>
      </c>
      <c r="K5963" s="5" t="e">
        <f>+Planning[[#This Row],[Horas Planificadas]]+Planning[[#This Row],[Horas ajustadas adicionales]]-Planning[[#This Row],[Horas utilizadas]]</f>
        <v>#REF!</v>
      </c>
      <c r="L5963" s="7" t="e">
        <f>Planning[[#This Row],[Saldo]]</f>
        <v>#REF!</v>
      </c>
      <c r="M5963" s="19" t="e">
        <f>Planning[[#This Row],[Saldo]]-Planning[[#This Row],[Saldo estimado]]</f>
        <v>#REF!</v>
      </c>
      <c r="N5963" s="60" t="e">
        <f>+SUMIFS(#REF!,#REF!,Planning[[#This Row],[Proyectos]],#REF!,Planning[[#This Row],[Tipo de Tarea y especialidad]])+SUMIFS(#REF!,#REF!,Planning[[#This Row],[Proyectos Reiwa]],#REF!,Planning[[#This Row],[Tipo de Tarea y especialidad]])</f>
        <v>#REF!</v>
      </c>
      <c r="O5963" s="34">
        <f t="shared" si="187"/>
        <v>10</v>
      </c>
      <c r="P5963" s="34">
        <f t="shared" si="188"/>
        <v>2024</v>
      </c>
      <c r="Q596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63" s="34" t="str">
        <f>TEXT(Planning[[#This Row],[Mes]]*29,"mmmm")</f>
        <v>October</v>
      </c>
      <c r="S596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63" s="154"/>
      <c r="U5963" s="1" t="s">
        <v>1039</v>
      </c>
      <c r="V5963" s="115"/>
      <c r="W5963" s="115"/>
    </row>
    <row r="5964" spans="1:23" ht="13.35" customHeight="1" x14ac:dyDescent="0.2">
      <c r="A5964" s="77" t="s">
        <v>626</v>
      </c>
      <c r="B5964" s="77" t="s">
        <v>779</v>
      </c>
      <c r="C5964" s="125">
        <v>123692</v>
      </c>
      <c r="D5964" s="125"/>
      <c r="E5964" s="125"/>
      <c r="F5964" s="125" t="s">
        <v>127</v>
      </c>
      <c r="G5964" s="124">
        <v>10</v>
      </c>
      <c r="H5964" s="77">
        <v>10</v>
      </c>
      <c r="I5964" s="77"/>
      <c r="J5964" s="5" t="e">
        <f>SUM(SUMIFS(#REF!,#REF!,Planning[[#This Row],[Tipo de Tarea y especialidad]],#REF!,Planning[[#This Row],[Proyectos Reiwa]]),SUMIFS(#REF!,#REF!,Planning[[#This Row],[Tipo de Tarea y especialidad]],#REF!,Planning[[#This Row],[Proyectos]]))</f>
        <v>#REF!</v>
      </c>
      <c r="K5964" s="5" t="e">
        <f>+Planning[[#This Row],[Horas Planificadas]]+Planning[[#This Row],[Horas ajustadas adicionales]]-Planning[[#This Row],[Horas utilizadas]]</f>
        <v>#REF!</v>
      </c>
      <c r="L5964" s="7" t="e">
        <f>Planning[[#This Row],[Saldo]]</f>
        <v>#REF!</v>
      </c>
      <c r="M5964" s="19" t="e">
        <f>Planning[[#This Row],[Saldo]]-Planning[[#This Row],[Saldo estimado]]</f>
        <v>#REF!</v>
      </c>
      <c r="N5964" s="60" t="e">
        <f>+SUMIFS(#REF!,#REF!,Planning[[#This Row],[Proyectos]],#REF!,Planning[[#This Row],[Tipo de Tarea y especialidad]])+SUMIFS(#REF!,#REF!,Planning[[#This Row],[Proyectos Reiwa]],#REF!,Planning[[#This Row],[Tipo de Tarea y especialidad]])</f>
        <v>#REF!</v>
      </c>
      <c r="O5964" s="34">
        <f t="shared" si="187"/>
        <v>10</v>
      </c>
      <c r="P5964" s="34">
        <f t="shared" si="188"/>
        <v>2024</v>
      </c>
      <c r="Q59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64" s="34" t="str">
        <f>TEXT(Planning[[#This Row],[Mes]]*29,"mmmm")</f>
        <v>October</v>
      </c>
      <c r="S596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64" s="154"/>
      <c r="U5964" s="115"/>
      <c r="V5964" s="115"/>
      <c r="W5964" s="115"/>
    </row>
    <row r="5965" spans="1:23" ht="13.35" customHeight="1" x14ac:dyDescent="0.2">
      <c r="A5965" s="77" t="s">
        <v>626</v>
      </c>
      <c r="B5965" s="77" t="s">
        <v>779</v>
      </c>
      <c r="C5965" s="123">
        <v>123692</v>
      </c>
      <c r="D5965" s="123"/>
      <c r="E5965" s="123"/>
      <c r="F5965" s="123" t="s">
        <v>128</v>
      </c>
      <c r="G5965" s="124">
        <v>0</v>
      </c>
      <c r="H5965" s="77">
        <v>0</v>
      </c>
      <c r="I5965" s="77"/>
      <c r="J5965" s="5" t="e">
        <f>SUM(SUMIFS(#REF!,#REF!,Planning[[#This Row],[Tipo de Tarea y especialidad]],#REF!,Planning[[#This Row],[Proyectos Reiwa]]),SUMIFS(#REF!,#REF!,Planning[[#This Row],[Tipo de Tarea y especialidad]],#REF!,Planning[[#This Row],[Proyectos]]))</f>
        <v>#REF!</v>
      </c>
      <c r="K5965" s="5" t="e">
        <f>+Planning[[#This Row],[Horas Planificadas]]+Planning[[#This Row],[Horas ajustadas adicionales]]-Planning[[#This Row],[Horas utilizadas]]</f>
        <v>#REF!</v>
      </c>
      <c r="L5965" s="7" t="e">
        <f>Planning[[#This Row],[Saldo]]</f>
        <v>#REF!</v>
      </c>
      <c r="M5965" s="19" t="e">
        <f>Planning[[#This Row],[Saldo]]-Planning[[#This Row],[Saldo estimado]]</f>
        <v>#REF!</v>
      </c>
      <c r="N5965" s="60" t="e">
        <f>+SUMIFS(#REF!,#REF!,Planning[[#This Row],[Proyectos]],#REF!,Planning[[#This Row],[Tipo de Tarea y especialidad]])+SUMIFS(#REF!,#REF!,Planning[[#This Row],[Proyectos Reiwa]],#REF!,Planning[[#This Row],[Tipo de Tarea y especialidad]])</f>
        <v>#REF!</v>
      </c>
      <c r="O5965" s="34">
        <f t="shared" si="187"/>
        <v>10</v>
      </c>
      <c r="P5965" s="34">
        <f t="shared" si="188"/>
        <v>2024</v>
      </c>
      <c r="Q59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65" s="34" t="str">
        <f>TEXT(Planning[[#This Row],[Mes]]*29,"mmmm")</f>
        <v>October</v>
      </c>
      <c r="S596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65" s="154"/>
      <c r="U5965" s="115"/>
      <c r="V5965" s="115"/>
      <c r="W5965" s="115"/>
    </row>
    <row r="5966" spans="1:23" ht="13.35" customHeight="1" x14ac:dyDescent="0.2">
      <c r="A5966" s="77" t="s">
        <v>626</v>
      </c>
      <c r="B5966" s="77" t="s">
        <v>779</v>
      </c>
      <c r="C5966" s="125">
        <v>123692</v>
      </c>
      <c r="D5966" s="125"/>
      <c r="E5966" s="125" t="s">
        <v>31</v>
      </c>
      <c r="F5966" s="125" t="s">
        <v>31</v>
      </c>
      <c r="G5966" s="124">
        <v>24</v>
      </c>
      <c r="H5966" s="122">
        <v>0</v>
      </c>
      <c r="I5966" s="122"/>
      <c r="J5966" s="14" t="e">
        <f>+SUMIFS(#REF!,#REF!,Planning[[#This Row],[Tarifa]],#REF!,Planning[[#This Row],[Proyectos]])</f>
        <v>#REF!</v>
      </c>
      <c r="K5966" s="14" t="e">
        <f>+Planning[[#This Row],[Horas Planificadas]]+Planning[[#This Row],[Horas ajustadas adicionales]]-Planning[[#This Row],[Horas utilizadas]]</f>
        <v>#REF!</v>
      </c>
      <c r="L5966" s="15" t="e">
        <f>Planning[[#This Row],[Saldo]]</f>
        <v>#REF!</v>
      </c>
      <c r="M5966" s="19" t="e">
        <f>Planning[[#This Row],[Saldo]]-Planning[[#This Row],[Saldo estimado]]</f>
        <v>#REF!</v>
      </c>
      <c r="N5966" s="60" t="e">
        <f>+SUMIFS(#REF!,#REF!,Planning[[#This Row],[Proyectos]],#REF!,Planning[[#This Row],[Tipo de Tarea y especialidad]])+SUMIFS(#REF!,#REF!,Planning[[#This Row],[Proyectos Reiwa]],#REF!,Planning[[#This Row],[Tipo de Tarea y especialidad]])</f>
        <v>#REF!</v>
      </c>
      <c r="O5966" s="34">
        <f t="shared" si="187"/>
        <v>10</v>
      </c>
      <c r="P5966" s="34">
        <f t="shared" si="188"/>
        <v>2024</v>
      </c>
      <c r="Q5966" s="16" t="e">
        <f>+SUMIFS(#REF!,#REF!,Planning[[#This Row],[Tarifa]],#REF!,Planning[[#This Row],[Proyectos]],#REF!,Planning[[#This Row],[Mes]],#REF!,Planning[[#This Row],[Año]])</f>
        <v>#REF!</v>
      </c>
      <c r="R5966" s="35" t="str">
        <f>TEXT(Planning[[#This Row],[Mes]]*29,"mmmm")</f>
        <v>October</v>
      </c>
      <c r="S596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66" s="154"/>
      <c r="U5966" s="115"/>
      <c r="V5966" s="115"/>
      <c r="W5966" s="115"/>
    </row>
    <row r="5967" spans="1:23" ht="13.35" customHeight="1" x14ac:dyDescent="0.2">
      <c r="A5967" s="77" t="s">
        <v>626</v>
      </c>
      <c r="B5967" s="77" t="s">
        <v>779</v>
      </c>
      <c r="C5967" s="123">
        <v>123692</v>
      </c>
      <c r="D5967" s="123"/>
      <c r="E5967" s="123" t="s">
        <v>32</v>
      </c>
      <c r="F5967" s="123"/>
      <c r="G5967" s="77">
        <f>G5968+G5969+G5970</f>
        <v>18</v>
      </c>
      <c r="H5967" s="122">
        <f>H5968+H5969+H5970</f>
        <v>36</v>
      </c>
      <c r="I5967" s="122"/>
      <c r="J5967" s="14" t="e">
        <f>SUM(J5968:J5970)</f>
        <v>#REF!</v>
      </c>
      <c r="K5967" s="14" t="e">
        <f>+Planning[[#This Row],[Horas Planificadas]]+Planning[[#This Row],[Horas ajustadas adicionales]]-Planning[[#This Row],[Horas utilizadas]]</f>
        <v>#REF!</v>
      </c>
      <c r="L5967" s="15" t="e">
        <f>SUM(L5968:L5970)</f>
        <v>#REF!</v>
      </c>
      <c r="M5967" s="19" t="e">
        <f>Planning[[#This Row],[Saldo]]-Planning[[#This Row],[Saldo estimado]]</f>
        <v>#REF!</v>
      </c>
      <c r="N5967" s="60" t="e">
        <f>+SUMIFS(#REF!,#REF!,Planning[[#This Row],[Proyectos]],#REF!,Planning[[#This Row],[Tipo de Tarea y especialidad]])+SUMIFS(#REF!,#REF!,Planning[[#This Row],[Proyectos Reiwa]],#REF!,Planning[[#This Row],[Tipo de Tarea y especialidad]])</f>
        <v>#REF!</v>
      </c>
      <c r="O5967" s="34">
        <f t="shared" si="187"/>
        <v>10</v>
      </c>
      <c r="P5967" s="34">
        <f t="shared" si="188"/>
        <v>2024</v>
      </c>
      <c r="Q5967" s="16" t="e">
        <f>SUM(Q5968:Q5970)</f>
        <v>#REF!</v>
      </c>
      <c r="R5967" s="35" t="str">
        <f>TEXT(Planning[[#This Row],[Mes]]*29,"mmmm")</f>
        <v>October</v>
      </c>
      <c r="S596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67" s="154"/>
      <c r="U5967" s="115"/>
      <c r="V5967" s="115"/>
      <c r="W5967" s="115"/>
    </row>
    <row r="5968" spans="1:23" ht="13.35" customHeight="1" x14ac:dyDescent="0.2">
      <c r="A5968" s="77" t="s">
        <v>626</v>
      </c>
      <c r="B5968" s="77" t="s">
        <v>779</v>
      </c>
      <c r="C5968" s="125">
        <v>123692</v>
      </c>
      <c r="D5968" s="125"/>
      <c r="E5968" s="125"/>
      <c r="F5968" s="125" t="s">
        <v>129</v>
      </c>
      <c r="G5968" s="124">
        <v>0</v>
      </c>
      <c r="H5968" s="77">
        <v>0</v>
      </c>
      <c r="I5968" s="77"/>
      <c r="J5968" s="5" t="e">
        <f>SUM(SUMIFS(#REF!,#REF!,Planning[[#This Row],[Tipo de Tarea y especialidad]],#REF!,Planning[[#This Row],[Proyectos Reiwa]]),SUMIFS(#REF!,#REF!,Planning[[#This Row],[Tipo de Tarea y especialidad]],#REF!,Planning[[#This Row],[Proyectos]]))</f>
        <v>#REF!</v>
      </c>
      <c r="K5968" s="5" t="e">
        <f>+Planning[[#This Row],[Horas Planificadas]]+Planning[[#This Row],[Horas ajustadas adicionales]]-Planning[[#This Row],[Horas utilizadas]]</f>
        <v>#REF!</v>
      </c>
      <c r="L5968" s="7" t="e">
        <f>Planning[[#This Row],[Saldo]]</f>
        <v>#REF!</v>
      </c>
      <c r="M5968" s="19" t="e">
        <f>Planning[[#This Row],[Saldo]]-Planning[[#This Row],[Saldo estimado]]</f>
        <v>#REF!</v>
      </c>
      <c r="N5968" s="60" t="e">
        <f>+SUMIFS(#REF!,#REF!,Planning[[#This Row],[Proyectos]],#REF!,Planning[[#This Row],[Tipo de Tarea y especialidad]])+SUMIFS(#REF!,#REF!,Planning[[#This Row],[Proyectos Reiwa]],#REF!,Planning[[#This Row],[Tipo de Tarea y especialidad]])</f>
        <v>#REF!</v>
      </c>
      <c r="O5968" s="34">
        <f t="shared" si="187"/>
        <v>10</v>
      </c>
      <c r="P5968" s="34">
        <f t="shared" si="188"/>
        <v>2024</v>
      </c>
      <c r="Q59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68" s="34" t="str">
        <f>TEXT(Planning[[#This Row],[Mes]]*29,"mmmm")</f>
        <v>October</v>
      </c>
      <c r="S596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68" s="154"/>
      <c r="U5968" s="115"/>
      <c r="V5968" s="115"/>
      <c r="W5968" s="115"/>
    </row>
    <row r="5969" spans="1:23" ht="13.35" customHeight="1" x14ac:dyDescent="0.2">
      <c r="A5969" s="77" t="s">
        <v>626</v>
      </c>
      <c r="B5969" s="77" t="s">
        <v>779</v>
      </c>
      <c r="C5969" s="123">
        <v>123692</v>
      </c>
      <c r="D5969" s="123"/>
      <c r="E5969" s="123"/>
      <c r="F5969" s="123" t="s">
        <v>130</v>
      </c>
      <c r="G5969" s="124">
        <v>18</v>
      </c>
      <c r="H5969" s="77">
        <v>36</v>
      </c>
      <c r="I5969" s="77"/>
      <c r="J5969" s="5" t="e">
        <f>SUM(SUMIFS(#REF!,#REF!,Planning[[#This Row],[Tipo de Tarea y especialidad]],#REF!,Planning[[#This Row],[Proyectos Reiwa]]),SUMIFS(#REF!,#REF!,Planning[[#This Row],[Tipo de Tarea y especialidad]],#REF!,Planning[[#This Row],[Proyectos]]))</f>
        <v>#REF!</v>
      </c>
      <c r="K5969" s="5" t="e">
        <f>+Planning[[#This Row],[Horas Planificadas]]+Planning[[#This Row],[Horas ajustadas adicionales]]-Planning[[#This Row],[Horas utilizadas]]</f>
        <v>#REF!</v>
      </c>
      <c r="L5969" s="7" t="e">
        <f>Planning[[#This Row],[Saldo]]</f>
        <v>#REF!</v>
      </c>
      <c r="M5969" s="19" t="e">
        <f>Planning[[#This Row],[Saldo]]-Planning[[#This Row],[Saldo estimado]]</f>
        <v>#REF!</v>
      </c>
      <c r="N5969" s="60" t="e">
        <f>+SUMIFS(#REF!,#REF!,Planning[[#This Row],[Proyectos]],#REF!,Planning[[#This Row],[Tipo de Tarea y especialidad]])+SUMIFS(#REF!,#REF!,Planning[[#This Row],[Proyectos Reiwa]],#REF!,Planning[[#This Row],[Tipo de Tarea y especialidad]])</f>
        <v>#REF!</v>
      </c>
      <c r="O5969" s="34">
        <f t="shared" si="187"/>
        <v>10</v>
      </c>
      <c r="P5969" s="34">
        <f t="shared" si="188"/>
        <v>2024</v>
      </c>
      <c r="Q59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69" s="34" t="str">
        <f>TEXT(Planning[[#This Row],[Mes]]*29,"mmmm")</f>
        <v>October</v>
      </c>
      <c r="S596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69" s="154"/>
      <c r="U5969" s="115"/>
      <c r="V5969" s="115"/>
      <c r="W5969" s="115"/>
    </row>
    <row r="5970" spans="1:23" ht="13.35" customHeight="1" x14ac:dyDescent="0.2">
      <c r="A5970" s="80" t="s">
        <v>626</v>
      </c>
      <c r="B5970" s="80" t="s">
        <v>779</v>
      </c>
      <c r="C5970" s="125">
        <v>123692</v>
      </c>
      <c r="D5970" s="125"/>
      <c r="E5970" s="125"/>
      <c r="F5970" s="125" t="s">
        <v>131</v>
      </c>
      <c r="G5970" s="124">
        <v>0</v>
      </c>
      <c r="H5970" s="124">
        <v>0</v>
      </c>
      <c r="I5970" s="124"/>
      <c r="J5970" s="5" t="e">
        <f>SUM(SUMIFS(#REF!,#REF!,Planning[[#This Row],[Tipo de Tarea y especialidad]],#REF!,Planning[[#This Row],[Proyectos Reiwa]]),SUMIFS(#REF!,#REF!,Planning[[#This Row],[Tipo de Tarea y especialidad]],#REF!,Planning[[#This Row],[Proyectos]]))</f>
        <v>#REF!</v>
      </c>
      <c r="K5970" s="5" t="e">
        <f>+Planning[[#This Row],[Horas Planificadas]]+Planning[[#This Row],[Horas ajustadas adicionales]]-Planning[[#This Row],[Horas utilizadas]]</f>
        <v>#REF!</v>
      </c>
      <c r="L5970" s="7" t="e">
        <f>Planning[[#This Row],[Saldo]]</f>
        <v>#REF!</v>
      </c>
      <c r="M5970" s="19" t="e">
        <f>Planning[[#This Row],[Saldo]]-Planning[[#This Row],[Saldo estimado]]</f>
        <v>#REF!</v>
      </c>
      <c r="N5970" s="60" t="e">
        <f>+SUMIFS(#REF!,#REF!,Planning[[#This Row],[Proyectos]],#REF!,Planning[[#This Row],[Tipo de Tarea y especialidad]])+SUMIFS(#REF!,#REF!,Planning[[#This Row],[Proyectos Reiwa]],#REF!,Planning[[#This Row],[Tipo de Tarea y especialidad]])</f>
        <v>#REF!</v>
      </c>
      <c r="O5970" s="34">
        <f t="shared" si="187"/>
        <v>10</v>
      </c>
      <c r="P5970" s="34">
        <f t="shared" si="188"/>
        <v>2024</v>
      </c>
      <c r="Q597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70" s="34" t="str">
        <f>TEXT(Planning[[#This Row],[Mes]]*29,"mmmm")</f>
        <v>October</v>
      </c>
      <c r="S597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70" s="155"/>
      <c r="U5970" s="115"/>
      <c r="V5970" s="115"/>
      <c r="W5970" s="115"/>
    </row>
    <row r="5971" spans="1:23" ht="13.35" customHeight="1" x14ac:dyDescent="0.2">
      <c r="A5971" s="124" t="s">
        <v>483</v>
      </c>
      <c r="B5971" s="124" t="s">
        <v>118</v>
      </c>
      <c r="C5971" s="121">
        <v>124062</v>
      </c>
      <c r="D5971" s="123"/>
      <c r="E5971" s="123" t="s">
        <v>28</v>
      </c>
      <c r="F5971" s="123"/>
      <c r="G5971" s="126">
        <f>+G5972+G5973</f>
        <v>2940</v>
      </c>
      <c r="H5971" s="126">
        <f>+H5972+H5973</f>
        <v>2940</v>
      </c>
      <c r="I5971" s="126">
        <f>+I5972+I5973</f>
        <v>0</v>
      </c>
      <c r="J5971" s="14" t="e">
        <f>SUM(J5972:J5973)</f>
        <v>#REF!</v>
      </c>
      <c r="K5971" s="14" t="e">
        <f>+Planning[[#This Row],[Horas Planificadas]]+Planning[[#This Row],[Horas ajustadas adicionales]]-Planning[[#This Row],[Horas utilizadas]]</f>
        <v>#REF!</v>
      </c>
      <c r="L5971" s="15" t="e">
        <f>SUM(L5972:L5973)</f>
        <v>#REF!</v>
      </c>
      <c r="M5971" s="19" t="e">
        <f>Planning[[#This Row],[Saldo]]-Planning[[#This Row],[Saldo estimado]]</f>
        <v>#REF!</v>
      </c>
      <c r="N5971" s="60" t="e">
        <f>+SUMIFS(#REF!,#REF!,Planning[[#This Row],[Proyectos]],#REF!,Planning[[#This Row],[Tipo de Tarea y especialidad]])+SUMIFS(#REF!,#REF!,Planning[[#This Row],[Proyectos Reiwa]],#REF!,Planning[[#This Row],[Tipo de Tarea y especialidad]])</f>
        <v>#REF!</v>
      </c>
      <c r="O5971" s="34">
        <f t="shared" ref="O5971:O6035" si="189">$L$4</f>
        <v>10</v>
      </c>
      <c r="P5971" s="34">
        <f t="shared" ref="P5971:P6035" si="190">$M$4</f>
        <v>2024</v>
      </c>
      <c r="Q5971" s="28" t="e">
        <f>SUM(Q5972:Q5973)</f>
        <v>#REF!</v>
      </c>
      <c r="R5971" s="14" t="str">
        <f>TEXT(Planning[[#This Row],[Mes]]*29,"mmmm")</f>
        <v>October</v>
      </c>
      <c r="S597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71" s="154" t="s">
        <v>1041</v>
      </c>
      <c r="U5971" s="115"/>
      <c r="V5971" s="115"/>
      <c r="W5971" s="115"/>
    </row>
    <row r="5972" spans="1:23" ht="13.35" customHeight="1" x14ac:dyDescent="0.2">
      <c r="A5972" s="124" t="s">
        <v>483</v>
      </c>
      <c r="B5972" s="124" t="s">
        <v>118</v>
      </c>
      <c r="C5972" s="125">
        <v>124062</v>
      </c>
      <c r="D5972" s="125"/>
      <c r="E5972" s="125"/>
      <c r="F5972" s="125" t="s">
        <v>120</v>
      </c>
      <c r="G5972" s="124">
        <v>1805</v>
      </c>
      <c r="H5972" s="124">
        <v>1805</v>
      </c>
      <c r="I5972" s="124"/>
      <c r="J5972" s="5" t="e">
        <f>SUM(SUMIFS(#REF!,#REF!,Planning[[#This Row],[Tipo de Tarea y especialidad]],#REF!,Planning[[#This Row],[Proyectos Reiwa]]),SUMIFS(#REF!,#REF!,Planning[[#This Row],[Tipo de Tarea y especialidad]],#REF!,Planning[[#This Row],[Proyectos]]))</f>
        <v>#REF!</v>
      </c>
      <c r="K5972" s="5" t="e">
        <f>+Planning[[#This Row],[Horas Planificadas]]+Planning[[#This Row],[Horas ajustadas adicionales]]-Planning[[#This Row],[Horas utilizadas]]</f>
        <v>#REF!</v>
      </c>
      <c r="L5972" s="7" t="e">
        <f>Planning[[#This Row],[Saldo]]</f>
        <v>#REF!</v>
      </c>
      <c r="M5972" s="19" t="e">
        <f>Planning[[#This Row],[Saldo]]-Planning[[#This Row],[Saldo estimado]]</f>
        <v>#REF!</v>
      </c>
      <c r="N5972" s="60" t="e">
        <f>+SUMIFS(#REF!,#REF!,Planning[[#This Row],[Proyectos]],#REF!,Planning[[#This Row],[Tipo de Tarea y especialidad]])+SUMIFS(#REF!,#REF!,Planning[[#This Row],[Proyectos Reiwa]],#REF!,Planning[[#This Row],[Tipo de Tarea y especialidad]])</f>
        <v>#REF!</v>
      </c>
      <c r="O5972" s="34">
        <f t="shared" si="189"/>
        <v>10</v>
      </c>
      <c r="P5972" s="34">
        <f t="shared" si="190"/>
        <v>2024</v>
      </c>
      <c r="Q59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72" s="34" t="str">
        <f>TEXT(Planning[[#This Row],[Mes]]*29,"mmmm")</f>
        <v>October</v>
      </c>
      <c r="S597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72" s="154"/>
      <c r="U5972" s="115"/>
      <c r="V5972" s="115"/>
      <c r="W5972" s="115"/>
    </row>
    <row r="5973" spans="1:23" ht="13.35" customHeight="1" x14ac:dyDescent="0.2">
      <c r="A5973" s="124" t="s">
        <v>483</v>
      </c>
      <c r="B5973" s="124" t="s">
        <v>118</v>
      </c>
      <c r="C5973" s="125">
        <v>124062</v>
      </c>
      <c r="D5973" s="123"/>
      <c r="E5973" s="123"/>
      <c r="F5973" s="123" t="s">
        <v>121</v>
      </c>
      <c r="G5973" s="124">
        <v>1135</v>
      </c>
      <c r="H5973" s="124">
        <v>1135</v>
      </c>
      <c r="I5973" s="124"/>
      <c r="J5973" s="5" t="e">
        <f>SUM(SUMIFS(#REF!,#REF!,Planning[[#This Row],[Tipo de Tarea y especialidad]],#REF!,Planning[[#This Row],[Proyectos Reiwa]]),SUMIFS(#REF!,#REF!,Planning[[#This Row],[Tipo de Tarea y especialidad]],#REF!,Planning[[#This Row],[Proyectos]]))</f>
        <v>#REF!</v>
      </c>
      <c r="K5973" s="5" t="e">
        <f>+Planning[[#This Row],[Horas Planificadas]]+Planning[[#This Row],[Horas ajustadas adicionales]]-Planning[[#This Row],[Horas utilizadas]]</f>
        <v>#REF!</v>
      </c>
      <c r="L5973" s="7" t="e">
        <f>Planning[[#This Row],[Saldo]]</f>
        <v>#REF!</v>
      </c>
      <c r="M5973" s="19" t="e">
        <f>Planning[[#This Row],[Saldo]]-Planning[[#This Row],[Saldo estimado]]</f>
        <v>#REF!</v>
      </c>
      <c r="N5973" s="60" t="e">
        <f>+SUMIFS(#REF!,#REF!,Planning[[#This Row],[Proyectos]],#REF!,Planning[[#This Row],[Tipo de Tarea y especialidad]])+SUMIFS(#REF!,#REF!,Planning[[#This Row],[Proyectos Reiwa]],#REF!,Planning[[#This Row],[Tipo de Tarea y especialidad]])</f>
        <v>#REF!</v>
      </c>
      <c r="O5973" s="34">
        <f t="shared" si="189"/>
        <v>10</v>
      </c>
      <c r="P5973" s="34">
        <f t="shared" si="190"/>
        <v>2024</v>
      </c>
      <c r="Q59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73" s="34" t="str">
        <f>TEXT(Planning[[#This Row],[Mes]]*29,"mmmm")</f>
        <v>October</v>
      </c>
      <c r="S597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73" s="154"/>
      <c r="U5973" s="115"/>
      <c r="V5973" s="115"/>
      <c r="W5973" s="115"/>
    </row>
    <row r="5974" spans="1:23" ht="13.35" customHeight="1" x14ac:dyDescent="0.2">
      <c r="A5974" s="124" t="s">
        <v>483</v>
      </c>
      <c r="B5974" s="124" t="s">
        <v>118</v>
      </c>
      <c r="C5974" s="125">
        <v>124062</v>
      </c>
      <c r="D5974" s="125"/>
      <c r="E5974" s="125" t="s">
        <v>30</v>
      </c>
      <c r="F5974" s="125"/>
      <c r="G5974" s="126">
        <f>SUM(G5975:G5981)</f>
        <v>3169</v>
      </c>
      <c r="H5974" s="126">
        <f>SUM(H5975:H5981)</f>
        <v>3169</v>
      </c>
      <c r="I5974" s="126">
        <f>SUM(I5975:I5981)</f>
        <v>0</v>
      </c>
      <c r="J5974" s="14" t="e">
        <f>SUM(J5975:J5981)</f>
        <v>#REF!</v>
      </c>
      <c r="K5974" s="14" t="e">
        <f>+Planning[[#This Row],[Horas Planificadas]]+Planning[[#This Row],[Horas ajustadas adicionales]]-Planning[[#This Row],[Horas utilizadas]]</f>
        <v>#REF!</v>
      </c>
      <c r="L5974" s="15" t="e">
        <f>SUM(L5975:L5981)</f>
        <v>#REF!</v>
      </c>
      <c r="M5974" s="19" t="e">
        <f>Planning[[#This Row],[Saldo]]-Planning[[#This Row],[Saldo estimado]]</f>
        <v>#REF!</v>
      </c>
      <c r="N5974" s="60" t="e">
        <f>+SUMIFS(#REF!,#REF!,Planning[[#This Row],[Proyectos]],#REF!,Planning[[#This Row],[Tipo de Tarea y especialidad]])+SUMIFS(#REF!,#REF!,Planning[[#This Row],[Proyectos Reiwa]],#REF!,Planning[[#This Row],[Tipo de Tarea y especialidad]])</f>
        <v>#REF!</v>
      </c>
      <c r="O5974" s="34">
        <f t="shared" si="189"/>
        <v>10</v>
      </c>
      <c r="P5974" s="34">
        <f t="shared" si="190"/>
        <v>2024</v>
      </c>
      <c r="Q5974" s="16" t="e">
        <f>SUM(Q5975:Q5981)</f>
        <v>#REF!</v>
      </c>
      <c r="R5974" s="35" t="str">
        <f>TEXT(Planning[[#This Row],[Mes]]*29,"mmmm")</f>
        <v>October</v>
      </c>
      <c r="S597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74" s="154"/>
      <c r="U5974" s="115"/>
      <c r="V5974" s="115"/>
      <c r="W5974" s="115"/>
    </row>
    <row r="5975" spans="1:23" ht="13.35" customHeight="1" x14ac:dyDescent="0.2">
      <c r="A5975" s="124" t="s">
        <v>483</v>
      </c>
      <c r="B5975" s="124" t="s">
        <v>118</v>
      </c>
      <c r="C5975" s="125">
        <v>124062</v>
      </c>
      <c r="D5975" s="123"/>
      <c r="E5975" s="123"/>
      <c r="F5975" s="123" t="s">
        <v>122</v>
      </c>
      <c r="G5975" s="124">
        <v>659</v>
      </c>
      <c r="H5975" s="124">
        <v>659</v>
      </c>
      <c r="I5975" s="124"/>
      <c r="J5975" s="5" t="e">
        <f>SUM(SUMIFS(#REF!,#REF!,Planning[[#This Row],[Tipo de Tarea y especialidad]],#REF!,Planning[[#This Row],[Proyectos Reiwa]]),SUMIFS(#REF!,#REF!,Planning[[#This Row],[Tipo de Tarea y especialidad]],#REF!,Planning[[#This Row],[Proyectos]]))</f>
        <v>#REF!</v>
      </c>
      <c r="K5975" s="5" t="e">
        <f>+Planning[[#This Row],[Horas Planificadas]]+Planning[[#This Row],[Horas ajustadas adicionales]]-Planning[[#This Row],[Horas utilizadas]]</f>
        <v>#REF!</v>
      </c>
      <c r="L5975" s="7" t="e">
        <f>Planning[[#This Row],[Saldo]]</f>
        <v>#REF!</v>
      </c>
      <c r="M5975" s="19" t="e">
        <f>Planning[[#This Row],[Saldo]]-Planning[[#This Row],[Saldo estimado]]</f>
        <v>#REF!</v>
      </c>
      <c r="N5975" s="60" t="e">
        <f>+SUMIFS(#REF!,#REF!,Planning[[#This Row],[Proyectos]],#REF!,Planning[[#This Row],[Tipo de Tarea y especialidad]])+SUMIFS(#REF!,#REF!,Planning[[#This Row],[Proyectos Reiwa]],#REF!,Planning[[#This Row],[Tipo de Tarea y especialidad]])</f>
        <v>#REF!</v>
      </c>
      <c r="O5975" s="34">
        <f t="shared" si="189"/>
        <v>10</v>
      </c>
      <c r="P5975" s="34">
        <f t="shared" si="190"/>
        <v>2024</v>
      </c>
      <c r="Q59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75" s="34" t="str">
        <f>TEXT(Planning[[#This Row],[Mes]]*29,"mmmm")</f>
        <v>October</v>
      </c>
      <c r="S597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75" s="154"/>
      <c r="U5975" s="115"/>
      <c r="V5975" s="115"/>
      <c r="W5975" s="115"/>
    </row>
    <row r="5976" spans="1:23" ht="13.35" customHeight="1" x14ac:dyDescent="0.2">
      <c r="A5976" s="124" t="s">
        <v>483</v>
      </c>
      <c r="B5976" s="124" t="s">
        <v>118</v>
      </c>
      <c r="C5976" s="125">
        <v>124062</v>
      </c>
      <c r="D5976" s="125"/>
      <c r="E5976" s="125"/>
      <c r="F5976" s="125" t="s">
        <v>123</v>
      </c>
      <c r="G5976" s="124">
        <v>496</v>
      </c>
      <c r="H5976" s="124">
        <v>496</v>
      </c>
      <c r="I5976" s="124"/>
      <c r="J5976" s="5" t="e">
        <f>SUM(SUMIFS(#REF!,#REF!,Planning[[#This Row],[Tipo de Tarea y especialidad]],#REF!,Planning[[#This Row],[Proyectos Reiwa]]),SUMIFS(#REF!,#REF!,Planning[[#This Row],[Tipo de Tarea y especialidad]],#REF!,Planning[[#This Row],[Proyectos]]))</f>
        <v>#REF!</v>
      </c>
      <c r="K5976" s="5" t="e">
        <f>+Planning[[#This Row],[Horas Planificadas]]+Planning[[#This Row],[Horas ajustadas adicionales]]-Planning[[#This Row],[Horas utilizadas]]</f>
        <v>#REF!</v>
      </c>
      <c r="L5976" s="7" t="e">
        <f>Planning[[#This Row],[Saldo]]</f>
        <v>#REF!</v>
      </c>
      <c r="M5976" s="19" t="e">
        <f>Planning[[#This Row],[Saldo]]-Planning[[#This Row],[Saldo estimado]]</f>
        <v>#REF!</v>
      </c>
      <c r="N5976" s="60" t="e">
        <f>+SUMIFS(#REF!,#REF!,Planning[[#This Row],[Proyectos]],#REF!,Planning[[#This Row],[Tipo de Tarea y especialidad]])+SUMIFS(#REF!,#REF!,Planning[[#This Row],[Proyectos Reiwa]],#REF!,Planning[[#This Row],[Tipo de Tarea y especialidad]])</f>
        <v>#REF!</v>
      </c>
      <c r="O5976" s="34">
        <f t="shared" si="189"/>
        <v>10</v>
      </c>
      <c r="P5976" s="34">
        <f t="shared" si="190"/>
        <v>2024</v>
      </c>
      <c r="Q59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76" s="34" t="str">
        <f>TEXT(Planning[[#This Row],[Mes]]*29,"mmmm")</f>
        <v>October</v>
      </c>
      <c r="S597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76" s="154"/>
      <c r="U5976" s="115"/>
      <c r="V5976" s="115"/>
      <c r="W5976" s="115"/>
    </row>
    <row r="5977" spans="1:23" ht="13.35" customHeight="1" x14ac:dyDescent="0.2">
      <c r="A5977" s="124" t="s">
        <v>483</v>
      </c>
      <c r="B5977" s="124" t="s">
        <v>118</v>
      </c>
      <c r="C5977" s="125">
        <v>124062</v>
      </c>
      <c r="D5977" s="123"/>
      <c r="E5977" s="123"/>
      <c r="F5977" s="123" t="s">
        <v>124</v>
      </c>
      <c r="G5977" s="124">
        <v>390</v>
      </c>
      <c r="H5977" s="124">
        <v>390</v>
      </c>
      <c r="I5977" s="124"/>
      <c r="J5977" s="5" t="e">
        <f>SUM(SUMIFS(#REF!,#REF!,Planning[[#This Row],[Tipo de Tarea y especialidad]],#REF!,Planning[[#This Row],[Proyectos Reiwa]]),SUMIFS(#REF!,#REF!,Planning[[#This Row],[Tipo de Tarea y especialidad]],#REF!,Planning[[#This Row],[Proyectos]]))</f>
        <v>#REF!</v>
      </c>
      <c r="K5977" s="5" t="e">
        <f>+Planning[[#This Row],[Horas Planificadas]]+Planning[[#This Row],[Horas ajustadas adicionales]]-Planning[[#This Row],[Horas utilizadas]]</f>
        <v>#REF!</v>
      </c>
      <c r="L5977" s="7" t="e">
        <f>Planning[[#This Row],[Saldo]]</f>
        <v>#REF!</v>
      </c>
      <c r="M5977" s="19" t="e">
        <f>Planning[[#This Row],[Saldo]]-Planning[[#This Row],[Saldo estimado]]</f>
        <v>#REF!</v>
      </c>
      <c r="N5977" s="60" t="e">
        <f>+SUMIFS(#REF!,#REF!,Planning[[#This Row],[Proyectos]],#REF!,Planning[[#This Row],[Tipo de Tarea y especialidad]])+SUMIFS(#REF!,#REF!,Planning[[#This Row],[Proyectos Reiwa]],#REF!,Planning[[#This Row],[Tipo de Tarea y especialidad]])</f>
        <v>#REF!</v>
      </c>
      <c r="O5977" s="34">
        <f t="shared" si="189"/>
        <v>10</v>
      </c>
      <c r="P5977" s="34">
        <f t="shared" si="190"/>
        <v>2024</v>
      </c>
      <c r="Q59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77" s="34" t="str">
        <f>TEXT(Planning[[#This Row],[Mes]]*29,"mmmm")</f>
        <v>October</v>
      </c>
      <c r="S597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77" s="154"/>
      <c r="U5977" s="115"/>
      <c r="V5977" s="115"/>
      <c r="W5977" s="115"/>
    </row>
    <row r="5978" spans="1:23" ht="13.35" customHeight="1" x14ac:dyDescent="0.2">
      <c r="A5978" s="124" t="s">
        <v>483</v>
      </c>
      <c r="B5978" s="124" t="s">
        <v>118</v>
      </c>
      <c r="C5978" s="125">
        <v>124062</v>
      </c>
      <c r="D5978" s="125"/>
      <c r="E5978" s="125"/>
      <c r="F5978" s="125" t="s">
        <v>125</v>
      </c>
      <c r="G5978" s="124">
        <v>490</v>
      </c>
      <c r="H5978" s="124">
        <v>490</v>
      </c>
      <c r="I5978" s="124"/>
      <c r="J5978" s="5" t="e">
        <f>SUM(SUMIFS(#REF!,#REF!,Planning[[#This Row],[Tipo de Tarea y especialidad]],#REF!,Planning[[#This Row],[Proyectos Reiwa]]),SUMIFS(#REF!,#REF!,Planning[[#This Row],[Tipo de Tarea y especialidad]],#REF!,Planning[[#This Row],[Proyectos]]))</f>
        <v>#REF!</v>
      </c>
      <c r="K5978" s="5" t="e">
        <f>+Planning[[#This Row],[Horas Planificadas]]+Planning[[#This Row],[Horas ajustadas adicionales]]-Planning[[#This Row],[Horas utilizadas]]</f>
        <v>#REF!</v>
      </c>
      <c r="L5978" s="7" t="e">
        <f>Planning[[#This Row],[Saldo]]</f>
        <v>#REF!</v>
      </c>
      <c r="M5978" s="19" t="e">
        <f>Planning[[#This Row],[Saldo]]-Planning[[#This Row],[Saldo estimado]]</f>
        <v>#REF!</v>
      </c>
      <c r="N5978" s="60" t="e">
        <f>+SUMIFS(#REF!,#REF!,Planning[[#This Row],[Proyectos]],#REF!,Planning[[#This Row],[Tipo de Tarea y especialidad]])+SUMIFS(#REF!,#REF!,Planning[[#This Row],[Proyectos Reiwa]],#REF!,Planning[[#This Row],[Tipo de Tarea y especialidad]])</f>
        <v>#REF!</v>
      </c>
      <c r="O5978" s="34">
        <f t="shared" si="189"/>
        <v>10</v>
      </c>
      <c r="P5978" s="34">
        <f t="shared" si="190"/>
        <v>2024</v>
      </c>
      <c r="Q597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78" s="34" t="str">
        <f>TEXT(Planning[[#This Row],[Mes]]*29,"mmmm")</f>
        <v>October</v>
      </c>
      <c r="S597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78" s="154"/>
      <c r="U5978" s="115"/>
      <c r="V5978" s="115"/>
      <c r="W5978" s="115"/>
    </row>
    <row r="5979" spans="1:23" ht="13.35" customHeight="1" x14ac:dyDescent="0.2">
      <c r="A5979" s="124" t="s">
        <v>483</v>
      </c>
      <c r="B5979" s="124" t="s">
        <v>118</v>
      </c>
      <c r="C5979" s="125">
        <v>124062</v>
      </c>
      <c r="D5979" s="123"/>
      <c r="E5979" s="123"/>
      <c r="F5979" s="123" t="s">
        <v>126</v>
      </c>
      <c r="G5979" s="124">
        <v>534</v>
      </c>
      <c r="H5979" s="124">
        <v>534</v>
      </c>
      <c r="I5979" s="124"/>
      <c r="J5979" s="5" t="e">
        <f>SUM(SUMIFS(#REF!,#REF!,Planning[[#This Row],[Tipo de Tarea y especialidad]],#REF!,Planning[[#This Row],[Proyectos Reiwa]]),SUMIFS(#REF!,#REF!,Planning[[#This Row],[Tipo de Tarea y especialidad]],#REF!,Planning[[#This Row],[Proyectos]]))</f>
        <v>#REF!</v>
      </c>
      <c r="K5979" s="5" t="e">
        <f>+Planning[[#This Row],[Horas Planificadas]]+Planning[[#This Row],[Horas ajustadas adicionales]]-Planning[[#This Row],[Horas utilizadas]]</f>
        <v>#REF!</v>
      </c>
      <c r="L5979" s="7" t="e">
        <f>Planning[[#This Row],[Saldo]]</f>
        <v>#REF!</v>
      </c>
      <c r="M5979" s="19" t="e">
        <f>Planning[[#This Row],[Saldo]]-Planning[[#This Row],[Saldo estimado]]</f>
        <v>#REF!</v>
      </c>
      <c r="N5979" s="60" t="e">
        <f>+SUMIFS(#REF!,#REF!,Planning[[#This Row],[Proyectos]],#REF!,Planning[[#This Row],[Tipo de Tarea y especialidad]])+SUMIFS(#REF!,#REF!,Planning[[#This Row],[Proyectos Reiwa]],#REF!,Planning[[#This Row],[Tipo de Tarea y especialidad]])</f>
        <v>#REF!</v>
      </c>
      <c r="O5979" s="34">
        <f t="shared" si="189"/>
        <v>10</v>
      </c>
      <c r="P5979" s="34">
        <f t="shared" si="190"/>
        <v>2024</v>
      </c>
      <c r="Q597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79" s="34" t="str">
        <f>TEXT(Planning[[#This Row],[Mes]]*29,"mmmm")</f>
        <v>October</v>
      </c>
      <c r="S597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79" s="154"/>
      <c r="U5979" s="115"/>
      <c r="V5979" s="115"/>
      <c r="W5979" s="115"/>
    </row>
    <row r="5980" spans="1:23" ht="13.35" customHeight="1" x14ac:dyDescent="0.2">
      <c r="A5980" s="124" t="s">
        <v>483</v>
      </c>
      <c r="B5980" s="124" t="s">
        <v>118</v>
      </c>
      <c r="C5980" s="125">
        <v>124062</v>
      </c>
      <c r="D5980" s="125"/>
      <c r="E5980" s="125"/>
      <c r="F5980" s="125" t="s">
        <v>127</v>
      </c>
      <c r="G5980" s="124">
        <v>258</v>
      </c>
      <c r="H5980" s="124">
        <v>258</v>
      </c>
      <c r="I5980" s="124"/>
      <c r="J5980" s="5" t="e">
        <f>SUM(SUMIFS(#REF!,#REF!,Planning[[#This Row],[Tipo de Tarea y especialidad]],#REF!,Planning[[#This Row],[Proyectos Reiwa]]),SUMIFS(#REF!,#REF!,Planning[[#This Row],[Tipo de Tarea y especialidad]],#REF!,Planning[[#This Row],[Proyectos]]))</f>
        <v>#REF!</v>
      </c>
      <c r="K5980" s="5" t="e">
        <f>+Planning[[#This Row],[Horas Planificadas]]+Planning[[#This Row],[Horas ajustadas adicionales]]-Planning[[#This Row],[Horas utilizadas]]</f>
        <v>#REF!</v>
      </c>
      <c r="L5980" s="7" t="e">
        <f>Planning[[#This Row],[Saldo]]</f>
        <v>#REF!</v>
      </c>
      <c r="M5980" s="19" t="e">
        <f>Planning[[#This Row],[Saldo]]-Planning[[#This Row],[Saldo estimado]]</f>
        <v>#REF!</v>
      </c>
      <c r="N5980" s="60" t="e">
        <f>+SUMIFS(#REF!,#REF!,Planning[[#This Row],[Proyectos]],#REF!,Planning[[#This Row],[Tipo de Tarea y especialidad]])+SUMIFS(#REF!,#REF!,Planning[[#This Row],[Proyectos Reiwa]],#REF!,Planning[[#This Row],[Tipo de Tarea y especialidad]])</f>
        <v>#REF!</v>
      </c>
      <c r="O5980" s="34">
        <f t="shared" si="189"/>
        <v>10</v>
      </c>
      <c r="P5980" s="34">
        <f t="shared" si="190"/>
        <v>2024</v>
      </c>
      <c r="Q59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80" s="34" t="str">
        <f>TEXT(Planning[[#This Row],[Mes]]*29,"mmmm")</f>
        <v>October</v>
      </c>
      <c r="S598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80" s="154"/>
      <c r="U5980" s="115"/>
      <c r="V5980" s="115"/>
      <c r="W5980" s="115"/>
    </row>
    <row r="5981" spans="1:23" ht="13.35" customHeight="1" x14ac:dyDescent="0.2">
      <c r="A5981" s="124" t="s">
        <v>483</v>
      </c>
      <c r="B5981" s="124" t="s">
        <v>118</v>
      </c>
      <c r="C5981" s="125">
        <v>124062</v>
      </c>
      <c r="D5981" s="123"/>
      <c r="E5981" s="123"/>
      <c r="F5981" s="123" t="s">
        <v>128</v>
      </c>
      <c r="G5981" s="124">
        <v>342</v>
      </c>
      <c r="H5981" s="124">
        <v>342</v>
      </c>
      <c r="I5981" s="124"/>
      <c r="J5981" s="5" t="e">
        <f>SUM(SUMIFS(#REF!,#REF!,Planning[[#This Row],[Tipo de Tarea y especialidad]],#REF!,Planning[[#This Row],[Proyectos Reiwa]]),SUMIFS(#REF!,#REF!,Planning[[#This Row],[Tipo de Tarea y especialidad]],#REF!,Planning[[#This Row],[Proyectos]]))</f>
        <v>#REF!</v>
      </c>
      <c r="K5981" s="5" t="e">
        <f>+Planning[[#This Row],[Horas Planificadas]]+Planning[[#This Row],[Horas ajustadas adicionales]]-Planning[[#This Row],[Horas utilizadas]]</f>
        <v>#REF!</v>
      </c>
      <c r="L5981" s="7" t="e">
        <f>Planning[[#This Row],[Saldo]]</f>
        <v>#REF!</v>
      </c>
      <c r="M5981" s="19" t="e">
        <f>Planning[[#This Row],[Saldo]]-Planning[[#This Row],[Saldo estimado]]</f>
        <v>#REF!</v>
      </c>
      <c r="N5981" s="60" t="e">
        <f>+SUMIFS(#REF!,#REF!,Planning[[#This Row],[Proyectos]],#REF!,Planning[[#This Row],[Tipo de Tarea y especialidad]])+SUMIFS(#REF!,#REF!,Planning[[#This Row],[Proyectos Reiwa]],#REF!,Planning[[#This Row],[Tipo de Tarea y especialidad]])</f>
        <v>#REF!</v>
      </c>
      <c r="O5981" s="34">
        <f t="shared" si="189"/>
        <v>10</v>
      </c>
      <c r="P5981" s="34">
        <f t="shared" si="190"/>
        <v>2024</v>
      </c>
      <c r="Q59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81" s="34" t="str">
        <f>TEXT(Planning[[#This Row],[Mes]]*29,"mmmm")</f>
        <v>October</v>
      </c>
      <c r="S598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81" s="154"/>
      <c r="U5981" s="115"/>
      <c r="V5981" s="115"/>
      <c r="W5981" s="115"/>
    </row>
    <row r="5982" spans="1:23" ht="13.35" customHeight="1" x14ac:dyDescent="0.2">
      <c r="A5982" s="124" t="s">
        <v>483</v>
      </c>
      <c r="B5982" s="124" t="s">
        <v>118</v>
      </c>
      <c r="C5982" s="125">
        <v>124062</v>
      </c>
      <c r="D5982" s="125"/>
      <c r="E5982" s="125" t="s">
        <v>31</v>
      </c>
      <c r="F5982" s="125" t="s">
        <v>31</v>
      </c>
      <c r="G5982" s="126"/>
      <c r="H5982" s="126"/>
      <c r="I5982" s="126"/>
      <c r="J5982" s="14" t="e">
        <f>+SUMIFS(#REF!,#REF!,Planning[[#This Row],[Tarifa]],#REF!,Planning[[#This Row],[Proyectos]])</f>
        <v>#REF!</v>
      </c>
      <c r="K5982" s="14" t="e">
        <f>+Planning[[#This Row],[Horas Planificadas]]+Planning[[#This Row],[Horas ajustadas adicionales]]-Planning[[#This Row],[Horas utilizadas]]</f>
        <v>#REF!</v>
      </c>
      <c r="L5982" s="15" t="e">
        <f>Planning[[#This Row],[Saldo]]</f>
        <v>#REF!</v>
      </c>
      <c r="M5982" s="19" t="e">
        <f>Planning[[#This Row],[Saldo]]-Planning[[#This Row],[Saldo estimado]]</f>
        <v>#REF!</v>
      </c>
      <c r="N5982" s="60" t="e">
        <f>+SUMIFS(#REF!,#REF!,Planning[[#This Row],[Proyectos]],#REF!,Planning[[#This Row],[Tipo de Tarea y especialidad]])+SUMIFS(#REF!,#REF!,Planning[[#This Row],[Proyectos Reiwa]],#REF!,Planning[[#This Row],[Tipo de Tarea y especialidad]])</f>
        <v>#REF!</v>
      </c>
      <c r="O5982" s="34">
        <f t="shared" si="189"/>
        <v>10</v>
      </c>
      <c r="P5982" s="34">
        <f t="shared" si="190"/>
        <v>2024</v>
      </c>
      <c r="Q5982" s="16" t="e">
        <f>+SUMIFS(#REF!,#REF!,Planning[[#This Row],[Tarifa]],#REF!,Planning[[#This Row],[Proyectos]],#REF!,Planning[[#This Row],[Mes]],#REF!,Planning[[#This Row],[Año]])</f>
        <v>#REF!</v>
      </c>
      <c r="R5982" s="35" t="str">
        <f>TEXT(Planning[[#This Row],[Mes]]*29,"mmmm")</f>
        <v>October</v>
      </c>
      <c r="S598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82" s="154"/>
      <c r="U5982" s="115"/>
      <c r="V5982" s="115"/>
      <c r="W5982" s="115"/>
    </row>
    <row r="5983" spans="1:23" ht="13.35" customHeight="1" x14ac:dyDescent="0.2">
      <c r="A5983" s="124" t="s">
        <v>483</v>
      </c>
      <c r="B5983" s="124" t="s">
        <v>118</v>
      </c>
      <c r="C5983" s="125">
        <v>124062</v>
      </c>
      <c r="D5983" s="123"/>
      <c r="E5983" s="123" t="s">
        <v>32</v>
      </c>
      <c r="F5983" s="123"/>
      <c r="G5983" s="126">
        <f>SUM(G5984:G5986)</f>
        <v>1380</v>
      </c>
      <c r="H5983" s="126">
        <f>SUM(H5984:H5986)</f>
        <v>1380</v>
      </c>
      <c r="I5983" s="126">
        <f>SUM(I5984:I5986)</f>
        <v>0</v>
      </c>
      <c r="J5983" s="14" t="e">
        <f>SUM(J5984:J5986)</f>
        <v>#REF!</v>
      </c>
      <c r="K5983" s="14" t="e">
        <f>+Planning[[#This Row],[Horas Planificadas]]+Planning[[#This Row],[Horas ajustadas adicionales]]-Planning[[#This Row],[Horas utilizadas]]</f>
        <v>#REF!</v>
      </c>
      <c r="L5983" s="15" t="e">
        <f>SUM(L5984:L5986)</f>
        <v>#REF!</v>
      </c>
      <c r="M5983" s="19" t="e">
        <f>Planning[[#This Row],[Saldo]]-Planning[[#This Row],[Saldo estimado]]</f>
        <v>#REF!</v>
      </c>
      <c r="N5983" s="60" t="e">
        <f>+SUMIFS(#REF!,#REF!,Planning[[#This Row],[Proyectos]],#REF!,Planning[[#This Row],[Tipo de Tarea y especialidad]])+SUMIFS(#REF!,#REF!,Planning[[#This Row],[Proyectos Reiwa]],#REF!,Planning[[#This Row],[Tipo de Tarea y especialidad]])</f>
        <v>#REF!</v>
      </c>
      <c r="O5983" s="34">
        <f t="shared" si="189"/>
        <v>10</v>
      </c>
      <c r="P5983" s="34">
        <f t="shared" si="190"/>
        <v>2024</v>
      </c>
      <c r="Q5983" s="16" t="e">
        <f>SUM(Q5984:Q5986)</f>
        <v>#REF!</v>
      </c>
      <c r="R5983" s="35" t="str">
        <f>TEXT(Planning[[#This Row],[Mes]]*29,"mmmm")</f>
        <v>October</v>
      </c>
      <c r="S598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83" s="154"/>
      <c r="U5983" s="115"/>
      <c r="V5983" s="115"/>
      <c r="W5983" s="115"/>
    </row>
    <row r="5984" spans="1:23" ht="13.35" customHeight="1" x14ac:dyDescent="0.2">
      <c r="A5984" s="124" t="s">
        <v>483</v>
      </c>
      <c r="B5984" s="124" t="s">
        <v>118</v>
      </c>
      <c r="C5984" s="125">
        <v>124062</v>
      </c>
      <c r="D5984" s="125"/>
      <c r="E5984" s="125"/>
      <c r="F5984" s="125" t="s">
        <v>129</v>
      </c>
      <c r="G5984" s="124">
        <v>700</v>
      </c>
      <c r="H5984" s="124">
        <v>700</v>
      </c>
      <c r="I5984" s="124"/>
      <c r="J5984" s="5" t="e">
        <f>SUM(SUMIFS(#REF!,#REF!,Planning[[#This Row],[Tipo de Tarea y especialidad]],#REF!,Planning[[#This Row],[Proyectos Reiwa]]),SUMIFS(#REF!,#REF!,Planning[[#This Row],[Tipo de Tarea y especialidad]],#REF!,Planning[[#This Row],[Proyectos]]))</f>
        <v>#REF!</v>
      </c>
      <c r="K5984" s="5" t="e">
        <f>+Planning[[#This Row],[Horas Planificadas]]+Planning[[#This Row],[Horas ajustadas adicionales]]-Planning[[#This Row],[Horas utilizadas]]</f>
        <v>#REF!</v>
      </c>
      <c r="L5984" s="7" t="e">
        <f>Planning[[#This Row],[Saldo]]</f>
        <v>#REF!</v>
      </c>
      <c r="M5984" s="19" t="e">
        <f>Planning[[#This Row],[Saldo]]-Planning[[#This Row],[Saldo estimado]]</f>
        <v>#REF!</v>
      </c>
      <c r="N5984" s="60" t="e">
        <f>+SUMIFS(#REF!,#REF!,Planning[[#This Row],[Proyectos]],#REF!,Planning[[#This Row],[Tipo de Tarea y especialidad]])+SUMIFS(#REF!,#REF!,Planning[[#This Row],[Proyectos Reiwa]],#REF!,Planning[[#This Row],[Tipo de Tarea y especialidad]])</f>
        <v>#REF!</v>
      </c>
      <c r="O5984" s="34">
        <f t="shared" si="189"/>
        <v>10</v>
      </c>
      <c r="P5984" s="34">
        <f t="shared" si="190"/>
        <v>2024</v>
      </c>
      <c r="Q598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84" s="34" t="str">
        <f>TEXT(Planning[[#This Row],[Mes]]*29,"mmmm")</f>
        <v>October</v>
      </c>
      <c r="S598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84" s="154"/>
      <c r="U5984" s="115"/>
      <c r="V5984" s="115"/>
      <c r="W5984" s="115"/>
    </row>
    <row r="5985" spans="1:23" ht="13.35" customHeight="1" x14ac:dyDescent="0.2">
      <c r="A5985" s="124" t="s">
        <v>483</v>
      </c>
      <c r="B5985" s="124" t="s">
        <v>118</v>
      </c>
      <c r="C5985" s="125">
        <v>124062</v>
      </c>
      <c r="D5985" s="123"/>
      <c r="E5985" s="123"/>
      <c r="F5985" s="123" t="s">
        <v>130</v>
      </c>
      <c r="G5985" s="124">
        <v>325</v>
      </c>
      <c r="H5985" s="124">
        <v>325</v>
      </c>
      <c r="I5985" s="124"/>
      <c r="J5985" s="5" t="e">
        <f>SUM(SUMIFS(#REF!,#REF!,Planning[[#This Row],[Tipo de Tarea y especialidad]],#REF!,Planning[[#This Row],[Proyectos Reiwa]]),SUMIFS(#REF!,#REF!,Planning[[#This Row],[Tipo de Tarea y especialidad]],#REF!,Planning[[#This Row],[Proyectos]]))</f>
        <v>#REF!</v>
      </c>
      <c r="K5985" s="5" t="e">
        <f>+Planning[[#This Row],[Horas Planificadas]]+Planning[[#This Row],[Horas ajustadas adicionales]]-Planning[[#This Row],[Horas utilizadas]]</f>
        <v>#REF!</v>
      </c>
      <c r="L5985" s="7" t="e">
        <f>Planning[[#This Row],[Saldo]]</f>
        <v>#REF!</v>
      </c>
      <c r="M5985" s="19" t="e">
        <f>Planning[[#This Row],[Saldo]]-Planning[[#This Row],[Saldo estimado]]</f>
        <v>#REF!</v>
      </c>
      <c r="N5985" s="60" t="e">
        <f>+SUMIFS(#REF!,#REF!,Planning[[#This Row],[Proyectos]],#REF!,Planning[[#This Row],[Tipo de Tarea y especialidad]])+SUMIFS(#REF!,#REF!,Planning[[#This Row],[Proyectos Reiwa]],#REF!,Planning[[#This Row],[Tipo de Tarea y especialidad]])</f>
        <v>#REF!</v>
      </c>
      <c r="O5985" s="34">
        <f t="shared" si="189"/>
        <v>10</v>
      </c>
      <c r="P5985" s="34">
        <f t="shared" si="190"/>
        <v>2024</v>
      </c>
      <c r="Q598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85" s="34" t="str">
        <f>TEXT(Planning[[#This Row],[Mes]]*29,"mmmm")</f>
        <v>October</v>
      </c>
      <c r="S598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85" s="154"/>
      <c r="U5985" s="115"/>
      <c r="V5985" s="115"/>
      <c r="W5985" s="115"/>
    </row>
    <row r="5986" spans="1:23" ht="13.35" customHeight="1" x14ac:dyDescent="0.2">
      <c r="A5986" s="124" t="s">
        <v>483</v>
      </c>
      <c r="B5986" s="124" t="s">
        <v>118</v>
      </c>
      <c r="C5986" s="125">
        <v>124062</v>
      </c>
      <c r="D5986" s="125"/>
      <c r="E5986" s="125"/>
      <c r="F5986" s="125" t="s">
        <v>131</v>
      </c>
      <c r="G5986" s="124">
        <v>355</v>
      </c>
      <c r="H5986" s="124">
        <v>355</v>
      </c>
      <c r="I5986" s="124"/>
      <c r="J5986" s="5" t="e">
        <f>SUM(SUMIFS(#REF!,#REF!,Planning[[#This Row],[Tipo de Tarea y especialidad]],#REF!,Planning[[#This Row],[Proyectos Reiwa]]),SUMIFS(#REF!,#REF!,Planning[[#This Row],[Tipo de Tarea y especialidad]],#REF!,Planning[[#This Row],[Proyectos]]))</f>
        <v>#REF!</v>
      </c>
      <c r="K5986" s="5" t="e">
        <f>+Planning[[#This Row],[Horas Planificadas]]+Planning[[#This Row],[Horas ajustadas adicionales]]-Planning[[#This Row],[Horas utilizadas]]</f>
        <v>#REF!</v>
      </c>
      <c r="L5986" s="7" t="e">
        <f>Planning[[#This Row],[Saldo]]</f>
        <v>#REF!</v>
      </c>
      <c r="M5986" s="19" t="e">
        <f>Planning[[#This Row],[Saldo]]-Planning[[#This Row],[Saldo estimado]]</f>
        <v>#REF!</v>
      </c>
      <c r="N5986" s="60" t="e">
        <f>+SUMIFS(#REF!,#REF!,Planning[[#This Row],[Proyectos]],#REF!,Planning[[#This Row],[Tipo de Tarea y especialidad]])+SUMIFS(#REF!,#REF!,Planning[[#This Row],[Proyectos Reiwa]],#REF!,Planning[[#This Row],[Tipo de Tarea y especialidad]])</f>
        <v>#REF!</v>
      </c>
      <c r="O5986" s="34">
        <f t="shared" si="189"/>
        <v>10</v>
      </c>
      <c r="P5986" s="34">
        <f t="shared" si="190"/>
        <v>2024</v>
      </c>
      <c r="Q598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86" s="34" t="str">
        <f>TEXT(Planning[[#This Row],[Mes]]*29,"mmmm")</f>
        <v>October</v>
      </c>
      <c r="S598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86" s="155"/>
      <c r="U5986" s="115"/>
      <c r="V5986" s="115"/>
      <c r="W5986" s="115"/>
    </row>
    <row r="5987" spans="1:23" ht="13.35" customHeight="1" x14ac:dyDescent="0.2">
      <c r="A5987" s="9" t="s">
        <v>626</v>
      </c>
      <c r="B5987" s="9" t="s">
        <v>685</v>
      </c>
      <c r="C5987" s="3">
        <v>123772</v>
      </c>
      <c r="D5987" s="3"/>
      <c r="E5987" s="4" t="s">
        <v>28</v>
      </c>
      <c r="F5987" s="3"/>
      <c r="G5987" s="9">
        <f>+G5988+G5989</f>
        <v>72</v>
      </c>
      <c r="H5987" s="14">
        <f>SUM(H5988:H5989)</f>
        <v>90</v>
      </c>
      <c r="I5987" s="14"/>
      <c r="J5987" s="14" t="e">
        <f>SUM(J5988:J5989)</f>
        <v>#REF!</v>
      </c>
      <c r="K5987" s="14" t="e">
        <f>+Planning[[#This Row],[Horas Planificadas]]+Planning[[#This Row],[Horas ajustadas adicionales]]-Planning[[#This Row],[Horas utilizadas]]</f>
        <v>#REF!</v>
      </c>
      <c r="L5987" s="15" t="e">
        <f>SUM(L5988:L5989)</f>
        <v>#REF!</v>
      </c>
      <c r="M5987" s="14" t="e">
        <f>SUM(M5988:M5989)</f>
        <v>#REF!</v>
      </c>
      <c r="N5987" s="60" t="e">
        <f>+SUMIFS(#REF!,#REF!,Planning[[#This Row],[Proyectos]],#REF!,Planning[[#This Row],[Tipo de Tarea y especialidad]])+SUMIFS(#REF!,#REF!,Planning[[#This Row],[Proyectos Reiwa]],#REF!,Planning[[#This Row],[Tipo de Tarea y especialidad]])</f>
        <v>#REF!</v>
      </c>
      <c r="O5987" s="14">
        <f t="shared" si="189"/>
        <v>10</v>
      </c>
      <c r="P5987" s="14">
        <f t="shared" si="190"/>
        <v>2024</v>
      </c>
      <c r="Q5987" s="28" t="e">
        <f>SUM(Q5988:Q5989)</f>
        <v>#REF!</v>
      </c>
      <c r="R5987" s="24" t="str">
        <f>TEXT(Planning[[#This Row],[Mes]]*29,"mmmm")</f>
        <v>October</v>
      </c>
      <c r="S598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87" s="161" t="s">
        <v>1042</v>
      </c>
      <c r="U5987" s="93"/>
      <c r="V5987" s="93"/>
      <c r="W5987" s="94"/>
    </row>
    <row r="5988" spans="1:23" ht="13.35" customHeight="1" x14ac:dyDescent="0.2">
      <c r="A5988" s="9" t="s">
        <v>626</v>
      </c>
      <c r="B5988" s="9" t="s">
        <v>685</v>
      </c>
      <c r="C5988" s="3">
        <v>123772</v>
      </c>
      <c r="D5988" s="3"/>
      <c r="E5988" s="4"/>
      <c r="F5988" s="3" t="s">
        <v>120</v>
      </c>
      <c r="G5988" s="9">
        <v>0</v>
      </c>
      <c r="H5988" s="9">
        <v>0</v>
      </c>
      <c r="I5988" s="12"/>
      <c r="J5988" s="5" t="e">
        <f>SUM(SUMIFS(#REF!,#REF!,Planning[[#This Row],[Tipo de Tarea y especialidad]],#REF!,Planning[[#This Row],[Proyectos Reiwa]]),SUMIFS(#REF!,#REF!,Planning[[#This Row],[Tipo de Tarea y especialidad]],#REF!,Planning[[#This Row],[Proyectos]]))</f>
        <v>#REF!</v>
      </c>
      <c r="K5988" s="5" t="e">
        <f>+Planning[[#This Row],[Horas Planificadas]]+Planning[[#This Row],[Horas ajustadas adicionales]]-Planning[[#This Row],[Horas utilizadas]]</f>
        <v>#REF!</v>
      </c>
      <c r="L5988" s="7" t="e">
        <f>Planning[[#This Row],[Saldo]]</f>
        <v>#REF!</v>
      </c>
      <c r="M5988" s="19" t="e">
        <f>Planning[[#This Row],[Saldo]]-Planning[[#This Row],[Saldo estimado]]</f>
        <v>#REF!</v>
      </c>
      <c r="N5988" s="60" t="e">
        <f>+SUMIFS(#REF!,#REF!,Planning[[#This Row],[Proyectos]],#REF!,Planning[[#This Row],[Tipo de Tarea y especialidad]])+SUMIFS(#REF!,#REF!,Planning[[#This Row],[Proyectos Reiwa]],#REF!,Planning[[#This Row],[Tipo de Tarea y especialidad]])</f>
        <v>#REF!</v>
      </c>
      <c r="O5988" s="19">
        <f t="shared" si="189"/>
        <v>10</v>
      </c>
      <c r="P5988" s="19">
        <f t="shared" si="190"/>
        <v>2024</v>
      </c>
      <c r="Q598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88" s="49" t="str">
        <f>TEXT(Planning[[#This Row],[Mes]]*29,"mmmm")</f>
        <v>October</v>
      </c>
      <c r="S598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88" s="156"/>
      <c r="U5988" s="93"/>
      <c r="V5988" s="93"/>
      <c r="W5988" s="94"/>
    </row>
    <row r="5989" spans="1:23" ht="13.35" customHeight="1" x14ac:dyDescent="0.2">
      <c r="A5989" s="9" t="s">
        <v>626</v>
      </c>
      <c r="B5989" s="9" t="s">
        <v>685</v>
      </c>
      <c r="C5989" s="3">
        <v>123772</v>
      </c>
      <c r="D5989" s="3"/>
      <c r="E5989" s="4"/>
      <c r="F5989" s="3" t="s">
        <v>121</v>
      </c>
      <c r="G5989" s="9">
        <v>72</v>
      </c>
      <c r="H5989" s="9">
        <v>90</v>
      </c>
      <c r="I5989" s="12"/>
      <c r="J5989" s="5" t="e">
        <f>SUM(SUMIFS(#REF!,#REF!,Planning[[#This Row],[Tipo de Tarea y especialidad]],#REF!,Planning[[#This Row],[Proyectos Reiwa]]),SUMIFS(#REF!,#REF!,Planning[[#This Row],[Tipo de Tarea y especialidad]],#REF!,Planning[[#This Row],[Proyectos]]))</f>
        <v>#REF!</v>
      </c>
      <c r="K5989" s="5" t="e">
        <f>+Planning[[#This Row],[Horas Planificadas]]+Planning[[#This Row],[Horas ajustadas adicionales]]-Planning[[#This Row],[Horas utilizadas]]</f>
        <v>#REF!</v>
      </c>
      <c r="L5989" s="7" t="e">
        <f>Planning[[#This Row],[Saldo]]</f>
        <v>#REF!</v>
      </c>
      <c r="M5989" s="19" t="e">
        <f>Planning[[#This Row],[Saldo]]-Planning[[#This Row],[Saldo estimado]]</f>
        <v>#REF!</v>
      </c>
      <c r="N5989" s="60" t="e">
        <f>+SUMIFS(#REF!,#REF!,Planning[[#This Row],[Proyectos]],#REF!,Planning[[#This Row],[Tipo de Tarea y especialidad]])+SUMIFS(#REF!,#REF!,Planning[[#This Row],[Proyectos Reiwa]],#REF!,Planning[[#This Row],[Tipo de Tarea y especialidad]])</f>
        <v>#REF!</v>
      </c>
      <c r="O5989" s="19">
        <f t="shared" si="189"/>
        <v>10</v>
      </c>
      <c r="P5989" s="19">
        <f t="shared" si="190"/>
        <v>2024</v>
      </c>
      <c r="Q598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89" s="49" t="str">
        <f>TEXT(Planning[[#This Row],[Mes]]*29,"mmmm")</f>
        <v>October</v>
      </c>
      <c r="S598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89" s="156"/>
      <c r="U5989" s="93"/>
      <c r="V5989" s="93"/>
      <c r="W5989" s="94"/>
    </row>
    <row r="5990" spans="1:23" ht="13.35" customHeight="1" x14ac:dyDescent="0.2">
      <c r="A5990" s="9" t="s">
        <v>626</v>
      </c>
      <c r="B5990" s="9" t="s">
        <v>685</v>
      </c>
      <c r="C5990" s="3">
        <v>123772</v>
      </c>
      <c r="D5990" s="3"/>
      <c r="E5990" s="4" t="s">
        <v>30</v>
      </c>
      <c r="F5990" s="3"/>
      <c r="G5990" s="9">
        <f>G5991+G5992+G5993+G5994+G5995+G5996+G5997</f>
        <v>171</v>
      </c>
      <c r="H5990" s="14">
        <f>SUM(H5991:H5997)</f>
        <v>198</v>
      </c>
      <c r="I5990" s="14"/>
      <c r="J5990" s="14" t="e">
        <f>SUM(J5991:J5997)</f>
        <v>#REF!</v>
      </c>
      <c r="K5990" s="14" t="e">
        <f>+Planning[[#This Row],[Horas Planificadas]]+Planning[[#This Row],[Horas ajustadas adicionales]]-Planning[[#This Row],[Horas utilizadas]]</f>
        <v>#REF!</v>
      </c>
      <c r="L5990" s="15" t="e">
        <f>SUM(L5991:L5997)</f>
        <v>#REF!</v>
      </c>
      <c r="M5990" s="16" t="e">
        <f>SUM(M5991:M5997)</f>
        <v>#REF!</v>
      </c>
      <c r="N5990" s="60" t="e">
        <f>+SUMIFS(#REF!,#REF!,Planning[[#This Row],[Proyectos]],#REF!,Planning[[#This Row],[Tipo de Tarea y especialidad]])+SUMIFS(#REF!,#REF!,Planning[[#This Row],[Proyectos Reiwa]],#REF!,Planning[[#This Row],[Tipo de Tarea y especialidad]])</f>
        <v>#REF!</v>
      </c>
      <c r="O5990" s="16">
        <f t="shared" si="189"/>
        <v>10</v>
      </c>
      <c r="P5990" s="16">
        <f t="shared" si="190"/>
        <v>2024</v>
      </c>
      <c r="Q5990" s="16" t="e">
        <f>SUM(Q5991:Q5997)</f>
        <v>#REF!</v>
      </c>
      <c r="R5990" s="50" t="str">
        <f>TEXT(Planning[[#This Row],[Mes]]*29,"mmmm")</f>
        <v>October</v>
      </c>
      <c r="S599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90" s="156"/>
      <c r="U5990" s="93"/>
      <c r="V5990" s="93"/>
      <c r="W5990" s="94"/>
    </row>
    <row r="5991" spans="1:23" ht="13.35" customHeight="1" x14ac:dyDescent="0.2">
      <c r="A5991" s="9" t="s">
        <v>626</v>
      </c>
      <c r="B5991" s="9" t="s">
        <v>685</v>
      </c>
      <c r="C5991" s="3">
        <v>123772</v>
      </c>
      <c r="D5991" s="3"/>
      <c r="E5991" s="4"/>
      <c r="F5991" s="3" t="s">
        <v>122</v>
      </c>
      <c r="G5991" s="9">
        <v>27</v>
      </c>
      <c r="H5991" s="9">
        <v>90</v>
      </c>
      <c r="I5991" s="12"/>
      <c r="J5991" s="5" t="e">
        <f>SUM(SUMIFS(#REF!,#REF!,Planning[[#This Row],[Tipo de Tarea y especialidad]],#REF!,Planning[[#This Row],[Proyectos Reiwa]]),SUMIFS(#REF!,#REF!,Planning[[#This Row],[Tipo de Tarea y especialidad]],#REF!,Planning[[#This Row],[Proyectos]]))</f>
        <v>#REF!</v>
      </c>
      <c r="K5991" s="5" t="e">
        <f>+Planning[[#This Row],[Horas Planificadas]]+Planning[[#This Row],[Horas ajustadas adicionales]]-Planning[[#This Row],[Horas utilizadas]]</f>
        <v>#REF!</v>
      </c>
      <c r="L5991" s="7" t="e">
        <f>Planning[[#This Row],[Saldo]]</f>
        <v>#REF!</v>
      </c>
      <c r="M5991" s="19" t="e">
        <f>Planning[[#This Row],[Saldo]]-Planning[[#This Row],[Saldo estimado]]</f>
        <v>#REF!</v>
      </c>
      <c r="N5991" s="60" t="e">
        <f>+SUMIFS(#REF!,#REF!,Planning[[#This Row],[Proyectos]],#REF!,Planning[[#This Row],[Tipo de Tarea y especialidad]])+SUMIFS(#REF!,#REF!,Planning[[#This Row],[Proyectos Reiwa]],#REF!,Planning[[#This Row],[Tipo de Tarea y especialidad]])</f>
        <v>#REF!</v>
      </c>
      <c r="O5991" s="19">
        <f t="shared" si="189"/>
        <v>10</v>
      </c>
      <c r="P5991" s="19">
        <f t="shared" si="190"/>
        <v>2024</v>
      </c>
      <c r="Q599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91" s="49" t="str">
        <f>TEXT(Planning[[#This Row],[Mes]]*29,"mmmm")</f>
        <v>October</v>
      </c>
      <c r="S599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91" s="156"/>
      <c r="U5991" s="93"/>
      <c r="V5991" s="93"/>
      <c r="W5991" s="94"/>
    </row>
    <row r="5992" spans="1:23" ht="13.35" customHeight="1" x14ac:dyDescent="0.2">
      <c r="A5992" s="9" t="s">
        <v>626</v>
      </c>
      <c r="B5992" s="9" t="s">
        <v>685</v>
      </c>
      <c r="C5992" s="3">
        <v>123772</v>
      </c>
      <c r="D5992" s="3"/>
      <c r="E5992" s="4"/>
      <c r="F5992" s="3" t="s">
        <v>123</v>
      </c>
      <c r="G5992" s="9">
        <v>0</v>
      </c>
      <c r="H5992" s="9">
        <v>0</v>
      </c>
      <c r="I5992" s="12"/>
      <c r="J5992" s="5" t="e">
        <f>SUM(SUMIFS(#REF!,#REF!,Planning[[#This Row],[Tipo de Tarea y especialidad]],#REF!,Planning[[#This Row],[Proyectos Reiwa]]),SUMIFS(#REF!,#REF!,Planning[[#This Row],[Tipo de Tarea y especialidad]],#REF!,Planning[[#This Row],[Proyectos]]))</f>
        <v>#REF!</v>
      </c>
      <c r="K5992" s="5" t="e">
        <f>+Planning[[#This Row],[Horas Planificadas]]+Planning[[#This Row],[Horas ajustadas adicionales]]-Planning[[#This Row],[Horas utilizadas]]</f>
        <v>#REF!</v>
      </c>
      <c r="L5992" s="7" t="e">
        <f>Planning[[#This Row],[Saldo]]</f>
        <v>#REF!</v>
      </c>
      <c r="M5992" s="19" t="e">
        <f>Planning[[#This Row],[Saldo]]-Planning[[#This Row],[Saldo estimado]]</f>
        <v>#REF!</v>
      </c>
      <c r="N5992" s="60" t="e">
        <f>+SUMIFS(#REF!,#REF!,Planning[[#This Row],[Proyectos]],#REF!,Planning[[#This Row],[Tipo de Tarea y especialidad]])+SUMIFS(#REF!,#REF!,Planning[[#This Row],[Proyectos Reiwa]],#REF!,Planning[[#This Row],[Tipo de Tarea y especialidad]])</f>
        <v>#REF!</v>
      </c>
      <c r="O5992" s="19">
        <f t="shared" si="189"/>
        <v>10</v>
      </c>
      <c r="P5992" s="19">
        <f t="shared" si="190"/>
        <v>2024</v>
      </c>
      <c r="Q599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92" s="49" t="str">
        <f>TEXT(Planning[[#This Row],[Mes]]*29,"mmmm")</f>
        <v>October</v>
      </c>
      <c r="S599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92" s="156"/>
      <c r="U5992" s="93"/>
      <c r="V5992" s="93"/>
      <c r="W5992" s="94"/>
    </row>
    <row r="5993" spans="1:23" ht="13.35" customHeight="1" x14ac:dyDescent="0.2">
      <c r="A5993" s="9" t="s">
        <v>626</v>
      </c>
      <c r="B5993" s="9" t="s">
        <v>685</v>
      </c>
      <c r="C5993" s="3">
        <v>123772</v>
      </c>
      <c r="D5993" s="3"/>
      <c r="E5993" s="4"/>
      <c r="F5993" s="3" t="s">
        <v>124</v>
      </c>
      <c r="G5993" s="9">
        <v>0</v>
      </c>
      <c r="H5993" s="9">
        <v>0</v>
      </c>
      <c r="I5993" s="12"/>
      <c r="J5993" s="5" t="e">
        <f>SUM(SUMIFS(#REF!,#REF!,Planning[[#This Row],[Tipo de Tarea y especialidad]],#REF!,Planning[[#This Row],[Proyectos Reiwa]]),SUMIFS(#REF!,#REF!,Planning[[#This Row],[Tipo de Tarea y especialidad]],#REF!,Planning[[#This Row],[Proyectos]]))</f>
        <v>#REF!</v>
      </c>
      <c r="K5993" s="5" t="e">
        <f>+Planning[[#This Row],[Horas Planificadas]]+Planning[[#This Row],[Horas ajustadas adicionales]]-Planning[[#This Row],[Horas utilizadas]]</f>
        <v>#REF!</v>
      </c>
      <c r="L5993" s="7" t="e">
        <f>Planning[[#This Row],[Saldo]]</f>
        <v>#REF!</v>
      </c>
      <c r="M5993" s="19" t="e">
        <f>Planning[[#This Row],[Saldo]]-Planning[[#This Row],[Saldo estimado]]</f>
        <v>#REF!</v>
      </c>
      <c r="N5993" s="60" t="e">
        <f>+SUMIFS(#REF!,#REF!,Planning[[#This Row],[Proyectos]],#REF!,Planning[[#This Row],[Tipo de Tarea y especialidad]])+SUMIFS(#REF!,#REF!,Planning[[#This Row],[Proyectos Reiwa]],#REF!,Planning[[#This Row],[Tipo de Tarea y especialidad]])</f>
        <v>#REF!</v>
      </c>
      <c r="O5993" s="19">
        <f t="shared" si="189"/>
        <v>10</v>
      </c>
      <c r="P5993" s="19">
        <f t="shared" si="190"/>
        <v>2024</v>
      </c>
      <c r="Q599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93" s="49" t="str">
        <f>TEXT(Planning[[#This Row],[Mes]]*29,"mmmm")</f>
        <v>October</v>
      </c>
      <c r="S599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93" s="156"/>
      <c r="U5993" s="93"/>
      <c r="V5993" s="93"/>
      <c r="W5993" s="94"/>
    </row>
    <row r="5994" spans="1:23" ht="13.35" customHeight="1" x14ac:dyDescent="0.2">
      <c r="A5994" s="9" t="s">
        <v>626</v>
      </c>
      <c r="B5994" s="9" t="s">
        <v>685</v>
      </c>
      <c r="C5994" s="3">
        <v>123772</v>
      </c>
      <c r="D5994" s="3"/>
      <c r="E5994" s="4"/>
      <c r="F5994" s="3" t="s">
        <v>125</v>
      </c>
      <c r="G5994" s="9">
        <v>99</v>
      </c>
      <c r="H5994" s="9">
        <v>63</v>
      </c>
      <c r="I5994" s="12"/>
      <c r="J5994" s="5" t="e">
        <f>SUM(SUMIFS(#REF!,#REF!,Planning[[#This Row],[Tipo de Tarea y especialidad]],#REF!,Planning[[#This Row],[Proyectos Reiwa]]),SUMIFS(#REF!,#REF!,Planning[[#This Row],[Tipo de Tarea y especialidad]],#REF!,Planning[[#This Row],[Proyectos]]))</f>
        <v>#REF!</v>
      </c>
      <c r="K5994" s="5" t="e">
        <f>+Planning[[#This Row],[Horas Planificadas]]+Planning[[#This Row],[Horas ajustadas adicionales]]-Planning[[#This Row],[Horas utilizadas]]</f>
        <v>#REF!</v>
      </c>
      <c r="L5994" s="7" t="e">
        <f>Planning[[#This Row],[Saldo]]</f>
        <v>#REF!</v>
      </c>
      <c r="M5994" s="19" t="e">
        <f>Planning[[#This Row],[Saldo]]-Planning[[#This Row],[Saldo estimado]]</f>
        <v>#REF!</v>
      </c>
      <c r="N5994" s="60" t="e">
        <f>+SUMIFS(#REF!,#REF!,Planning[[#This Row],[Proyectos]],#REF!,Planning[[#This Row],[Tipo de Tarea y especialidad]])+SUMIFS(#REF!,#REF!,Planning[[#This Row],[Proyectos Reiwa]],#REF!,Planning[[#This Row],[Tipo de Tarea y especialidad]])</f>
        <v>#REF!</v>
      </c>
      <c r="O5994" s="19">
        <f t="shared" si="189"/>
        <v>10</v>
      </c>
      <c r="P5994" s="19">
        <f t="shared" si="190"/>
        <v>2024</v>
      </c>
      <c r="Q599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94" s="49" t="str">
        <f>TEXT(Planning[[#This Row],[Mes]]*29,"mmmm")</f>
        <v>October</v>
      </c>
      <c r="S599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94" s="156"/>
      <c r="U5994" s="93"/>
      <c r="V5994" s="93"/>
      <c r="W5994" s="94"/>
    </row>
    <row r="5995" spans="1:23" ht="13.35" customHeight="1" x14ac:dyDescent="0.2">
      <c r="A5995" s="9" t="s">
        <v>626</v>
      </c>
      <c r="B5995" s="9" t="s">
        <v>685</v>
      </c>
      <c r="C5995" s="3">
        <v>123772</v>
      </c>
      <c r="D5995" s="3"/>
      <c r="E5995" s="4"/>
      <c r="F5995" s="3" t="s">
        <v>126</v>
      </c>
      <c r="G5995" s="9">
        <v>45</v>
      </c>
      <c r="H5995" s="9">
        <v>45</v>
      </c>
      <c r="I5995" s="12"/>
      <c r="J5995" s="5" t="e">
        <f>SUM(SUMIFS(#REF!,#REF!,Planning[[#This Row],[Tipo de Tarea y especialidad]],#REF!,Planning[[#This Row],[Proyectos Reiwa]]),SUMIFS(#REF!,#REF!,Planning[[#This Row],[Tipo de Tarea y especialidad]],#REF!,Planning[[#This Row],[Proyectos]]))</f>
        <v>#REF!</v>
      </c>
      <c r="K5995" s="5" t="e">
        <f>+Planning[[#This Row],[Horas Planificadas]]+Planning[[#This Row],[Horas ajustadas adicionales]]-Planning[[#This Row],[Horas utilizadas]]</f>
        <v>#REF!</v>
      </c>
      <c r="L5995" s="7" t="e">
        <f>Planning[[#This Row],[Saldo]]</f>
        <v>#REF!</v>
      </c>
      <c r="M5995" s="19" t="e">
        <f>Planning[[#This Row],[Saldo]]-Planning[[#This Row],[Saldo estimado]]</f>
        <v>#REF!</v>
      </c>
      <c r="N5995" s="60" t="e">
        <f>+SUMIFS(#REF!,#REF!,Planning[[#This Row],[Proyectos]],#REF!,Planning[[#This Row],[Tipo de Tarea y especialidad]])+SUMIFS(#REF!,#REF!,Planning[[#This Row],[Proyectos Reiwa]],#REF!,Planning[[#This Row],[Tipo de Tarea y especialidad]])</f>
        <v>#REF!</v>
      </c>
      <c r="O5995" s="19">
        <f t="shared" si="189"/>
        <v>10</v>
      </c>
      <c r="P5995" s="19">
        <f t="shared" si="190"/>
        <v>2024</v>
      </c>
      <c r="Q599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95" s="49" t="str">
        <f>TEXT(Planning[[#This Row],[Mes]]*29,"mmmm")</f>
        <v>October</v>
      </c>
      <c r="S599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95" s="156"/>
      <c r="U5995" s="93"/>
      <c r="V5995" s="93"/>
      <c r="W5995" s="94"/>
    </row>
    <row r="5996" spans="1:23" ht="13.35" customHeight="1" x14ac:dyDescent="0.2">
      <c r="A5996" s="9" t="s">
        <v>626</v>
      </c>
      <c r="B5996" s="9" t="s">
        <v>685</v>
      </c>
      <c r="C5996" s="3">
        <v>123772</v>
      </c>
      <c r="D5996" s="3"/>
      <c r="E5996" s="4"/>
      <c r="F5996" s="3" t="s">
        <v>127</v>
      </c>
      <c r="G5996" s="9">
        <v>0</v>
      </c>
      <c r="H5996" s="9">
        <v>0</v>
      </c>
      <c r="I5996" s="12"/>
      <c r="J5996" s="5" t="e">
        <f>SUM(SUMIFS(#REF!,#REF!,Planning[[#This Row],[Tipo de Tarea y especialidad]],#REF!,Planning[[#This Row],[Proyectos Reiwa]]),SUMIFS(#REF!,#REF!,Planning[[#This Row],[Tipo de Tarea y especialidad]],#REF!,Planning[[#This Row],[Proyectos]]))</f>
        <v>#REF!</v>
      </c>
      <c r="K5996" s="5" t="e">
        <f>+Planning[[#This Row],[Horas Planificadas]]+Planning[[#This Row],[Horas ajustadas adicionales]]-Planning[[#This Row],[Horas utilizadas]]</f>
        <v>#REF!</v>
      </c>
      <c r="L5996" s="7" t="e">
        <f>Planning[[#This Row],[Saldo]]</f>
        <v>#REF!</v>
      </c>
      <c r="M5996" s="19" t="e">
        <f>Planning[[#This Row],[Saldo]]-Planning[[#This Row],[Saldo estimado]]</f>
        <v>#REF!</v>
      </c>
      <c r="N5996" s="60" t="e">
        <f>+SUMIFS(#REF!,#REF!,Planning[[#This Row],[Proyectos]],#REF!,Planning[[#This Row],[Tipo de Tarea y especialidad]])+SUMIFS(#REF!,#REF!,Planning[[#This Row],[Proyectos Reiwa]],#REF!,Planning[[#This Row],[Tipo de Tarea y especialidad]])</f>
        <v>#REF!</v>
      </c>
      <c r="O5996" s="19">
        <f t="shared" si="189"/>
        <v>10</v>
      </c>
      <c r="P5996" s="19">
        <f t="shared" si="190"/>
        <v>2024</v>
      </c>
      <c r="Q599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96" s="49" t="str">
        <f>TEXT(Planning[[#This Row],[Mes]]*29,"mmmm")</f>
        <v>October</v>
      </c>
      <c r="S599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96" s="156"/>
      <c r="U5996" s="93"/>
      <c r="V5996" s="93"/>
      <c r="W5996" s="94"/>
    </row>
    <row r="5997" spans="1:23" ht="13.35" customHeight="1" x14ac:dyDescent="0.2">
      <c r="A5997" s="9" t="s">
        <v>626</v>
      </c>
      <c r="B5997" s="9" t="s">
        <v>685</v>
      </c>
      <c r="C5997" s="3">
        <v>123772</v>
      </c>
      <c r="D5997" s="3"/>
      <c r="E5997" s="4"/>
      <c r="F5997" s="3" t="s">
        <v>128</v>
      </c>
      <c r="G5997" s="9">
        <v>0</v>
      </c>
      <c r="H5997" s="9">
        <v>0</v>
      </c>
      <c r="I5997" s="12"/>
      <c r="J5997" s="5" t="e">
        <f>SUM(SUMIFS(#REF!,#REF!,Planning[[#This Row],[Tipo de Tarea y especialidad]],#REF!,Planning[[#This Row],[Proyectos Reiwa]]),SUMIFS(#REF!,#REF!,Planning[[#This Row],[Tipo de Tarea y especialidad]],#REF!,Planning[[#This Row],[Proyectos]]))</f>
        <v>#REF!</v>
      </c>
      <c r="K5997" s="5" t="e">
        <f>+Planning[[#This Row],[Horas Planificadas]]+Planning[[#This Row],[Horas ajustadas adicionales]]-Planning[[#This Row],[Horas utilizadas]]</f>
        <v>#REF!</v>
      </c>
      <c r="L5997" s="7" t="e">
        <f>Planning[[#This Row],[Saldo]]</f>
        <v>#REF!</v>
      </c>
      <c r="M5997" s="19" t="e">
        <f>Planning[[#This Row],[Saldo]]-Planning[[#This Row],[Saldo estimado]]</f>
        <v>#REF!</v>
      </c>
      <c r="N5997" s="60" t="e">
        <f>+SUMIFS(#REF!,#REF!,Planning[[#This Row],[Proyectos]],#REF!,Planning[[#This Row],[Tipo de Tarea y especialidad]])+SUMIFS(#REF!,#REF!,Planning[[#This Row],[Proyectos Reiwa]],#REF!,Planning[[#This Row],[Tipo de Tarea y especialidad]])</f>
        <v>#REF!</v>
      </c>
      <c r="O5997" s="19">
        <f t="shared" si="189"/>
        <v>10</v>
      </c>
      <c r="P5997" s="19">
        <f t="shared" si="190"/>
        <v>2024</v>
      </c>
      <c r="Q599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5997" s="49" t="str">
        <f>TEXT(Planning[[#This Row],[Mes]]*29,"mmmm")</f>
        <v>October</v>
      </c>
      <c r="S599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97" s="156"/>
      <c r="U5997" s="93"/>
      <c r="V5997" s="93"/>
      <c r="W5997" s="94"/>
    </row>
    <row r="5998" spans="1:23" ht="13.35" customHeight="1" x14ac:dyDescent="0.2">
      <c r="A5998" s="9" t="s">
        <v>626</v>
      </c>
      <c r="B5998" s="9" t="s">
        <v>685</v>
      </c>
      <c r="C5998" s="3">
        <v>123772</v>
      </c>
      <c r="D5998" s="3"/>
      <c r="E5998" s="4" t="s">
        <v>31</v>
      </c>
      <c r="F5998" s="3" t="s">
        <v>31</v>
      </c>
      <c r="G5998" s="9"/>
      <c r="H5998" s="17"/>
      <c r="I5998" s="18"/>
      <c r="J5998" s="14" t="e">
        <f>+SUMIFS(#REF!,#REF!,Planning[[#This Row],[Tarifa]],#REF!,Planning[[#This Row],[Proyectos]])</f>
        <v>#REF!</v>
      </c>
      <c r="K5998" s="14" t="e">
        <f>+Planning[[#This Row],[Horas Planificadas]]+Planning[[#This Row],[Horas ajustadas adicionales]]-Planning[[#This Row],[Horas utilizadas]]</f>
        <v>#REF!</v>
      </c>
      <c r="L5998" s="15" t="e">
        <f>Planning[[#This Row],[Saldo]]</f>
        <v>#REF!</v>
      </c>
      <c r="M5998" s="16" t="e">
        <f>Planning[[#This Row],[Saldo]]-Planning[[#This Row],[Saldo estimado]]</f>
        <v>#REF!</v>
      </c>
      <c r="N5998" s="60" t="e">
        <f>+SUMIFS(#REF!,#REF!,Planning[[#This Row],[Proyectos]],#REF!,Planning[[#This Row],[Tipo de Tarea y especialidad]])+SUMIFS(#REF!,#REF!,Planning[[#This Row],[Proyectos Reiwa]],#REF!,Planning[[#This Row],[Tipo de Tarea y especialidad]])</f>
        <v>#REF!</v>
      </c>
      <c r="O5998" s="16">
        <f t="shared" si="189"/>
        <v>10</v>
      </c>
      <c r="P5998" s="16">
        <f t="shared" si="190"/>
        <v>2024</v>
      </c>
      <c r="Q5998" s="16" t="e">
        <f>+SUMIFS(#REF!,#REF!,Planning[[#This Row],[Tarifa]],#REF!,Planning[[#This Row],[Proyectos]],#REF!,Planning[[#This Row],[Mes]],#REF!,Planning[[#This Row],[Año]])</f>
        <v>#REF!</v>
      </c>
      <c r="R5998" s="50" t="str">
        <f>TEXT(Planning[[#This Row],[Mes]]*29,"mmmm")</f>
        <v>October</v>
      </c>
      <c r="S599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98" s="156"/>
      <c r="U5998" s="93"/>
      <c r="V5998" s="93"/>
      <c r="W5998" s="94"/>
    </row>
    <row r="5999" spans="1:23" ht="13.35" customHeight="1" x14ac:dyDescent="0.2">
      <c r="A5999" s="9" t="s">
        <v>626</v>
      </c>
      <c r="B5999" s="9" t="s">
        <v>685</v>
      </c>
      <c r="C5999" s="3">
        <v>123772</v>
      </c>
      <c r="D5999" s="3"/>
      <c r="E5999" s="4" t="s">
        <v>32</v>
      </c>
      <c r="F5999" s="3"/>
      <c r="G5999" s="9"/>
      <c r="H5999" s="14">
        <f>SUM(H6000:H6002)</f>
        <v>70</v>
      </c>
      <c r="I5999" s="14"/>
      <c r="J5999" s="14" t="e">
        <f>SUM(J6000:J6002)</f>
        <v>#REF!</v>
      </c>
      <c r="K5999" s="14" t="e">
        <f>+Planning[[#This Row],[Horas Planificadas]]+Planning[[#This Row],[Horas ajustadas adicionales]]-Planning[[#This Row],[Horas utilizadas]]</f>
        <v>#REF!</v>
      </c>
      <c r="L5999" s="15" t="e">
        <f>SUM(L6000:L6002)</f>
        <v>#REF!</v>
      </c>
      <c r="M5999" s="16" t="e">
        <f>SUM(M6000:M6002)</f>
        <v>#REF!</v>
      </c>
      <c r="N5999" s="60" t="e">
        <f>+SUMIFS(#REF!,#REF!,Planning[[#This Row],[Proyectos]],#REF!,Planning[[#This Row],[Tipo de Tarea y especialidad]])+SUMIFS(#REF!,#REF!,Planning[[#This Row],[Proyectos Reiwa]],#REF!,Planning[[#This Row],[Tipo de Tarea y especialidad]])</f>
        <v>#REF!</v>
      </c>
      <c r="O5999" s="16">
        <f t="shared" si="189"/>
        <v>10</v>
      </c>
      <c r="P5999" s="16">
        <f t="shared" si="190"/>
        <v>2024</v>
      </c>
      <c r="Q5999" s="16" t="e">
        <f>SUM(Q6000:Q6002)</f>
        <v>#REF!</v>
      </c>
      <c r="R5999" s="50" t="str">
        <f>TEXT(Planning[[#This Row],[Mes]]*29,"mmmm")</f>
        <v>October</v>
      </c>
      <c r="S599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5999" s="156"/>
      <c r="U5999" s="93"/>
      <c r="V5999" s="93"/>
      <c r="W5999" s="94"/>
    </row>
    <row r="6000" spans="1:23" ht="13.35" customHeight="1" x14ac:dyDescent="0.2">
      <c r="A6000" s="9" t="s">
        <v>626</v>
      </c>
      <c r="B6000" s="9" t="s">
        <v>685</v>
      </c>
      <c r="C6000" s="3">
        <v>123772</v>
      </c>
      <c r="D6000" s="3"/>
      <c r="E6000" s="4"/>
      <c r="F6000" s="3" t="s">
        <v>129</v>
      </c>
      <c r="G6000" s="9">
        <v>70</v>
      </c>
      <c r="H6000" s="9">
        <v>70</v>
      </c>
      <c r="I6000" s="12"/>
      <c r="J6000" s="5" t="e">
        <f>SUM(SUMIFS(#REF!,#REF!,Planning[[#This Row],[Tipo de Tarea y especialidad]],#REF!,Planning[[#This Row],[Proyectos Reiwa]]),SUMIFS(#REF!,#REF!,Planning[[#This Row],[Tipo de Tarea y especialidad]],#REF!,Planning[[#This Row],[Proyectos]]))</f>
        <v>#REF!</v>
      </c>
      <c r="K6000" s="5" t="e">
        <f>+Planning[[#This Row],[Horas Planificadas]]+Planning[[#This Row],[Horas ajustadas adicionales]]-Planning[[#This Row],[Horas utilizadas]]</f>
        <v>#REF!</v>
      </c>
      <c r="L6000" s="7" t="e">
        <f>Planning[[#This Row],[Saldo]]</f>
        <v>#REF!</v>
      </c>
      <c r="M6000" s="19" t="e">
        <f>Planning[[#This Row],[Saldo]]-Planning[[#This Row],[Saldo estimado]]</f>
        <v>#REF!</v>
      </c>
      <c r="N6000" s="60" t="e">
        <f>+SUMIFS(#REF!,#REF!,Planning[[#This Row],[Proyectos]],#REF!,Planning[[#This Row],[Tipo de Tarea y especialidad]])+SUMIFS(#REF!,#REF!,Planning[[#This Row],[Proyectos Reiwa]],#REF!,Planning[[#This Row],[Tipo de Tarea y especialidad]])</f>
        <v>#REF!</v>
      </c>
      <c r="O6000" s="19">
        <f t="shared" si="189"/>
        <v>10</v>
      </c>
      <c r="P6000" s="19">
        <f t="shared" si="190"/>
        <v>2024</v>
      </c>
      <c r="Q600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00" s="49" t="str">
        <f>TEXT(Planning[[#This Row],[Mes]]*29,"mmmm")</f>
        <v>October</v>
      </c>
      <c r="S600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00" s="156"/>
      <c r="U6000" s="93"/>
      <c r="V6000" s="93"/>
      <c r="W6000" s="94"/>
    </row>
    <row r="6001" spans="1:23" ht="13.35" customHeight="1" x14ac:dyDescent="0.2">
      <c r="A6001" s="9" t="s">
        <v>626</v>
      </c>
      <c r="B6001" s="9" t="s">
        <v>685</v>
      </c>
      <c r="C6001" s="3">
        <v>123772</v>
      </c>
      <c r="D6001" s="3"/>
      <c r="E6001" s="4"/>
      <c r="F6001" s="3" t="s">
        <v>130</v>
      </c>
      <c r="G6001" s="9">
        <v>0</v>
      </c>
      <c r="H6001" s="9">
        <v>0</v>
      </c>
      <c r="I6001" s="12"/>
      <c r="J6001" s="5" t="e">
        <f>SUM(SUMIFS(#REF!,#REF!,Planning[[#This Row],[Tipo de Tarea y especialidad]],#REF!,Planning[[#This Row],[Proyectos Reiwa]]),SUMIFS(#REF!,#REF!,Planning[[#This Row],[Tipo de Tarea y especialidad]],#REF!,Planning[[#This Row],[Proyectos]]))</f>
        <v>#REF!</v>
      </c>
      <c r="K6001" s="5" t="e">
        <f>+Planning[[#This Row],[Horas Planificadas]]+Planning[[#This Row],[Horas ajustadas adicionales]]-Planning[[#This Row],[Horas utilizadas]]</f>
        <v>#REF!</v>
      </c>
      <c r="L6001" s="7" t="e">
        <f>Planning[[#This Row],[Saldo]]</f>
        <v>#REF!</v>
      </c>
      <c r="M6001" s="19" t="e">
        <f>Planning[[#This Row],[Saldo]]-Planning[[#This Row],[Saldo estimado]]</f>
        <v>#REF!</v>
      </c>
      <c r="N6001" s="60" t="e">
        <f>+SUMIFS(#REF!,#REF!,Planning[[#This Row],[Proyectos]],#REF!,Planning[[#This Row],[Tipo de Tarea y especialidad]])+SUMIFS(#REF!,#REF!,Planning[[#This Row],[Proyectos Reiwa]],#REF!,Planning[[#This Row],[Tipo de Tarea y especialidad]])</f>
        <v>#REF!</v>
      </c>
      <c r="O6001" s="19">
        <f t="shared" si="189"/>
        <v>10</v>
      </c>
      <c r="P6001" s="19">
        <f t="shared" si="190"/>
        <v>2024</v>
      </c>
      <c r="Q600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01" s="49" t="str">
        <f>TEXT(Planning[[#This Row],[Mes]]*29,"mmmm")</f>
        <v>October</v>
      </c>
      <c r="S600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01" s="156"/>
      <c r="U6001" s="93"/>
      <c r="V6001" s="93"/>
      <c r="W6001" s="94"/>
    </row>
    <row r="6002" spans="1:23" ht="13.35" customHeight="1" x14ac:dyDescent="0.2">
      <c r="A6002" s="9" t="s">
        <v>626</v>
      </c>
      <c r="B6002" s="9" t="s">
        <v>685</v>
      </c>
      <c r="C6002" s="3">
        <v>123772</v>
      </c>
      <c r="D6002" s="3"/>
      <c r="E6002" s="4"/>
      <c r="F6002" s="3" t="s">
        <v>131</v>
      </c>
      <c r="G6002" s="9">
        <v>0</v>
      </c>
      <c r="H6002" s="9">
        <v>0</v>
      </c>
      <c r="I6002" s="12"/>
      <c r="J6002" s="5" t="e">
        <f>SUM(SUMIFS(#REF!,#REF!,Planning[[#This Row],[Tipo de Tarea y especialidad]],#REF!,Planning[[#This Row],[Proyectos Reiwa]]),SUMIFS(#REF!,#REF!,Planning[[#This Row],[Tipo de Tarea y especialidad]],#REF!,Planning[[#This Row],[Proyectos]]))</f>
        <v>#REF!</v>
      </c>
      <c r="K6002" s="5" t="e">
        <f>+Planning[[#This Row],[Horas Planificadas]]+Planning[[#This Row],[Horas ajustadas adicionales]]-Planning[[#This Row],[Horas utilizadas]]</f>
        <v>#REF!</v>
      </c>
      <c r="L6002" s="7" t="e">
        <f>Planning[[#This Row],[Saldo]]</f>
        <v>#REF!</v>
      </c>
      <c r="M6002" s="19" t="e">
        <f>Planning[[#This Row],[Saldo]]-Planning[[#This Row],[Saldo estimado]]</f>
        <v>#REF!</v>
      </c>
      <c r="N6002" s="60" t="e">
        <f>+SUMIFS(#REF!,#REF!,Planning[[#This Row],[Proyectos]],#REF!,Planning[[#This Row],[Tipo de Tarea y especialidad]])+SUMIFS(#REF!,#REF!,Planning[[#This Row],[Proyectos Reiwa]],#REF!,Planning[[#This Row],[Tipo de Tarea y especialidad]])</f>
        <v>#REF!</v>
      </c>
      <c r="O6002" s="19">
        <f t="shared" si="189"/>
        <v>10</v>
      </c>
      <c r="P6002" s="19">
        <f t="shared" si="190"/>
        <v>2024</v>
      </c>
      <c r="Q600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02" s="51" t="str">
        <f>TEXT(Planning[[#This Row],[Mes]]*29,"mmmm")</f>
        <v>October</v>
      </c>
      <c r="S6002"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02" s="157"/>
      <c r="U6002" s="93"/>
      <c r="V6002" s="93"/>
      <c r="W6002" s="94"/>
    </row>
    <row r="6003" spans="1:23" ht="13.35" customHeight="1" x14ac:dyDescent="0.2">
      <c r="A6003" s="9" t="s">
        <v>435</v>
      </c>
      <c r="B6003" s="9" t="s">
        <v>685</v>
      </c>
      <c r="C6003" s="3">
        <v>124351</v>
      </c>
      <c r="D6003" s="3"/>
      <c r="E6003" s="4" t="s">
        <v>28</v>
      </c>
      <c r="F6003" s="3"/>
      <c r="G6003" s="9">
        <f>+G6004+G6005</f>
        <v>1121</v>
      </c>
      <c r="H6003" s="14">
        <f>SUM(H6004:H6005)</f>
        <v>1216</v>
      </c>
      <c r="I6003" s="14"/>
      <c r="J6003" s="14" t="e">
        <f>SUM(J6004:J6005)</f>
        <v>#REF!</v>
      </c>
      <c r="K6003" s="14" t="e">
        <f>+Planning[[#This Row],[Horas Planificadas]]+Planning[[#This Row],[Horas ajustadas adicionales]]-Planning[[#This Row],[Horas utilizadas]]</f>
        <v>#REF!</v>
      </c>
      <c r="L6003" s="15" t="e">
        <f>SUM(L6004:L6005)</f>
        <v>#REF!</v>
      </c>
      <c r="M6003" s="14" t="e">
        <f>SUM(M6004:M6005)</f>
        <v>#REF!</v>
      </c>
      <c r="N6003" s="60" t="e">
        <f>+SUMIFS(#REF!,#REF!,Planning[[#This Row],[Proyectos]],#REF!,Planning[[#This Row],[Tipo de Tarea y especialidad]])+SUMIFS(#REF!,#REF!,Planning[[#This Row],[Proyectos Reiwa]],#REF!,Planning[[#This Row],[Tipo de Tarea y especialidad]])</f>
        <v>#REF!</v>
      </c>
      <c r="O6003" s="14">
        <f t="shared" si="189"/>
        <v>10</v>
      </c>
      <c r="P6003" s="14">
        <f t="shared" si="190"/>
        <v>2024</v>
      </c>
      <c r="Q6003" s="28" t="e">
        <f>SUM(Q6004:Q6005)</f>
        <v>#REF!</v>
      </c>
      <c r="R6003" s="24" t="str">
        <f>TEXT(Planning[[#This Row],[Mes]]*29,"mmmm")</f>
        <v>October</v>
      </c>
      <c r="S6003"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03" s="161" t="s">
        <v>1043</v>
      </c>
      <c r="U6003" s="93"/>
      <c r="V6003" s="93"/>
      <c r="W6003" s="94"/>
    </row>
    <row r="6004" spans="1:23" ht="13.35" customHeight="1" x14ac:dyDescent="0.2">
      <c r="A6004" s="9" t="s">
        <v>435</v>
      </c>
      <c r="B6004" s="9" t="s">
        <v>685</v>
      </c>
      <c r="C6004" s="3">
        <v>124351</v>
      </c>
      <c r="D6004" s="3"/>
      <c r="E6004" s="4"/>
      <c r="F6004" s="3" t="s">
        <v>120</v>
      </c>
      <c r="G6004" s="9">
        <v>725</v>
      </c>
      <c r="H6004" s="9">
        <v>725</v>
      </c>
      <c r="I6004" s="12"/>
      <c r="J6004" s="5" t="e">
        <f>SUM(SUMIFS(#REF!,#REF!,Planning[[#This Row],[Tipo de Tarea y especialidad]],#REF!,Planning[[#This Row],[Proyectos Reiwa]]),SUMIFS(#REF!,#REF!,Planning[[#This Row],[Tipo de Tarea y especialidad]],#REF!,Planning[[#This Row],[Proyectos]]))</f>
        <v>#REF!</v>
      </c>
      <c r="K6004" s="5" t="e">
        <f>+Planning[[#This Row],[Horas Planificadas]]+Planning[[#This Row],[Horas ajustadas adicionales]]-Planning[[#This Row],[Horas utilizadas]]</f>
        <v>#REF!</v>
      </c>
      <c r="L6004" s="7" t="e">
        <f>Planning[[#This Row],[Saldo]]</f>
        <v>#REF!</v>
      </c>
      <c r="M6004" s="19" t="e">
        <f>Planning[[#This Row],[Saldo]]-Planning[[#This Row],[Saldo estimado]]</f>
        <v>#REF!</v>
      </c>
      <c r="N6004" s="60" t="e">
        <f>+SUMIFS(#REF!,#REF!,Planning[[#This Row],[Proyectos]],#REF!,Planning[[#This Row],[Tipo de Tarea y especialidad]])+SUMIFS(#REF!,#REF!,Planning[[#This Row],[Proyectos Reiwa]],#REF!,Planning[[#This Row],[Tipo de Tarea y especialidad]])</f>
        <v>#REF!</v>
      </c>
      <c r="O6004" s="19">
        <f t="shared" si="189"/>
        <v>10</v>
      </c>
      <c r="P6004" s="19">
        <f t="shared" si="190"/>
        <v>2024</v>
      </c>
      <c r="Q600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04" s="49" t="str">
        <f>TEXT(Planning[[#This Row],[Mes]]*29,"mmmm")</f>
        <v>October</v>
      </c>
      <c r="S600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04" s="156"/>
      <c r="U6004" s="93"/>
      <c r="V6004" s="93"/>
      <c r="W6004" s="94"/>
    </row>
    <row r="6005" spans="1:23" ht="13.35" customHeight="1" x14ac:dyDescent="0.2">
      <c r="A6005" s="9" t="s">
        <v>435</v>
      </c>
      <c r="B6005" s="9" t="s">
        <v>685</v>
      </c>
      <c r="C6005" s="3">
        <v>124351</v>
      </c>
      <c r="D6005" s="3"/>
      <c r="E6005" s="4"/>
      <c r="F6005" s="3" t="s">
        <v>121</v>
      </c>
      <c r="G6005" s="9">
        <v>396</v>
      </c>
      <c r="H6005" s="9">
        <v>491</v>
      </c>
      <c r="I6005" s="12"/>
      <c r="J6005" s="5" t="e">
        <f>SUM(SUMIFS(#REF!,#REF!,Planning[[#This Row],[Tipo de Tarea y especialidad]],#REF!,Planning[[#This Row],[Proyectos Reiwa]]),SUMIFS(#REF!,#REF!,Planning[[#This Row],[Tipo de Tarea y especialidad]],#REF!,Planning[[#This Row],[Proyectos]]))</f>
        <v>#REF!</v>
      </c>
      <c r="K6005" s="5" t="e">
        <f>+Planning[[#This Row],[Horas Planificadas]]+Planning[[#This Row],[Horas ajustadas adicionales]]-Planning[[#This Row],[Horas utilizadas]]</f>
        <v>#REF!</v>
      </c>
      <c r="L6005" s="7" t="e">
        <f>Planning[[#This Row],[Saldo]]</f>
        <v>#REF!</v>
      </c>
      <c r="M6005" s="19" t="e">
        <f>Planning[[#This Row],[Saldo]]-Planning[[#This Row],[Saldo estimado]]</f>
        <v>#REF!</v>
      </c>
      <c r="N6005" s="60" t="e">
        <f>+SUMIFS(#REF!,#REF!,Planning[[#This Row],[Proyectos]],#REF!,Planning[[#This Row],[Tipo de Tarea y especialidad]])+SUMIFS(#REF!,#REF!,Planning[[#This Row],[Proyectos Reiwa]],#REF!,Planning[[#This Row],[Tipo de Tarea y especialidad]])</f>
        <v>#REF!</v>
      </c>
      <c r="O6005" s="19">
        <f t="shared" si="189"/>
        <v>10</v>
      </c>
      <c r="P6005" s="19">
        <f t="shared" si="190"/>
        <v>2024</v>
      </c>
      <c r="Q600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05" s="49" t="str">
        <f>TEXT(Planning[[#This Row],[Mes]]*29,"mmmm")</f>
        <v>October</v>
      </c>
      <c r="S600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05" s="156"/>
      <c r="U6005" s="93"/>
      <c r="V6005" s="93"/>
      <c r="W6005" s="94"/>
    </row>
    <row r="6006" spans="1:23" ht="13.35" customHeight="1" x14ac:dyDescent="0.2">
      <c r="A6006" s="9" t="s">
        <v>435</v>
      </c>
      <c r="B6006" s="9" t="s">
        <v>685</v>
      </c>
      <c r="C6006" s="3">
        <v>124351</v>
      </c>
      <c r="D6006" s="3"/>
      <c r="E6006" s="4" t="s">
        <v>30</v>
      </c>
      <c r="F6006" s="3"/>
      <c r="G6006" s="9">
        <f>G6007+G6008+G6009+G6010+G6011+G6012+G6013</f>
        <v>1426</v>
      </c>
      <c r="H6006" s="14">
        <f>SUM(H6007:H6013)</f>
        <v>1517</v>
      </c>
      <c r="I6006" s="14"/>
      <c r="J6006" s="14" t="e">
        <f>SUM(J6007:J6013)</f>
        <v>#REF!</v>
      </c>
      <c r="K6006" s="14" t="e">
        <f>+Planning[[#This Row],[Horas Planificadas]]+Planning[[#This Row],[Horas ajustadas adicionales]]-Planning[[#This Row],[Horas utilizadas]]</f>
        <v>#REF!</v>
      </c>
      <c r="L6006" s="15" t="e">
        <f>SUM(L6007:L6013)</f>
        <v>#REF!</v>
      </c>
      <c r="M6006" s="16" t="e">
        <f>SUM(M6007:M6013)</f>
        <v>#REF!</v>
      </c>
      <c r="N6006" s="60" t="e">
        <f>+SUMIFS(#REF!,#REF!,Planning[[#This Row],[Proyectos]],#REF!,Planning[[#This Row],[Tipo de Tarea y especialidad]])+SUMIFS(#REF!,#REF!,Planning[[#This Row],[Proyectos Reiwa]],#REF!,Planning[[#This Row],[Tipo de Tarea y especialidad]])</f>
        <v>#REF!</v>
      </c>
      <c r="O6006" s="16">
        <f t="shared" si="189"/>
        <v>10</v>
      </c>
      <c r="P6006" s="16">
        <f t="shared" si="190"/>
        <v>2024</v>
      </c>
      <c r="Q6006" s="16" t="e">
        <f>SUM(Q6007:Q6013)</f>
        <v>#REF!</v>
      </c>
      <c r="R6006" s="50" t="str">
        <f>TEXT(Planning[[#This Row],[Mes]]*29,"mmmm")</f>
        <v>October</v>
      </c>
      <c r="S600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06" s="156"/>
      <c r="U6006" s="93"/>
      <c r="V6006" s="93"/>
      <c r="W6006" s="94"/>
    </row>
    <row r="6007" spans="1:23" ht="13.35" customHeight="1" x14ac:dyDescent="0.2">
      <c r="A6007" s="9" t="s">
        <v>435</v>
      </c>
      <c r="B6007" s="9" t="s">
        <v>685</v>
      </c>
      <c r="C6007" s="3">
        <v>124351</v>
      </c>
      <c r="D6007" s="3"/>
      <c r="E6007" s="4"/>
      <c r="F6007" s="3" t="s">
        <v>122</v>
      </c>
      <c r="G6007" s="9">
        <v>422</v>
      </c>
      <c r="H6007" s="9">
        <v>513</v>
      </c>
      <c r="I6007" s="12"/>
      <c r="J6007" s="5" t="e">
        <f>SUM(SUMIFS(#REF!,#REF!,Planning[[#This Row],[Tipo de Tarea y especialidad]],#REF!,Planning[[#This Row],[Proyectos Reiwa]]),SUMIFS(#REF!,#REF!,Planning[[#This Row],[Tipo de Tarea y especialidad]],#REF!,Planning[[#This Row],[Proyectos]]))</f>
        <v>#REF!</v>
      </c>
      <c r="K6007" s="5" t="e">
        <f>+Planning[[#This Row],[Horas Planificadas]]+Planning[[#This Row],[Horas ajustadas adicionales]]-Planning[[#This Row],[Horas utilizadas]]</f>
        <v>#REF!</v>
      </c>
      <c r="L6007" s="7" t="e">
        <f>Planning[[#This Row],[Saldo]]</f>
        <v>#REF!</v>
      </c>
      <c r="M6007" s="19" t="e">
        <f>Planning[[#This Row],[Saldo]]-Planning[[#This Row],[Saldo estimado]]</f>
        <v>#REF!</v>
      </c>
      <c r="N6007" s="60" t="e">
        <f>+SUMIFS(#REF!,#REF!,Planning[[#This Row],[Proyectos]],#REF!,Planning[[#This Row],[Tipo de Tarea y especialidad]])+SUMIFS(#REF!,#REF!,Planning[[#This Row],[Proyectos Reiwa]],#REF!,Planning[[#This Row],[Tipo de Tarea y especialidad]])</f>
        <v>#REF!</v>
      </c>
      <c r="O6007" s="19">
        <f t="shared" si="189"/>
        <v>10</v>
      </c>
      <c r="P6007" s="19">
        <f t="shared" si="190"/>
        <v>2024</v>
      </c>
      <c r="Q600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07" s="49" t="str">
        <f>TEXT(Planning[[#This Row],[Mes]]*29,"mmmm")</f>
        <v>October</v>
      </c>
      <c r="S600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07" s="156"/>
      <c r="U6007" s="93"/>
      <c r="V6007" s="93"/>
      <c r="W6007" s="94"/>
    </row>
    <row r="6008" spans="1:23" ht="13.35" customHeight="1" x14ac:dyDescent="0.2">
      <c r="A6008" s="9" t="s">
        <v>435</v>
      </c>
      <c r="B6008" s="9" t="s">
        <v>685</v>
      </c>
      <c r="C6008" s="3">
        <v>124351</v>
      </c>
      <c r="D6008" s="3"/>
      <c r="E6008" s="4"/>
      <c r="F6008" s="3" t="s">
        <v>123</v>
      </c>
      <c r="G6008" s="9">
        <v>0</v>
      </c>
      <c r="H6008" s="9">
        <v>0</v>
      </c>
      <c r="I6008" s="12"/>
      <c r="J6008" s="5" t="e">
        <f>SUM(SUMIFS(#REF!,#REF!,Planning[[#This Row],[Tipo de Tarea y especialidad]],#REF!,Planning[[#This Row],[Proyectos Reiwa]]),SUMIFS(#REF!,#REF!,Planning[[#This Row],[Tipo de Tarea y especialidad]],#REF!,Planning[[#This Row],[Proyectos]]))</f>
        <v>#REF!</v>
      </c>
      <c r="K6008" s="5" t="e">
        <f>+Planning[[#This Row],[Horas Planificadas]]+Planning[[#This Row],[Horas ajustadas adicionales]]-Planning[[#This Row],[Horas utilizadas]]</f>
        <v>#REF!</v>
      </c>
      <c r="L6008" s="7" t="e">
        <f>Planning[[#This Row],[Saldo]]</f>
        <v>#REF!</v>
      </c>
      <c r="M6008" s="19" t="e">
        <f>Planning[[#This Row],[Saldo]]-Planning[[#This Row],[Saldo estimado]]</f>
        <v>#REF!</v>
      </c>
      <c r="N6008" s="60" t="e">
        <f>+SUMIFS(#REF!,#REF!,Planning[[#This Row],[Proyectos]],#REF!,Planning[[#This Row],[Tipo de Tarea y especialidad]])+SUMIFS(#REF!,#REF!,Planning[[#This Row],[Proyectos Reiwa]],#REF!,Planning[[#This Row],[Tipo de Tarea y especialidad]])</f>
        <v>#REF!</v>
      </c>
      <c r="O6008" s="19">
        <f t="shared" si="189"/>
        <v>10</v>
      </c>
      <c r="P6008" s="19">
        <f t="shared" si="190"/>
        <v>2024</v>
      </c>
      <c r="Q600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08" s="49" t="str">
        <f>TEXT(Planning[[#This Row],[Mes]]*29,"mmmm")</f>
        <v>October</v>
      </c>
      <c r="S600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08" s="156"/>
      <c r="U6008" s="93"/>
      <c r="V6008" s="93"/>
      <c r="W6008" s="94"/>
    </row>
    <row r="6009" spans="1:23" ht="13.35" customHeight="1" x14ac:dyDescent="0.2">
      <c r="A6009" s="9" t="s">
        <v>435</v>
      </c>
      <c r="B6009" s="9" t="s">
        <v>685</v>
      </c>
      <c r="C6009" s="3">
        <v>124351</v>
      </c>
      <c r="D6009" s="3"/>
      <c r="E6009" s="4"/>
      <c r="F6009" s="3" t="s">
        <v>124</v>
      </c>
      <c r="G6009" s="9">
        <v>0</v>
      </c>
      <c r="H6009" s="9">
        <v>0</v>
      </c>
      <c r="I6009" s="12"/>
      <c r="J6009" s="5" t="e">
        <f>SUM(SUMIFS(#REF!,#REF!,Planning[[#This Row],[Tipo de Tarea y especialidad]],#REF!,Planning[[#This Row],[Proyectos Reiwa]]),SUMIFS(#REF!,#REF!,Planning[[#This Row],[Tipo de Tarea y especialidad]],#REF!,Planning[[#This Row],[Proyectos]]))</f>
        <v>#REF!</v>
      </c>
      <c r="K6009" s="5" t="e">
        <f>+Planning[[#This Row],[Horas Planificadas]]+Planning[[#This Row],[Horas ajustadas adicionales]]-Planning[[#This Row],[Horas utilizadas]]</f>
        <v>#REF!</v>
      </c>
      <c r="L6009" s="7" t="e">
        <f>Planning[[#This Row],[Saldo]]</f>
        <v>#REF!</v>
      </c>
      <c r="M6009" s="19" t="e">
        <f>Planning[[#This Row],[Saldo]]-Planning[[#This Row],[Saldo estimado]]</f>
        <v>#REF!</v>
      </c>
      <c r="N6009" s="60" t="e">
        <f>+SUMIFS(#REF!,#REF!,Planning[[#This Row],[Proyectos]],#REF!,Planning[[#This Row],[Tipo de Tarea y especialidad]])+SUMIFS(#REF!,#REF!,Planning[[#This Row],[Proyectos Reiwa]],#REF!,Planning[[#This Row],[Tipo de Tarea y especialidad]])</f>
        <v>#REF!</v>
      </c>
      <c r="O6009" s="19">
        <f t="shared" si="189"/>
        <v>10</v>
      </c>
      <c r="P6009" s="19">
        <f t="shared" si="190"/>
        <v>2024</v>
      </c>
      <c r="Q600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09" s="49" t="str">
        <f>TEXT(Planning[[#This Row],[Mes]]*29,"mmmm")</f>
        <v>October</v>
      </c>
      <c r="S600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09" s="156"/>
      <c r="U6009" s="93"/>
      <c r="V6009" s="93"/>
      <c r="W6009" s="94"/>
    </row>
    <row r="6010" spans="1:23" ht="13.35" customHeight="1" x14ac:dyDescent="0.2">
      <c r="A6010" s="9" t="s">
        <v>435</v>
      </c>
      <c r="B6010" s="9" t="s">
        <v>685</v>
      </c>
      <c r="C6010" s="3">
        <v>124351</v>
      </c>
      <c r="D6010" s="3"/>
      <c r="E6010" s="4"/>
      <c r="F6010" s="3" t="s">
        <v>125</v>
      </c>
      <c r="G6010" s="9">
        <v>270</v>
      </c>
      <c r="H6010" s="9">
        <v>270</v>
      </c>
      <c r="I6010" s="12"/>
      <c r="J6010" s="5" t="e">
        <f>SUM(SUMIFS(#REF!,#REF!,Planning[[#This Row],[Tipo de Tarea y especialidad]],#REF!,Planning[[#This Row],[Proyectos Reiwa]]),SUMIFS(#REF!,#REF!,Planning[[#This Row],[Tipo de Tarea y especialidad]],#REF!,Planning[[#This Row],[Proyectos]]))</f>
        <v>#REF!</v>
      </c>
      <c r="K6010" s="5" t="e">
        <f>+Planning[[#This Row],[Horas Planificadas]]+Planning[[#This Row],[Horas ajustadas adicionales]]-Planning[[#This Row],[Horas utilizadas]]</f>
        <v>#REF!</v>
      </c>
      <c r="L6010" s="7" t="e">
        <f>Planning[[#This Row],[Saldo]]</f>
        <v>#REF!</v>
      </c>
      <c r="M6010" s="19" t="e">
        <f>Planning[[#This Row],[Saldo]]-Planning[[#This Row],[Saldo estimado]]</f>
        <v>#REF!</v>
      </c>
      <c r="N6010" s="60" t="e">
        <f>+SUMIFS(#REF!,#REF!,Planning[[#This Row],[Proyectos]],#REF!,Planning[[#This Row],[Tipo de Tarea y especialidad]])+SUMIFS(#REF!,#REF!,Planning[[#This Row],[Proyectos Reiwa]],#REF!,Planning[[#This Row],[Tipo de Tarea y especialidad]])</f>
        <v>#REF!</v>
      </c>
      <c r="O6010" s="19">
        <f t="shared" si="189"/>
        <v>10</v>
      </c>
      <c r="P6010" s="19">
        <f t="shared" si="190"/>
        <v>2024</v>
      </c>
      <c r="Q601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10" s="49" t="str">
        <f>TEXT(Planning[[#This Row],[Mes]]*29,"mmmm")</f>
        <v>October</v>
      </c>
      <c r="S601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10" s="156"/>
      <c r="U6010" s="93"/>
      <c r="V6010" s="93"/>
      <c r="W6010" s="94"/>
    </row>
    <row r="6011" spans="1:23" ht="13.35" customHeight="1" x14ac:dyDescent="0.2">
      <c r="A6011" s="9" t="s">
        <v>435</v>
      </c>
      <c r="B6011" s="9" t="s">
        <v>685</v>
      </c>
      <c r="C6011" s="3">
        <v>124351</v>
      </c>
      <c r="D6011" s="3"/>
      <c r="E6011" s="4"/>
      <c r="F6011" s="3" t="s">
        <v>126</v>
      </c>
      <c r="G6011" s="9">
        <v>734</v>
      </c>
      <c r="H6011" s="9">
        <v>734</v>
      </c>
      <c r="I6011" s="12"/>
      <c r="J6011" s="5" t="e">
        <f>SUM(SUMIFS(#REF!,#REF!,Planning[[#This Row],[Tipo de Tarea y especialidad]],#REF!,Planning[[#This Row],[Proyectos Reiwa]]),SUMIFS(#REF!,#REF!,Planning[[#This Row],[Tipo de Tarea y especialidad]],#REF!,Planning[[#This Row],[Proyectos]]))</f>
        <v>#REF!</v>
      </c>
      <c r="K6011" s="5" t="e">
        <f>+Planning[[#This Row],[Horas Planificadas]]+Planning[[#This Row],[Horas ajustadas adicionales]]-Planning[[#This Row],[Horas utilizadas]]</f>
        <v>#REF!</v>
      </c>
      <c r="L6011" s="7" t="e">
        <f>Planning[[#This Row],[Saldo]]</f>
        <v>#REF!</v>
      </c>
      <c r="M6011" s="19" t="e">
        <f>Planning[[#This Row],[Saldo]]-Planning[[#This Row],[Saldo estimado]]</f>
        <v>#REF!</v>
      </c>
      <c r="N6011" s="60" t="e">
        <f>+SUMIFS(#REF!,#REF!,Planning[[#This Row],[Proyectos]],#REF!,Planning[[#This Row],[Tipo de Tarea y especialidad]])+SUMIFS(#REF!,#REF!,Planning[[#This Row],[Proyectos Reiwa]],#REF!,Planning[[#This Row],[Tipo de Tarea y especialidad]])</f>
        <v>#REF!</v>
      </c>
      <c r="O6011" s="19">
        <f t="shared" si="189"/>
        <v>10</v>
      </c>
      <c r="P6011" s="19">
        <f t="shared" si="190"/>
        <v>2024</v>
      </c>
      <c r="Q601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11" s="49" t="str">
        <f>TEXT(Planning[[#This Row],[Mes]]*29,"mmmm")</f>
        <v>October</v>
      </c>
      <c r="S601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11" s="156"/>
      <c r="U6011" s="93"/>
      <c r="V6011" s="93"/>
      <c r="W6011" s="94"/>
    </row>
    <row r="6012" spans="1:23" ht="13.35" customHeight="1" x14ac:dyDescent="0.2">
      <c r="A6012" s="9" t="s">
        <v>435</v>
      </c>
      <c r="B6012" s="9" t="s">
        <v>685</v>
      </c>
      <c r="C6012" s="3">
        <v>124351</v>
      </c>
      <c r="D6012" s="3"/>
      <c r="E6012" s="4"/>
      <c r="F6012" s="3" t="s">
        <v>127</v>
      </c>
      <c r="G6012" s="9">
        <v>0</v>
      </c>
      <c r="H6012" s="9">
        <v>0</v>
      </c>
      <c r="I6012" s="12"/>
      <c r="J6012" s="5" t="e">
        <f>SUM(SUMIFS(#REF!,#REF!,Planning[[#This Row],[Tipo de Tarea y especialidad]],#REF!,Planning[[#This Row],[Proyectos Reiwa]]),SUMIFS(#REF!,#REF!,Planning[[#This Row],[Tipo de Tarea y especialidad]],#REF!,Planning[[#This Row],[Proyectos]]))</f>
        <v>#REF!</v>
      </c>
      <c r="K6012" s="5" t="e">
        <f>+Planning[[#This Row],[Horas Planificadas]]+Planning[[#This Row],[Horas ajustadas adicionales]]-Planning[[#This Row],[Horas utilizadas]]</f>
        <v>#REF!</v>
      </c>
      <c r="L6012" s="7" t="e">
        <f>Planning[[#This Row],[Saldo]]</f>
        <v>#REF!</v>
      </c>
      <c r="M6012" s="19" t="e">
        <f>Planning[[#This Row],[Saldo]]-Planning[[#This Row],[Saldo estimado]]</f>
        <v>#REF!</v>
      </c>
      <c r="N6012" s="60" t="e">
        <f>+SUMIFS(#REF!,#REF!,Planning[[#This Row],[Proyectos]],#REF!,Planning[[#This Row],[Tipo de Tarea y especialidad]])+SUMIFS(#REF!,#REF!,Planning[[#This Row],[Proyectos Reiwa]],#REF!,Planning[[#This Row],[Tipo de Tarea y especialidad]])</f>
        <v>#REF!</v>
      </c>
      <c r="O6012" s="19">
        <f t="shared" si="189"/>
        <v>10</v>
      </c>
      <c r="P6012" s="19">
        <f t="shared" si="190"/>
        <v>2024</v>
      </c>
      <c r="Q601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12" s="49" t="str">
        <f>TEXT(Planning[[#This Row],[Mes]]*29,"mmmm")</f>
        <v>October</v>
      </c>
      <c r="S601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12" s="156"/>
      <c r="U6012" s="93"/>
      <c r="V6012" s="93"/>
      <c r="W6012" s="94"/>
    </row>
    <row r="6013" spans="1:23" ht="13.35" customHeight="1" x14ac:dyDescent="0.2">
      <c r="A6013" s="9" t="s">
        <v>435</v>
      </c>
      <c r="B6013" s="9" t="s">
        <v>685</v>
      </c>
      <c r="C6013" s="3">
        <v>124351</v>
      </c>
      <c r="D6013" s="3"/>
      <c r="E6013" s="4"/>
      <c r="F6013" s="3" t="s">
        <v>128</v>
      </c>
      <c r="G6013" s="9">
        <v>0</v>
      </c>
      <c r="H6013" s="9">
        <v>0</v>
      </c>
      <c r="I6013" s="12"/>
      <c r="J6013" s="5" t="e">
        <f>SUM(SUMIFS(#REF!,#REF!,Planning[[#This Row],[Tipo de Tarea y especialidad]],#REF!,Planning[[#This Row],[Proyectos Reiwa]]),SUMIFS(#REF!,#REF!,Planning[[#This Row],[Tipo de Tarea y especialidad]],#REF!,Planning[[#This Row],[Proyectos]]))</f>
        <v>#REF!</v>
      </c>
      <c r="K6013" s="5" t="e">
        <f>+Planning[[#This Row],[Horas Planificadas]]+Planning[[#This Row],[Horas ajustadas adicionales]]-Planning[[#This Row],[Horas utilizadas]]</f>
        <v>#REF!</v>
      </c>
      <c r="L6013" s="7" t="e">
        <f>Planning[[#This Row],[Saldo]]</f>
        <v>#REF!</v>
      </c>
      <c r="M6013" s="19" t="e">
        <f>Planning[[#This Row],[Saldo]]-Planning[[#This Row],[Saldo estimado]]</f>
        <v>#REF!</v>
      </c>
      <c r="N6013" s="60" t="e">
        <f>+SUMIFS(#REF!,#REF!,Planning[[#This Row],[Proyectos]],#REF!,Planning[[#This Row],[Tipo de Tarea y especialidad]])+SUMIFS(#REF!,#REF!,Planning[[#This Row],[Proyectos Reiwa]],#REF!,Planning[[#This Row],[Tipo de Tarea y especialidad]])</f>
        <v>#REF!</v>
      </c>
      <c r="O6013" s="19">
        <f t="shared" si="189"/>
        <v>10</v>
      </c>
      <c r="P6013" s="19">
        <f t="shared" si="190"/>
        <v>2024</v>
      </c>
      <c r="Q601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13" s="49" t="str">
        <f>TEXT(Planning[[#This Row],[Mes]]*29,"mmmm")</f>
        <v>October</v>
      </c>
      <c r="S601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13" s="156"/>
      <c r="U6013" s="93"/>
      <c r="V6013" s="93"/>
      <c r="W6013" s="94"/>
    </row>
    <row r="6014" spans="1:23" ht="13.35" customHeight="1" x14ac:dyDescent="0.2">
      <c r="A6014" s="9" t="s">
        <v>435</v>
      </c>
      <c r="B6014" s="9" t="s">
        <v>685</v>
      </c>
      <c r="C6014" s="3">
        <v>124351</v>
      </c>
      <c r="D6014" s="3"/>
      <c r="E6014" s="4" t="s">
        <v>31</v>
      </c>
      <c r="F6014" s="3" t="s">
        <v>31</v>
      </c>
      <c r="G6014" s="9"/>
      <c r="H6014" s="17"/>
      <c r="I6014" s="18"/>
      <c r="J6014" s="14" t="e">
        <f>+SUMIFS(#REF!,#REF!,Planning[[#This Row],[Tarifa]],#REF!,Planning[[#This Row],[Proyectos]])</f>
        <v>#REF!</v>
      </c>
      <c r="K6014" s="14" t="e">
        <f>+Planning[[#This Row],[Horas Planificadas]]+Planning[[#This Row],[Horas ajustadas adicionales]]-Planning[[#This Row],[Horas utilizadas]]</f>
        <v>#REF!</v>
      </c>
      <c r="L6014" s="15" t="e">
        <f>Planning[[#This Row],[Saldo]]</f>
        <v>#REF!</v>
      </c>
      <c r="M6014" s="16" t="e">
        <f>Planning[[#This Row],[Saldo]]-Planning[[#This Row],[Saldo estimado]]</f>
        <v>#REF!</v>
      </c>
      <c r="N6014" s="60" t="e">
        <f>+SUMIFS(#REF!,#REF!,Planning[[#This Row],[Proyectos]],#REF!,Planning[[#This Row],[Tipo de Tarea y especialidad]])+SUMIFS(#REF!,#REF!,Planning[[#This Row],[Proyectos Reiwa]],#REF!,Planning[[#This Row],[Tipo de Tarea y especialidad]])</f>
        <v>#REF!</v>
      </c>
      <c r="O6014" s="16">
        <f t="shared" si="189"/>
        <v>10</v>
      </c>
      <c r="P6014" s="16">
        <f t="shared" si="190"/>
        <v>2024</v>
      </c>
      <c r="Q6014" s="16" t="e">
        <f>+SUMIFS(#REF!,#REF!,Planning[[#This Row],[Tarifa]],#REF!,Planning[[#This Row],[Proyectos]],#REF!,Planning[[#This Row],[Mes]],#REF!,Planning[[#This Row],[Año]])</f>
        <v>#REF!</v>
      </c>
      <c r="R6014" s="50" t="str">
        <f>TEXT(Planning[[#This Row],[Mes]]*29,"mmmm")</f>
        <v>October</v>
      </c>
      <c r="S601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14" s="156"/>
      <c r="U6014" s="93"/>
      <c r="V6014" s="93"/>
      <c r="W6014" s="94"/>
    </row>
    <row r="6015" spans="1:23" ht="13.35" customHeight="1" x14ac:dyDescent="0.2">
      <c r="A6015" s="9" t="s">
        <v>435</v>
      </c>
      <c r="B6015" s="9" t="s">
        <v>685</v>
      </c>
      <c r="C6015" s="3">
        <v>124351</v>
      </c>
      <c r="D6015" s="3"/>
      <c r="E6015" s="4" t="s">
        <v>32</v>
      </c>
      <c r="F6015" s="3"/>
      <c r="G6015" s="9"/>
      <c r="H6015" s="14">
        <f>SUM(H6016:H6018)</f>
        <v>1010</v>
      </c>
      <c r="I6015" s="14"/>
      <c r="J6015" s="14" t="e">
        <f>SUM(J6016:J6018)</f>
        <v>#REF!</v>
      </c>
      <c r="K6015" s="14" t="e">
        <f>+Planning[[#This Row],[Horas Planificadas]]+Planning[[#This Row],[Horas ajustadas adicionales]]-Planning[[#This Row],[Horas utilizadas]]</f>
        <v>#REF!</v>
      </c>
      <c r="L6015" s="15" t="e">
        <f>SUM(L6016:L6018)</f>
        <v>#REF!</v>
      </c>
      <c r="M6015" s="16" t="e">
        <f>SUM(M6016:M6018)</f>
        <v>#REF!</v>
      </c>
      <c r="N6015" s="60" t="e">
        <f>+SUMIFS(#REF!,#REF!,Planning[[#This Row],[Proyectos]],#REF!,Planning[[#This Row],[Tipo de Tarea y especialidad]])+SUMIFS(#REF!,#REF!,Planning[[#This Row],[Proyectos Reiwa]],#REF!,Planning[[#This Row],[Tipo de Tarea y especialidad]])</f>
        <v>#REF!</v>
      </c>
      <c r="O6015" s="16">
        <f t="shared" si="189"/>
        <v>10</v>
      </c>
      <c r="P6015" s="16">
        <f t="shared" si="190"/>
        <v>2024</v>
      </c>
      <c r="Q6015" s="16" t="e">
        <f>SUM(Q6016:Q6018)</f>
        <v>#REF!</v>
      </c>
      <c r="R6015" s="50" t="str">
        <f>TEXT(Planning[[#This Row],[Mes]]*29,"mmmm")</f>
        <v>October</v>
      </c>
      <c r="S601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15" s="156"/>
      <c r="U6015" s="93"/>
      <c r="V6015" s="93"/>
      <c r="W6015" s="94"/>
    </row>
    <row r="6016" spans="1:23" ht="13.35" customHeight="1" x14ac:dyDescent="0.2">
      <c r="A6016" s="9" t="s">
        <v>435</v>
      </c>
      <c r="B6016" s="9" t="s">
        <v>685</v>
      </c>
      <c r="C6016" s="3">
        <v>124351</v>
      </c>
      <c r="D6016" s="3"/>
      <c r="E6016" s="4"/>
      <c r="F6016" s="3" t="s">
        <v>129</v>
      </c>
      <c r="G6016" s="9">
        <v>1010</v>
      </c>
      <c r="H6016" s="9">
        <v>1010</v>
      </c>
      <c r="I6016" s="12"/>
      <c r="J6016" s="5" t="e">
        <f>SUM(SUMIFS(#REF!,#REF!,Planning[[#This Row],[Tipo de Tarea y especialidad]],#REF!,Planning[[#This Row],[Proyectos Reiwa]]),SUMIFS(#REF!,#REF!,Planning[[#This Row],[Tipo de Tarea y especialidad]],#REF!,Planning[[#This Row],[Proyectos]]))</f>
        <v>#REF!</v>
      </c>
      <c r="K6016" s="5" t="e">
        <f>+Planning[[#This Row],[Horas Planificadas]]+Planning[[#This Row],[Horas ajustadas adicionales]]-Planning[[#This Row],[Horas utilizadas]]</f>
        <v>#REF!</v>
      </c>
      <c r="L6016" s="7" t="e">
        <f>Planning[[#This Row],[Saldo]]</f>
        <v>#REF!</v>
      </c>
      <c r="M6016" s="19" t="e">
        <f>Planning[[#This Row],[Saldo]]-Planning[[#This Row],[Saldo estimado]]</f>
        <v>#REF!</v>
      </c>
      <c r="N6016" s="60" t="e">
        <f>+SUMIFS(#REF!,#REF!,Planning[[#This Row],[Proyectos]],#REF!,Planning[[#This Row],[Tipo de Tarea y especialidad]])+SUMIFS(#REF!,#REF!,Planning[[#This Row],[Proyectos Reiwa]],#REF!,Planning[[#This Row],[Tipo de Tarea y especialidad]])</f>
        <v>#REF!</v>
      </c>
      <c r="O6016" s="19">
        <f t="shared" si="189"/>
        <v>10</v>
      </c>
      <c r="P6016" s="19">
        <f t="shared" si="190"/>
        <v>2024</v>
      </c>
      <c r="Q601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16" s="49" t="str">
        <f>TEXT(Planning[[#This Row],[Mes]]*29,"mmmm")</f>
        <v>October</v>
      </c>
      <c r="S601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16" s="156"/>
      <c r="U6016" s="93"/>
      <c r="V6016" s="93"/>
      <c r="W6016" s="94"/>
    </row>
    <row r="6017" spans="1:23" ht="13.35" customHeight="1" x14ac:dyDescent="0.2">
      <c r="A6017" s="9" t="s">
        <v>435</v>
      </c>
      <c r="B6017" s="9" t="s">
        <v>685</v>
      </c>
      <c r="C6017" s="3">
        <v>124351</v>
      </c>
      <c r="D6017" s="3"/>
      <c r="E6017" s="4"/>
      <c r="F6017" s="3" t="s">
        <v>130</v>
      </c>
      <c r="G6017" s="9">
        <v>0</v>
      </c>
      <c r="H6017" s="9">
        <v>0</v>
      </c>
      <c r="I6017" s="12"/>
      <c r="J6017" s="5" t="e">
        <f>SUM(SUMIFS(#REF!,#REF!,Planning[[#This Row],[Tipo de Tarea y especialidad]],#REF!,Planning[[#This Row],[Proyectos Reiwa]]),SUMIFS(#REF!,#REF!,Planning[[#This Row],[Tipo de Tarea y especialidad]],#REF!,Planning[[#This Row],[Proyectos]]))</f>
        <v>#REF!</v>
      </c>
      <c r="K6017" s="5" t="e">
        <f>+Planning[[#This Row],[Horas Planificadas]]+Planning[[#This Row],[Horas ajustadas adicionales]]-Planning[[#This Row],[Horas utilizadas]]</f>
        <v>#REF!</v>
      </c>
      <c r="L6017" s="7" t="e">
        <f>Planning[[#This Row],[Saldo]]</f>
        <v>#REF!</v>
      </c>
      <c r="M6017" s="19" t="e">
        <f>Planning[[#This Row],[Saldo]]-Planning[[#This Row],[Saldo estimado]]</f>
        <v>#REF!</v>
      </c>
      <c r="N6017" s="60" t="e">
        <f>+SUMIFS(#REF!,#REF!,Planning[[#This Row],[Proyectos]],#REF!,Planning[[#This Row],[Tipo de Tarea y especialidad]])+SUMIFS(#REF!,#REF!,Planning[[#This Row],[Proyectos Reiwa]],#REF!,Planning[[#This Row],[Tipo de Tarea y especialidad]])</f>
        <v>#REF!</v>
      </c>
      <c r="O6017" s="19">
        <f t="shared" si="189"/>
        <v>10</v>
      </c>
      <c r="P6017" s="19">
        <f t="shared" si="190"/>
        <v>2024</v>
      </c>
      <c r="Q601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17" s="49" t="str">
        <f>TEXT(Planning[[#This Row],[Mes]]*29,"mmmm")</f>
        <v>October</v>
      </c>
      <c r="S601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17" s="156"/>
      <c r="U6017" s="93"/>
      <c r="V6017" s="93"/>
      <c r="W6017" s="94"/>
    </row>
    <row r="6018" spans="1:23" ht="13.35" customHeight="1" x14ac:dyDescent="0.2">
      <c r="A6018" s="9" t="s">
        <v>435</v>
      </c>
      <c r="B6018" s="9" t="s">
        <v>685</v>
      </c>
      <c r="C6018" s="3">
        <v>124351</v>
      </c>
      <c r="D6018" s="3"/>
      <c r="E6018" s="4"/>
      <c r="F6018" s="3" t="s">
        <v>131</v>
      </c>
      <c r="G6018" s="9">
        <v>0</v>
      </c>
      <c r="H6018" s="9">
        <v>0</v>
      </c>
      <c r="I6018" s="12"/>
      <c r="J6018" s="5" t="e">
        <f>SUM(SUMIFS(#REF!,#REF!,Planning[[#This Row],[Tipo de Tarea y especialidad]],#REF!,Planning[[#This Row],[Proyectos Reiwa]]),SUMIFS(#REF!,#REF!,Planning[[#This Row],[Tipo de Tarea y especialidad]],#REF!,Planning[[#This Row],[Proyectos]]))</f>
        <v>#REF!</v>
      </c>
      <c r="K6018" s="5" t="e">
        <f>+Planning[[#This Row],[Horas Planificadas]]+Planning[[#This Row],[Horas ajustadas adicionales]]-Planning[[#This Row],[Horas utilizadas]]</f>
        <v>#REF!</v>
      </c>
      <c r="L6018" s="7" t="e">
        <f>Planning[[#This Row],[Saldo]]</f>
        <v>#REF!</v>
      </c>
      <c r="M6018" s="19" t="e">
        <f>Planning[[#This Row],[Saldo]]-Planning[[#This Row],[Saldo estimado]]</f>
        <v>#REF!</v>
      </c>
      <c r="N6018" s="60" t="e">
        <f>+SUMIFS(#REF!,#REF!,Planning[[#This Row],[Proyectos]],#REF!,Planning[[#This Row],[Tipo de Tarea y especialidad]])+SUMIFS(#REF!,#REF!,Planning[[#This Row],[Proyectos Reiwa]],#REF!,Planning[[#This Row],[Tipo de Tarea y especialidad]])</f>
        <v>#REF!</v>
      </c>
      <c r="O6018" s="19">
        <f t="shared" si="189"/>
        <v>10</v>
      </c>
      <c r="P6018" s="19">
        <f t="shared" si="190"/>
        <v>2024</v>
      </c>
      <c r="Q601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18" s="51" t="str">
        <f>TEXT(Planning[[#This Row],[Mes]]*29,"mmmm")</f>
        <v>October</v>
      </c>
      <c r="S6018"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18" s="157"/>
      <c r="U6018" s="93"/>
      <c r="V6018" s="93"/>
      <c r="W6018" s="94"/>
    </row>
    <row r="6019" spans="1:23" ht="22.5" x14ac:dyDescent="0.2">
      <c r="A6019" s="9" t="s">
        <v>626</v>
      </c>
      <c r="B6019" s="9" t="s">
        <v>288</v>
      </c>
      <c r="C6019" s="3">
        <v>124356</v>
      </c>
      <c r="D6019" s="3"/>
      <c r="E6019" s="4" t="s">
        <v>28</v>
      </c>
      <c r="F6019" s="3"/>
      <c r="G6019" s="9"/>
      <c r="H6019" s="14">
        <f>SUM(H6020:H6021)</f>
        <v>90</v>
      </c>
      <c r="I6019" s="14"/>
      <c r="J6019" s="14" t="e">
        <f>SUM(J6020:J6021)</f>
        <v>#REF!</v>
      </c>
      <c r="K6019" s="14" t="e">
        <f>+Planning[[#This Row],[Horas Planificadas]]+Planning[[#This Row],[Horas ajustadas adicionales]]-Planning[[#This Row],[Horas utilizadas]]</f>
        <v>#REF!</v>
      </c>
      <c r="L6019" s="15">
        <f>SUM(L6020:L6021)</f>
        <v>90</v>
      </c>
      <c r="M6019" s="14" t="e">
        <f>SUM(M6020:M6021)</f>
        <v>#REF!</v>
      </c>
      <c r="N6019" s="60" t="e">
        <f>+SUMIFS(#REF!,#REF!,Planning[[#This Row],[Proyectos]],#REF!,Planning[[#This Row],[Tipo de Tarea y especialidad]])+SUMIFS(#REF!,#REF!,Planning[[#This Row],[Proyectos Reiwa]],#REF!,Planning[[#This Row],[Tipo de Tarea y especialidad]])</f>
        <v>#REF!</v>
      </c>
      <c r="O6019" s="14">
        <f t="shared" si="189"/>
        <v>10</v>
      </c>
      <c r="P6019" s="14">
        <f t="shared" si="190"/>
        <v>2024</v>
      </c>
      <c r="Q6019" s="28" t="e">
        <f>SUM(Q6020:Q6021)</f>
        <v>#REF!</v>
      </c>
      <c r="R6019" s="24" t="str">
        <f>TEXT(Planning[[#This Row],[Mes]]*29,"mmmm")</f>
        <v>October</v>
      </c>
      <c r="S6019"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19" s="151" t="s">
        <v>1044</v>
      </c>
    </row>
    <row r="6020" spans="1:23" x14ac:dyDescent="0.2">
      <c r="A6020" s="9" t="s">
        <v>626</v>
      </c>
      <c r="B6020" s="9" t="s">
        <v>288</v>
      </c>
      <c r="C6020" s="3">
        <v>124356</v>
      </c>
      <c r="D6020" s="3"/>
      <c r="E6020" s="4"/>
      <c r="F6020" s="3" t="s">
        <v>120</v>
      </c>
      <c r="G6020" s="9">
        <v>0</v>
      </c>
      <c r="H6020" s="9">
        <v>0</v>
      </c>
      <c r="I6020" s="12"/>
      <c r="J6020" s="5" t="e">
        <f>SUM(SUMIFS(#REF!,#REF!,Planning[[#This Row],[Tipo de Tarea y especialidad]],#REF!,Planning[[#This Row],[Proyectos Reiwa]]),SUMIFS(#REF!,#REF!,Planning[[#This Row],[Tipo de Tarea y especialidad]],#REF!,Planning[[#This Row],[Proyectos]]))</f>
        <v>#REF!</v>
      </c>
      <c r="K6020" s="5" t="e">
        <f>+Planning[[#This Row],[Horas Planificadas]]+Planning[[#This Row],[Horas ajustadas adicionales]]-Planning[[#This Row],[Horas utilizadas]]</f>
        <v>#REF!</v>
      </c>
      <c r="L6020" s="7">
        <v>0</v>
      </c>
      <c r="M6020" s="19" t="e">
        <f>Planning[[#This Row],[Saldo]]-Planning[[#This Row],[Saldo estimado]]</f>
        <v>#REF!</v>
      </c>
      <c r="N6020" s="60" t="e">
        <f>+SUMIFS(#REF!,#REF!,Planning[[#This Row],[Proyectos]],#REF!,Planning[[#This Row],[Tipo de Tarea y especialidad]])+SUMIFS(#REF!,#REF!,Planning[[#This Row],[Proyectos Reiwa]],#REF!,Planning[[#This Row],[Tipo de Tarea y especialidad]])</f>
        <v>#REF!</v>
      </c>
      <c r="O6020" s="19">
        <f t="shared" si="189"/>
        <v>10</v>
      </c>
      <c r="P6020" s="19">
        <f t="shared" si="190"/>
        <v>2024</v>
      </c>
      <c r="Q602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20" s="49" t="str">
        <f>TEXT(Planning[[#This Row],[Mes]]*29,"mmmm")</f>
        <v>October</v>
      </c>
      <c r="S602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20" s="152"/>
    </row>
    <row r="6021" spans="1:23" x14ac:dyDescent="0.2">
      <c r="A6021" s="9" t="s">
        <v>626</v>
      </c>
      <c r="B6021" s="9" t="s">
        <v>288</v>
      </c>
      <c r="C6021" s="3">
        <v>124356</v>
      </c>
      <c r="D6021" s="3"/>
      <c r="E6021" s="4"/>
      <c r="F6021" s="3" t="s">
        <v>121</v>
      </c>
      <c r="G6021" s="9">
        <v>90</v>
      </c>
      <c r="H6021" s="9">
        <v>90</v>
      </c>
      <c r="I6021" s="12"/>
      <c r="J6021" s="5" t="e">
        <f>SUM(SUMIFS(#REF!,#REF!,Planning[[#This Row],[Tipo de Tarea y especialidad]],#REF!,Planning[[#This Row],[Proyectos Reiwa]]),SUMIFS(#REF!,#REF!,Planning[[#This Row],[Tipo de Tarea y especialidad]],#REF!,Planning[[#This Row],[Proyectos]]))</f>
        <v>#REF!</v>
      </c>
      <c r="K6021" s="5" t="e">
        <f>+Planning[[#This Row],[Horas Planificadas]]+Planning[[#This Row],[Horas ajustadas adicionales]]-Planning[[#This Row],[Horas utilizadas]]</f>
        <v>#REF!</v>
      </c>
      <c r="L6021" s="7">
        <v>90</v>
      </c>
      <c r="M6021" s="19" t="e">
        <f>Planning[[#This Row],[Saldo]]-Planning[[#This Row],[Saldo estimado]]</f>
        <v>#REF!</v>
      </c>
      <c r="N6021" s="60" t="e">
        <f>+SUMIFS(#REF!,#REF!,Planning[[#This Row],[Proyectos]],#REF!,Planning[[#This Row],[Tipo de Tarea y especialidad]])+SUMIFS(#REF!,#REF!,Planning[[#This Row],[Proyectos Reiwa]],#REF!,Planning[[#This Row],[Tipo de Tarea y especialidad]])</f>
        <v>#REF!</v>
      </c>
      <c r="O6021" s="19">
        <f t="shared" si="189"/>
        <v>10</v>
      </c>
      <c r="P6021" s="19">
        <f t="shared" si="190"/>
        <v>2024</v>
      </c>
      <c r="Q602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21" s="49" t="str">
        <f>TEXT(Planning[[#This Row],[Mes]]*29,"mmmm")</f>
        <v>October</v>
      </c>
      <c r="S602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21" s="152"/>
    </row>
    <row r="6022" spans="1:23" x14ac:dyDescent="0.2">
      <c r="A6022" s="9" t="s">
        <v>626</v>
      </c>
      <c r="B6022" s="9" t="s">
        <v>288</v>
      </c>
      <c r="C6022" s="3">
        <v>124356</v>
      </c>
      <c r="D6022" s="3"/>
      <c r="E6022" s="4" t="s">
        <v>30</v>
      </c>
      <c r="F6022" s="3"/>
      <c r="G6022" s="9"/>
      <c r="H6022" s="14">
        <f>SUM(H6023:H6029)</f>
        <v>441</v>
      </c>
      <c r="I6022" s="14"/>
      <c r="J6022" s="14" t="e">
        <f>SUM(J6023:J6029)</f>
        <v>#REF!</v>
      </c>
      <c r="K6022" s="14" t="e">
        <f>+Planning[[#This Row],[Horas Planificadas]]+Planning[[#This Row],[Horas ajustadas adicionales]]-Planning[[#This Row],[Horas utilizadas]]</f>
        <v>#REF!</v>
      </c>
      <c r="L6022" s="15">
        <f>SUM(L6023:L6029)</f>
        <v>441</v>
      </c>
      <c r="M6022" s="16" t="e">
        <f>SUM(M6023:M6029)</f>
        <v>#REF!</v>
      </c>
      <c r="N6022" s="60" t="e">
        <f>+SUMIFS(#REF!,#REF!,Planning[[#This Row],[Proyectos]],#REF!,Planning[[#This Row],[Tipo de Tarea y especialidad]])+SUMIFS(#REF!,#REF!,Planning[[#This Row],[Proyectos Reiwa]],#REF!,Planning[[#This Row],[Tipo de Tarea y especialidad]])</f>
        <v>#REF!</v>
      </c>
      <c r="O6022" s="16">
        <f t="shared" si="189"/>
        <v>10</v>
      </c>
      <c r="P6022" s="16">
        <f t="shared" si="190"/>
        <v>2024</v>
      </c>
      <c r="Q6022" s="16" t="e">
        <f>SUM(Q6023:Q6029)</f>
        <v>#REF!</v>
      </c>
      <c r="R6022" s="50" t="str">
        <f>TEXT(Planning[[#This Row],[Mes]]*29,"mmmm")</f>
        <v>October</v>
      </c>
      <c r="S602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22" s="152"/>
    </row>
    <row r="6023" spans="1:23" x14ac:dyDescent="0.2">
      <c r="A6023" s="9" t="s">
        <v>626</v>
      </c>
      <c r="B6023" s="9" t="s">
        <v>288</v>
      </c>
      <c r="C6023" s="3">
        <v>124356</v>
      </c>
      <c r="D6023" s="3"/>
      <c r="E6023" s="4"/>
      <c r="F6023" s="3" t="s">
        <v>122</v>
      </c>
      <c r="G6023" s="9"/>
      <c r="H6023" s="9"/>
      <c r="I6023" s="12"/>
      <c r="J6023" s="5" t="e">
        <f>SUM(SUMIFS(#REF!,#REF!,Planning[[#This Row],[Tipo de Tarea y especialidad]],#REF!,Planning[[#This Row],[Proyectos Reiwa]]),SUMIFS(#REF!,#REF!,Planning[[#This Row],[Tipo de Tarea y especialidad]],#REF!,Planning[[#This Row],[Proyectos]]))</f>
        <v>#REF!</v>
      </c>
      <c r="K6023" s="5" t="e">
        <f>+Planning[[#This Row],[Horas Planificadas]]+Planning[[#This Row],[Horas ajustadas adicionales]]-Planning[[#This Row],[Horas utilizadas]]</f>
        <v>#REF!</v>
      </c>
      <c r="L6023" s="7">
        <v>0</v>
      </c>
      <c r="M6023" s="19" t="e">
        <f>Planning[[#This Row],[Saldo]]-Planning[[#This Row],[Saldo estimado]]</f>
        <v>#REF!</v>
      </c>
      <c r="N6023" s="60" t="e">
        <f>+SUMIFS(#REF!,#REF!,Planning[[#This Row],[Proyectos]],#REF!,Planning[[#This Row],[Tipo de Tarea y especialidad]])+SUMIFS(#REF!,#REF!,Planning[[#This Row],[Proyectos Reiwa]],#REF!,Planning[[#This Row],[Tipo de Tarea y especialidad]])</f>
        <v>#REF!</v>
      </c>
      <c r="O6023" s="19">
        <f t="shared" si="189"/>
        <v>10</v>
      </c>
      <c r="P6023" s="19">
        <f t="shared" si="190"/>
        <v>2024</v>
      </c>
      <c r="Q602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23" s="49" t="str">
        <f>TEXT(Planning[[#This Row],[Mes]]*29,"mmmm")</f>
        <v>October</v>
      </c>
      <c r="S602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23" s="152"/>
    </row>
    <row r="6024" spans="1:23" x14ac:dyDescent="0.2">
      <c r="A6024" s="9" t="s">
        <v>626</v>
      </c>
      <c r="B6024" s="9" t="s">
        <v>288</v>
      </c>
      <c r="C6024" s="3">
        <v>124356</v>
      </c>
      <c r="D6024" s="3"/>
      <c r="E6024" s="4"/>
      <c r="F6024" s="3" t="s">
        <v>123</v>
      </c>
      <c r="G6024" s="9"/>
      <c r="H6024" s="9"/>
      <c r="I6024" s="12"/>
      <c r="J6024" s="5" t="e">
        <f>SUM(SUMIFS(#REF!,#REF!,Planning[[#This Row],[Tipo de Tarea y especialidad]],#REF!,Planning[[#This Row],[Proyectos Reiwa]]),SUMIFS(#REF!,#REF!,Planning[[#This Row],[Tipo de Tarea y especialidad]],#REF!,Planning[[#This Row],[Proyectos]]))</f>
        <v>#REF!</v>
      </c>
      <c r="K6024" s="5" t="e">
        <f>+Planning[[#This Row],[Horas Planificadas]]+Planning[[#This Row],[Horas ajustadas adicionales]]-Planning[[#This Row],[Horas utilizadas]]</f>
        <v>#REF!</v>
      </c>
      <c r="L6024" s="7">
        <v>0</v>
      </c>
      <c r="M6024" s="19" t="e">
        <f>Planning[[#This Row],[Saldo]]-Planning[[#This Row],[Saldo estimado]]</f>
        <v>#REF!</v>
      </c>
      <c r="N6024" s="60" t="e">
        <f>+SUMIFS(#REF!,#REF!,Planning[[#This Row],[Proyectos]],#REF!,Planning[[#This Row],[Tipo de Tarea y especialidad]])+SUMIFS(#REF!,#REF!,Planning[[#This Row],[Proyectos Reiwa]],#REF!,Planning[[#This Row],[Tipo de Tarea y especialidad]])</f>
        <v>#REF!</v>
      </c>
      <c r="O6024" s="19">
        <f t="shared" si="189"/>
        <v>10</v>
      </c>
      <c r="P6024" s="19">
        <f t="shared" si="190"/>
        <v>2024</v>
      </c>
      <c r="Q602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24" s="49" t="str">
        <f>TEXT(Planning[[#This Row],[Mes]]*29,"mmmm")</f>
        <v>October</v>
      </c>
      <c r="S602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24" s="152"/>
    </row>
    <row r="6025" spans="1:23" x14ac:dyDescent="0.2">
      <c r="A6025" s="9" t="s">
        <v>626</v>
      </c>
      <c r="B6025" s="9" t="s">
        <v>288</v>
      </c>
      <c r="C6025" s="3">
        <v>124356</v>
      </c>
      <c r="D6025" s="3"/>
      <c r="E6025" s="4"/>
      <c r="F6025" s="3" t="s">
        <v>124</v>
      </c>
      <c r="G6025" s="9">
        <v>360</v>
      </c>
      <c r="H6025" s="9">
        <v>360</v>
      </c>
      <c r="I6025" s="12"/>
      <c r="J6025" s="5" t="e">
        <f>SUM(SUMIFS(#REF!,#REF!,Planning[[#This Row],[Tipo de Tarea y especialidad]],#REF!,Planning[[#This Row],[Proyectos Reiwa]]),SUMIFS(#REF!,#REF!,Planning[[#This Row],[Tipo de Tarea y especialidad]],#REF!,Planning[[#This Row],[Proyectos]]))</f>
        <v>#REF!</v>
      </c>
      <c r="K6025" s="5" t="e">
        <f>+Planning[[#This Row],[Horas Planificadas]]+Planning[[#This Row],[Horas ajustadas adicionales]]-Planning[[#This Row],[Horas utilizadas]]</f>
        <v>#REF!</v>
      </c>
      <c r="L6025" s="7">
        <v>360</v>
      </c>
      <c r="M6025" s="19" t="e">
        <f>Planning[[#This Row],[Saldo]]-Planning[[#This Row],[Saldo estimado]]</f>
        <v>#REF!</v>
      </c>
      <c r="N6025" s="60" t="e">
        <f>+SUMIFS(#REF!,#REF!,Planning[[#This Row],[Proyectos]],#REF!,Planning[[#This Row],[Tipo de Tarea y especialidad]])+SUMIFS(#REF!,#REF!,Planning[[#This Row],[Proyectos Reiwa]],#REF!,Planning[[#This Row],[Tipo de Tarea y especialidad]])</f>
        <v>#REF!</v>
      </c>
      <c r="O6025" s="19">
        <f t="shared" si="189"/>
        <v>10</v>
      </c>
      <c r="P6025" s="19">
        <f t="shared" si="190"/>
        <v>2024</v>
      </c>
      <c r="Q602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25" s="49" t="str">
        <f>TEXT(Planning[[#This Row],[Mes]]*29,"mmmm")</f>
        <v>October</v>
      </c>
      <c r="S602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25" s="152"/>
    </row>
    <row r="6026" spans="1:23" x14ac:dyDescent="0.2">
      <c r="A6026" s="9" t="s">
        <v>626</v>
      </c>
      <c r="B6026" s="9" t="s">
        <v>288</v>
      </c>
      <c r="C6026" s="3">
        <v>124356</v>
      </c>
      <c r="D6026" s="3"/>
      <c r="E6026" s="4"/>
      <c r="F6026" s="3" t="s">
        <v>125</v>
      </c>
      <c r="G6026" s="9">
        <v>81</v>
      </c>
      <c r="H6026" s="9">
        <v>81</v>
      </c>
      <c r="I6026" s="12"/>
      <c r="J6026" s="5" t="e">
        <f>SUM(SUMIFS(#REF!,#REF!,Planning[[#This Row],[Tipo de Tarea y especialidad]],#REF!,Planning[[#This Row],[Proyectos Reiwa]]),SUMIFS(#REF!,#REF!,Planning[[#This Row],[Tipo de Tarea y especialidad]],#REF!,Planning[[#This Row],[Proyectos]]))</f>
        <v>#REF!</v>
      </c>
      <c r="K6026" s="5" t="e">
        <f>+Planning[[#This Row],[Horas Planificadas]]+Planning[[#This Row],[Horas ajustadas adicionales]]-Planning[[#This Row],[Horas utilizadas]]</f>
        <v>#REF!</v>
      </c>
      <c r="L6026" s="7">
        <v>81</v>
      </c>
      <c r="M6026" s="19" t="e">
        <f>Planning[[#This Row],[Saldo]]-Planning[[#This Row],[Saldo estimado]]</f>
        <v>#REF!</v>
      </c>
      <c r="N6026" s="60" t="e">
        <f>+SUMIFS(#REF!,#REF!,Planning[[#This Row],[Proyectos]],#REF!,Planning[[#This Row],[Tipo de Tarea y especialidad]])+SUMIFS(#REF!,#REF!,Planning[[#This Row],[Proyectos Reiwa]],#REF!,Planning[[#This Row],[Tipo de Tarea y especialidad]])</f>
        <v>#REF!</v>
      </c>
      <c r="O6026" s="19">
        <f t="shared" si="189"/>
        <v>10</v>
      </c>
      <c r="P6026" s="19">
        <f t="shared" si="190"/>
        <v>2024</v>
      </c>
      <c r="Q602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26" s="49" t="str">
        <f>TEXT(Planning[[#This Row],[Mes]]*29,"mmmm")</f>
        <v>October</v>
      </c>
      <c r="S602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26" s="152"/>
    </row>
    <row r="6027" spans="1:23" x14ac:dyDescent="0.2">
      <c r="A6027" s="9" t="s">
        <v>626</v>
      </c>
      <c r="B6027" s="9" t="s">
        <v>288</v>
      </c>
      <c r="C6027" s="3">
        <v>124356</v>
      </c>
      <c r="D6027" s="3"/>
      <c r="E6027" s="4"/>
      <c r="F6027" s="3" t="s">
        <v>126</v>
      </c>
      <c r="G6027" s="9"/>
      <c r="H6027" s="9"/>
      <c r="I6027" s="12"/>
      <c r="J6027" s="5" t="e">
        <f>SUM(SUMIFS(#REF!,#REF!,Planning[[#This Row],[Tipo de Tarea y especialidad]],#REF!,Planning[[#This Row],[Proyectos Reiwa]]),SUMIFS(#REF!,#REF!,Planning[[#This Row],[Tipo de Tarea y especialidad]],#REF!,Planning[[#This Row],[Proyectos]]))</f>
        <v>#REF!</v>
      </c>
      <c r="K6027" s="5" t="e">
        <f>+Planning[[#This Row],[Horas Planificadas]]+Planning[[#This Row],[Horas ajustadas adicionales]]-Planning[[#This Row],[Horas utilizadas]]</f>
        <v>#REF!</v>
      </c>
      <c r="L6027" s="7">
        <v>0</v>
      </c>
      <c r="M6027" s="19" t="e">
        <f>Planning[[#This Row],[Saldo]]-Planning[[#This Row],[Saldo estimado]]</f>
        <v>#REF!</v>
      </c>
      <c r="N6027" s="60" t="e">
        <f>+SUMIFS(#REF!,#REF!,Planning[[#This Row],[Proyectos]],#REF!,Planning[[#This Row],[Tipo de Tarea y especialidad]])+SUMIFS(#REF!,#REF!,Planning[[#This Row],[Proyectos Reiwa]],#REF!,Planning[[#This Row],[Tipo de Tarea y especialidad]])</f>
        <v>#REF!</v>
      </c>
      <c r="O6027" s="19">
        <f t="shared" si="189"/>
        <v>10</v>
      </c>
      <c r="P6027" s="19">
        <f t="shared" si="190"/>
        <v>2024</v>
      </c>
      <c r="Q602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27" s="49" t="str">
        <f>TEXT(Planning[[#This Row],[Mes]]*29,"mmmm")</f>
        <v>October</v>
      </c>
      <c r="S602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27" s="152"/>
    </row>
    <row r="6028" spans="1:23" x14ac:dyDescent="0.2">
      <c r="A6028" s="9" t="s">
        <v>626</v>
      </c>
      <c r="B6028" s="9" t="s">
        <v>288</v>
      </c>
      <c r="C6028" s="3">
        <v>124356</v>
      </c>
      <c r="D6028" s="3"/>
      <c r="E6028" s="4"/>
      <c r="F6028" s="3" t="s">
        <v>127</v>
      </c>
      <c r="G6028" s="9"/>
      <c r="H6028" s="9"/>
      <c r="I6028" s="12"/>
      <c r="J6028" s="5" t="e">
        <f>SUM(SUMIFS(#REF!,#REF!,Planning[[#This Row],[Tipo de Tarea y especialidad]],#REF!,Planning[[#This Row],[Proyectos Reiwa]]),SUMIFS(#REF!,#REF!,Planning[[#This Row],[Tipo de Tarea y especialidad]],#REF!,Planning[[#This Row],[Proyectos]]))</f>
        <v>#REF!</v>
      </c>
      <c r="K6028" s="5" t="e">
        <f>+Planning[[#This Row],[Horas Planificadas]]+Planning[[#This Row],[Horas ajustadas adicionales]]-Planning[[#This Row],[Horas utilizadas]]</f>
        <v>#REF!</v>
      </c>
      <c r="L6028" s="7">
        <v>0</v>
      </c>
      <c r="M6028" s="19" t="e">
        <f>Planning[[#This Row],[Saldo]]-Planning[[#This Row],[Saldo estimado]]</f>
        <v>#REF!</v>
      </c>
      <c r="N6028" s="60" t="e">
        <f>+SUMIFS(#REF!,#REF!,Planning[[#This Row],[Proyectos]],#REF!,Planning[[#This Row],[Tipo de Tarea y especialidad]])+SUMIFS(#REF!,#REF!,Planning[[#This Row],[Proyectos Reiwa]],#REF!,Planning[[#This Row],[Tipo de Tarea y especialidad]])</f>
        <v>#REF!</v>
      </c>
      <c r="O6028" s="19">
        <f t="shared" si="189"/>
        <v>10</v>
      </c>
      <c r="P6028" s="19">
        <f t="shared" si="190"/>
        <v>2024</v>
      </c>
      <c r="Q602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28" s="49" t="str">
        <f>TEXT(Planning[[#This Row],[Mes]]*29,"mmmm")</f>
        <v>October</v>
      </c>
      <c r="S602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28" s="152"/>
    </row>
    <row r="6029" spans="1:23" x14ac:dyDescent="0.2">
      <c r="A6029" s="9" t="s">
        <v>626</v>
      </c>
      <c r="B6029" s="9" t="s">
        <v>288</v>
      </c>
      <c r="C6029" s="3">
        <v>124356</v>
      </c>
      <c r="D6029" s="3"/>
      <c r="E6029" s="4"/>
      <c r="F6029" s="3" t="s">
        <v>128</v>
      </c>
      <c r="G6029" s="9">
        <v>0</v>
      </c>
      <c r="H6029" s="9">
        <v>0</v>
      </c>
      <c r="I6029" s="12"/>
      <c r="J6029" s="5" t="e">
        <f>SUM(SUMIFS(#REF!,#REF!,Planning[[#This Row],[Tipo de Tarea y especialidad]],#REF!,Planning[[#This Row],[Proyectos Reiwa]]),SUMIFS(#REF!,#REF!,Planning[[#This Row],[Tipo de Tarea y especialidad]],#REF!,Planning[[#This Row],[Proyectos]]))</f>
        <v>#REF!</v>
      </c>
      <c r="K6029" s="5" t="e">
        <f>+Planning[[#This Row],[Horas Planificadas]]+Planning[[#This Row],[Horas ajustadas adicionales]]-Planning[[#This Row],[Horas utilizadas]]</f>
        <v>#REF!</v>
      </c>
      <c r="L6029" s="7">
        <v>0</v>
      </c>
      <c r="M6029" s="19" t="e">
        <f>Planning[[#This Row],[Saldo]]-Planning[[#This Row],[Saldo estimado]]</f>
        <v>#REF!</v>
      </c>
      <c r="N6029" s="60" t="e">
        <f>+SUMIFS(#REF!,#REF!,Planning[[#This Row],[Proyectos]],#REF!,Planning[[#This Row],[Tipo de Tarea y especialidad]])+SUMIFS(#REF!,#REF!,Planning[[#This Row],[Proyectos Reiwa]],#REF!,Planning[[#This Row],[Tipo de Tarea y especialidad]])</f>
        <v>#REF!</v>
      </c>
      <c r="O6029" s="19">
        <f t="shared" si="189"/>
        <v>10</v>
      </c>
      <c r="P6029" s="19">
        <f t="shared" si="190"/>
        <v>2024</v>
      </c>
      <c r="Q602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29" s="49" t="str">
        <f>TEXT(Planning[[#This Row],[Mes]]*29,"mmmm")</f>
        <v>October</v>
      </c>
      <c r="S602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29" s="152"/>
    </row>
    <row r="6030" spans="1:23" x14ac:dyDescent="0.2">
      <c r="A6030" s="9" t="s">
        <v>626</v>
      </c>
      <c r="B6030" s="9" t="s">
        <v>288</v>
      </c>
      <c r="C6030" s="3">
        <v>124356</v>
      </c>
      <c r="D6030" s="3"/>
      <c r="E6030" s="4" t="s">
        <v>31</v>
      </c>
      <c r="F6030" s="3" t="s">
        <v>31</v>
      </c>
      <c r="G6030" s="9"/>
      <c r="H6030" s="17"/>
      <c r="I6030" s="18"/>
      <c r="J6030" s="14" t="e">
        <f>+SUMIFS(#REF!,#REF!,Planning[[#This Row],[Tarifa]],#REF!,Planning[[#This Row],[Proyectos]])</f>
        <v>#REF!</v>
      </c>
      <c r="K6030" s="14" t="e">
        <f>+Planning[[#This Row],[Horas Planificadas]]+Planning[[#This Row],[Horas ajustadas adicionales]]-Planning[[#This Row],[Horas utilizadas]]</f>
        <v>#REF!</v>
      </c>
      <c r="L6030" s="15" t="e">
        <f>Planning[[#This Row],[Saldo]]</f>
        <v>#REF!</v>
      </c>
      <c r="M6030" s="16" t="e">
        <f>Planning[[#This Row],[Saldo]]-Planning[[#This Row],[Saldo estimado]]</f>
        <v>#REF!</v>
      </c>
      <c r="N6030" s="60" t="e">
        <f>+SUMIFS(#REF!,#REF!,Planning[[#This Row],[Proyectos]],#REF!,Planning[[#This Row],[Tipo de Tarea y especialidad]])+SUMIFS(#REF!,#REF!,Planning[[#This Row],[Proyectos Reiwa]],#REF!,Planning[[#This Row],[Tipo de Tarea y especialidad]])</f>
        <v>#REF!</v>
      </c>
      <c r="O6030" s="16">
        <f t="shared" si="189"/>
        <v>10</v>
      </c>
      <c r="P6030" s="16">
        <f t="shared" si="190"/>
        <v>2024</v>
      </c>
      <c r="Q6030" s="16" t="e">
        <f>+SUMIFS(#REF!,#REF!,Planning[[#This Row],[Tarifa]],#REF!,Planning[[#This Row],[Proyectos]],#REF!,Planning[[#This Row],[Mes]],#REF!,Planning[[#This Row],[Año]])</f>
        <v>#REF!</v>
      </c>
      <c r="R6030" s="50" t="str">
        <f>TEXT(Planning[[#This Row],[Mes]]*29,"mmmm")</f>
        <v>October</v>
      </c>
      <c r="S603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30" s="152"/>
    </row>
    <row r="6031" spans="1:23" ht="22.5" x14ac:dyDescent="0.2">
      <c r="A6031" s="9" t="s">
        <v>626</v>
      </c>
      <c r="B6031" s="9" t="s">
        <v>288</v>
      </c>
      <c r="C6031" s="3">
        <v>124356</v>
      </c>
      <c r="D6031" s="3"/>
      <c r="E6031" s="4" t="s">
        <v>32</v>
      </c>
      <c r="F6031" s="3"/>
      <c r="G6031" s="9"/>
      <c r="H6031" s="14">
        <f>SUM(H6032:H6034)</f>
        <v>1036</v>
      </c>
      <c r="I6031" s="14"/>
      <c r="J6031" s="14" t="e">
        <f>SUM(J6032:J6034)</f>
        <v>#REF!</v>
      </c>
      <c r="K6031" s="14" t="e">
        <f>+Planning[[#This Row],[Horas Planificadas]]+Planning[[#This Row],[Horas ajustadas adicionales]]-Planning[[#This Row],[Horas utilizadas]]</f>
        <v>#REF!</v>
      </c>
      <c r="L6031" s="15">
        <f>SUM(L6032:L6034)</f>
        <v>1036</v>
      </c>
      <c r="M6031" s="16" t="e">
        <f>SUM(M6032:M6034)</f>
        <v>#REF!</v>
      </c>
      <c r="N6031" s="60" t="e">
        <f>+SUMIFS(#REF!,#REF!,Planning[[#This Row],[Proyectos]],#REF!,Planning[[#This Row],[Tipo de Tarea y especialidad]])+SUMIFS(#REF!,#REF!,Planning[[#This Row],[Proyectos Reiwa]],#REF!,Planning[[#This Row],[Tipo de Tarea y especialidad]])</f>
        <v>#REF!</v>
      </c>
      <c r="O6031" s="16">
        <f t="shared" si="189"/>
        <v>10</v>
      </c>
      <c r="P6031" s="16">
        <f t="shared" si="190"/>
        <v>2024</v>
      </c>
      <c r="Q6031" s="16" t="e">
        <f>SUM(Q6032:Q6034)</f>
        <v>#REF!</v>
      </c>
      <c r="R6031" s="50" t="str">
        <f>TEXT(Planning[[#This Row],[Mes]]*29,"mmmm")</f>
        <v>October</v>
      </c>
      <c r="S603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31" s="152"/>
    </row>
    <row r="6032" spans="1:23" x14ac:dyDescent="0.2">
      <c r="A6032" s="9" t="s">
        <v>626</v>
      </c>
      <c r="B6032" s="9" t="s">
        <v>288</v>
      </c>
      <c r="C6032" s="3">
        <v>124356</v>
      </c>
      <c r="D6032" s="3"/>
      <c r="E6032" s="4"/>
      <c r="F6032" s="3" t="s">
        <v>129</v>
      </c>
      <c r="G6032" s="9"/>
      <c r="H6032" s="9"/>
      <c r="I6032" s="12"/>
      <c r="J6032" s="5" t="e">
        <f>SUM(SUMIFS(#REF!,#REF!,Planning[[#This Row],[Tipo de Tarea y especialidad]],#REF!,Planning[[#This Row],[Proyectos Reiwa]]),SUMIFS(#REF!,#REF!,Planning[[#This Row],[Tipo de Tarea y especialidad]],#REF!,Planning[[#This Row],[Proyectos]]))</f>
        <v>#REF!</v>
      </c>
      <c r="K6032" s="5" t="e">
        <f>+Planning[[#This Row],[Horas Planificadas]]+Planning[[#This Row],[Horas ajustadas adicionales]]-Planning[[#This Row],[Horas utilizadas]]</f>
        <v>#REF!</v>
      </c>
      <c r="L6032" s="7">
        <v>0</v>
      </c>
      <c r="M6032" s="19" t="e">
        <f>Planning[[#This Row],[Saldo]]-Planning[[#This Row],[Saldo estimado]]</f>
        <v>#REF!</v>
      </c>
      <c r="N6032" s="60" t="e">
        <f>+SUMIFS(#REF!,#REF!,Planning[[#This Row],[Proyectos]],#REF!,Planning[[#This Row],[Tipo de Tarea y especialidad]])+SUMIFS(#REF!,#REF!,Planning[[#This Row],[Proyectos Reiwa]],#REF!,Planning[[#This Row],[Tipo de Tarea y especialidad]])</f>
        <v>#REF!</v>
      </c>
      <c r="O6032" s="19">
        <f t="shared" si="189"/>
        <v>10</v>
      </c>
      <c r="P6032" s="19">
        <f t="shared" si="190"/>
        <v>2024</v>
      </c>
      <c r="Q603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32" s="49" t="str">
        <f>TEXT(Planning[[#This Row],[Mes]]*29,"mmmm")</f>
        <v>October</v>
      </c>
      <c r="S603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32" s="152"/>
    </row>
    <row r="6033" spans="1:23" x14ac:dyDescent="0.2">
      <c r="A6033" s="9" t="s">
        <v>626</v>
      </c>
      <c r="B6033" s="9" t="s">
        <v>288</v>
      </c>
      <c r="C6033" s="3">
        <v>124356</v>
      </c>
      <c r="D6033" s="3"/>
      <c r="E6033" s="4"/>
      <c r="F6033" s="3" t="s">
        <v>130</v>
      </c>
      <c r="G6033" s="9"/>
      <c r="H6033" s="9"/>
      <c r="I6033" s="12"/>
      <c r="J6033" s="5" t="e">
        <f>SUM(SUMIFS(#REF!,#REF!,Planning[[#This Row],[Tipo de Tarea y especialidad]],#REF!,Planning[[#This Row],[Proyectos Reiwa]]),SUMIFS(#REF!,#REF!,Planning[[#This Row],[Tipo de Tarea y especialidad]],#REF!,Planning[[#This Row],[Proyectos]]))</f>
        <v>#REF!</v>
      </c>
      <c r="K6033" s="5" t="e">
        <f>+Planning[[#This Row],[Horas Planificadas]]+Planning[[#This Row],[Horas ajustadas adicionales]]-Planning[[#This Row],[Horas utilizadas]]</f>
        <v>#REF!</v>
      </c>
      <c r="L6033" s="7">
        <v>0</v>
      </c>
      <c r="M6033" s="19" t="e">
        <f>Planning[[#This Row],[Saldo]]-Planning[[#This Row],[Saldo estimado]]</f>
        <v>#REF!</v>
      </c>
      <c r="N6033" s="60" t="e">
        <f>+SUMIFS(#REF!,#REF!,Planning[[#This Row],[Proyectos]],#REF!,Planning[[#This Row],[Tipo de Tarea y especialidad]])+SUMIFS(#REF!,#REF!,Planning[[#This Row],[Proyectos Reiwa]],#REF!,Planning[[#This Row],[Tipo de Tarea y especialidad]])</f>
        <v>#REF!</v>
      </c>
      <c r="O6033" s="19">
        <f t="shared" si="189"/>
        <v>10</v>
      </c>
      <c r="P6033" s="19">
        <f t="shared" si="190"/>
        <v>2024</v>
      </c>
      <c r="Q603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33" s="49" t="str">
        <f>TEXT(Planning[[#This Row],[Mes]]*29,"mmmm")</f>
        <v>October</v>
      </c>
      <c r="S603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33" s="152"/>
    </row>
    <row r="6034" spans="1:23" ht="14.1" customHeight="1" x14ac:dyDescent="0.2">
      <c r="A6034" s="9" t="s">
        <v>626</v>
      </c>
      <c r="B6034" s="9" t="s">
        <v>288</v>
      </c>
      <c r="C6034" s="3">
        <v>124356</v>
      </c>
      <c r="D6034" s="3"/>
      <c r="E6034" s="4"/>
      <c r="F6034" s="3" t="s">
        <v>131</v>
      </c>
      <c r="G6034" s="9">
        <v>1036</v>
      </c>
      <c r="H6034" s="9">
        <v>1036</v>
      </c>
      <c r="I6034" s="12"/>
      <c r="J6034" s="5" t="e">
        <f>SUM(SUMIFS(#REF!,#REF!,Planning[[#This Row],[Tipo de Tarea y especialidad]],#REF!,Planning[[#This Row],[Proyectos Reiwa]]),SUMIFS(#REF!,#REF!,Planning[[#This Row],[Tipo de Tarea y especialidad]],#REF!,Planning[[#This Row],[Proyectos]]))</f>
        <v>#REF!</v>
      </c>
      <c r="K6034" s="5" t="e">
        <f>+Planning[[#This Row],[Horas Planificadas]]+Planning[[#This Row],[Horas ajustadas adicionales]]-Planning[[#This Row],[Horas utilizadas]]</f>
        <v>#REF!</v>
      </c>
      <c r="L6034" s="7">
        <v>1036</v>
      </c>
      <c r="M6034" s="19" t="e">
        <f>Planning[[#This Row],[Saldo]]-Planning[[#This Row],[Saldo estimado]]</f>
        <v>#REF!</v>
      </c>
      <c r="N6034" s="60" t="e">
        <f>+SUMIFS(#REF!,#REF!,Planning[[#This Row],[Proyectos]],#REF!,Planning[[#This Row],[Tipo de Tarea y especialidad]])+SUMIFS(#REF!,#REF!,Planning[[#This Row],[Proyectos Reiwa]],#REF!,Planning[[#This Row],[Tipo de Tarea y especialidad]])</f>
        <v>#REF!</v>
      </c>
      <c r="O6034" s="19">
        <f t="shared" si="189"/>
        <v>10</v>
      </c>
      <c r="P6034" s="19">
        <f t="shared" si="190"/>
        <v>2024</v>
      </c>
      <c r="Q603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34" s="51" t="str">
        <f>TEXT(Planning[[#This Row],[Mes]]*29,"mmmm")</f>
        <v>October</v>
      </c>
      <c r="S6034" s="51"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34" s="153"/>
    </row>
    <row r="6035" spans="1:23" ht="22.5" x14ac:dyDescent="0.2">
      <c r="A6035" s="139" t="s">
        <v>483</v>
      </c>
      <c r="B6035" s="139" t="s">
        <v>118</v>
      </c>
      <c r="C6035" s="3">
        <v>124896</v>
      </c>
      <c r="D6035" s="3"/>
      <c r="E6035" s="4" t="s">
        <v>28</v>
      </c>
      <c r="F6035" s="3"/>
      <c r="G6035" s="14">
        <f>+G6036+G6037</f>
        <v>1602</v>
      </c>
      <c r="H6035" s="14">
        <f>+H6036+H6037</f>
        <v>1602</v>
      </c>
      <c r="I6035" s="14">
        <f>+I6036+I6037</f>
        <v>0</v>
      </c>
      <c r="J6035" s="14" t="e">
        <f>SUM(J6036:J6037)</f>
        <v>#REF!</v>
      </c>
      <c r="K6035" s="14" t="e">
        <f>+Planning[[#This Row],[Horas Planificadas]]+Planning[[#This Row],[Horas ajustadas adicionales]]-Planning[[#This Row],[Horas utilizadas]]</f>
        <v>#REF!</v>
      </c>
      <c r="L6035" s="7" t="e">
        <f>SUM(L6036:L6037)</f>
        <v>#REF!</v>
      </c>
      <c r="M6035" s="19" t="e">
        <f>Planning[[#This Row],[Saldo]]-Planning[[#This Row],[Saldo estimado]]</f>
        <v>#REF!</v>
      </c>
      <c r="N6035" s="60" t="e">
        <f>+SUMIFS(#REF!,#REF!,Planning[[#This Row],[Proyectos]],#REF!,Planning[[#This Row],[Tipo de Tarea y especialidad]])+SUMIFS(#REF!,#REF!,Planning[[#This Row],[Proyectos Reiwa]],#REF!,Planning[[#This Row],[Tipo de Tarea y especialidad]])</f>
        <v>#REF!</v>
      </c>
      <c r="O6035" s="34">
        <f t="shared" si="189"/>
        <v>10</v>
      </c>
      <c r="P6035" s="34">
        <f t="shared" si="190"/>
        <v>2024</v>
      </c>
      <c r="Q6035" s="28" t="e">
        <f>SUM(Q6036:Q6037)</f>
        <v>#REF!</v>
      </c>
      <c r="R6035" s="14" t="str">
        <f>TEXT(Planning[[#This Row],[Mes]]*29,"mmmm")</f>
        <v>October</v>
      </c>
      <c r="S603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35" s="168" t="s">
        <v>1045</v>
      </c>
      <c r="U6035" s="127"/>
      <c r="V6035" s="127"/>
      <c r="W6035" s="127"/>
    </row>
    <row r="6036" spans="1:23" x14ac:dyDescent="0.2">
      <c r="A6036" s="139" t="s">
        <v>483</v>
      </c>
      <c r="B6036" s="139" t="s">
        <v>118</v>
      </c>
      <c r="C6036" s="3">
        <v>124896</v>
      </c>
      <c r="D6036" s="3"/>
      <c r="E6036" s="4"/>
      <c r="F6036" s="3" t="s">
        <v>120</v>
      </c>
      <c r="G6036" s="53">
        <v>820</v>
      </c>
      <c r="H6036" s="140">
        <v>820</v>
      </c>
      <c r="I6036" s="124"/>
      <c r="J6036" s="78" t="e">
        <f>SUM(SUMIFS(#REF!,#REF!,Planning[[#This Row],[Tipo de Tarea y especialidad]],#REF!,Planning[[#This Row],[Proyectos Reiwa]]),SUMIFS(#REF!,#REF!,Planning[[#This Row],[Tipo de Tarea y especialidad]],#REF!,Planning[[#This Row],[Proyectos]]))</f>
        <v>#REF!</v>
      </c>
      <c r="K6036" s="78" t="e">
        <f>+Planning[[#This Row],[Horas Planificadas]]+Planning[[#This Row],[Horas ajustadas adicionales]]-Planning[[#This Row],[Horas utilizadas]]</f>
        <v>#REF!</v>
      </c>
      <c r="L6036" s="7" t="e">
        <f>Planning[[#This Row],[Saldo]]</f>
        <v>#REF!</v>
      </c>
      <c r="M6036" s="19" t="e">
        <f>Planning[[#This Row],[Saldo]]-Planning[[#This Row],[Saldo estimado]]</f>
        <v>#REF!</v>
      </c>
      <c r="N6036" s="60" t="e">
        <f>+SUMIFS(#REF!,#REF!,Planning[[#This Row],[Proyectos]],#REF!,Planning[[#This Row],[Tipo de Tarea y especialidad]])+SUMIFS(#REF!,#REF!,Planning[[#This Row],[Proyectos Reiwa]],#REF!,Planning[[#This Row],[Tipo de Tarea y especialidad]])</f>
        <v>#REF!</v>
      </c>
      <c r="O6036" s="34">
        <f t="shared" ref="O6036:O6082" si="191">$L$4</f>
        <v>10</v>
      </c>
      <c r="P6036" s="34">
        <f t="shared" ref="P6036:P6082" si="192">$M$4</f>
        <v>2024</v>
      </c>
      <c r="Q603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36" s="34" t="str">
        <f>TEXT(Planning[[#This Row],[Mes]]*29,"mmmm")</f>
        <v>October</v>
      </c>
      <c r="S603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36" s="168"/>
      <c r="U6036" s="127"/>
      <c r="V6036" s="127"/>
      <c r="W6036" s="127"/>
    </row>
    <row r="6037" spans="1:23" x14ac:dyDescent="0.2">
      <c r="A6037" s="139" t="s">
        <v>483</v>
      </c>
      <c r="B6037" s="139" t="s">
        <v>118</v>
      </c>
      <c r="C6037" s="3">
        <v>124896</v>
      </c>
      <c r="D6037" s="3"/>
      <c r="E6037" s="4"/>
      <c r="F6037" s="3" t="s">
        <v>121</v>
      </c>
      <c r="G6037" s="53">
        <v>782</v>
      </c>
      <c r="H6037" s="140">
        <v>782</v>
      </c>
      <c r="I6037" s="124"/>
      <c r="J6037" s="79" t="e">
        <f>SUM(SUMIFS(#REF!,#REF!,Planning[[#This Row],[Tipo de Tarea y especialidad]],#REF!,Planning[[#This Row],[Proyectos Reiwa]]),SUMIFS(#REF!,#REF!,Planning[[#This Row],[Tipo de Tarea y especialidad]],#REF!,Planning[[#This Row],[Proyectos]]))</f>
        <v>#REF!</v>
      </c>
      <c r="K6037" s="79" t="e">
        <f>+Planning[[#This Row],[Horas Planificadas]]+Planning[[#This Row],[Horas ajustadas adicionales]]-Planning[[#This Row],[Horas utilizadas]]</f>
        <v>#REF!</v>
      </c>
      <c r="L6037" s="7" t="e">
        <f>Planning[[#This Row],[Saldo]]</f>
        <v>#REF!</v>
      </c>
      <c r="M6037" s="19" t="e">
        <f>Planning[[#This Row],[Saldo]]-Planning[[#This Row],[Saldo estimado]]</f>
        <v>#REF!</v>
      </c>
      <c r="N6037" s="60" t="e">
        <f>+SUMIFS(#REF!,#REF!,Planning[[#This Row],[Proyectos]],#REF!,Planning[[#This Row],[Tipo de Tarea y especialidad]])+SUMIFS(#REF!,#REF!,Planning[[#This Row],[Proyectos Reiwa]],#REF!,Planning[[#This Row],[Tipo de Tarea y especialidad]])</f>
        <v>#REF!</v>
      </c>
      <c r="O6037" s="34">
        <f t="shared" si="191"/>
        <v>10</v>
      </c>
      <c r="P6037" s="34">
        <f t="shared" si="192"/>
        <v>2024</v>
      </c>
      <c r="Q603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37" s="34" t="str">
        <f>TEXT(Planning[[#This Row],[Mes]]*29,"mmmm")</f>
        <v>October</v>
      </c>
      <c r="S603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37" s="168"/>
      <c r="U6037" s="127"/>
      <c r="V6037" s="127"/>
      <c r="W6037" s="127"/>
    </row>
    <row r="6038" spans="1:23" x14ac:dyDescent="0.2">
      <c r="A6038" s="139" t="s">
        <v>483</v>
      </c>
      <c r="B6038" s="139" t="s">
        <v>118</v>
      </c>
      <c r="C6038" s="3">
        <v>124896</v>
      </c>
      <c r="D6038" s="3"/>
      <c r="E6038" s="4" t="s">
        <v>30</v>
      </c>
      <c r="F6038" s="3"/>
      <c r="G6038" s="14">
        <f>SUM(G6039:G6045)</f>
        <v>2772</v>
      </c>
      <c r="H6038" s="14">
        <f>SUM(H6039:H6045)</f>
        <v>2772</v>
      </c>
      <c r="I6038" s="14">
        <f>SUM(I6039:I6045)</f>
        <v>0</v>
      </c>
      <c r="J6038" s="14" t="e">
        <f>SUM(J6039:J6045)</f>
        <v>#REF!</v>
      </c>
      <c r="K6038" s="14" t="e">
        <f>+Planning[[#This Row],[Horas Planificadas]]+Planning[[#This Row],[Horas ajustadas adicionales]]-Planning[[#This Row],[Horas utilizadas]]</f>
        <v>#REF!</v>
      </c>
      <c r="L6038" s="7" t="e">
        <f>SUM(L6039:L6045)</f>
        <v>#REF!</v>
      </c>
      <c r="M6038" s="19" t="e">
        <f>Planning[[#This Row],[Saldo]]-Planning[[#This Row],[Saldo estimado]]</f>
        <v>#REF!</v>
      </c>
      <c r="N6038" s="60" t="e">
        <f>+SUMIFS(#REF!,#REF!,Planning[[#This Row],[Proyectos]],#REF!,Planning[[#This Row],[Tipo de Tarea y especialidad]])+SUMIFS(#REF!,#REF!,Planning[[#This Row],[Proyectos Reiwa]],#REF!,Planning[[#This Row],[Tipo de Tarea y especialidad]])</f>
        <v>#REF!</v>
      </c>
      <c r="O6038" s="34">
        <f t="shared" si="191"/>
        <v>10</v>
      </c>
      <c r="P6038" s="34">
        <f t="shared" si="192"/>
        <v>2024</v>
      </c>
      <c r="Q6038" s="16" t="e">
        <f>SUM(Q6039:Q6045)</f>
        <v>#REF!</v>
      </c>
      <c r="R6038" s="35" t="str">
        <f>TEXT(Planning[[#This Row],[Mes]]*29,"mmmm")</f>
        <v>October</v>
      </c>
      <c r="S603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38" s="168"/>
      <c r="U6038" s="127"/>
      <c r="V6038" s="127"/>
      <c r="W6038" s="127"/>
    </row>
    <row r="6039" spans="1:23" x14ac:dyDescent="0.2">
      <c r="A6039" s="139" t="s">
        <v>483</v>
      </c>
      <c r="B6039" s="139" t="s">
        <v>118</v>
      </c>
      <c r="C6039" s="3">
        <v>124896</v>
      </c>
      <c r="D6039" s="3"/>
      <c r="E6039" s="4"/>
      <c r="F6039" s="3" t="s">
        <v>122</v>
      </c>
      <c r="G6039" s="53">
        <v>365</v>
      </c>
      <c r="H6039" s="140">
        <v>365</v>
      </c>
      <c r="I6039" s="124"/>
      <c r="J6039" s="79" t="e">
        <f>SUM(SUMIFS(#REF!,#REF!,Planning[[#This Row],[Tipo de Tarea y especialidad]],#REF!,Planning[[#This Row],[Proyectos Reiwa]]),SUMIFS(#REF!,#REF!,Planning[[#This Row],[Tipo de Tarea y especialidad]],#REF!,Planning[[#This Row],[Proyectos]]))</f>
        <v>#REF!</v>
      </c>
      <c r="K6039" s="79" t="e">
        <f>+Planning[[#This Row],[Horas Planificadas]]+Planning[[#This Row],[Horas ajustadas adicionales]]-Planning[[#This Row],[Horas utilizadas]]</f>
        <v>#REF!</v>
      </c>
      <c r="L6039" s="7" t="e">
        <f>Planning[[#This Row],[Saldo]]</f>
        <v>#REF!</v>
      </c>
      <c r="M6039" s="19" t="e">
        <f>Planning[[#This Row],[Saldo]]-Planning[[#This Row],[Saldo estimado]]</f>
        <v>#REF!</v>
      </c>
      <c r="N6039" s="60" t="e">
        <f>+SUMIFS(#REF!,#REF!,Planning[[#This Row],[Proyectos]],#REF!,Planning[[#This Row],[Tipo de Tarea y especialidad]])+SUMIFS(#REF!,#REF!,Planning[[#This Row],[Proyectos Reiwa]],#REF!,Planning[[#This Row],[Tipo de Tarea y especialidad]])</f>
        <v>#REF!</v>
      </c>
      <c r="O6039" s="34">
        <f t="shared" si="191"/>
        <v>10</v>
      </c>
      <c r="P6039" s="34">
        <f t="shared" si="192"/>
        <v>2024</v>
      </c>
      <c r="Q603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39" s="34" t="str">
        <f>TEXT(Planning[[#This Row],[Mes]]*29,"mmmm")</f>
        <v>October</v>
      </c>
      <c r="S603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39" s="168"/>
      <c r="U6039" s="127"/>
      <c r="V6039" s="127"/>
      <c r="W6039" s="127"/>
    </row>
    <row r="6040" spans="1:23" x14ac:dyDescent="0.2">
      <c r="A6040" s="139" t="s">
        <v>483</v>
      </c>
      <c r="B6040" s="139" t="s">
        <v>118</v>
      </c>
      <c r="C6040" s="3">
        <v>124896</v>
      </c>
      <c r="D6040" s="3"/>
      <c r="E6040" s="4"/>
      <c r="F6040" s="3" t="s">
        <v>123</v>
      </c>
      <c r="G6040" s="53">
        <v>911</v>
      </c>
      <c r="H6040" s="140">
        <v>911</v>
      </c>
      <c r="I6040" s="124"/>
      <c r="J6040" s="78" t="e">
        <f>SUM(SUMIFS(#REF!,#REF!,Planning[[#This Row],[Tipo de Tarea y especialidad]],#REF!,Planning[[#This Row],[Proyectos Reiwa]]),SUMIFS(#REF!,#REF!,Planning[[#This Row],[Tipo de Tarea y especialidad]],#REF!,Planning[[#This Row],[Proyectos]]))</f>
        <v>#REF!</v>
      </c>
      <c r="K6040" s="78" t="e">
        <f>+Planning[[#This Row],[Horas Planificadas]]+Planning[[#This Row],[Horas ajustadas adicionales]]-Planning[[#This Row],[Horas utilizadas]]</f>
        <v>#REF!</v>
      </c>
      <c r="L6040" s="7" t="e">
        <f>Planning[[#This Row],[Saldo]]</f>
        <v>#REF!</v>
      </c>
      <c r="M6040" s="19" t="e">
        <f>Planning[[#This Row],[Saldo]]-Planning[[#This Row],[Saldo estimado]]</f>
        <v>#REF!</v>
      </c>
      <c r="N6040" s="60" t="e">
        <f>+SUMIFS(#REF!,#REF!,Planning[[#This Row],[Proyectos]],#REF!,Planning[[#This Row],[Tipo de Tarea y especialidad]])+SUMIFS(#REF!,#REF!,Planning[[#This Row],[Proyectos Reiwa]],#REF!,Planning[[#This Row],[Tipo de Tarea y especialidad]])</f>
        <v>#REF!</v>
      </c>
      <c r="O6040" s="34">
        <f t="shared" si="191"/>
        <v>10</v>
      </c>
      <c r="P6040" s="34">
        <f t="shared" si="192"/>
        <v>2024</v>
      </c>
      <c r="Q604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40" s="34" t="str">
        <f>TEXT(Planning[[#This Row],[Mes]]*29,"mmmm")</f>
        <v>October</v>
      </c>
      <c r="S604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40" s="168"/>
      <c r="U6040" s="127"/>
      <c r="V6040" s="127"/>
      <c r="W6040" s="127"/>
    </row>
    <row r="6041" spans="1:23" x14ac:dyDescent="0.2">
      <c r="A6041" s="139" t="s">
        <v>483</v>
      </c>
      <c r="B6041" s="139" t="s">
        <v>118</v>
      </c>
      <c r="C6041" s="3">
        <v>124896</v>
      </c>
      <c r="D6041" s="3"/>
      <c r="E6041" s="4"/>
      <c r="F6041" s="3" t="s">
        <v>124</v>
      </c>
      <c r="G6041" s="53">
        <v>325</v>
      </c>
      <c r="H6041" s="140">
        <v>325</v>
      </c>
      <c r="I6041" s="124"/>
      <c r="J6041" s="79" t="e">
        <f>SUM(SUMIFS(#REF!,#REF!,Planning[[#This Row],[Tipo de Tarea y especialidad]],#REF!,Planning[[#This Row],[Proyectos Reiwa]]),SUMIFS(#REF!,#REF!,Planning[[#This Row],[Tipo de Tarea y especialidad]],#REF!,Planning[[#This Row],[Proyectos]]))</f>
        <v>#REF!</v>
      </c>
      <c r="K6041" s="79" t="e">
        <f>+Planning[[#This Row],[Horas Planificadas]]+Planning[[#This Row],[Horas ajustadas adicionales]]-Planning[[#This Row],[Horas utilizadas]]</f>
        <v>#REF!</v>
      </c>
      <c r="L6041" s="7" t="e">
        <f>Planning[[#This Row],[Saldo]]</f>
        <v>#REF!</v>
      </c>
      <c r="M6041" s="19" t="e">
        <f>Planning[[#This Row],[Saldo]]-Planning[[#This Row],[Saldo estimado]]</f>
        <v>#REF!</v>
      </c>
      <c r="N6041" s="60" t="e">
        <f>+SUMIFS(#REF!,#REF!,Planning[[#This Row],[Proyectos]],#REF!,Planning[[#This Row],[Tipo de Tarea y especialidad]])+SUMIFS(#REF!,#REF!,Planning[[#This Row],[Proyectos Reiwa]],#REF!,Planning[[#This Row],[Tipo de Tarea y especialidad]])</f>
        <v>#REF!</v>
      </c>
      <c r="O6041" s="34">
        <f t="shared" si="191"/>
        <v>10</v>
      </c>
      <c r="P6041" s="34">
        <f t="shared" si="192"/>
        <v>2024</v>
      </c>
      <c r="Q604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41" s="34" t="str">
        <f>TEXT(Planning[[#This Row],[Mes]]*29,"mmmm")</f>
        <v>October</v>
      </c>
      <c r="S6041"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41" s="168"/>
    </row>
    <row r="6042" spans="1:23" x14ac:dyDescent="0.2">
      <c r="A6042" s="139" t="s">
        <v>483</v>
      </c>
      <c r="B6042" s="139" t="s">
        <v>118</v>
      </c>
      <c r="C6042" s="3">
        <v>124896</v>
      </c>
      <c r="D6042" s="3"/>
      <c r="E6042" s="4"/>
      <c r="F6042" s="3" t="s">
        <v>125</v>
      </c>
      <c r="G6042" s="53">
        <v>420</v>
      </c>
      <c r="H6042" s="140">
        <v>420</v>
      </c>
      <c r="I6042" s="124"/>
      <c r="J6042" s="78" t="e">
        <f>SUM(SUMIFS(#REF!,#REF!,Planning[[#This Row],[Tipo de Tarea y especialidad]],#REF!,Planning[[#This Row],[Proyectos Reiwa]]),SUMIFS(#REF!,#REF!,Planning[[#This Row],[Tipo de Tarea y especialidad]],#REF!,Planning[[#This Row],[Proyectos]]))</f>
        <v>#REF!</v>
      </c>
      <c r="K6042" s="78" t="e">
        <f>+Planning[[#This Row],[Horas Planificadas]]+Planning[[#This Row],[Horas ajustadas adicionales]]-Planning[[#This Row],[Horas utilizadas]]</f>
        <v>#REF!</v>
      </c>
      <c r="L6042" s="7" t="e">
        <f>Planning[[#This Row],[Saldo]]</f>
        <v>#REF!</v>
      </c>
      <c r="M6042" s="19" t="e">
        <f>Planning[[#This Row],[Saldo]]-Planning[[#This Row],[Saldo estimado]]</f>
        <v>#REF!</v>
      </c>
      <c r="N6042" s="60" t="e">
        <f>+SUMIFS(#REF!,#REF!,Planning[[#This Row],[Proyectos]],#REF!,Planning[[#This Row],[Tipo de Tarea y especialidad]])+SUMIFS(#REF!,#REF!,Planning[[#This Row],[Proyectos Reiwa]],#REF!,Planning[[#This Row],[Tipo de Tarea y especialidad]])</f>
        <v>#REF!</v>
      </c>
      <c r="O6042" s="34">
        <f t="shared" si="191"/>
        <v>10</v>
      </c>
      <c r="P6042" s="34">
        <f t="shared" si="192"/>
        <v>2024</v>
      </c>
      <c r="Q604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42" s="34" t="str">
        <f>TEXT(Planning[[#This Row],[Mes]]*29,"mmmm")</f>
        <v>October</v>
      </c>
      <c r="S6042"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42" s="168"/>
    </row>
    <row r="6043" spans="1:23" x14ac:dyDescent="0.2">
      <c r="A6043" s="139" t="s">
        <v>483</v>
      </c>
      <c r="B6043" s="139" t="s">
        <v>118</v>
      </c>
      <c r="C6043" s="3">
        <v>124896</v>
      </c>
      <c r="D6043" s="3"/>
      <c r="E6043" s="4"/>
      <c r="F6043" s="3" t="s">
        <v>126</v>
      </c>
      <c r="G6043" s="53">
        <v>253</v>
      </c>
      <c r="H6043" s="53">
        <v>253</v>
      </c>
      <c r="I6043" s="124"/>
      <c r="J6043" s="79" t="e">
        <f>SUM(SUMIFS(#REF!,#REF!,Planning[[#This Row],[Tipo de Tarea y especialidad]],#REF!,Planning[[#This Row],[Proyectos Reiwa]]),SUMIFS(#REF!,#REF!,Planning[[#This Row],[Tipo de Tarea y especialidad]],#REF!,Planning[[#This Row],[Proyectos]]))</f>
        <v>#REF!</v>
      </c>
      <c r="K6043" s="79" t="e">
        <f>+Planning[[#This Row],[Horas Planificadas]]+Planning[[#This Row],[Horas ajustadas adicionales]]-Planning[[#This Row],[Horas utilizadas]]</f>
        <v>#REF!</v>
      </c>
      <c r="L6043" s="7" t="e">
        <f>Planning[[#This Row],[Saldo]]</f>
        <v>#REF!</v>
      </c>
      <c r="M6043" s="19" t="e">
        <f>Planning[[#This Row],[Saldo]]-Planning[[#This Row],[Saldo estimado]]</f>
        <v>#REF!</v>
      </c>
      <c r="N6043" s="60" t="e">
        <f>+SUMIFS(#REF!,#REF!,Planning[[#This Row],[Proyectos]],#REF!,Planning[[#This Row],[Tipo de Tarea y especialidad]])+SUMIFS(#REF!,#REF!,Planning[[#This Row],[Proyectos Reiwa]],#REF!,Planning[[#This Row],[Tipo de Tarea y especialidad]])</f>
        <v>#REF!</v>
      </c>
      <c r="O6043" s="34">
        <f t="shared" si="191"/>
        <v>10</v>
      </c>
      <c r="P6043" s="34">
        <f t="shared" si="192"/>
        <v>2024</v>
      </c>
      <c r="Q604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43" s="34" t="str">
        <f>TEXT(Planning[[#This Row],[Mes]]*29,"mmmm")</f>
        <v>October</v>
      </c>
      <c r="S6043"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43" s="168"/>
    </row>
    <row r="6044" spans="1:23" x14ac:dyDescent="0.2">
      <c r="A6044" s="139" t="s">
        <v>483</v>
      </c>
      <c r="B6044" s="139" t="s">
        <v>118</v>
      </c>
      <c r="C6044" s="3">
        <v>124896</v>
      </c>
      <c r="D6044" s="3"/>
      <c r="E6044" s="4"/>
      <c r="F6044" s="3" t="s">
        <v>127</v>
      </c>
      <c r="G6044" s="53">
        <v>303</v>
      </c>
      <c r="H6044" s="53">
        <v>303</v>
      </c>
      <c r="I6044" s="124"/>
      <c r="J6044" s="78" t="e">
        <f>SUM(SUMIFS(#REF!,#REF!,Planning[[#This Row],[Tipo de Tarea y especialidad]],#REF!,Planning[[#This Row],[Proyectos Reiwa]]),SUMIFS(#REF!,#REF!,Planning[[#This Row],[Tipo de Tarea y especialidad]],#REF!,Planning[[#This Row],[Proyectos]]))</f>
        <v>#REF!</v>
      </c>
      <c r="K6044" s="78" t="e">
        <f>+Planning[[#This Row],[Horas Planificadas]]+Planning[[#This Row],[Horas ajustadas adicionales]]-Planning[[#This Row],[Horas utilizadas]]</f>
        <v>#REF!</v>
      </c>
      <c r="L6044" s="7" t="e">
        <f>Planning[[#This Row],[Saldo]]</f>
        <v>#REF!</v>
      </c>
      <c r="M6044" s="19" t="e">
        <f>Planning[[#This Row],[Saldo]]-Planning[[#This Row],[Saldo estimado]]</f>
        <v>#REF!</v>
      </c>
      <c r="N6044" s="60" t="e">
        <f>+SUMIFS(#REF!,#REF!,Planning[[#This Row],[Proyectos]],#REF!,Planning[[#This Row],[Tipo de Tarea y especialidad]])+SUMIFS(#REF!,#REF!,Planning[[#This Row],[Proyectos Reiwa]],#REF!,Planning[[#This Row],[Tipo de Tarea y especialidad]])</f>
        <v>#REF!</v>
      </c>
      <c r="O6044" s="34">
        <f t="shared" si="191"/>
        <v>10</v>
      </c>
      <c r="P6044" s="34">
        <f t="shared" si="192"/>
        <v>2024</v>
      </c>
      <c r="Q604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44" s="34" t="str">
        <f>TEXT(Planning[[#This Row],[Mes]]*29,"mmmm")</f>
        <v>October</v>
      </c>
      <c r="S6044"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44" s="168"/>
    </row>
    <row r="6045" spans="1:23" x14ac:dyDescent="0.2">
      <c r="A6045" s="139" t="s">
        <v>483</v>
      </c>
      <c r="B6045" s="139" t="s">
        <v>118</v>
      </c>
      <c r="C6045" s="3">
        <v>124896</v>
      </c>
      <c r="D6045" s="3"/>
      <c r="E6045" s="4"/>
      <c r="F6045" s="3" t="s">
        <v>128</v>
      </c>
      <c r="G6045" s="53">
        <v>195</v>
      </c>
      <c r="H6045" s="53">
        <v>195</v>
      </c>
      <c r="I6045" s="124"/>
      <c r="J6045" s="79" t="e">
        <f>SUM(SUMIFS(#REF!,#REF!,Planning[[#This Row],[Tipo de Tarea y especialidad]],#REF!,Planning[[#This Row],[Proyectos Reiwa]]),SUMIFS(#REF!,#REF!,Planning[[#This Row],[Tipo de Tarea y especialidad]],#REF!,Planning[[#This Row],[Proyectos]]))</f>
        <v>#REF!</v>
      </c>
      <c r="K6045" s="79" t="e">
        <f>+Planning[[#This Row],[Horas Planificadas]]+Planning[[#This Row],[Horas ajustadas adicionales]]-Planning[[#This Row],[Horas utilizadas]]</f>
        <v>#REF!</v>
      </c>
      <c r="L6045" s="7" t="e">
        <f>Planning[[#This Row],[Saldo]]</f>
        <v>#REF!</v>
      </c>
      <c r="M6045" s="19" t="e">
        <f>Planning[[#This Row],[Saldo]]-Planning[[#This Row],[Saldo estimado]]</f>
        <v>#REF!</v>
      </c>
      <c r="N6045" s="60" t="e">
        <f>+SUMIFS(#REF!,#REF!,Planning[[#This Row],[Proyectos]],#REF!,Planning[[#This Row],[Tipo de Tarea y especialidad]])+SUMIFS(#REF!,#REF!,Planning[[#This Row],[Proyectos Reiwa]],#REF!,Planning[[#This Row],[Tipo de Tarea y especialidad]])</f>
        <v>#REF!</v>
      </c>
      <c r="O6045" s="34">
        <f t="shared" si="191"/>
        <v>10</v>
      </c>
      <c r="P6045" s="34">
        <f t="shared" si="192"/>
        <v>2024</v>
      </c>
      <c r="Q604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45" s="34" t="str">
        <f>TEXT(Planning[[#This Row],[Mes]]*29,"mmmm")</f>
        <v>October</v>
      </c>
      <c r="S6045"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45" s="168"/>
    </row>
    <row r="6046" spans="1:23" x14ac:dyDescent="0.2">
      <c r="A6046" s="139" t="s">
        <v>483</v>
      </c>
      <c r="B6046" s="139" t="s">
        <v>118</v>
      </c>
      <c r="C6046" s="3">
        <v>124896</v>
      </c>
      <c r="D6046" s="3"/>
      <c r="E6046" s="4" t="s">
        <v>31</v>
      </c>
      <c r="F6046" s="3" t="s">
        <v>31</v>
      </c>
      <c r="G6046" s="53"/>
      <c r="H6046" s="140"/>
      <c r="I6046" s="124"/>
      <c r="J6046" s="14" t="e">
        <f>+SUMIFS(#REF!,#REF!,Planning[[#This Row],[Tarifa]],#REF!,Planning[[#This Row],[Proyectos]])</f>
        <v>#REF!</v>
      </c>
      <c r="K6046" s="14" t="e">
        <f>+Planning[[#This Row],[Horas Planificadas]]+Planning[[#This Row],[Horas ajustadas adicionales]]-Planning[[#This Row],[Horas utilizadas]]</f>
        <v>#REF!</v>
      </c>
      <c r="L6046" s="7" t="e">
        <f>Planning[[#This Row],[Saldo]]</f>
        <v>#REF!</v>
      </c>
      <c r="M6046" s="19" t="e">
        <f>Planning[[#This Row],[Saldo]]-Planning[[#This Row],[Saldo estimado]]</f>
        <v>#REF!</v>
      </c>
      <c r="N6046" s="60" t="e">
        <f>+SUMIFS(#REF!,#REF!,Planning[[#This Row],[Proyectos]],#REF!,Planning[[#This Row],[Tipo de Tarea y especialidad]])+SUMIFS(#REF!,#REF!,Planning[[#This Row],[Proyectos Reiwa]],#REF!,Planning[[#This Row],[Tipo de Tarea y especialidad]])</f>
        <v>#REF!</v>
      </c>
      <c r="O6046" s="34">
        <f t="shared" si="191"/>
        <v>10</v>
      </c>
      <c r="P6046" s="34">
        <f t="shared" si="192"/>
        <v>2024</v>
      </c>
      <c r="Q6046" s="16" t="e">
        <f>+SUMIFS(#REF!,#REF!,Planning[[#This Row],[Tarifa]],#REF!,Planning[[#This Row],[Proyectos]],#REF!,Planning[[#This Row],[Mes]],#REF!,Planning[[#This Row],[Año]])</f>
        <v>#REF!</v>
      </c>
      <c r="R6046" s="35" t="str">
        <f>TEXT(Planning[[#This Row],[Mes]]*29,"mmmm")</f>
        <v>October</v>
      </c>
      <c r="S6046"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46" s="168"/>
    </row>
    <row r="6047" spans="1:23" ht="22.5" x14ac:dyDescent="0.2">
      <c r="A6047" s="139" t="s">
        <v>483</v>
      </c>
      <c r="B6047" s="139" t="s">
        <v>118</v>
      </c>
      <c r="C6047" s="3">
        <v>124896</v>
      </c>
      <c r="D6047" s="3"/>
      <c r="E6047" s="4" t="s">
        <v>32</v>
      </c>
      <c r="F6047" s="3"/>
      <c r="G6047" s="14">
        <f>SUM(G6048:G6050)</f>
        <v>1230</v>
      </c>
      <c r="H6047" s="14">
        <f>SUM(H6048:H6050)</f>
        <v>1230</v>
      </c>
      <c r="I6047" s="14">
        <f>SUM(I6048:I6050)</f>
        <v>0</v>
      </c>
      <c r="J6047" s="14" t="e">
        <f>SUM(J6048:J6050)</f>
        <v>#REF!</v>
      </c>
      <c r="K6047" s="14" t="e">
        <f>+Planning[[#This Row],[Horas Planificadas]]+Planning[[#This Row],[Horas ajustadas adicionales]]-Planning[[#This Row],[Horas utilizadas]]</f>
        <v>#REF!</v>
      </c>
      <c r="L6047" s="7" t="e">
        <f>SUM(L6048:L6050)</f>
        <v>#REF!</v>
      </c>
      <c r="M6047" s="19" t="e">
        <f>Planning[[#This Row],[Saldo]]-Planning[[#This Row],[Saldo estimado]]</f>
        <v>#REF!</v>
      </c>
      <c r="N6047" s="60" t="e">
        <f>+SUMIFS(#REF!,#REF!,Planning[[#This Row],[Proyectos]],#REF!,Planning[[#This Row],[Tipo de Tarea y especialidad]])+SUMIFS(#REF!,#REF!,Planning[[#This Row],[Proyectos Reiwa]],#REF!,Planning[[#This Row],[Tipo de Tarea y especialidad]])</f>
        <v>#REF!</v>
      </c>
      <c r="O6047" s="34">
        <f t="shared" si="191"/>
        <v>10</v>
      </c>
      <c r="P6047" s="34">
        <f t="shared" si="192"/>
        <v>2024</v>
      </c>
      <c r="Q6047" s="16" t="e">
        <f>SUM(Q6048:Q6050)</f>
        <v>#REF!</v>
      </c>
      <c r="R6047" s="35" t="str">
        <f>TEXT(Planning[[#This Row],[Mes]]*29,"mmmm")</f>
        <v>October</v>
      </c>
      <c r="S6047"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47" s="168"/>
    </row>
    <row r="6048" spans="1:23" x14ac:dyDescent="0.2">
      <c r="A6048" s="139" t="s">
        <v>483</v>
      </c>
      <c r="B6048" s="139" t="s">
        <v>118</v>
      </c>
      <c r="C6048" s="3">
        <v>124896</v>
      </c>
      <c r="D6048" s="3"/>
      <c r="E6048" s="4"/>
      <c r="F6048" s="3" t="s">
        <v>129</v>
      </c>
      <c r="G6048" s="53">
        <v>470</v>
      </c>
      <c r="H6048" s="140">
        <v>470</v>
      </c>
      <c r="I6048" s="124"/>
      <c r="J6048" s="78" t="e">
        <f>SUM(SUMIFS(#REF!,#REF!,Planning[[#This Row],[Tipo de Tarea y especialidad]],#REF!,Planning[[#This Row],[Proyectos Reiwa]]),SUMIFS(#REF!,#REF!,Planning[[#This Row],[Tipo de Tarea y especialidad]],#REF!,Planning[[#This Row],[Proyectos]]))</f>
        <v>#REF!</v>
      </c>
      <c r="K6048" s="78" t="e">
        <f>+Planning[[#This Row],[Horas Planificadas]]+Planning[[#This Row],[Horas ajustadas adicionales]]-Planning[[#This Row],[Horas utilizadas]]</f>
        <v>#REF!</v>
      </c>
      <c r="L6048" s="7" t="e">
        <f>Planning[[#This Row],[Saldo]]</f>
        <v>#REF!</v>
      </c>
      <c r="M6048" s="19" t="e">
        <f>Planning[[#This Row],[Saldo]]-Planning[[#This Row],[Saldo estimado]]</f>
        <v>#REF!</v>
      </c>
      <c r="N6048" s="60" t="e">
        <f>+SUMIFS(#REF!,#REF!,Planning[[#This Row],[Proyectos]],#REF!,Planning[[#This Row],[Tipo de Tarea y especialidad]])+SUMIFS(#REF!,#REF!,Planning[[#This Row],[Proyectos Reiwa]],#REF!,Planning[[#This Row],[Tipo de Tarea y especialidad]])</f>
        <v>#REF!</v>
      </c>
      <c r="O6048" s="34">
        <f t="shared" si="191"/>
        <v>10</v>
      </c>
      <c r="P6048" s="34">
        <f t="shared" si="192"/>
        <v>2024</v>
      </c>
      <c r="Q604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48" s="34" t="str">
        <f>TEXT(Planning[[#This Row],[Mes]]*29,"mmmm")</f>
        <v>October</v>
      </c>
      <c r="S6048"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48" s="168"/>
    </row>
    <row r="6049" spans="1:20" x14ac:dyDescent="0.2">
      <c r="A6049" s="139" t="s">
        <v>483</v>
      </c>
      <c r="B6049" s="139" t="s">
        <v>118</v>
      </c>
      <c r="C6049" s="3">
        <v>124896</v>
      </c>
      <c r="D6049" s="3"/>
      <c r="E6049" s="4"/>
      <c r="F6049" s="3" t="s">
        <v>130</v>
      </c>
      <c r="G6049" s="53">
        <v>505</v>
      </c>
      <c r="H6049" s="140">
        <v>505</v>
      </c>
      <c r="I6049" s="124"/>
      <c r="J6049" s="79" t="e">
        <f>SUM(SUMIFS(#REF!,#REF!,Planning[[#This Row],[Tipo de Tarea y especialidad]],#REF!,Planning[[#This Row],[Proyectos Reiwa]]),SUMIFS(#REF!,#REF!,Planning[[#This Row],[Tipo de Tarea y especialidad]],#REF!,Planning[[#This Row],[Proyectos]]))</f>
        <v>#REF!</v>
      </c>
      <c r="K6049" s="79" t="e">
        <f>+Planning[[#This Row],[Horas Planificadas]]+Planning[[#This Row],[Horas ajustadas adicionales]]-Planning[[#This Row],[Horas utilizadas]]</f>
        <v>#REF!</v>
      </c>
      <c r="L6049" s="7" t="e">
        <f>Planning[[#This Row],[Saldo]]</f>
        <v>#REF!</v>
      </c>
      <c r="M6049" s="19" t="e">
        <f>Planning[[#This Row],[Saldo]]-Planning[[#This Row],[Saldo estimado]]</f>
        <v>#REF!</v>
      </c>
      <c r="N6049" s="60" t="e">
        <f>+SUMIFS(#REF!,#REF!,Planning[[#This Row],[Proyectos]],#REF!,Planning[[#This Row],[Tipo de Tarea y especialidad]])+SUMIFS(#REF!,#REF!,Planning[[#This Row],[Proyectos Reiwa]],#REF!,Planning[[#This Row],[Tipo de Tarea y especialidad]])</f>
        <v>#REF!</v>
      </c>
      <c r="O6049" s="34">
        <f t="shared" si="191"/>
        <v>10</v>
      </c>
      <c r="P6049" s="34">
        <f t="shared" si="192"/>
        <v>2024</v>
      </c>
      <c r="Q604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49" s="34" t="str">
        <f>TEXT(Planning[[#This Row],[Mes]]*29,"mmmm")</f>
        <v>October</v>
      </c>
      <c r="S6049"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49" s="168"/>
    </row>
    <row r="6050" spans="1:20" x14ac:dyDescent="0.2">
      <c r="A6050" s="139" t="s">
        <v>483</v>
      </c>
      <c r="B6050" s="139" t="s">
        <v>118</v>
      </c>
      <c r="C6050" s="3">
        <v>124896</v>
      </c>
      <c r="D6050" s="3"/>
      <c r="E6050" s="4"/>
      <c r="F6050" s="3" t="s">
        <v>131</v>
      </c>
      <c r="G6050" s="53">
        <v>255</v>
      </c>
      <c r="H6050" s="140">
        <v>255</v>
      </c>
      <c r="I6050" s="124"/>
      <c r="J6050" s="75" t="e">
        <f>SUM(SUMIFS(#REF!,#REF!,Planning[[#This Row],[Tipo de Tarea y especialidad]],#REF!,Planning[[#This Row],[Proyectos Reiwa]]),SUMIFS(#REF!,#REF!,Planning[[#This Row],[Tipo de Tarea y especialidad]],#REF!,Planning[[#This Row],[Proyectos]]))</f>
        <v>#REF!</v>
      </c>
      <c r="K6050" s="75" t="e">
        <f>+Planning[[#This Row],[Horas Planificadas]]+Planning[[#This Row],[Horas ajustadas adicionales]]-Planning[[#This Row],[Horas utilizadas]]</f>
        <v>#REF!</v>
      </c>
      <c r="L6050" s="7" t="e">
        <f>Planning[[#This Row],[Saldo]]</f>
        <v>#REF!</v>
      </c>
      <c r="M6050" s="19" t="e">
        <f>Planning[[#This Row],[Saldo]]-Planning[[#This Row],[Saldo estimado]]</f>
        <v>#REF!</v>
      </c>
      <c r="N6050" s="60" t="e">
        <f>+SUMIFS(#REF!,#REF!,Planning[[#This Row],[Proyectos]],#REF!,Planning[[#This Row],[Tipo de Tarea y especialidad]])+SUMIFS(#REF!,#REF!,Planning[[#This Row],[Proyectos Reiwa]],#REF!,Planning[[#This Row],[Tipo de Tarea y especialidad]])</f>
        <v>#REF!</v>
      </c>
      <c r="O6050" s="34">
        <f t="shared" si="191"/>
        <v>10</v>
      </c>
      <c r="P6050" s="34">
        <f t="shared" si="192"/>
        <v>2024</v>
      </c>
      <c r="Q605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50" s="34" t="str">
        <f>TEXT(Planning[[#This Row],[Mes]]*29,"mmmm")</f>
        <v>October</v>
      </c>
      <c r="S6050" s="34"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50" s="169"/>
    </row>
    <row r="6051" spans="1:20" ht="22.5" x14ac:dyDescent="0.2">
      <c r="A6051" s="9" t="s">
        <v>483</v>
      </c>
      <c r="B6051" s="9" t="s">
        <v>463</v>
      </c>
      <c r="C6051" s="3">
        <v>124656</v>
      </c>
      <c r="D6051" s="3"/>
      <c r="E6051" s="4" t="s">
        <v>28</v>
      </c>
      <c r="F6051" s="3"/>
      <c r="G6051" s="9">
        <v>0</v>
      </c>
      <c r="H6051" s="14">
        <f>SUM(H6052:H6053)</f>
        <v>0</v>
      </c>
      <c r="I6051" s="14"/>
      <c r="J6051" s="14" t="e">
        <f>SUM(J6052:J6053)</f>
        <v>#REF!</v>
      </c>
      <c r="K6051" s="14" t="e">
        <f>+Planning[[#This Row],[Horas Planificadas]]+Planning[[#This Row],[Horas ajustadas adicionales]]-Planning[[#This Row],[Horas utilizadas]]</f>
        <v>#REF!</v>
      </c>
      <c r="L6051" s="15" t="e">
        <f>SUM(L6052:L6053)</f>
        <v>#REF!</v>
      </c>
      <c r="M6051" s="14" t="e">
        <f>SUM(M6052:M6053)</f>
        <v>#REF!</v>
      </c>
      <c r="N6051" s="60" t="e">
        <f>+SUMIFS(#REF!,#REF!,Planning[[#This Row],[Proyectos]],#REF!,Planning[[#This Row],[Tipo de Tarea y especialidad]])+SUMIFS(#REF!,#REF!,Planning[[#This Row],[Proyectos Reiwa]],#REF!,Planning[[#This Row],[Tipo de Tarea y especialidad]])</f>
        <v>#REF!</v>
      </c>
      <c r="O6051" s="14">
        <f t="shared" si="191"/>
        <v>10</v>
      </c>
      <c r="P6051" s="14">
        <f t="shared" si="192"/>
        <v>2024</v>
      </c>
      <c r="Q6051" s="28" t="e">
        <f>SUM(Q6052:Q6053)</f>
        <v>#REF!</v>
      </c>
      <c r="R6051" s="24" t="str">
        <f>TEXT(Planning[[#This Row],[Mes]]*29,"mmmm")</f>
        <v>October</v>
      </c>
      <c r="S6051"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51" s="151" t="s">
        <v>1046</v>
      </c>
    </row>
    <row r="6052" spans="1:20" ht="12.75" customHeight="1" x14ac:dyDescent="0.2">
      <c r="A6052" s="9" t="s">
        <v>483</v>
      </c>
      <c r="B6052" s="9" t="s">
        <v>463</v>
      </c>
      <c r="C6052" s="3">
        <v>124656</v>
      </c>
      <c r="D6052" s="3"/>
      <c r="E6052" s="4"/>
      <c r="F6052" s="3" t="s">
        <v>120</v>
      </c>
      <c r="G6052" s="9"/>
      <c r="H6052" s="9"/>
      <c r="I6052" s="12"/>
      <c r="J6052" s="5" t="e">
        <f>SUM(SUMIFS(#REF!,#REF!,Planning[[#This Row],[Tipo de Tarea y especialidad]],#REF!,Planning[[#This Row],[Proyectos Reiwa]]),SUMIFS(#REF!,#REF!,Planning[[#This Row],[Tipo de Tarea y especialidad]],#REF!,Planning[[#This Row],[Proyectos]]))</f>
        <v>#REF!</v>
      </c>
      <c r="K6052" s="5" t="e">
        <f>+Planning[[#This Row],[Horas Planificadas]]+Planning[[#This Row],[Horas ajustadas adicionales]]-Planning[[#This Row],[Horas utilizadas]]</f>
        <v>#REF!</v>
      </c>
      <c r="L6052" s="7" t="e">
        <f>Planning[[#This Row],[Saldo]]</f>
        <v>#REF!</v>
      </c>
      <c r="M6052" s="19" t="e">
        <f>Planning[[#This Row],[Saldo]]-Planning[[#This Row],[Saldo estimado]]</f>
        <v>#REF!</v>
      </c>
      <c r="N6052" s="60" t="e">
        <f>+SUMIFS(#REF!,#REF!,Planning[[#This Row],[Proyectos]],#REF!,Planning[[#This Row],[Tipo de Tarea y especialidad]])+SUMIFS(#REF!,#REF!,Planning[[#This Row],[Proyectos Reiwa]],#REF!,Planning[[#This Row],[Tipo de Tarea y especialidad]])</f>
        <v>#REF!</v>
      </c>
      <c r="O6052" s="19">
        <f t="shared" si="191"/>
        <v>10</v>
      </c>
      <c r="P6052" s="19">
        <f t="shared" si="192"/>
        <v>2024</v>
      </c>
      <c r="Q605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52" s="49" t="str">
        <f>TEXT(Planning[[#This Row],[Mes]]*29,"mmmm")</f>
        <v>October</v>
      </c>
      <c r="S605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52" s="156"/>
    </row>
    <row r="6053" spans="1:20" ht="12.75" customHeight="1" x14ac:dyDescent="0.2">
      <c r="A6053" s="9" t="s">
        <v>483</v>
      </c>
      <c r="B6053" s="9" t="s">
        <v>463</v>
      </c>
      <c r="C6053" s="3">
        <v>124656</v>
      </c>
      <c r="D6053" s="3"/>
      <c r="E6053" s="4"/>
      <c r="F6053" s="3" t="s">
        <v>121</v>
      </c>
      <c r="G6053" s="9"/>
      <c r="H6053" s="9"/>
      <c r="I6053" s="12"/>
      <c r="J6053" s="5" t="e">
        <f>SUM(SUMIFS(#REF!,#REF!,Planning[[#This Row],[Tipo de Tarea y especialidad]],#REF!,Planning[[#This Row],[Proyectos Reiwa]]),SUMIFS(#REF!,#REF!,Planning[[#This Row],[Tipo de Tarea y especialidad]],#REF!,Planning[[#This Row],[Proyectos]]))</f>
        <v>#REF!</v>
      </c>
      <c r="K6053" s="5" t="e">
        <f>+Planning[[#This Row],[Horas Planificadas]]+Planning[[#This Row],[Horas ajustadas adicionales]]-Planning[[#This Row],[Horas utilizadas]]</f>
        <v>#REF!</v>
      </c>
      <c r="L6053" s="7">
        <v>0</v>
      </c>
      <c r="M6053" s="19" t="e">
        <f>Planning[[#This Row],[Saldo]]-Planning[[#This Row],[Saldo estimado]]</f>
        <v>#REF!</v>
      </c>
      <c r="N6053" s="60" t="e">
        <f>+SUMIFS(#REF!,#REF!,Planning[[#This Row],[Proyectos]],#REF!,Planning[[#This Row],[Tipo de Tarea y especialidad]])+SUMIFS(#REF!,#REF!,Planning[[#This Row],[Proyectos Reiwa]],#REF!,Planning[[#This Row],[Tipo de Tarea y especialidad]])</f>
        <v>#REF!</v>
      </c>
      <c r="O6053" s="19">
        <f t="shared" si="191"/>
        <v>10</v>
      </c>
      <c r="P6053" s="19">
        <f t="shared" si="192"/>
        <v>2024</v>
      </c>
      <c r="Q605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53" s="49" t="str">
        <f>TEXT(Planning[[#This Row],[Mes]]*29,"mmmm")</f>
        <v>October</v>
      </c>
      <c r="S605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53" s="156"/>
    </row>
    <row r="6054" spans="1:20" ht="12.75" customHeight="1" x14ac:dyDescent="0.2">
      <c r="A6054" s="9" t="s">
        <v>483</v>
      </c>
      <c r="B6054" s="9" t="s">
        <v>463</v>
      </c>
      <c r="C6054" s="3">
        <v>124656</v>
      </c>
      <c r="D6054" s="3"/>
      <c r="E6054" s="4" t="s">
        <v>30</v>
      </c>
      <c r="F6054" s="3"/>
      <c r="G6054" s="9">
        <v>400</v>
      </c>
      <c r="H6054" s="14">
        <f>SUM(H6055:H6061)</f>
        <v>400</v>
      </c>
      <c r="I6054" s="14"/>
      <c r="J6054" s="14" t="e">
        <f>SUM(J6055:J6061)</f>
        <v>#REF!</v>
      </c>
      <c r="K6054" s="14" t="e">
        <f>+Planning[[#This Row],[Horas Planificadas]]+Planning[[#This Row],[Horas ajustadas adicionales]]-Planning[[#This Row],[Horas utilizadas]]</f>
        <v>#REF!</v>
      </c>
      <c r="L6054" s="15" t="e">
        <f>SUM(L6055:L6061)</f>
        <v>#REF!</v>
      </c>
      <c r="M6054" s="16" t="e">
        <f>SUM(M6055:M6061)</f>
        <v>#REF!</v>
      </c>
      <c r="N6054" s="60" t="e">
        <f>+SUMIFS(#REF!,#REF!,Planning[[#This Row],[Proyectos]],#REF!,Planning[[#This Row],[Tipo de Tarea y especialidad]])+SUMIFS(#REF!,#REF!,Planning[[#This Row],[Proyectos Reiwa]],#REF!,Planning[[#This Row],[Tipo de Tarea y especialidad]])</f>
        <v>#REF!</v>
      </c>
      <c r="O6054" s="16">
        <f t="shared" si="191"/>
        <v>10</v>
      </c>
      <c r="P6054" s="16">
        <f t="shared" si="192"/>
        <v>2024</v>
      </c>
      <c r="Q6054" s="16" t="e">
        <f>SUM(Q6055:Q6061)</f>
        <v>#REF!</v>
      </c>
      <c r="R6054" s="50" t="str">
        <f>TEXT(Planning[[#This Row],[Mes]]*29,"mmmm")</f>
        <v>October</v>
      </c>
      <c r="S605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54" s="156"/>
    </row>
    <row r="6055" spans="1:20" ht="12.75" customHeight="1" x14ac:dyDescent="0.2">
      <c r="A6055" s="9" t="s">
        <v>483</v>
      </c>
      <c r="B6055" s="9" t="s">
        <v>463</v>
      </c>
      <c r="C6055" s="3">
        <v>124656</v>
      </c>
      <c r="D6055" s="3"/>
      <c r="E6055" s="4"/>
      <c r="F6055" s="3" t="s">
        <v>122</v>
      </c>
      <c r="G6055" s="9"/>
      <c r="H6055" s="9"/>
      <c r="I6055" s="12"/>
      <c r="J6055" s="5" t="e">
        <f>SUM(SUMIFS(#REF!,#REF!,Planning[[#This Row],[Tipo de Tarea y especialidad]],#REF!,Planning[[#This Row],[Proyectos Reiwa]]),SUMIFS(#REF!,#REF!,Planning[[#This Row],[Tipo de Tarea y especialidad]],#REF!,Planning[[#This Row],[Proyectos]]))</f>
        <v>#REF!</v>
      </c>
      <c r="K6055" s="5" t="e">
        <f>+Planning[[#This Row],[Horas Planificadas]]+Planning[[#This Row],[Horas ajustadas adicionales]]-Planning[[#This Row],[Horas utilizadas]]</f>
        <v>#REF!</v>
      </c>
      <c r="L6055" s="7" t="e">
        <f>Planning[[#This Row],[Saldo]]</f>
        <v>#REF!</v>
      </c>
      <c r="M6055" s="19" t="e">
        <f>Planning[[#This Row],[Saldo]]-Planning[[#This Row],[Saldo estimado]]</f>
        <v>#REF!</v>
      </c>
      <c r="N6055" s="60" t="e">
        <f>+SUMIFS(#REF!,#REF!,Planning[[#This Row],[Proyectos]],#REF!,Planning[[#This Row],[Tipo de Tarea y especialidad]])+SUMIFS(#REF!,#REF!,Planning[[#This Row],[Proyectos Reiwa]],#REF!,Planning[[#This Row],[Tipo de Tarea y especialidad]])</f>
        <v>#REF!</v>
      </c>
      <c r="O6055" s="19">
        <f t="shared" si="191"/>
        <v>10</v>
      </c>
      <c r="P6055" s="19">
        <f t="shared" si="192"/>
        <v>2024</v>
      </c>
      <c r="Q605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55" s="49" t="str">
        <f>TEXT(Planning[[#This Row],[Mes]]*29,"mmmm")</f>
        <v>October</v>
      </c>
      <c r="S605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55" s="156"/>
    </row>
    <row r="6056" spans="1:20" ht="12.75" customHeight="1" x14ac:dyDescent="0.2">
      <c r="A6056" s="9" t="s">
        <v>483</v>
      </c>
      <c r="B6056" s="9" t="s">
        <v>463</v>
      </c>
      <c r="C6056" s="3">
        <v>124656</v>
      </c>
      <c r="D6056" s="3"/>
      <c r="E6056" s="4"/>
      <c r="F6056" s="3" t="s">
        <v>123</v>
      </c>
      <c r="G6056" s="9"/>
      <c r="H6056" s="9">
        <v>310</v>
      </c>
      <c r="I6056" s="12"/>
      <c r="J6056" s="5" t="e">
        <f>SUM(SUMIFS(#REF!,#REF!,Planning[[#This Row],[Tipo de Tarea y especialidad]],#REF!,Planning[[#This Row],[Proyectos Reiwa]]),SUMIFS(#REF!,#REF!,Planning[[#This Row],[Tipo de Tarea y especialidad]],#REF!,Planning[[#This Row],[Proyectos]]))</f>
        <v>#REF!</v>
      </c>
      <c r="K6056" s="5" t="e">
        <f>+Planning[[#This Row],[Horas Planificadas]]+Planning[[#This Row],[Horas ajustadas adicionales]]-Planning[[#This Row],[Horas utilizadas]]</f>
        <v>#REF!</v>
      </c>
      <c r="L6056" s="7" t="e">
        <f>Planning[[#This Row],[Saldo]]</f>
        <v>#REF!</v>
      </c>
      <c r="M6056" s="19" t="e">
        <f>Planning[[#This Row],[Saldo]]-Planning[[#This Row],[Saldo estimado]]</f>
        <v>#REF!</v>
      </c>
      <c r="N6056" s="60" t="e">
        <f>+SUMIFS(#REF!,#REF!,Planning[[#This Row],[Proyectos]],#REF!,Planning[[#This Row],[Tipo de Tarea y especialidad]])+SUMIFS(#REF!,#REF!,Planning[[#This Row],[Proyectos Reiwa]],#REF!,Planning[[#This Row],[Tipo de Tarea y especialidad]])</f>
        <v>#REF!</v>
      </c>
      <c r="O6056" s="19">
        <f t="shared" si="191"/>
        <v>10</v>
      </c>
      <c r="P6056" s="19">
        <f t="shared" si="192"/>
        <v>2024</v>
      </c>
      <c r="Q605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56" s="49" t="str">
        <f>TEXT(Planning[[#This Row],[Mes]]*29,"mmmm")</f>
        <v>October</v>
      </c>
      <c r="S605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56" s="156"/>
    </row>
    <row r="6057" spans="1:20" ht="12.75" customHeight="1" x14ac:dyDescent="0.2">
      <c r="A6057" s="9" t="s">
        <v>483</v>
      </c>
      <c r="B6057" s="9" t="s">
        <v>463</v>
      </c>
      <c r="C6057" s="3">
        <v>124656</v>
      </c>
      <c r="D6057" s="3"/>
      <c r="E6057" s="4"/>
      <c r="F6057" s="3" t="s">
        <v>124</v>
      </c>
      <c r="G6057" s="9"/>
      <c r="H6057" s="9"/>
      <c r="I6057" s="12"/>
      <c r="J6057" s="5" t="e">
        <f>SUM(SUMIFS(#REF!,#REF!,Planning[[#This Row],[Tipo de Tarea y especialidad]],#REF!,Planning[[#This Row],[Proyectos Reiwa]]),SUMIFS(#REF!,#REF!,Planning[[#This Row],[Tipo de Tarea y especialidad]],#REF!,Planning[[#This Row],[Proyectos]]))</f>
        <v>#REF!</v>
      </c>
      <c r="K6057" s="5" t="e">
        <f>+Planning[[#This Row],[Horas Planificadas]]+Planning[[#This Row],[Horas ajustadas adicionales]]-Planning[[#This Row],[Horas utilizadas]]</f>
        <v>#REF!</v>
      </c>
      <c r="L6057" s="7" t="e">
        <f>Planning[[#This Row],[Saldo]]</f>
        <v>#REF!</v>
      </c>
      <c r="M6057" s="19" t="e">
        <f>Planning[[#This Row],[Saldo]]-Planning[[#This Row],[Saldo estimado]]</f>
        <v>#REF!</v>
      </c>
      <c r="N6057" s="60" t="e">
        <f>+SUMIFS(#REF!,#REF!,Planning[[#This Row],[Proyectos]],#REF!,Planning[[#This Row],[Tipo de Tarea y especialidad]])+SUMIFS(#REF!,#REF!,Planning[[#This Row],[Proyectos Reiwa]],#REF!,Planning[[#This Row],[Tipo de Tarea y especialidad]])</f>
        <v>#REF!</v>
      </c>
      <c r="O6057" s="19">
        <f t="shared" si="191"/>
        <v>10</v>
      </c>
      <c r="P6057" s="19">
        <f t="shared" si="192"/>
        <v>2024</v>
      </c>
      <c r="Q605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57" s="49" t="str">
        <f>TEXT(Planning[[#This Row],[Mes]]*29,"mmmm")</f>
        <v>October</v>
      </c>
      <c r="S605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57" s="156"/>
    </row>
    <row r="6058" spans="1:20" ht="12.75" customHeight="1" x14ac:dyDescent="0.2">
      <c r="A6058" s="9" t="s">
        <v>483</v>
      </c>
      <c r="B6058" s="9" t="s">
        <v>463</v>
      </c>
      <c r="C6058" s="3">
        <v>124656</v>
      </c>
      <c r="D6058" s="3"/>
      <c r="E6058" s="4"/>
      <c r="F6058" s="3" t="s">
        <v>125</v>
      </c>
      <c r="G6058" s="9"/>
      <c r="H6058" s="9">
        <v>90</v>
      </c>
      <c r="I6058" s="12"/>
      <c r="J6058" s="5" t="e">
        <f>SUM(SUMIFS(#REF!,#REF!,Planning[[#This Row],[Tipo de Tarea y especialidad]],#REF!,Planning[[#This Row],[Proyectos Reiwa]]),SUMIFS(#REF!,#REF!,Planning[[#This Row],[Tipo de Tarea y especialidad]],#REF!,Planning[[#This Row],[Proyectos]]))</f>
        <v>#REF!</v>
      </c>
      <c r="K6058" s="5" t="e">
        <f>+Planning[[#This Row],[Horas Planificadas]]+Planning[[#This Row],[Horas ajustadas adicionales]]-Planning[[#This Row],[Horas utilizadas]]</f>
        <v>#REF!</v>
      </c>
      <c r="L6058" s="7" t="e">
        <f>Planning[[#This Row],[Saldo]]</f>
        <v>#REF!</v>
      </c>
      <c r="M6058" s="19" t="e">
        <f>Planning[[#This Row],[Saldo]]-Planning[[#This Row],[Saldo estimado]]</f>
        <v>#REF!</v>
      </c>
      <c r="N6058" s="60" t="e">
        <f>+SUMIFS(#REF!,#REF!,Planning[[#This Row],[Proyectos]],#REF!,Planning[[#This Row],[Tipo de Tarea y especialidad]])+SUMIFS(#REF!,#REF!,Planning[[#This Row],[Proyectos Reiwa]],#REF!,Planning[[#This Row],[Tipo de Tarea y especialidad]])</f>
        <v>#REF!</v>
      </c>
      <c r="O6058" s="19">
        <f t="shared" si="191"/>
        <v>10</v>
      </c>
      <c r="P6058" s="19">
        <f t="shared" si="192"/>
        <v>2024</v>
      </c>
      <c r="Q605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58" s="49" t="str">
        <f>TEXT(Planning[[#This Row],[Mes]]*29,"mmmm")</f>
        <v>October</v>
      </c>
      <c r="S605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58" s="156"/>
    </row>
    <row r="6059" spans="1:20" ht="12.75" customHeight="1" x14ac:dyDescent="0.2">
      <c r="A6059" s="9" t="s">
        <v>483</v>
      </c>
      <c r="B6059" s="9" t="s">
        <v>463</v>
      </c>
      <c r="C6059" s="3">
        <v>124656</v>
      </c>
      <c r="D6059" s="3"/>
      <c r="E6059" s="4"/>
      <c r="F6059" s="3" t="s">
        <v>126</v>
      </c>
      <c r="G6059" s="9"/>
      <c r="H6059" s="9"/>
      <c r="I6059" s="12"/>
      <c r="J6059" s="5" t="e">
        <f>SUM(SUMIFS(#REF!,#REF!,Planning[[#This Row],[Tipo de Tarea y especialidad]],#REF!,Planning[[#This Row],[Proyectos Reiwa]]),SUMIFS(#REF!,#REF!,Planning[[#This Row],[Tipo de Tarea y especialidad]],#REF!,Planning[[#This Row],[Proyectos]]))</f>
        <v>#REF!</v>
      </c>
      <c r="K6059" s="5" t="e">
        <f>+Planning[[#This Row],[Horas Planificadas]]+Planning[[#This Row],[Horas ajustadas adicionales]]-Planning[[#This Row],[Horas utilizadas]]</f>
        <v>#REF!</v>
      </c>
      <c r="L6059" s="7" t="e">
        <f>Planning[[#This Row],[Saldo]]</f>
        <v>#REF!</v>
      </c>
      <c r="M6059" s="19" t="e">
        <f>Planning[[#This Row],[Saldo]]-Planning[[#This Row],[Saldo estimado]]</f>
        <v>#REF!</v>
      </c>
      <c r="N6059" s="60" t="e">
        <f>+SUMIFS(#REF!,#REF!,Planning[[#This Row],[Proyectos]],#REF!,Planning[[#This Row],[Tipo de Tarea y especialidad]])+SUMIFS(#REF!,#REF!,Planning[[#This Row],[Proyectos Reiwa]],#REF!,Planning[[#This Row],[Tipo de Tarea y especialidad]])</f>
        <v>#REF!</v>
      </c>
      <c r="O6059" s="19">
        <f t="shared" si="191"/>
        <v>10</v>
      </c>
      <c r="P6059" s="19">
        <f t="shared" si="192"/>
        <v>2024</v>
      </c>
      <c r="Q605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59" s="49" t="str">
        <f>TEXT(Planning[[#This Row],[Mes]]*29,"mmmm")</f>
        <v>October</v>
      </c>
      <c r="S605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59" s="156"/>
    </row>
    <row r="6060" spans="1:20" ht="12.75" customHeight="1" x14ac:dyDescent="0.2">
      <c r="A6060" s="9" t="s">
        <v>483</v>
      </c>
      <c r="B6060" s="9" t="s">
        <v>463</v>
      </c>
      <c r="C6060" s="3">
        <v>124656</v>
      </c>
      <c r="D6060" s="3"/>
      <c r="E6060" s="4"/>
      <c r="F6060" s="3" t="s">
        <v>127</v>
      </c>
      <c r="G6060" s="9"/>
      <c r="H6060" s="9"/>
      <c r="I6060" s="12"/>
      <c r="J6060" s="5" t="e">
        <f>SUM(SUMIFS(#REF!,#REF!,Planning[[#This Row],[Tipo de Tarea y especialidad]],#REF!,Planning[[#This Row],[Proyectos Reiwa]]),SUMIFS(#REF!,#REF!,Planning[[#This Row],[Tipo de Tarea y especialidad]],#REF!,Planning[[#This Row],[Proyectos]]))</f>
        <v>#REF!</v>
      </c>
      <c r="K6060" s="5" t="e">
        <f>+Planning[[#This Row],[Horas Planificadas]]+Planning[[#This Row],[Horas ajustadas adicionales]]-Planning[[#This Row],[Horas utilizadas]]</f>
        <v>#REF!</v>
      </c>
      <c r="L6060" s="7">
        <v>0</v>
      </c>
      <c r="M6060" s="19" t="e">
        <f>Planning[[#This Row],[Saldo]]-Planning[[#This Row],[Saldo estimado]]</f>
        <v>#REF!</v>
      </c>
      <c r="N6060" s="60" t="e">
        <f>+SUMIFS(#REF!,#REF!,Planning[[#This Row],[Proyectos]],#REF!,Planning[[#This Row],[Tipo de Tarea y especialidad]])+SUMIFS(#REF!,#REF!,Planning[[#This Row],[Proyectos Reiwa]],#REF!,Planning[[#This Row],[Tipo de Tarea y especialidad]])</f>
        <v>#REF!</v>
      </c>
      <c r="O6060" s="19">
        <f t="shared" si="191"/>
        <v>10</v>
      </c>
      <c r="P6060" s="19">
        <f t="shared" si="192"/>
        <v>2024</v>
      </c>
      <c r="Q606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60" s="49" t="str">
        <f>TEXT(Planning[[#This Row],[Mes]]*29,"mmmm")</f>
        <v>October</v>
      </c>
      <c r="S606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60" s="156"/>
    </row>
    <row r="6061" spans="1:20" ht="12.75" customHeight="1" x14ac:dyDescent="0.2">
      <c r="A6061" s="9" t="s">
        <v>483</v>
      </c>
      <c r="B6061" s="9" t="s">
        <v>463</v>
      </c>
      <c r="C6061" s="3">
        <v>124656</v>
      </c>
      <c r="D6061" s="3"/>
      <c r="E6061" s="4"/>
      <c r="F6061" s="3" t="s">
        <v>128</v>
      </c>
      <c r="G6061" s="9"/>
      <c r="H6061" s="9"/>
      <c r="I6061" s="12"/>
      <c r="J6061" s="5" t="e">
        <f>SUM(SUMIFS(#REF!,#REF!,Planning[[#This Row],[Tipo de Tarea y especialidad]],#REF!,Planning[[#This Row],[Proyectos Reiwa]]),SUMIFS(#REF!,#REF!,Planning[[#This Row],[Tipo de Tarea y especialidad]],#REF!,Planning[[#This Row],[Proyectos]]))</f>
        <v>#REF!</v>
      </c>
      <c r="K6061" s="5" t="e">
        <f>+Planning[[#This Row],[Horas Planificadas]]+Planning[[#This Row],[Horas ajustadas adicionales]]-Planning[[#This Row],[Horas utilizadas]]</f>
        <v>#REF!</v>
      </c>
      <c r="L6061" s="7" t="e">
        <f>Planning[[#This Row],[Saldo]]</f>
        <v>#REF!</v>
      </c>
      <c r="M6061" s="19" t="e">
        <f>Planning[[#This Row],[Saldo]]-Planning[[#This Row],[Saldo estimado]]</f>
        <v>#REF!</v>
      </c>
      <c r="N6061" s="60" t="e">
        <f>+SUMIFS(#REF!,#REF!,Planning[[#This Row],[Proyectos]],#REF!,Planning[[#This Row],[Tipo de Tarea y especialidad]])+SUMIFS(#REF!,#REF!,Planning[[#This Row],[Proyectos Reiwa]],#REF!,Planning[[#This Row],[Tipo de Tarea y especialidad]])</f>
        <v>#REF!</v>
      </c>
      <c r="O6061" s="19">
        <f t="shared" si="191"/>
        <v>10</v>
      </c>
      <c r="P6061" s="19">
        <f t="shared" si="192"/>
        <v>2024</v>
      </c>
      <c r="Q606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61" s="49" t="str">
        <f>TEXT(Planning[[#This Row],[Mes]]*29,"mmmm")</f>
        <v>October</v>
      </c>
      <c r="S606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61" s="156"/>
    </row>
    <row r="6062" spans="1:20" ht="12.75" customHeight="1" x14ac:dyDescent="0.2">
      <c r="A6062" s="9" t="s">
        <v>483</v>
      </c>
      <c r="B6062" s="9" t="s">
        <v>463</v>
      </c>
      <c r="C6062" s="3">
        <v>124656</v>
      </c>
      <c r="D6062" s="3"/>
      <c r="E6062" s="4" t="s">
        <v>31</v>
      </c>
      <c r="F6062" s="3" t="s">
        <v>31</v>
      </c>
      <c r="G6062" s="9">
        <v>36</v>
      </c>
      <c r="H6062" s="17">
        <f>Planning[[#This Row],[Horas Precálculo]]</f>
        <v>36</v>
      </c>
      <c r="I6062" s="18"/>
      <c r="J6062" s="14" t="e">
        <f>+SUMIFS(#REF!,#REF!,Planning[[#This Row],[Tarifa]],#REF!,Planning[[#This Row],[Proyectos]])</f>
        <v>#REF!</v>
      </c>
      <c r="K6062" s="14" t="e">
        <f>+Planning[[#This Row],[Horas Planificadas]]+Planning[[#This Row],[Horas ajustadas adicionales]]-Planning[[#This Row],[Horas utilizadas]]</f>
        <v>#REF!</v>
      </c>
      <c r="L6062" s="15" t="e">
        <f>Planning[[#This Row],[Saldo]]</f>
        <v>#REF!</v>
      </c>
      <c r="M6062" s="16" t="e">
        <f>Planning[[#This Row],[Saldo]]-Planning[[#This Row],[Saldo estimado]]</f>
        <v>#REF!</v>
      </c>
      <c r="N6062" s="60" t="e">
        <f>+SUMIFS(#REF!,#REF!,Planning[[#This Row],[Proyectos]],#REF!,Planning[[#This Row],[Tipo de Tarea y especialidad]])+SUMIFS(#REF!,#REF!,Planning[[#This Row],[Proyectos Reiwa]],#REF!,Planning[[#This Row],[Tipo de Tarea y especialidad]])</f>
        <v>#REF!</v>
      </c>
      <c r="O6062" s="16">
        <f t="shared" si="191"/>
        <v>10</v>
      </c>
      <c r="P6062" s="16">
        <f t="shared" si="192"/>
        <v>2024</v>
      </c>
      <c r="Q6062" s="16" t="e">
        <f>+SUMIFS(#REF!,#REF!,Planning[[#This Row],[Tarifa]],#REF!,Planning[[#This Row],[Proyectos]],#REF!,Planning[[#This Row],[Mes]],#REF!,Planning[[#This Row],[Año]])</f>
        <v>#REF!</v>
      </c>
      <c r="R6062" s="50" t="str">
        <f>TEXT(Planning[[#This Row],[Mes]]*29,"mmmm")</f>
        <v>October</v>
      </c>
      <c r="S606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62" s="156"/>
    </row>
    <row r="6063" spans="1:20" ht="12.75" customHeight="1" x14ac:dyDescent="0.2">
      <c r="A6063" s="9" t="s">
        <v>483</v>
      </c>
      <c r="B6063" s="9" t="s">
        <v>463</v>
      </c>
      <c r="C6063" s="3">
        <v>124656</v>
      </c>
      <c r="D6063" s="3"/>
      <c r="E6063" s="4" t="s">
        <v>32</v>
      </c>
      <c r="F6063" s="3"/>
      <c r="G6063" s="9">
        <v>178</v>
      </c>
      <c r="H6063" s="14">
        <f>SUM(H6064:H6066)</f>
        <v>178</v>
      </c>
      <c r="I6063" s="14"/>
      <c r="J6063" s="14" t="e">
        <f>SUM(J6064:J6066)</f>
        <v>#REF!</v>
      </c>
      <c r="K6063" s="14" t="e">
        <f>+Planning[[#This Row],[Horas Planificadas]]+Planning[[#This Row],[Horas ajustadas adicionales]]-Planning[[#This Row],[Horas utilizadas]]</f>
        <v>#REF!</v>
      </c>
      <c r="L6063" s="15" t="e">
        <f>SUM(L6064:L6066)</f>
        <v>#REF!</v>
      </c>
      <c r="M6063" s="16" t="e">
        <f>SUM(M6064:M6066)</f>
        <v>#REF!</v>
      </c>
      <c r="N6063" s="60" t="e">
        <f>+SUMIFS(#REF!,#REF!,Planning[[#This Row],[Proyectos]],#REF!,Planning[[#This Row],[Tipo de Tarea y especialidad]])+SUMIFS(#REF!,#REF!,Planning[[#This Row],[Proyectos Reiwa]],#REF!,Planning[[#This Row],[Tipo de Tarea y especialidad]])</f>
        <v>#REF!</v>
      </c>
      <c r="O6063" s="16">
        <f t="shared" si="191"/>
        <v>10</v>
      </c>
      <c r="P6063" s="16">
        <f t="shared" si="192"/>
        <v>2024</v>
      </c>
      <c r="Q6063" s="16" t="e">
        <f>SUM(Q6064:Q6066)</f>
        <v>#REF!</v>
      </c>
      <c r="R6063" s="50" t="str">
        <f>TEXT(Planning[[#This Row],[Mes]]*29,"mmmm")</f>
        <v>October</v>
      </c>
      <c r="S606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63" s="156"/>
    </row>
    <row r="6064" spans="1:20" ht="12.75" customHeight="1" x14ac:dyDescent="0.2">
      <c r="A6064" s="9" t="s">
        <v>483</v>
      </c>
      <c r="B6064" s="9" t="s">
        <v>463</v>
      </c>
      <c r="C6064" s="3">
        <v>124656</v>
      </c>
      <c r="D6064" s="3"/>
      <c r="E6064" s="4"/>
      <c r="F6064" s="3" t="s">
        <v>129</v>
      </c>
      <c r="G6064" s="9"/>
      <c r="H6064" s="9"/>
      <c r="I6064" s="12"/>
      <c r="J6064" s="5" t="e">
        <f>SUM(SUMIFS(#REF!,#REF!,Planning[[#This Row],[Tipo de Tarea y especialidad]],#REF!,Planning[[#This Row],[Proyectos Reiwa]]),SUMIFS(#REF!,#REF!,Planning[[#This Row],[Tipo de Tarea y especialidad]],#REF!,Planning[[#This Row],[Proyectos]]))</f>
        <v>#REF!</v>
      </c>
      <c r="K6064" s="5" t="e">
        <f>+Planning[[#This Row],[Horas Planificadas]]+Planning[[#This Row],[Horas ajustadas adicionales]]-Planning[[#This Row],[Horas utilizadas]]</f>
        <v>#REF!</v>
      </c>
      <c r="L6064" s="7" t="e">
        <f>Planning[[#This Row],[Saldo]]</f>
        <v>#REF!</v>
      </c>
      <c r="M6064" s="19" t="e">
        <f>Planning[[#This Row],[Saldo]]-Planning[[#This Row],[Saldo estimado]]</f>
        <v>#REF!</v>
      </c>
      <c r="N6064" s="60" t="e">
        <f>+SUMIFS(#REF!,#REF!,Planning[[#This Row],[Proyectos]],#REF!,Planning[[#This Row],[Tipo de Tarea y especialidad]])+SUMIFS(#REF!,#REF!,Planning[[#This Row],[Proyectos Reiwa]],#REF!,Planning[[#This Row],[Tipo de Tarea y especialidad]])</f>
        <v>#REF!</v>
      </c>
      <c r="O6064" s="19">
        <f t="shared" si="191"/>
        <v>10</v>
      </c>
      <c r="P6064" s="19">
        <f t="shared" si="192"/>
        <v>2024</v>
      </c>
      <c r="Q606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64" s="49" t="str">
        <f>TEXT(Planning[[#This Row],[Mes]]*29,"mmmm")</f>
        <v>October</v>
      </c>
      <c r="S606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64" s="156"/>
    </row>
    <row r="6065" spans="1:20" ht="12.75" customHeight="1" x14ac:dyDescent="0.2">
      <c r="A6065" s="9" t="s">
        <v>483</v>
      </c>
      <c r="B6065" s="9" t="s">
        <v>463</v>
      </c>
      <c r="C6065" s="3">
        <v>124656</v>
      </c>
      <c r="D6065" s="3"/>
      <c r="E6065" s="4"/>
      <c r="F6065" s="3" t="s">
        <v>130</v>
      </c>
      <c r="G6065" s="9"/>
      <c r="H6065" s="9">
        <v>178</v>
      </c>
      <c r="I6065" s="12"/>
      <c r="J6065" s="5" t="e">
        <f>SUM(SUMIFS(#REF!,#REF!,Planning[[#This Row],[Tipo de Tarea y especialidad]],#REF!,Planning[[#This Row],[Proyectos Reiwa]]),SUMIFS(#REF!,#REF!,Planning[[#This Row],[Tipo de Tarea y especialidad]],#REF!,Planning[[#This Row],[Proyectos]]))</f>
        <v>#REF!</v>
      </c>
      <c r="K6065" s="5" t="e">
        <f>+Planning[[#This Row],[Horas Planificadas]]+Planning[[#This Row],[Horas ajustadas adicionales]]-Planning[[#This Row],[Horas utilizadas]]</f>
        <v>#REF!</v>
      </c>
      <c r="L6065" s="7" t="e">
        <f>Planning[[#This Row],[Saldo]]</f>
        <v>#REF!</v>
      </c>
      <c r="M6065" s="19" t="e">
        <f>Planning[[#This Row],[Saldo]]-Planning[[#This Row],[Saldo estimado]]</f>
        <v>#REF!</v>
      </c>
      <c r="N6065" s="60" t="e">
        <f>+SUMIFS(#REF!,#REF!,Planning[[#This Row],[Proyectos]],#REF!,Planning[[#This Row],[Tipo de Tarea y especialidad]])+SUMIFS(#REF!,#REF!,Planning[[#This Row],[Proyectos Reiwa]],#REF!,Planning[[#This Row],[Tipo de Tarea y especialidad]])</f>
        <v>#REF!</v>
      </c>
      <c r="O6065" s="19">
        <f t="shared" si="191"/>
        <v>10</v>
      </c>
      <c r="P6065" s="19">
        <f t="shared" si="192"/>
        <v>2024</v>
      </c>
      <c r="Q606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65" s="49" t="str">
        <f>TEXT(Planning[[#This Row],[Mes]]*29,"mmmm")</f>
        <v>October</v>
      </c>
      <c r="S606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65" s="156"/>
    </row>
    <row r="6066" spans="1:20" ht="12.75" customHeight="1" x14ac:dyDescent="0.2">
      <c r="A6066" s="9" t="s">
        <v>483</v>
      </c>
      <c r="B6066" s="9" t="s">
        <v>463</v>
      </c>
      <c r="C6066" s="3">
        <v>124656</v>
      </c>
      <c r="D6066" s="3"/>
      <c r="E6066" s="4"/>
      <c r="F6066" s="3" t="s">
        <v>131</v>
      </c>
      <c r="G6066" s="9"/>
      <c r="H6066" s="9"/>
      <c r="I6066" s="12"/>
      <c r="J6066" s="5" t="e">
        <f>SUM(SUMIFS(#REF!,#REF!,Planning[[#This Row],[Tipo de Tarea y especialidad]],#REF!,Planning[[#This Row],[Proyectos Reiwa]]),SUMIFS(#REF!,#REF!,Planning[[#This Row],[Tipo de Tarea y especialidad]],#REF!,Planning[[#This Row],[Proyectos]]))</f>
        <v>#REF!</v>
      </c>
      <c r="K6066" s="5" t="e">
        <f>+Planning[[#This Row],[Horas Planificadas]]+Planning[[#This Row],[Horas ajustadas adicionales]]-Planning[[#This Row],[Horas utilizadas]]</f>
        <v>#REF!</v>
      </c>
      <c r="L6066" s="7" t="e">
        <f>Planning[[#This Row],[Saldo]]</f>
        <v>#REF!</v>
      </c>
      <c r="M6066" s="19" t="e">
        <f>Planning[[#This Row],[Saldo]]-Planning[[#This Row],[Saldo estimado]]</f>
        <v>#REF!</v>
      </c>
      <c r="N6066" s="60" t="e">
        <f>+SUMIFS(#REF!,#REF!,Planning[[#This Row],[Proyectos]],#REF!,Planning[[#This Row],[Tipo de Tarea y especialidad]])+SUMIFS(#REF!,#REF!,Planning[[#This Row],[Proyectos Reiwa]],#REF!,Planning[[#This Row],[Tipo de Tarea y especialidad]])</f>
        <v>#REF!</v>
      </c>
      <c r="O6066" s="19">
        <f t="shared" si="191"/>
        <v>10</v>
      </c>
      <c r="P6066" s="19">
        <f t="shared" si="192"/>
        <v>2024</v>
      </c>
      <c r="Q606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66" s="49" t="str">
        <f>TEXT(Planning[[#This Row],[Mes]]*29,"mmmm")</f>
        <v>October</v>
      </c>
      <c r="S606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66" s="156"/>
    </row>
    <row r="6067" spans="1:20" ht="12.6" customHeight="1" x14ac:dyDescent="0.2">
      <c r="A6067" s="9" t="s">
        <v>204</v>
      </c>
      <c r="B6067" s="9" t="s">
        <v>779</v>
      </c>
      <c r="C6067" s="3">
        <v>126495</v>
      </c>
      <c r="D6067" s="3"/>
      <c r="E6067" s="4" t="s">
        <v>28</v>
      </c>
      <c r="F6067" s="3"/>
      <c r="G6067" s="9">
        <f>+G6068+G6069</f>
        <v>532</v>
      </c>
      <c r="H6067" s="14">
        <f>SUM(H6068:H6069)</f>
        <v>532</v>
      </c>
      <c r="I6067" s="14"/>
      <c r="J6067" s="14" t="e">
        <f>SUM(J6068:J6069)</f>
        <v>#REF!</v>
      </c>
      <c r="K6067" s="14" t="e">
        <f>+Planning[[#This Row],[Horas Planificadas]]+Planning[[#This Row],[Horas ajustadas adicionales]]-Planning[[#This Row],[Horas utilizadas]]</f>
        <v>#REF!</v>
      </c>
      <c r="L6067" s="15" t="e">
        <f>SUM(L6068:L6069)</f>
        <v>#REF!</v>
      </c>
      <c r="M6067" s="14" t="e">
        <f>SUM(M6068:M6069)</f>
        <v>#REF!</v>
      </c>
      <c r="N6067" s="60" t="e">
        <f>+SUMIFS(#REF!,#REF!,Planning[[#This Row],[Proyectos]],#REF!,Planning[[#This Row],[Tipo de Tarea y especialidad]])+SUMIFS(#REF!,#REF!,Planning[[#This Row],[Proyectos Reiwa]],#REF!,Planning[[#This Row],[Tipo de Tarea y especialidad]])</f>
        <v>#REF!</v>
      </c>
      <c r="O6067" s="14">
        <f t="shared" si="191"/>
        <v>10</v>
      </c>
      <c r="P6067" s="14">
        <f t="shared" si="192"/>
        <v>2024</v>
      </c>
      <c r="Q6067" s="28" t="e">
        <f>SUM(Q6068:Q6069)</f>
        <v>#REF!</v>
      </c>
      <c r="R6067" s="24" t="str">
        <f>TEXT(Planning[[#This Row],[Mes]]*29,"mmmm")</f>
        <v>October</v>
      </c>
      <c r="S6067" s="83"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67" s="151" t="s">
        <v>1047</v>
      </c>
    </row>
    <row r="6068" spans="1:20" ht="12.6" customHeight="1" x14ac:dyDescent="0.2">
      <c r="A6068" s="9" t="s">
        <v>204</v>
      </c>
      <c r="B6068" s="9" t="s">
        <v>779</v>
      </c>
      <c r="C6068" s="3">
        <v>126495</v>
      </c>
      <c r="D6068" s="3"/>
      <c r="E6068" s="4"/>
      <c r="F6068" s="3" t="s">
        <v>120</v>
      </c>
      <c r="G6068" s="9">
        <v>253</v>
      </c>
      <c r="H6068" s="9">
        <v>253</v>
      </c>
      <c r="I6068" s="12"/>
      <c r="J6068" s="5" t="e">
        <f>SUM(SUMIFS(#REF!,#REF!,Planning[[#This Row],[Tipo de Tarea y especialidad]],#REF!,Planning[[#This Row],[Proyectos Reiwa]]),SUMIFS(#REF!,#REF!,Planning[[#This Row],[Tipo de Tarea y especialidad]],#REF!,Planning[[#This Row],[Proyectos]]))</f>
        <v>#REF!</v>
      </c>
      <c r="K6068" s="5" t="e">
        <f>+Planning[[#This Row],[Horas Planificadas]]+Planning[[#This Row],[Horas ajustadas adicionales]]-Planning[[#This Row],[Horas utilizadas]]</f>
        <v>#REF!</v>
      </c>
      <c r="L6068" s="7" t="e">
        <f>Planning[[#This Row],[Saldo]]</f>
        <v>#REF!</v>
      </c>
      <c r="M6068" s="19" t="e">
        <f>Planning[[#This Row],[Saldo]]-Planning[[#This Row],[Saldo estimado]]</f>
        <v>#REF!</v>
      </c>
      <c r="N6068" s="60" t="e">
        <f>+SUMIFS(#REF!,#REF!,Planning[[#This Row],[Proyectos]],#REF!,Planning[[#This Row],[Tipo de Tarea y especialidad]])+SUMIFS(#REF!,#REF!,Planning[[#This Row],[Proyectos Reiwa]],#REF!,Planning[[#This Row],[Tipo de Tarea y especialidad]])</f>
        <v>#REF!</v>
      </c>
      <c r="O6068" s="19">
        <f t="shared" si="191"/>
        <v>10</v>
      </c>
      <c r="P6068" s="19">
        <f t="shared" si="192"/>
        <v>2024</v>
      </c>
      <c r="Q6068"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68" s="49" t="str">
        <f>TEXT(Planning[[#This Row],[Mes]]*29,"mmmm")</f>
        <v>October</v>
      </c>
      <c r="S606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68" s="156"/>
    </row>
    <row r="6069" spans="1:20" ht="12.6" customHeight="1" x14ac:dyDescent="0.2">
      <c r="A6069" s="9" t="s">
        <v>204</v>
      </c>
      <c r="B6069" s="9" t="s">
        <v>779</v>
      </c>
      <c r="C6069" s="3">
        <v>126495</v>
      </c>
      <c r="D6069" s="3"/>
      <c r="E6069" s="4"/>
      <c r="F6069" s="3" t="s">
        <v>121</v>
      </c>
      <c r="G6069" s="9">
        <v>279</v>
      </c>
      <c r="H6069" s="9">
        <v>279</v>
      </c>
      <c r="I6069" s="12"/>
      <c r="J6069" s="5" t="e">
        <f>SUM(SUMIFS(#REF!,#REF!,Planning[[#This Row],[Tipo de Tarea y especialidad]],#REF!,Planning[[#This Row],[Proyectos Reiwa]]),SUMIFS(#REF!,#REF!,Planning[[#This Row],[Tipo de Tarea y especialidad]],#REF!,Planning[[#This Row],[Proyectos]]))</f>
        <v>#REF!</v>
      </c>
      <c r="K6069" s="5" t="e">
        <f>+Planning[[#This Row],[Horas Planificadas]]+Planning[[#This Row],[Horas ajustadas adicionales]]-Planning[[#This Row],[Horas utilizadas]]</f>
        <v>#REF!</v>
      </c>
      <c r="L6069" s="7" t="e">
        <f>Planning[[#This Row],[Saldo]]</f>
        <v>#REF!</v>
      </c>
      <c r="M6069" s="19">
        <v>0</v>
      </c>
      <c r="N6069" s="60" t="e">
        <f>+SUMIFS(#REF!,#REF!,Planning[[#This Row],[Proyectos]],#REF!,Planning[[#This Row],[Tipo de Tarea y especialidad]])+SUMIFS(#REF!,#REF!,Planning[[#This Row],[Proyectos Reiwa]],#REF!,Planning[[#This Row],[Tipo de Tarea y especialidad]])</f>
        <v>#REF!</v>
      </c>
      <c r="O6069" s="19">
        <f t="shared" si="191"/>
        <v>10</v>
      </c>
      <c r="P6069" s="19">
        <f t="shared" si="192"/>
        <v>2024</v>
      </c>
      <c r="Q6069"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69" s="49" t="str">
        <f>TEXT(Planning[[#This Row],[Mes]]*29,"mmmm")</f>
        <v>October</v>
      </c>
      <c r="S606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69" s="156"/>
    </row>
    <row r="6070" spans="1:20" ht="12.6" customHeight="1" x14ac:dyDescent="0.2">
      <c r="A6070" s="9" t="s">
        <v>204</v>
      </c>
      <c r="B6070" s="9" t="s">
        <v>779</v>
      </c>
      <c r="C6070" s="3">
        <v>126495</v>
      </c>
      <c r="D6070" s="3"/>
      <c r="E6070" s="4" t="s">
        <v>30</v>
      </c>
      <c r="F6070" s="3"/>
      <c r="G6070" s="9">
        <f>G6071+G6072+G6073+G6074+G6075+G6076+G6077</f>
        <v>1056</v>
      </c>
      <c r="H6070" s="14">
        <f>SUM(H6071:H6077)</f>
        <v>1056</v>
      </c>
      <c r="I6070" s="14"/>
      <c r="J6070" s="14" t="e">
        <f>SUM(J6071:J6077)</f>
        <v>#REF!</v>
      </c>
      <c r="K6070" s="14" t="e">
        <f>+Planning[[#This Row],[Horas Planificadas]]+Planning[[#This Row],[Horas ajustadas adicionales]]-Planning[[#This Row],[Horas utilizadas]]</f>
        <v>#REF!</v>
      </c>
      <c r="L6070" s="15" t="e">
        <f>SUM(L6071:L6077)</f>
        <v>#REF!</v>
      </c>
      <c r="M6070" s="16" t="e">
        <f>SUM(M6071:M6077)</f>
        <v>#REF!</v>
      </c>
      <c r="N6070" s="60" t="e">
        <f>+SUMIFS(#REF!,#REF!,Planning[[#This Row],[Proyectos]],#REF!,Planning[[#This Row],[Tipo de Tarea y especialidad]])+SUMIFS(#REF!,#REF!,Planning[[#This Row],[Proyectos Reiwa]],#REF!,Planning[[#This Row],[Tipo de Tarea y especialidad]])</f>
        <v>#REF!</v>
      </c>
      <c r="O6070" s="16">
        <f t="shared" si="191"/>
        <v>10</v>
      </c>
      <c r="P6070" s="16">
        <f t="shared" si="192"/>
        <v>2024</v>
      </c>
      <c r="Q6070" s="16" t="e">
        <f>SUM(Q6071:Q6077)</f>
        <v>#REF!</v>
      </c>
      <c r="R6070" s="50" t="str">
        <f>TEXT(Planning[[#This Row],[Mes]]*29,"mmmm")</f>
        <v>October</v>
      </c>
      <c r="S607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70" s="156"/>
    </row>
    <row r="6071" spans="1:20" ht="12.6" customHeight="1" x14ac:dyDescent="0.2">
      <c r="A6071" s="9" t="s">
        <v>204</v>
      </c>
      <c r="B6071" s="9" t="s">
        <v>779</v>
      </c>
      <c r="C6071" s="131">
        <v>126495</v>
      </c>
      <c r="D6071" s="3"/>
      <c r="E6071" s="4"/>
      <c r="F6071" s="3" t="s">
        <v>122</v>
      </c>
      <c r="G6071" s="9">
        <v>135</v>
      </c>
      <c r="H6071" s="9">
        <v>135</v>
      </c>
      <c r="I6071" s="12"/>
      <c r="J6071" s="5" t="e">
        <f>SUM(SUMIFS(#REF!,#REF!,Planning[[#This Row],[Tipo de Tarea y especialidad]],#REF!,Planning[[#This Row],[Proyectos Reiwa]]),SUMIFS(#REF!,#REF!,Planning[[#This Row],[Tipo de Tarea y especialidad]],#REF!,Planning[[#This Row],[Proyectos]]))</f>
        <v>#REF!</v>
      </c>
      <c r="K6071" s="5" t="e">
        <f>+Planning[[#This Row],[Horas Planificadas]]+Planning[[#This Row],[Horas ajustadas adicionales]]-Planning[[#This Row],[Horas utilizadas]]</f>
        <v>#REF!</v>
      </c>
      <c r="L6071" s="7" t="e">
        <f>Planning[[#This Row],[Saldo]]</f>
        <v>#REF!</v>
      </c>
      <c r="M6071" s="19" t="e">
        <f>Planning[[#This Row],[Saldo]]-Planning[[#This Row],[Saldo estimado]]</f>
        <v>#REF!</v>
      </c>
      <c r="N6071" s="60" t="e">
        <f>+SUMIFS(#REF!,#REF!,Planning[[#This Row],[Proyectos]],#REF!,Planning[[#This Row],[Tipo de Tarea y especialidad]])+SUMIFS(#REF!,#REF!,Planning[[#This Row],[Proyectos Reiwa]],#REF!,Planning[[#This Row],[Tipo de Tarea y especialidad]])</f>
        <v>#REF!</v>
      </c>
      <c r="O6071" s="19">
        <f t="shared" si="191"/>
        <v>10</v>
      </c>
      <c r="P6071" s="19">
        <f t="shared" si="192"/>
        <v>2024</v>
      </c>
      <c r="Q607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71" s="49" t="str">
        <f>TEXT(Planning[[#This Row],[Mes]]*29,"mmmm")</f>
        <v>October</v>
      </c>
      <c r="S607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71" s="156"/>
    </row>
    <row r="6072" spans="1:20" ht="12.6" customHeight="1" x14ac:dyDescent="0.2">
      <c r="A6072" s="9" t="s">
        <v>204</v>
      </c>
      <c r="B6072" s="9" t="s">
        <v>779</v>
      </c>
      <c r="C6072" s="131">
        <v>126495</v>
      </c>
      <c r="D6072" s="3"/>
      <c r="E6072" s="4"/>
      <c r="F6072" s="3" t="s">
        <v>123</v>
      </c>
      <c r="G6072" s="9">
        <v>435</v>
      </c>
      <c r="H6072" s="9">
        <v>435</v>
      </c>
      <c r="I6072" s="12"/>
      <c r="J6072" s="5" t="e">
        <f>SUM(SUMIFS(#REF!,#REF!,Planning[[#This Row],[Tipo de Tarea y especialidad]],#REF!,Planning[[#This Row],[Proyectos Reiwa]]),SUMIFS(#REF!,#REF!,Planning[[#This Row],[Tipo de Tarea y especialidad]],#REF!,Planning[[#This Row],[Proyectos]]))</f>
        <v>#REF!</v>
      </c>
      <c r="K6072" s="5" t="e">
        <f>+Planning[[#This Row],[Horas Planificadas]]+Planning[[#This Row],[Horas ajustadas adicionales]]-Planning[[#This Row],[Horas utilizadas]]</f>
        <v>#REF!</v>
      </c>
      <c r="L6072" s="7" t="e">
        <f>Planning[[#This Row],[Saldo]]</f>
        <v>#REF!</v>
      </c>
      <c r="M6072" s="19" t="e">
        <f>Planning[[#This Row],[Saldo]]-Planning[[#This Row],[Saldo estimado]]</f>
        <v>#REF!</v>
      </c>
      <c r="N6072" s="60" t="e">
        <f>+SUMIFS(#REF!,#REF!,Planning[[#This Row],[Proyectos]],#REF!,Planning[[#This Row],[Tipo de Tarea y especialidad]])+SUMIFS(#REF!,#REF!,Planning[[#This Row],[Proyectos Reiwa]],#REF!,Planning[[#This Row],[Tipo de Tarea y especialidad]])</f>
        <v>#REF!</v>
      </c>
      <c r="O6072" s="19">
        <f t="shared" si="191"/>
        <v>10</v>
      </c>
      <c r="P6072" s="19">
        <f t="shared" si="192"/>
        <v>2024</v>
      </c>
      <c r="Q607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72" s="49" t="str">
        <f>TEXT(Planning[[#This Row],[Mes]]*29,"mmmm")</f>
        <v>October</v>
      </c>
      <c r="S607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72" s="156"/>
    </row>
    <row r="6073" spans="1:20" ht="12.6" customHeight="1" x14ac:dyDescent="0.2">
      <c r="A6073" s="9" t="s">
        <v>204</v>
      </c>
      <c r="B6073" s="9" t="s">
        <v>779</v>
      </c>
      <c r="C6073" s="131">
        <v>126495</v>
      </c>
      <c r="D6073" s="3"/>
      <c r="E6073" s="4"/>
      <c r="F6073" s="3" t="s">
        <v>124</v>
      </c>
      <c r="G6073" s="9">
        <v>0</v>
      </c>
      <c r="H6073" s="9">
        <v>0</v>
      </c>
      <c r="I6073" s="12"/>
      <c r="J6073" s="5" t="e">
        <f>SUM(SUMIFS(#REF!,#REF!,Planning[[#This Row],[Tipo de Tarea y especialidad]],#REF!,Planning[[#This Row],[Proyectos Reiwa]]),SUMIFS(#REF!,#REF!,Planning[[#This Row],[Tipo de Tarea y especialidad]],#REF!,Planning[[#This Row],[Proyectos]]))</f>
        <v>#REF!</v>
      </c>
      <c r="K6073" s="5" t="e">
        <f>+Planning[[#This Row],[Horas Planificadas]]+Planning[[#This Row],[Horas ajustadas adicionales]]-Planning[[#This Row],[Horas utilizadas]]</f>
        <v>#REF!</v>
      </c>
      <c r="L6073" s="7" t="e">
        <f>Planning[[#This Row],[Saldo]]</f>
        <v>#REF!</v>
      </c>
      <c r="M6073" s="19" t="e">
        <f>Planning[[#This Row],[Saldo]]-Planning[[#This Row],[Saldo estimado]]</f>
        <v>#REF!</v>
      </c>
      <c r="N6073" s="60" t="e">
        <f>+SUMIFS(#REF!,#REF!,Planning[[#This Row],[Proyectos]],#REF!,Planning[[#This Row],[Tipo de Tarea y especialidad]])+SUMIFS(#REF!,#REF!,Planning[[#This Row],[Proyectos Reiwa]],#REF!,Planning[[#This Row],[Tipo de Tarea y especialidad]])</f>
        <v>#REF!</v>
      </c>
      <c r="O6073" s="19">
        <f t="shared" si="191"/>
        <v>10</v>
      </c>
      <c r="P6073" s="19">
        <f t="shared" si="192"/>
        <v>2024</v>
      </c>
      <c r="Q6073"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73" s="49" t="str">
        <f>TEXT(Planning[[#This Row],[Mes]]*29,"mmmm")</f>
        <v>October</v>
      </c>
      <c r="S6073"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73" s="156"/>
    </row>
    <row r="6074" spans="1:20" ht="12.6" customHeight="1" x14ac:dyDescent="0.2">
      <c r="A6074" s="9" t="s">
        <v>204</v>
      </c>
      <c r="B6074" s="9" t="s">
        <v>779</v>
      </c>
      <c r="C6074" s="131">
        <v>126495</v>
      </c>
      <c r="D6074" s="3"/>
      <c r="E6074" s="4"/>
      <c r="F6074" s="3" t="s">
        <v>125</v>
      </c>
      <c r="G6074" s="9">
        <v>216</v>
      </c>
      <c r="H6074" s="9">
        <v>216</v>
      </c>
      <c r="I6074" s="12"/>
      <c r="J6074" s="5" t="e">
        <f>SUM(SUMIFS(#REF!,#REF!,Planning[[#This Row],[Tipo de Tarea y especialidad]],#REF!,Planning[[#This Row],[Proyectos Reiwa]]),SUMIFS(#REF!,#REF!,Planning[[#This Row],[Tipo de Tarea y especialidad]],#REF!,Planning[[#This Row],[Proyectos]]))</f>
        <v>#REF!</v>
      </c>
      <c r="K6074" s="5" t="e">
        <f>+Planning[[#This Row],[Horas Planificadas]]+Planning[[#This Row],[Horas ajustadas adicionales]]-Planning[[#This Row],[Horas utilizadas]]</f>
        <v>#REF!</v>
      </c>
      <c r="L6074" s="7" t="e">
        <f>Planning[[#This Row],[Saldo]]</f>
        <v>#REF!</v>
      </c>
      <c r="M6074" s="19" t="e">
        <f>Planning[[#This Row],[Saldo]]-Planning[[#This Row],[Saldo estimado]]</f>
        <v>#REF!</v>
      </c>
      <c r="N6074" s="60" t="e">
        <f>+SUMIFS(#REF!,#REF!,Planning[[#This Row],[Proyectos]],#REF!,Planning[[#This Row],[Tipo de Tarea y especialidad]])+SUMIFS(#REF!,#REF!,Planning[[#This Row],[Proyectos Reiwa]],#REF!,Planning[[#This Row],[Tipo de Tarea y especialidad]])</f>
        <v>#REF!</v>
      </c>
      <c r="O6074" s="19">
        <f t="shared" si="191"/>
        <v>10</v>
      </c>
      <c r="P6074" s="19">
        <f t="shared" si="192"/>
        <v>2024</v>
      </c>
      <c r="Q6074"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74" s="49" t="str">
        <f>TEXT(Planning[[#This Row],[Mes]]*29,"mmmm")</f>
        <v>October</v>
      </c>
      <c r="S6074"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74" s="156"/>
    </row>
    <row r="6075" spans="1:20" ht="12.6" customHeight="1" x14ac:dyDescent="0.2">
      <c r="A6075" s="9" t="s">
        <v>204</v>
      </c>
      <c r="B6075" s="9" t="s">
        <v>779</v>
      </c>
      <c r="C6075" s="131">
        <v>126495</v>
      </c>
      <c r="D6075" s="3"/>
      <c r="E6075" s="4"/>
      <c r="F6075" s="3" t="s">
        <v>126</v>
      </c>
      <c r="G6075" s="9">
        <v>108</v>
      </c>
      <c r="H6075" s="9">
        <v>108</v>
      </c>
      <c r="I6075" s="12"/>
      <c r="J6075" s="5" t="e">
        <f>SUM(SUMIFS(#REF!,#REF!,Planning[[#This Row],[Tipo de Tarea y especialidad]],#REF!,Planning[[#This Row],[Proyectos Reiwa]]),SUMIFS(#REF!,#REF!,Planning[[#This Row],[Tipo de Tarea y especialidad]],#REF!,Planning[[#This Row],[Proyectos]]))</f>
        <v>#REF!</v>
      </c>
      <c r="K6075" s="5" t="e">
        <f>+Planning[[#This Row],[Horas Planificadas]]+Planning[[#This Row],[Horas ajustadas adicionales]]-Planning[[#This Row],[Horas utilizadas]]</f>
        <v>#REF!</v>
      </c>
      <c r="L6075" s="7" t="e">
        <f>Planning[[#This Row],[Saldo]]</f>
        <v>#REF!</v>
      </c>
      <c r="M6075" s="19" t="e">
        <f>Planning[[#This Row],[Saldo]]-Planning[[#This Row],[Saldo estimado]]</f>
        <v>#REF!</v>
      </c>
      <c r="N6075" s="60" t="e">
        <f>+SUMIFS(#REF!,#REF!,Planning[[#This Row],[Proyectos]],#REF!,Planning[[#This Row],[Tipo de Tarea y especialidad]])+SUMIFS(#REF!,#REF!,Planning[[#This Row],[Proyectos Reiwa]],#REF!,Planning[[#This Row],[Tipo de Tarea y especialidad]])</f>
        <v>#REF!</v>
      </c>
      <c r="O6075" s="19">
        <f t="shared" si="191"/>
        <v>10</v>
      </c>
      <c r="P6075" s="19">
        <f t="shared" si="192"/>
        <v>2024</v>
      </c>
      <c r="Q6075"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75" s="49" t="str">
        <f>TEXT(Planning[[#This Row],[Mes]]*29,"mmmm")</f>
        <v>October</v>
      </c>
      <c r="S6075"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75" s="156"/>
    </row>
    <row r="6076" spans="1:20" ht="12.6" customHeight="1" x14ac:dyDescent="0.2">
      <c r="A6076" s="9" t="s">
        <v>204</v>
      </c>
      <c r="B6076" s="9" t="s">
        <v>779</v>
      </c>
      <c r="C6076" s="131">
        <v>126495</v>
      </c>
      <c r="D6076" s="3"/>
      <c r="E6076" s="4"/>
      <c r="F6076" s="3" t="s">
        <v>127</v>
      </c>
      <c r="G6076" s="9">
        <v>162</v>
      </c>
      <c r="H6076" s="9">
        <v>162</v>
      </c>
      <c r="I6076" s="12"/>
      <c r="J6076" s="5" t="e">
        <f>SUM(SUMIFS(#REF!,#REF!,Planning[[#This Row],[Tipo de Tarea y especialidad]],#REF!,Planning[[#This Row],[Proyectos Reiwa]]),SUMIFS(#REF!,#REF!,Planning[[#This Row],[Tipo de Tarea y especialidad]],#REF!,Planning[[#This Row],[Proyectos]]))</f>
        <v>#REF!</v>
      </c>
      <c r="K6076" s="5" t="e">
        <f>+Planning[[#This Row],[Horas Planificadas]]+Planning[[#This Row],[Horas ajustadas adicionales]]-Planning[[#This Row],[Horas utilizadas]]</f>
        <v>#REF!</v>
      </c>
      <c r="L6076" s="7" t="e">
        <f>Planning[[#This Row],[Saldo]]</f>
        <v>#REF!</v>
      </c>
      <c r="M6076" s="19">
        <v>0</v>
      </c>
      <c r="N6076" s="60" t="e">
        <f>+SUMIFS(#REF!,#REF!,Planning[[#This Row],[Proyectos]],#REF!,Planning[[#This Row],[Tipo de Tarea y especialidad]])+SUMIFS(#REF!,#REF!,Planning[[#This Row],[Proyectos Reiwa]],#REF!,Planning[[#This Row],[Tipo de Tarea y especialidad]])</f>
        <v>#REF!</v>
      </c>
      <c r="O6076" s="19">
        <f t="shared" si="191"/>
        <v>10</v>
      </c>
      <c r="P6076" s="19">
        <f t="shared" si="192"/>
        <v>2024</v>
      </c>
      <c r="Q6076"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76" s="49" t="str">
        <f>TEXT(Planning[[#This Row],[Mes]]*29,"mmmm")</f>
        <v>October</v>
      </c>
      <c r="S6076"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76" s="156"/>
    </row>
    <row r="6077" spans="1:20" ht="12.6" customHeight="1" x14ac:dyDescent="0.2">
      <c r="A6077" s="9" t="s">
        <v>204</v>
      </c>
      <c r="B6077" s="9" t="s">
        <v>779</v>
      </c>
      <c r="C6077" s="131">
        <v>126495</v>
      </c>
      <c r="D6077" s="3"/>
      <c r="E6077" s="4"/>
      <c r="F6077" s="3" t="s">
        <v>128</v>
      </c>
      <c r="G6077" s="9">
        <v>0</v>
      </c>
      <c r="H6077" s="9">
        <v>0</v>
      </c>
      <c r="I6077" s="12"/>
      <c r="J6077" s="5" t="e">
        <f>SUM(SUMIFS(#REF!,#REF!,Planning[[#This Row],[Tipo de Tarea y especialidad]],#REF!,Planning[[#This Row],[Proyectos Reiwa]]),SUMIFS(#REF!,#REF!,Planning[[#This Row],[Tipo de Tarea y especialidad]],#REF!,Planning[[#This Row],[Proyectos]]))</f>
        <v>#REF!</v>
      </c>
      <c r="K6077" s="5" t="e">
        <f>+Planning[[#This Row],[Horas Planificadas]]+Planning[[#This Row],[Horas ajustadas adicionales]]-Planning[[#This Row],[Horas utilizadas]]</f>
        <v>#REF!</v>
      </c>
      <c r="L6077" s="7" t="e">
        <f>Planning[[#This Row],[Saldo]]</f>
        <v>#REF!</v>
      </c>
      <c r="M6077" s="19" t="e">
        <f>Planning[[#This Row],[Saldo]]-Planning[[#This Row],[Saldo estimado]]</f>
        <v>#REF!</v>
      </c>
      <c r="N6077" s="60" t="e">
        <f>+SUMIFS(#REF!,#REF!,Planning[[#This Row],[Proyectos]],#REF!,Planning[[#This Row],[Tipo de Tarea y especialidad]])+SUMIFS(#REF!,#REF!,Planning[[#This Row],[Proyectos Reiwa]],#REF!,Planning[[#This Row],[Tipo de Tarea y especialidad]])</f>
        <v>#REF!</v>
      </c>
      <c r="O6077" s="19">
        <f t="shared" si="191"/>
        <v>10</v>
      </c>
      <c r="P6077" s="19">
        <f t="shared" si="192"/>
        <v>2024</v>
      </c>
      <c r="Q6077"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77" s="49" t="str">
        <f>TEXT(Planning[[#This Row],[Mes]]*29,"mmmm")</f>
        <v>October</v>
      </c>
      <c r="S6077"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77" s="156"/>
    </row>
    <row r="6078" spans="1:20" ht="12.6" customHeight="1" x14ac:dyDescent="0.2">
      <c r="A6078" s="9" t="s">
        <v>204</v>
      </c>
      <c r="B6078" s="9" t="s">
        <v>779</v>
      </c>
      <c r="C6078" s="131">
        <v>126495</v>
      </c>
      <c r="D6078" s="3"/>
      <c r="E6078" s="4" t="s">
        <v>31</v>
      </c>
      <c r="F6078" s="3" t="s">
        <v>31</v>
      </c>
      <c r="G6078" s="9">
        <v>276</v>
      </c>
      <c r="H6078" s="17">
        <f>Planning[[#This Row],[Horas Precálculo]]</f>
        <v>276</v>
      </c>
      <c r="I6078" s="18"/>
      <c r="J6078" s="14" t="e">
        <f>+SUMIFS(#REF!,#REF!,Planning[[#This Row],[Tarifa]],#REF!,Planning[[#This Row],[Proyectos]])</f>
        <v>#REF!</v>
      </c>
      <c r="K6078" s="14" t="e">
        <f>+Planning[[#This Row],[Horas Planificadas]]+Planning[[#This Row],[Horas ajustadas adicionales]]-Planning[[#This Row],[Horas utilizadas]]</f>
        <v>#REF!</v>
      </c>
      <c r="L6078" s="15" t="e">
        <f>Planning[[#This Row],[Saldo]]</f>
        <v>#REF!</v>
      </c>
      <c r="M6078" s="16" t="e">
        <f>Planning[[#This Row],[Saldo]]-Planning[[#This Row],[Saldo estimado]]</f>
        <v>#REF!</v>
      </c>
      <c r="N6078" s="60" t="e">
        <f>+SUMIFS(#REF!,#REF!,Planning[[#This Row],[Proyectos]],#REF!,Planning[[#This Row],[Tipo de Tarea y especialidad]])+SUMIFS(#REF!,#REF!,Planning[[#This Row],[Proyectos Reiwa]],#REF!,Planning[[#This Row],[Tipo de Tarea y especialidad]])</f>
        <v>#REF!</v>
      </c>
      <c r="O6078" s="16">
        <f t="shared" si="191"/>
        <v>10</v>
      </c>
      <c r="P6078" s="16">
        <f t="shared" si="192"/>
        <v>2024</v>
      </c>
      <c r="Q6078" s="16" t="e">
        <f>+SUMIFS(#REF!,#REF!,Planning[[#This Row],[Tarifa]],#REF!,Planning[[#This Row],[Proyectos]],#REF!,Planning[[#This Row],[Mes]],#REF!,Planning[[#This Row],[Año]])</f>
        <v>#REF!</v>
      </c>
      <c r="R6078" s="50" t="str">
        <f>TEXT(Planning[[#This Row],[Mes]]*29,"mmmm")</f>
        <v>October</v>
      </c>
      <c r="S6078"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78" s="156"/>
    </row>
    <row r="6079" spans="1:20" ht="12.6" customHeight="1" x14ac:dyDescent="0.2">
      <c r="A6079" s="9" t="s">
        <v>204</v>
      </c>
      <c r="B6079" s="9" t="s">
        <v>779</v>
      </c>
      <c r="C6079" s="131">
        <v>126495</v>
      </c>
      <c r="D6079" s="3"/>
      <c r="E6079" s="4" t="s">
        <v>32</v>
      </c>
      <c r="F6079" s="3"/>
      <c r="G6079" s="8">
        <f>SUM(G6080:G6082)</f>
        <v>210</v>
      </c>
      <c r="H6079" s="14">
        <f>SUM(H6080:H6082)</f>
        <v>210</v>
      </c>
      <c r="I6079" s="14"/>
      <c r="J6079" s="14" t="e">
        <f>SUM(J6080:J6082)</f>
        <v>#REF!</v>
      </c>
      <c r="K6079" s="14" t="e">
        <f>+Planning[[#This Row],[Horas Planificadas]]+Planning[[#This Row],[Horas ajustadas adicionales]]-Planning[[#This Row],[Horas utilizadas]]</f>
        <v>#REF!</v>
      </c>
      <c r="L6079" s="15" t="e">
        <f>SUM(L6080:L6082)</f>
        <v>#REF!</v>
      </c>
      <c r="M6079" s="16" t="e">
        <f>SUM(M6080:M6082)</f>
        <v>#REF!</v>
      </c>
      <c r="N6079" s="60" t="e">
        <f>+SUMIFS(#REF!,#REF!,Planning[[#This Row],[Proyectos]],#REF!,Planning[[#This Row],[Tipo de Tarea y especialidad]])+SUMIFS(#REF!,#REF!,Planning[[#This Row],[Proyectos Reiwa]],#REF!,Planning[[#This Row],[Tipo de Tarea y especialidad]])</f>
        <v>#REF!</v>
      </c>
      <c r="O6079" s="16">
        <f t="shared" si="191"/>
        <v>10</v>
      </c>
      <c r="P6079" s="16">
        <f t="shared" si="192"/>
        <v>2024</v>
      </c>
      <c r="Q6079" s="16" t="e">
        <f>SUM(Q6080:Q6082)</f>
        <v>#REF!</v>
      </c>
      <c r="R6079" s="50" t="str">
        <f>TEXT(Planning[[#This Row],[Mes]]*29,"mmmm")</f>
        <v>October</v>
      </c>
      <c r="S6079"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79" s="156"/>
    </row>
    <row r="6080" spans="1:20" ht="12.6" customHeight="1" x14ac:dyDescent="0.2">
      <c r="A6080" s="9" t="s">
        <v>204</v>
      </c>
      <c r="B6080" s="9" t="s">
        <v>779</v>
      </c>
      <c r="C6080" s="131">
        <v>126495</v>
      </c>
      <c r="D6080" s="3"/>
      <c r="E6080" s="4"/>
      <c r="F6080" s="3" t="s">
        <v>129</v>
      </c>
      <c r="G6080" s="9">
        <v>80</v>
      </c>
      <c r="H6080" s="9">
        <v>80</v>
      </c>
      <c r="I6080" s="12"/>
      <c r="J6080" s="5" t="e">
        <f>SUM(SUMIFS(#REF!,#REF!,Planning[[#This Row],[Tipo de Tarea y especialidad]],#REF!,Planning[[#This Row],[Proyectos Reiwa]]),SUMIFS(#REF!,#REF!,Planning[[#This Row],[Tipo de Tarea y especialidad]],#REF!,Planning[[#This Row],[Proyectos]]))</f>
        <v>#REF!</v>
      </c>
      <c r="K6080" s="5" t="e">
        <f>+Planning[[#This Row],[Horas Planificadas]]+Planning[[#This Row],[Horas ajustadas adicionales]]-Planning[[#This Row],[Horas utilizadas]]</f>
        <v>#REF!</v>
      </c>
      <c r="L6080" s="7" t="e">
        <f>Planning[[#This Row],[Saldo]]</f>
        <v>#REF!</v>
      </c>
      <c r="M6080" s="19" t="e">
        <f>Planning[[#This Row],[Saldo]]-Planning[[#This Row],[Saldo estimado]]</f>
        <v>#REF!</v>
      </c>
      <c r="N6080" s="60" t="e">
        <f>+SUMIFS(#REF!,#REF!,Planning[[#This Row],[Proyectos]],#REF!,Planning[[#This Row],[Tipo de Tarea y especialidad]])+SUMIFS(#REF!,#REF!,Planning[[#This Row],[Proyectos Reiwa]],#REF!,Planning[[#This Row],[Tipo de Tarea y especialidad]])</f>
        <v>#REF!</v>
      </c>
      <c r="O6080" s="19">
        <f t="shared" si="191"/>
        <v>10</v>
      </c>
      <c r="P6080" s="19">
        <f t="shared" si="192"/>
        <v>2024</v>
      </c>
      <c r="Q6080"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80" s="49" t="str">
        <f>TEXT(Planning[[#This Row],[Mes]]*29,"mmmm")</f>
        <v>October</v>
      </c>
      <c r="S6080"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80" s="156"/>
    </row>
    <row r="6081" spans="1:23" ht="12.6" customHeight="1" x14ac:dyDescent="0.2">
      <c r="A6081" s="9" t="s">
        <v>204</v>
      </c>
      <c r="B6081" s="9" t="s">
        <v>779</v>
      </c>
      <c r="C6081" s="131">
        <v>126495</v>
      </c>
      <c r="D6081" s="3"/>
      <c r="E6081" s="4"/>
      <c r="F6081" s="3" t="s">
        <v>130</v>
      </c>
      <c r="G6081" s="9">
        <v>130</v>
      </c>
      <c r="H6081" s="9">
        <v>130</v>
      </c>
      <c r="I6081" s="12"/>
      <c r="J6081" s="5" t="e">
        <f>SUM(SUMIFS(#REF!,#REF!,Planning[[#This Row],[Tipo de Tarea y especialidad]],#REF!,Planning[[#This Row],[Proyectos Reiwa]]),SUMIFS(#REF!,#REF!,Planning[[#This Row],[Tipo de Tarea y especialidad]],#REF!,Planning[[#This Row],[Proyectos]]))</f>
        <v>#REF!</v>
      </c>
      <c r="K6081" s="5" t="e">
        <f>+Planning[[#This Row],[Horas Planificadas]]+Planning[[#This Row],[Horas ajustadas adicionales]]-Planning[[#This Row],[Horas utilizadas]]</f>
        <v>#REF!</v>
      </c>
      <c r="L6081" s="7" t="e">
        <f>Planning[[#This Row],[Saldo]]</f>
        <v>#REF!</v>
      </c>
      <c r="M6081" s="19" t="e">
        <f>Planning[[#This Row],[Saldo]]-Planning[[#This Row],[Saldo estimado]]</f>
        <v>#REF!</v>
      </c>
      <c r="N6081" s="60" t="e">
        <f>+SUMIFS(#REF!,#REF!,Planning[[#This Row],[Proyectos]],#REF!,Planning[[#This Row],[Tipo de Tarea y especialidad]])+SUMIFS(#REF!,#REF!,Planning[[#This Row],[Proyectos Reiwa]],#REF!,Planning[[#This Row],[Tipo de Tarea y especialidad]])</f>
        <v>#REF!</v>
      </c>
      <c r="O6081" s="19">
        <f t="shared" si="191"/>
        <v>10</v>
      </c>
      <c r="P6081" s="19">
        <f t="shared" si="192"/>
        <v>2024</v>
      </c>
      <c r="Q6081"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81" s="49" t="str">
        <f>TEXT(Planning[[#This Row],[Mes]]*29,"mmmm")</f>
        <v>October</v>
      </c>
      <c r="S6081"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81" s="156"/>
    </row>
    <row r="6082" spans="1:23" ht="12.6" customHeight="1" x14ac:dyDescent="0.2">
      <c r="A6082" s="9" t="s">
        <v>204</v>
      </c>
      <c r="B6082" s="9" t="s">
        <v>779</v>
      </c>
      <c r="C6082" s="131">
        <v>126495</v>
      </c>
      <c r="D6082" s="3"/>
      <c r="E6082" s="4"/>
      <c r="F6082" s="3" t="s">
        <v>131</v>
      </c>
      <c r="G6082" s="9">
        <v>0</v>
      </c>
      <c r="H6082" s="9">
        <v>0</v>
      </c>
      <c r="I6082" s="12"/>
      <c r="J6082" s="5" t="e">
        <f>SUM(SUMIFS(#REF!,#REF!,Planning[[#This Row],[Tipo de Tarea y especialidad]],#REF!,Planning[[#This Row],[Proyectos Reiwa]]),SUMIFS(#REF!,#REF!,Planning[[#This Row],[Tipo de Tarea y especialidad]],#REF!,Planning[[#This Row],[Proyectos]]))</f>
        <v>#REF!</v>
      </c>
      <c r="K6082" s="5" t="e">
        <f>+Planning[[#This Row],[Horas Planificadas]]+Planning[[#This Row],[Horas ajustadas adicionales]]-Planning[[#This Row],[Horas utilizadas]]</f>
        <v>#REF!</v>
      </c>
      <c r="L6082" s="7" t="e">
        <f>Planning[[#This Row],[Saldo]]</f>
        <v>#REF!</v>
      </c>
      <c r="M6082" s="19" t="e">
        <f>Planning[[#This Row],[Saldo]]-Planning[[#This Row],[Saldo estimado]]</f>
        <v>#REF!</v>
      </c>
      <c r="N6082" s="60" t="e">
        <f>+SUMIFS(#REF!,#REF!,Planning[[#This Row],[Proyectos]],#REF!,Planning[[#This Row],[Tipo de Tarea y especialidad]])+SUMIFS(#REF!,#REF!,Planning[[#This Row],[Proyectos Reiwa]],#REF!,Planning[[#This Row],[Tipo de Tarea y especialidad]])</f>
        <v>#REF!</v>
      </c>
      <c r="O6082" s="19">
        <f t="shared" si="191"/>
        <v>10</v>
      </c>
      <c r="P6082" s="19">
        <f t="shared" si="192"/>
        <v>2024</v>
      </c>
      <c r="Q6082" s="1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R6082" s="49" t="str">
        <f>TEXT(Planning[[#This Row],[Mes]]*29,"mmmm")</f>
        <v>October</v>
      </c>
      <c r="S6082" s="49" t="e">
        <f>SUM(SUMIFS(#REF!,#REF!,Planning[[#This Row],[Tipo de Tarea y especialidad]],#REF!,Planning[[#This Row],[Proyectos Reiwa]],#REF!,Planning[[#This Row],[Mes]],#REF!,Planning[[#This Row],[Año]]),SUMIFS(#REF!,#REF!,Planning[[#This Row],[Tipo de Tarea y especialidad]],#REF!,Planning[[#This Row],[Proyectos]],#REF!,Planning[[#This Row],[Mes]],#REF!,Planning[[#This Row],[Año]]))</f>
        <v>#REF!</v>
      </c>
      <c r="T6082" s="156"/>
    </row>
    <row r="6083" spans="1:23" x14ac:dyDescent="0.2">
      <c r="A6083" s="132"/>
      <c r="B6083" s="132"/>
      <c r="C6083" s="120"/>
      <c r="D6083" s="3"/>
      <c r="E6083" s="4"/>
      <c r="F6083" s="3"/>
      <c r="G6083" s="133"/>
      <c r="H6083" s="133"/>
      <c r="I6083" s="134"/>
      <c r="J6083" s="5"/>
      <c r="K6083" s="5"/>
      <c r="L6083" s="135"/>
      <c r="M6083" s="136"/>
      <c r="N6083" s="136"/>
      <c r="O6083" s="137"/>
      <c r="P6083" s="137"/>
      <c r="Q6083" s="137"/>
      <c r="R6083" s="137"/>
      <c r="S6083" s="137"/>
      <c r="T6083" s="138"/>
      <c r="U6083" s="115"/>
      <c r="V6083" s="115"/>
      <c r="W6083" s="115"/>
    </row>
    <row r="6084" spans="1:23" x14ac:dyDescent="0.2">
      <c r="A6084" s="132"/>
      <c r="B6084" s="132"/>
      <c r="C6084" s="120"/>
      <c r="D6084" s="3"/>
      <c r="E6084" s="4"/>
      <c r="F6084" s="3"/>
      <c r="G6084" s="133"/>
      <c r="H6084" s="133"/>
      <c r="I6084" s="134"/>
      <c r="J6084" s="5"/>
      <c r="K6084" s="5"/>
      <c r="L6084" s="135"/>
      <c r="M6084" s="136"/>
      <c r="N6084" s="136"/>
      <c r="O6084" s="137"/>
      <c r="P6084" s="137"/>
      <c r="Q6084" s="137"/>
      <c r="R6084" s="137"/>
      <c r="S6084" s="137"/>
      <c r="T6084" s="141"/>
      <c r="U6084" s="115"/>
      <c r="V6084" s="115"/>
      <c r="W6084" s="115"/>
    </row>
    <row r="6085" spans="1:23" x14ac:dyDescent="0.2">
      <c r="A6085" s="132"/>
      <c r="B6085" s="132"/>
      <c r="C6085" s="120"/>
      <c r="D6085" s="3"/>
      <c r="E6085" s="4"/>
      <c r="F6085" s="3"/>
      <c r="G6085" s="133"/>
      <c r="H6085" s="133"/>
      <c r="I6085" s="134"/>
      <c r="J6085" s="5"/>
      <c r="K6085" s="5"/>
      <c r="L6085" s="135"/>
      <c r="M6085" s="136"/>
      <c r="N6085" s="136"/>
      <c r="O6085" s="137"/>
      <c r="P6085" s="137"/>
      <c r="Q6085" s="137"/>
      <c r="R6085" s="137"/>
      <c r="S6085" s="137"/>
      <c r="T6085" s="138"/>
      <c r="U6085" s="115"/>
      <c r="V6085" s="115"/>
      <c r="W6085" s="115"/>
    </row>
    <row r="6086" spans="1:23" x14ac:dyDescent="0.2">
      <c r="A6086" s="132"/>
      <c r="B6086" s="132"/>
      <c r="C6086" s="120"/>
      <c r="D6086" s="3"/>
      <c r="E6086" s="4"/>
      <c r="F6086" s="3"/>
      <c r="G6086" s="133"/>
      <c r="H6086" s="133"/>
      <c r="I6086" s="134"/>
      <c r="J6086" s="5"/>
      <c r="K6086" s="5"/>
      <c r="L6086" s="135"/>
      <c r="M6086" s="136"/>
      <c r="N6086" s="136"/>
      <c r="O6086" s="137"/>
      <c r="P6086" s="137"/>
      <c r="Q6086" s="137"/>
      <c r="R6086" s="137"/>
      <c r="S6086" s="137"/>
      <c r="T6086" s="138"/>
      <c r="U6086" s="115"/>
      <c r="V6086" s="115"/>
      <c r="W6086" s="115"/>
    </row>
    <row r="6087" spans="1:23" x14ac:dyDescent="0.2">
      <c r="A6087" s="132"/>
      <c r="B6087" s="132"/>
      <c r="C6087" s="120"/>
      <c r="D6087" s="3"/>
      <c r="E6087" s="4"/>
      <c r="F6087" s="3"/>
      <c r="G6087" s="133"/>
      <c r="H6087" s="133"/>
      <c r="I6087" s="134"/>
      <c r="J6087" s="5"/>
      <c r="K6087" s="5"/>
      <c r="L6087" s="135"/>
      <c r="M6087" s="136"/>
      <c r="N6087" s="136"/>
      <c r="O6087" s="137"/>
      <c r="P6087" s="137"/>
      <c r="Q6087" s="137"/>
      <c r="R6087" s="137"/>
      <c r="S6087" s="137"/>
      <c r="T6087" s="138"/>
      <c r="U6087" s="115"/>
      <c r="V6087" s="115"/>
      <c r="W6087" s="115"/>
    </row>
    <row r="6088" spans="1:23" x14ac:dyDescent="0.2">
      <c r="A6088" s="132"/>
      <c r="B6088" s="132"/>
      <c r="C6088" s="120"/>
      <c r="D6088" s="3"/>
      <c r="E6088" s="4"/>
      <c r="F6088" s="3"/>
      <c r="G6088" s="133"/>
      <c r="H6088" s="133"/>
      <c r="I6088" s="134"/>
      <c r="J6088" s="5"/>
      <c r="K6088" s="5"/>
      <c r="L6088" s="135"/>
      <c r="M6088" s="136"/>
      <c r="N6088" s="136"/>
      <c r="O6088" s="137"/>
      <c r="P6088" s="137"/>
      <c r="Q6088" s="137"/>
      <c r="R6088" s="137"/>
      <c r="S6088" s="137"/>
      <c r="U6088" s="115"/>
      <c r="V6088" s="115"/>
      <c r="W6088" s="115"/>
    </row>
    <row r="6089" spans="1:23" x14ac:dyDescent="0.2">
      <c r="A6089" s="7"/>
      <c r="B6089" s="7"/>
      <c r="C6089" s="3"/>
      <c r="D6089" s="3" t="s">
        <v>1048</v>
      </c>
      <c r="E6089" s="4"/>
      <c r="F6089" s="3" t="s">
        <v>123</v>
      </c>
      <c r="G6089" s="9"/>
      <c r="H6089" s="9"/>
      <c r="I6089" s="12"/>
      <c r="J6089" s="5">
        <v>0</v>
      </c>
      <c r="K6089" s="5">
        <v>0</v>
      </c>
      <c r="L6089" s="7">
        <v>0</v>
      </c>
      <c r="M6089" s="19">
        <v>0</v>
      </c>
      <c r="N6089" s="19"/>
      <c r="O6089" s="19"/>
      <c r="P6089" s="19"/>
      <c r="Q6089" s="19"/>
      <c r="R6089" s="34"/>
      <c r="S6089" s="34"/>
    </row>
    <row r="6090" spans="1:23" x14ac:dyDescent="0.2">
      <c r="A6090" s="7"/>
      <c r="B6090" s="7"/>
      <c r="C6090" s="3"/>
      <c r="D6090" s="3" t="s">
        <v>1048</v>
      </c>
      <c r="E6090" s="4"/>
      <c r="F6090" s="3" t="s">
        <v>124</v>
      </c>
      <c r="G6090" s="9"/>
      <c r="H6090" s="9"/>
      <c r="I6090" s="12"/>
      <c r="J6090" s="5">
        <v>0</v>
      </c>
      <c r="K6090" s="5">
        <v>0</v>
      </c>
      <c r="L6090" s="7">
        <v>0</v>
      </c>
      <c r="M6090" s="19">
        <v>0</v>
      </c>
      <c r="N6090" s="19"/>
      <c r="O6090" s="19"/>
      <c r="P6090" s="19"/>
      <c r="Q6090" s="19"/>
      <c r="R6090" s="34"/>
      <c r="S6090" s="34"/>
    </row>
    <row r="6091" spans="1:23" x14ac:dyDescent="0.2">
      <c r="A6091" s="7"/>
      <c r="B6091" s="7"/>
      <c r="C6091" s="3"/>
      <c r="D6091" s="3" t="s">
        <v>1048</v>
      </c>
      <c r="E6091" s="4"/>
      <c r="F6091" s="3" t="s">
        <v>125</v>
      </c>
      <c r="G6091" s="9"/>
      <c r="H6091" s="9"/>
      <c r="I6091" s="12"/>
      <c r="J6091" s="5">
        <v>0</v>
      </c>
      <c r="K6091" s="5">
        <v>0</v>
      </c>
      <c r="L6091" s="7">
        <v>0</v>
      </c>
      <c r="M6091" s="19">
        <v>0</v>
      </c>
      <c r="N6091" s="19"/>
      <c r="O6091" s="19"/>
      <c r="P6091" s="19"/>
      <c r="Q6091" s="19"/>
      <c r="R6091" s="34"/>
      <c r="S6091" s="34"/>
    </row>
    <row r="6092" spans="1:23" x14ac:dyDescent="0.2">
      <c r="A6092" s="7"/>
      <c r="B6092" s="7"/>
      <c r="C6092" s="3"/>
      <c r="D6092" s="3" t="s">
        <v>1048</v>
      </c>
      <c r="E6092" s="4"/>
      <c r="F6092" s="3" t="s">
        <v>126</v>
      </c>
      <c r="G6092" s="9"/>
      <c r="H6092" s="9"/>
      <c r="I6092" s="12"/>
      <c r="J6092" s="5">
        <v>0</v>
      </c>
      <c r="K6092" s="5">
        <v>0</v>
      </c>
      <c r="L6092" s="7">
        <v>0</v>
      </c>
      <c r="M6092" s="19">
        <v>0</v>
      </c>
      <c r="N6092" s="19"/>
      <c r="O6092" s="19"/>
      <c r="P6092" s="19"/>
      <c r="Q6092" s="19"/>
      <c r="R6092" s="34"/>
      <c r="S6092" s="34"/>
    </row>
    <row r="6093" spans="1:23" x14ac:dyDescent="0.2">
      <c r="A6093" s="7"/>
      <c r="B6093" s="7"/>
      <c r="C6093" s="3"/>
      <c r="D6093" s="3" t="s">
        <v>1048</v>
      </c>
      <c r="E6093" s="4"/>
      <c r="F6093" s="3" t="s">
        <v>127</v>
      </c>
      <c r="G6093" s="9"/>
      <c r="H6093" s="9"/>
      <c r="I6093" s="12"/>
      <c r="J6093" s="5">
        <v>0</v>
      </c>
      <c r="K6093" s="5">
        <v>0</v>
      </c>
      <c r="L6093" s="7">
        <v>0</v>
      </c>
      <c r="M6093" s="19">
        <v>0</v>
      </c>
      <c r="N6093" s="19"/>
      <c r="O6093" s="19"/>
      <c r="P6093" s="19"/>
      <c r="Q6093" s="19"/>
      <c r="R6093" s="34"/>
      <c r="S6093" s="34"/>
    </row>
    <row r="6094" spans="1:23" x14ac:dyDescent="0.2">
      <c r="A6094" s="7"/>
      <c r="B6094" s="7"/>
      <c r="C6094" s="3"/>
      <c r="D6094" s="3" t="s">
        <v>1048</v>
      </c>
      <c r="E6094" s="4"/>
      <c r="F6094" s="3" t="s">
        <v>128</v>
      </c>
      <c r="G6094" s="9"/>
      <c r="H6094" s="9"/>
      <c r="I6094" s="12"/>
      <c r="J6094" s="5">
        <v>0</v>
      </c>
      <c r="K6094" s="5">
        <v>0</v>
      </c>
      <c r="L6094" s="7">
        <v>0</v>
      </c>
      <c r="M6094" s="19">
        <v>0</v>
      </c>
      <c r="N6094" s="19"/>
      <c r="O6094" s="19"/>
      <c r="P6094" s="19"/>
      <c r="Q6094" s="19"/>
      <c r="R6094" s="34"/>
      <c r="S6094" s="34"/>
    </row>
    <row r="6095" spans="1:23" x14ac:dyDescent="0.2">
      <c r="A6095" s="7"/>
      <c r="B6095" s="7"/>
      <c r="C6095" s="3"/>
      <c r="D6095" s="3" t="s">
        <v>1048</v>
      </c>
      <c r="E6095" s="4" t="s">
        <v>31</v>
      </c>
      <c r="F6095" s="3" t="s">
        <v>31</v>
      </c>
      <c r="G6095" s="9"/>
      <c r="H6095" s="17">
        <v>0</v>
      </c>
      <c r="I6095" s="18"/>
      <c r="J6095" s="14" t="e">
        <v>#REF!</v>
      </c>
      <c r="K6095" s="14">
        <v>0</v>
      </c>
      <c r="L6095" s="15">
        <v>0</v>
      </c>
      <c r="M6095" s="16">
        <v>0</v>
      </c>
      <c r="N6095" s="16"/>
      <c r="O6095" s="16"/>
      <c r="P6095" s="16"/>
      <c r="Q6095" s="16"/>
      <c r="R6095" s="35"/>
      <c r="S6095" s="35"/>
    </row>
    <row r="6096" spans="1:23" ht="22.5" x14ac:dyDescent="0.2">
      <c r="A6096" s="7"/>
      <c r="B6096" s="7"/>
      <c r="C6096" s="3"/>
      <c r="D6096" s="3" t="s">
        <v>1048</v>
      </c>
      <c r="E6096" s="4" t="s">
        <v>32</v>
      </c>
      <c r="F6096" s="3"/>
      <c r="G6096" s="9"/>
      <c r="H6096" s="14">
        <f>SUM(H6097:H6099)</f>
        <v>0</v>
      </c>
      <c r="I6096" s="14"/>
      <c r="J6096" s="15">
        <f t="shared" ref="J6096:K6096" si="193">+J6097+J6098+J6099</f>
        <v>0</v>
      </c>
      <c r="K6096" s="15">
        <f t="shared" si="193"/>
        <v>0</v>
      </c>
      <c r="L6096" s="15">
        <f>+L6097+L6098+L6099</f>
        <v>0</v>
      </c>
      <c r="M6096" s="15">
        <f>+M6097+M6098+M6099</f>
        <v>0</v>
      </c>
      <c r="N6096" s="15"/>
      <c r="O6096" s="15"/>
      <c r="P6096" s="15"/>
      <c r="Q6096" s="15"/>
      <c r="R6096" s="18"/>
      <c r="S6096" s="18"/>
    </row>
    <row r="6097" spans="1:19" x14ac:dyDescent="0.2">
      <c r="A6097" s="7"/>
      <c r="B6097" s="7"/>
      <c r="C6097" s="3"/>
      <c r="D6097" s="3" t="s">
        <v>1048</v>
      </c>
      <c r="E6097" s="4"/>
      <c r="F6097" s="3" t="s">
        <v>129</v>
      </c>
      <c r="G6097" s="9"/>
      <c r="H6097" s="9"/>
      <c r="I6097" s="12"/>
      <c r="J6097" s="5">
        <v>0</v>
      </c>
      <c r="K6097" s="5">
        <v>0</v>
      </c>
      <c r="L6097" s="7">
        <v>0</v>
      </c>
      <c r="M6097" s="19">
        <v>0</v>
      </c>
      <c r="N6097" s="19"/>
      <c r="O6097" s="19"/>
      <c r="P6097" s="19"/>
      <c r="Q6097" s="19"/>
      <c r="R6097" s="34"/>
      <c r="S6097" s="34"/>
    </row>
    <row r="6098" spans="1:19" x14ac:dyDescent="0.2">
      <c r="A6098" s="7"/>
      <c r="B6098" s="7"/>
      <c r="C6098" s="3"/>
      <c r="D6098" s="3" t="s">
        <v>1048</v>
      </c>
      <c r="E6098" s="4"/>
      <c r="F6098" s="3" t="s">
        <v>130</v>
      </c>
      <c r="G6098" s="9"/>
      <c r="H6098" s="9"/>
      <c r="I6098" s="12"/>
      <c r="J6098" s="5">
        <v>0</v>
      </c>
      <c r="K6098" s="5">
        <v>0</v>
      </c>
      <c r="L6098" s="7">
        <v>0</v>
      </c>
      <c r="M6098" s="19">
        <v>0</v>
      </c>
      <c r="N6098" s="19"/>
      <c r="O6098" s="19"/>
      <c r="P6098" s="19"/>
      <c r="Q6098" s="19"/>
      <c r="R6098" s="34"/>
      <c r="S6098" s="34"/>
    </row>
    <row r="6099" spans="1:19" x14ac:dyDescent="0.2">
      <c r="A6099" s="7"/>
      <c r="B6099" s="7"/>
      <c r="C6099" s="3"/>
      <c r="D6099" s="3" t="s">
        <v>1048</v>
      </c>
      <c r="E6099" s="4"/>
      <c r="F6099" s="3" t="s">
        <v>131</v>
      </c>
      <c r="G6099" s="9"/>
      <c r="H6099" s="9"/>
      <c r="I6099" s="12"/>
      <c r="J6099" s="5">
        <v>0</v>
      </c>
      <c r="K6099" s="5">
        <v>0</v>
      </c>
      <c r="L6099" s="7">
        <v>0</v>
      </c>
      <c r="M6099" s="19">
        <v>0</v>
      </c>
      <c r="N6099" s="19"/>
      <c r="O6099" s="19"/>
      <c r="P6099" s="19"/>
      <c r="Q6099" s="19"/>
      <c r="R6099" s="34"/>
      <c r="S6099" s="34"/>
    </row>
  </sheetData>
  <mergeCells count="592">
    <mergeCell ref="T3843:T3858"/>
    <mergeCell ref="T3331:T3346"/>
    <mergeCell ref="T3347:T3362"/>
    <mergeCell ref="T2915:T2930"/>
    <mergeCell ref="T3539:T3554"/>
    <mergeCell ref="T3779:T3794"/>
    <mergeCell ref="T3395:T3410"/>
    <mergeCell ref="T3379:T3394"/>
    <mergeCell ref="T3139:T3154"/>
    <mergeCell ref="T2959:T2962"/>
    <mergeCell ref="T2939:T2942"/>
    <mergeCell ref="T3683:T3698"/>
    <mergeCell ref="T3795:T3810"/>
    <mergeCell ref="T3523:T3538"/>
    <mergeCell ref="T3315:T3330"/>
    <mergeCell ref="T3027:T3042"/>
    <mergeCell ref="T3091:T3106"/>
    <mergeCell ref="T3107:T3122"/>
    <mergeCell ref="T3123:T3138"/>
    <mergeCell ref="T3251:T3266"/>
    <mergeCell ref="T3267:T3282"/>
    <mergeCell ref="T3651:T3666"/>
    <mergeCell ref="T3059:T3074"/>
    <mergeCell ref="T1379:T1382"/>
    <mergeCell ref="T3971:T3986"/>
    <mergeCell ref="T3587:T3602"/>
    <mergeCell ref="T1463:T1466"/>
    <mergeCell ref="T1891:T1894"/>
    <mergeCell ref="T1895:T1898"/>
    <mergeCell ref="T3459:T3474"/>
    <mergeCell ref="T3619:T3634"/>
    <mergeCell ref="T3667:T3682"/>
    <mergeCell ref="T3939:T3954"/>
    <mergeCell ref="T3555:T3570"/>
    <mergeCell ref="T3507:T3522"/>
    <mergeCell ref="T1527:T1542"/>
    <mergeCell ref="T1563:T1578"/>
    <mergeCell ref="T1487:T1502"/>
    <mergeCell ref="T2965:T2978"/>
    <mergeCell ref="T3571:T3586"/>
    <mergeCell ref="T3731:T3746"/>
    <mergeCell ref="T3827:T3842"/>
    <mergeCell ref="T2223:T2226"/>
    <mergeCell ref="T2291:T2294"/>
    <mergeCell ref="T2087:T2102"/>
    <mergeCell ref="T2103:T2118"/>
    <mergeCell ref="T2119:T2134"/>
    <mergeCell ref="T1359:T1362"/>
    <mergeCell ref="T1363:T1366"/>
    <mergeCell ref="T1471:T1486"/>
    <mergeCell ref="T3219:T3234"/>
    <mergeCell ref="T3235:T3250"/>
    <mergeCell ref="T3155:T3170"/>
    <mergeCell ref="T3187:T3202"/>
    <mergeCell ref="T3283:T3298"/>
    <mergeCell ref="T3203:T3218"/>
    <mergeCell ref="T3075:T3090"/>
    <mergeCell ref="T3171:T3186"/>
    <mergeCell ref="T1543:T1558"/>
    <mergeCell ref="T1503:T1518"/>
    <mergeCell ref="T2979:T2994"/>
    <mergeCell ref="T2783:T2786"/>
    <mergeCell ref="T2051:T2066"/>
    <mergeCell ref="T2067:T2082"/>
    <mergeCell ref="T2083:T2086"/>
    <mergeCell ref="T2151:T2154"/>
    <mergeCell ref="T2559:T2562"/>
    <mergeCell ref="T2595:T2598"/>
    <mergeCell ref="T2543:T2558"/>
    <mergeCell ref="T2563:T2578"/>
    <mergeCell ref="T2187:T2190"/>
    <mergeCell ref="T2227:T2242"/>
    <mergeCell ref="T2355:T2358"/>
    <mergeCell ref="T1615:T1630"/>
    <mergeCell ref="T1611:T1614"/>
    <mergeCell ref="T2135:T2150"/>
    <mergeCell ref="T2155:T2170"/>
    <mergeCell ref="T2171:T2186"/>
    <mergeCell ref="T2259:T2274"/>
    <mergeCell ref="T2275:T2290"/>
    <mergeCell ref="T2311:T2326"/>
    <mergeCell ref="T2327:T2342"/>
    <mergeCell ref="T2031:T2046"/>
    <mergeCell ref="T2343:T2346"/>
    <mergeCell ref="T2295:T2310"/>
    <mergeCell ref="T2347:T2350"/>
    <mergeCell ref="T1791:T1806"/>
    <mergeCell ref="T1579:T1594"/>
    <mergeCell ref="T1559:T1562"/>
    <mergeCell ref="T1139:T1142"/>
    <mergeCell ref="T1215:T1218"/>
    <mergeCell ref="T1183:T1186"/>
    <mergeCell ref="T1163:T1178"/>
    <mergeCell ref="T1127:T1130"/>
    <mergeCell ref="T1131:T1134"/>
    <mergeCell ref="T1135:T1138"/>
    <mergeCell ref="T1303:T1306"/>
    <mergeCell ref="T1307:T1310"/>
    <mergeCell ref="T1319:T1322"/>
    <mergeCell ref="T1187:T1190"/>
    <mergeCell ref="T1467:T1470"/>
    <mergeCell ref="T1159:T1162"/>
    <mergeCell ref="T1143:T1146"/>
    <mergeCell ref="T1219:T1234"/>
    <mergeCell ref="T1243:T1258"/>
    <mergeCell ref="T1295:T1298"/>
    <mergeCell ref="T1327:T1330"/>
    <mergeCell ref="T1331:T1334"/>
    <mergeCell ref="T1299:T1302"/>
    <mergeCell ref="T1155:T1158"/>
    <mergeCell ref="T1279:T1294"/>
    <mergeCell ref="T1595:T1610"/>
    <mergeCell ref="T2491:T2506"/>
    <mergeCell ref="T1647:T1662"/>
    <mergeCell ref="T1691:T1706"/>
    <mergeCell ref="T1631:T1646"/>
    <mergeCell ref="T1899:T1914"/>
    <mergeCell ref="T1915:T1930"/>
    <mergeCell ref="T1931:T1946"/>
    <mergeCell ref="T1947:T1962"/>
    <mergeCell ref="T1827:T1842"/>
    <mergeCell ref="T1707:T1722"/>
    <mergeCell ref="T1675:T1690"/>
    <mergeCell ref="T1663:T1666"/>
    <mergeCell ref="T2191:T2206"/>
    <mergeCell ref="T2207:T2222"/>
    <mergeCell ref="T2351:T2354"/>
    <mergeCell ref="T2243:T2258"/>
    <mergeCell ref="T2047:T2050"/>
    <mergeCell ref="T1875:T1890"/>
    <mergeCell ref="T1859:T1874"/>
    <mergeCell ref="T1963:T1966"/>
    <mergeCell ref="T1983:T1998"/>
    <mergeCell ref="T1999:T2014"/>
    <mergeCell ref="T2015:T2030"/>
    <mergeCell ref="T1335:T1338"/>
    <mergeCell ref="T1355:T1358"/>
    <mergeCell ref="T951:T954"/>
    <mergeCell ref="T983:T986"/>
    <mergeCell ref="T991:T994"/>
    <mergeCell ref="T1071:T1074"/>
    <mergeCell ref="T1075:T1078"/>
    <mergeCell ref="T1087:T1090"/>
    <mergeCell ref="T1119:T1122"/>
    <mergeCell ref="T1123:T1126"/>
    <mergeCell ref="T1091:T1094"/>
    <mergeCell ref="T1095:T1098"/>
    <mergeCell ref="T1115:T1118"/>
    <mergeCell ref="T1079:T1082"/>
    <mergeCell ref="T1083:T1086"/>
    <mergeCell ref="T1099:T1114"/>
    <mergeCell ref="T1047:T1050"/>
    <mergeCell ref="T1007:T1010"/>
    <mergeCell ref="T1027:T1030"/>
    <mergeCell ref="T1003:T1006"/>
    <mergeCell ref="T963:T966"/>
    <mergeCell ref="T967:T970"/>
    <mergeCell ref="T995:T998"/>
    <mergeCell ref="T971:T974"/>
    <mergeCell ref="T1151:T1154"/>
    <mergeCell ref="L2:M2"/>
    <mergeCell ref="T323:T326"/>
    <mergeCell ref="T327:T330"/>
    <mergeCell ref="T439:T442"/>
    <mergeCell ref="T523:T526"/>
    <mergeCell ref="T123:T126"/>
    <mergeCell ref="T127:T130"/>
    <mergeCell ref="T139:T142"/>
    <mergeCell ref="T147:T150"/>
    <mergeCell ref="T195:T198"/>
    <mergeCell ref="T187:T190"/>
    <mergeCell ref="T191:T194"/>
    <mergeCell ref="T7:T10"/>
    <mergeCell ref="T11:T14"/>
    <mergeCell ref="T15:T18"/>
    <mergeCell ref="T19:T22"/>
    <mergeCell ref="T39:T42"/>
    <mergeCell ref="T43:T46"/>
    <mergeCell ref="T71:T74"/>
    <mergeCell ref="T55:T58"/>
    <mergeCell ref="T335:T338"/>
    <mergeCell ref="T435:T438"/>
    <mergeCell ref="T223:T226"/>
    <mergeCell ref="T227:T230"/>
    <mergeCell ref="T231:T234"/>
    <mergeCell ref="T235:T238"/>
    <mergeCell ref="T239:T242"/>
    <mergeCell ref="T247:T250"/>
    <mergeCell ref="T307:T310"/>
    <mergeCell ref="T291:T294"/>
    <mergeCell ref="T1147:T1150"/>
    <mergeCell ref="T543:T558"/>
    <mergeCell ref="T679:T682"/>
    <mergeCell ref="T483:T486"/>
    <mergeCell ref="T623:T638"/>
    <mergeCell ref="T599:T602"/>
    <mergeCell ref="T567:T570"/>
    <mergeCell ref="T727:T730"/>
    <mergeCell ref="T531:T534"/>
    <mergeCell ref="T607:T610"/>
    <mergeCell ref="T571:T574"/>
    <mergeCell ref="T575:T578"/>
    <mergeCell ref="T579:T582"/>
    <mergeCell ref="T583:T586"/>
    <mergeCell ref="T587:T590"/>
    <mergeCell ref="T591:T594"/>
    <mergeCell ref="T367:T370"/>
    <mergeCell ref="T47:T50"/>
    <mergeCell ref="T51:T54"/>
    <mergeCell ref="T103:T106"/>
    <mergeCell ref="T199:T202"/>
    <mergeCell ref="T507:T522"/>
    <mergeCell ref="T403:T406"/>
    <mergeCell ref="T451:T454"/>
    <mergeCell ref="T487:T490"/>
    <mergeCell ref="T407:T410"/>
    <mergeCell ref="T447:T450"/>
    <mergeCell ref="T495:T498"/>
    <mergeCell ref="T267:T270"/>
    <mergeCell ref="T491:T494"/>
    <mergeCell ref="T415:T418"/>
    <mergeCell ref="T419:T422"/>
    <mergeCell ref="T423:T426"/>
    <mergeCell ref="T155:T158"/>
    <mergeCell ref="T159:T162"/>
    <mergeCell ref="T175:T178"/>
    <mergeCell ref="T179:T182"/>
    <mergeCell ref="T183:T186"/>
    <mergeCell ref="T203:T206"/>
    <mergeCell ref="T219:T222"/>
    <mergeCell ref="T475:T478"/>
    <mergeCell ref="T311:T314"/>
    <mergeCell ref="T603:T606"/>
    <mergeCell ref="T595:T598"/>
    <mergeCell ref="T535:T538"/>
    <mergeCell ref="T559:T562"/>
    <mergeCell ref="T527:T530"/>
    <mergeCell ref="T563:T566"/>
    <mergeCell ref="T411:T414"/>
    <mergeCell ref="T443:T446"/>
    <mergeCell ref="T427:T430"/>
    <mergeCell ref="T479:T482"/>
    <mergeCell ref="T467:T470"/>
    <mergeCell ref="T499:T502"/>
    <mergeCell ref="T431:T434"/>
    <mergeCell ref="T471:T474"/>
    <mergeCell ref="T539:T542"/>
    <mergeCell ref="T455:T458"/>
    <mergeCell ref="T459:T462"/>
    <mergeCell ref="T463:T466"/>
    <mergeCell ref="T503:T506"/>
    <mergeCell ref="T399:T402"/>
    <mergeCell ref="T375:T378"/>
    <mergeCell ref="T379:T382"/>
    <mergeCell ref="T395:T398"/>
    <mergeCell ref="T611:T614"/>
    <mergeCell ref="T759:T774"/>
    <mergeCell ref="T687:T690"/>
    <mergeCell ref="T691:T694"/>
    <mergeCell ref="T715:T718"/>
    <mergeCell ref="T619:T622"/>
    <mergeCell ref="T747:T750"/>
    <mergeCell ref="T755:T758"/>
    <mergeCell ref="T731:T746"/>
    <mergeCell ref="T719:T722"/>
    <mergeCell ref="T711:T714"/>
    <mergeCell ref="T675:T678"/>
    <mergeCell ref="T859:T862"/>
    <mergeCell ref="T799:T802"/>
    <mergeCell ref="T807:T810"/>
    <mergeCell ref="T855:T858"/>
    <mergeCell ref="T775:T790"/>
    <mergeCell ref="T791:T794"/>
    <mergeCell ref="T795:T798"/>
    <mergeCell ref="T651:T654"/>
    <mergeCell ref="T615:T618"/>
    <mergeCell ref="T811:T814"/>
    <mergeCell ref="T839:T842"/>
    <mergeCell ref="T843:T846"/>
    <mergeCell ref="T803:T806"/>
    <mergeCell ref="T827:T830"/>
    <mergeCell ref="T815:T818"/>
    <mergeCell ref="T819:T822"/>
    <mergeCell ref="T851:T854"/>
    <mergeCell ref="T847:T850"/>
    <mergeCell ref="T831:T834"/>
    <mergeCell ref="T59:T62"/>
    <mergeCell ref="T63:T66"/>
    <mergeCell ref="T67:T70"/>
    <mergeCell ref="T83:T86"/>
    <mergeCell ref="T95:T98"/>
    <mergeCell ref="T87:T90"/>
    <mergeCell ref="T91:T94"/>
    <mergeCell ref="T215:T218"/>
    <mergeCell ref="T163:T166"/>
    <mergeCell ref="T99:T102"/>
    <mergeCell ref="T151:T154"/>
    <mergeCell ref="T207:T210"/>
    <mergeCell ref="T211:T214"/>
    <mergeCell ref="T107:T110"/>
    <mergeCell ref="T111:T114"/>
    <mergeCell ref="T167:T170"/>
    <mergeCell ref="T171:T174"/>
    <mergeCell ref="T135:T138"/>
    <mergeCell ref="T131:T134"/>
    <mergeCell ref="T115:T118"/>
    <mergeCell ref="T119:T122"/>
    <mergeCell ref="T143:T146"/>
    <mergeCell ref="T79:T82"/>
    <mergeCell ref="T75:T78"/>
    <mergeCell ref="T263:T266"/>
    <mergeCell ref="T275:T278"/>
    <mergeCell ref="T279:T282"/>
    <mergeCell ref="T283:T286"/>
    <mergeCell ref="T287:T290"/>
    <mergeCell ref="T387:T390"/>
    <mergeCell ref="T391:T394"/>
    <mergeCell ref="T243:T246"/>
    <mergeCell ref="T255:T258"/>
    <mergeCell ref="T303:T306"/>
    <mergeCell ref="T343:T346"/>
    <mergeCell ref="T295:T298"/>
    <mergeCell ref="T299:T302"/>
    <mergeCell ref="T363:T366"/>
    <mergeCell ref="T347:T362"/>
    <mergeCell ref="T259:T262"/>
    <mergeCell ref="T331:T334"/>
    <mergeCell ref="T315:T318"/>
    <mergeCell ref="T319:T322"/>
    <mergeCell ref="T339:T342"/>
    <mergeCell ref="T271:T274"/>
    <mergeCell ref="T383:T386"/>
    <mergeCell ref="T251:T254"/>
    <mergeCell ref="T371:T374"/>
    <mergeCell ref="T1315:T1318"/>
    <mergeCell ref="T723:T726"/>
    <mergeCell ref="T639:T642"/>
    <mergeCell ref="T643:T646"/>
    <mergeCell ref="T647:T650"/>
    <mergeCell ref="T683:T686"/>
    <mergeCell ref="T695:T710"/>
    <mergeCell ref="T751:T754"/>
    <mergeCell ref="T919:T934"/>
    <mergeCell ref="T883:T886"/>
    <mergeCell ref="T887:T890"/>
    <mergeCell ref="T899:T902"/>
    <mergeCell ref="T903:T918"/>
    <mergeCell ref="T655:T658"/>
    <mergeCell ref="T659:T674"/>
    <mergeCell ref="T891:T894"/>
    <mergeCell ref="T895:T898"/>
    <mergeCell ref="T943:T946"/>
    <mergeCell ref="T935:T938"/>
    <mergeCell ref="T1051:T1054"/>
    <mergeCell ref="T863:T878"/>
    <mergeCell ref="T879:T882"/>
    <mergeCell ref="T835:T838"/>
    <mergeCell ref="T823:T826"/>
    <mergeCell ref="T1191:T1206"/>
    <mergeCell ref="T939:T942"/>
    <mergeCell ref="T1843:T1858"/>
    <mergeCell ref="T1787:T1790"/>
    <mergeCell ref="T1723:T1738"/>
    <mergeCell ref="T1739:T1754"/>
    <mergeCell ref="T1755:T1770"/>
    <mergeCell ref="T1807:T1822"/>
    <mergeCell ref="T1823:T1826"/>
    <mergeCell ref="T1263:T1278"/>
    <mergeCell ref="T1771:T1786"/>
    <mergeCell ref="T959:T962"/>
    <mergeCell ref="T987:T990"/>
    <mergeCell ref="T979:T982"/>
    <mergeCell ref="T955:T958"/>
    <mergeCell ref="T975:T978"/>
    <mergeCell ref="T1011:T1026"/>
    <mergeCell ref="T1235:T1238"/>
    <mergeCell ref="T1239:T1242"/>
    <mergeCell ref="T1259:T1262"/>
    <mergeCell ref="T1323:T1326"/>
    <mergeCell ref="T1367:T1370"/>
    <mergeCell ref="T1339:T1354"/>
    <mergeCell ref="T1311:T1314"/>
    <mergeCell ref="T1055:T1070"/>
    <mergeCell ref="T999:T1002"/>
    <mergeCell ref="T1967:T1982"/>
    <mergeCell ref="T1371:T1374"/>
    <mergeCell ref="T1375:T1378"/>
    <mergeCell ref="T1403:T1418"/>
    <mergeCell ref="T1431:T1446"/>
    <mergeCell ref="T1447:T1462"/>
    <mergeCell ref="T1383:T1386"/>
    <mergeCell ref="T1667:T1670"/>
    <mergeCell ref="T1671:T1674"/>
    <mergeCell ref="T1387:T1390"/>
    <mergeCell ref="T1391:T1394"/>
    <mergeCell ref="T1395:T1398"/>
    <mergeCell ref="T1399:T1402"/>
    <mergeCell ref="T1419:T1422"/>
    <mergeCell ref="T1035:T1038"/>
    <mergeCell ref="T1043:T1046"/>
    <mergeCell ref="T1031:T1034"/>
    <mergeCell ref="T1039:T1042"/>
    <mergeCell ref="T1427:T1430"/>
    <mergeCell ref="T1179:T1182"/>
    <mergeCell ref="T1207:T1210"/>
    <mergeCell ref="T1211:T1214"/>
    <mergeCell ref="T947:T950"/>
    <mergeCell ref="T1423:T1426"/>
    <mergeCell ref="T4995:T5010"/>
    <mergeCell ref="T4563:T4578"/>
    <mergeCell ref="T2359:T2374"/>
    <mergeCell ref="T2391:T2406"/>
    <mergeCell ref="T2407:T2422"/>
    <mergeCell ref="T2539:T2542"/>
    <mergeCell ref="T2699:T2714"/>
    <mergeCell ref="T2631:T2634"/>
    <mergeCell ref="T2599:T2614"/>
    <mergeCell ref="T2523:T2538"/>
    <mergeCell ref="T2443:T2458"/>
    <mergeCell ref="T2459:T2474"/>
    <mergeCell ref="T2475:T2490"/>
    <mergeCell ref="T2507:T2522"/>
    <mergeCell ref="T4179:T4194"/>
    <mergeCell ref="T3715:T3730"/>
    <mergeCell ref="T3763:T3778"/>
    <mergeCell ref="T3635:T3650"/>
    <mergeCell ref="T3411:T3426"/>
    <mergeCell ref="T3427:T3442"/>
    <mergeCell ref="T3443:T3458"/>
    <mergeCell ref="T3491:T3506"/>
    <mergeCell ref="T4243:T4258"/>
    <mergeCell ref="T3475:T3490"/>
    <mergeCell ref="T3859:T3874"/>
    <mergeCell ref="T3875:T3890"/>
    <mergeCell ref="T4099:T4114"/>
    <mergeCell ref="T4067:T4082"/>
    <mergeCell ref="T4019:T4034"/>
    <mergeCell ref="T4115:T4130"/>
    <mergeCell ref="T4131:T4146"/>
    <mergeCell ref="T4147:T4162"/>
    <mergeCell ref="T4163:T4178"/>
    <mergeCell ref="T3603:T3618"/>
    <mergeCell ref="T3699:T3714"/>
    <mergeCell ref="T4051:T4066"/>
    <mergeCell ref="T3747:T3762"/>
    <mergeCell ref="T4083:T4098"/>
    <mergeCell ref="T3811:T3826"/>
    <mergeCell ref="T3923:T3938"/>
    <mergeCell ref="T3955:T3970"/>
    <mergeCell ref="T3891:T3906"/>
    <mergeCell ref="T3907:T3922"/>
    <mergeCell ref="T4003:T4018"/>
    <mergeCell ref="T4035:T4050"/>
    <mergeCell ref="T3987:T4002"/>
    <mergeCell ref="T2427:T2442"/>
    <mergeCell ref="T2375:T2390"/>
    <mergeCell ref="T2931:T2934"/>
    <mergeCell ref="T2715:T2730"/>
    <mergeCell ref="T2667:T2682"/>
    <mergeCell ref="T2683:T2698"/>
    <mergeCell ref="T2423:T2426"/>
    <mergeCell ref="T2731:T2746"/>
    <mergeCell ref="T2747:T2762"/>
    <mergeCell ref="T2835:T2850"/>
    <mergeCell ref="T2899:T2914"/>
    <mergeCell ref="T5091:T5093"/>
    <mergeCell ref="T2579:T2594"/>
    <mergeCell ref="T2651:T2666"/>
    <mergeCell ref="T2615:T2630"/>
    <mergeCell ref="T2635:T2650"/>
    <mergeCell ref="T2995:T3010"/>
    <mergeCell ref="T2763:T2778"/>
    <mergeCell ref="T2787:T2802"/>
    <mergeCell ref="T3011:T3026"/>
    <mergeCell ref="T3043:T3058"/>
    <mergeCell ref="T2935:T2938"/>
    <mergeCell ref="T3363:T3378"/>
    <mergeCell ref="T2779:T2782"/>
    <mergeCell ref="T2867:T2882"/>
    <mergeCell ref="T2819:T2834"/>
    <mergeCell ref="T2803:T2818"/>
    <mergeCell ref="T2851:T2866"/>
    <mergeCell ref="T2883:T2898"/>
    <mergeCell ref="T2943:T2958"/>
    <mergeCell ref="T4259:T4274"/>
    <mergeCell ref="T4275:T4290"/>
    <mergeCell ref="T5075:T5090"/>
    <mergeCell ref="T4195:T4210"/>
    <mergeCell ref="T4323:T4338"/>
    <mergeCell ref="T4307:T4322"/>
    <mergeCell ref="T4627:T4642"/>
    <mergeCell ref="T4643:T4658"/>
    <mergeCell ref="T4355:T4370"/>
    <mergeCell ref="T4483:T4498"/>
    <mergeCell ref="T4499:T4514"/>
    <mergeCell ref="T4531:T4546"/>
    <mergeCell ref="T4595:T4610"/>
    <mergeCell ref="T4419:T4434"/>
    <mergeCell ref="T4339:T4354"/>
    <mergeCell ref="T4451:T4466"/>
    <mergeCell ref="T4547:T4562"/>
    <mergeCell ref="T4467:T4482"/>
    <mergeCell ref="T4435:T4450"/>
    <mergeCell ref="T4403:T4418"/>
    <mergeCell ref="T4371:T4386"/>
    <mergeCell ref="T4211:T4226"/>
    <mergeCell ref="T4771:T4786"/>
    <mergeCell ref="T4900:T4902"/>
    <mergeCell ref="T4787:T4802"/>
    <mergeCell ref="T4867:T4882"/>
    <mergeCell ref="T4835:T4850"/>
    <mergeCell ref="T4884:T4886"/>
    <mergeCell ref="T4963:T4978"/>
    <mergeCell ref="T4611:T4626"/>
    <mergeCell ref="T4803:T4818"/>
    <mergeCell ref="T4851:T4866"/>
    <mergeCell ref="T4915:T4930"/>
    <mergeCell ref="T4691:T4706"/>
    <mergeCell ref="T4675:T4690"/>
    <mergeCell ref="T4723:T4738"/>
    <mergeCell ref="T4819:T4834"/>
    <mergeCell ref="T4707:T4722"/>
    <mergeCell ref="T4755:T4770"/>
    <mergeCell ref="T4227:T4242"/>
    <mergeCell ref="T4579:T4594"/>
    <mergeCell ref="T4515:T4530"/>
    <mergeCell ref="T4387:T4402"/>
    <mergeCell ref="T4659:T4674"/>
    <mergeCell ref="T4291:T4306"/>
    <mergeCell ref="T5043:T5058"/>
    <mergeCell ref="T5651:T5666"/>
    <mergeCell ref="T5635:T5650"/>
    <mergeCell ref="T5459:T5474"/>
    <mergeCell ref="T5011:T5026"/>
    <mergeCell ref="T4947:T4962"/>
    <mergeCell ref="T4931:T4946"/>
    <mergeCell ref="T5443:T5445"/>
    <mergeCell ref="T5267:T5282"/>
    <mergeCell ref="T5123:T5138"/>
    <mergeCell ref="T5283:T5298"/>
    <mergeCell ref="T5251:T5266"/>
    <mergeCell ref="T5219:T5234"/>
    <mergeCell ref="T5427:T5442"/>
    <mergeCell ref="T5331:T5346"/>
    <mergeCell ref="T5299:T5314"/>
    <mergeCell ref="T5187:T5202"/>
    <mergeCell ref="T5235:T5250"/>
    <mergeCell ref="T5203:T5218"/>
    <mergeCell ref="T5027:T5030"/>
    <mergeCell ref="T5363:T5378"/>
    <mergeCell ref="T5395:T5410"/>
    <mergeCell ref="T4979:T4994"/>
    <mergeCell ref="T5059:T5061"/>
    <mergeCell ref="T6067:T6082"/>
    <mergeCell ref="T5939:T5954"/>
    <mergeCell ref="T5587:T5602"/>
    <mergeCell ref="T5603:T5618"/>
    <mergeCell ref="T5875:T5890"/>
    <mergeCell ref="T5859:T5874"/>
    <mergeCell ref="T5779:T5794"/>
    <mergeCell ref="T5763:T5778"/>
    <mergeCell ref="T5699:T5714"/>
    <mergeCell ref="T5987:T6002"/>
    <mergeCell ref="T6003:T6018"/>
    <mergeCell ref="T6051:T6066"/>
    <mergeCell ref="T5955:T5970"/>
    <mergeCell ref="T5891:T5906"/>
    <mergeCell ref="T5827:T5842"/>
    <mergeCell ref="T5811:T5826"/>
    <mergeCell ref="T5795:T5810"/>
    <mergeCell ref="T6035:T6050"/>
    <mergeCell ref="T5731:T5746"/>
    <mergeCell ref="T5747:T5762"/>
    <mergeCell ref="T5715:T5730"/>
    <mergeCell ref="T5683:T5698"/>
    <mergeCell ref="T5667:T5682"/>
    <mergeCell ref="T5619:T5634"/>
    <mergeCell ref="T6019:T6034"/>
    <mergeCell ref="T5971:T5986"/>
    <mergeCell ref="T5907:T5922"/>
    <mergeCell ref="T5107:T5122"/>
    <mergeCell ref="T5475:T5490"/>
    <mergeCell ref="T5315:T5330"/>
    <mergeCell ref="T5155:T5170"/>
    <mergeCell ref="T5171:T5186"/>
    <mergeCell ref="T5139:T5154"/>
    <mergeCell ref="T5491:T5506"/>
    <mergeCell ref="T5555:T5570"/>
    <mergeCell ref="T5507:T5522"/>
    <mergeCell ref="T5523:T5538"/>
    <mergeCell ref="T5379:T5394"/>
    <mergeCell ref="T5347:T5362"/>
  </mergeCells>
  <phoneticPr fontId="23" type="noConversion"/>
  <pageMargins left="0.7" right="0.7" top="0.75" bottom="0.75" header="0.3" footer="0.3"/>
  <pageSetup orientation="portrait" r:id="rId1"/>
  <ignoredErrors>
    <ignoredError sqref="M3231" calculatedColumn="1"/>
  </ignoredErrors>
  <legacy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E0CCABF9EA204049A9D842DB30B440EC" ma:contentTypeVersion="20" ma:contentTypeDescription="Create a new document." ma:contentTypeScope="" ma:versionID="098e7dd62aa022036e2a5b3f073a6e62">
  <xsd:schema xmlns:xsd="http://www.w3.org/2001/XMLSchema" xmlns:xs="http://www.w3.org/2001/XMLSchema" xmlns:p="http://schemas.microsoft.com/office/2006/metadata/properties" xmlns:ns2="8cd76e3c-5b7b-4873-8ef8-85414aa718f8" xmlns:ns3="f07e86df-e81b-430a-8987-bcdc8dabd543" targetNamespace="http://schemas.microsoft.com/office/2006/metadata/properties" ma:root="true" ma:fieldsID="cf0a6b66b1f1bd5f51c1619aed1fbd94" ns2:_="" ns3:_="">
    <xsd:import namespace="8cd76e3c-5b7b-4873-8ef8-85414aa718f8"/>
    <xsd:import namespace="f07e86df-e81b-430a-8987-bcdc8dabd54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LengthInSeconds" minOccurs="0"/>
                <xsd:element ref="ns3:_Flow_SignoffStatu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cd76e3c-5b7b-4873-8ef8-85414aa718f8" elementFormDefault="qualified">
    <xsd:import namespace="http://schemas.microsoft.com/office/2006/documentManagement/types"/>
    <xsd:import namespace="http://schemas.microsoft.com/office/infopath/2007/PartnerControls"/>
    <xsd:element name="SharedWithUsers" ma:index="8"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08d15517-619f-4d63-be4f-f8abc2b37892}" ma:internalName="TaxCatchAll" ma:showField="CatchAllData" ma:web="8cd76e3c-5b7b-4873-8ef8-85414aa718f8">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07e86df-e81b-430a-8987-bcdc8dabd543"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_Flow_SignoffStatus" ma:index="21" nillable="true" ma:displayName="Sign-off status" ma:internalName="Sign_x002d_off_x0020_status">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948f71b8-5660-4508-9671-02390a85f4b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8.xml><?xml version="1.0" encoding="utf-8"?>
<?mso-contentType ?>
<FormTemplates xmlns="http://schemas.microsoft.com/sharepoint/v3/contenttype/forms">
  <Display>DocumentLibraryForm</Display>
  <Edit>DocumentLibraryForm</Edit>
  <New>DocumentLibraryForm</New>
</FormTemplates>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xml version="1.0" encoding="utf-8"?>
<p:properties xmlns:p="http://schemas.microsoft.com/office/2006/metadata/properties" xmlns:xsi="http://www.w3.org/2001/XMLSchema-instance" xmlns:pc="http://schemas.microsoft.com/office/infopath/2007/PartnerControls">
  <documentManagement>
    <SharedWithUsers xmlns="8cd76e3c-5b7b-4873-8ef8-85414aa718f8">
      <UserInfo>
        <DisplayName>ARPGGASite Members</DisplayName>
        <AccountId>9</AccountId>
        <AccountType/>
      </UserInfo>
      <UserInfo>
        <DisplayName>ARPGGASite Visitors</DisplayName>
        <AccountId>8</AccountId>
        <AccountType/>
      </UserInfo>
      <UserInfo>
        <DisplayName>ARPGGA Operaciones Members</DisplayName>
        <AccountId>34</AccountId>
        <AccountType/>
      </UserInfo>
      <UserInfo>
        <DisplayName>SharingLinks.089f3202-7bb3-4c7b-911c-baa9052c3e40.Flexible.80b8e149-f170-4857-9489-a2ecfedf314b</DisplayName>
        <AccountId>32</AccountId>
        <AccountType/>
      </UserInfo>
      <UserInfo>
        <DisplayName>SharingLinks.089f3202-7bb3-4c7b-911c-baa9052c3e40.Flexible.6d3297a5-c307-4ca4-9a0e-fae14dcb5207</DisplayName>
        <AccountId>21</AccountId>
        <AccountType/>
      </UserInfo>
    </SharedWithUsers>
    <_Flow_SignoffStatus xmlns="f07e86df-e81b-430a-8987-bcdc8dabd543" xsi:nil="true"/>
    <lcf76f155ced4ddcb4097134ff3c332f xmlns="f07e86df-e81b-430a-8987-bcdc8dabd543">
      <Terms xmlns="http://schemas.microsoft.com/office/infopath/2007/PartnerControls"/>
    </lcf76f155ced4ddcb4097134ff3c332f>
    <TaxCatchAll xmlns="8cd76e3c-5b7b-4873-8ef8-85414aa718f8" xsi:nil="true"/>
  </documentManagement>
</p:properties>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0B377681-0E27-48A3-B098-124211A4D33F}">
  <ds:schemaRefs>
    <ds:schemaRef ds:uri="http://gemini/pivotcustomization/e7ce1cbb-c97a-42c7-b454-9404bcaf0cb5"/>
  </ds:schemaRefs>
</ds:datastoreItem>
</file>

<file path=customXml/itemProps2.xml><?xml version="1.0" encoding="utf-8"?>
<ds:datastoreItem xmlns:ds="http://schemas.openxmlformats.org/officeDocument/2006/customXml" ds:itemID="{3B26A403-540A-473C-BD3B-696F35F8494A}">
  <ds:schemaRefs>
    <ds:schemaRef ds:uri="http://gemini/pivotcustomization/f991d251-b6af-4509-a911-87adca40ddae"/>
  </ds:schemaRefs>
</ds:datastoreItem>
</file>

<file path=customXml/itemProps3.xml><?xml version="1.0" encoding="utf-8"?>
<ds:datastoreItem xmlns:ds="http://schemas.openxmlformats.org/officeDocument/2006/customXml" ds:itemID="{E5383519-6BC2-4CEA-B965-4B63DDB8BE06}">
  <ds:schemaRefs>
    <ds:schemaRef ds:uri="http://gemini/pivotcustomization/MeasureGridState"/>
  </ds:schemaRefs>
</ds:datastoreItem>
</file>

<file path=customXml/itemProps4.xml><?xml version="1.0" encoding="utf-8"?>
<ds:datastoreItem xmlns:ds="http://schemas.openxmlformats.org/officeDocument/2006/customXml" ds:itemID="{40EC0208-A8D0-4AB3-BB46-79BAC5AB886A}">
  <ds:schemaRefs>
    <ds:schemaRef ds:uri="http://gemini/pivotcustomization/dbc198bf-5117-4651-bef2-a0541de7f924"/>
  </ds:schemaRefs>
</ds:datastoreItem>
</file>

<file path=customXml/itemProps5.xml><?xml version="1.0" encoding="utf-8"?>
<ds:datastoreItem xmlns:ds="http://schemas.openxmlformats.org/officeDocument/2006/customXml" ds:itemID="{3805CEB3-6A0E-4B42-8F57-C97B0AFC89A8}">
  <ds:schemaRefs>
    <ds:schemaRef ds:uri="http://gemini/pivotcustomization/TableXML_Table2-4bfd369c-5bbe-4432-bd96-978151e92019"/>
  </ds:schemaRefs>
</ds:datastoreItem>
</file>

<file path=customXml/itemProps6.xml><?xml version="1.0" encoding="utf-8"?>
<ds:datastoreItem xmlns:ds="http://schemas.openxmlformats.org/officeDocument/2006/customXml" ds:itemID="{96D044E7-C064-4F95-BA00-7FAFCA824FE4}">
  <ds:schemaRefs>
    <ds:schemaRef ds:uri="http://gemini/pivotcustomization/ErrorCache"/>
  </ds:schemaRefs>
</ds:datastoreItem>
</file>

<file path=customXml/itemProps7.xml><?xml version="1.0" encoding="utf-8"?>
<ds:datastoreItem xmlns:ds="http://schemas.openxmlformats.org/officeDocument/2006/customXml" ds:itemID="{58453FAF-C240-4096-89D4-95EE3119C0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cd76e3c-5b7b-4873-8ef8-85414aa718f8"/>
    <ds:schemaRef ds:uri="f07e86df-e81b-430a-8987-bcdc8dabd54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8.xml><?xml version="1.0" encoding="utf-8"?>
<ds:datastoreItem xmlns:ds="http://schemas.openxmlformats.org/officeDocument/2006/customXml" ds:itemID="{6DD0A866-A9E9-4C51-8EB1-1CF5CFA2FD1D}">
  <ds:schemaRefs>
    <ds:schemaRef ds:uri="http://schemas.microsoft.com/sharepoint/v3/contenttype/forms"/>
  </ds:schemaRefs>
</ds:datastoreItem>
</file>

<file path=customXml/itemProps9.xml><?xml version="1.0" encoding="utf-8"?>
<ds:datastoreItem xmlns:ds="http://schemas.openxmlformats.org/officeDocument/2006/customXml" ds:itemID="{FD3C4EC5-640D-4518-98A3-3307E9E6AEA7}">
  <ds:schemaRefs>
    <ds:schemaRef ds:uri="http://gemini/pivotcustomization/3bcf2aae-5ef5-4088-b32e-2aeed7af3248"/>
  </ds:schemaRefs>
</ds:datastoreItem>
</file>

<file path=customXml/itemProps10.xml><?xml version="1.0" encoding="utf-8"?>
<ds:datastoreItem xmlns:ds="http://schemas.openxmlformats.org/officeDocument/2006/customXml" ds:itemID="{28A52990-65D6-4254-BEC0-729E4EF6053C}">
  <ds:schemaRefs>
    <ds:schemaRef ds:uri="http://gemini/pivotcustomization/Diagrams"/>
  </ds:schemaRefs>
</ds:datastoreItem>
</file>

<file path=customXml/itemProps11.xml><?xml version="1.0" encoding="utf-8"?>
<ds:datastoreItem xmlns:ds="http://schemas.openxmlformats.org/officeDocument/2006/customXml" ds:itemID="{51584879-5DE8-4D6C-8EDA-39E11ECE374C}">
  <ds:schemaRefs>
    <ds:schemaRef ds:uri="http://gemini/pivotcustomization/ClientWindowXML"/>
  </ds:schemaRefs>
</ds:datastoreItem>
</file>

<file path=customXml/itemProps12.xml><?xml version="1.0" encoding="utf-8"?>
<ds:datastoreItem xmlns:ds="http://schemas.openxmlformats.org/officeDocument/2006/customXml" ds:itemID="{375B0600-628B-4D0D-AFF5-E0938F871671}">
  <ds:schemaRefs>
    <ds:schemaRef ds:uri="http://gemini/pivotcustomization/SandboxNonEmpty"/>
  </ds:schemaRefs>
</ds:datastoreItem>
</file>

<file path=customXml/itemProps13.xml><?xml version="1.0" encoding="utf-8"?>
<ds:datastoreItem xmlns:ds="http://schemas.openxmlformats.org/officeDocument/2006/customXml" ds:itemID="{9ECD25DF-93C8-45AC-971D-D623C6293CD2}">
  <ds:schemaRefs>
    <ds:schemaRef ds:uri="http://gemini/pivotcustomization/ShowHidden"/>
  </ds:schemaRefs>
</ds:datastoreItem>
</file>

<file path=customXml/itemProps14.xml><?xml version="1.0" encoding="utf-8"?>
<ds:datastoreItem xmlns:ds="http://schemas.openxmlformats.org/officeDocument/2006/customXml" ds:itemID="{23593A1C-CF51-40F4-8157-C9198F5277D3}">
  <ds:schemaRefs>
    <ds:schemaRef ds:uri="http://gemini/pivotcustomization/RelationshipAutoDetectionEnabled"/>
  </ds:schemaRefs>
</ds:datastoreItem>
</file>

<file path=customXml/itemProps15.xml><?xml version="1.0" encoding="utf-8"?>
<ds:datastoreItem xmlns:ds="http://schemas.openxmlformats.org/officeDocument/2006/customXml" ds:itemID="{169C735E-E4F5-42CC-AFA4-9EA6DCBC0EC5}">
  <ds:schemaRefs>
    <ds:schemaRef ds:uri="http://gemini/pivotcustomization/634d9358-da16-4d6f-8e3b-af03ca537205"/>
  </ds:schemaRefs>
</ds:datastoreItem>
</file>

<file path=customXml/itemProps16.xml><?xml version="1.0" encoding="utf-8"?>
<ds:datastoreItem xmlns:ds="http://schemas.openxmlformats.org/officeDocument/2006/customXml" ds:itemID="{8AF5C14D-2504-4543-AD4C-C52DEE10AE0D}">
  <ds:schemaRefs>
    <ds:schemaRef ds:uri="http://gemini/pivotcustomization/IsSandboxEmbedded"/>
  </ds:schemaRefs>
</ds:datastoreItem>
</file>

<file path=customXml/itemProps17.xml><?xml version="1.0" encoding="utf-8"?>
<ds:datastoreItem xmlns:ds="http://schemas.openxmlformats.org/officeDocument/2006/customXml" ds:itemID="{6F617C73-4061-461E-B1DA-42149DA73C4B}">
  <ds:schemaRefs>
    <ds:schemaRef ds:uri="http://gemini/pivotcustomization/24ed58d3-f824-4f42-b5f9-8be2a9cfbe49"/>
  </ds:schemaRefs>
</ds:datastoreItem>
</file>

<file path=customXml/itemProps18.xml><?xml version="1.0" encoding="utf-8"?>
<ds:datastoreItem xmlns:ds="http://schemas.openxmlformats.org/officeDocument/2006/customXml" ds:itemID="{41544BA5-8066-4C0F-8290-C5D19DEE878E}">
  <ds:schemaRefs>
    <ds:schemaRef ds:uri="http://gemini/pivotcustomization/TableXML_Table3-a5752ee4-b190-4e68-aa5f-f33f91cd0aa6"/>
  </ds:schemaRefs>
</ds:datastoreItem>
</file>

<file path=customXml/itemProps19.xml><?xml version="1.0" encoding="utf-8"?>
<ds:datastoreItem xmlns:ds="http://schemas.openxmlformats.org/officeDocument/2006/customXml" ds:itemID="{BA3ADBD4-4871-42C2-889B-7BDAE7DA2113}">
  <ds:schemaRefs>
    <ds:schemaRef ds:uri="http://gemini/pivotcustomization/84529afb-4cb5-4ced-810a-a6d00ab8b26b"/>
  </ds:schemaRefs>
</ds:datastoreItem>
</file>

<file path=customXml/itemProps20.xml><?xml version="1.0" encoding="utf-8"?>
<ds:datastoreItem xmlns:ds="http://schemas.openxmlformats.org/officeDocument/2006/customXml" ds:itemID="{DB209427-D564-45E4-B43E-A4F9799B5615}">
  <ds:schemaRefs>
    <ds:schemaRef ds:uri="http://gemini/pivotcustomization/PowerPivotVersion"/>
  </ds:schemaRefs>
</ds:datastoreItem>
</file>

<file path=customXml/itemProps21.xml><?xml version="1.0" encoding="utf-8"?>
<ds:datastoreItem xmlns:ds="http://schemas.openxmlformats.org/officeDocument/2006/customXml" ds:itemID="{D7C0B8C3-2AA7-47F5-B82F-6E3541C8BD47}">
  <ds:schemaRefs>
    <ds:schemaRef ds:uri="http://gemini/pivotcustomization/5dbfae04-ad4e-4882-9333-c068da4c77fa"/>
  </ds:schemaRefs>
</ds:datastoreItem>
</file>

<file path=customXml/itemProps22.xml><?xml version="1.0" encoding="utf-8"?>
<ds:datastoreItem xmlns:ds="http://schemas.openxmlformats.org/officeDocument/2006/customXml" ds:itemID="{422E81C4-F42E-48AC-AD72-F622CF371C99}">
  <ds:schemaRefs>
    <ds:schemaRef ds:uri="http://gemini/pivotcustomization/TableXML_Actividades-3d307aab-b0ff-459e-a1e8-b848f579c3c8"/>
  </ds:schemaRefs>
</ds:datastoreItem>
</file>

<file path=customXml/itemProps23.xml><?xml version="1.0" encoding="utf-8"?>
<ds:datastoreItem xmlns:ds="http://schemas.openxmlformats.org/officeDocument/2006/customXml" ds:itemID="{2EDB5AE9-46E4-4899-991E-144B16D4FA00}">
  <ds:schemaRefs>
    <ds:schemaRef ds:uri="http://gemini/pivotcustomization/fa25969f-2574-4050-addc-f66f37175bd2"/>
  </ds:schemaRefs>
</ds:datastoreItem>
</file>

<file path=customXml/itemProps24.xml><?xml version="1.0" encoding="utf-8"?>
<ds:datastoreItem xmlns:ds="http://schemas.openxmlformats.org/officeDocument/2006/customXml" ds:itemID="{09C54BB0-E4B9-4721-A0E2-709A5319D013}">
  <ds:schemaRefs>
    <ds:schemaRef ds:uri="http://gemini/pivotcustomization/TableXML_Table9-4ab43d75-0646-4a6a-84c9-dd90b94768d7"/>
  </ds:schemaRefs>
</ds:datastoreItem>
</file>

<file path=customXml/itemProps25.xml><?xml version="1.0" encoding="utf-8"?>
<ds:datastoreItem xmlns:ds="http://schemas.openxmlformats.org/officeDocument/2006/customXml" ds:itemID="{F4BED889-0555-4D6A-B902-733615A203E1}">
  <ds:schemaRefs>
    <ds:schemaRef ds:uri="http://gemini/pivotcustomization/a5e4f6a1-94b8-4541-a013-db888deee7d1"/>
  </ds:schemaRefs>
</ds:datastoreItem>
</file>

<file path=customXml/itemProps26.xml><?xml version="1.0" encoding="utf-8"?>
<ds:datastoreItem xmlns:ds="http://schemas.openxmlformats.org/officeDocument/2006/customXml" ds:itemID="{5810FD0D-8466-46D1-85B6-87DC060F4743}">
  <ds:schemaRefs>
    <ds:schemaRef ds:uri="http://gemini/pivotcustomization/TableXML_Proyectos-834e1481-40e4-4fe1-b597-2621526049a0"/>
  </ds:schemaRefs>
</ds:datastoreItem>
</file>

<file path=customXml/itemProps27.xml><?xml version="1.0" encoding="utf-8"?>
<ds:datastoreItem xmlns:ds="http://schemas.openxmlformats.org/officeDocument/2006/customXml" ds:itemID="{168F6A94-B0A2-4132-8DD5-4F0731B1A22F}">
  <ds:schemaRefs>
    <ds:schemaRef ds:uri="http://gemini/pivotcustomization/TableXML_Table1-48b04328-96a3-4316-a0c8-0409d9f6c1ea"/>
  </ds:schemaRefs>
</ds:datastoreItem>
</file>

<file path=customXml/itemProps28.xml><?xml version="1.0" encoding="utf-8"?>
<ds:datastoreItem xmlns:ds="http://schemas.openxmlformats.org/officeDocument/2006/customXml" ds:itemID="{8D936505-ACC4-48FD-B1ED-6262CDD237A7}">
  <ds:schemaRefs>
    <ds:schemaRef ds:uri="http://schemas.microsoft.com/DataMashup"/>
  </ds:schemaRefs>
</ds:datastoreItem>
</file>

<file path=customXml/itemProps29.xml><?xml version="1.0" encoding="utf-8"?>
<ds:datastoreItem xmlns:ds="http://schemas.openxmlformats.org/officeDocument/2006/customXml" ds:itemID="{3C0D0D03-9BDF-4FB6-B708-15319A28060D}">
  <ds:schemaRefs>
    <ds:schemaRef ds:uri="8cd76e3c-5b7b-4873-8ef8-85414aa718f8"/>
    <ds:schemaRef ds:uri="http://schemas.microsoft.com/office/2006/documentManagement/types"/>
    <ds:schemaRef ds:uri="http://schemas.microsoft.com/office/2006/metadata/properties"/>
    <ds:schemaRef ds:uri="http://schemas.openxmlformats.org/package/2006/metadata/core-properties"/>
    <ds:schemaRef ds:uri="http://www.w3.org/XML/1998/namespace"/>
    <ds:schemaRef ds:uri="http://purl.org/dc/dcmitype/"/>
    <ds:schemaRef ds:uri="http://purl.org/dc/elements/1.1/"/>
    <ds:schemaRef ds:uri="http://purl.org/dc/terms/"/>
    <ds:schemaRef ds:uri="http://schemas.microsoft.com/office/infopath/2007/PartnerControls"/>
    <ds:schemaRef ds:uri="f07e86df-e81b-430a-8987-bcdc8dabd543"/>
  </ds:schemaRefs>
</ds:datastoreItem>
</file>

<file path=customXml/itemProps30.xml><?xml version="1.0" encoding="utf-8"?>
<ds:datastoreItem xmlns:ds="http://schemas.openxmlformats.org/officeDocument/2006/customXml" ds:itemID="{B2E9726B-CD67-4831-8CE4-01EEBB440912}">
  <ds:schemaRefs>
    <ds:schemaRef ds:uri="http://gemini/pivotcustomization/TableXML_Clasificacion_Tareas-c1342b5b-375a-4ec6-94fc-14870e4e67d8"/>
  </ds:schemaRefs>
</ds:datastoreItem>
</file>

<file path=customXml/itemProps31.xml><?xml version="1.0" encoding="utf-8"?>
<ds:datastoreItem xmlns:ds="http://schemas.openxmlformats.org/officeDocument/2006/customXml" ds:itemID="{3DF270AF-C416-40ED-879C-94C5628E0575}">
  <ds:schemaRefs>
    <ds:schemaRef ds:uri="http://gemini/pivotcustomization/ShowImplicitMeasures"/>
  </ds:schemaRefs>
</ds:datastoreItem>
</file>

<file path=customXml/itemProps32.xml><?xml version="1.0" encoding="utf-8"?>
<ds:datastoreItem xmlns:ds="http://schemas.openxmlformats.org/officeDocument/2006/customXml" ds:itemID="{3D72C94D-593E-4A7B-9273-7007A2F05C26}">
  <ds:schemaRefs>
    <ds:schemaRef ds:uri="http://gemini/pivotcustomization/LinkedTableUpdateMode"/>
  </ds:schemaRefs>
</ds:datastoreItem>
</file>

<file path=customXml/itemProps33.xml><?xml version="1.0" encoding="utf-8"?>
<ds:datastoreItem xmlns:ds="http://schemas.openxmlformats.org/officeDocument/2006/customXml" ds:itemID="{D441BA7F-5254-4E8F-912E-2C48CDC58ACB}">
  <ds:schemaRefs>
    <ds:schemaRef ds:uri="http://gemini/pivotcustomization/LinkedTables"/>
  </ds:schemaRefs>
</ds:datastoreItem>
</file>

<file path=customXml/itemProps34.xml><?xml version="1.0" encoding="utf-8"?>
<ds:datastoreItem xmlns:ds="http://schemas.openxmlformats.org/officeDocument/2006/customXml" ds:itemID="{B1C4DADE-E005-4A4D-AFE5-537E54F0B5D3}">
  <ds:schemaRefs>
    <ds:schemaRef ds:uri="http://gemini/pivotcustomization/8ce44590-5bc9-4768-8d57-3188f43c79b2"/>
  </ds:schemaRefs>
</ds:datastoreItem>
</file>

<file path=customXml/itemProps35.xml><?xml version="1.0" encoding="utf-8"?>
<ds:datastoreItem xmlns:ds="http://schemas.openxmlformats.org/officeDocument/2006/customXml" ds:itemID="{3980BF31-96BA-4203-A06D-A087E9A90647}">
  <ds:schemaRefs>
    <ds:schemaRef ds:uri="http://gemini/pivotcustomization/TableOrder"/>
  </ds:schemaRefs>
</ds:datastoreItem>
</file>

<file path=customXml/itemProps36.xml><?xml version="1.0" encoding="utf-8"?>
<ds:datastoreItem xmlns:ds="http://schemas.openxmlformats.org/officeDocument/2006/customXml" ds:itemID="{5D138380-7D94-4663-BD46-7C6B2DBAAA5D}">
  <ds:schemaRefs>
    <ds:schemaRef ds:uri="http://gemini/pivotcustomization/TableCountInSandbox"/>
  </ds:schemaRefs>
</ds:datastoreItem>
</file>

<file path=customXml/itemProps37.xml><?xml version="1.0" encoding="utf-8"?>
<ds:datastoreItem xmlns:ds="http://schemas.openxmlformats.org/officeDocument/2006/customXml" ds:itemID="{A9020241-2FF7-4CB7-A471-7AE4918AD5A4}">
  <ds:schemaRefs>
    <ds:schemaRef ds:uri="http://gemini/pivotcustomization/TableXML_Table4-189bccf3-06e5-4613-b252-ea1fb82fb891"/>
  </ds:schemaRefs>
</ds:datastoreItem>
</file>

<file path=customXml/itemProps38.xml><?xml version="1.0" encoding="utf-8"?>
<ds:datastoreItem xmlns:ds="http://schemas.openxmlformats.org/officeDocument/2006/customXml" ds:itemID="{9562DE49-D238-4EC1-AF11-90A859DF16BA}">
  <ds:schemaRefs>
    <ds:schemaRef ds:uri="http://gemini/pivotcustomization/1011db6d-948b-4259-a325-3190e5a53cfa"/>
  </ds:schemaRefs>
</ds:datastoreItem>
</file>

<file path=customXml/itemProps39.xml><?xml version="1.0" encoding="utf-8"?>
<ds:datastoreItem xmlns:ds="http://schemas.openxmlformats.org/officeDocument/2006/customXml" ds:itemID="{4D119571-4FA6-4085-9B73-E52B39886710}">
  <ds:schemaRefs>
    <ds:schemaRef ds:uri="http://gemini/pivotcustomization/ed109a3d-abd6-4be6-8401-9877933f1317"/>
  </ds:schemaRefs>
</ds:datastoreItem>
</file>

<file path=customXml/itemProps40.xml><?xml version="1.0" encoding="utf-8"?>
<ds:datastoreItem xmlns:ds="http://schemas.openxmlformats.org/officeDocument/2006/customXml" ds:itemID="{E04E3B64-DD4D-408E-942A-1869B99ED6BE}">
  <ds:schemaRefs>
    <ds:schemaRef ds:uri="http://gemini/pivotcustomization/d99b37b3-0658-4c7d-8516-aa12e6b5dd91"/>
  </ds:schemaRefs>
</ds:datastoreItem>
</file>

<file path=customXml/itemProps41.xml><?xml version="1.0" encoding="utf-8"?>
<ds:datastoreItem xmlns:ds="http://schemas.openxmlformats.org/officeDocument/2006/customXml" ds:itemID="{ACD9A9B8-D6C3-45AD-80E9-4A8959A065ED}">
  <ds:schemaRefs>
    <ds:schemaRef ds:uri="http://gemini/pivotcustomization/TableXML_Personas-365924bf-80e0-43dd-9a52-c4cdd9a673c0"/>
  </ds:schemaRefs>
</ds:datastoreItem>
</file>

<file path=customXml/itemProps42.xml><?xml version="1.0" encoding="utf-8"?>
<ds:datastoreItem xmlns:ds="http://schemas.openxmlformats.org/officeDocument/2006/customXml" ds:itemID="{F1165AD8-C87D-4F9C-AA93-E84DF2C60259}">
  <ds:schemaRefs>
    <ds:schemaRef ds:uri="http://gemini/pivotcustomization/TableXML_Equipos-6767e17e-a2e1-4e44-ad69-e319e40e6215"/>
  </ds:schemaRefs>
</ds:datastoreItem>
</file>

<file path=customXml/itemProps43.xml><?xml version="1.0" encoding="utf-8"?>
<ds:datastoreItem xmlns:ds="http://schemas.openxmlformats.org/officeDocument/2006/customXml" ds:itemID="{1844DB7E-1F02-4298-983B-2EEEB4BFC95C}">
  <ds:schemaRefs>
    <ds:schemaRef ds:uri="http://gemini/pivotcustomization/ManualCalcMode"/>
  </ds:schemaRefs>
</ds:datastoreItem>
</file>

<file path=docMetadata/LabelInfo.xml><?xml version="1.0" encoding="utf-8"?>
<clbl:labelList xmlns:clbl="http://schemas.microsoft.com/office/2020/mipLabelMetadata">
  <clbl:label id="{7831e6d9-dc6c-4cd1-9ec6-1dc2b4133195}" enabled="0" method="" siteId="{7831e6d9-dc6c-4cd1-9ec6-1dc2b4133195}"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Juan J. Haim</dc:creator>
  <cp:keywords/>
  <dc:description/>
  <cp:lastModifiedBy>Jose Francisco Zudaire</cp:lastModifiedBy>
  <cp:revision>1</cp:revision>
  <dcterms:created xsi:type="dcterms:W3CDTF">2015-09-11T16:08:24Z</dcterms:created>
  <dcterms:modified xsi:type="dcterms:W3CDTF">2024-11-06T20:50:15Z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0x010100E0CCABF9EA204049A9D842DB30B440EC</vt:lpwstr>
  </property>
  <property fmtid="{D5CDD505-2E9C-101B-9397-08002B2CF9AE}" pid="3" name="MediaServiceImageTags">
    <vt:lpwstr/>
  </property>
</Properties>
</file>